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/Users/dam.ho/Desktop/Work/Analytics/P&amp;L/"/>
    </mc:Choice>
  </mc:AlternateContent>
  <xr:revisionPtr revIDLastSave="0" documentId="13_ncr:1_{735CEA5B-6686-254C-80C6-7F07768D471B}" xr6:coauthVersionLast="47" xr6:coauthVersionMax="47" xr10:uidLastSave="{00000000-0000-0000-0000-000000000000}"/>
  <bookViews>
    <workbookView xWindow="0" yWindow="740" windowWidth="19420" windowHeight="10300" tabRatio="921" firstSheet="10" activeTab="11" xr2:uid="{CADBDF99-2964-4A00-A5C2-B25C528AEE1B}"/>
  </bookViews>
  <sheets>
    <sheet name="Revenue" sheetId="1" r:id="rId1"/>
    <sheet name="EBITDA" sheetId="10" r:id="rId2"/>
    <sheet name="Tracking KPI" sheetId="11" r:id="rId3"/>
    <sheet name="Paylater" sheetId="22" r:id="rId4"/>
    <sheet name="Liability" sheetId="25" r:id="rId5"/>
    <sheet name="Card" sheetId="21" r:id="rId6"/>
    <sheet name="slide card" sheetId="41" r:id="rId7"/>
    <sheet name="TECH-AI" sheetId="28" r:id="rId8"/>
    <sheet name="C-Ticket" sheetId="23" r:id="rId9"/>
    <sheet name="Summary Lending + PL Partner" sheetId="42" r:id="rId10"/>
    <sheet name="Summary Lending + PL Productdet" sheetId="43" r:id="rId11"/>
    <sheet name="Lending" sheetId="19" r:id="rId12"/>
    <sheet name="Slide 2025" sheetId="14" r:id="rId13"/>
    <sheet name="BE" sheetId="27" r:id="rId14"/>
    <sheet name="Sheet2" sheetId="24" r:id="rId15"/>
    <sheet name="BG_25 Lia" sheetId="40" r:id="rId16"/>
    <sheet name="BG_25_LEND" sheetId="36" r:id="rId17"/>
    <sheet name="BG 2025 CC_PL" sheetId="29" r:id="rId18"/>
    <sheet name="BG debit card" sheetId="30" state="hidden" r:id="rId19"/>
    <sheet name="budget 2024" sheetId="15" state="hidden" r:id="rId20"/>
    <sheet name="NHOM NO" sheetId="20" state="hidden" r:id="rId21"/>
  </sheets>
  <externalReferences>
    <externalReference r:id="rId22"/>
  </externalReferences>
  <definedNames>
    <definedName name="_____T3" localSheetId="9" hidden="1">{"'Sheet1'!$L$16"}</definedName>
    <definedName name="_____T3" localSheetId="10" hidden="1">{"'Sheet1'!$L$16"}</definedName>
    <definedName name="_____T3" hidden="1">{"'Sheet1'!$L$16"}</definedName>
    <definedName name="____T3" localSheetId="9" hidden="1">{"'Sheet1'!$L$16"}</definedName>
    <definedName name="____T3" localSheetId="10" hidden="1">{"'Sheet1'!$L$16"}</definedName>
    <definedName name="____T3" hidden="1">{"'Sheet1'!$L$16"}</definedName>
    <definedName name="___T3" localSheetId="9" hidden="1">{"'Sheet1'!$L$16"}</definedName>
    <definedName name="___T3" localSheetId="10" hidden="1">{"'Sheet1'!$L$16"}</definedName>
    <definedName name="___T3" hidden="1">{"'Sheet1'!$L$16"}</definedName>
    <definedName name="__123Graph_LBL_B" hidden="1">#REF!</definedName>
    <definedName name="__f5" localSheetId="9" hidden="1">{"'Sheet1'!$L$16"}</definedName>
    <definedName name="__f5" localSheetId="10" hidden="1">{"'Sheet1'!$L$16"}</definedName>
    <definedName name="__f5" hidden="1">{"'Sheet1'!$L$16"}</definedName>
    <definedName name="__NSO2" localSheetId="9" hidden="1">{"'Sheet1'!$L$16"}</definedName>
    <definedName name="__NSO2" localSheetId="10" hidden="1">{"'Sheet1'!$L$16"}</definedName>
    <definedName name="__NSO2" hidden="1">{"'Sheet1'!$L$16"}</definedName>
    <definedName name="__T3" localSheetId="9" hidden="1">{"'Sheet1'!$L$16"}</definedName>
    <definedName name="__T3" localSheetId="10" hidden="1">{"'Sheet1'!$L$16"}</definedName>
    <definedName name="__T3" hidden="1">{"'Sheet1'!$L$16"}</definedName>
    <definedName name="__T5" localSheetId="9" hidden="1">{"'Sheet1'!$L$16"}</definedName>
    <definedName name="__T5" localSheetId="10" hidden="1">{"'Sheet1'!$L$16"}</definedName>
    <definedName name="__T5" hidden="1">{"'Sheet1'!$L$16"}</definedName>
    <definedName name="_a129" localSheetId="9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1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2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2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0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0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00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00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0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1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1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2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2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3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3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4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4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5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5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6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6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7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7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8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8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9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9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0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0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1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1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2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2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3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3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4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4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5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5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6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6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7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7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8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8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9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9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0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0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1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1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2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2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3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3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4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4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5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5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6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6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7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7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8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8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9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9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1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1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2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2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3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3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4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4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5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5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6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6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7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7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8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8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9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9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0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0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1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1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2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2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4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4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5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5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6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6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7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7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8" localSheetId="9" hidden="1">{#N/A,#N/A,FALSE,"Gesamt";#N/A,#N/A,FALSE,"Ree KG";#N/A,#N/A,FALSE,"Ree Inter";#N/A,#N/A,FALSE,"BTM";#N/A,#N/A,FALSE,"GmbH";#N/A,#N/A,FALSE,"Sonstige"}</definedName>
    <definedName name="_aa58" localSheetId="10" hidden="1">{#N/A,#N/A,FALSE,"Gesamt";#N/A,#N/A,FALSE,"Ree KG";#N/A,#N/A,FALSE,"Ree Inter";#N/A,#N/A,FALSE,"BTM";#N/A,#N/A,FALSE,"GmbH";#N/A,#N/A,FALSE,"Sonstige"}</definedName>
    <definedName name="_aa58" hidden="1">{#N/A,#N/A,FALSE,"Gesamt";#N/A,#N/A,FALSE,"Ree KG";#N/A,#N/A,FALSE,"Ree Inter";#N/A,#N/A,FALSE,"BTM";#N/A,#N/A,FALSE,"GmbH";#N/A,#N/A,FALSE,"Sonstige"}</definedName>
    <definedName name="_aa59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9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0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0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1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1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2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2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3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3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4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4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5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5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6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6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7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7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8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8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9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9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" localSheetId="9" hidden="1">{#N/A,#N/A,FALSE,"Gesamt";#N/A,#N/A,FALSE,"Ree KG";#N/A,#N/A,FALSE,"Ree Inter";#N/A,#N/A,FALSE,"BTM";#N/A,#N/A,FALSE,"GmbH";#N/A,#N/A,FALSE,"Sonstige"}</definedName>
    <definedName name="_aa7" localSheetId="10" hidden="1">{#N/A,#N/A,FALSE,"Gesamt";#N/A,#N/A,FALSE,"Ree KG";#N/A,#N/A,FALSE,"Ree Inter";#N/A,#N/A,FALSE,"BTM";#N/A,#N/A,FALSE,"GmbH";#N/A,#N/A,FALSE,"Sonstige"}</definedName>
    <definedName name="_aa7" hidden="1">{#N/A,#N/A,FALSE,"Gesamt";#N/A,#N/A,FALSE,"Ree KG";#N/A,#N/A,FALSE,"Ree Inter";#N/A,#N/A,FALSE,"BTM";#N/A,#N/A,FALSE,"GmbH";#N/A,#N/A,FALSE,"Sonstige"}</definedName>
    <definedName name="_aa70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0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1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1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2" localSheetId="9" hidden="1">{#N/A,#N/A,FALSE,"Gesamt";#N/A,#N/A,FALSE,"Ree KG";#N/A,#N/A,FALSE,"Ree Inter";#N/A,#N/A,FALSE,"BTM";#N/A,#N/A,FALSE,"GmbH";#N/A,#N/A,FALSE,"Sonstige"}</definedName>
    <definedName name="_aa72" localSheetId="10" hidden="1">{#N/A,#N/A,FALSE,"Gesamt";#N/A,#N/A,FALSE,"Ree KG";#N/A,#N/A,FALSE,"Ree Inter";#N/A,#N/A,FALSE,"BTM";#N/A,#N/A,FALSE,"GmbH";#N/A,#N/A,FALSE,"Sonstige"}</definedName>
    <definedName name="_aa72" hidden="1">{#N/A,#N/A,FALSE,"Gesamt";#N/A,#N/A,FALSE,"Ree KG";#N/A,#N/A,FALSE,"Ree Inter";#N/A,#N/A,FALSE,"BTM";#N/A,#N/A,FALSE,"GmbH";#N/A,#N/A,FALSE,"Sonstige"}</definedName>
    <definedName name="_aa73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3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4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4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5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5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6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6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7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7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8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8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9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9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0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0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1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1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2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2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3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3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4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4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5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5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6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6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7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7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8" localSheetId="9" hidden="1">{#N/A,#N/A,FALSE,"Gesamt";#N/A,#N/A,FALSE,"Ree KG";#N/A,#N/A,FALSE,"Ree Inter";#N/A,#N/A,FALSE,"BTM";#N/A,#N/A,FALSE,"GmbH";#N/A,#N/A,FALSE,"Sonstige"}</definedName>
    <definedName name="_aa88" localSheetId="10" hidden="1">{#N/A,#N/A,FALSE,"Gesamt";#N/A,#N/A,FALSE,"Ree KG";#N/A,#N/A,FALSE,"Ree Inter";#N/A,#N/A,FALSE,"BTM";#N/A,#N/A,FALSE,"GmbH";#N/A,#N/A,FALSE,"Sonstige"}</definedName>
    <definedName name="_aa88" hidden="1">{#N/A,#N/A,FALSE,"Gesamt";#N/A,#N/A,FALSE,"Ree KG";#N/A,#N/A,FALSE,"Ree Inter";#N/A,#N/A,FALSE,"BTM";#N/A,#N/A,FALSE,"GmbH";#N/A,#N/A,FALSE,"Sonstige"}</definedName>
    <definedName name="_aa89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9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0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0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1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1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2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2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3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3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4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4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5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5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6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6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7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7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8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8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9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9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f5" localSheetId="9" hidden="1">{"'Sheet1'!$L$16"}</definedName>
    <definedName name="_f5" localSheetId="10" hidden="1">{"'Sheet1'!$L$16"}</definedName>
    <definedName name="_f5" hidden="1">{"'Sheet1'!$L$16"}</definedName>
    <definedName name="_Fill" hidden="1">#REF!</definedName>
    <definedName name="_xlnm._FilterDatabase" localSheetId="16" hidden="1">BG_25_LEND!$A$4:$DQ$4</definedName>
    <definedName name="_xlnm._FilterDatabase" localSheetId="5" hidden="1">Card!$E$99:$X$594</definedName>
    <definedName name="_xlnm._FilterDatabase" localSheetId="11" hidden="1">Lending!$A$2:$AK$708</definedName>
    <definedName name="_xlnm._FilterDatabase" localSheetId="4" hidden="1">Liability!$H$6:$AT$100</definedName>
    <definedName name="_xlnm._FilterDatabase" localSheetId="3" hidden="1">Paylater!$B$1:$AD$368</definedName>
    <definedName name="_xlnm._FilterDatabase" localSheetId="14" hidden="1">Sheet2!$A$106:$Z$140</definedName>
    <definedName name="_xlnm._FilterDatabase" hidden="1">#REF!</definedName>
    <definedName name="_GSRATES_1" hidden="1">"CT300001Latest          "</definedName>
    <definedName name="_GSRATES_COUNT" hidden="1">1</definedName>
    <definedName name="_Key1" hidden="1">#REF!</definedName>
    <definedName name="_Key2" hidden="1">#REF!</definedName>
    <definedName name="_NSO2" localSheetId="9" hidden="1">{"'Sheet1'!$L$16"}</definedName>
    <definedName name="_NSO2" localSheetId="10" hidden="1">{"'Sheet1'!$L$16"}</definedName>
    <definedName name="_NSO2" hidden="1">{"'Sheet1'!$L$16"}</definedName>
    <definedName name="_o1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1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10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10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11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11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12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12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1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13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13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1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2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2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3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3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4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4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5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5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6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6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8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8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9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9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r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r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r1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r1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r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r3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r3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r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rwr45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rwr45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rwr4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Sort" hidden="1">#REF!</definedName>
    <definedName name="_t1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1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2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2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3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3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33333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33333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3333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4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4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5" localSheetId="9" hidden="1">{"'Sheet1'!$L$16"}</definedName>
    <definedName name="_T5" localSheetId="10" hidden="1">{"'Sheet1'!$L$16"}</definedName>
    <definedName name="_T5" hidden="1">{"'Sheet1'!$L$16"}</definedName>
    <definedName name="_vse54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vse54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vse5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yw5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yw5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yw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#REF!</definedName>
    <definedName name="AAA_DOCTOPS" hidden="1">"AAA_SET"</definedName>
    <definedName name="AAA_duser" hidden="1">"OFF"</definedName>
    <definedName name="aaaaa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aaa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aa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ccessDatabase" hidden="1">"D:\VIETTIEN\tonghop\phanlop.mdb"</definedName>
    <definedName name="adcasdas" hidden="1">#REF!</definedName>
    <definedName name="aldfj" localSheetId="9" hidden="1">{0,#N/A,FALSE,0;0,#N/A,FALSE,0;0,#N/A,FALSE,0;0,#N/A,FALSE,0;0,#N/A,FALSE,0;0,#N/A,FALSE,0;0,#N/A,FALSE,0}</definedName>
    <definedName name="aldfj" localSheetId="10" hidden="1">{0,#N/A,FALSE,0;0,#N/A,FALSE,0;0,#N/A,FALSE,0;0,#N/A,FALSE,0;0,#N/A,FALSE,0;0,#N/A,FALSE,0;0,#N/A,FALSE,0}</definedName>
    <definedName name="aldfj" hidden="1">{0,#N/A,FALSE,0;0,#N/A,FALSE,0;0,#N/A,FALSE,0;0,#N/A,FALSE,0;0,#N/A,FALSE,0;0,#N/A,FALSE,0;0,#N/A,FALSE,0}</definedName>
    <definedName name="anscount" hidden="1">6</definedName>
    <definedName name="AS2DocOpenMode" hidden="1">"AS2DocumentEdit"</definedName>
    <definedName name="asd" localSheetId="9" hidden="1">{"'Sheet1'!$L$16"}</definedName>
    <definedName name="asd" localSheetId="10" hidden="1">{"'Sheet1'!$L$16"}</definedName>
    <definedName name="asd" hidden="1">{"'Sheet1'!$L$16"}</definedName>
    <definedName name="asdf" localSheetId="9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asdf" localSheetId="1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asdf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asdff" localSheetId="9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asdff" localSheetId="1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asdff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asdj" localSheetId="9" hidden="1">{0,#N/A,FALSE,0;0,#N/A,FALSE,0;0,#N/A,FALSE,0;0,#N/A,FALSE,0;0,#N/A,FALSE,0;0,#N/A,FALSE,0;0,#N/A,FALSE,0}</definedName>
    <definedName name="asdj" localSheetId="10" hidden="1">{0,#N/A,FALSE,0;0,#N/A,FALSE,0;0,#N/A,FALSE,0;0,#N/A,FALSE,0;0,#N/A,FALSE,0;0,#N/A,FALSE,0;0,#N/A,FALSE,0}</definedName>
    <definedName name="asdj" hidden="1">{0,#N/A,FALSE,0;0,#N/A,FALSE,0;0,#N/A,FALSE,0;0,#N/A,FALSE,0;0,#N/A,FALSE,0;0,#N/A,FALSE,0;0,#N/A,FALSE,0}</definedName>
    <definedName name="asdjfhop" localSheetId="9" hidden="1">{0}</definedName>
    <definedName name="asdjfhop" localSheetId="10" hidden="1">{0}</definedName>
    <definedName name="asdjfhop" hidden="1">{0}</definedName>
    <definedName name="bb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b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bb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bb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b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bbb" localSheetId="9" hidden="1">{#N/A,#N/A,FALSE,"Gesamt";#N/A,#N/A,FALSE,"Ree KG";#N/A,#N/A,FALSE,"Ree Inter";#N/A,#N/A,FALSE,"BTM";#N/A,#N/A,FALSE,"GmbH";#N/A,#N/A,FALSE,"Sonstige"}</definedName>
    <definedName name="bbbb" localSheetId="10" hidden="1">{#N/A,#N/A,FALSE,"Gesamt";#N/A,#N/A,FALSE,"Ree KG";#N/A,#N/A,FALSE,"Ree Inter";#N/A,#N/A,FALSE,"BTM";#N/A,#N/A,FALSE,"GmbH";#N/A,#N/A,FALSE,"Sonstige"}</definedName>
    <definedName name="bbbb" hidden="1">{#N/A,#N/A,FALSE,"Gesamt";#N/A,#N/A,FALSE,"Ree KG";#N/A,#N/A,FALSE,"Ree Inter";#N/A,#N/A,FALSE,"BTM";#N/A,#N/A,FALSE,"GmbH";#N/A,#N/A,FALSE,"Sonstige"}</definedName>
    <definedName name="bbbbb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bbbb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bbb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O0003DC830B7A4A8AB7CDB775303ABC65" hidden="1">#REF!</definedName>
    <definedName name="BO0003F66A262141EF9859F00096A17E1B" hidden="1">#REF!</definedName>
    <definedName name="BO0006023C69FC42399028E3B2098C4F65" hidden="1">#REF!</definedName>
    <definedName name="BO000A85AFF33A4D3DB055EF6F44AB0D98" hidden="1">#REF!</definedName>
    <definedName name="BO000C6364AE1941EFA15369B0BC10F21C" hidden="1">#REF!</definedName>
    <definedName name="BO000ED5D438C0459A89AEA3869B27C330" hidden="1">#REF!</definedName>
    <definedName name="BO0011ACCF0E2343149E3A921AC1975221" hidden="1">#REF!</definedName>
    <definedName name="BO00176F2CE18A4DFD8DBA8B15B7BA1EB9" hidden="1">#REF!</definedName>
    <definedName name="BO002260D2445F4012A72AD3B84FDE553D" hidden="1">#REF!</definedName>
    <definedName name="BO0031E3A8052D498EA2013E363B73C262" hidden="1">#REF!</definedName>
    <definedName name="BO003933C055814923908434046D602012" hidden="1">#REF!</definedName>
    <definedName name="BO0046DCF47E1A47E3801C1902773A8C6C" hidden="1">#REF!</definedName>
    <definedName name="BO0053984543A74920B4D90908AC14558A" hidden="1">#REF!</definedName>
    <definedName name="BO005446180CD2470F9BE224EA64B9A94D" hidden="1">#REF!</definedName>
    <definedName name="BO0054C2C2528A49A284ED2315297D6B22" hidden="1">#REF!</definedName>
    <definedName name="BO00577B64B5FE44819012203C8C2E3233" hidden="1">#REF!</definedName>
    <definedName name="BO00630A1F894846068F44DCC679569C5B" hidden="1">#REF!</definedName>
    <definedName name="BO006E1B46ECC64726B7FAA9BD20EBE8AD" hidden="1">#REF!</definedName>
    <definedName name="BO00769E8683AE4162B885D553147D97B2" hidden="1">#REF!</definedName>
    <definedName name="BO00774240AE754272B5128D6D8CC567D6" hidden="1">#REF!</definedName>
    <definedName name="BO008918E1B8B748AF9E094F6CE3AA450A" hidden="1">#REF!</definedName>
    <definedName name="BO008DD7E13FA5463A97554AF7DF9EBDBC" hidden="1">#REF!</definedName>
    <definedName name="BO00922847D9FA47EA87021D1E7F550DB3" hidden="1">#REF!</definedName>
    <definedName name="BO00CAF589C8E640179AC2FAEB78F4775C" hidden="1">#REF!</definedName>
    <definedName name="BO00CB1CC14D974D42BF217004C1D18377" hidden="1">#REF!</definedName>
    <definedName name="BO00D1AA2CD5714EB290458A8D6372F567" hidden="1">#REF!</definedName>
    <definedName name="BO00E426FEA7674A4A8C7644D2684F5BF2" hidden="1">#REF!</definedName>
    <definedName name="BO00EB9EFB96DC4477AB774F461023B10A" hidden="1">#REF!</definedName>
    <definedName name="BO00F9CD6DE36B4D7792BF475AFE62E613" hidden="1">#REF!</definedName>
    <definedName name="BO010EBB9F715F46B9862CF95C84540ED6" hidden="1">#REF!</definedName>
    <definedName name="BO0114EF7FD51C482295E90687F30B8270" hidden="1">#REF!</definedName>
    <definedName name="BO012D08D5994947279AAAFAB61EB8B99F" hidden="1">#REF!</definedName>
    <definedName name="BO012E5533C02B4282B601EBD5A9E0D9AF" hidden="1">#REF!</definedName>
    <definedName name="BO0136E13182494F888A1D90FF3AC94EAA" hidden="1">#REF!</definedName>
    <definedName name="BO0161BD768D0143188DFD0E7818FF4E5E" hidden="1">#REF!</definedName>
    <definedName name="BO01631F8D87C24D9F8294E35413DFFB8F" hidden="1">#REF!</definedName>
    <definedName name="BO018AA5C5FD344A7DB559E5DAC4C05AB1" hidden="1">#REF!</definedName>
    <definedName name="BO018DEDC716F949668A75809FB5B59812" hidden="1">#REF!</definedName>
    <definedName name="BO019997A720F54E58AAC2DD9B5E5A2916" hidden="1">#REF!</definedName>
    <definedName name="BO01A166AA69EC4103814B98DA598CA88C" hidden="1">#REF!</definedName>
    <definedName name="BO01AF87C75BD1407E92398533524BE3C3" hidden="1">#REF!</definedName>
    <definedName name="BO01AFD286E96A4C8F85F1B1D36452198C" hidden="1">#REF!</definedName>
    <definedName name="BO01C1F5CFC3224D99AB65560D3CB58240" hidden="1">#REF!</definedName>
    <definedName name="BO01C29EF07E9A40C890F89FD6B0C3160B" hidden="1">#REF!</definedName>
    <definedName name="BO01CFDF25F91B4F459A40848FD15E2E5E" hidden="1">#REF!</definedName>
    <definedName name="BO01D23DB367494952ABEBA9DCE607132B" hidden="1">#REF!</definedName>
    <definedName name="BO01D461D41EEE401AA17D15F122EF5207" hidden="1">#REF!</definedName>
    <definedName name="BO01D7310E18124A43BE95AFD6A3D43C79" hidden="1">#REF!</definedName>
    <definedName name="BO01DE4C07D47C4086B5B7D7C1D71844CD" hidden="1">#REF!</definedName>
    <definedName name="BO01E0CD5D7C5443E083EFA326DB7E60C4" hidden="1">#REF!</definedName>
    <definedName name="BO01E98CF1F332452EBAD4A307084F4447" hidden="1">#REF!</definedName>
    <definedName name="BO01FBE2C5C6764621A99A5777E8658B7B" hidden="1">#REF!</definedName>
    <definedName name="BO01FD2429870F482C9B03CFD549D5BCE5" hidden="1">#REF!</definedName>
    <definedName name="BO01FDCFF444EB4408825C1F577F57BA1C" hidden="1">#REF!</definedName>
    <definedName name="BO021A527ABE95490F92A27778211A0D75" hidden="1">#REF!</definedName>
    <definedName name="BO02223E39AF0D48CDAF67872FB1E9FE95" hidden="1">#REF!</definedName>
    <definedName name="BO022E0786494245938810D926DB61066C" hidden="1">#REF!</definedName>
    <definedName name="BO023530563785435FB35667FB8B999862" hidden="1">#REF!</definedName>
    <definedName name="BO023B0CAF1B5E4D77A81C0D5E7F2122DD" hidden="1">#REF!</definedName>
    <definedName name="BO026596BB046F44E98EDAEAEF979C9C29" hidden="1">#REF!</definedName>
    <definedName name="BO026ECFEE42DC424399FD79590119B626" hidden="1">#REF!</definedName>
    <definedName name="BO0279B65098C94D4CB2DA55F9BD763171" hidden="1">#REF!</definedName>
    <definedName name="BO0297F1F1B6F148B28F78D162FADB649C" hidden="1">#REF!</definedName>
    <definedName name="BO02A20C06E21A4E809A001177C77A6156" hidden="1">#REF!</definedName>
    <definedName name="BO02AB4B2AD3B34C58BB958249107B5459" hidden="1">#REF!</definedName>
    <definedName name="BO02B108DCE425469CB6E3904122F80B05" hidden="1">#REF!</definedName>
    <definedName name="BO02B612639B174C40A1C74F6DAA94FE05" hidden="1">#REF!</definedName>
    <definedName name="BO02BB8180F6694A0280A40FC2A8C5BFC3" hidden="1">#REF!</definedName>
    <definedName name="BO02CE7CF581EB4F7C8A168A09DA81B1AF" hidden="1">#REF!</definedName>
    <definedName name="BO02D0D3B8C6BF4C498FA690D4D5825807" hidden="1">#REF!</definedName>
    <definedName name="BO02D67ECE39E641F0B2194A7A24D97636" hidden="1">#REF!</definedName>
    <definedName name="BO02EBC86846924D469D6F4FF083135D17" hidden="1">#REF!</definedName>
    <definedName name="BO02F78D03EBF946E2BC0AD3C9B1207F8D" hidden="1">#REF!</definedName>
    <definedName name="BO030316DE55944EF3B04CB8ED9887CE95" hidden="1">#REF!</definedName>
    <definedName name="BO03123932EC644B6AA533D9772BBB2669" hidden="1">#REF!</definedName>
    <definedName name="BO03126D9EDD4E48E98575D5402830D65F" hidden="1">#REF!</definedName>
    <definedName name="BO0315301D99474248925F5D23C740FD91" hidden="1">#REF!</definedName>
    <definedName name="BO0318BB37F2834F1A9091FD620AE444BE" hidden="1">#REF!</definedName>
    <definedName name="BO031AC93FDF434B39A72F6A63CCB02986" hidden="1">#REF!</definedName>
    <definedName name="BO0341714AEFA241D792F405AA1A26278D" hidden="1">#REF!</definedName>
    <definedName name="BO034E33AEFFC8402A9959B4B92345C460" hidden="1">#REF!</definedName>
    <definedName name="BO0355F796E6FF4F6FBF04119DD700DB10" hidden="1">#REF!</definedName>
    <definedName name="BO03579158E1E640248DA7412FF8187EEF" hidden="1">#REF!</definedName>
    <definedName name="BO03681AD343A648139623F1A863FB04E9" hidden="1">#REF!</definedName>
    <definedName name="BO036BEB7591CF4FAC80CB6E455F1428E4" hidden="1">#REF!</definedName>
    <definedName name="BO0380B0E8DF1443BE871FB7743D69FEBA" hidden="1">#REF!</definedName>
    <definedName name="BO0383A1EBD8AC4156B0FA1A8C11EB88E0" hidden="1">#REF!</definedName>
    <definedName name="BO038AB85867D94078B093E04F3FAC9612" hidden="1">#REF!</definedName>
    <definedName name="BO0392B1E4BF3A42C9A4D6C4F6D8A3C230" hidden="1">#REF!</definedName>
    <definedName name="BO03A5DE3B6F644AF49FB2EF7FA2C0E57E" hidden="1">#REF!</definedName>
    <definedName name="BO03AD62307EF34FD1B9FAFAB05C0B1B9A" hidden="1">#REF!</definedName>
    <definedName name="BO03B01ECDC37A4BCFAD269CA8F25A8F17" hidden="1">#REF!</definedName>
    <definedName name="BO03B85B03ED5D4186ADE1E98835D8A875" hidden="1">#REF!</definedName>
    <definedName name="BO03BB5853E9BE4BCEBBA16C2F2971746E" hidden="1">#REF!</definedName>
    <definedName name="BO03D3C71F0A2F452190BD06B1ADCB8A71" hidden="1">#REF!</definedName>
    <definedName name="BO03D66BE1D5A54C96A5DAF5DF6F3A64E4" hidden="1">#REF!</definedName>
    <definedName name="BO03D676909F024DBA8A9C56F8E9F37943" hidden="1">#REF!</definedName>
    <definedName name="BO03DA4B276DB44ED5B4A308041553A50C" hidden="1">#REF!</definedName>
    <definedName name="BO03E006FC17A942BDB4D909A0641FF578" hidden="1">#REF!</definedName>
    <definedName name="BO03EFFF1226A14544BDA795607063AF09" hidden="1">#REF!</definedName>
    <definedName name="BO03F57036449540B3B6956CC76DF5AFEE" hidden="1">#REF!</definedName>
    <definedName name="BO04083BC4A2A44BCCB1F4C7145AA1483C" hidden="1">#REF!</definedName>
    <definedName name="BO041B9B9C4D9D41B3A5D0E80A5FED613A" hidden="1">#REF!</definedName>
    <definedName name="BO041C3E80191A42CDBFA9044387348DCA" hidden="1">#REF!</definedName>
    <definedName name="BO0429F38193174517B6376113648F7942" hidden="1">#REF!</definedName>
    <definedName name="BO04388003E6FE44FA90D9609E460148C7" hidden="1">#REF!</definedName>
    <definedName name="BO043DAFD94D9A4758BC2B4FADF0356501" hidden="1">#REF!</definedName>
    <definedName name="BO0457C599158E4F67A8C310889CACCB5D" hidden="1">#REF!</definedName>
    <definedName name="BO04676D49F9264F6F94DA377F6A1DA231" hidden="1">#REF!</definedName>
    <definedName name="BO0468CFD4EC76449CBC74628727ABD897" hidden="1">#REF!</definedName>
    <definedName name="BO047F5D18C4654EEAB66564FDCC4D8A08" hidden="1">#REF!</definedName>
    <definedName name="BO04838262F8F9438787CD416EC1864A82" hidden="1">#REF!</definedName>
    <definedName name="BO0491074B76DF4751B86489B0C51BE094" hidden="1">#REF!</definedName>
    <definedName name="BO04939DB9AF6645259AA0B15033319F00" hidden="1">#REF!</definedName>
    <definedName name="BO04A0863AC4EE42CC9B9630D29DBBC4E9" hidden="1">#REF!</definedName>
    <definedName name="BO04A835137841499287E7AEB85F962AE4" hidden="1">#REF!</definedName>
    <definedName name="BO04B24E1751AE4CB48297745BA9E67390" hidden="1">#REF!</definedName>
    <definedName name="BO04BB8C4B58474C36BD7FC1C0C6EB7F0F" hidden="1">#REF!</definedName>
    <definedName name="BO04C15CBB715948BCBC0B8EE2478F997A" hidden="1">#REF!</definedName>
    <definedName name="BO04E18EA4539B49D4A21C616E969EE7E5" hidden="1">#REF!</definedName>
    <definedName name="BO04E3335641D64DF6B0E28759D5F7260F" hidden="1">#REF!</definedName>
    <definedName name="BO04F371B7B09C4FF196BEF312CED9D17E" hidden="1">#REF!</definedName>
    <definedName name="BO04FF56670EA4432F91A6299464A96363" hidden="1">#REF!</definedName>
    <definedName name="BO05095C22172C436F891E25B1C5300F5F" hidden="1">#REF!</definedName>
    <definedName name="BO051088C197264509A79DBC56E3ECD783" hidden="1">#REF!</definedName>
    <definedName name="BO0510BC12579E4C348E4F8F7D49C4C026" hidden="1">#REF!</definedName>
    <definedName name="BO05404129A0044729AAF941F2BC5E5C7E" hidden="1">#REF!</definedName>
    <definedName name="BO05418EB3E2AD4672890325DD3B5933F2" hidden="1">#REF!</definedName>
    <definedName name="BO05430840E9434D4A9988CE09078135D8" hidden="1">#REF!</definedName>
    <definedName name="BO054820E72B6A4B1997BD1272F1DA7147" hidden="1">#REF!</definedName>
    <definedName name="BO055EDD8F3305462CB94BA79BFA585722" hidden="1">#REF!</definedName>
    <definedName name="BO0573BF6826F34185B67250F8ECDC2B73" hidden="1">#REF!</definedName>
    <definedName name="BO05769F96554C431A99A0D7490C99F12B" hidden="1">#REF!</definedName>
    <definedName name="BO0579C51B985048D1B9032C002144632D" hidden="1">#REF!</definedName>
    <definedName name="BO057EE42724364EEE93B1005E073A8058" hidden="1">#REF!</definedName>
    <definedName name="BO058511F0D45E40FE926E46BBBBF785E5" hidden="1">#REF!</definedName>
    <definedName name="BO058F673E11BF48D48F2E9408483E0CAA" hidden="1">#REF!</definedName>
    <definedName name="BO05A6A17011C44FC88033793CDDBBAE98" hidden="1">#REF!</definedName>
    <definedName name="BO05A790678551471795EAD040F630B538" hidden="1">#REF!</definedName>
    <definedName name="BO05AC77E29F2B473C87718938A9FEAC10" hidden="1">#REF!</definedName>
    <definedName name="BO05BF26E6585F4659BECF2D8E752A90FB" hidden="1">#REF!</definedName>
    <definedName name="BO05CBDE8F6A8A43C6B3344DB82919BD03" hidden="1">#REF!</definedName>
    <definedName name="BO05CC0BA2E32E41CFBD72A3C375A87354" hidden="1">#REF!</definedName>
    <definedName name="BO05D3C71ACD41445BBC3A7B705ACA10DF" hidden="1">#REF!</definedName>
    <definedName name="BO05E1B1E103E44A62B1A1127E77463B83" hidden="1">#REF!</definedName>
    <definedName name="BO05EC6A875D03484C818CB0D911AF5414" hidden="1">#REF!</definedName>
    <definedName name="BO05EC765C91614819AE5AC69341BE7844" hidden="1">#REF!</definedName>
    <definedName name="BO0602B9C4B2484176BE16AB3399543628" hidden="1">#REF!</definedName>
    <definedName name="BO060661AE3FD04194AE3BDC926CDB172C" hidden="1">#REF!</definedName>
    <definedName name="BO061047C3E6F341EB93AC1DBDD5A5D2A9" hidden="1">#REF!</definedName>
    <definedName name="BO061C2AEF6C3842788EDEFD0DD696CEA6" hidden="1">#REF!</definedName>
    <definedName name="BO06213CC21E49463DB4DCEC4882AB39C0" hidden="1">#REF!</definedName>
    <definedName name="BO0621EACE72504E7098AC3617D569F2BE" hidden="1">#REF!</definedName>
    <definedName name="BO0627CE312D4C4E159320091A1117E144" hidden="1">#REF!</definedName>
    <definedName name="BO062C82AC979C435386A0252A4342A096" hidden="1">#REF!</definedName>
    <definedName name="BO064B3CE6B27A4BE7848A02BCE7F46723" hidden="1">#REF!</definedName>
    <definedName name="BO064E98693C184B3B85A8321573E70087" hidden="1">#REF!</definedName>
    <definedName name="BO0652F7DAD8E34D83A9845BD351D45AFD" hidden="1">#REF!</definedName>
    <definedName name="BO0662E721CC36409E88130B9A9496B9B4" hidden="1">#REF!</definedName>
    <definedName name="BO0691BE9720764B3D9C193EA59C8FD568" hidden="1">#REF!</definedName>
    <definedName name="BO069478A4E6294B73BDD9C33E6A7D681B" hidden="1">#REF!</definedName>
    <definedName name="BO0699936A02C044EF94FC6DFAACF1454D" hidden="1">#REF!</definedName>
    <definedName name="BO06A6AA6882884D89B57E6F3F1A216B50" hidden="1">#REF!</definedName>
    <definedName name="BO06A74BD457664F3DA2FFE967E50EE3F9" hidden="1">#REF!</definedName>
    <definedName name="BO06B29391A41341458C690A8D7ED8BEA5" hidden="1">#REF!</definedName>
    <definedName name="BO06B307D793184F44AD8AC9D4EB9D674B" hidden="1">#REF!</definedName>
    <definedName name="BO06B8F1D5F28C4BB78A516801CFB54E67" hidden="1">#REF!</definedName>
    <definedName name="BO06BC49A01CC84324A0DC4A2CCF80E4B9" hidden="1">#REF!</definedName>
    <definedName name="BO06CFBA426FB842BAA9E8C2AC4BE319AD" hidden="1">#REF!</definedName>
    <definedName name="BO06E197CFADC3452EA8FA6F83F9D0FB06" hidden="1">#REF!</definedName>
    <definedName name="BO06EFCE400C7542C5BC6DC5B249BF2733" hidden="1">#REF!</definedName>
    <definedName name="BO06F5B7A384DD457398170667F0B8BCB9" hidden="1">#REF!</definedName>
    <definedName name="BO06F794B83A95444EBCE6ED2508C15F44" hidden="1">#REF!</definedName>
    <definedName name="BO06FB79DF53634143A5153AB6A68F2ECD" hidden="1">#REF!</definedName>
    <definedName name="BO0712BFC604E548F991465C730247F28B" hidden="1">#REF!</definedName>
    <definedName name="BO0714FE90D2CE4AA8B09FA81A2AAE232C" hidden="1">#REF!</definedName>
    <definedName name="BO07177D00C8AB41CAA222CD06C0E6FBB5" hidden="1">#REF!</definedName>
    <definedName name="BO071B5F418593425BA8EF1E954D58390B" hidden="1">#REF!</definedName>
    <definedName name="BO072A0BCBD90545E084402DA01E730FAF" hidden="1">#REF!</definedName>
    <definedName name="BO0730D9D3B6004E6BB246286FE9765C5B" hidden="1">#REF!</definedName>
    <definedName name="BO07310451F688426CBC01AA81C8174D2B" hidden="1">#REF!</definedName>
    <definedName name="BO0734211C40B944AB83DC9F20E20B79BE" hidden="1">#REF!</definedName>
    <definedName name="BO0747D4182FE84C1CA38B6AED52856945" hidden="1">#REF!</definedName>
    <definedName name="BO0755D4E9EC5C4DE3AB431EC136851126" hidden="1">#REF!</definedName>
    <definedName name="BO0758208D686247EF9B83314A8462DB14" hidden="1">#REF!</definedName>
    <definedName name="BO076253119AF34B7DBAF7F126478475C7" hidden="1">#REF!</definedName>
    <definedName name="BO076504EBCFA64682AB186CF936F0D4C0" hidden="1">#REF!</definedName>
    <definedName name="BO07678864879C40D9BC91A50208708858" hidden="1">#REF!</definedName>
    <definedName name="BO0771D7E413D14E16A09B5D0A54E55ADA" hidden="1">#REF!</definedName>
    <definedName name="BO0778D2B5E65641F6BB72ECD55093DB97" hidden="1">#REF!</definedName>
    <definedName name="BO077AD41F65F445E6B1762DA28CB515B1" hidden="1">#REF!</definedName>
    <definedName name="BO078EC3878E644276935FB20D852A9AE9" hidden="1">#REF!</definedName>
    <definedName name="BO07A0CA130E224F70B455AB2D464A0110" hidden="1">#REF!</definedName>
    <definedName name="BO07A1C3A06F94485EBB85D10FA60FC5B0" hidden="1">#REF!</definedName>
    <definedName name="BO07ACEA205E0E414FAF5C1D3C433616A4" hidden="1">#REF!</definedName>
    <definedName name="BO07B16ECA85A340128929E125F597D865" hidden="1">#REF!</definedName>
    <definedName name="BO07BE9637E7D84FF9BE2F820CA0F53519" hidden="1">#REF!</definedName>
    <definedName name="BO07C69CE271BF4A238A2781BFDB41257E" hidden="1">#REF!</definedName>
    <definedName name="BO07D82B139BA74592894F67ECE89C994E" hidden="1">#REF!</definedName>
    <definedName name="BO07D9150F0A544DEC9A0BEEAB15F5A5DE" hidden="1">#REF!</definedName>
    <definedName name="BO07F11065F5FC49A89586FDA382692E25" hidden="1">#REF!</definedName>
    <definedName name="BO0809DFDB8B4148EC86505778D8E8F0EB" hidden="1">#REF!</definedName>
    <definedName name="BO0813995B97FE44D8A0D956356B440FF5" hidden="1">#REF!</definedName>
    <definedName name="BO08212FE71279474C93EB1BEC47D7F2A4" hidden="1">#REF!</definedName>
    <definedName name="BO082763345FC4451DBA8235469991BB0E" hidden="1">#REF!</definedName>
    <definedName name="BO082895E2565F494886AED00C309A66F6" hidden="1">#REF!</definedName>
    <definedName name="BO08352045C656430F919FFD30EC4E325C" hidden="1">#REF!</definedName>
    <definedName name="BO0837B06E34CF422AA01FEAE5BF16FE4C" hidden="1">#REF!</definedName>
    <definedName name="BO0870139294BE401B8E96D2BD06629BFF" hidden="1">#REF!</definedName>
    <definedName name="BO087978D4A4CC4CC3A221ECB90837A478" hidden="1">#REF!</definedName>
    <definedName name="BO087C48109A8A4840853ABD54A75BCEEA" hidden="1">#REF!</definedName>
    <definedName name="BO089986A5F3654D289F6B34521D2C376C" hidden="1">#REF!</definedName>
    <definedName name="BO089FD5CC49D541BCB2EFF924B2954B59" hidden="1">#REF!</definedName>
    <definedName name="BO08A7121D46F244CF9ED71096BF860F3A" hidden="1">#REF!</definedName>
    <definedName name="BO08AC2AF1F33D4347B80BDCF149929706" hidden="1">#REF!</definedName>
    <definedName name="BO08B97EBB444C4475B1E035818EDA3E2E" hidden="1">#REF!</definedName>
    <definedName name="BO08BC425768D3400EAC01D32ACC5BE265" hidden="1">#REF!</definedName>
    <definedName name="BO08BF111032EC4E11B4BD6D2FE6243EEF" hidden="1">#REF!</definedName>
    <definedName name="BO08C3DB63B3094F9C8AB1EC49CCE3C3D9" hidden="1">#REF!</definedName>
    <definedName name="BO08C79ED31D81424B83416D153071C2F3" hidden="1">#REF!</definedName>
    <definedName name="BO08C7C0AF184A48F39ACD45F2FD5D6FC9" hidden="1">#REF!</definedName>
    <definedName name="BO08D8EDB705A84A6F8F45539B102CF701" hidden="1">#REF!</definedName>
    <definedName name="BO08EFB2F3870A41C188C2B084FE47E8D8" hidden="1">#REF!</definedName>
    <definedName name="BO08F3561EFDB84C999F0AA39995AA3ECC" hidden="1">#REF!</definedName>
    <definedName name="BO08F76036C473432CBC706B4EE87107BD" hidden="1">#REF!</definedName>
    <definedName name="BO0906CFADD27845E38E6967D39BA34481" hidden="1">#REF!</definedName>
    <definedName name="BO090ADADB96F343ABB6C2DE72DD8CDBC6" hidden="1">#REF!</definedName>
    <definedName name="BO090BD0AF51B948AAA9616B7278E9CD5D" hidden="1">#REF!</definedName>
    <definedName name="BO090CC67D609148E2894D1E6B05F676BB" hidden="1">#REF!</definedName>
    <definedName name="BO0913EA88952A4E14AF5A133E5EAA27B1" hidden="1">#REF!</definedName>
    <definedName name="BO091E163282E9407381E5D8B76A4B257F" hidden="1">#REF!</definedName>
    <definedName name="BO091EDC5B8A6B4990B0E129582D26E069" hidden="1">#REF!</definedName>
    <definedName name="BO09240995FFF04001A36B79E2966ADD5F" hidden="1">#REF!</definedName>
    <definedName name="BO092437E02919409590D0F3AE7D7DC2D9" hidden="1">#REF!</definedName>
    <definedName name="BO0924F2B5AC75440CA949CE26B56351DB" hidden="1">#REF!</definedName>
    <definedName name="BO092F7452A8AE490DA9BBE5DDDD647B49" hidden="1">#REF!</definedName>
    <definedName name="BO09310BCCFEB14366B0C49E8F0603DED3" hidden="1">#REF!</definedName>
    <definedName name="BO093DE129DAA24C2CAF81EBA27B2B3B08" hidden="1">#REF!</definedName>
    <definedName name="BO0944C65316E340968773D30F0F99D600" hidden="1">#REF!</definedName>
    <definedName name="BO09541110559D468FB26FC398A40E4399" hidden="1">#REF!</definedName>
    <definedName name="BO0956DC82ED94428185AD5D6B6E8BB8FD" hidden="1">#REF!</definedName>
    <definedName name="BO0971990AC47945A0979AC6F204E082B4" hidden="1">#REF!</definedName>
    <definedName name="BO0976599A84244FEC96EF04F645A8560F" hidden="1">#REF!</definedName>
    <definedName name="BO098EB003B49E448088B8C890C339BC0E" hidden="1">#REF!</definedName>
    <definedName name="BO09918F76DBA54156832C79E9B068D310" hidden="1">#REF!</definedName>
    <definedName name="BO099773F4138544B596ABB9D2A3F0A947" hidden="1">#REF!</definedName>
    <definedName name="BO099B18DECEF54324A45ED703550C06FF" hidden="1">#REF!</definedName>
    <definedName name="BO099F7970DFB84A28BF938D2388A6F286" hidden="1">#REF!</definedName>
    <definedName name="BO09A8BD0385D549E29907AB7B76CCE5F6" hidden="1">#REF!</definedName>
    <definedName name="BO09B3A476DE294446A86DBD33A9C04C32" hidden="1">#REF!</definedName>
    <definedName name="BO09B5FC89C613441FB87468DEA51B3CDD" hidden="1">#REF!</definedName>
    <definedName name="BO09BAC245FD654D94856A0931D1BF2FF6" hidden="1">#REF!</definedName>
    <definedName name="BO09C567D8CEC248E49AFED841ED0644A1" hidden="1">#REF!</definedName>
    <definedName name="BO09C6915727944EE085F667D98EF01765" hidden="1">#REF!</definedName>
    <definedName name="BO09D24346219F48DA8D1495B70623191D" hidden="1">#REF!</definedName>
    <definedName name="BO09D4C3AD6302477599011D02BB36093B" hidden="1">#REF!</definedName>
    <definedName name="BO09DF247A7883489AB67A222689541C47" hidden="1">#REF!</definedName>
    <definedName name="BO09E2EA339C344B3B8603B420DBDAC23D" hidden="1">#REF!</definedName>
    <definedName name="BO09E82485C943457095D6E88390CF5CEF" hidden="1">#REF!</definedName>
    <definedName name="BO0A00E9034DDD4693B53002D2B8A33FE8" hidden="1">#REF!</definedName>
    <definedName name="BO0A05A028B83E4C0980D01042ABB7BAD7" hidden="1">#REF!</definedName>
    <definedName name="BO0A0AA543345241768F495BD41AC36935" hidden="1">#REF!</definedName>
    <definedName name="BO0A147850BBD14CFFADC1CD30662DE097" hidden="1">#REF!</definedName>
    <definedName name="BO0A15F490CAE04377A3F68494DBE48B28" hidden="1">#REF!</definedName>
    <definedName name="BO0A171CB2E79849F99716E03732624320" hidden="1">#REF!</definedName>
    <definedName name="BO0A1C76352A4E4B5E9C10EF7AEC18A3BC" hidden="1">#REF!</definedName>
    <definedName name="BO0A29D31064FA4A6490511F04EF5A74EB" hidden="1">#REF!</definedName>
    <definedName name="BO0A41E5DAEAB44F65B9ED016C82E3DE0B" hidden="1">#REF!</definedName>
    <definedName name="BO0A4830B777CE41CA8C28398C6DFFB289" hidden="1">#REF!</definedName>
    <definedName name="BO0A4C7DD9C33B4AD6A0ED666E09F4AF3B" hidden="1">#REF!</definedName>
    <definedName name="BO0A56C7AC45A94D29BE13B399B293BB96" hidden="1">#REF!</definedName>
    <definedName name="BO0A58CE6DB1EE485A9A62DC4D58A6209D" hidden="1">#REF!</definedName>
    <definedName name="BO0A59E5F091504030AF58E86919B58FE5" hidden="1">#REF!</definedName>
    <definedName name="BO0A5D073C2B8B47EBAFE9C3C944BB3627" hidden="1">#REF!</definedName>
    <definedName name="BO0A7ADFF100454817ADA3875D51DDDABF" hidden="1">#REF!</definedName>
    <definedName name="BO0A800B44A66E4478B1843098F7F18280" hidden="1">#REF!</definedName>
    <definedName name="BO0A8A8FD5D50B489DA1766DBA25758794" hidden="1">#REF!</definedName>
    <definedName name="BO0A955FA63B974F429BC66B242C626C5C" hidden="1">#REF!</definedName>
    <definedName name="BO0A9D58E5B92B45BDA56C7B536B1200B0" hidden="1">#REF!</definedName>
    <definedName name="BO0A9DCB29562F4F8B96F7A7215C696556" hidden="1">#REF!</definedName>
    <definedName name="BO0AAC262441AC4774A0CA292570209CD8" hidden="1">#REF!</definedName>
    <definedName name="BO0ABBC74E0CCC4082AC46FE2FE128B7AD" hidden="1">#REF!</definedName>
    <definedName name="BO0ABFA060FA5B454192378F8D8CE4088D" hidden="1">#REF!</definedName>
    <definedName name="BO0ACB48B537944A7CB60F1EE3AD900FB0" hidden="1">#REF!</definedName>
    <definedName name="BO0ACD7A89B5D24B05B65EE86BA7EC3D9E" hidden="1">#REF!</definedName>
    <definedName name="BO0AD39EFEAC084B1AA75950082EEFBD67" hidden="1">#REF!</definedName>
    <definedName name="BO0AD8FED6623840F0A58F35BFD38850BC" hidden="1">#REF!</definedName>
    <definedName name="BO0ADC13BF2BED482ABD931DB6FCB0145F" hidden="1">#REF!</definedName>
    <definedName name="BO0AE99D9DE750439EBE0E8F704A7E439C" hidden="1">#REF!</definedName>
    <definedName name="BO0AF4E37DF8C8473FA17093B2A283B6B0" hidden="1">#REF!</definedName>
    <definedName name="BO0AFAAD9FDA5A4D16A5DF9E1D145163AD" hidden="1">#REF!</definedName>
    <definedName name="BO0B07E88F76444ECC9A7FCF2FD76B913C" hidden="1">#REF!</definedName>
    <definedName name="BO0B0E071E71E64B76A85F26D09D03B14F" hidden="1">#REF!</definedName>
    <definedName name="BO0B132A8847504D918ADAD018EC92F4D5" hidden="1">#REF!</definedName>
    <definedName name="BO0B14DBB7C2D242A897651034C15C136A" hidden="1">#REF!</definedName>
    <definedName name="BO0B222A7563A24697825392025438EFEF" hidden="1">#REF!</definedName>
    <definedName name="BO0B2B4F1BC01D4635B444AC5B0234E525" hidden="1">#REF!</definedName>
    <definedName name="BO0B32A9CB776341AE855CCEA764DFC1F5" hidden="1">#REF!</definedName>
    <definedName name="BO0B36E7957DD54FD1890D356948D10347" hidden="1">#REF!</definedName>
    <definedName name="BO0B3996E9B86A4B439077448EC0407840" hidden="1">#REF!</definedName>
    <definedName name="BO0B4206E2C1114266A7B4A997BA72F295" hidden="1">#REF!</definedName>
    <definedName name="BO0B46A1685FC04E22A6FE3318B23A7068" hidden="1">#REF!</definedName>
    <definedName name="BO0B48832C5B784099BAF10364C3B19D25" hidden="1">#REF!</definedName>
    <definedName name="BO0B5138623EB2441FBFC573D688CDEB29" hidden="1">#REF!</definedName>
    <definedName name="BO0B57365B1506412EB522428DDD0D9108" hidden="1">#REF!</definedName>
    <definedName name="BO0B5BE023A5CB433A87828F45172B2908" hidden="1">#REF!</definedName>
    <definedName name="BO0B6AAD0F06D141758126C8B245F777E8" hidden="1">#REF!</definedName>
    <definedName name="BO0B6DF3F4861D417AB9328B5D6A5A2654" hidden="1">#REF!</definedName>
    <definedName name="BO0B9C5C571810433DA86A5ABB9D3BD624" hidden="1">#REF!</definedName>
    <definedName name="BO0BB6E282EADC4E9583692E84C7B0E0D1" hidden="1">#REF!</definedName>
    <definedName name="BO0BBD5D4A5773482E9D09760CE8124D92" hidden="1">#REF!</definedName>
    <definedName name="BO0BBE358C9B9544459687D5BBF1F0E214" hidden="1">#REF!</definedName>
    <definedName name="BO0BC0178649BF4B02A2EB99F84DD46135" hidden="1">#REF!</definedName>
    <definedName name="BO0BC4013C22F244F990653E9F319E6543" hidden="1">#REF!</definedName>
    <definedName name="BO0BC959A8CA374AABB464875401FB077C" hidden="1">#REF!</definedName>
    <definedName name="BO0BE51AED8BDF404D97214036D435A38B" hidden="1">#REF!</definedName>
    <definedName name="BO0BE97B6711D544578405BB72DB2C1369" hidden="1">#REF!</definedName>
    <definedName name="BO0BF20D97648B4145904F364C2709495A" hidden="1">#REF!</definedName>
    <definedName name="BO0BF4BB683F95440FB6CBB461743B907B" hidden="1">#REF!</definedName>
    <definedName name="BO0BF8D1CE4B064DDCB3A91090A86B8B90" hidden="1">#REF!</definedName>
    <definedName name="BO0C09CAC8979E40508824C1F00046D83F" hidden="1">#REF!</definedName>
    <definedName name="BO0C10630ABF824A5C9629742190019C52" hidden="1">#REF!</definedName>
    <definedName name="BO0C124CD2A4444260A5DA5C940CDEDD6C" hidden="1">#REF!</definedName>
    <definedName name="BO0C1BD31F902543929B37639F43F01147" hidden="1">#REF!</definedName>
    <definedName name="BO0C1CC5339BF14D83B4BDF482DF7A619E" hidden="1">#REF!</definedName>
    <definedName name="BO0C1DF6871814471F88346E971BAC6529" hidden="1">#REF!</definedName>
    <definedName name="BO0C1E05AA51484322BA628ED4D9AC783E" hidden="1">#REF!</definedName>
    <definedName name="BO0C20F67456F74F23AE8DC8084962107A" hidden="1">#REF!</definedName>
    <definedName name="BO0C26135E109F410982E6C848BA96C8A6" hidden="1">#REF!</definedName>
    <definedName name="BO0C38D7A2DB38427AA4AB839CA8211F71" hidden="1">#REF!</definedName>
    <definedName name="BO0C3C6C2F8A5346A4A55307EE7E85535A" hidden="1">#REF!</definedName>
    <definedName name="BO0C50E40FCF734F77AF0389A743F30197" hidden="1">#REF!</definedName>
    <definedName name="BO0C5592E352564A2696EED3704DCF8907" hidden="1">#REF!</definedName>
    <definedName name="BO0C72D68E46DF4BDFB6F8F847EF9654FA" hidden="1">#REF!</definedName>
    <definedName name="BO0C7D3D07791B48AC8B81EF61626A48EE" hidden="1">#REF!</definedName>
    <definedName name="BO0C81334EF16B4CDCA4DE2A530630B11A" hidden="1">#REF!</definedName>
    <definedName name="BO0C83426638584939831F5A6FD9271B88" hidden="1">#REF!</definedName>
    <definedName name="BO0C93792C859A4726B9F02423A4AF5600" hidden="1">#REF!</definedName>
    <definedName name="BO0C9C9D8AC732465C8B009B31B3CACD6C" hidden="1">#REF!</definedName>
    <definedName name="BO0CA7D01AB1CC4C4984CDF99C1F7D4C18" hidden="1">#REF!</definedName>
    <definedName name="BO0CB5E30E59634D8A98F6DD80CAB50D10" hidden="1">#REF!</definedName>
    <definedName name="BO0CB90D69E1B94433B4B867974E9D002F" hidden="1">#REF!</definedName>
    <definedName name="BO0CBE629A7FA84A7CA0683D87D4E97880" hidden="1">#REF!</definedName>
    <definedName name="BO0CC4D58EB1E84D20ABAF7E03D6EAC11C" hidden="1">#REF!</definedName>
    <definedName name="BO0CCDA3E7D7044F0A8FBECDAC8A232CF3" hidden="1">#REF!</definedName>
    <definedName name="BO0CDF742ECA724DE4ACEC7EF38AC840B8" hidden="1">#REF!</definedName>
    <definedName name="BO0CE139FCDECE47568555364A529107EB" hidden="1">#REF!</definedName>
    <definedName name="BO0CE4727527C8487B98955272B4CF5B93" hidden="1">#REF!</definedName>
    <definedName name="BO0CE82C8C9FCA4BAC8A260AC3C2E242F2" hidden="1">#REF!</definedName>
    <definedName name="BO0CF6653FB83C4D8297F93F97C9F904AA" hidden="1">#REF!</definedName>
    <definedName name="BO0CF971C5C1A94B27AFF8C513E6376E77" hidden="1">#REF!</definedName>
    <definedName name="BO0CFDEAA62C5A4CEABC1F46FECC3FCD81" hidden="1">#REF!</definedName>
    <definedName name="BO0D14B015DDCD480B81DA0D0C4726D99C" hidden="1">#REF!</definedName>
    <definedName name="BO0D182A8739A14B4F927EAF1A589B44B8" hidden="1">#REF!</definedName>
    <definedName name="BO0D1A1AF1AED546D2B8FF89CB8DFD5AA1" hidden="1">#REF!</definedName>
    <definedName name="BO0D1E90924B464EC7BE190A3816E51FF6" hidden="1">#REF!</definedName>
    <definedName name="BO0D2B09E5E4184C1FA7CECD31512D4618" hidden="1">#REF!</definedName>
    <definedName name="BO0D2B286586874D7091B6E2774B9D3F08" hidden="1">#REF!</definedName>
    <definedName name="BO0D2D07F2B3954026B14EC932480D7DAE" hidden="1">#REF!</definedName>
    <definedName name="BO0D37C438E69B4C14937611DE781D9B57" hidden="1">#REF!</definedName>
    <definedName name="BO0D3F4755FD4B42F8911F7795887ABE5D" hidden="1">#REF!</definedName>
    <definedName name="BO0D40D306B58946FFB358B3E11B080E42" hidden="1">#REF!</definedName>
    <definedName name="BO0D543404B43E49DBB27E789A3874CF73" hidden="1">#REF!</definedName>
    <definedName name="BO0D68346E123C4ACF8CAD5DAC9EA8C54E" hidden="1">#REF!</definedName>
    <definedName name="BO0D7369AC732B492C901B04BE28F86BC0" hidden="1">#REF!</definedName>
    <definedName name="BO0D88367745C9455C97FE23ADCF0A0774" hidden="1">#REF!</definedName>
    <definedName name="BO0D9403EB35BD4C3BBAFD474611DC4391" hidden="1">#REF!</definedName>
    <definedName name="BO0D99D940FD004584A6FD5AC96CEFDB03" hidden="1">#REF!</definedName>
    <definedName name="BO0D9BC6241D064FE58729C42E43F1FA96" hidden="1">#REF!</definedName>
    <definedName name="BO0DA61F8A91C94956B06269A1C13BDB13" hidden="1">#REF!</definedName>
    <definedName name="BO0DAD0508B1934F18A060144C59C1B442" hidden="1">#REF!</definedName>
    <definedName name="BO0DB92C7CAAD44D8B8014EE9C7814B554" hidden="1">#REF!</definedName>
    <definedName name="BO0DC09EEF940C4D15BA90EB0F2E5C06AE" hidden="1">#REF!</definedName>
    <definedName name="BO0DC44145EF66414AB8F982392792E3E2" hidden="1">#REF!</definedName>
    <definedName name="BO0DC625D0AC984537B4D10150F65D3B6C" hidden="1">#REF!</definedName>
    <definedName name="BO0DC7280148C74D27947723B7809B46A9" hidden="1">#REF!</definedName>
    <definedName name="BO0DD84A2C133849BBAC535469EB0169F5" hidden="1">#REF!</definedName>
    <definedName name="BO0DEB6F85B5CA4702AA6EE0F3CE77FCCF" hidden="1">#REF!</definedName>
    <definedName name="BO0E0139BB11AA432CB08821AD25CACA78" hidden="1">#REF!</definedName>
    <definedName name="BO0E131EF2A13547EC8A83ED63F422738A" hidden="1">#REF!</definedName>
    <definedName name="BO0E13E942EB69415391E11E82686B3444" hidden="1">#REF!</definedName>
    <definedName name="BO0E297152BC984B0A9AB9D2414D25DD3F" hidden="1">#REF!</definedName>
    <definedName name="BO0E2E5194D6CD49F28785FC8535B371E6" hidden="1">#REF!</definedName>
    <definedName name="BO0E35136BD5AB46938492B39B6186896B" hidden="1">#REF!</definedName>
    <definedName name="BO0E3DF123E5384A9B998832CEDCB97043" hidden="1">#REF!</definedName>
    <definedName name="BO0E401ADF242746E49E3F9C4CFA1628F7" hidden="1">#REF!</definedName>
    <definedName name="BO0E48747101DF447299078FA3F1C3AEAA" hidden="1">#REF!</definedName>
    <definedName name="BO0E660F02D0914D3C8B203E2E8E42245F" hidden="1">#REF!</definedName>
    <definedName name="BO0E6969511F6941AA972D645BBD8ADCDD" hidden="1">#REF!</definedName>
    <definedName name="BO0E6FB39A5FCE4555AC0F9256BB8537B8" hidden="1">#REF!</definedName>
    <definedName name="BO0E79355824654AF2AF08AABF38440C7F" hidden="1">#REF!</definedName>
    <definedName name="BO0E886829BE19442F823A588AA89C1C70" hidden="1">#REF!</definedName>
    <definedName name="BO0E9515F26ACE4A3A91C54C98BA60FAC3" hidden="1">#REF!</definedName>
    <definedName name="BO0E9AF300B4714C34A238536B4C502941" hidden="1">#REF!</definedName>
    <definedName name="BO0EA15E75860D4D028E661AC1EC835B10" hidden="1">#REF!</definedName>
    <definedName name="BO0EA513F781C348239912D97E0B9B93D9" hidden="1">#REF!</definedName>
    <definedName name="BO0EAF66E3D2A94CE4BE05E0EACD6D6BAB" hidden="1">#REF!</definedName>
    <definedName name="BO0EB017D82AE147EB85DF9638FCCD7219" hidden="1">#REF!</definedName>
    <definedName name="BO0EB6412C2EF245C6AC7824C153A1D76A" hidden="1">#REF!</definedName>
    <definedName name="BO0EB8BB415DD64BF586F5CB5BCA651167" hidden="1">#REF!</definedName>
    <definedName name="BO0EBA820AC4174AB2A382833B768C67D7" hidden="1">#REF!</definedName>
    <definedName name="BO0EC62466C3544EE8AF79BF2F45AC2765" hidden="1">#REF!</definedName>
    <definedName name="BO0EDDADE248A34E30A66727C6850CD945" hidden="1">#REF!</definedName>
    <definedName name="BO0EEC0822F6D34596A17C6908D9084D65" hidden="1">#REF!</definedName>
    <definedName name="BO0EEEB530471945A8874D05F53A46D682" hidden="1">#REF!</definedName>
    <definedName name="BO0EF1E8734EF04A7A8E523A767CC6E61D" hidden="1">#REF!</definedName>
    <definedName name="BO0EF9EC80820A498C8B07C9B1D36ECE2E" hidden="1">#REF!</definedName>
    <definedName name="BO0F03C416057A4591940D7E1D7DD72BD2" hidden="1">#REF!</definedName>
    <definedName name="BO0F054DDBD93C4178A6ACD7820A617987" hidden="1">#REF!</definedName>
    <definedName name="BO0F0A5556048346CCAA14A79C9F8F8AEE" hidden="1">#REF!</definedName>
    <definedName name="BO0F162390A39C420B990B3F23C6910DAA" hidden="1">#REF!</definedName>
    <definedName name="BO0F182339459B498F8868781366561708" hidden="1">#REF!</definedName>
    <definedName name="BO0F1F928C496C40FDA88FBB9E1336405F" hidden="1">#REF!</definedName>
    <definedName name="BO0F2280E64E7746B7A76D99DF92B7A0A7" hidden="1">#REF!</definedName>
    <definedName name="BO0F39E4859AF3462793D7B5B888E20D92" hidden="1">#REF!</definedName>
    <definedName name="BO0F3AC705E246453CAF258DDC21E7EB6D" hidden="1">#REF!</definedName>
    <definedName name="BO0F4F5E6039B44183A5895452D73F7B90" hidden="1">#REF!</definedName>
    <definedName name="BO0F51384C2D70498E8CC2490C8329AFDB" hidden="1">#REF!</definedName>
    <definedName name="BO0F5D60FF858643F7A3B28AE77332BC55" hidden="1">#REF!</definedName>
    <definedName name="BO0F5F2DB939004E3B92A1C0B2A91D3AD1" hidden="1">#REF!</definedName>
    <definedName name="BO0F648CBC69CD4B85A55A16956D55E620" hidden="1">#REF!</definedName>
    <definedName name="BO0F64C0B3BF56478794640AC15F11D608" hidden="1">#REF!</definedName>
    <definedName name="BO0F65068F348F408481F9AC56C51F706E" hidden="1">#REF!</definedName>
    <definedName name="BO0F67364009CF4C8F848BB75091A08E06" hidden="1">#REF!</definedName>
    <definedName name="BO0F6BD939968A49B784BBF421AF865AD6" hidden="1">#REF!</definedName>
    <definedName name="BO0F7908870B854264ADE010D567FE0DC0" hidden="1">#REF!</definedName>
    <definedName name="BO0F85B43283514D829A3777B320720937" hidden="1">#REF!</definedName>
    <definedName name="BO0F85C783D2A440A0986A54559CA543CC" hidden="1">#REF!</definedName>
    <definedName name="BO0F984D6AAEC845BF95443C2DFF0561DB" hidden="1">#REF!</definedName>
    <definedName name="BO0F9D1B6CE4A9457A9FA3663DA0E87AA5" hidden="1">#REF!</definedName>
    <definedName name="BO0FADFDC1C9D942B0AFD7DA880438BEF0" hidden="1">#REF!</definedName>
    <definedName name="BO0FB798896CC74B09AB328BB16FA993A4" hidden="1">#REF!</definedName>
    <definedName name="BO0FB9FADA5C33460AA398824EADC42FA3" hidden="1">#REF!</definedName>
    <definedName name="BO0FBCE23DDF7F4366B677928F4E8C5DFF" hidden="1">#REF!</definedName>
    <definedName name="BO0FC30BF7065D4CC788F2A966F2713037" hidden="1">#REF!</definedName>
    <definedName name="BO0FC9752950E8448A9B53F9FB68E84E4B" hidden="1">#REF!</definedName>
    <definedName name="BO0FD29988166E45BDBC9457BBC84338EB" hidden="1">#REF!</definedName>
    <definedName name="BO0FD84C29C984401C9FECDFAB199DA985" hidden="1">#REF!</definedName>
    <definedName name="BO0FDF069DAD8549688A6FDA0AEC8590C5" hidden="1">#REF!</definedName>
    <definedName name="BO0FE0B0E6B728408DB28E342A4339512D" hidden="1">#REF!</definedName>
    <definedName name="BO0FF0CF4B7999400A9163729FBD42ACFD" hidden="1">#REF!</definedName>
    <definedName name="BO10029BDF4746479AAFAFF3137B52444C" hidden="1">#REF!</definedName>
    <definedName name="BO100AD6DD1CAC483688CBF25355DB3E37" hidden="1">#REF!</definedName>
    <definedName name="BO101E3A4F306246D69CB3AB7CDBCA4681" hidden="1">#REF!</definedName>
    <definedName name="BO101FFF49F9C14CC69EAFEE47339F7B82" hidden="1">#REF!</definedName>
    <definedName name="BO102067BA54EE410DA064746A47332096" hidden="1">#REF!</definedName>
    <definedName name="BO102A9FAAEC1541978FE4388B99C589A9" hidden="1">#REF!</definedName>
    <definedName name="BO102E8C8B4DAB4DA1B2109E45F506AA90" hidden="1">#REF!</definedName>
    <definedName name="BO10309FD6E6964781BE1D1F492F741A0C" hidden="1">#REF!</definedName>
    <definedName name="BO103EE2AB9E1C401690B789D1E3348FA4" hidden="1">#REF!</definedName>
    <definedName name="BO1046636B44CF4A4799CB81CACD538516" hidden="1">#REF!</definedName>
    <definedName name="BO1048E752D00B4E5B8D5BD940367DDF6E" hidden="1">#REF!</definedName>
    <definedName name="BO104AAFF48AFE415CB92CAEFAAD7B2618" hidden="1">#REF!</definedName>
    <definedName name="BO104C1415F95C45DD96A22C2200C18AAF" hidden="1">#REF!</definedName>
    <definedName name="BO105997111FFC49ABBF98DAFD03552C36" hidden="1">#REF!</definedName>
    <definedName name="BO105A595F8DB64815A6145C776CCDE4DB" hidden="1">#REF!</definedName>
    <definedName name="BO105EFDF427F04C1EB4D93749BAAB2E9F" hidden="1">#REF!</definedName>
    <definedName name="BO1063C568234F43848F2E669EFA14DBD9" hidden="1">#REF!</definedName>
    <definedName name="BO1070393BCBA04AD8988BD343BF78D6D6" hidden="1">#REF!</definedName>
    <definedName name="BO1076AB72CD334FED9412A5CD505C6582" hidden="1">#REF!</definedName>
    <definedName name="BO1078672B79304F8DB1176B45FD0F19CD" hidden="1">#REF!</definedName>
    <definedName name="BO107B1D1498F74B9ABA7332F6ADA1AEBF" hidden="1">#REF!</definedName>
    <definedName name="BO10878FC3F78948548B5FDA17E07A69B7" hidden="1">#REF!</definedName>
    <definedName name="BO1087BA2AEE93471E8EE508121E2ADE3C" hidden="1">#REF!</definedName>
    <definedName name="BO108F836EF38D4BA58501FDA1CE16DA24" hidden="1">#REF!</definedName>
    <definedName name="BO109D3BC064CA485BB7CE9FAD065A23D3" hidden="1">#REF!</definedName>
    <definedName name="BO109F3EA8C7924743874D3E378487E702" hidden="1">#REF!</definedName>
    <definedName name="BO109F9157600A4F14A7537C7B838923FC" hidden="1">#REF!</definedName>
    <definedName name="BO10A564EC6BB54BD58A06C4BC97C3FE05" hidden="1">#REF!</definedName>
    <definedName name="BO10A9D21495DD4C67B5CC9ECBECCB614D" hidden="1">#REF!</definedName>
    <definedName name="BO10B4AF34BF734A28B820BBDF9DFD5DB7" hidden="1">#REF!</definedName>
    <definedName name="BO10B5D976E0034922BC428BB30BB79DF9" hidden="1">#REF!</definedName>
    <definedName name="BO10B8B6F8183C4BBD810A75ECDC3C1E7A" hidden="1">#REF!</definedName>
    <definedName name="BO10CDCB2511704D03855AB55C20FE5D02" hidden="1">#REF!</definedName>
    <definedName name="BO10D4A8983CA64EACB9A970B975F029A3" hidden="1">#REF!</definedName>
    <definedName name="BO10D7BAD6A843479BA57C5AE41250B344" hidden="1">#REF!</definedName>
    <definedName name="BO10FBC40DAC8846779B668D2B7EA0EC30" hidden="1">#REF!</definedName>
    <definedName name="BO110E08E5C82045289EF8AE4F0A06FFDC" hidden="1">#REF!</definedName>
    <definedName name="BO110F6DD15FC441EA99424D267B1E8BA9" hidden="1">#REF!</definedName>
    <definedName name="BO11200FB062024E6A92135BB421D8CD1F" hidden="1">#REF!</definedName>
    <definedName name="BO1127CF2DDD5F4DD1A11B18EBDC98914B" hidden="1">#REF!</definedName>
    <definedName name="BO112C1616F275435397112B2C9BBB2B9D" hidden="1">#REF!</definedName>
    <definedName name="BO1131E72CDB114511BFFE7BCF0294937A" hidden="1">#REF!</definedName>
    <definedName name="BO11331CA9E95B404CAA325C481A9F84E7" hidden="1">#REF!</definedName>
    <definedName name="BO1146E61296394C099E16756DA2E62B70" hidden="1">#REF!</definedName>
    <definedName name="BO114C1F90CB764A5D8C257EE63702EAE1" hidden="1">#REF!</definedName>
    <definedName name="BO1173B51B278E4B29A045C50AB2392363" hidden="1">#REF!</definedName>
    <definedName name="BO1183154F9C614AE090016D82F3241F27" hidden="1">#REF!</definedName>
    <definedName name="BO118CFF6BE1924DBE805B5E07D1074DB7" hidden="1">#REF!</definedName>
    <definedName name="BO1191F9C674BB4DF9A6029D13D725A58C" hidden="1">#REF!</definedName>
    <definedName name="BO11933A58901843D781EB862AD68D4722" hidden="1">#REF!</definedName>
    <definedName name="BO11A65BB568E34DF9A9A0B1F4B62D7AA5" hidden="1">#REF!</definedName>
    <definedName name="BO11A997C6E7D24BF48B17597346C7A07A" hidden="1">#REF!</definedName>
    <definedName name="BO11AAEF8695F549A5ABFF86CA92CDBCC9" hidden="1">#REF!</definedName>
    <definedName name="BO11B396F40CA4463282C7CC0DC5169011" hidden="1">#REF!</definedName>
    <definedName name="BO11B8D5481EBA42278D1AAEA15A697452" hidden="1">#REF!</definedName>
    <definedName name="BO11BDDCA84E1748F2B85F582ED326B595" hidden="1">#REF!</definedName>
    <definedName name="BO11BE74ADD479485BB84526702094B0C5" hidden="1">#REF!</definedName>
    <definedName name="BO11BFA6F410F745F09AC2D4573626F498" hidden="1">#REF!</definedName>
    <definedName name="BO11D775F1D22C4359BD99E40C0FAA9970" hidden="1">#REF!</definedName>
    <definedName name="BO11DB9EF9443548FAA076F2517ED612AB" hidden="1">#REF!</definedName>
    <definedName name="BO11DBE0C7883B45B0839339A83AE71C18" hidden="1">#REF!</definedName>
    <definedName name="BO11E34E938A3045EA93B2FD90411670CC" hidden="1">#REF!</definedName>
    <definedName name="BO11E6181CD37B44978F7E1829E7453C4E" hidden="1">#REF!</definedName>
    <definedName name="BO11FA3A7D344342D0A579BB8B12382A40" hidden="1">#REF!</definedName>
    <definedName name="BO122B904DC6084ADE96D3AE5B920FF30E" hidden="1">#REF!</definedName>
    <definedName name="BO122BB882A4764EE2AB25FC0D62A7F13B" hidden="1">#REF!</definedName>
    <definedName name="BO1234E170A9CE4980A04A2F7A7FFC3CC9" hidden="1">#REF!</definedName>
    <definedName name="BO1249E1AF6401421CAF86AA1DA26C0DC5" hidden="1">#REF!</definedName>
    <definedName name="BO124A1BAE68C1402794787F31681BDAC3" hidden="1">#REF!</definedName>
    <definedName name="BO1252587E28864822A517362009202624" hidden="1">#REF!</definedName>
    <definedName name="BO125F8944B9054F5E891AA6071EE57129" hidden="1">#REF!</definedName>
    <definedName name="BO12673C6267E54DEF9F0C3292C6C71F39" hidden="1">#REF!</definedName>
    <definedName name="BO126ADB88E1C84C5BB4CE714A460C7514" hidden="1">#REF!</definedName>
    <definedName name="BO127273CC8EC14FABBC4AB1CA3DE429B0" hidden="1">#REF!</definedName>
    <definedName name="BO129922521C904BA8B067A2926023E082" hidden="1">#REF!</definedName>
    <definedName name="BO12A51B56AA5B464B87DCC29461083845" hidden="1">#REF!</definedName>
    <definedName name="BO12AAC42650274D97A0E17634215690C5" hidden="1">#REF!</definedName>
    <definedName name="BO12B1AD35BB9E4AFA99307126B04E029A" hidden="1">#REF!</definedName>
    <definedName name="BO12B91DE8EAC748E6B4B0F33CB12AA917" hidden="1">#REF!</definedName>
    <definedName name="BO12CFDAC2D23E4C5DA968DAFF08386353" hidden="1">#REF!</definedName>
    <definedName name="BO12E2AF04B758411B8C54ED4243CA90E9" hidden="1">#REF!</definedName>
    <definedName name="BO12E2EDE3BCF349A48480F0C020ACDD30" hidden="1">#REF!</definedName>
    <definedName name="BO12EB5CA9852648AD85249A8D0C83389A" hidden="1">#REF!</definedName>
    <definedName name="BO12EE3F3EB45F470AB3F327068CE4F9B0" hidden="1">#REF!</definedName>
    <definedName name="BO12EF1A66A32848A8933AA41C4752C664" hidden="1">#REF!</definedName>
    <definedName name="BO12F156D189DF4DAA8B45969C017CFFD1" hidden="1">#REF!</definedName>
    <definedName name="BO12FDBBEA27594E658F684804DF5E7A54" hidden="1">#REF!</definedName>
    <definedName name="BO13075C00C1C74A0EA140D5A47ED7A70A" hidden="1">#REF!</definedName>
    <definedName name="BO132157ECCCB04BC1BE3D7DFFB70E9E8D" hidden="1">#REF!</definedName>
    <definedName name="BO13299FFDB0734E65BA8A40F96E3E6CA4" hidden="1">#REF!</definedName>
    <definedName name="BO1329C92561E24B3D8CD5E0B1CF934A05" hidden="1">#REF!</definedName>
    <definedName name="BO132BE549262F48C49C91003CEC872D70" hidden="1">#REF!</definedName>
    <definedName name="BO1333532FAD5F4C2E8D28D5F4C532115A" hidden="1">#REF!</definedName>
    <definedName name="BO134A490F024A40F99DA26A0D1592A1B2" hidden="1">#REF!</definedName>
    <definedName name="BO134B1D64CAD844E494E11BB6F302AEA4" hidden="1">#REF!</definedName>
    <definedName name="BO135650F7684C4CF78C46900D403B3A8C" hidden="1">#REF!</definedName>
    <definedName name="BO1371525620644E2C8A34BCE6E6B867F5" hidden="1">#REF!</definedName>
    <definedName name="BO1379390205824987BA0E96D66E49B341" hidden="1">#REF!</definedName>
    <definedName name="BO1384AB0B2039427A8B17764DF81CC412" hidden="1">#REF!</definedName>
    <definedName name="BO1385994DB7184FA1A6E635B7103533DF" hidden="1">#REF!</definedName>
    <definedName name="BO13ABD743F2B64197A1D098CEA793BFDA" hidden="1">#REF!</definedName>
    <definedName name="BO13B9F04313074BA79225BC6068A8196E" hidden="1">#REF!</definedName>
    <definedName name="BO13BBF29F8E3743BBB1526E2B25444A06" hidden="1">#REF!</definedName>
    <definedName name="BO13C2AA727AD74DBEB37FB1FF719D5A17" hidden="1">#REF!</definedName>
    <definedName name="BO13C2B4543144499481BDCD12F0B67653" hidden="1">#REF!</definedName>
    <definedName name="BO13C467E6A4514688814FAD1F5906C27B" hidden="1">#REF!</definedName>
    <definedName name="BO13DCF3FA82AF4609BF3A429E6C6742B9" hidden="1">#REF!</definedName>
    <definedName name="BO13F5C15952A44ACFA14434E731988CEC" hidden="1">#REF!</definedName>
    <definedName name="BO13F77BE9E3324458AD33C3D60402794E" hidden="1">#REF!</definedName>
    <definedName name="BO141853BFB69F4D8498D82C036C898FCC" hidden="1">#REF!</definedName>
    <definedName name="BO142A593108D14D788BBBC1C02812DB1A" hidden="1">#REF!</definedName>
    <definedName name="BO1433D9B32B0C4003884D2318E02A80E1" hidden="1">#REF!</definedName>
    <definedName name="BO143445618D9A42BB839FAFAC7FBF2C4F" hidden="1">#REF!</definedName>
    <definedName name="BO143523F75C11411786FF4FCBF56905F2" hidden="1">#REF!</definedName>
    <definedName name="BO143B2FF597D941AAA053B697400121BB" hidden="1">#REF!</definedName>
    <definedName name="BO143D1771761B4C659909F948DD082087" hidden="1">#REF!</definedName>
    <definedName name="BO1447556C6CE447FFBCDA0B70A4B440A0" hidden="1">#REF!</definedName>
    <definedName name="BO145B3585DAA94747BFA6A49530819FA1" hidden="1">#REF!</definedName>
    <definedName name="BO145E941537594C2781E9A72479A13AA5" hidden="1">#REF!</definedName>
    <definedName name="BO1467738E496D46179CAF34376C0B3C19" hidden="1">#REF!</definedName>
    <definedName name="BO14762294FC4C49CCA54217338D0DB1ED" hidden="1">#REF!</definedName>
    <definedName name="BO14763AA6D8454AABAAEC44CE0A817304" hidden="1">#REF!</definedName>
    <definedName name="BO147858BE69354FEEB9BF4C812326A933" hidden="1">#REF!</definedName>
    <definedName name="BO14855FD79AB6419E885B7C61EDCDF193" hidden="1">#REF!</definedName>
    <definedName name="BO14866D44CFEC4BB3AF11FC64696C0F84" hidden="1">#REF!</definedName>
    <definedName name="BO148E147D1D324112A42B32ADC883CDAB" hidden="1">#REF!</definedName>
    <definedName name="BO14949433164B44E789D68877ADE4DA85" hidden="1">#REF!</definedName>
    <definedName name="BO149F3E2ED9614670895D69993A113ECC" hidden="1">#REF!</definedName>
    <definedName name="BO14B029B8489E4DC298445F9EB2397A19" hidden="1">#REF!</definedName>
    <definedName name="BO14B4BB0913F544C8AF84FB7EFD7111D1" hidden="1">#REF!</definedName>
    <definedName name="BO14D0CAC8F90042E4AEFD1EB7D0040F05" hidden="1">#REF!</definedName>
    <definedName name="BO14D0ED89C20748EB931BBA472CD03727" hidden="1">#REF!</definedName>
    <definedName name="BO14D4E8063EBC470FAAAA61B79A793C10" hidden="1">#REF!</definedName>
    <definedName name="BO14E061896E9343A38AE687B5B4343A03" hidden="1">#REF!</definedName>
    <definedName name="BO14E4022A70C2443F8F751CAE09B3433B" hidden="1">#REF!</definedName>
    <definedName name="BO14ED1CC8F4FE484BBDE0C0EE3927C0BB" hidden="1">#REF!</definedName>
    <definedName name="BO14FC5BE1A4F64FD7A2516835278DA018" hidden="1">#REF!</definedName>
    <definedName name="BO14FE7D41A67347A2BB3B970897F3CA28" hidden="1">#REF!</definedName>
    <definedName name="BO1505B37711EB4C92AB2151AB200F8D4C" hidden="1">#REF!</definedName>
    <definedName name="BO150C8C82CE4149938A3CA17F1D948B74" hidden="1">#REF!</definedName>
    <definedName name="BO150E5BCCD22644238C4CDB3D02ED4460" hidden="1">#REF!</definedName>
    <definedName name="BO1510837484BB40B996CEFF96303FCFDA" hidden="1">#REF!</definedName>
    <definedName name="BO151873DA516644728D21A06DB6322866" hidden="1">#REF!</definedName>
    <definedName name="BO151D2EC02562479CBCFA4BE764E47168" hidden="1">#REF!</definedName>
    <definedName name="BO152BDB682F734A8CB15C30CD893438E9" hidden="1">#REF!</definedName>
    <definedName name="BO1533E3AA31014CE18C5AED538F5CAFBE" hidden="1">#REF!</definedName>
    <definedName name="BO153E3D0AA8B043F5A96E5B34D4F49108" hidden="1">#REF!</definedName>
    <definedName name="BO1546E8FB1E964EAEA207AB32FEF1E87D" hidden="1">#REF!</definedName>
    <definedName name="BO155D65EC0D184FF09ED0BFC5EEF155DB" hidden="1">#REF!</definedName>
    <definedName name="BO155DBA3ED3DA494CB413467A6CDAB525" hidden="1">#REF!</definedName>
    <definedName name="BO157376EDBA5D4585AA2817C5C6E07EF6" hidden="1">#REF!</definedName>
    <definedName name="BO157E0B0EF3E544889C086CF704D9AF35" hidden="1">#REF!</definedName>
    <definedName name="BO1580574317F34B33A5F0FA28EB6EEC7E" hidden="1">#REF!</definedName>
    <definedName name="BO159249E88ADD47E895AD3EC6B5EFA045" hidden="1">#REF!</definedName>
    <definedName name="BO15A36086913F4E2E9373D12C6B495B1E" hidden="1">#REF!</definedName>
    <definedName name="BO15A57B1322D64ED8ABC6EE0C241421A6" hidden="1">#REF!</definedName>
    <definedName name="BO15A59A904CBC4BE0A142CB6F26595BAF" hidden="1">#REF!</definedName>
    <definedName name="BO15B0C932AD6F4F51BDCEABF3BF7916E2" hidden="1">#REF!</definedName>
    <definedName name="BO15C78AB7F45B4D50AD8F85C5BED89DF3" hidden="1">#REF!</definedName>
    <definedName name="BO15CC708262EA4FF19E1B2383592D9A19" hidden="1">#REF!</definedName>
    <definedName name="BO15E19F92D6004A30AD80F918EC983533" hidden="1">#REF!</definedName>
    <definedName name="BO15E4CC262B8B4D01A37A9AF21D0FFFBD" hidden="1">#REF!</definedName>
    <definedName name="BO1605F8DA46DC4B999578F17F5B3E0174" hidden="1">#REF!</definedName>
    <definedName name="BO16091621F5DB424D94B9FD320D9CBF81" hidden="1">#REF!</definedName>
    <definedName name="BO160FD4229CC244F0B79BCA9EA46FBA90" hidden="1">#REF!</definedName>
    <definedName name="BO1613833F8D9248D4A7386D07A3ECD20A" hidden="1">#REF!</definedName>
    <definedName name="BO1618D0A3382643E8883975CDFA54F7CE" hidden="1">#REF!</definedName>
    <definedName name="BO161A63E276DF464CA59E56E17C57BCCB" hidden="1">#REF!</definedName>
    <definedName name="BO1623D2ACCB674655B72A47FE8576A035" hidden="1">#REF!</definedName>
    <definedName name="BO16291070569E489DB38F871B16061BB1" hidden="1">#REF!</definedName>
    <definedName name="BO16326A1A35774CC0906A817A41E1D876" hidden="1">#REF!</definedName>
    <definedName name="BO16384589F94844B5B8BF104B5F8B5B37" hidden="1">#REF!</definedName>
    <definedName name="BO163DAF7998A7465CBA3E7F33843023D3" hidden="1">#REF!</definedName>
    <definedName name="BO164E703362A2408DA794890A7523E26C" hidden="1">#REF!</definedName>
    <definedName name="BO1652466D4B5D4FBFABE8F8F9B21F23A5" hidden="1">#REF!</definedName>
    <definedName name="BO1662947B2C6B4CDEB14980CD9947E99C" hidden="1">#REF!</definedName>
    <definedName name="BO166D5AE1222D4A0FBAB100A9756385CF" hidden="1">#REF!</definedName>
    <definedName name="BO1683EA3386394B75946530D8853175BB" hidden="1">#REF!</definedName>
    <definedName name="BO168EA2ED7849445E9EF11FCEA1ACD18B" hidden="1">#REF!</definedName>
    <definedName name="BO169525984F2D4F51BFF294F4D83E899D" hidden="1">#REF!</definedName>
    <definedName name="BO16A82A4839A64B0BA6B014F8E4C30DB8" hidden="1">#REF!</definedName>
    <definedName name="BO16B1A80EEBA74401A265DCF4DCB07CBD" hidden="1">#REF!</definedName>
    <definedName name="BO16C2D3CB8BDD412BABBA1DAE7E2295E7" hidden="1">#REF!</definedName>
    <definedName name="BO16CF1E15E10346659F0812067203FF54" hidden="1">#REF!</definedName>
    <definedName name="BO16D50ECFD854409D845628DB94AF2424" hidden="1">#REF!</definedName>
    <definedName name="BO16DB29D9EDBC4E2FA10B5E3C69E4A488" hidden="1">#REF!</definedName>
    <definedName name="BO16E5EF79D64C4976AEE5B7D275406429" hidden="1">#REF!</definedName>
    <definedName name="BO16FA87C92D7148029D6EB219981F972A" hidden="1">#REF!</definedName>
    <definedName name="BO16FAA43B480D47E4B6C5A988917E1B35" hidden="1">#REF!</definedName>
    <definedName name="BO16FAD591A915420B9A0FE593E075664D" hidden="1">#REF!</definedName>
    <definedName name="BO16FBCB18B2EF449D98296419B33AA523" hidden="1">#REF!</definedName>
    <definedName name="BO170731E4CACB45DFB9713A92C7563FC0" hidden="1">#REF!</definedName>
    <definedName name="BO171375C08B1347119C1EDA7C28C2124B" hidden="1">#REF!</definedName>
    <definedName name="BO1715E2798CFA42DBA4A65FA25B54A3E8" hidden="1">#REF!</definedName>
    <definedName name="BO171B9E69499F441FB8C530F3F58CC6B2" hidden="1">#REF!</definedName>
    <definedName name="BO171BD1F8B17B40EBAEBC1506560E640F" hidden="1">#REF!</definedName>
    <definedName name="BO172661ACC3C548FF98F58E2F4694F4AB" hidden="1">#REF!</definedName>
    <definedName name="BO1738CC8F16924F3E99BBE443106D9AD4" hidden="1">#REF!</definedName>
    <definedName name="BO173DE341406244299EA9B49470AFA468" hidden="1">#REF!</definedName>
    <definedName name="BO173E94AD41EE4008B9369EB94C6E3657" hidden="1">#REF!</definedName>
    <definedName name="BO1748B362E1574A62804B573B762F4EF0" hidden="1">#REF!</definedName>
    <definedName name="BO174C2F812FC545368C483849A83A3BBC" hidden="1">#REF!</definedName>
    <definedName name="BO174E7DD93D4E4E459C9F8CCE00B6A30B" hidden="1">#REF!</definedName>
    <definedName name="BO1754A05F6BA04E21B44FEE7065D12310" hidden="1">#REF!</definedName>
    <definedName name="BO17579CEAFF214E08AD94B1D3B5441994" hidden="1">#REF!</definedName>
    <definedName name="BO1758C56B1CEA4AB99D43B676A3101D18" hidden="1">#REF!</definedName>
    <definedName name="BO1763339D14814F009A244002B7DB8641" hidden="1">#REF!</definedName>
    <definedName name="BO1767201946704AF386D57B0ABF7DF72D" hidden="1">#REF!</definedName>
    <definedName name="BO176D96F8C04A4190B880C08816680F9B" hidden="1">#REF!</definedName>
    <definedName name="BO176EACBAC66148BAA55EB16972D1262A" hidden="1">#REF!</definedName>
    <definedName name="BO17782035B4964A33A39B53FC2499093C" hidden="1">#REF!</definedName>
    <definedName name="BO177911ADEF4B4CC5A63DC3AC15D04706" hidden="1">#REF!</definedName>
    <definedName name="BO177FECFD571C43F3B1857BC2CA260142" hidden="1">#REF!</definedName>
    <definedName name="BO17833AC30C084CD9B67626F8CD4574A9" hidden="1">#REF!</definedName>
    <definedName name="BO178A581741D34996BDEECCAFC3912638" hidden="1">#REF!</definedName>
    <definedName name="BO179C8807F1E34270BBEB038A5D9994E3" hidden="1">#REF!</definedName>
    <definedName name="BO179EE8733C284FB2A3D8FCAA0C20A2C4" hidden="1">#REF!</definedName>
    <definedName name="BO17A1A57C07EB457890EA4CBCB8BF1FD1" hidden="1">#REF!</definedName>
    <definedName name="BO17A50479A44B4E898B1BA035BF4CEFBC" hidden="1">#REF!</definedName>
    <definedName name="BO17CA85B7AF154D3DB0BDD7D2BD4DB426" hidden="1">#REF!</definedName>
    <definedName name="BO17D1185AEEFE46A38232157D14F5742E" hidden="1">#REF!</definedName>
    <definedName name="BO17EDA3B7E62E47A68BFFF6DEF3D90421" hidden="1">#REF!</definedName>
    <definedName name="BO17F23BB0AB044CC38E0E48597FCC8661" hidden="1">#REF!</definedName>
    <definedName name="BO17F467D983494F839CF5583D9E0ADB7D" hidden="1">#REF!</definedName>
    <definedName name="BO1817D98BD7924271BB53C578AC3D0C31" hidden="1">#REF!</definedName>
    <definedName name="BO182F1D7889534D919EAE54ACA0B229E0" hidden="1">#REF!</definedName>
    <definedName name="BO18313FE7BE6540A1B184FDD483B6727C" hidden="1">#REF!</definedName>
    <definedName name="BO183E101EEF394DA2BD57F1022BFCBA02" hidden="1">#REF!</definedName>
    <definedName name="BO185937068C4D4F599BFE80FD34ED2411" hidden="1">#REF!</definedName>
    <definedName name="BO185F83E1CABD47BD9092E13882AEA75F" hidden="1">#REF!</definedName>
    <definedName name="BO18624238AC2E40C69715DE965813D53A" hidden="1">#REF!</definedName>
    <definedName name="BO186D8BB3F2194FA2BDB19323E580B50C" hidden="1">#REF!</definedName>
    <definedName name="BO186DDBB2054D4C59B817C463F15541EB" hidden="1">#REF!</definedName>
    <definedName name="BO186F78AB260C42EA91486520BC8CEA49" hidden="1">#REF!</definedName>
    <definedName name="BO187647AB83604954AEBEAF88B5A0AEFF" hidden="1">#REF!</definedName>
    <definedName name="BO1887991A3F3F4287AAAE831A58C09729" hidden="1">#REF!</definedName>
    <definedName name="BO1890F6EFE2E34F89BFE2D86C0C62CE97" hidden="1">#REF!</definedName>
    <definedName name="BO1892EB8357A449A28767021DD3DEB9C6" hidden="1">#REF!</definedName>
    <definedName name="BO1893C5771A60485F988834E84BB337CA" hidden="1">#REF!</definedName>
    <definedName name="BO189E5D4D77C946D5A912D672BC4FDACF" hidden="1">#REF!</definedName>
    <definedName name="BO18A17D3981A64554AE87A835226786A3" hidden="1">#REF!</definedName>
    <definedName name="BO18BEE58056D740078B9646C280C905AA" hidden="1">#REF!</definedName>
    <definedName name="BO18C96060D76546408148003624C821F6" hidden="1">#REF!</definedName>
    <definedName name="BO18D21962F7F0405286529ACFB33D82AA" hidden="1">#REF!</definedName>
    <definedName name="BO18DA87BBFEF8426EB256C39FEDE8B943" hidden="1">#REF!</definedName>
    <definedName name="BO18DC6D8338B3470F95411920EEAAE685" hidden="1">#REF!</definedName>
    <definedName name="BO18DDB8378AE94ECD8AAA5D22B3FDF050" hidden="1">#REF!</definedName>
    <definedName name="BO18E1E8C68E144E5A81D30EC124913343" hidden="1">#REF!</definedName>
    <definedName name="BO18EE228D27EC4E438B5627E8AB4D843A" hidden="1">#REF!</definedName>
    <definedName name="BO18F52A4B10254ED38FBC3F62AA1AC046" hidden="1">#REF!</definedName>
    <definedName name="BO190515E08F2A43679B2DF5D1829B05B9" hidden="1">#REF!</definedName>
    <definedName name="BO192373144C9045BFA82A2385E0D6F11C" hidden="1">#REF!</definedName>
    <definedName name="BO193538849C0E423BB698748458B74DD0" hidden="1">#REF!</definedName>
    <definedName name="BO1941C489117F4B3691915BD2AE32D569" hidden="1">#REF!</definedName>
    <definedName name="BO194FD68F0FD347A7816E4A70BA65A52F" hidden="1">#REF!</definedName>
    <definedName name="BO1958D5236BFF4DD69964ABE35DBDD813" hidden="1">#REF!</definedName>
    <definedName name="BO1961A2E9FEED498D88DC64DEFF83A24C" hidden="1">#REF!</definedName>
    <definedName name="BO19784424A8C94FFCBBB5223BA333CB85" hidden="1">#REF!</definedName>
    <definedName name="BO197C1F6DDC8A4C47BA7CD5A83E0B74A2" hidden="1">#REF!</definedName>
    <definedName name="BO198167386C8140898E450746698A2B6A" hidden="1">#REF!</definedName>
    <definedName name="BO19878BB5126B44F99F25B22DEF089023" hidden="1">#REF!</definedName>
    <definedName name="BO198CBBD11205496CAD5A029FD69B33F3" hidden="1">#REF!</definedName>
    <definedName name="BO198E1A31CE534D1A82301971BF6A4944" hidden="1">#REF!</definedName>
    <definedName name="BO19955B0709F94419AB7D73DAE69C5D88" hidden="1">#REF!</definedName>
    <definedName name="BO199D0C6B30F64867B9E2CD259CDD1C2E" hidden="1">#REF!</definedName>
    <definedName name="BO19A199F72EA743F19289BACC143580C1" hidden="1">#REF!</definedName>
    <definedName name="BO19B1EDE2ECAF44638F4E7F7AFD5B9EEB" hidden="1">#REF!</definedName>
    <definedName name="BO19B3577036854D7597CE484930C3E6BB" hidden="1">#REF!</definedName>
    <definedName name="BO19B47DFC0D3549629170B7510CFF53EF" hidden="1">#REF!</definedName>
    <definedName name="BO19BF7C340A3F48AAA278BE2587B10839" hidden="1">#REF!</definedName>
    <definedName name="BO19BFAF59A9104FFB957030D423225B51" hidden="1">#REF!</definedName>
    <definedName name="BO19E27D3FFA074FF6A89F88B7E103529E" hidden="1">#REF!</definedName>
    <definedName name="BO19ECD0FCEEEA4D46BE66ECBA2DBFD6B1" hidden="1">#REF!</definedName>
    <definedName name="BO19F0202908C4418FBEB41F9FD63CB73F" hidden="1">#REF!</definedName>
    <definedName name="BO19F2CAA2762245E09E41795AC536DE25" hidden="1">#REF!</definedName>
    <definedName name="BO1A11A5A5C73B41EC971311EACE9E77DD" hidden="1">#REF!</definedName>
    <definedName name="BO1A13D1EFAABA4F70A8CFBF8BE4551451" hidden="1">#REF!</definedName>
    <definedName name="BO1A1F66329AD243B48E7F2486786DFA01" hidden="1">#REF!</definedName>
    <definedName name="BO1A24AEA142D84D588B853067DAEE0849" hidden="1">#REF!</definedName>
    <definedName name="BO1A2D394EA1624741B57731CB4F4135A5" hidden="1">#REF!</definedName>
    <definedName name="BO1A44716F4F9E40A894BAFB4E83CC51E9" hidden="1">#REF!</definedName>
    <definedName name="BO1A4BCE0E0189462F9D992BF2A13B8ADB" hidden="1">#REF!</definedName>
    <definedName name="BO1A630A4B05804507A937FAE6E5D1A8E6" hidden="1">#REF!</definedName>
    <definedName name="BO1A660C6AC19346F2B087E15392DCA3ED" hidden="1">#REF!</definedName>
    <definedName name="BO1A68C0FC955F454B82A0BC3108E6D5F9" hidden="1">#REF!</definedName>
    <definedName name="BO1A6E7D2825404609BA0B1517F54EEC6D" hidden="1">#REF!</definedName>
    <definedName name="BO1A78A51531FD4A7BBA8723AF7B9014AD" hidden="1">#REF!</definedName>
    <definedName name="BO1A7BA65AF19E4EE1A76332F5E0FD1969" hidden="1">#REF!</definedName>
    <definedName name="BO1A98BD38077341429D46A14417BB5F08" hidden="1">#REF!</definedName>
    <definedName name="BO1AA53307B100447090CBFF3F6AE26A0F" hidden="1">#REF!</definedName>
    <definedName name="BO1AA9183ADB44487F83F53E142DEB4BD4" hidden="1">#REF!</definedName>
    <definedName name="BO1AAB5FF4BD604E248256EA82B43F48FC" hidden="1">#REF!</definedName>
    <definedName name="BO1ABA7494E1D444EAB3C2BD8F71B569D7" hidden="1">#REF!</definedName>
    <definedName name="BO1ABE40557F8C427689FE6FD6EF06D1E3" hidden="1">#REF!</definedName>
    <definedName name="BO1AC7B6B132194680A010526D8D9E00AB" hidden="1">#REF!</definedName>
    <definedName name="BO1ACA849B731A4AA6B119960E144FEF24" hidden="1">#REF!</definedName>
    <definedName name="BO1ACFCB66FABE43DB87C2D2AC4B10CB12" hidden="1">#REF!</definedName>
    <definedName name="BO1AD22EE589C4420BBE9705B632564FD6" hidden="1">#REF!</definedName>
    <definedName name="BO1AD70A2087534CE6A1898A77953EF710" hidden="1">#REF!</definedName>
    <definedName name="BO1AE4DFCD790E43BF8D0FD6540F2314BF" hidden="1">#REF!</definedName>
    <definedName name="BO1AE82BE22E524BEFAF47F89097A9AA6A" hidden="1">#REF!</definedName>
    <definedName name="BO1AE94CCED1544407A68A5C24932E8B34" hidden="1">#REF!</definedName>
    <definedName name="BO1AF88F6907DA48C881CB904C7322D019" hidden="1">#REF!</definedName>
    <definedName name="BO1AF9C32549C1432086E09F3E9EBFA17F" hidden="1">#REF!</definedName>
    <definedName name="BO1B1909157C584FAFB45D252B428991C0" hidden="1">#REF!</definedName>
    <definedName name="BO1B2E01A86FFF446B8072A4BE10CF4077" hidden="1">#REF!</definedName>
    <definedName name="BO1B322FEF17F34DC99D876A84543A007C" hidden="1">#REF!</definedName>
    <definedName name="BO1B3A01452AB34D4499F376D7B26756A9" hidden="1">#REF!</definedName>
    <definedName name="BO1B422801581642B59661C9F4730DF9BD" hidden="1">#REF!</definedName>
    <definedName name="BO1B5729AA819E4371A4A4886575963946" hidden="1">#REF!</definedName>
    <definedName name="BO1B5A92CA6F914E25A118BDCBE57BAD21" hidden="1">#REF!</definedName>
    <definedName name="BO1B680563C8C34C6ABCA60B078C84D087" hidden="1">#REF!</definedName>
    <definedName name="BO1B6E22DB3D444BECB82A1D79F6E65538" hidden="1">#REF!</definedName>
    <definedName name="BO1B8199A148314EC08A455BA9A2992D6A" hidden="1">#REF!</definedName>
    <definedName name="BO1B9C6A2C111B4AFCA9B33E4079DD4128" hidden="1">#REF!</definedName>
    <definedName name="BO1BAAB6C76A604917B05C227EDAAA05CF" hidden="1">#REF!</definedName>
    <definedName name="BO1BAF373F9220466B8C91F4C8B8EB17BE" hidden="1">#REF!</definedName>
    <definedName name="BO1BBA18D8FF3E40949FDB3FFBED0AA5F3" hidden="1">#REF!</definedName>
    <definedName name="BO1BBC21747BC34C8387E122622AB96055" hidden="1">#REF!</definedName>
    <definedName name="BO1BC056F15B8F4E7D83F4F449CE84825A" hidden="1">#REF!</definedName>
    <definedName name="BO1BCE75A6EF2B48F68A815D6FD5794533" hidden="1">#REF!</definedName>
    <definedName name="BO1BD42E9A51304E27BA3B40687CD687BC" hidden="1">#REF!</definedName>
    <definedName name="BO1BF51B4799E648CFA840FD73138713F3" hidden="1">#REF!</definedName>
    <definedName name="BO1C039F6ACC3C45769BF0BCB786444324" hidden="1">#REF!</definedName>
    <definedName name="BO1C09C5A991C840A69DB46DAAE37B1FBF" hidden="1">#REF!</definedName>
    <definedName name="BO1C0A119A962346C89CA3ADA60203C6E5" hidden="1">#REF!</definedName>
    <definedName name="BO1C0F35668C5249C0A4EAB1CAFB09F8DF" hidden="1">#REF!</definedName>
    <definedName name="BO1C12A7B6DDD2494C9CB6B8B604AE245C" hidden="1">#REF!</definedName>
    <definedName name="BO1C160AF92AE841CB99F590567F4C845F" hidden="1">#REF!</definedName>
    <definedName name="BO1C17C15B83D84670AF11DBC4EAABC2AA" hidden="1">#REF!</definedName>
    <definedName name="BO1C46585AF23C4892A52BA5F1DD572516" hidden="1">#REF!</definedName>
    <definedName name="BO1C599E5C663046C28300505DEC116A9C" hidden="1">#REF!</definedName>
    <definedName name="BO1C5E887AFCA44AC08BC9DB33D753E33F" hidden="1">#REF!</definedName>
    <definedName name="BO1C5F3AFDBF544831BE9EE6641C223CF6" hidden="1">#REF!</definedName>
    <definedName name="BO1C6885AAAD704DE683ABD5FAC3330A2C" hidden="1">#REF!</definedName>
    <definedName name="BO1C6A9CC7B4D8459185642FF4B457535A" hidden="1">#REF!</definedName>
    <definedName name="BO1C6CDD6148A34D1486A7E66A52FB293C" hidden="1">#REF!</definedName>
    <definedName name="BO1C8250A955344C0D92DF8F463DC5D482" hidden="1">#REF!</definedName>
    <definedName name="BO1C82710D5A104864B531F184B69F0142" hidden="1">#REF!</definedName>
    <definedName name="BO1C94F823B5F84803ADED7FC5C80BFA51" hidden="1">#REF!</definedName>
    <definedName name="BO1C94FC213799402E9D3A5BD3386D6E02" hidden="1">#REF!</definedName>
    <definedName name="BO1C96A3839E70449FB25D0DE62F0C2CA8" hidden="1">#REF!</definedName>
    <definedName name="BO1C97CB30B53F48A0AB9CF593020A0EBB" hidden="1">#REF!</definedName>
    <definedName name="BO1C98F96492124CF7843A49442A42EAD4" hidden="1">#REF!</definedName>
    <definedName name="BO1C994734CC68458285B9B45406830F46" hidden="1">#REF!</definedName>
    <definedName name="BO1CA3BCE17788492980BDC6F8D7C9D1AD" hidden="1">#REF!</definedName>
    <definedName name="BO1CA63700C06B4ACAB88EE7F0F8F61E50" hidden="1">#REF!</definedName>
    <definedName name="BO1CA8E07C6EEB457091678D1D028DE421" hidden="1">#REF!</definedName>
    <definedName name="BO1CAC83DA5E10425C99F1F6C6AE90FE8D" hidden="1">#REF!</definedName>
    <definedName name="BO1CB18BC4D88947B1B8D8600DDC788B52" hidden="1">#REF!</definedName>
    <definedName name="BO1CB9420C1DD94E80A768736D9DDF0456" hidden="1">#REF!</definedName>
    <definedName name="BO1CD5136F3F2B4D03BE8B0FB4C55D54F6" hidden="1">#REF!</definedName>
    <definedName name="BO1CD6317E138646E398E18B413974D84D" hidden="1">#REF!</definedName>
    <definedName name="BO1CD7B99D73354C21B165097B1577739E" hidden="1">#REF!</definedName>
    <definedName name="BO1CDB74FC9AD54F0DB33487086DA338CF" hidden="1">#REF!</definedName>
    <definedName name="BO1CDEC4DC36604E909CD343E8F763CB58" hidden="1">#REF!</definedName>
    <definedName name="BO1CF4FD8EF48C4F3EB09D027421DE4BD7" hidden="1">#REF!</definedName>
    <definedName name="BO1D050376C73944CAA873A6FFBF32B7F9" hidden="1">#REF!</definedName>
    <definedName name="BO1D07E195DAE743CDB163D0E403CAEDE7" hidden="1">#REF!</definedName>
    <definedName name="BO1D0F4C95B125418C9E662B19875B4D80" hidden="1">#REF!</definedName>
    <definedName name="BO1D28BD516D12471C875820B5F12663F5" hidden="1">#REF!</definedName>
    <definedName name="BO1D59BFA0D4D34751A9C4B89CD65FF897" hidden="1">#REF!</definedName>
    <definedName name="BO1D5CF6F610524A74BCCACC99588861FF" hidden="1">#REF!</definedName>
    <definedName name="BO1D5DF25FE7F14888880609D95656BBBA" hidden="1">#REF!</definedName>
    <definedName name="BO1D6C69E3277943419D589ED5962F6446" hidden="1">#REF!</definedName>
    <definedName name="BO1D6DF0D3FDA344E0BBF5A240256FC045" hidden="1">#REF!</definedName>
    <definedName name="BO1D81202ED43D48C6A2BCEFEF4EBECEAC" hidden="1">#REF!</definedName>
    <definedName name="BO1D86FBEB923B4BADA99518E5F6BE96B0" hidden="1">#REF!</definedName>
    <definedName name="BO1D8D95AA4E45406FB7C4B34BC4FA8301" hidden="1">#REF!</definedName>
    <definedName name="BO1D9428EFC0F94215B8951EAE088A0FD3" hidden="1">#REF!</definedName>
    <definedName name="BO1D94DF7A1D8A45A08B5F22BE372D939E" hidden="1">#REF!</definedName>
    <definedName name="BO1DA1B2F13A434DE48AD07D5AE11774B1" hidden="1">#REF!</definedName>
    <definedName name="BO1DB2B92AFB204C2992DF02EB423C3D47" hidden="1">#REF!</definedName>
    <definedName name="BO1DBB0B216985447189964B3BC74E55D9" hidden="1">#REF!</definedName>
    <definedName name="BO1DC7320FFBBF40B59D127D78DBC46C60" hidden="1">#REF!</definedName>
    <definedName name="BO1DC766C89A244AFD8CC9953EDF85616B" hidden="1">#REF!</definedName>
    <definedName name="BO1DCECE1E456D463187A0569A9A2F5A5E" hidden="1">#REF!</definedName>
    <definedName name="BO1DDC8F8CFA2541FFB35969B71C660AF1" hidden="1">#REF!</definedName>
    <definedName name="BO1DE8450D23AE474EBFEE9D5C1A2FE9E3" hidden="1">#REF!</definedName>
    <definedName name="BO1DEA12F6D03F428FB189C3181E1EC390" hidden="1">#REF!</definedName>
    <definedName name="BO1DF676A34D534EB89C85280E17576D17" hidden="1">#REF!</definedName>
    <definedName name="BO1DFBEB8272354FFDA41363EC73B5C90E" hidden="1">#REF!</definedName>
    <definedName name="BO1E085AE0E8FF47E0AFC4DAD3E32C1551" hidden="1">#REF!</definedName>
    <definedName name="BO1E20D33B074D402A9A63EE11F354ADED" hidden="1">#REF!</definedName>
    <definedName name="BO1E2CD9BAF65246C9A747D3B2B85B8566" hidden="1">#REF!</definedName>
    <definedName name="BO1E31CC729AEC4742A4AA1E1C8161ACE0" hidden="1">#REF!</definedName>
    <definedName name="BO1E4420E872714A82AE193D43128A4F33" hidden="1">#REF!</definedName>
    <definedName name="BO1E4922443D2B4531AD11FB65C64D796A" hidden="1">#REF!</definedName>
    <definedName name="BO1E497ECF6FBC4AF7926965DE9AE15BE0" hidden="1">#REF!</definedName>
    <definedName name="BO1E4B81A5C25D44E5AED696E95A7C3380" hidden="1">#REF!</definedName>
    <definedName name="BO1E502B7523E4438CBE00399B76598993" hidden="1">#REF!</definedName>
    <definedName name="BO1E5D1B75E4184B5592AEAD351E8986F3" hidden="1">#REF!</definedName>
    <definedName name="BO1E782AF9DAEC4F4497999542728480C6" hidden="1">#REF!</definedName>
    <definedName name="BO1EA6012F20B5459AA982A4FD23CA0582" hidden="1">#REF!</definedName>
    <definedName name="BO1EB19472537A466A808C62DC83BCBB61" hidden="1">#REF!</definedName>
    <definedName name="BO1EB5BBA4CB18493D96A422A5B7D981CC" hidden="1">#REF!</definedName>
    <definedName name="BO1ED31603B5AA4ED7B8D8CCE10C8A6CE7" hidden="1">#REF!</definedName>
    <definedName name="BO1EE4F0C4933846A787D79470AE88B136" hidden="1">#REF!</definedName>
    <definedName name="BO1EE97FD4CEAE4A809150A88F39B6136F" hidden="1">#REF!</definedName>
    <definedName name="BO1EE9DFA14D674FDEB2321044438531EB" hidden="1">#REF!</definedName>
    <definedName name="BO1F06FEF1409E4E36ACD4FE275EC00870" hidden="1">#REF!</definedName>
    <definedName name="BO1F32A0CDC7C84FC9B20D713F05515A06" hidden="1">#REF!</definedName>
    <definedName name="BO1F345ED6942C4093A5AE137CC1FEADF8" hidden="1">#REF!</definedName>
    <definedName name="BO1F4994DE95CA4D9289FB1535965B4F68" hidden="1">#REF!</definedName>
    <definedName name="BO1F4F5D9C5A2B46A3996EA461E49C84B3" hidden="1">#REF!</definedName>
    <definedName name="BO1F597E9492624903A08F839FD646846E" hidden="1">#REF!</definedName>
    <definedName name="BO1F65BE1640954B39A8D3171DF6578C30" hidden="1">#REF!</definedName>
    <definedName name="BO1F68B837E587484D8ABDE6195F25911F" hidden="1">#REF!</definedName>
    <definedName name="BO1F6C0A10DE5146EF890DCA424683E63F" hidden="1">#REF!</definedName>
    <definedName name="BO1F7668034F3E4F6E93ACFE2AC6E60FBC" hidden="1">#REF!</definedName>
    <definedName name="BO1F79195BE06E4FB7A22715E8DD8407E9" hidden="1">#REF!</definedName>
    <definedName name="BO1F811E6764B94EB5824A363AC351F3F7" hidden="1">#REF!</definedName>
    <definedName name="BO1F81AA175CC845B9AA358053F405EF5B" hidden="1">#REF!</definedName>
    <definedName name="BO1F853E6B45B24337ADA2030ABBCA6F41" hidden="1">#REF!</definedName>
    <definedName name="BO1FA340E915674CA7A61CDFD8C48E0405" hidden="1">#REF!</definedName>
    <definedName name="BO1FA3EDA2DF444967956F6332DF78C853" hidden="1">#REF!</definedName>
    <definedName name="BO1FADEFA17682480C8F3752A1A38C6847" hidden="1">#REF!</definedName>
    <definedName name="BO1FBAFD2DB2D741EC92F31D5FD79EB577" hidden="1">#REF!</definedName>
    <definedName name="BO1FBBB8FA7F8643B4BDAFFDBB37FE8BBA" hidden="1">#REF!</definedName>
    <definedName name="BO1FC859689CFA4BC7B8593F866913D699" hidden="1">#REF!</definedName>
    <definedName name="BO1FCC00EEFFB541CFA83A2BB1ABAB31B4" hidden="1">#REF!</definedName>
    <definedName name="BO1FE8111D6B974B5C902D090D29604274" hidden="1">#REF!</definedName>
    <definedName name="BO1FFCDCC7A2514F9F858154B5F2AE6A96" hidden="1">#REF!</definedName>
    <definedName name="BO2002367AFEBE455D86313BEAF82DE8B4" hidden="1">#REF!</definedName>
    <definedName name="BO2008BB131B7A4CE9BD4CAE10B25C9F5F" hidden="1">#REF!</definedName>
    <definedName name="BO2011EFFBE67C4631A49D886DFC54C14F" hidden="1">#REF!</definedName>
    <definedName name="BO2014EED8B55F4DD4A61A3CC51CD51082" hidden="1">#REF!</definedName>
    <definedName name="BO2018123F803B48C095D356330CE85F19" hidden="1">#REF!</definedName>
    <definedName name="BO201FFE3BCCA048DA9B874AC17B8C5B93" hidden="1">#REF!</definedName>
    <definedName name="BO202280937AB84B45A1052E28FE880E52" hidden="1">#REF!</definedName>
    <definedName name="BO203DAF9786574E9991C7EF7E3656167B" hidden="1">#REF!</definedName>
    <definedName name="BO20443F5DE4AA44C09A8E599BB00AFA13" hidden="1">#REF!</definedName>
    <definedName name="BO204ED6F8DC734DB58C0DF008DE28E426" hidden="1">#REF!</definedName>
    <definedName name="BO20664C27023B4380861C66263609EC58" hidden="1">#REF!</definedName>
    <definedName name="BO2069F40EB47548718C74F6D351E5A3A2" hidden="1">#REF!</definedName>
    <definedName name="BO208120894F764CB8B848C6F97A81ACAF" hidden="1">#REF!</definedName>
    <definedName name="BO2086E214821A485B83A6A16E9826AF08" hidden="1">#REF!</definedName>
    <definedName name="BO208B9990884746D0BAE5EACB7024DCC3" hidden="1">#REF!</definedName>
    <definedName name="BO209462E3B4174975A22E774BF2FB0F6A" hidden="1">#REF!</definedName>
    <definedName name="BO20A314BE87BC453E830C9E3965C0779C" hidden="1">#REF!</definedName>
    <definedName name="BO20AF656591624B2B8AB0B6794CB3D98C" hidden="1">#REF!</definedName>
    <definedName name="BO20B89F6F10DF419287359D78A2DE9C10" hidden="1">#REF!</definedName>
    <definedName name="BO20BC4C356FB2401F86B4D9C7EED4B792" hidden="1">#REF!</definedName>
    <definedName name="BO20BC9BA45BA343B6815DE346A001917F" hidden="1">#REF!</definedName>
    <definedName name="BO20C28FCCECC54F1483CF224808535C51" hidden="1">#REF!</definedName>
    <definedName name="BO20CB96F3BE28444CB0D4378096D4FC21" hidden="1">#REF!</definedName>
    <definedName name="BO20CDF70F06C5418AAA0B1BAF2F4EED86" hidden="1">#REF!</definedName>
    <definedName name="BO20D28BB88761461A86C63645DBC41010" hidden="1">#REF!</definedName>
    <definedName name="BO20D9C5F41C5C433D998F47188B2839F5" hidden="1">#REF!</definedName>
    <definedName name="BO20E7B4CFA3CD4006B9E2395852BE1C7F" hidden="1">#REF!</definedName>
    <definedName name="BO20EE0CFC5C7E41FBA8F0F11BF2D809C0" hidden="1">#REF!</definedName>
    <definedName name="BO20EEE0C758A74006A3387E0E4D373D58" hidden="1">#REF!</definedName>
    <definedName name="BO20F2447D3A724197A2B12DCD33ACB51C" hidden="1">#REF!</definedName>
    <definedName name="BO20FD539AEF8C4FEDBB2C8BC04E541715" hidden="1">#REF!</definedName>
    <definedName name="BO2102C3D07E4245AD8B7FB17FB029A3B6" hidden="1">#REF!</definedName>
    <definedName name="BO210D4495CB6F40C8B947D302281476BF" hidden="1">#REF!</definedName>
    <definedName name="BO2110FFB30853448AB83E02C71E28C0A2" hidden="1">#REF!</definedName>
    <definedName name="BO21142E4386584F2CBAD71E48AF31997E" hidden="1">#REF!</definedName>
    <definedName name="BO21171FCD17C8442EADA27B36B0F33789" hidden="1">#REF!</definedName>
    <definedName name="BO212CF1B5FC924D14A73D6FB702277504" hidden="1">#REF!</definedName>
    <definedName name="BO212F264B0BCF45D190EDB276ABD51C17" hidden="1">#REF!</definedName>
    <definedName name="BO215E9992CD3F4B2581D188D9536D3EBB" hidden="1">#REF!</definedName>
    <definedName name="BO2161AB5FA16A4D6EB183DC8BC00F9883" hidden="1">#REF!</definedName>
    <definedName name="BO21636979741647A59ED46303057BF2AA" hidden="1">#REF!</definedName>
    <definedName name="BO2168D252ED2043F99BE68314ED963A53" hidden="1">#REF!</definedName>
    <definedName name="BO216F4E03BAFB4E33A69CF60CD716473C" hidden="1">#REF!</definedName>
    <definedName name="BO217572E54E044998B54ADD888335F272" hidden="1">#REF!</definedName>
    <definedName name="BO217FA1F03CF541CDA9F55D706D410FD5" hidden="1">#REF!</definedName>
    <definedName name="BO21A669C2BA1C4E67BCE2954D4422AD67" hidden="1">#REF!</definedName>
    <definedName name="BO21A9693019B346D4B57DEB43E48B9894" hidden="1">#REF!</definedName>
    <definedName name="BO21ADB7EB94224890B409EFF12199825E" hidden="1">#REF!</definedName>
    <definedName name="BO21AFC0B3D231481695C265C26BA3D577" hidden="1">#REF!</definedName>
    <definedName name="BO21B4DDCEB5914EEE896F96512F9F89A7" hidden="1">#REF!</definedName>
    <definedName name="BO21B94BA03EE8470C8BD9CE22003203AD" hidden="1">#REF!</definedName>
    <definedName name="BO21BBD3F2B5D842F89BDBD899FBF17474" hidden="1">#REF!</definedName>
    <definedName name="BO21CC4ED3AB9F4F43AE65785FC2C64A8B" hidden="1">#REF!</definedName>
    <definedName name="BO21D6328E5FD342C2AECE5F5143AEED62" hidden="1">#REF!</definedName>
    <definedName name="BO21F279394EE1426295B269ACE076A7C4" hidden="1">#REF!</definedName>
    <definedName name="BO21F3153249994AA09F21FA0576DB17A7" hidden="1">#REF!</definedName>
    <definedName name="BO220131A73B68464FAA4BA29B411F14B8" hidden="1">#REF!</definedName>
    <definedName name="BO22016D2CA754471FA46C1FEC937162E9" hidden="1">#REF!</definedName>
    <definedName name="BO220A430123134076ADB407C5C87508C2" hidden="1">#REF!</definedName>
    <definedName name="BO2214D922407045CC8F6ED480E09F3639" hidden="1">#REF!</definedName>
    <definedName name="BO223B35D05B3D4737BB6ADE63AAD82B80" hidden="1">#REF!</definedName>
    <definedName name="BO224B7C26F5FF41F39227FE47BEAA06F4" hidden="1">#REF!</definedName>
    <definedName name="BO224C9A6895C142FF8825C159CB63AB56" hidden="1">#REF!</definedName>
    <definedName name="BO224CB3BB55164F47916E768CF134DD86" hidden="1">#REF!</definedName>
    <definedName name="BO224F74F4F9B44CB487B0447C81E723E8" hidden="1">#REF!</definedName>
    <definedName name="BO22509658301A4F12A8DED034DC83BB53" hidden="1">#REF!</definedName>
    <definedName name="BO22524626E44241239725DC3E65D688A6" hidden="1">#REF!</definedName>
    <definedName name="BO22540ADCA8B84DB9B0FD7A982A3905D0" hidden="1">#REF!</definedName>
    <definedName name="BO225664DC3CA84F0DB3A43CCE1C383BA6" hidden="1">#REF!</definedName>
    <definedName name="BO2259D203C02D4B0EBF530DC8280DAF3E" hidden="1">#REF!</definedName>
    <definedName name="BO225B67966B30403A8B5B9A9A966FD6A7" hidden="1">#REF!</definedName>
    <definedName name="BO225F12E9D7D141BC86370F3878B29D14" hidden="1">#REF!</definedName>
    <definedName name="BO22623EA194654025AFC2F8D153933E60" hidden="1">#REF!</definedName>
    <definedName name="BO22705F2A1E3E41E2AD0BD4E30DF9234A" hidden="1">#REF!</definedName>
    <definedName name="BO2272CD4BB8BF463BA5A281C56415CD3B" hidden="1">#REF!</definedName>
    <definedName name="BO227B642912AE4A3F89366F05B9DA00F4" hidden="1">#REF!</definedName>
    <definedName name="BO227C3D5104D64319BB25FE0F9A797637" hidden="1">#REF!</definedName>
    <definedName name="BO228417E297A64771A8F45541A421902D" hidden="1">#REF!</definedName>
    <definedName name="BO228DC106213B4CBAA30E5C1B5137AB96" hidden="1">#REF!</definedName>
    <definedName name="BO229B7380DDAF45D298DCF3B0F282B0CE" hidden="1">#REF!</definedName>
    <definedName name="BO22ADCFE373D645C3816C8F3B6240CEC5" hidden="1">#REF!</definedName>
    <definedName name="BO22AE580037AF4D05BBD14B693CEB4696" hidden="1">#REF!</definedName>
    <definedName name="BO22C0A472C2A4404991E9427B8119C8DA" hidden="1">#REF!</definedName>
    <definedName name="BO22C9FD61444D44C28BF8581A51A932D9" hidden="1">#REF!</definedName>
    <definedName name="BO22D0ED4DCD1F47439B91F5B725C3CFE5" hidden="1">#REF!</definedName>
    <definedName name="BO22EF9F1240F74B85BB855930378E1C21" hidden="1">#REF!</definedName>
    <definedName name="BO22FA06C7A81D404F956D509CA9E21EA7" hidden="1">#REF!</definedName>
    <definedName name="BO22FFEB8B85834585A480450A1EDF415E" hidden="1">#REF!</definedName>
    <definedName name="BO23204FA4F8E34A65854C5E6C4EFD753E" hidden="1">#REF!</definedName>
    <definedName name="BO232551D1234D465EB3D451BA16BCDE96" hidden="1">#REF!</definedName>
    <definedName name="BO2327A275B05A4FC9853FC1B46BAE2AF8" hidden="1">#REF!</definedName>
    <definedName name="BO23446228B17F4A0C8B5AB1891ECC8787" hidden="1">#REF!</definedName>
    <definedName name="BO23469B11E28E4FCD9F308720136EF501" hidden="1">#REF!</definedName>
    <definedName name="BO23479F0C719A4B1BA8CED9E27BA5DEEF" hidden="1">#REF!</definedName>
    <definedName name="BO23576A1C5FC44B5E8C45C6F7C1F7A414" hidden="1">#REF!</definedName>
    <definedName name="BO236102A944BB40F8BAE8917B6560765F" hidden="1">#REF!</definedName>
    <definedName name="BO237B2AC0A65F402B93184D61EEED4BE7" hidden="1">#REF!</definedName>
    <definedName name="BO2385E35B1FCF4E42BB5D3C61C18019E9" hidden="1">#REF!</definedName>
    <definedName name="BO238DD19B7A1E487497253B68F6DAFEF0" hidden="1">#REF!</definedName>
    <definedName name="BO239DABE1FDA34665BA3A9D14D5AC9BF6" hidden="1">#REF!</definedName>
    <definedName name="BO23A6F4D8B33644388651A5569993A0BA" hidden="1">#REF!</definedName>
    <definedName name="BO23C1389BFA524F1E9E8E4215265E18D2" hidden="1">#REF!</definedName>
    <definedName name="BO23C52D7B67B14D85899786180D6EB8E6" hidden="1">#REF!</definedName>
    <definedName name="BO23D2C5CF6E9C4DFB9A26DD66A7F0F177" hidden="1">#REF!</definedName>
    <definedName name="BO23D2CC32079C441F84B39932F67F0EFA" hidden="1">#REF!</definedName>
    <definedName name="BO23D84C51EA774714B4B56FDC0A526584" hidden="1">#REF!</definedName>
    <definedName name="BO23DB9C53BD4E44EF88EAE819B1E87F72" hidden="1">#REF!</definedName>
    <definedName name="BO23E3E4892DA54E869901121D963F6E3F" hidden="1">#REF!</definedName>
    <definedName name="BO23E76B8B71D847C4BF6FEC7320E5D0E9" hidden="1">#REF!</definedName>
    <definedName name="BO23E7CFF3958F441ABF93D6CB3C4E0BF9" hidden="1">#REF!</definedName>
    <definedName name="BO23FCDD028CDF4CC5926A8C058658A05C" hidden="1">#REF!</definedName>
    <definedName name="BO23FE62367C5E4AFF905053608A2339AC" hidden="1">#REF!</definedName>
    <definedName name="BO240E95406B1E44609D8B5FAE74B61566" hidden="1">#REF!</definedName>
    <definedName name="BO2414DE3485BF4FECB5CEB296FFF23A4F" hidden="1">#REF!</definedName>
    <definedName name="BO241BDF0405214486AD409062206F3550" hidden="1">#REF!</definedName>
    <definedName name="BO2429CF2CFAB245E5B578C795D32E381E" hidden="1">#REF!</definedName>
    <definedName name="BO243AF00CCFDC471F85298B8C818F1B39" hidden="1">#REF!</definedName>
    <definedName name="BO244722B34E824510883E7E578B295169" hidden="1">#REF!</definedName>
    <definedName name="BO2450E48DAA144A00B30F658F52E09859" hidden="1">#REF!</definedName>
    <definedName name="BO245772123B324BA38C70F62D1917C176" hidden="1">#REF!</definedName>
    <definedName name="BO246006F9AF124E2F90BADCC82A38403B" hidden="1">#REF!</definedName>
    <definedName name="BO246337A95867402E8C557FDA3E3033B1" hidden="1">#REF!</definedName>
    <definedName name="BO2468B2E515F345B58892AD8D322B9760" hidden="1">#REF!</definedName>
    <definedName name="BO246A62F16ED1490DA8BA4B2199989AD6" hidden="1">#REF!</definedName>
    <definedName name="BO247DC811044D42B580315B0473C92504" hidden="1">#REF!</definedName>
    <definedName name="BO247E2D34051A403DBFFD477DED47ACCA" hidden="1">#REF!</definedName>
    <definedName name="BO247FF5A1A29348C494739B35155561A6" hidden="1">#REF!</definedName>
    <definedName name="BO24A0BE3F2ABF470FB68DB9282018278E" hidden="1">#REF!</definedName>
    <definedName name="BO24B2A37E2795405685442C07705EF3B1" hidden="1">#REF!</definedName>
    <definedName name="BO24BCB002DE8140C8A9696E9C985D35D7" hidden="1">#REF!</definedName>
    <definedName name="BO24BEAF587D2A42CABA2387E358D914BD" hidden="1">#REF!</definedName>
    <definedName name="BO24CDDD4311D646009973CC80CD62CC70" hidden="1">#REF!</definedName>
    <definedName name="BO24CF1BB04E064EAE8524BC2BF5A4A886" hidden="1">#REF!</definedName>
    <definedName name="BO24DA92599F8F452584FDDC39B4F35C4D" hidden="1">#REF!</definedName>
    <definedName name="BO24DAF8B8643A4718856A785C35B22F53" hidden="1">#REF!</definedName>
    <definedName name="BO24E1FBBFDC0748DDB1E93D3B4D30307E" hidden="1">#REF!</definedName>
    <definedName name="BO24F1220AEB4744EB85C5309083B2D42E" hidden="1">#REF!</definedName>
    <definedName name="BO24F19A67CF534CCBA0DC339D24F9B107" hidden="1">#REF!</definedName>
    <definedName name="BO24F4DEDF02CE44919174324BC569635E" hidden="1">#REF!</definedName>
    <definedName name="BO2500136670354A3493A5D501655F33F9" hidden="1">#REF!</definedName>
    <definedName name="BO250056F431BD4295A66B28D5723300F4" hidden="1">#REF!</definedName>
    <definedName name="BO25132EB204324A27B2ED46F402D1ABEC" hidden="1">#REF!</definedName>
    <definedName name="BO251509B915724BD8AF275793CDE8D2C4" hidden="1">#REF!</definedName>
    <definedName name="BO25188DB3C45E42D0AD38358591904153" hidden="1">#REF!</definedName>
    <definedName name="BO2528AB0623BF4FA883E405B6AB4CD2DB" hidden="1">#REF!</definedName>
    <definedName name="BO252A67985DEB45C1825C385AD476DC62" hidden="1">#REF!</definedName>
    <definedName name="BO2530FA90DC614D14BACB669B60A9A14D" hidden="1">#REF!</definedName>
    <definedName name="BO2535AA643AF344EB9033ADB42C4045B6" hidden="1">#REF!</definedName>
    <definedName name="BO2535EDD5D2FE4086B688EFF8A0C1C924" hidden="1">#REF!</definedName>
    <definedName name="BO253994D5F39A44C4BD7554F71878224D" hidden="1">#REF!</definedName>
    <definedName name="BO2540E33AB3914DBDAB4067BF4B7A53D6" hidden="1">#REF!</definedName>
    <definedName name="BO2544E0A5283344A2819AB24DE6B3BAA6" hidden="1">#REF!</definedName>
    <definedName name="BO255223DCDF9245938DB8918ECE311F07" hidden="1">#REF!</definedName>
    <definedName name="BO255649B8212D4671865635EA1B9C81D7" hidden="1">#REF!</definedName>
    <definedName name="BO255903EECA3443D0BBC69B7BF23C8B14" hidden="1">#REF!</definedName>
    <definedName name="BO256268075EE7444185D8F41B1C9459BC" hidden="1">#REF!</definedName>
    <definedName name="BO25648B2609364E58B67F701D0C10E977" hidden="1">#REF!</definedName>
    <definedName name="BO2567B21A4D3D4513B345D8F453BA735C" hidden="1">#REF!</definedName>
    <definedName name="BO257BF3732BEC444E8831247C55E2EB4C" hidden="1">#REF!</definedName>
    <definedName name="BO257D9A923D7041C09426324581C485FE" hidden="1">#REF!</definedName>
    <definedName name="BO25806D8F09D14B93958483677CCF5CD9" hidden="1">#REF!</definedName>
    <definedName name="BO25818F899C884E4DB3CE660633237642" hidden="1">#REF!</definedName>
    <definedName name="BO2581E575639A4BB9BC4D4EA9136249AD" hidden="1">#REF!</definedName>
    <definedName name="BO25822DE709F14CEFB1ECC902179E650A" hidden="1">#REF!</definedName>
    <definedName name="BO258AE8D326D646BDBB971E1AF73655B4" hidden="1">#REF!</definedName>
    <definedName name="BO258B8580E85249BCB9282DEB2712D4BB" hidden="1">#REF!</definedName>
    <definedName name="BO259E324FD67740A6A46A550D1DA9A364" hidden="1">#REF!</definedName>
    <definedName name="BO25A14E49C85B4C4D94ACDAD9FE7AAE27" hidden="1">#REF!</definedName>
    <definedName name="BO25B13BD285C346BD866859F37F2FC266" hidden="1">#REF!</definedName>
    <definedName name="BO25BCF5975DC44393BE2AF6DDFB5371B0" hidden="1">#REF!</definedName>
    <definedName name="BO25C07D17DA064BA596DB6255F1C97920" hidden="1">#REF!</definedName>
    <definedName name="BO25CCAB58CC1049618215398DA4BA8E3B" hidden="1">#REF!</definedName>
    <definedName name="BO25D2B87A5F444FCE845E7899A88943B8" hidden="1">#REF!</definedName>
    <definedName name="BO25EC2CCF093B4AB7B236745F61DFA072" hidden="1">#REF!</definedName>
    <definedName name="BO25EC6A9A2EE84E17B4B08967A7580741" hidden="1">#REF!</definedName>
    <definedName name="BO25F70C06DD9F424CAFCC373DB8E3E6D6" hidden="1">#REF!</definedName>
    <definedName name="BO260605B79EA44267AB2EE93E28628519" hidden="1">#REF!</definedName>
    <definedName name="BO262C424790DC4F649869FF6E627ECAA8" hidden="1">#REF!</definedName>
    <definedName name="BO2633C991C1D8468FA10363FC059A0C1F" hidden="1">#REF!</definedName>
    <definedName name="BO2644DE99B1AA41F39BBABFEEE1C67AAC" hidden="1">#REF!</definedName>
    <definedName name="BO2655F6E1DA554C9AACAAE4CD5C7AC003" hidden="1">#REF!</definedName>
    <definedName name="BO266147CD37004BDD8C99700F5D38F44E" hidden="1">#REF!</definedName>
    <definedName name="BO267441240DB247768BF0D4382D1C28B9" hidden="1">#REF!</definedName>
    <definedName name="BO267A240CFA64448BAA4C8D087A1B7412" hidden="1">#REF!</definedName>
    <definedName name="BO267B8CA8728F4E54AE7A7E085FD779D4" hidden="1">#REF!</definedName>
    <definedName name="BO2682F9CA0E384B248874A2C98D6F122E" hidden="1">#REF!</definedName>
    <definedName name="BO268D57B3CD594B8A9EE3D127D5CFB3B6" hidden="1">#REF!</definedName>
    <definedName name="BO26A14F6C08C94FC3B85DA6BA2BD897AB" hidden="1">#REF!</definedName>
    <definedName name="BO26A4F94DB3CF492B9145F50D011A8084" hidden="1">#REF!</definedName>
    <definedName name="BO26A60DD9E82D4D53997BF6CA9F74AAFA" hidden="1">#REF!</definedName>
    <definedName name="BO26BE7B80FC7B480FA9ACC9DB4E8CC6F8" hidden="1">#REF!</definedName>
    <definedName name="BO26C994D07CF947D28703E1C8942B0C66" hidden="1">#REF!</definedName>
    <definedName name="BO26CB33A0D9E6416F9550577A86C8FB14" hidden="1">#REF!</definedName>
    <definedName name="BO26CC77685B144B23907935E31D6DD946" hidden="1">#REF!</definedName>
    <definedName name="BO26CE8986F23044B4A2DDD5E884BAE222" hidden="1">#REF!</definedName>
    <definedName name="BO26D1ADD0883446448271A2130B9D327C" hidden="1">#REF!</definedName>
    <definedName name="BO26E49351681F498292AB878183C59F87" hidden="1">#REF!</definedName>
    <definedName name="BO26ED67191CD34D4F841E2289C4CF1606" hidden="1">#REF!</definedName>
    <definedName name="BO26EEF28ECA6346D09BD038A025C47A8D" hidden="1">#REF!</definedName>
    <definedName name="BO26F19E496CF54BC6BDFC94AC08FC4BF8" hidden="1">#REF!</definedName>
    <definedName name="BO26F9D814F2DA4284AA4E8AD00A7311F0" hidden="1">#REF!</definedName>
    <definedName name="BO27070E74580B472595235986A9052CF5" hidden="1">#REF!</definedName>
    <definedName name="BO270EFBF2319B4183842A9EBE0F4C4B1F" hidden="1">#REF!</definedName>
    <definedName name="BO271C1906AC67498E840B582241255BDC" hidden="1">#REF!</definedName>
    <definedName name="BO271C9632ABC1426FB3F42FB21D88D227" hidden="1">#REF!</definedName>
    <definedName name="BO272DFB6EDE8A49FAA425E4BBB7A3CB99" hidden="1">#REF!</definedName>
    <definedName name="BO273212F0AB9E4106876864589614ED5F" hidden="1">#REF!</definedName>
    <definedName name="BO273C048367484A8EBBB7CB8A2DE00AE0" hidden="1">#REF!</definedName>
    <definedName name="BO273CC006962B467B907559BFD30C66C8" hidden="1">#REF!</definedName>
    <definedName name="BO274DABC4390C435F9E5BD2BC81F88BFC" hidden="1">#REF!</definedName>
    <definedName name="BO275A098157644BDB86359242B1276CE2" hidden="1">#REF!</definedName>
    <definedName name="BO275FAF10869E4525A1B60B295A29417B" hidden="1">#REF!</definedName>
    <definedName name="BO2768A47F3FA24939A0639F5BE99621CF" hidden="1">#REF!</definedName>
    <definedName name="BO2769BCCD57E940D0A5B88F7049E11589" hidden="1">#REF!</definedName>
    <definedName name="BO2783FC7DB61B48F6A01C82234FED4FBC" hidden="1">#REF!</definedName>
    <definedName name="BO278DC6DF925343398CAD250E867ADCE4" hidden="1">#REF!</definedName>
    <definedName name="BO27A8299EC8B141B392EF33F9AA9AF760" hidden="1">#REF!</definedName>
    <definedName name="BO27A9F5161CA14935B46B86793A04388A" hidden="1">#REF!</definedName>
    <definedName name="BO27AB7A13FFF248D5BAC7BAEB8EEA1825" hidden="1">#REF!</definedName>
    <definedName name="BO27AF07904A804878B25FF734EBB68E9B" hidden="1">#REF!</definedName>
    <definedName name="BO27B102B2DC6042BE8C8907616BF905AC" hidden="1">#REF!</definedName>
    <definedName name="BO27B2D4AF025C4340876F6875D5C8D83C" hidden="1">#REF!</definedName>
    <definedName name="BO27CBCE1D16C7470CA08A7949C65CB09F" hidden="1">#REF!</definedName>
    <definedName name="BO27CE53BDAE584F3C8E3450C16E3A1C28" hidden="1">#REF!</definedName>
    <definedName name="BO27D825EBCC7A449799559763A878CC89" hidden="1">#REF!</definedName>
    <definedName name="BO27DF023B422E4D6DA3CE174346BC1D3A" hidden="1">#REF!</definedName>
    <definedName name="BO27E46FF7431347AEB74AD406445501EB" hidden="1">#REF!</definedName>
    <definedName name="BO28025EC03FE74E45ACF16BBC382E0689" hidden="1">#REF!</definedName>
    <definedName name="BO280E4DA1746A4DF7AA1E88C62C0FEA95" hidden="1">#REF!</definedName>
    <definedName name="BO2814E82F186B46F7B5990CD39E465568" hidden="1">#REF!</definedName>
    <definedName name="BO28195F879B204DC98697DC0605C32EF6" hidden="1">#REF!</definedName>
    <definedName name="BO281C36FDFA294F6AB08B13ABFA0EE550" hidden="1">#REF!</definedName>
    <definedName name="BO281D5CBE2E0F427CB66F10E9044E2084" hidden="1">#REF!</definedName>
    <definedName name="BO282C43675E854EC190A85274736C9470" hidden="1">#REF!</definedName>
    <definedName name="BO282D5EFD7C0045E1B8F8A79AF106786B" hidden="1">#REF!</definedName>
    <definedName name="BO282F94B64CD54D8494E8B2AD22CA4AAF" hidden="1">#REF!</definedName>
    <definedName name="BO283DEBCE9A70477FA5B8EA0CDA921FC2" hidden="1">#REF!</definedName>
    <definedName name="BO284A4786A19A470C96C027D59D611040" hidden="1">#REF!</definedName>
    <definedName name="BO284BB79BD3684D00A5747901D35DD177" hidden="1">#REF!</definedName>
    <definedName name="BO284E177DB46D431CB69C3F13F900D971" hidden="1">#REF!</definedName>
    <definedName name="BO28586D1FD55B445CB405A0BA9C02C76D" hidden="1">#REF!</definedName>
    <definedName name="BO28592283FAF944E496796D9A58850097" hidden="1">#REF!</definedName>
    <definedName name="BO285CCD1E28AF4DD8AAE1491D71538F6E" hidden="1">#REF!</definedName>
    <definedName name="BO2866A83CFE5F4D09A2E54B6A31BF403C" hidden="1">#REF!</definedName>
    <definedName name="BO286EDD72755D4C278BE95CBF0D7D6078" hidden="1">#REF!</definedName>
    <definedName name="BO287BD997E15045DFBC603A597B980892" hidden="1">#REF!</definedName>
    <definedName name="BO287E0A7CE5404A4195E54FBE04A86D8D" hidden="1">#REF!</definedName>
    <definedName name="BO287E96F207F649A9A51EF2100BD258C5" hidden="1">#REF!</definedName>
    <definedName name="BO28819BC2F12049538D36419E39FD4CF1" hidden="1">#REF!</definedName>
    <definedName name="BO2885513A06854F1F841EED32FE2C40E5" hidden="1">#REF!</definedName>
    <definedName name="BO288880080AC2476793AFB2966B53B5D0" hidden="1">#REF!</definedName>
    <definedName name="BO289B2799EA734FE58D04AA15DBF8F758" hidden="1">#REF!</definedName>
    <definedName name="BO289CCE8778AD4C238F69BE6014D9A0C8" hidden="1">#REF!</definedName>
    <definedName name="BO28A180E8EE724B6B929F9629DBB84278" hidden="1">#REF!</definedName>
    <definedName name="BO28A803BBD9B0432B95A4ED57F42E34EC" hidden="1">#REF!</definedName>
    <definedName name="BO28B33186EA7B41C081BD753CDA930E82" hidden="1">#REF!</definedName>
    <definedName name="BO28D2D6C2D2954FC49A404DBC8124D3C7" hidden="1">#REF!</definedName>
    <definedName name="BO28DABF3C701F4530B6B76AA3AC8BED8C" hidden="1">#REF!</definedName>
    <definedName name="BO28E3317BE2F549919C97F23C1C1DAC08" hidden="1">#REF!</definedName>
    <definedName name="BO28EC7A65F0D948988BD7761D98D52589" hidden="1">#REF!</definedName>
    <definedName name="BO28EFD763EB99422B95A50205C06ECF99" hidden="1">#REF!</definedName>
    <definedName name="BO28F498D02209456C9E0B91B6E121474A" hidden="1">#REF!</definedName>
    <definedName name="BO28FD20231E42419997DE1A3CEC107FC3" hidden="1">#REF!</definedName>
    <definedName name="BO2915169449E34CD5AA5C2AFDE1008A58" hidden="1">#REF!</definedName>
    <definedName name="BO291BCCE8DFD34953A7286ACAB6FA2225" hidden="1">#REF!</definedName>
    <definedName name="BO29288EF7BD314448A5B93FD821E92647" hidden="1">#REF!</definedName>
    <definedName name="BO2939D8160DB946C8885B66D797871B76" hidden="1">#REF!</definedName>
    <definedName name="BO2940462322244C559D3CED5A7BD6D870" hidden="1">#REF!</definedName>
    <definedName name="BO2942281A98064D2084F40CE1A85B82BD" hidden="1">#REF!</definedName>
    <definedName name="BO2944D3DA04FC4FF697A3F11274E6791A" hidden="1">#REF!</definedName>
    <definedName name="BO294EA700EEF445DEA1FB98EF2DD82C35" hidden="1">#REF!</definedName>
    <definedName name="BO295C130BA0E84C1CBDA1453016A10A9D" hidden="1">#REF!</definedName>
    <definedName name="BO295F9FE109EB4CEDA084754530D49073" hidden="1">#REF!</definedName>
    <definedName name="BO2962C0C1424B406C9FA30EF820130ECF" hidden="1">#REF!</definedName>
    <definedName name="BO2963F2BF3D6040878DC937ADF6BAFE63" hidden="1">#REF!</definedName>
    <definedName name="BO2966BA11DC83496889E1AB5E8FA59C2E" hidden="1">#REF!</definedName>
    <definedName name="BO2966F35A161D4964882E0DB744BC1DE8" hidden="1">#REF!</definedName>
    <definedName name="BO296833634A9B4672BE0422D305B61267" hidden="1">#REF!</definedName>
    <definedName name="BO296D9309D709417ABF2C932E1DC7BB36" hidden="1">#REF!</definedName>
    <definedName name="BO296DA3F68AB445C1ADD4FCF20FFA5BF1" hidden="1">#REF!</definedName>
    <definedName name="BO296FEF3A18574C759DD8A8E3437A35B5" hidden="1">#REF!</definedName>
    <definedName name="BO2980D6BADFAE4A4EBE6E2F9490CF6586" hidden="1">#REF!</definedName>
    <definedName name="BO298AF08A84F64D7CB4CF64BE8D94002C" hidden="1">#REF!</definedName>
    <definedName name="BO298AF46366F342E4B482239E5B619F91" hidden="1">#REF!</definedName>
    <definedName name="BO299AF7E60A2946A5A5D23656ABC35BEB" hidden="1">#REF!</definedName>
    <definedName name="BO299BFA80898D4E158D41013F81576C20" hidden="1">#REF!</definedName>
    <definedName name="BO299FA6DEBD944AB28B063F067AC14E6C" hidden="1">#REF!</definedName>
    <definedName name="BO29AA0CD9BCEF469D98AABD634626F152" hidden="1">#REF!</definedName>
    <definedName name="BO29D68027EC1940039B65E800E24117A5" hidden="1">#REF!</definedName>
    <definedName name="BO29E0B021CC97465C95629BBFB83C2AB4" hidden="1">#REF!</definedName>
    <definedName name="BO29E8CAF8F8754AA9BE5CA27A75F6EBC9" hidden="1">#REF!</definedName>
    <definedName name="BO29EC24567BD74CBEB8F65280111B799D" hidden="1">#REF!</definedName>
    <definedName name="BO29F9BB055E1B4A4CA877CA10FFB908AD" hidden="1">#REF!</definedName>
    <definedName name="BO2A00A3A4D5D14AD0A1686D91EE4501E2" hidden="1">#REF!</definedName>
    <definedName name="BO2A038D3FBB6049F5AD358B5247132BAA" hidden="1">#REF!</definedName>
    <definedName name="BO2A039689EA50464BB34D0FE64C1E3CED" hidden="1">#REF!</definedName>
    <definedName name="BO2A0673AED9A24A38ADECD759B235E0E5" hidden="1">#REF!</definedName>
    <definedName name="BO2A070FDA294B457584475E3C41205C59" hidden="1">#REF!</definedName>
    <definedName name="BO2A181212F47C4A19A26F3098E2790A7F" hidden="1">#REF!</definedName>
    <definedName name="BO2A23436DE5384D9AA24D945EAC10C020" hidden="1">#REF!</definedName>
    <definedName name="BO2A4219823CE244E282C18104BA2EFDE0" hidden="1">#REF!</definedName>
    <definedName name="BO2A5149FF228643318F859FA14DC40811" hidden="1">#REF!</definedName>
    <definedName name="BO2A55B97462154F8CAE73CCC87C02D2C5" hidden="1">#REF!</definedName>
    <definedName name="BO2A6087BD4246435C997035BA5E3CA60D" hidden="1">#REF!</definedName>
    <definedName name="BO2A6409FCCEC44577A351C8E060006EF6" hidden="1">#REF!</definedName>
    <definedName name="BO2A663C0DF8644A83B7A8963A9536D507" hidden="1">#REF!</definedName>
    <definedName name="BO2A6DFB4A39904E9C9D7F6A83FA7355C4" hidden="1">#REF!</definedName>
    <definedName name="BO2A745DAFC2114CAB94D6E84BE9657242" hidden="1">#REF!</definedName>
    <definedName name="BO2A7B0988C9444B44A72C0CD8348E9D74" hidden="1">#REF!</definedName>
    <definedName name="BO2A84F9ACE0C54DD986DEF736E91100D4" hidden="1">#REF!</definedName>
    <definedName name="BO2A87B1F673D947459D421CEC0CDE4888" hidden="1">#REF!</definedName>
    <definedName name="BO2A8C7F2ED91C4786B376DB4F689F3C17" hidden="1">#REF!</definedName>
    <definedName name="BO2A924F0DDF9D4AC2BB5D6647F25E083D" hidden="1">#REF!</definedName>
    <definedName name="BO2AA59564527E4D898E8A1250DC54CB1F" hidden="1">#REF!</definedName>
    <definedName name="BO2AAE4BA0AAFF423CB8288435ECDB458F" hidden="1">#REF!</definedName>
    <definedName name="BO2AB5E646F8C44B44B271189D1F5C6559" hidden="1">#REF!</definedName>
    <definedName name="BO2AC4A3FCCA7940F7BC40745AB7878E5F" hidden="1">#REF!</definedName>
    <definedName name="BO2AC4E19D406E48CE9A6B88EE82233529" hidden="1">#REF!</definedName>
    <definedName name="BO2AD76726D01343FB9A04968FD6321831" hidden="1">#REF!</definedName>
    <definedName name="BO2AEF3FA3F4944C7BB0090B3073D184C4" hidden="1">#REF!</definedName>
    <definedName name="BO2AF29D1D67094FBCAE521D429D7A96AE" hidden="1">#REF!</definedName>
    <definedName name="BO2B1A13972D554934BC0E3CA3B21620D0" hidden="1">#REF!</definedName>
    <definedName name="BO2B20EF96DE2B479E83EB1B43D6F4FD08" hidden="1">#REF!</definedName>
    <definedName name="BO2B213C3B8AFC4D0585F0A5C0999A7A5B" hidden="1">#REF!</definedName>
    <definedName name="BO2B2D193508CC409593CEA6FEFFA8C427" hidden="1">#REF!</definedName>
    <definedName name="BO2B2FB56909994FC2B91ED8F92E015003" hidden="1">#REF!</definedName>
    <definedName name="BO2B4536E3114E4BECBF925712BACAA141" hidden="1">#REF!</definedName>
    <definedName name="BO2B49809EFF5544DB9285EC3D0929D7AD" hidden="1">#REF!</definedName>
    <definedName name="BO2B590710947D441FA73B99B11E3D00FC" hidden="1">#REF!</definedName>
    <definedName name="BO2B65AFF022B940FB85CDD2FF14BE7E1D" hidden="1">#REF!</definedName>
    <definedName name="BO2B6D12DC30B64CF9B727243A4E25B8FE" hidden="1">#REF!</definedName>
    <definedName name="BO2B700B6DF111499BA2513D46B3B6A2AB" hidden="1">#REF!</definedName>
    <definedName name="BO2B733046E3BB46E1ADCC09839314929E" hidden="1">#REF!</definedName>
    <definedName name="BO2B7E3315D5A14C83A8A17197655A745D" hidden="1">#REF!</definedName>
    <definedName name="BO2B8AF599E2DE44A68235A0CC2BA21494" hidden="1">#REF!</definedName>
    <definedName name="BO2B8B2A7120FF4DFD9036567D167E68F1" hidden="1">#REF!</definedName>
    <definedName name="BO2B98E08B0EF24707A08331271225EB13" hidden="1">#REF!</definedName>
    <definedName name="BO2BA82F2E75C2460D8893B9AD4CA17082" hidden="1">#REF!</definedName>
    <definedName name="BO2BB178937D8844068D0D8DFE18F591D6" hidden="1">#REF!</definedName>
    <definedName name="BO2BCAE008CCBF4739BDE16B7D503699F0" hidden="1">#REF!</definedName>
    <definedName name="BO2BD8B6752A1043AFA733ECC4740A1334" hidden="1">#REF!</definedName>
    <definedName name="BO2BEB62E503444BA78676BCD8F61E60BB" hidden="1">#REF!</definedName>
    <definedName name="BO2BF72539BD6642FCB21CFA455DA1D56F" hidden="1">#REF!</definedName>
    <definedName name="BO2BFBABB09B4447ABBC37F11DB702EE5E" hidden="1">#REF!</definedName>
    <definedName name="BO2BFCDF18BF6041DBB88D405BAF0240D5" hidden="1">#REF!</definedName>
    <definedName name="BO2BFDE14B2DFD49559EE6BB95E1D58AC3" hidden="1">#REF!</definedName>
    <definedName name="BO2C00BCDD3C124EB7808763F3EBDA252E" hidden="1">#REF!</definedName>
    <definedName name="BO2C14B7F41A134033BE83CE8F03C6FFE6" hidden="1">#REF!</definedName>
    <definedName name="BO2C20C375AE8B49DF89D42384E12F211F" hidden="1">#REF!</definedName>
    <definedName name="BO2C2B74736A5D44CC8C8C788F85730966" hidden="1">#REF!</definedName>
    <definedName name="BO2C2F0132D01C4D97AD770B1BFE3CE3A2" hidden="1">#REF!</definedName>
    <definedName name="BO2C30C89090DD4946BA387F17C1FF35FF" hidden="1">#REF!</definedName>
    <definedName name="BO2C344543C75741B780D33DCCB1B98B79" hidden="1">#REF!</definedName>
    <definedName name="BO2C39EFDA07BA4F8F82CD3BA65DD657E2" hidden="1">#REF!</definedName>
    <definedName name="BO2C4243B9ED554523BECE5FCFCD3213F4" hidden="1">#REF!</definedName>
    <definedName name="BO2C4435A2C9C343549B169D1A029220F3" hidden="1">#REF!</definedName>
    <definedName name="BO2C4842EFC4734CB586F8EE5D984671E7" hidden="1">#REF!</definedName>
    <definedName name="BO2C8ADDC21F3D4FCDB648F2391AE419BF" hidden="1">#REF!</definedName>
    <definedName name="BO2C906D94D3D74588972741510BE4C7DA" hidden="1">#REF!</definedName>
    <definedName name="BO2C94A575160D45FB86DFAA9DC556D27C" hidden="1">#REF!</definedName>
    <definedName name="BO2C9657982D734F2182640BDA152448CF" hidden="1">#REF!</definedName>
    <definedName name="BO2C9DAF7471B94515962B9C5DF3A7B3E3" hidden="1">#REF!</definedName>
    <definedName name="BO2CA1481F2C4143BEA5F6F025223E2F9A" hidden="1">#REF!</definedName>
    <definedName name="BO2CA2D5821FBB4209ACF8DE3307879C1C" hidden="1">#REF!</definedName>
    <definedName name="BO2CAFE719EC1A4AECA5B0EB24ACCD3D48" hidden="1">#REF!</definedName>
    <definedName name="BO2CB9A9AA7DA146BCA55A891D09E5DF8F" hidden="1">#REF!</definedName>
    <definedName name="BO2CC3930D757A442786FADD522911EDB6" hidden="1">#REF!</definedName>
    <definedName name="BO2CC595AAC81C4DC0ABB7981E28A1E88C" hidden="1">#REF!</definedName>
    <definedName name="BO2CC6E9730CDA4DA8A023D1B5B3B7B38D" hidden="1">#REF!</definedName>
    <definedName name="BO2CD95128FD26416B96CAC5F0B4800E1A" hidden="1">#REF!</definedName>
    <definedName name="BO2CDE8B29382947EBBBF70F8F9CE9197B" hidden="1">#REF!</definedName>
    <definedName name="BO2CDFD70D152B454AA75DDCDC244263CA" hidden="1">#REF!</definedName>
    <definedName name="BO2CF26CD13FC74EC9AC87502210B5F7AE" hidden="1">#REF!</definedName>
    <definedName name="BO2D0B10EEF1F24D18BF2AD745FA3FE594" hidden="1">#REF!</definedName>
    <definedName name="BO2D0C8813D000482DB070283040186163" hidden="1">#REF!</definedName>
    <definedName name="BO2D2AE3653EA0452198642224B600DD11" hidden="1">#REF!</definedName>
    <definedName name="BO2D31F064354C4D14863D02881BE15C07" hidden="1">#REF!</definedName>
    <definedName name="BO2D38088E975F450696D6EF417CBBC299" hidden="1">#REF!</definedName>
    <definedName name="BO2D40FF892F694137B52CCBE0B638931B" hidden="1">#REF!</definedName>
    <definedName name="BO2D4336E99F074321914AF81CA314CD4D" hidden="1">#REF!</definedName>
    <definedName name="BO2D4BCBE37E65492F8FA8F54F66D7F656" hidden="1">#REF!</definedName>
    <definedName name="BO2D4EFBA62699443DAA645D4320476140" hidden="1">#REF!</definedName>
    <definedName name="BO2D53D9C2AE914EACB5AA5EA2319EFE00" hidden="1">#REF!</definedName>
    <definedName name="BO2D598D26783C4E499A02EDBBB78E6536" hidden="1">#REF!</definedName>
    <definedName name="BO2D59CDF36EC04012AAA058A359B92580" hidden="1">#REF!</definedName>
    <definedName name="BO2D649198B2714A5BA4BB5308ABC0D76A" hidden="1">#REF!</definedName>
    <definedName name="BO2D6861A006F8428EB450B58BF98D34C7" hidden="1">#REF!</definedName>
    <definedName name="BO2D6B944B22E74B6A939B90D9AF00ADF0" hidden="1">#REF!</definedName>
    <definedName name="BO2D72C9283194409B90C940E8802EA5FC" hidden="1">#REF!</definedName>
    <definedName name="BO2D7EC2D5380542E2AA8EEDC3B6D15668" hidden="1">#REF!</definedName>
    <definedName name="BO2D7F03B7142745E6816B3EBBB6EDF6BE" hidden="1">#REF!</definedName>
    <definedName name="BO2D89B0439B3E431D8B942CA5071B1170" hidden="1">#REF!</definedName>
    <definedName name="BO2D982F6728F64F78944DCFF5DC775583" hidden="1">#REF!</definedName>
    <definedName name="BO2D9B116C993841B7A9430E5B11BBD8BA" hidden="1">#REF!</definedName>
    <definedName name="BO2DA5A632828444CC91A0FB347F646746" hidden="1">#REF!</definedName>
    <definedName name="BO2DB7EB36082A4F1D8FE9A65FFD874503" hidden="1">#REF!</definedName>
    <definedName name="BO2DC1DBEA337F422FBD5922A758979D42" hidden="1">#REF!</definedName>
    <definedName name="BO2DC8777762174E50B9CFB7B131A331D0" hidden="1">#REF!</definedName>
    <definedName name="BO2DCE0DD01A154233BEF9D0DEDEBB0768" hidden="1">#REF!</definedName>
    <definedName name="BO2DEC29F282174599AC7AF2A2D993CFBC" hidden="1">#REF!</definedName>
    <definedName name="BO2DF0E8426B3D4548974D4716A5530D2B" hidden="1">#REF!</definedName>
    <definedName name="BO2DF2366CF0DF4FB4808F93BB4EFE88EA" hidden="1">#REF!</definedName>
    <definedName name="BO2E0011B78AC34576BF8664936A7E23D6" hidden="1">#REF!</definedName>
    <definedName name="BO2E001B74A0AE4724B0A295625BAA7B0F" hidden="1">#REF!</definedName>
    <definedName name="BO2E020C7D344F4DDE808D50ACBF9CA486" hidden="1">#REF!</definedName>
    <definedName name="BO2E062623851546288BFC611D13B22EA4" hidden="1">#REF!</definedName>
    <definedName name="BO2E08AC271607436085B1C6EA9F208DDE" hidden="1">#REF!</definedName>
    <definedName name="BO2E18E16D1D88445FB602BDC552A662F5" hidden="1">#REF!</definedName>
    <definedName name="BO2E1E3679358748FC8821A40A3CFA6C1B" hidden="1">#REF!</definedName>
    <definedName name="BO2E1FFFAD59154833896C7A3C34E3929B" hidden="1">#REF!</definedName>
    <definedName name="BO2E253C6A42D64BD6BD1CF1042C0EF479" hidden="1">#REF!</definedName>
    <definedName name="BO2E2611226CBE4423BA35861A21FD639A" hidden="1">#REF!</definedName>
    <definedName name="BO2E4A5A6031E14AAC8000E9DC50E4AA38" hidden="1">#REF!</definedName>
    <definedName name="BO2E4ADB994F0D4C35A122C860F7D9636B" hidden="1">#REF!</definedName>
    <definedName name="BO2E735D9758CE4BCB9D7CF4D87299E21B" hidden="1">#REF!</definedName>
    <definedName name="BO2E7A196E797E45419013F49BF9452EDC" hidden="1">#REF!</definedName>
    <definedName name="BO2E805185D77C4C9784FF74B22FFEE1C7" hidden="1">#REF!</definedName>
    <definedName name="BO2E80CA31AEF4443A92C94C6BC546581A" hidden="1">#REF!</definedName>
    <definedName name="BO2E80EC1F5ED848568155A8E0E9A8231A" hidden="1">#REF!</definedName>
    <definedName name="BO2E88B46E14F140189AD6E8FCE59CE6EC" hidden="1">#REF!</definedName>
    <definedName name="BO2E9044215D574096AAA32D7FDED92FDD" hidden="1">#REF!</definedName>
    <definedName name="BO2E94D591641140CCA2EC82CEA8193647" hidden="1">#REF!</definedName>
    <definedName name="BO2E97E72FD9F34119AFBE9A283DDFE33A" hidden="1">#REF!</definedName>
    <definedName name="BO2E9A3737EE734A8DBDB2ED92C2D0C54F" hidden="1">#REF!</definedName>
    <definedName name="BO2E9CF78186BB4E038D3C8552952F6FBF" hidden="1">#REF!</definedName>
    <definedName name="BO2EC5919D8ACE4DFAA0BD5584F27D243D" hidden="1">#REF!</definedName>
    <definedName name="BO2EDDC05A38D34E3DB036799084ECD136" hidden="1">#REF!</definedName>
    <definedName name="BO2EDFC1C79F064895A3A696521F237884" hidden="1">#REF!</definedName>
    <definedName name="BO2EE9BB84E8F44155A9F3F9C7647E5BAC" hidden="1">#REF!</definedName>
    <definedName name="BO2EEC91435CC0422B91F8C13E8EB95D96" hidden="1">#REF!</definedName>
    <definedName name="BO2EED197591604132859FEFBAB18E7D95" hidden="1">#REF!</definedName>
    <definedName name="BO2EF3B8CB425D44879BD7F69E61245B06" hidden="1">#REF!</definedName>
    <definedName name="BO2EFA94D4FC2F4623AB9ACF46B3063661" hidden="1">#REF!</definedName>
    <definedName name="BO2EFDCE57BD354E3DA7135E2DEFF8246C" hidden="1">#REF!</definedName>
    <definedName name="BO2F0591F871FD465FB4F775AED594D286" hidden="1">#REF!</definedName>
    <definedName name="BO2F191EDADB7F41A48C9277DDE3878185" hidden="1">#REF!</definedName>
    <definedName name="BO2F1A59D4527E4188BD35EC6D6E0CB42F" hidden="1">#REF!</definedName>
    <definedName name="BO2F24C22ADE6849659FD92C1F1C1F87A8" hidden="1">#REF!</definedName>
    <definedName name="BO2F24D03E487548C9BCBBB2C14E479CD3" hidden="1">#REF!</definedName>
    <definedName name="BO2F24F1AEEEFB466CBC49BD605501F225" hidden="1">#REF!</definedName>
    <definedName name="BO2F27846091C34D639F15FC6D8251F52B" hidden="1">#REF!</definedName>
    <definedName name="BO2F2852EE266043C994DC290C6E227D5E" hidden="1">#REF!</definedName>
    <definedName name="BO2F405189FBA54837B8FBB15B20555115" hidden="1">#REF!</definedName>
    <definedName name="BO2F414A32B1934017AFCDBA552929C32E" hidden="1">#REF!</definedName>
    <definedName name="BO2F49F1D6A5DD4616895863729845AF5B" hidden="1">#REF!</definedName>
    <definedName name="BO2F4D2E52E0824CDE8DA940C58C3235B5" hidden="1">#REF!</definedName>
    <definedName name="BO2F4F78F96F51480093DCC880EF208C89" hidden="1">#REF!</definedName>
    <definedName name="BO2F5506B78B9C4A4098E306FC4EEBC8EB" hidden="1">#REF!</definedName>
    <definedName name="BO2F5B8A906E174598A4E0620A6A127D3E" hidden="1">#REF!</definedName>
    <definedName name="BO2F7DE679A5004BD193897A4B9F4D6100" hidden="1">#REF!</definedName>
    <definedName name="BO2F94A49FBD604702B83B4BD458928162" hidden="1">#REF!</definedName>
    <definedName name="BO2F96B3901C094F578BCA55E40B24B948" hidden="1">#REF!</definedName>
    <definedName name="BO2F9A7E148B464CAEB56D3DDF10D9E4F1" hidden="1">#REF!</definedName>
    <definedName name="BO2F9F72A2E948406488F36B865B5CEF28" hidden="1">#REF!</definedName>
    <definedName name="BO2FA5BA0F51904C24911FDF7FD944447B" hidden="1">#REF!</definedName>
    <definedName name="BO2FBD542208CB4714A6098A79A41568FF" hidden="1">#REF!</definedName>
    <definedName name="BO2FC18D05E282494AA9750308F78FC161" hidden="1">#REF!</definedName>
    <definedName name="BO2FDC182F0F7C4CC1B492FB65915C29B5" hidden="1">#REF!</definedName>
    <definedName name="BO2FDC7241182C4295AA65C09D55E96A84" hidden="1">#REF!</definedName>
    <definedName name="BO2FE9F607F6054900B7E134E2D3D854A2" hidden="1">#REF!</definedName>
    <definedName name="BO2FEC5A6339CC49688B41120669AC18E6" hidden="1">#REF!</definedName>
    <definedName name="BO2FF20CAAE12D4D12AAAE449112B1B6EF" hidden="1">#REF!</definedName>
    <definedName name="BO2FF3E4F743D34AD6BE912CA4C719DDBB" hidden="1">#REF!</definedName>
    <definedName name="BO2FFDEA16EC1C4484B96A9D3F0AB64EE7" hidden="1">#REF!</definedName>
    <definedName name="BO2FFFFC4C19C043789147BED7C4ACA3B6" hidden="1">#REF!</definedName>
    <definedName name="BO300A83A4A0E543618E9C35DE4DB83901" hidden="1">#REF!</definedName>
    <definedName name="BO3018815A831B4058AC8FE863BA19C92B" hidden="1">#REF!</definedName>
    <definedName name="BO30298B7EE4BF4B69A725937371D4FB72" hidden="1">#REF!</definedName>
    <definedName name="BO3033A8AEE55F4714B07162C32585E355" hidden="1">#REF!</definedName>
    <definedName name="BO303E0898818644468F159247CF13BA34" hidden="1">#REF!</definedName>
    <definedName name="BO3045052445A34A52A4DB43BD83BA6F16" hidden="1">#REF!</definedName>
    <definedName name="BO3045BD0AA78E48CF8ABBA1F2B1819A21" hidden="1">#REF!</definedName>
    <definedName name="BO3045D0C5B16A4D72BBC24F93265C8396" hidden="1">#REF!</definedName>
    <definedName name="BO3048D76F6A1C4CD7919543A54166C403" hidden="1">#REF!</definedName>
    <definedName name="BO30490EE654D24281B68432E574F33E0A" hidden="1">#REF!</definedName>
    <definedName name="BO3052EAC98D774477A361A62556BC69AC" hidden="1">#REF!</definedName>
    <definedName name="BO305CBBBF7AF9439389C41CD1538FEDF2" hidden="1">#REF!</definedName>
    <definedName name="BO305D0A912C65483688D502BB3EBAD972" hidden="1">#REF!</definedName>
    <definedName name="BO3065964B124E453BB5A34A1D09DC596A" hidden="1">#REF!</definedName>
    <definedName name="BO30689A622148405582F1172F023D4C66" hidden="1">#REF!</definedName>
    <definedName name="BO30738814555E4C67BAAFBFFBF5B8C6B0" hidden="1">#REF!</definedName>
    <definedName name="BO30835C18BB11466189688FD0203C434A" hidden="1">#REF!</definedName>
    <definedName name="BO3093F8F15DAA4D8DAA5D0262B3497F65" hidden="1">#REF!</definedName>
    <definedName name="BO30B4F607B753443B9DC0F3A91BA6D53D" hidden="1">#REF!</definedName>
    <definedName name="BO30CEB36D86FE4AE4BE293196F80F61DC" hidden="1">#REF!</definedName>
    <definedName name="BO30D0F53ADC294C4CA26C5344FCDADCBE" hidden="1">#REF!</definedName>
    <definedName name="BO30DB8A3EB8764619ABC96BF196279750" hidden="1">#REF!</definedName>
    <definedName name="BO30FBD1E9C73A4B8FAA7B31667140F96D" hidden="1">#REF!</definedName>
    <definedName name="BO310326B56D6C4BBE8C8E2C8BB9C66D79" hidden="1">#REF!</definedName>
    <definedName name="BO310482D072AF45FC84F8648F9D00FE78" hidden="1">#REF!</definedName>
    <definedName name="BO3107D1C5259B443093F6DE02CD787BDF" hidden="1">#REF!</definedName>
    <definedName name="BO311477F9E1514A4CBE02684737A99460" hidden="1">#REF!</definedName>
    <definedName name="BO311CC4552461469E88221661612E80BC" hidden="1">#REF!</definedName>
    <definedName name="BO311D3517EA0F4F279206376408632D90" hidden="1">#REF!</definedName>
    <definedName name="BO311ED374C51346CDBC7130CBBD61CC67" hidden="1">#REF!</definedName>
    <definedName name="BO3129F17B6D024BEDA62FA8247D4907E9" hidden="1">#REF!</definedName>
    <definedName name="BO3156C49C7A0F4B4C9446D767F22C1FE7" hidden="1">#REF!</definedName>
    <definedName name="BO3164FF49162E4373B6D3FA073619F1BB" hidden="1">#REF!</definedName>
    <definedName name="BO3192711DD3734AABB3CCE911B6EEA13C" hidden="1">#REF!</definedName>
    <definedName name="BO319CEE3B5EF140B2ADA490A4F0C5D807" hidden="1">#REF!</definedName>
    <definedName name="BO319E99142A1343D8852123A9441439A6" hidden="1">#REF!</definedName>
    <definedName name="BO319EC81D7036446684A8BB8E5CCF2DDC" hidden="1">#REF!</definedName>
    <definedName name="BO31A1038CC75049F0AB1CE51E1B619C16" hidden="1">#REF!</definedName>
    <definedName name="BO31B1A47B49A94A32B6ED7E2EF5949F6F" hidden="1">#REF!</definedName>
    <definedName name="BO31B20A79929D42A59B4E4CFE2A13FFAD" hidden="1">#REF!</definedName>
    <definedName name="BO31C65682F97F4392ABFD3609236B2607" hidden="1">#REF!</definedName>
    <definedName name="BO31C9D01BFF8B4DCD981D019ADEEA0738" hidden="1">#REF!</definedName>
    <definedName name="BO31E398E313714F57A17485D2EBCE29BC" hidden="1">#REF!</definedName>
    <definedName name="BO31F37778FC8443D3957571B22B422F55" hidden="1">#REF!</definedName>
    <definedName name="BO320530E782194784B55087CEE22CE9BF" hidden="1">#REF!</definedName>
    <definedName name="BO3207DBE4D7874298BE690E9C10BBECB3" hidden="1">#REF!</definedName>
    <definedName name="BO3214DC46F97A4C6A984A27141D429366" hidden="1">#REF!</definedName>
    <definedName name="BO32175041BE9F499A83801D32D9BEF38F" hidden="1">#REF!</definedName>
    <definedName name="BO322529366CFA4D79B8E2CD61DF47EA12" hidden="1">#REF!</definedName>
    <definedName name="BO322586FA12BD41048A05092A0C9388D0" hidden="1">#REF!</definedName>
    <definedName name="BO322C455D5CBD40E2B188AD81F9EF6F65" hidden="1">#REF!</definedName>
    <definedName name="BO323CF02AFF994861A13215F96EF4A2A2" hidden="1">#REF!</definedName>
    <definedName name="BO32430BA100F44F9191CC0DC2B66C9226" hidden="1">#REF!</definedName>
    <definedName name="BO32486E0645B84347882F5E4F926AE0DD" hidden="1">#REF!</definedName>
    <definedName name="BO3252A32376F24F828A0F0D5BBFF96285" hidden="1">#REF!</definedName>
    <definedName name="BO3266B14C51184C6A85F34EA2C8C6A4E7" hidden="1">#REF!</definedName>
    <definedName name="BO326898FA39A44117B23836F21786C7D0" hidden="1">#REF!</definedName>
    <definedName name="BO32706B27880548559BE0D59CEE35DF63" hidden="1">#REF!</definedName>
    <definedName name="BO327969660107469DA3C8855EC57838FC" hidden="1">#REF!</definedName>
    <definedName name="BO327E22BF5F174D29BDAB4F93BDB81531" hidden="1">#REF!</definedName>
    <definedName name="BO3281DA3347A54E5C9E1E3AACEFAD1374" hidden="1">#REF!</definedName>
    <definedName name="BO328EB712935049DF9A3969E52E5AB3D0" hidden="1">#REF!</definedName>
    <definedName name="BO328FC66F462D4B029ED5F4AD7D0149C8" hidden="1">#REF!</definedName>
    <definedName name="BO32A3DA096E5240138482CA2F93C368C4" hidden="1">#REF!</definedName>
    <definedName name="BO32A55FA299774C40A7E35940EFDFBF8C" hidden="1">#REF!</definedName>
    <definedName name="BO32B5F29350DB45938F81C813F579EB0C" hidden="1">#REF!</definedName>
    <definedName name="BO32B89BCCA91C4AB69644AF3B4B9908AF" hidden="1">#REF!</definedName>
    <definedName name="BO32BC949BE2C84FC19FC199C8A4AD133D" hidden="1">#REF!</definedName>
    <definedName name="BO32CE836CC99D410AA3AEFFD9E4E62633" hidden="1">#REF!</definedName>
    <definedName name="BO32D30D5CAEA048318AE8C96DB07197A2" hidden="1">#REF!</definedName>
    <definedName name="BO32D6DF73A54B46D488D06212510087DC" hidden="1">#REF!</definedName>
    <definedName name="BO32DEC30B4D6C446AA4F08429299782BC" hidden="1">#REF!</definedName>
    <definedName name="BO32EEC3A192DF4D509F4BEA4B6E315452" hidden="1">#REF!</definedName>
    <definedName name="BO32F4E53B4C414DE1B84AE646337F8350" hidden="1">#REF!</definedName>
    <definedName name="BO32F77AFA71274A9AB99633C88D1798B4" hidden="1">#REF!</definedName>
    <definedName name="BO32FB05F060C34127BE30D6C20C2A39DA" hidden="1">#REF!</definedName>
    <definedName name="BO3303C1B9CADC479F83512C22BB57A3F4" hidden="1">#REF!</definedName>
    <definedName name="BO33089438A2334CE5B6A74E6BF0008F08" hidden="1">#REF!</definedName>
    <definedName name="BO33254B37AFED4A04B36CD3998B3148B7" hidden="1">#REF!</definedName>
    <definedName name="BO332C2A2CFAA04D2983113D6471D8D531" hidden="1">#REF!</definedName>
    <definedName name="BO3335A5FF30344FFF89DC6E8CEC1C639F" hidden="1">#REF!</definedName>
    <definedName name="BO333D1F0C0DA849489A9203E6F5C1CF50" hidden="1">#REF!</definedName>
    <definedName name="BO333DE55542634C658D6823D12DB216BB" hidden="1">#REF!</definedName>
    <definedName name="BO333F1700E9C04F0ABC56EEF2BADB7258" hidden="1">#REF!</definedName>
    <definedName name="BO3349E0F3F8DD47AB9CF83BFE95CD7852" hidden="1">#REF!</definedName>
    <definedName name="BO334D899640F840DF80F9460D19C07F22" hidden="1">#REF!</definedName>
    <definedName name="BO335B0EFF058D4F4096389AE8D4EB4FC4" hidden="1">#REF!</definedName>
    <definedName name="BO336D2432902741AAADF34B7D6CD74B85" hidden="1">#REF!</definedName>
    <definedName name="BO337D6A51D5834672A832D37D5160C1B2" hidden="1">#REF!</definedName>
    <definedName name="BO337E46FC5BAB4AEEBA4AD138C243942F" hidden="1">#REF!</definedName>
    <definedName name="BO3381A4C24B7E4F639E5411CFA35BD61B" hidden="1">#REF!</definedName>
    <definedName name="BO3381EA05A1AD45618588FC7EBB18B808" hidden="1">#REF!</definedName>
    <definedName name="BO339BE4C3A310486195857EA1620369D1" hidden="1">#REF!</definedName>
    <definedName name="BO339F9DE0AEB242ECB2DBA931BF68ED0E" hidden="1">#REF!</definedName>
    <definedName name="BO33AFECA942FC4B36ADCED0EAC48AC781" hidden="1">#REF!</definedName>
    <definedName name="BO33B3E574C4D04C28BDEC738B5DB13456" hidden="1">#REF!</definedName>
    <definedName name="BO33BD3AB7760E4BB7853544EBD024D64E" hidden="1">#REF!</definedName>
    <definedName name="BO33C137B6BBA844D185370E3CCE6F977F" hidden="1">#REF!</definedName>
    <definedName name="BO33C9FEE321C544279C480C4677090B57" hidden="1">#REF!</definedName>
    <definedName name="BO33CF012E28A1427E90F03655CB695607" hidden="1">#REF!</definedName>
    <definedName name="BO33D24C0C0A7641A8935C6824B88EF744" hidden="1">#REF!</definedName>
    <definedName name="BO33DB3E7EEF404E1CABE5EB2EDD1DD361" hidden="1">#REF!</definedName>
    <definedName name="BO33DC5892B4C54369937EA269D4CAB424" hidden="1">#REF!</definedName>
    <definedName name="BO33E492FDE6FD4474A513B05F3E007153" hidden="1">#REF!</definedName>
    <definedName name="BO33E70A9C0BD84912812C6F1631F36858" hidden="1">#REF!</definedName>
    <definedName name="BO33EA49C2E7E7497D956C3BFA24C89B31" hidden="1">#REF!</definedName>
    <definedName name="BO33F3D469694044688452D091BB9B0757" hidden="1">#REF!</definedName>
    <definedName name="BO34085335C3BA4F5F9E56A48C7E4C3FF6" hidden="1">#REF!</definedName>
    <definedName name="BO340FD5FB53484FBE9B0F7743A1EC91B2" hidden="1">#REF!</definedName>
    <definedName name="BO341B1621AEB6400EB3B6B44CA1904127" hidden="1">#REF!</definedName>
    <definedName name="BO341BEA504305436BBF2F0A8D1C19E267" hidden="1">#REF!</definedName>
    <definedName name="BO3435DCB287EE403DAD9E3BDC493F4B40" hidden="1">#REF!</definedName>
    <definedName name="BO3440130565B24E449DDB06519C1C134F" hidden="1">#REF!</definedName>
    <definedName name="BO344D76CFF4434EE3AC9B1EC9894FA1FC" hidden="1">#REF!</definedName>
    <definedName name="BO345DC9416B5E48D180B611F140FD746B" hidden="1">#REF!</definedName>
    <definedName name="BO3462BC0757E2433A8485CD9EF89C4A3A" hidden="1">#REF!</definedName>
    <definedName name="BO347F64FB182E448EAE493FD4842E7150" hidden="1">#REF!</definedName>
    <definedName name="BO348F3B033D704816AEEA6DF351A23CC1" hidden="1">#REF!</definedName>
    <definedName name="BO34A1D6BC6C7348AAB13A64AFF183D5B7" hidden="1">#REF!</definedName>
    <definedName name="BO34A31CF8BB564C0781381489B083AD6B" hidden="1">#REF!</definedName>
    <definedName name="BO34A38376D7BD43FE943F88B105D2A3AE" hidden="1">#REF!</definedName>
    <definedName name="BO34AAB41E615D4F57B167DE60123A3270" hidden="1">#REF!</definedName>
    <definedName name="BO34AC0338CA4A4D3B85F52FCFF49A1DCC" hidden="1">#REF!</definedName>
    <definedName name="BO34AD6FC9C6CA48F6B7A09087ECF6A5FB" hidden="1">#REF!</definedName>
    <definedName name="BO34B5249A02D941E8A315646B692676BB" hidden="1">#REF!</definedName>
    <definedName name="BO34B55B1361CC4A19A8C4D1EBC57A1E0E" hidden="1">#REF!</definedName>
    <definedName name="BO34CE6C23FDAA400781F53060FD9A8440" hidden="1">#REF!</definedName>
    <definedName name="BO34D7382BB67C4F419E8483D354BF9F49" hidden="1">#REF!</definedName>
    <definedName name="BO34DB4260B3F8458E95C02985ED19FDAC" hidden="1">#REF!</definedName>
    <definedName name="BO34E4FE0EB179447AA344FA0D487E0B12" hidden="1">#REF!</definedName>
    <definedName name="BO34EBD0AE9BBF47C3BCEC1778B1894612" hidden="1">#REF!</definedName>
    <definedName name="BO34F09B835F634C7C8E919C914D757A63" hidden="1">#REF!</definedName>
    <definedName name="BO34F641F4BF664B2A8675B071CC6F000D" hidden="1">#REF!</definedName>
    <definedName name="BO34F694EFFAFA4A4F8A21F4AA018503BF" hidden="1">#REF!</definedName>
    <definedName name="BO34F91EBEA1F7486BBA551DAF3097CA56" hidden="1">#REF!</definedName>
    <definedName name="BO3502E9CFBA074AA5ADD16385D1647524" hidden="1">#REF!</definedName>
    <definedName name="BO3505769BF116412BA4AA2EDF15EC4393" hidden="1">#REF!</definedName>
    <definedName name="BO3507FE9446E0493C8BF4C852D5B3198C" hidden="1">#REF!</definedName>
    <definedName name="BO352839DE22174604949D35153F863866" hidden="1">#REF!</definedName>
    <definedName name="BO3530FDCB67B1417683F3BBC64569AB73" hidden="1">#REF!</definedName>
    <definedName name="BO353626C6B62C4F368EE8D616D76733B5" hidden="1">#REF!</definedName>
    <definedName name="BO353EEB108AEF43C19ED7DAFB04D6D1DC" hidden="1">#REF!</definedName>
    <definedName name="BO354F233C08F5411DB22604793ED435E7" hidden="1">#REF!</definedName>
    <definedName name="BO3556D6478376426FBBA9EC5DFF06421B" hidden="1">#REF!</definedName>
    <definedName name="BO356BD6BB66F344BABE43F8053D1B8F0E" hidden="1">#REF!</definedName>
    <definedName name="BO356F46F247964865BD6ACA73C190A70B" hidden="1">#REF!</definedName>
    <definedName name="BO3575BD615E4E4F5D9453D8E65C3111C3" hidden="1">#REF!</definedName>
    <definedName name="BO35898A6DD8BE4CC0A35A8145EFB51FB1" hidden="1">#REF!</definedName>
    <definedName name="BO3590C030E7954DDBBA0B4F7EBD8AB867" hidden="1">#REF!</definedName>
    <definedName name="BO3592222ECB0A4CB69B59AD91606D76CC" hidden="1">#REF!</definedName>
    <definedName name="BO35994177CB964A47A588F1738A68A609" hidden="1">#REF!</definedName>
    <definedName name="BO35AA0C646F604AC1A522C73830E16482" hidden="1">#REF!</definedName>
    <definedName name="BO35D2B97A99D042F4BDFF01F8CF6E8DE9" hidden="1">#REF!</definedName>
    <definedName name="BO35DBC32620F041A282B1A1B6F3CF5CBA" hidden="1">#REF!</definedName>
    <definedName name="BO35EBF4535B97437EAD78BF816F05A6DB" hidden="1">#REF!</definedName>
    <definedName name="BO35FCAE36518B41B1ACE99DA717A62ED1" hidden="1">#REF!</definedName>
    <definedName name="BO36063D826F8643EDB3743860BA141ACF" hidden="1">#REF!</definedName>
    <definedName name="BO360CC7C12DC14344A5E3D4638D07AAA0" hidden="1">#REF!</definedName>
    <definedName name="BO3612DA96CA5A4E578E17ED99608212D4" hidden="1">#REF!</definedName>
    <definedName name="BO3615AC939A504C00A95B2B17375D4644" hidden="1">#REF!</definedName>
    <definedName name="BO3615C2F97C0F4512AAF7ED977FEDED7B" hidden="1">#REF!</definedName>
    <definedName name="BO361CD148A431409CAD70B92A40843894" hidden="1">#REF!</definedName>
    <definedName name="BO3621868E69404722B45E58CDE9553201" hidden="1">#REF!</definedName>
    <definedName name="BO3645384B7CEE4D708806887845F67356" hidden="1">#REF!</definedName>
    <definedName name="BO3650896B3F8B4D059935C3A4DFB84FDD" hidden="1">#REF!</definedName>
    <definedName name="BO36519FF5CBB041D484FDB3396568C765" hidden="1">#REF!</definedName>
    <definedName name="BO365C71FBFCBE4B93828375AB99031FC4" hidden="1">#REF!</definedName>
    <definedName name="BO365C8EE929FC4772AEF6144CF378C5D1" hidden="1">#REF!</definedName>
    <definedName name="BO365CBD6C1F074F85A0BDF4EE25DF3010" hidden="1">#REF!</definedName>
    <definedName name="BO365FC5CAF74D40898D2F1FF2497E1E9D" hidden="1">#REF!</definedName>
    <definedName name="BO366171FAC0E243FEBA05609FF21584B2" hidden="1">#REF!</definedName>
    <definedName name="BO366E5697AB7D4A0CAF22D7777E6AB608" hidden="1">#REF!</definedName>
    <definedName name="BO367911A9B62C410189242B340CEFF14C" hidden="1">#REF!</definedName>
    <definedName name="BO369829A4C29F48BCBFAF41C90F966CFE" hidden="1">#REF!</definedName>
    <definedName name="BO369B68DEB3A24F6298F473EB2D100A61" hidden="1">#REF!</definedName>
    <definedName name="BO36AC78A480B44F11A765930236930FAD" hidden="1">#REF!</definedName>
    <definedName name="BO36AD98F2E5034C47A32B55FE1986561D" hidden="1">#REF!</definedName>
    <definedName name="BO36B0C26A60574698B67883F357352962" hidden="1">#REF!</definedName>
    <definedName name="BO36BFB508AF5242F68014B346A019CB2D" hidden="1">#REF!</definedName>
    <definedName name="BO36C1C18E1BF2488FB9672253DBAA59A0" hidden="1">#REF!</definedName>
    <definedName name="BO36C51EF8EDB748098C6D2C6C96754008" hidden="1">#REF!</definedName>
    <definedName name="BO36C84BEF853A459FB3561546561F4959" hidden="1">#REF!</definedName>
    <definedName name="BO36D5164CCFF94241AF9F346C9583643E" hidden="1">#REF!</definedName>
    <definedName name="BO36DA14034E03470BBAB197A4497C0E5B" hidden="1">#REF!</definedName>
    <definedName name="BO36F674DA5F9C4B00BE37E0C6180F6DE8" hidden="1">#REF!</definedName>
    <definedName name="BO3700A254A2584194AE51D25A7D355F97" hidden="1">#REF!</definedName>
    <definedName name="BO370865CB869945F897D0492860D6BB8C" hidden="1">#REF!</definedName>
    <definedName name="BO3708E0BB673340FDAEC7A063FC4A3307" hidden="1">#REF!</definedName>
    <definedName name="BO371131736AB345CA9D4AE6C6E61E3C0A" hidden="1">#REF!</definedName>
    <definedName name="BO371F20EC3D9140A5B4CD799FEB97E1D9" hidden="1">#REF!</definedName>
    <definedName name="BO372210C598DC450282DB88FA8392975B" hidden="1">#REF!</definedName>
    <definedName name="BO37324E187FA447C1B95E9AB3D2B69EA1" hidden="1">#REF!</definedName>
    <definedName name="BO373F4BE8044340EA899FF96CA5C2BB72" hidden="1">#REF!</definedName>
    <definedName name="BO37434AB4530C4E60B222119A8C523BB6" hidden="1">#REF!</definedName>
    <definedName name="BO374382CD659C4F33BA779F31DEFB531B" hidden="1">#REF!</definedName>
    <definedName name="BO374D2245D25741779720C2BCE4EB3C01" hidden="1">#REF!</definedName>
    <definedName name="BO3752D67E221041D181558E3AA1C0AEAA" hidden="1">#REF!</definedName>
    <definedName name="BO37546996F0BF4584B2662E9A926E040F" hidden="1">#REF!</definedName>
    <definedName name="BO3758EF72095641CF88D60D8C983FBDA0" hidden="1">#REF!</definedName>
    <definedName name="BO375A433DE378438A953D0049DC4A3AD9" hidden="1">#REF!</definedName>
    <definedName name="BO375EB05E5BB945D2BDFDD94237E636D2" hidden="1">#REF!</definedName>
    <definedName name="BO3770CB8232B54F9C97BB02555C9FFDED" hidden="1">#REF!</definedName>
    <definedName name="BO3782A801B56D4171B1B9ACF3870F1AD9" hidden="1">#REF!</definedName>
    <definedName name="BO378FC0FBFF014FFBBAE256DFD3367F19" hidden="1">#REF!</definedName>
    <definedName name="BO379ADC355A4C465791D29BD9F82D7345" hidden="1">#REF!</definedName>
    <definedName name="BO37A3E8C77946424A9E1722EC1516E08F" hidden="1">#REF!</definedName>
    <definedName name="BO37B3297E5B1443B7B867FC8152051972" hidden="1">#REF!</definedName>
    <definedName name="BO37B662D4528E46AFB3909E26C3A1CF28" hidden="1">#REF!</definedName>
    <definedName name="BO37CA7F1106F8459098FD9299A528182E" hidden="1">#REF!</definedName>
    <definedName name="BO37EB0282203044BC9B7AB2AFBEF1E33E" hidden="1">#REF!</definedName>
    <definedName name="BO37FC2DC178694C9D8063159327A6383F" hidden="1">#REF!</definedName>
    <definedName name="BO380B7BDD0AFF41859AB871E3701256CE" hidden="1">#REF!</definedName>
    <definedName name="BO380FBA4CE9B64D8CA537AF082AAF0164" hidden="1">#REF!</definedName>
    <definedName name="BO38143A4D75CB4595B1DED5BB6A033EF9" hidden="1">#REF!</definedName>
    <definedName name="BO38307CE6A240472C881DE1D8C1D1EAE9" hidden="1">#REF!</definedName>
    <definedName name="BO38361EA68F55445395FECCBFE10E25F3" hidden="1">#REF!</definedName>
    <definedName name="BO383B9095A4E34801BDE00806421267EA" hidden="1">#REF!</definedName>
    <definedName name="BO3840FD50BC97458B83D7F5733E0CEC33" hidden="1">#REF!</definedName>
    <definedName name="BO38423DE393404E28ACBE0222B688347C" hidden="1">#REF!</definedName>
    <definedName name="BO38431CC50FA3451699F51CBA084D0420" hidden="1">#REF!</definedName>
    <definedName name="BO386A44962D954AEBACF367F2C6168862" hidden="1">#REF!</definedName>
    <definedName name="BO386BF7034BB141A789DF9940514E9DFC" hidden="1">#REF!</definedName>
    <definedName name="BO38768DE989CA4D1FAB502F721C22B1B2" hidden="1">#REF!</definedName>
    <definedName name="BO3876C2898B444A7BB312C20A8657345F" hidden="1">#REF!</definedName>
    <definedName name="BO3876E3FA38834FA18D274FFA0FA361E4" hidden="1">#REF!</definedName>
    <definedName name="BO38804D8B325F49FF95C49E1837A1389D" hidden="1">#REF!</definedName>
    <definedName name="BO3886996FCE6544A39EA0704AD18410B1" hidden="1">#REF!</definedName>
    <definedName name="BO388E0162FC7747BC9C308B63D3E8C02A" hidden="1">#REF!</definedName>
    <definedName name="BO38938C0AB79240DEAF32A739A26D99C9" hidden="1">#REF!</definedName>
    <definedName name="BO38A5F00E9B884A76B4734090F35A9793" hidden="1">#REF!</definedName>
    <definedName name="BO38B00BB592414070AEEC5BD36A949A10" hidden="1">#REF!</definedName>
    <definedName name="BO38B04CD896404B7492D8BEB04BF4DCE2" hidden="1">#REF!</definedName>
    <definedName name="BO38C1C8F792464F8EACBBFAF2CD7142A6" hidden="1">#REF!</definedName>
    <definedName name="BO38C1DC8280164419BCB007D8307CBB2C" hidden="1">#REF!</definedName>
    <definedName name="BO38C70B727FB04925954E2D508A14943E" hidden="1">#REF!</definedName>
    <definedName name="BO38C7B185129C4F49B15418E9C1F38DD4" hidden="1">#REF!</definedName>
    <definedName name="BO38CB14A10DEC42E88A6AA4C5D916EE63" hidden="1">#REF!</definedName>
    <definedName name="BO38E0706657BC43808F3BC515FE5C3D0B" hidden="1">#REF!</definedName>
    <definedName name="BO38E89B01B792472C8578865E056DA6E5" hidden="1">#REF!</definedName>
    <definedName name="BO38EF07FEA67042F2BAB9F0DFFD718EF5" hidden="1">#REF!</definedName>
    <definedName name="BO38EFB06385B9488C98956DB08B6AC872" hidden="1">#REF!</definedName>
    <definedName name="BO38FABABEE52944859ADA692CED257D1C" hidden="1">#REF!</definedName>
    <definedName name="BO391083E4CF7D4D47BA3728F2CF242A05" hidden="1">#REF!</definedName>
    <definedName name="BO392234EC0E0C4433940B68241A33EC67" hidden="1">#REF!</definedName>
    <definedName name="BO3924C12A19634360A7A083B5FCF2BE11" hidden="1">#REF!</definedName>
    <definedName name="BO3935E80D74B34CF08C95983ACA4965D2" hidden="1">#REF!</definedName>
    <definedName name="BO39628CE4392546BD8509237DC178D6E0" hidden="1">#REF!</definedName>
    <definedName name="BO3964C7FE34624486B3E94E0B5662D9DA" hidden="1">#REF!</definedName>
    <definedName name="BO3965D0F6D00E4F40AF6DCE6BF87153C4" hidden="1">#REF!</definedName>
    <definedName name="BO396F56DAA9604299A54246A252515E9E" hidden="1">#REF!</definedName>
    <definedName name="BO39728FAC0B82465E84EAEF7C51438712" hidden="1">#REF!</definedName>
    <definedName name="BO397A2A58101B40E2BD93E77CD0994D54" hidden="1">#REF!</definedName>
    <definedName name="BO3983FC6DF27647E2A36C66D08ED187BD" hidden="1">#REF!</definedName>
    <definedName name="BO398EB6A70B7944468E38C8C880D73B9F" hidden="1">#REF!</definedName>
    <definedName name="BO399CD508EC304F029B7A7987B347864F" hidden="1">#REF!</definedName>
    <definedName name="BO39A6C43480894995BB7FEC1DF7CBC278" hidden="1">#REF!</definedName>
    <definedName name="BO39AABB257F7C4EB2AACA2130267FCFA3" hidden="1">#REF!</definedName>
    <definedName name="BO39AB35E36A984A8BA0CB142A01E46891" hidden="1">#REF!</definedName>
    <definedName name="BO39B58632EF5F400EAD2C4114489ECE46" hidden="1">#REF!</definedName>
    <definedName name="BO39C49E4273974CE190E677E90738793E" hidden="1">#REF!</definedName>
    <definedName name="BO39C9E1E713904EFAABFF4F4222504168" hidden="1">#REF!</definedName>
    <definedName name="BO39D8C0B6753A4DFAAB16C9D97B6A951C" hidden="1">#REF!</definedName>
    <definedName name="BO39EB17FAE576420A9D81D261C0957C6E" hidden="1">#REF!</definedName>
    <definedName name="BO3A04F110BFE34BB4AD54FE9A3FE8438B" hidden="1">#REF!</definedName>
    <definedName name="BO3A09854B422646578926D3164058CEA9" hidden="1">#REF!</definedName>
    <definedName name="BO3A0C72DE05514DCDADFDE618DAA3A8C3" hidden="1">#REF!</definedName>
    <definedName name="BO3A0E94E3C3554202BA9481B453F9D67D" hidden="1">#REF!</definedName>
    <definedName name="BO3A13CCCB66D6401DB60C2CCF60582FF8" hidden="1">#REF!</definedName>
    <definedName name="BO3A16C04854E94A47AB246131B847C7D6" hidden="1">#REF!</definedName>
    <definedName name="BO3A2018D969E7417D9BF8361250064234" hidden="1">#REF!</definedName>
    <definedName name="BO3A31DEF7436F4DB6A6C98DA37313F476" hidden="1">#REF!</definedName>
    <definedName name="BO3A4879575C9F435F9E38543D3BB955C4" hidden="1">#REF!</definedName>
    <definedName name="BO3A565FCB26104147A7AD184CBEF394AD" hidden="1">#REF!</definedName>
    <definedName name="BO3A68480073094914AA7AEC8859DEA99E" hidden="1">#REF!</definedName>
    <definedName name="BO3A6AFF00B5FC4EF293B37DA5EE95C417" hidden="1">#REF!</definedName>
    <definedName name="BO3A76730E0CAD4068852B605600511677" hidden="1">#REF!</definedName>
    <definedName name="BO3A79E0C6DBA24FDAB1F6A7930C7FDBD0" hidden="1">#REF!</definedName>
    <definedName name="BO3A87C8DF150449AA9A0AF6EAB8798085" hidden="1">#REF!</definedName>
    <definedName name="BO3A886A58A8F14AFF95D03C851EE816B7" hidden="1">#REF!</definedName>
    <definedName name="BO3A8B86EA04044EACAF83EA36FC5FB7CB" hidden="1">#REF!</definedName>
    <definedName name="BO3A9ED9B4761846858C5F2BDBDCB0CF7D" hidden="1">#REF!</definedName>
    <definedName name="BO3AAAF4B6D9CD43FC9168849BBE70890F" hidden="1">#REF!</definedName>
    <definedName name="BO3AAE740F80ED41B281A5DE256969ED1C" hidden="1">#REF!</definedName>
    <definedName name="BO3AD0E6A4688F44F0AB3960BD23FACA3C" hidden="1">#REF!</definedName>
    <definedName name="BO3AD58F395A274758985C72067C9727D1" hidden="1">#REF!</definedName>
    <definedName name="BO3AD6575BF23A401B9C6DE54DD58E0251" hidden="1">#REF!</definedName>
    <definedName name="BO3AD67FF3F86347078C3890B2819A68B8" hidden="1">#REF!</definedName>
    <definedName name="BO3ADDF4026E7C4FE3A82FC783F8D675DD" hidden="1">#REF!</definedName>
    <definedName name="BO3ADEB5F1ADE64F56BB28DBCD0992F58E" hidden="1">#REF!</definedName>
    <definedName name="BO3AE13FB565EB4DAFA9CBA618A5C99C5D" hidden="1">#REF!</definedName>
    <definedName name="BO3AE1745CE73F401B9CAF3E1601A9F4DE" hidden="1">#REF!</definedName>
    <definedName name="BO3AEC3152F7AF46788257617CFFEA03D9" hidden="1">#REF!</definedName>
    <definedName name="BO3AF75B0E32FD4F5B9C19A7087D8B3DB3" hidden="1">#REF!</definedName>
    <definedName name="BO3AF85CD286834FD2BB92E5242087E26B" hidden="1">#REF!</definedName>
    <definedName name="BO3AFA122D7C984F49BEC0C127ADD2DD35" hidden="1">#REF!</definedName>
    <definedName name="BO3B04E3C7CBA64093968E1E2998A9965F" hidden="1">#REF!</definedName>
    <definedName name="BO3B1663EE2079443499E108B5B4B8FCFE" hidden="1">#REF!</definedName>
    <definedName name="BO3B415B9676B64533A3E7C4C320B91A5F" hidden="1">#REF!</definedName>
    <definedName name="BO3B50120F600240D1A62EA881664C9E54" hidden="1">#REF!</definedName>
    <definedName name="BO3B529AF17971447AAEE9105FFF170A46" hidden="1">#REF!</definedName>
    <definedName name="BO3B5E071C0A194DB4BE041742BBE7AE33" hidden="1">#REF!</definedName>
    <definedName name="BO3B6B2AC867804D6082700D9497795DE1" hidden="1">#REF!</definedName>
    <definedName name="BO3B73B283499F47AF97C291B5F6FDA083" hidden="1">#REF!</definedName>
    <definedName name="BO3B75805B134943DFA975FFAF1ADB5F95" hidden="1">#REF!</definedName>
    <definedName name="BO3B7D12F754674B1FBB99551648C9EEE1" hidden="1">#REF!</definedName>
    <definedName name="BO3B83B8DBF7A14C959FF29C55488A1103" hidden="1">#REF!</definedName>
    <definedName name="BO3B8721A0573746DA8946D2B339B7F18B" hidden="1">#REF!</definedName>
    <definedName name="BO3B8746FCCEAB46E3BD5C663D9A74B463" hidden="1">#REF!</definedName>
    <definedName name="BO3B88DD513E5B47389E0C3D26EB9235EC" hidden="1">#REF!</definedName>
    <definedName name="BO3B8F09B2007D4AA0B6C6B6C49E74CF7F" hidden="1">#REF!</definedName>
    <definedName name="BO3B9901E230494F49AFFC964782E011FA" hidden="1">#REF!</definedName>
    <definedName name="BO3BA0F4E57F8E4B368642494DEBC04E34" hidden="1">#REF!</definedName>
    <definedName name="BO3BA4591EA0BE452FAE508AA89A601208" hidden="1">#REF!</definedName>
    <definedName name="BO3BB6B41DDEB040F9BE205BCFA509AA0B" hidden="1">#REF!</definedName>
    <definedName name="BO3BD35CEEAAB34E7A826A4C57EA38C94C" hidden="1">#REF!</definedName>
    <definedName name="BO3BE3F97631974BC9A37FDE53DE9B49A2" hidden="1">#REF!</definedName>
    <definedName name="BO3BED68F56609437182E41F52829A6A7C" hidden="1">#REF!</definedName>
    <definedName name="BO3BF82567F1D84FD18417595C15F90111" hidden="1">#REF!</definedName>
    <definedName name="BO3C01C619191E402C9CB932E442BABADA" hidden="1">#REF!</definedName>
    <definedName name="BO3C0DBE9A3D5D409FBC9AD314BB633225" hidden="1">#REF!</definedName>
    <definedName name="BO3C15FED33783437BB14233B1010D37DE" hidden="1">#REF!</definedName>
    <definedName name="BO3C29D7EBEA394A45804AF7961DF25E76" hidden="1">#REF!</definedName>
    <definedName name="BO3C2B5BE0393D4D30A827AB7710DCFD4E" hidden="1">#REF!</definedName>
    <definedName name="BO3C39360377CE4C86AB757C1B4E8609FE" hidden="1">#REF!</definedName>
    <definedName name="BO3C3EAF507D16469D93D59917583A32E0" hidden="1">#REF!</definedName>
    <definedName name="BO3C49B16B697B4DEEA2D524ADDC64548D" hidden="1">#REF!</definedName>
    <definedName name="BO3C580FC088AF42B696B149F871E49F49" hidden="1">#REF!</definedName>
    <definedName name="BO3C69412D48FF46DB9DD68D8EDF4680C4" hidden="1">#REF!</definedName>
    <definedName name="BO3C6D897B3BB648F58DF6AF4C9D04AF8D" hidden="1">#REF!</definedName>
    <definedName name="BO3C732A279F5B47D9A0A39D4A5D270DC1" hidden="1">#REF!</definedName>
    <definedName name="BO3C7BE1FBD9D941C3A3364581378852A1" hidden="1">#REF!</definedName>
    <definedName name="BO3C83ECA8E9BA4F3ABC54F0DFD69C2623" hidden="1">#REF!</definedName>
    <definedName name="BO3C90E0D9DD9B47CFA04FEED00772FB26" hidden="1">#REF!</definedName>
    <definedName name="BO3C97E2AB74D048AFBEA393C34DC8905F" hidden="1">#REF!</definedName>
    <definedName name="BO3C99EC20775940E29AAA577BA3CEBD42" hidden="1">#REF!</definedName>
    <definedName name="BO3C9F352F44A14C4EBE28B471629CF41C" hidden="1">#REF!</definedName>
    <definedName name="BO3CAC2ED612B349C5B078936C72780DAC" hidden="1">#REF!</definedName>
    <definedName name="BO3CAF798A31E144A89FDAB4A8E5649A90" hidden="1">#REF!</definedName>
    <definedName name="BO3CB1FF1C3CDD47C09B67704852B97BBE" hidden="1">#REF!</definedName>
    <definedName name="BO3CBF1980554A426CA7276281698B7F5E" hidden="1">#REF!</definedName>
    <definedName name="BO3CD1B43FCDB3462989EB24A47DD0C8E2" hidden="1">#REF!</definedName>
    <definedName name="BO3CE6D7A947864B7B9BC99DBD24F9B516" hidden="1">#REF!</definedName>
    <definedName name="BO3CE8B104102C46488C3050F9AEAE08F8" hidden="1">#REF!</definedName>
    <definedName name="BO3CEA3A4401C24AD0804C6E3CAE1D5971" hidden="1">#REF!</definedName>
    <definedName name="BO3CEE1A82F3F8403C881D0E09F27BF886" hidden="1">#REF!</definedName>
    <definedName name="BO3D01A69E523A46579181D4999DF9FCD9" hidden="1">#REF!</definedName>
    <definedName name="BO3D0D4138DC2F4553A979E43801D0AF9A" hidden="1">#REF!</definedName>
    <definedName name="BO3D0E01C3221B4E199DB2E4B8F60839C0" hidden="1">#REF!</definedName>
    <definedName name="BO3D1BDF635BDA4449AED71A1812213BE6" hidden="1">#REF!</definedName>
    <definedName name="BO3D22C40DFF3F408CA4E85B572AF680A8" hidden="1">#REF!</definedName>
    <definedName name="BO3D26FE91B4E94A85A087601674A72F7D" hidden="1">#REF!</definedName>
    <definedName name="BO3D2D8ECAF41E49A9B6770F59ABD46408" hidden="1">#REF!</definedName>
    <definedName name="BO3D366F79B8B64AC8806340DA5196DDBF" hidden="1">#REF!</definedName>
    <definedName name="BO3D380A1D54994E18B7112F037117BF05" hidden="1">#REF!</definedName>
    <definedName name="BO3D383C54321B4F229AD9CADACF806999" hidden="1">#REF!</definedName>
    <definedName name="BO3D3BCB4074F741398DE31B0E94CCDCB1" hidden="1">#REF!</definedName>
    <definedName name="BO3D53F7FC738447F8912EABCCB8CC4F76" hidden="1">#REF!</definedName>
    <definedName name="BO3D5A1BBF80D9441DA7091F784715A4D6" hidden="1">#REF!</definedName>
    <definedName name="BO3D65606C174B4F2FA831D4F83A06FC5D" hidden="1">#REF!</definedName>
    <definedName name="BO3D6C57D00F4C4CD4A3EA991EDA1B95F6" hidden="1">#REF!</definedName>
    <definedName name="BO3D8779AAD02F4C93B2E1FFB4CE0F1D08" hidden="1">#REF!</definedName>
    <definedName name="BO3D8BECCC3E484AD4B5DD4B4642FDC01F" hidden="1">#REF!</definedName>
    <definedName name="BO3D8C33EE7F5F4BCBAF3A3E1BAEC01ECB" hidden="1">#REF!</definedName>
    <definedName name="BO3D8F1A1F711043F78788383EDF6BED46" hidden="1">#REF!</definedName>
    <definedName name="BO3D900BB2C2E4460F9C7B12B9B720CC7F" hidden="1">#REF!</definedName>
    <definedName name="BO3D912343BF894A248FD90C585AAB842C" hidden="1">#REF!</definedName>
    <definedName name="BO3DA5B167055846DD9F7822EE13D7E3E8" hidden="1">#REF!</definedName>
    <definedName name="BO3DABA0E9FCA6468290601E71656A0A49" hidden="1">#REF!</definedName>
    <definedName name="BO3DBE9B5E917D4125955F1DBBF7160E11" hidden="1">#REF!</definedName>
    <definedName name="BO3DE2E378910C41219A2C9033267B290A" hidden="1">#REF!</definedName>
    <definedName name="BO3DEA1D59B0714411BEC6AC8D415A426B" hidden="1">#REF!</definedName>
    <definedName name="BO3DEE5A045B114805AC5399D5A2B65334" hidden="1">#REF!</definedName>
    <definedName name="BO3E087C42E90140AEB51D909B0EE64FB8" hidden="1">#REF!</definedName>
    <definedName name="BO3E0A955827C44CD1B363AF122F4B4CC6" hidden="1">#REF!</definedName>
    <definedName name="BO3E0DA86856D9443DA76AE9A8AD512BC1" hidden="1">#REF!</definedName>
    <definedName name="BO3E16186BD5E5472391231B21793555F9" hidden="1">#REF!</definedName>
    <definedName name="BO3E1802DE034A4A4E899636402B45FDC9" hidden="1">#REF!</definedName>
    <definedName name="BO3E2D654739524F18BF95AFF9590DD5F4" hidden="1">#REF!</definedName>
    <definedName name="BO3E30FA982D864030A719716757E8F497" hidden="1">#REF!</definedName>
    <definedName name="BO3E4E43F06A33487D8417B96B702E8B53" hidden="1">#REF!</definedName>
    <definedName name="BO3E55EDFA8A4149EEB969A881FCA1D80A" hidden="1">#REF!</definedName>
    <definedName name="BO3E6B55D6AF6340ABB50FC9593EB05B41" hidden="1">#REF!</definedName>
    <definedName name="BO3E738BFAF2FA4B8499A3B8E769399491" hidden="1">#REF!</definedName>
    <definedName name="BO3E7FDD5CE1BF4770A20D06F1E5D9ED85" hidden="1">#REF!</definedName>
    <definedName name="BO3E8043B359034B71A987AFB6B12D5558" hidden="1">#REF!</definedName>
    <definedName name="BO3E8216C4D2B84958953F246641B98F71" hidden="1">#REF!</definedName>
    <definedName name="BO3E97704CF5074F1DA39A72202D13F8DE" hidden="1">#REF!</definedName>
    <definedName name="BO3E9A7C40C1B443D88AF668A6AD3C26A0" hidden="1">#REF!</definedName>
    <definedName name="BO3EA1D469DCD847E3B30227CE74F1E3C9" hidden="1">#REF!</definedName>
    <definedName name="BO3EAAB73C30D341E0B520D0F1D5C742BE" hidden="1">#REF!</definedName>
    <definedName name="BO3EAD1C2CE4F243D5AE3B58802E1B63A0" hidden="1">#REF!</definedName>
    <definedName name="BO3EB0BA8DF7E14ED1A596BB40C1A08AF7" hidden="1">#REF!</definedName>
    <definedName name="BO3EB293C7F32D4E92B8982FCD3BCD3685" hidden="1">#REF!</definedName>
    <definedName name="BO3EB66BB1D3F84A789D97BC95C350B0AC" hidden="1">#REF!</definedName>
    <definedName name="BO3EB922A64EBD4BC2AB1F4D4948EABC1B" hidden="1">#REF!</definedName>
    <definedName name="BO3EC7A4A10879409DBC722ED44DCE39B5" hidden="1">#REF!</definedName>
    <definedName name="BO3ECF966960524BC48315837DD558C7B0" hidden="1">#REF!</definedName>
    <definedName name="BO3ED02EE9BD3247BF92D48F7E2C21323B" hidden="1">#REF!</definedName>
    <definedName name="BO3ED48BDEF4E04A80AA1359EA01EC9691" hidden="1">#REF!</definedName>
    <definedName name="BO3EDECF1544C94169A12F12B01B499AD3" hidden="1">#REF!</definedName>
    <definedName name="BO3EE404E494F146C89A11128F821AF6E5" hidden="1">#REF!</definedName>
    <definedName name="BO3EE58FF98A64489487F5317E5F2A2D40" hidden="1">#REF!</definedName>
    <definedName name="BO3EE7B9084BBA410E891DFAF747855A15" hidden="1">#REF!</definedName>
    <definedName name="BO3EFBFD37FE43445DA55383B672210FD3" hidden="1">#REF!</definedName>
    <definedName name="BO3EFF2EB722BB412B902FD11CF9593020" hidden="1">#REF!</definedName>
    <definedName name="BO3F154B71BD094271A54047030DF7AAC5" hidden="1">#REF!</definedName>
    <definedName name="BO3F1553F26AAF4A8783CC6EEFD13AD5DD" hidden="1">#REF!</definedName>
    <definedName name="BO3F1E11A469274FC6A67526112EDDD0AF" hidden="1">#REF!</definedName>
    <definedName name="BO3F22889ABE80465F85473D4ABC874FD7" hidden="1">#REF!</definedName>
    <definedName name="BO3F277297305048B9A67A3833ADCD0E12" hidden="1">#REF!</definedName>
    <definedName name="BO3F30918548184C91A36CEDD92895DF1E" hidden="1">#REF!</definedName>
    <definedName name="BO3F38A0A7D46D4BA7AD527D30E4A56B72" hidden="1">#REF!</definedName>
    <definedName name="BO3F3D2A8F812141B6AC12D6BA19CD028E" hidden="1">#REF!</definedName>
    <definedName name="BO3F46EA2334684F29BCAD6E092746B740" hidden="1">#REF!</definedName>
    <definedName name="BO3F5B203B990340228EE5AA55860A0B8E" hidden="1">#REF!</definedName>
    <definedName name="BO3F645583CD92428298A60AD59E390265" hidden="1">#REF!</definedName>
    <definedName name="BO3F83F37BE86B446EB97593C842A48D11" hidden="1">#REF!</definedName>
    <definedName name="BO3F843D098E9A4A42AB0A2136164ED60B" hidden="1">#REF!</definedName>
    <definedName name="BO3F843E3EAF5C41D793F1710E586003B0" hidden="1">#REF!</definedName>
    <definedName name="BO3F8975D6AF56434CB59C9E31A11D0CF5" hidden="1">#REF!</definedName>
    <definedName name="BO3F8E4FFDEF82428999EF6A3B99B1864B" hidden="1">#REF!</definedName>
    <definedName name="BO3FA29E5CA50F4715B66B74486B376575" hidden="1">#REF!</definedName>
    <definedName name="BO3FAB412899694FC183D20D0B8AA897BA" hidden="1">#REF!</definedName>
    <definedName name="BO3FB1643B22B44F8E8E5C3B832C6F94D0" hidden="1">#REF!</definedName>
    <definedName name="BO3FBFA84D4DAE49E6B93EECA3E46D826C" hidden="1">#REF!</definedName>
    <definedName name="BO3FBFE32341BA4B5CBF898072124A4774" hidden="1">#REF!</definedName>
    <definedName name="BO3FCCFF29E58C4498BCF6C8600271E745" hidden="1">#REF!</definedName>
    <definedName name="BO3FD1ACD2B7D3444E972CD0E975ECE659" hidden="1">#REF!</definedName>
    <definedName name="BO3FF74FEA2CF94E9DADD54478EC052B2F" hidden="1">#REF!</definedName>
    <definedName name="BO40008CF7F4DA4E96A26FBEA475DE0796" hidden="1">#REF!</definedName>
    <definedName name="BO40022C98B06A4FCBAC9064A4EA42FB08" hidden="1">#REF!</definedName>
    <definedName name="BO400631F60C7A480FAD7DC31CC1DFD69D" hidden="1">#REF!</definedName>
    <definedName name="BO4021533133BD483CA5D300E56BD4A11B" hidden="1">#REF!</definedName>
    <definedName name="BO4027A40AE72843D683389A91F5B9AE2C" hidden="1">#REF!</definedName>
    <definedName name="BO4032600DA1604EBCA40AD8FA527A2DB8" hidden="1">#REF!</definedName>
    <definedName name="BO403846FA400C423A9054AFC249D0E41D" hidden="1">#REF!</definedName>
    <definedName name="BO403B5E62ED5F47888AA1E75CE4B4227D" hidden="1">#REF!</definedName>
    <definedName name="BO40428D83BE46458DA3AB6CBF493A31DF" hidden="1">#REF!</definedName>
    <definedName name="BO40464DA0F33A442D9A4E4F5778FF687F" hidden="1">#REF!</definedName>
    <definedName name="BO40515F70D7FD4F28B8A8A141DF9ADF80" hidden="1">#REF!</definedName>
    <definedName name="BO4052EE8E85904E7ABC28234A81EB77A1" hidden="1">#REF!</definedName>
    <definedName name="BO4057920C358B436BBB0BEAE219E7744E" hidden="1">#REF!</definedName>
    <definedName name="BO405792ADCF2E45CCB976842F14D022B7" hidden="1">#REF!</definedName>
    <definedName name="BO406254196E15439B85E8EBE9BA545CE0" hidden="1">#REF!</definedName>
    <definedName name="BO406435C0819B4C7C98A2B0F50580C676" hidden="1">#REF!</definedName>
    <definedName name="BO40693B5EAA9440FBB535AE3CC5252134" hidden="1">#REF!</definedName>
    <definedName name="BO4069BAA986F143C38ECE60E4E7C37641" hidden="1">#REF!</definedName>
    <definedName name="BO406D5CAF06454B84BF1F2D87C037AC7D" hidden="1">#REF!</definedName>
    <definedName name="BO40725A3B99CB4AD587F929D6BC49BE96" hidden="1">#REF!</definedName>
    <definedName name="BO407403F2BAA641BB9B9D7FC4D5C2B44E" hidden="1">#REF!</definedName>
    <definedName name="BO4079A47A5FC24429B761F389742D7806" hidden="1">#REF!</definedName>
    <definedName name="BO407DFCE8970640DB8ADE98D796C381B7" hidden="1">#REF!</definedName>
    <definedName name="BO408C428A46A54ABF99C27890F05475A0" hidden="1">#REF!</definedName>
    <definedName name="BO408D47B36DCC494A915E4A4AA2C79DE5" hidden="1">#REF!</definedName>
    <definedName name="BO40BE116428A14FD2A30F6D1DB5EDDDFA" hidden="1">#REF!</definedName>
    <definedName name="BO40C40736B11D4E4787D47A1372787289" hidden="1">#REF!</definedName>
    <definedName name="BO40E1A3C92AE84B78B4D999C57C7AE4E7" hidden="1">#REF!</definedName>
    <definedName name="BO40F1C9FA799E4E6CA0B05BB7190F9C88" hidden="1">#REF!</definedName>
    <definedName name="BO40F6078583404F509CB0F2B754944302" hidden="1">#REF!</definedName>
    <definedName name="BO40FFE8A4B5DC4DE899A13841F8A68EBC" hidden="1">#REF!</definedName>
    <definedName name="BO41070C7616B34D9A88B7C4BF653457DC" hidden="1">#REF!</definedName>
    <definedName name="BO411F93F7402543569DBC2C5CF40AE811" hidden="1">#REF!</definedName>
    <definedName name="BO4123E960588B43CB99508CF873D648B1" hidden="1">#REF!</definedName>
    <definedName name="BO4135E19836F44838B1A6CA07AC779A62" hidden="1">#REF!</definedName>
    <definedName name="BO4139F45B9D2741E99205C54F41ACCBC9" hidden="1">#REF!</definedName>
    <definedName name="BO41498888205547C099F1A59C01B06254" hidden="1">#REF!</definedName>
    <definedName name="BO41567E7432534468B6772E14C49B5292" hidden="1">#REF!</definedName>
    <definedName name="BO4159FA8D93D24474B5CF0A86EA6231C9" hidden="1">#REF!</definedName>
    <definedName name="BO417779FAD120433EAE4466AD60296526" hidden="1">#REF!</definedName>
    <definedName name="BO417C57D8516A4C789D39347F21DFB20C" hidden="1">#REF!</definedName>
    <definedName name="BO41836CAF006744B184F6A88D8A69194C" hidden="1">#REF!</definedName>
    <definedName name="BO418BE5D66DE642D8A08BBDBCC18D673B" hidden="1">#REF!</definedName>
    <definedName name="BO41972A4DFA7B4A08910CB702A9A182A7" hidden="1">#REF!</definedName>
    <definedName name="BO41B34389EE8B47D4999CC984786CEA7D" hidden="1">#REF!</definedName>
    <definedName name="BO41C7A94E99CB471887CA867DD2186EB5" hidden="1">#REF!</definedName>
    <definedName name="BO41D2E01CA3024C57BC5049C8839471CB" hidden="1">#REF!</definedName>
    <definedName name="BO41DBA15B6FDC4F5387FA1778D7037CBA" hidden="1">#REF!</definedName>
    <definedName name="BO41F8896BF54A4CCC84FB052E6829FFC8" hidden="1">#REF!</definedName>
    <definedName name="BO4212380E9AC74A43BD913DA620CB29E8" hidden="1">#REF!</definedName>
    <definedName name="BO42139856E46445789974AD77DC784C94" hidden="1">#REF!</definedName>
    <definedName name="BO4225E40CFA8C4C7F8E69EAE50315C811" hidden="1">#REF!</definedName>
    <definedName name="BO4248086BDBC34E5EB209926EE6945238" hidden="1">#REF!</definedName>
    <definedName name="BO424A3CB1835D480D9425C6C3E6F3B0E2" hidden="1">#REF!</definedName>
    <definedName name="BO424D6759F4B944B1848D53818DCDE8CF" hidden="1">#REF!</definedName>
    <definedName name="BO4259B8E1B1E14837836D7D5EE87BD387" hidden="1">#REF!</definedName>
    <definedName name="BO42603AE889C444D9B4103A36754E1FE0" hidden="1">#REF!</definedName>
    <definedName name="BO4260761BC4F1407E8F9B4516DF8E4C74" hidden="1">#REF!</definedName>
    <definedName name="BO4275728051AB455E9B52892C35188B0E" hidden="1">#REF!</definedName>
    <definedName name="BO4278BCE3DB3D42C7B0ACC88D96D88AE3" hidden="1">#REF!</definedName>
    <definedName name="BO427A07BA8883472686CD96C34143F032" hidden="1">#REF!</definedName>
    <definedName name="BO428A8767DDC6480B839A56AD5CAB4C2D" hidden="1">#REF!</definedName>
    <definedName name="BO428CD6BD638F4F5D9FEE618FA9479969" hidden="1">#REF!</definedName>
    <definedName name="BO428FC334F92643139AC32A5B91D8EA96" hidden="1">#REF!</definedName>
    <definedName name="BO42946A46130941F88EAC3BD75B33BD37" hidden="1">#REF!</definedName>
    <definedName name="BO429AA0DC036949E6A1E419D31981B393" hidden="1">#REF!</definedName>
    <definedName name="BO42A20EF54F564786B3FF591528658D2A" hidden="1">#REF!</definedName>
    <definedName name="BO42A736401870400BA3B2D3EECBFB48B6" hidden="1">#REF!</definedName>
    <definedName name="BO42AF252872D9454B8650298602896188" hidden="1">#REF!</definedName>
    <definedName name="BO42AF821011FA4F0E9D55892D274DADFE" hidden="1">#REF!</definedName>
    <definedName name="BO42D5B4C5F0B944E69C11CE5B5048AE9A" hidden="1">#REF!</definedName>
    <definedName name="BO42D62E45D5A641BDB6C617EE07E847BB" hidden="1">#REF!</definedName>
    <definedName name="BO42DED5D138C34948AE889B8DDF038AC8" hidden="1">#REF!</definedName>
    <definedName name="BO42E464BB05A94195873DC71C55E8C9DA" hidden="1">#REF!</definedName>
    <definedName name="BO42EFBFD9E39C400092C813A8BD321C0A" hidden="1">#REF!</definedName>
    <definedName name="BO42F49E72F7C241D19D258E41944C0809" hidden="1">#REF!</definedName>
    <definedName name="BO42FC0D454E9E46CA9EB2A6865E39D013" hidden="1">#REF!</definedName>
    <definedName name="BO43053DBDD3FB437B9B1AC69D73C4C139" hidden="1">#REF!</definedName>
    <definedName name="BO4308768230214F3794B42BAE51F86686" hidden="1">#REF!</definedName>
    <definedName name="BO430F0E1E644844CEA13729ACF1EE8EE6" hidden="1">#REF!</definedName>
    <definedName name="BO432BBC12E6A4455DA4DF104357B5360C" hidden="1">#REF!</definedName>
    <definedName name="BO4337349F50BB4B808341EAE1C9174CE5" hidden="1">#REF!</definedName>
    <definedName name="BO433FC93CDF9346799806ACAD236AB30C" hidden="1">#REF!</definedName>
    <definedName name="BO4341C5B7B601464F844D0E2AA47ED44C" hidden="1">#REF!</definedName>
    <definedName name="BO43584E4E31964D89AA6F14375141EA65" hidden="1">#REF!</definedName>
    <definedName name="BO436A3889B88F464A897E7C6FD8C7BFD2" hidden="1">#REF!</definedName>
    <definedName name="BO43761FC4A0424E92A2487592200E5E31" hidden="1">#REF!</definedName>
    <definedName name="BO439441CCE17E4FD49756E1E8B60B2137" hidden="1">#REF!</definedName>
    <definedName name="BO439AC109AEA04050B97B28064909C5CC" hidden="1">#REF!</definedName>
    <definedName name="BO43A30E046CDD465DBFA91559DA95D71C" hidden="1">#REF!</definedName>
    <definedName name="BO43A40875070B47D68C5200E1FCF08423" hidden="1">#REF!</definedName>
    <definedName name="BO43A46CEF800B41CF878ACE739B3726A2" hidden="1">#REF!</definedName>
    <definedName name="BO43ABD35639354975849B8B4168CB5E80" hidden="1">#REF!</definedName>
    <definedName name="BO43AEB89138D4439B8F53B02765E380FE" hidden="1">#REF!</definedName>
    <definedName name="BO43B4E7AB1EE64B5F9035BD5FBC952C8B" hidden="1">#REF!</definedName>
    <definedName name="BO43B9C1AF96DC4554B99CE7ED6652FC9E" hidden="1">#REF!</definedName>
    <definedName name="BO43BAC03460ED4EA1B31BF004DB40EB04" hidden="1">#REF!</definedName>
    <definedName name="BO43BF1C1364B246E6AF3B73F2D01A3663" hidden="1">#REF!</definedName>
    <definedName name="BO43CB0895811B492AB6EAF764A189F2F4" hidden="1">#REF!</definedName>
    <definedName name="BO43D1450ACAAA4203B82E4B468ED158CB" hidden="1">#REF!</definedName>
    <definedName name="BO43D4208E4D6B42B4808F246DC40969CB" hidden="1">#REF!</definedName>
    <definedName name="BO43D66EFE46924C8BADD7B9D203FD67DB" hidden="1">#REF!</definedName>
    <definedName name="BO43D7DF63DCF44F0BBD4666C1ED0290F8" hidden="1">#REF!</definedName>
    <definedName name="BO43DAF377F0174A41839484AB5793C2F2" hidden="1">#REF!</definedName>
    <definedName name="BO43E19E99C7A14779A6FE016551301AB5" hidden="1">#REF!</definedName>
    <definedName name="BO43EAEA7D7475441DAD2E44D60DCEFAC5" hidden="1">#REF!</definedName>
    <definedName name="BO43EE3F51F9774E33B273F6AF3B2927C1" hidden="1">#REF!</definedName>
    <definedName name="BO43F4B3F4CBAA41BEB67DA5FFB4D67376" hidden="1">#REF!</definedName>
    <definedName name="BO43FB781A3B3F4C04838EAA79A380BDF0" hidden="1">#REF!</definedName>
    <definedName name="BO43FCAEA47CB9415E83EC1B350B825A77" hidden="1">#REF!</definedName>
    <definedName name="BO44102A3771084570A1986B2C8D881EA9" hidden="1">#REF!</definedName>
    <definedName name="BO44128AECA84548C09EB642D933938C05" hidden="1">#REF!</definedName>
    <definedName name="BO4417887015424CCEAF5244CF63CED2A3" hidden="1">#REF!</definedName>
    <definedName name="BO441EDC316CFE44E3AFE07FE0B87F73F0" hidden="1">#REF!</definedName>
    <definedName name="BO4422F744EC404369A4FD5CFD39E89FEF" hidden="1">#REF!</definedName>
    <definedName name="BO443FAEF303A44440AEAD62EE56F653FD" hidden="1">#REF!</definedName>
    <definedName name="BO4441F82EA2F9439BA656AEB0CDEF2814" hidden="1">#REF!</definedName>
    <definedName name="BO444889C4C03A4EEE94FC2B94068B6000" hidden="1">#REF!</definedName>
    <definedName name="BO44495EC9BEB24F60927CE0F1940FEF92" hidden="1">#REF!</definedName>
    <definedName name="BO44509B6736AA44B3A736598CF10F85E8" hidden="1">#REF!</definedName>
    <definedName name="BO4468E98B02A54BB19817634EE00C9508" hidden="1">#REF!</definedName>
    <definedName name="BO446DE8DB05D34133AC012F5182E3A674" hidden="1">#REF!</definedName>
    <definedName name="BO447588F96723448F92C2B7AB4C1B5239" hidden="1">#REF!</definedName>
    <definedName name="BO4478C6C5C1754FEF86C6E007F7DFA56D" hidden="1">#REF!</definedName>
    <definedName name="BO447AD638AB7D4DEDA939971AE5D907CE" hidden="1">#REF!</definedName>
    <definedName name="BO447CDC0343654126AC71AF2EACB93696" hidden="1">#REF!</definedName>
    <definedName name="BO448D62E53977440C9C960FD3807D1DC5" hidden="1">#REF!</definedName>
    <definedName name="BO448D7845A4E54E1286BCDF5A1D4233F5" hidden="1">#REF!</definedName>
    <definedName name="BO44B0438708F24977AF66C04DC9F147D9" hidden="1">#REF!</definedName>
    <definedName name="BO44D3F5DD02C8432B8800BE9A4EF5E65A" hidden="1">#REF!</definedName>
    <definedName name="BO44D3FD299771454382D6E9F460C826CB" hidden="1">#REF!</definedName>
    <definedName name="BO44D5DC0881724AF2AB345DBDABCD6140" hidden="1">#REF!</definedName>
    <definedName name="BO44D66DCA0821437AB7952EC0BBD9460A" hidden="1">#REF!</definedName>
    <definedName name="BO44D6BF68B477442E85DC2B667B2D9733" hidden="1">#REF!</definedName>
    <definedName name="BO44DF3FBC91324ACB9E2BC24403EA98F2" hidden="1">#REF!</definedName>
    <definedName name="BO44FBFB8A0293404BADE987D8FE9E0B67" hidden="1">#REF!</definedName>
    <definedName name="BO44FCDAA0A6B4445990329F4EC34F8490" hidden="1">#REF!</definedName>
    <definedName name="BO450F129F3DA94DC796EE1A56DBC34CAC" hidden="1">#REF!</definedName>
    <definedName name="BO451310CA980C4B0DB9A718B4633165B5" hidden="1">#REF!</definedName>
    <definedName name="BO451330B7B00F436D96318D3B5AB51602" hidden="1">#REF!</definedName>
    <definedName name="BO4521BEEB264D479A921A148B0DD99FCD" hidden="1">#REF!</definedName>
    <definedName name="BO4534403CE7AA4F728D875236D29F6F3A" hidden="1">#REF!</definedName>
    <definedName name="BO453EA722C81642C4881D6D679639B7CD" hidden="1">#REF!</definedName>
    <definedName name="BO454963C5267C4F679726EB2F193FA5AC" hidden="1">#REF!</definedName>
    <definedName name="BO454E3CCE9BBA4C67AE61716C4437CB95" hidden="1">#REF!</definedName>
    <definedName name="BO455F466B2B734DA1924BC7E9752202B3" hidden="1">#REF!</definedName>
    <definedName name="BO4576392FDE19449CAEC41A2AED75A607" hidden="1">#REF!</definedName>
    <definedName name="BO458642A3CD4946C5953D792B8CF28A64" hidden="1">#REF!</definedName>
    <definedName name="BO458A343F210B49E0A3B97F5CE7E732CD" hidden="1">#REF!</definedName>
    <definedName name="BO458BFCF06C6A424593383E1A5B6A3E91" hidden="1">#REF!</definedName>
    <definedName name="BO458BFCF45DC54108B37750440BC0BA36" hidden="1">#REF!</definedName>
    <definedName name="BO45A066320356466F8EB6AA4A7C6EDDD8" hidden="1">#REF!</definedName>
    <definedName name="BO45A64823D7DE4F97BD46E8F360E84E5A" hidden="1">#REF!</definedName>
    <definedName name="BO45B29C225B7B46B9BDEF68582648EB47" hidden="1">#REF!</definedName>
    <definedName name="BO45C5DFED3912416194420467FDB7AE54" hidden="1">#REF!</definedName>
    <definedName name="BO45F763F5E6834669AFD6C21A2FE9F8B0" hidden="1">#REF!</definedName>
    <definedName name="BO46027BD4D3DF4B709D36B44122011BC6" hidden="1">#REF!</definedName>
    <definedName name="BO46078C826FD9443CAE6EE1B1FA5FBF25" hidden="1">#REF!</definedName>
    <definedName name="BO460B8978CD3C45669B0896E45CFC00BA" hidden="1">#REF!</definedName>
    <definedName name="BO460EDAF28C3A4A5E9669086C089F482E" hidden="1">#REF!</definedName>
    <definedName name="BO461114276084473EBAD6272E45AFAB3F" hidden="1">#REF!</definedName>
    <definedName name="BO4612F60EDFD44382A1AE1924832028A5" hidden="1">#REF!</definedName>
    <definedName name="BO4614505415C242008074133AAF655047" hidden="1">#REF!</definedName>
    <definedName name="BO461BA5A1AAD14A838E2B8C933E2292D9" hidden="1">#REF!</definedName>
    <definedName name="BO4622193C5EFB42B8852776FBF1ADF49C" hidden="1">#REF!</definedName>
    <definedName name="BO4627BCC633A7454093E41B17FDD6FA03" hidden="1">#REF!</definedName>
    <definedName name="BO462B8414FC7842BBADB3AF584C002BE7" hidden="1">#REF!</definedName>
    <definedName name="BO462DB5FC417946AD921B81AC9502D534" hidden="1">#REF!</definedName>
    <definedName name="BO463B4B2AB5C440E9B05440ABB5185104" hidden="1">#REF!</definedName>
    <definedName name="BO4647835DA90049A08D8C3263D006CE54" hidden="1">#REF!</definedName>
    <definedName name="BO46497C378C8846AC9A55855C2007AFF2" hidden="1">#REF!</definedName>
    <definedName name="BO4656E1B615C5420AAAC422B2232DB008" hidden="1">#REF!</definedName>
    <definedName name="BO4663193758F44B8B87A7A5676C7A8E7D" hidden="1">#REF!</definedName>
    <definedName name="BO466EF69DD9BB42E79C35BE8819A3DF60" hidden="1">#REF!</definedName>
    <definedName name="BO466F70C30B9E44328F7BD50B5B85A67E" hidden="1">#REF!</definedName>
    <definedName name="BO467810FAECE246F3A7ECB69E6484640B" hidden="1">#REF!</definedName>
    <definedName name="BO467AF636039A4C9CA6400DD4B0EF578D" hidden="1">#REF!</definedName>
    <definedName name="BO467B2F993B244A72AEC2491C905CC7BD" hidden="1">#REF!</definedName>
    <definedName name="BO467ED8EF9418482786D1F06A104D8E79" hidden="1">#REF!</definedName>
    <definedName name="BO46839911E29248168E05D279B45280C2" hidden="1">#REF!</definedName>
    <definedName name="BO468A77F4164B47E7965F8C8169FA6C65" hidden="1">#REF!</definedName>
    <definedName name="BO468BF7DE3A374809A812B00C881B5ED1" hidden="1">#REF!</definedName>
    <definedName name="BO4691CD3F73C4482AB51DC76C4E91E5B4" hidden="1">#REF!</definedName>
    <definedName name="BO469506304F6A4AB4BD8CA888F212FA43" hidden="1">#REF!</definedName>
    <definedName name="BO46B3227F7E4F42579E7B7AFB5C9D542C" hidden="1">#REF!</definedName>
    <definedName name="BO46B8F1AE11924D06A061BB40BD1534A5" hidden="1">#REF!</definedName>
    <definedName name="BO46C91D266DBC4694BD9E3DB25B1C7304" hidden="1">#REF!</definedName>
    <definedName name="BO46D4E1729EE04E6ABBBC680CE1EAC1DE" hidden="1">#REF!</definedName>
    <definedName name="BO46D5087D4B4D45C89572211F2010A9C6" hidden="1">#REF!</definedName>
    <definedName name="BO46D5F4F5F1A342D7A7BA819904D1216A" hidden="1">#REF!</definedName>
    <definedName name="BO46E37C6A1B1F404894E791BA68370FD8" hidden="1">#REF!</definedName>
    <definedName name="BO46EE72B5B67F4D89BE7946DACB17EC0F" hidden="1">#REF!</definedName>
    <definedName name="BO46F9F5D51ABE4B5CBFCFB6DF43FC3242" hidden="1">#REF!</definedName>
    <definedName name="BO47015A20D935446FA15D5EBB04EF64EA" hidden="1">#REF!</definedName>
    <definedName name="BO47151A86CED74A2E9AF8F5ABD6E25C33" hidden="1">#REF!</definedName>
    <definedName name="BO471BA5881BA747F6A356F97B1EE6FB9F" hidden="1">#REF!</definedName>
    <definedName name="BO47285A75A6454DC7B5FFB0C97FCADF0C" hidden="1">#REF!</definedName>
    <definedName name="BO472CFC8BEAEC4153A1FF6D9767A05263" hidden="1">#REF!</definedName>
    <definedName name="BO473FCA97151049C79068C01A312AD6DA" hidden="1">#REF!</definedName>
    <definedName name="BO474F6E2453F9490383962833851E3B8D" hidden="1">#REF!</definedName>
    <definedName name="BO4754362067094EB68529F2FD5D689504" hidden="1">#REF!</definedName>
    <definedName name="BO476A7DB9A7FB4156B16F7F70D2AFD328" hidden="1">#REF!</definedName>
    <definedName name="BO4787BC6763B34221BBD6D895B7745719" hidden="1">#REF!</definedName>
    <definedName name="BO47884F7E2CD848F3B74BBFEDB57CABC0" hidden="1">#REF!</definedName>
    <definedName name="BO478F317E5C5F47D1ACEA9F66DF5709DD" hidden="1">#REF!</definedName>
    <definedName name="BO479441FC85024465A5C652CAF3AB4B09" hidden="1">#REF!</definedName>
    <definedName name="BO479536D09DA846B1A63EE4942DF9EC17" hidden="1">#REF!</definedName>
    <definedName name="BO4796817736B14F8E9D0B57D2D17086F3" hidden="1">#REF!</definedName>
    <definedName name="BO47A7A89CADD145B4B2160A4D5CDC5B67" hidden="1">#REF!</definedName>
    <definedName name="BO47B7DB6E902B442E818E2217DBE104FA" hidden="1">#REF!</definedName>
    <definedName name="BO47BF0ABE57FD41448EB87DAC618768E2" hidden="1">#REF!</definedName>
    <definedName name="BO47D1C485221A465284F85192E5408CAD" hidden="1">#REF!</definedName>
    <definedName name="BO47EDFA18301A4D5FBD35319D273F24B1" hidden="1">#REF!</definedName>
    <definedName name="BO47F10E6CE8C0477C8FBBF3F46A0B9ACE" hidden="1">#REF!</definedName>
    <definedName name="BO47FC63D08E824DE8BE7D814577124357" hidden="1">#REF!</definedName>
    <definedName name="BO47FC712DD9434CA5BCC1E1EC23F78002" hidden="1">#REF!</definedName>
    <definedName name="BO480683BEC4B04018808A1B705F56DDA0" hidden="1">#REF!</definedName>
    <definedName name="BO480A269F298842708F72B65234373D73" hidden="1">#REF!</definedName>
    <definedName name="BO480B1D8C70494DC2AA6454B7B57EF3ED" hidden="1">#REF!</definedName>
    <definedName name="BO4825AA4EAC574A60A143508BF0A01460" hidden="1">#REF!</definedName>
    <definedName name="BO48393425ADCC485EB8D88AA489F3743F" hidden="1">#REF!</definedName>
    <definedName name="BO483F9278B0F44E4BA0AC4D3FC26F3844" hidden="1">#REF!</definedName>
    <definedName name="BO4841884EF8174968B1A6194F83E91EDC" hidden="1">#REF!</definedName>
    <definedName name="BO4842ED5D63764DB2B94443B0A92DB23C" hidden="1">#REF!</definedName>
    <definedName name="BO484C4675E9D64969B666EA0E4CEDD8B0" hidden="1">#REF!</definedName>
    <definedName name="BO48609A898586400F85EC70BF91ABEB96" hidden="1">#REF!</definedName>
    <definedName name="BO4870BFB3E06943C497267CAD9C64F343" hidden="1">#REF!</definedName>
    <definedName name="BO4876F9D0653641C49B2ACCF4D0F92503" hidden="1">#REF!</definedName>
    <definedName name="BO48831D29534749E18131EEB32D762AB4" hidden="1">#REF!</definedName>
    <definedName name="BO4886C8E72EC24DDE9EDFF59225F53394" hidden="1">#REF!</definedName>
    <definedName name="BO488FA32F7B78415E97CC4EC283BC10BA" hidden="1">#REF!</definedName>
    <definedName name="BO48A36FAF565D4911B2ABD1D32C7D5128" hidden="1">#REF!</definedName>
    <definedName name="BO48AA73D3FD06491A84C1263BB7FD2F86" hidden="1">#REF!</definedName>
    <definedName name="BO48AAEAAB8CCD491AAF3848287176CD6B" hidden="1">#REF!</definedName>
    <definedName name="BO48B31C7A2C6944E2A7D181243F2715CF" hidden="1">#REF!</definedName>
    <definedName name="BO48C4576D2DE14E66AB6F69A2FAF19989" hidden="1">#REF!</definedName>
    <definedName name="BO48CA2961506C4DF09D5FF1D4514DE1C0" hidden="1">#REF!</definedName>
    <definedName name="BO48D7D6169F6940ECAE81AED6C2D0B553" hidden="1">#REF!</definedName>
    <definedName name="BO48DCAB443E754DB1A22FCD687995359B" hidden="1">#REF!</definedName>
    <definedName name="BO48E2165F936848BD84F6392AD53B255E" hidden="1">#REF!</definedName>
    <definedName name="BO48E4D6F05D5049A2B39F4B8F688D9BEF" hidden="1">#REF!</definedName>
    <definedName name="BO48E8031FA2084135BABE28757F0E1664" hidden="1">#REF!</definedName>
    <definedName name="BO48EB5B8CF62C4A7CB7282B0050FA3729" hidden="1">#REF!</definedName>
    <definedName name="BO48F5F6B73A08484699D75FEF82084903" hidden="1">#REF!</definedName>
    <definedName name="BO491223EB289044FAAFD3962F361BEC5E" hidden="1">#REF!</definedName>
    <definedName name="BO491605D80B854118973738F016EF0083" hidden="1">#REF!</definedName>
    <definedName name="BO49202FAED69B451188CB44BE353EC662" hidden="1">#REF!</definedName>
    <definedName name="BO49285A60B3E64560A72E9E95A46AD15E" hidden="1">#REF!</definedName>
    <definedName name="BO492B4311D9BF4FAEBC33CCE35B32F75B" hidden="1">#REF!</definedName>
    <definedName name="BO49302EBDB36D4906A467CBDE32C141A9" hidden="1">#REF!</definedName>
    <definedName name="BO4935BFEE43E04A1EACFFF79116315F92" hidden="1">#REF!</definedName>
    <definedName name="BO49379ABE474A43469B51B5D77F393CF8" hidden="1">#REF!</definedName>
    <definedName name="BO4939C7817D58434980AEAB743F3344DB" hidden="1">#REF!</definedName>
    <definedName name="BO495530DAC39147509DAF89C85FF5F4D3" hidden="1">#REF!</definedName>
    <definedName name="BO4967EB1D01904EECBDE8B45D4DDF3739" hidden="1">#REF!</definedName>
    <definedName name="BO498827C6D2BA496CB982E912CFEDA2CE" hidden="1">#REF!</definedName>
    <definedName name="BO498CAFD867DA410B93ADA8B35D7EF255" hidden="1">#REF!</definedName>
    <definedName name="BO498E8BFFABA54FBF95C961CDBA432429" hidden="1">#REF!</definedName>
    <definedName name="BO4994AD0D076B4A779FE6C8243A70374A" hidden="1">#REF!</definedName>
    <definedName name="BO49A07A8A31EE486DACA6F8EB4E80DAD1" hidden="1">#REF!</definedName>
    <definedName name="BO49A4953FCCDD4C52918A4708BA8A16D9" hidden="1">#REF!</definedName>
    <definedName name="BO49A78749A1F44B8B836A1AF12AB8C705" hidden="1">#REF!</definedName>
    <definedName name="BO49AA882949914891A9089774CB2EBF99" hidden="1">#REF!</definedName>
    <definedName name="BO49B363A9E68644A9BA08A5D505D82803" hidden="1">#REF!</definedName>
    <definedName name="BO49B4E6075A934A41AF6B443162790CC3" hidden="1">#REF!</definedName>
    <definedName name="BO49C669EB86AD4945B63425B54432938B" hidden="1">#REF!</definedName>
    <definedName name="BO49D766F0736948A894ADED3211179266" hidden="1">#REF!</definedName>
    <definedName name="BO49E08B2DD1D94201BE86390CF55E2E8F" hidden="1">#REF!</definedName>
    <definedName name="BO49F224A0B52342A09AA5D0CC78CCBA4E" hidden="1">#REF!</definedName>
    <definedName name="BO4A0277A2F9114472B748A841C37267E8" hidden="1">#REF!</definedName>
    <definedName name="BO4A08B84720DC406AB7B0DF948107266E" hidden="1">#REF!</definedName>
    <definedName name="BO4A134336506B47F99CD0C32016854AC9" hidden="1">#REF!</definedName>
    <definedName name="BO4A2E828F5F064C99A7E11268F5944E2A" hidden="1">#REF!</definedName>
    <definedName name="BO4A44DFFC40F14CE585C95C97D1DD3CF9" hidden="1">#REF!</definedName>
    <definedName name="BO4A561D591120400E9CCB5972C114BDB6" hidden="1">#REF!</definedName>
    <definedName name="BO4A5B225A0E914CB5A2DB8E217EB14841" hidden="1">#REF!</definedName>
    <definedName name="BO4A6212367D0A4AA0A2F0A1B5EA879868" hidden="1">#REF!</definedName>
    <definedName name="BO4A6CBB75E18D4A509255932FE3550D14" hidden="1">#REF!</definedName>
    <definedName name="BO4A7CFA8C87E845C3A7E6377A00E45BFA" hidden="1">#REF!</definedName>
    <definedName name="BO4A89DC8F0F2744A087951AD8021C485C" hidden="1">#REF!</definedName>
    <definedName name="BO4AA0DDEBB21942CA9ABAFBBC8F104178" hidden="1">#REF!</definedName>
    <definedName name="BO4AA45A8CE042495088520998055D3515" hidden="1">#REF!</definedName>
    <definedName name="BO4AAD40E5C2CD427AA64AB550A454C0BB" hidden="1">#REF!</definedName>
    <definedName name="BO4AC0490549194CB0B6A3784D8A95357D" hidden="1">#REF!</definedName>
    <definedName name="BO4AC8FC9A944B429E9D45A2E4951A8099" hidden="1">#REF!</definedName>
    <definedName name="BO4ACACC02551B48CFBD5AC0840A88E70B" hidden="1">#REF!</definedName>
    <definedName name="BO4ADFAD13D4B947B687C30A94A9539214" hidden="1">#REF!</definedName>
    <definedName name="BO4AE52BD800CA4E228811CE9565F43C78" hidden="1">#REF!</definedName>
    <definedName name="BO4AF802F193284649AFE9BEC68D33968C" hidden="1">#REF!</definedName>
    <definedName name="BO4AFB098888FE44ECB4F0B69F43AECBD4" hidden="1">#REF!</definedName>
    <definedName name="BO4B13E2E326DE4D708325FDAC79668FA8" hidden="1">#REF!</definedName>
    <definedName name="BO4B140FC4FDA84954B208B5BCE94D960E" hidden="1">#REF!</definedName>
    <definedName name="BO4B198BDEFED34392BADBF79358BA215D" hidden="1">#REF!</definedName>
    <definedName name="BO4B327A4722F541BDB2CAB63DB2062250" hidden="1">#REF!</definedName>
    <definedName name="BO4B367F34F2CD4BFE940D858D3DB35B35" hidden="1">#REF!</definedName>
    <definedName name="BO4B3D623F44CB472B867081ACE9E06DA0" hidden="1">#REF!</definedName>
    <definedName name="BO4B486ABDCED749118D53732278BC3EA2" hidden="1">#REF!</definedName>
    <definedName name="BO4B55A734013E49A5A876B348F729F7AE" hidden="1">#REF!</definedName>
    <definedName name="BO4B567A84472C41128223A08996321929" hidden="1">#REF!</definedName>
    <definedName name="BO4B577315909C49638778B77C851C0EB6" hidden="1">#REF!</definedName>
    <definedName name="BO4B6D462D507647DBB8F2C6A0F004341B" hidden="1">#REF!</definedName>
    <definedName name="BO4B7444DFC6A142B682A665DC81C59030" hidden="1">#REF!</definedName>
    <definedName name="BO4B9350A84D6A42AA8D8BD12842A76AB7" hidden="1">#REF!</definedName>
    <definedName name="BO4BA1EB6A84124833A16243954EB2B9A8" hidden="1">#REF!</definedName>
    <definedName name="BO4BA2366FE3B845F1BE4089FA08ED3008" hidden="1">#REF!</definedName>
    <definedName name="BO4BA6E06C2C924ECF88B50E5B42AC45CF" hidden="1">#REF!</definedName>
    <definedName name="BO4BA7D47883BF4427AA653FC6F72171F2" hidden="1">#REF!</definedName>
    <definedName name="BO4BB29344D5074C5EB79493D3EDB7331A" hidden="1">#REF!</definedName>
    <definedName name="BO4BB4AD9246B34956BBAB5C39B18C8F13" hidden="1">#REF!</definedName>
    <definedName name="BO4BC510A675894904B50144B28BCEA400" hidden="1">#REF!</definedName>
    <definedName name="BO4BD47EA8EDF34DF6A6221D63CAE430DB" hidden="1">#REF!</definedName>
    <definedName name="BO4BD537BA73B44FAFBA3C98FE40B57B7C" hidden="1">#REF!</definedName>
    <definedName name="BO4BDE48D4C41447E6B1EA83F9B0E2F7F6" hidden="1">#REF!</definedName>
    <definedName name="BO4BE31D31723A4E49B7AF3ED95CC2546F" hidden="1">#REF!</definedName>
    <definedName name="BO4BE5F5DFD5A24B49902250295C9DE922" hidden="1">#REF!</definedName>
    <definedName name="BO4BEBC4F3357B4FF08094E7A51082B7F0" hidden="1">#REF!</definedName>
    <definedName name="BO4C032D02DC454E5596D4DF392127B674" hidden="1">#REF!</definedName>
    <definedName name="BO4C0EF44E622E4BD6AB25DFB856C0B6D5" hidden="1">#REF!</definedName>
    <definedName name="BO4C1A91B4F1374794AD35C001A487DBD0" hidden="1">#REF!</definedName>
    <definedName name="BO4C1DC4D362874744A36FDD8C0BA74145" hidden="1">#REF!</definedName>
    <definedName name="BO4C1DDAACF70D41CD9049BFE1F3058D9C" hidden="1">#REF!</definedName>
    <definedName name="BO4C35F5D8B2EA410390FCADB6F5B5A302" hidden="1">#REF!</definedName>
    <definedName name="BO4C3657CDD575479696A45990FB2FBD19" hidden="1">#REF!</definedName>
    <definedName name="BO4C38549E20954662B484E048B7C3C699" hidden="1">#REF!</definedName>
    <definedName name="BO4C38BCC3E19640A7BADAE4854397AA1D" hidden="1">#REF!</definedName>
    <definedName name="BO4C3E9816FDD04EC8B7E7E800AAFB0A83" hidden="1">#REF!</definedName>
    <definedName name="BO4C437677684140DE898D566C1E9F341B" hidden="1">#REF!</definedName>
    <definedName name="BO4C49B7A2B0C048FB9803E4D5DB6B85E4" hidden="1">#REF!</definedName>
    <definedName name="BO4C4F5ED4BB0E4709AF549522F05FD350" hidden="1">#REF!</definedName>
    <definedName name="BO4C5418FC64D8437EBACD3B6B8B852F4B" hidden="1">#REF!</definedName>
    <definedName name="BO4C5E49D096AC4D78A81A252DBC86AE4A" hidden="1">#REF!</definedName>
    <definedName name="BO4C5EAD77CBAC4331AD2C4588FE5D5C6B" hidden="1">#REF!</definedName>
    <definedName name="BO4C5EC7DD1AB04397A4F5A8A939ED19D3" hidden="1">#REF!</definedName>
    <definedName name="BO4C64D2B58B7E418D91B11F295285C0D2" hidden="1">#REF!</definedName>
    <definedName name="BO4C685A4AABA243BEABBEF48BFF8714A7" hidden="1">#REF!</definedName>
    <definedName name="BO4C6A5C68658F422CACE3C225D2B3ACD1" hidden="1">#REF!</definedName>
    <definedName name="BO4C6B2C85477F46869895CAC3BE203C2B" hidden="1">#REF!</definedName>
    <definedName name="BO4C6D1ABFE4AC4F9A8BCB105E48A7C557" hidden="1">#REF!</definedName>
    <definedName name="BO4C71C0552C5F471FBE086298048DF53D" hidden="1">#REF!</definedName>
    <definedName name="BO4C8332D3496F4F31924F29A47CB00CE9" hidden="1">#REF!</definedName>
    <definedName name="BO4C8CCAFFC55A4525BE98C29834A8F4BA" hidden="1">#REF!</definedName>
    <definedName name="BO4C93D48024A643FF94E077CBBEF516E3" hidden="1">#REF!</definedName>
    <definedName name="BO4C9CEBACCFCB47AF9B7D0D78BB0EACBC" hidden="1">#REF!</definedName>
    <definedName name="BO4CA19F2522694B3DB9AF0063063EAD51" hidden="1">#REF!</definedName>
    <definedName name="BO4CA5847E870B4BC28A5102D8D14065E1" hidden="1">#REF!</definedName>
    <definedName name="BO4CB45A97A2964C178B7E9AC9CCEDF4E6" hidden="1">#REF!</definedName>
    <definedName name="BO4CB9A4F0A4E54B9EA4B1EC1472CB459D" hidden="1">#REF!</definedName>
    <definedName name="BO4CBF266C47C9470F8A071E971B9ED36E" hidden="1">#REF!</definedName>
    <definedName name="BO4CCDB45622894958BFE84723218EAA27" hidden="1">#REF!</definedName>
    <definedName name="BO4CDBBCD4D67C43DBAF5B18EB84601ACE" hidden="1">#REF!</definedName>
    <definedName name="BO4CE308AF464C49BEA1A90FFB53A7C82F" hidden="1">#REF!</definedName>
    <definedName name="BO4CE625F1BB474B33806DB40C8930F9F1" hidden="1">#REF!</definedName>
    <definedName name="BO4CF54C6AA4F9453ABF6EF6347CA14E5B" hidden="1">#REF!</definedName>
    <definedName name="BO4CF909F3AD6A4D199949A60FA68E881D" hidden="1">#REF!</definedName>
    <definedName name="BO4D02501CB1B448EABE1EEFA27C4AD081" hidden="1">#REF!</definedName>
    <definedName name="BO4D08E0B5DD464CAFBAF048029EB6C917" hidden="1">#REF!</definedName>
    <definedName name="BO4D16C3C7C21A4DF0BFEADD25E45C56AD" hidden="1">#REF!</definedName>
    <definedName name="BO4D19F0FEBE674F37A12E39550359E9F8" hidden="1">#REF!</definedName>
    <definedName name="BO4D1AB55BF3D2431982B976583E8CEF1C" hidden="1">#REF!</definedName>
    <definedName name="BO4D2008183903447483705EFF8F60D445" hidden="1">#REF!</definedName>
    <definedName name="BO4D2306B9C7B245029B1E9200D03CAC6C" hidden="1">#REF!</definedName>
    <definedName name="BO4D27FF2D81B948C299CC1727EC087381" hidden="1">#REF!</definedName>
    <definedName name="BO4D2BD5DE3E9447DEABB3D7D7452056BD" hidden="1">#REF!</definedName>
    <definedName name="BO4D2ED4ABFA0D4E9F9E67694173CF7E10" hidden="1">#REF!</definedName>
    <definedName name="BO4D2FE00123A642359E0504433CC416F3" hidden="1">#REF!</definedName>
    <definedName name="BO4D3AEF95DE844138B7BD7E7D6CC1F698" hidden="1">#REF!</definedName>
    <definedName name="BO4D490A33ABC842679466D61DB7F688C7" hidden="1">#REF!</definedName>
    <definedName name="BO4D4A5CBE131341A1A6CAC070548E1BFC" hidden="1">#REF!</definedName>
    <definedName name="BO4D4E4EA4CFF54F949361BEAD943CE384" hidden="1">#REF!</definedName>
    <definedName name="BO4D5483B852E8467299FDC1C87A3E311F" hidden="1">#REF!</definedName>
    <definedName name="BO4D595EFAB0534B9F800C6698DB7726D1" hidden="1">#REF!</definedName>
    <definedName name="BO4D6B48A04ECF409B9362B67BC2F917EF" hidden="1">#REF!</definedName>
    <definedName name="BO4D71BB6C30A24EB4905E62E54DB4BF1D" hidden="1">#REF!</definedName>
    <definedName name="BO4D7349CC76784EA98B96D943E46729D1" hidden="1">#REF!</definedName>
    <definedName name="BO4D77F09D607C4F92BEAB060512B5B67B" hidden="1">#REF!</definedName>
    <definedName name="BO4D8625B1B50446F5A6C99F9C45846991" hidden="1">#REF!</definedName>
    <definedName name="BO4D87546ED5D6488B82815C5579DDF845" hidden="1">#REF!</definedName>
    <definedName name="BO4D894799DC874E339B5C522B55BEB804" hidden="1">#REF!</definedName>
    <definedName name="BO4D8F922228B247EDBA22D7745415550E" hidden="1">#REF!</definedName>
    <definedName name="BO4D91EF3B621A403FB220B247EDC5E6E7" hidden="1">#REF!</definedName>
    <definedName name="BO4D94E21C1C58406E97AECA2740FBDA36" hidden="1">#REF!</definedName>
    <definedName name="BO4D953D9AFC9F4FCDA2D769D9C41FE082" hidden="1">#REF!</definedName>
    <definedName name="BO4D96B9A84FE749D3A51206704DDFC703" hidden="1">#REF!</definedName>
    <definedName name="BO4D9D256BD6D34882967B9218309BDC21" hidden="1">#REF!</definedName>
    <definedName name="BO4DB0746C737B4EDE973786EB655EE837" hidden="1">#REF!</definedName>
    <definedName name="BO4DB49681DD72441690D2A1DDA5035C28" hidden="1">#REF!</definedName>
    <definedName name="BO4DB9EEA6C21B4774A9C2545A9BD57B8D" hidden="1">#REF!</definedName>
    <definedName name="BO4DB9FD985BA34F69A47EB780F37901E9" hidden="1">#REF!</definedName>
    <definedName name="BO4DBD2FB4556649FE97A3E51688E7E7C2" hidden="1">#REF!</definedName>
    <definedName name="BO4DC0444CC199401BBD63FF6B5733B2A7" hidden="1">#REF!</definedName>
    <definedName name="BO4DCC61C01D31498BABA29C120528636F" hidden="1">#REF!</definedName>
    <definedName name="BO4DCCE7A326E5430C8F5ECB586ED3800F" hidden="1">#REF!</definedName>
    <definedName name="BO4DD04A38310A4AF7BB1F0789435A4C62" hidden="1">#REF!</definedName>
    <definedName name="BO4DD2C56812C744DB871AAA539E508FBC" hidden="1">#REF!</definedName>
    <definedName name="BO4DD599DDBD6242249FF309C7DFD2A7D3" hidden="1">#REF!</definedName>
    <definedName name="BO4DD9786F619D44A1A6CF3B4B827293C0" hidden="1">#REF!</definedName>
    <definedName name="BO4DDAB4940B2B47B4A685D544CDD6A0DB" hidden="1">#REF!</definedName>
    <definedName name="BO4DEB6956426E4B558E0CFB05541CA1FD" hidden="1">#REF!</definedName>
    <definedName name="BO4DECF08260444F709D29E11F1F3B369D" hidden="1">#REF!</definedName>
    <definedName name="BO4DFC40D9226647D4A727236F89E7389D" hidden="1">#REF!</definedName>
    <definedName name="BO4DFEB2C7D3E446EAB7E3E9BC46FA2E3C" hidden="1">#REF!</definedName>
    <definedName name="BO4E025FDCEB6A4AAC8CE0AB407B1A79C0" hidden="1">#REF!</definedName>
    <definedName name="BO4E06911642334D638482A832A0AED8DC" hidden="1">#REF!</definedName>
    <definedName name="BO4E1442CFF6424F34921A816C05E83C01" hidden="1">#REF!</definedName>
    <definedName name="BO4E1F07FC9AE943879315C94E4CF1FE85" hidden="1">#REF!</definedName>
    <definedName name="BO4E2DD3D1235943B28DC13CE6847CEBFF" hidden="1">#REF!</definedName>
    <definedName name="BO4E40949C43454342BC44FE97569CEAD0" hidden="1">#REF!</definedName>
    <definedName name="BO4E4CF73ADCF44DD0A1BF7BC89BE789BD" hidden="1">#REF!</definedName>
    <definedName name="BO4E52A5CFF1D14657BAD00FDD5B1B735F" hidden="1">#REF!</definedName>
    <definedName name="BO4E6B20F184814B31B0A0CC18867C31D6" hidden="1">#REF!</definedName>
    <definedName name="BO4E6D096526934939819673F43C30135B" hidden="1">#REF!</definedName>
    <definedName name="BO4E6E031527C048A98BA0F065AE0CBC78" hidden="1">#REF!</definedName>
    <definedName name="BO4E74B62B613D40929E512A7B05FDF76A" hidden="1">#REF!</definedName>
    <definedName name="BO4E75025DB72A4B82ADB21A5E4F8868BE" hidden="1">#REF!</definedName>
    <definedName name="BO4E82EEA8CD3743CEBDE2207A327E0C16" hidden="1">#REF!</definedName>
    <definedName name="BO4E8FFE12B6F441FFAB67885DE6289C2C" hidden="1">#REF!</definedName>
    <definedName name="BO4EA64A6216344500BCE3C32CE5484B5F" hidden="1">#REF!</definedName>
    <definedName name="BO4EB0955DFDB34529B6A90CC533ACD4C5" hidden="1">#REF!</definedName>
    <definedName name="BO4EB83DED93A34FC79A636577BEE49DD9" hidden="1">#REF!</definedName>
    <definedName name="BO4EB8A07DFA204577B7611DC426FF2C64" hidden="1">#REF!</definedName>
    <definedName name="BO4EC43E40F4654427BFFF8B093AB8928E" hidden="1">#REF!</definedName>
    <definedName name="BO4EC86BA7EF084927B5F5F19ADDC2E5D8" hidden="1">#REF!</definedName>
    <definedName name="BO4EE1F4C436624E4983420F1928FD5FA0" hidden="1">#REF!</definedName>
    <definedName name="BO4EF73A74604C4054AF12F8DA20F13AC0" hidden="1">#REF!</definedName>
    <definedName name="BO4EFADD8DB987452585A33B0166A063AF" hidden="1">#REF!</definedName>
    <definedName name="BO4F2719C89D0540D0AD8DB5CB58DA318F" hidden="1">#REF!</definedName>
    <definedName name="BO4F3BD6886EB74CFB83C796CB949A6600" hidden="1">#REF!</definedName>
    <definedName name="BO4F44646D5BD94E228C40089ED201F412" hidden="1">#REF!</definedName>
    <definedName name="BO4F52C6B77D8B4322831786B182405D89" hidden="1">#REF!</definedName>
    <definedName name="BO4F55C104FC9F4E9882743C9B8D3F2338" hidden="1">#REF!</definedName>
    <definedName name="BO4F7588005E8E4C6480B3A7523EC064BC" hidden="1">#REF!</definedName>
    <definedName name="BO4F7878A67BD74456A1FBA486DE1D8B8E" hidden="1">#REF!</definedName>
    <definedName name="BO4F78F4B9A580440AB9FDD28A79D0AE2C" hidden="1">#REF!</definedName>
    <definedName name="BO4F7A73C039BA4F7487AE6CF1156A7CB5" hidden="1">#REF!</definedName>
    <definedName name="BO4F8805BDB1B24E869339A7FE196BFEC4" hidden="1">#REF!</definedName>
    <definedName name="BO4F9EE12B49AD4ED8870F1F3B7CEB8469" hidden="1">#REF!</definedName>
    <definedName name="BO4FAA462164D54D0284BFCF6E2E7C6B34" hidden="1">#REF!</definedName>
    <definedName name="BO4FAC77DD42D94BA99780F041B4093D28" hidden="1">#REF!</definedName>
    <definedName name="BO4FC1188FF7864971B1E63B5F11F53B8C" hidden="1">#REF!</definedName>
    <definedName name="BO4FCC52268B3044F3ABA1FBB4DE5D5A4D" hidden="1">#REF!</definedName>
    <definedName name="BO4FD0316387884A41981971CF45311613" hidden="1">#REF!</definedName>
    <definedName name="BO4FD95FB816E242C8B4579F86CB781CEA" hidden="1">#REF!</definedName>
    <definedName name="BO4FD9DAA0E6124C7294688F3CC63139E5" hidden="1">#REF!</definedName>
    <definedName name="BO4FEF162BF6424A0D9940515197172815" hidden="1">#REF!</definedName>
    <definedName name="BO4FFD11C916B84AA1A8917CADED31BD60" hidden="1">#REF!</definedName>
    <definedName name="BO5002217C6BDB4AF4876B9A759B98B6FD" hidden="1">#REF!</definedName>
    <definedName name="BO501083EEA0954CF1ABA2FC876D9B2E53" hidden="1">#REF!</definedName>
    <definedName name="BO501862DADEDE4E83B50558E9679EBD14" hidden="1">#REF!</definedName>
    <definedName name="BO501A61B3C4C14FE3BBE9CEE4E177D5EF" hidden="1">#REF!</definedName>
    <definedName name="BO501B5A197D78409DA956B56576C70E9F" hidden="1">#REF!</definedName>
    <definedName name="BO502E6D40812A4DAEAEE7A199451E4098" hidden="1">#REF!</definedName>
    <definedName name="BO5030F933AF3747E1BAAFE6787B3A4A93" hidden="1">#REF!</definedName>
    <definedName name="BO503531CBE9D6495D916D3D36AD0D67C0" hidden="1">#REF!</definedName>
    <definedName name="BO5037F16D1D5A4A44B97127F115747891" hidden="1">#REF!</definedName>
    <definedName name="BO503BAFE181474BC9883213DE586C8FD6" hidden="1">#REF!</definedName>
    <definedName name="BO5043E9BD740444D89D70FBD5753D78A6" hidden="1">#REF!</definedName>
    <definedName name="BO504A1B3AF3AB4D088872ACF3C45281F8" hidden="1">#REF!</definedName>
    <definedName name="BO5054EA03926E49E694F6C5ADF21AB154" hidden="1">#REF!</definedName>
    <definedName name="BO505920D6E8F54CE089D13172350D2B63" hidden="1">#REF!</definedName>
    <definedName name="BO505B38F176374982B0FA222600812C63" hidden="1">#REF!</definedName>
    <definedName name="BO505E4FB54070475BACE8D7598BCCF5CD" hidden="1">#REF!</definedName>
    <definedName name="BO507F04B456554687A125CD5B4F2DF9EF" hidden="1">#REF!</definedName>
    <definedName name="BO5080A636409C473696785822CB128DA3" hidden="1">#REF!</definedName>
    <definedName name="BO50891D81D4BB42EB97DD6707BEB5B153" hidden="1">#REF!</definedName>
    <definedName name="BO5096D529BF3149A1AFBFA42DCE2900EB" hidden="1">#REF!</definedName>
    <definedName name="BO50975EB4169D458DBA59CEACD786FA3B" hidden="1">#REF!</definedName>
    <definedName name="BO50AE206DF0A14D488A797A0A422835E7" hidden="1">#REF!</definedName>
    <definedName name="BO50C47EBADDB8476AAE2E1D3C9E906859" hidden="1">#REF!</definedName>
    <definedName name="BO50C857DDC2A6432FBEE2E0F9F6B7401E" hidden="1">#REF!</definedName>
    <definedName name="BO50CC989C615549EF8A69F9DAC181D1C3" hidden="1">#REF!</definedName>
    <definedName name="BO50CF016FAC7C465882D8C4E345E8C072" hidden="1">#REF!</definedName>
    <definedName name="BO50D3F74A3FC54A8D84AC94F7A0E5BE12" hidden="1">#REF!</definedName>
    <definedName name="BO50D806672D054CDF9FC089EA5A4952E4" hidden="1">#REF!</definedName>
    <definedName name="BO510BDCAFB2A74A4D91198B057B80C081" hidden="1">#REF!</definedName>
    <definedName name="BO510CD8F0082B4622B4AC3F788E0139AE" hidden="1">#REF!</definedName>
    <definedName name="BO511D8BC44FC6490B9E2EE5090805A0FF" hidden="1">#REF!</definedName>
    <definedName name="BO5132D5DA8D334687A65536BBBEDBEFBB" hidden="1">#REF!</definedName>
    <definedName name="BO513823C74A2F412384E54308AB2A592A" hidden="1">#REF!</definedName>
    <definedName name="BO5138BF0E46144E448D299664FFD76899" hidden="1">#REF!</definedName>
    <definedName name="BO513D9D42573C4D6B8B0CCA27AF66A538" hidden="1">#REF!</definedName>
    <definedName name="BO514237A57F05490F92ED2C480764DA28" hidden="1">#REF!</definedName>
    <definedName name="BO51489DF2869F449B8280A7C6D0F2A6BD" hidden="1">#REF!</definedName>
    <definedName name="BO51507B703702433397490C169258DC54" hidden="1">#REF!</definedName>
    <definedName name="BO515B1D1B64504B9791326849DE50CFDB" hidden="1">#REF!</definedName>
    <definedName name="BO516CA83F46D3434CA218ED5446CCFC33" hidden="1">#REF!</definedName>
    <definedName name="BO51714E4A91614857999F343D94C8CE23" hidden="1">#REF!</definedName>
    <definedName name="BO5183A159C81842A9A178D4E4371DC9BB" hidden="1">#REF!</definedName>
    <definedName name="BO518499942D5D47A7B40508F4D348BC7D" hidden="1">#REF!</definedName>
    <definedName name="BO519AAFFDAD8247C19DFC69DFE4FDAECB" hidden="1">#REF!</definedName>
    <definedName name="BO519EEECA10DA4520A6525296E504E32B" hidden="1">#REF!</definedName>
    <definedName name="BO51A150EB7317458F9AE9637186781A1E" hidden="1">#REF!</definedName>
    <definedName name="BO51A2FF5ABDAF4F95957CDFD922EAB4A8" hidden="1">#REF!</definedName>
    <definedName name="BO51A31C7242FB41E9BDE55442408B8726" hidden="1">#REF!</definedName>
    <definedName name="BO51ACF8BFB4D542F187E94EF00B8F3B96" hidden="1">#REF!</definedName>
    <definedName name="BO51BF871C35CC4787A3014048EF959911" hidden="1">#REF!</definedName>
    <definedName name="BO51C433F94EA24D83BFBC90C78E916AA8" hidden="1">#REF!</definedName>
    <definedName name="BO51C94B6CD3FB4BE0BC0BFE5A74AB7082" hidden="1">#REF!</definedName>
    <definedName name="BO51CE2F1B88C44A8DB1C237E2A80DBE63" hidden="1">#REF!</definedName>
    <definedName name="BO51D0E68EAF9544C881C36F0537EA2961" hidden="1">#REF!</definedName>
    <definedName name="BO51D3DAC8C8A948D08A6E2B9C8D7FE3C0" hidden="1">#REF!</definedName>
    <definedName name="BO51D83205B85D489A947E3F9D9249247D" hidden="1">#REF!</definedName>
    <definedName name="BO51DAEEA0D7AD47F0AA73A165E6B198D4" hidden="1">#REF!</definedName>
    <definedName name="BO51DDD34A51DB47D5A1101365ECB70556" hidden="1">#REF!</definedName>
    <definedName name="BO52087F5BD16C4D0AB46AF353A28A78A9" hidden="1">#REF!</definedName>
    <definedName name="BO521BA407645A4DDCA52BA626F3886641" hidden="1">#REF!</definedName>
    <definedName name="BO521BD1697C154EFEAFD4701302FDCE9E" hidden="1">#REF!</definedName>
    <definedName name="BO52271A2757614907947328C2048DA64D" hidden="1">#REF!</definedName>
    <definedName name="BO5227257EFF2E40BC8FE468C59D8CF6E0" hidden="1">#REF!</definedName>
    <definedName name="BO522A3340B2AA429582EFF2D709CC042F" hidden="1">#REF!</definedName>
    <definedName name="BO522BE66E0E274CFBB5FE8B73D26B24AA" hidden="1">#REF!</definedName>
    <definedName name="BO522EDA846CD44B11A92446DDFF265A74" hidden="1">#REF!</definedName>
    <definedName name="BO52307E1B551B450BB16C1A605A6AAAF5" hidden="1">#REF!</definedName>
    <definedName name="BO5235423CE16C4486817CC4084B9650BF" hidden="1">#REF!</definedName>
    <definedName name="BO52391C8733F04B7B811616D51E61906B" hidden="1">#REF!</definedName>
    <definedName name="BO524A8D044FE94DEC8727DA2A9A1DCADF" hidden="1">#REF!</definedName>
    <definedName name="BO525509F193F1403386C55C86846FF520" hidden="1">#REF!</definedName>
    <definedName name="BO5258343F04A6468DA60106B37DA84CFD" hidden="1">#REF!</definedName>
    <definedName name="BO525AE748F3204F80BF6265B5B39CA278" hidden="1">#REF!</definedName>
    <definedName name="BO52664945955F4E1B9FB4065B57C4F553" hidden="1">#REF!</definedName>
    <definedName name="BO526B3B440CF849CCA0D50DB8B8B01C7B" hidden="1">#REF!</definedName>
    <definedName name="BO527246FDA8E9492D87A53581A1D024FE" hidden="1">#REF!</definedName>
    <definedName name="BO527A1AD4F97A4642BD24814ED48455A5" hidden="1">#REF!</definedName>
    <definedName name="BO527F289C18864C10B5959023F13448D0" hidden="1">#REF!</definedName>
    <definedName name="BO528158A1500F43048FACE3A225A24193" hidden="1">#REF!</definedName>
    <definedName name="BO5283B4C3746948AE9251D6443539D0DA" hidden="1">#REF!</definedName>
    <definedName name="BO5289F021C9644429936A56CF6D4D6DD5" hidden="1">#REF!</definedName>
    <definedName name="BO528E6DF96B90430EAE65CAABA0163601" hidden="1">#REF!</definedName>
    <definedName name="BO52921B0A4AC94B4AB81ED0B6050ECE56" hidden="1">#REF!</definedName>
    <definedName name="BO5293B795DE444164B3A3D8BC049B63B7" hidden="1">#REF!</definedName>
    <definedName name="BO529ABA5FFF214B05B910575BD43A4FBC" hidden="1">#REF!</definedName>
    <definedName name="BO52C6D66338774102B8F3FC0D5F14F8F9" hidden="1">#REF!</definedName>
    <definedName name="BO52CBA8EA05A44988B5802DEA2365E8D3" hidden="1">#REF!</definedName>
    <definedName name="BO52D03A3A558041B88DF311EE170DC3B8" hidden="1">#REF!</definedName>
    <definedName name="BO52D3AF5767534E8999AE19BA3F87F0B7" hidden="1">#REF!</definedName>
    <definedName name="BO52DC53B3FF074232BFCF563DF09F6B63" hidden="1">#REF!</definedName>
    <definedName name="BO52DE7E9C6235497A916D893506400BF0" hidden="1">#REF!</definedName>
    <definedName name="BO5319BB3A11A74DA9A8F2B4E338E1503E" hidden="1">#REF!</definedName>
    <definedName name="BO532878D0E20E4AA2BBF00FB73BC90C12" hidden="1">#REF!</definedName>
    <definedName name="BO532EEB9B18174A9F95B63D50814F1C44" hidden="1">#REF!</definedName>
    <definedName name="BO533B5AC37CFA4B6D9FF7DF71EFC155C3" hidden="1">#REF!</definedName>
    <definedName name="BO533BE2FD22F6445B8D380BBB4E940D58" hidden="1">#REF!</definedName>
    <definedName name="BO535110A138A34C578B974E4F5EF3609E" hidden="1">#REF!</definedName>
    <definedName name="BO5352DFD77DDF43E2946DF7561587C1CA" hidden="1">#REF!</definedName>
    <definedName name="BO5355E41ABEE34F96B30EBD60BB6DB891" hidden="1">#REF!</definedName>
    <definedName name="BO536914F23CFF450BA8CE532B472B2985" hidden="1">#REF!</definedName>
    <definedName name="BO5388E06ADB5C4510905EF28BD0A040FD" hidden="1">#REF!</definedName>
    <definedName name="BO538D5EA5896A41B08EEB9B78C818BCFD" hidden="1">#REF!</definedName>
    <definedName name="BO53B850CEADE24584822F74E66CCE2F4D" hidden="1">#REF!</definedName>
    <definedName name="BO53C10017EFA146C8B80E362E38638385" hidden="1">#REF!</definedName>
    <definedName name="BO53C97263AE7A4163B6E0E5A9C962A16F" hidden="1">#REF!</definedName>
    <definedName name="BO53D650ED84064B28BCE87ECEEC81C536" hidden="1">#REF!</definedName>
    <definedName name="BO53E168E4F5AF4CA5B441A93C6143E073" hidden="1">#REF!</definedName>
    <definedName name="BO53E7E5AB5A0B497E9715DD9D2CD891C6" hidden="1">#REF!</definedName>
    <definedName name="BO53F81114238D490A89C9DFD3B7253C4C" hidden="1">#REF!</definedName>
    <definedName name="BO54047302119746D98F5ABDB240ABDA36" hidden="1">#REF!</definedName>
    <definedName name="BO540A1A8C0A9E48B08783EFD21101ACC7" hidden="1">#REF!</definedName>
    <definedName name="BO541C0FA3584B40A09E31390817835169" hidden="1">#REF!</definedName>
    <definedName name="BO5422447076504C0EBB91F843868A36D3" hidden="1">#REF!</definedName>
    <definedName name="BO542ED7CFAD0B4087887F8B1FEC6DF392" hidden="1">#REF!</definedName>
    <definedName name="BO543E750FA6BB4C6BBE4DDE221AC8AC6D" hidden="1">#REF!</definedName>
    <definedName name="BO543FE98110FF4FEE8697D2541878F154" hidden="1">#REF!</definedName>
    <definedName name="BO5445D72D0F044DEEBF996C718C083D66" hidden="1">#REF!</definedName>
    <definedName name="BO5458704F8935483DA14A329FB914B72C" hidden="1">#REF!</definedName>
    <definedName name="BO5458CF92DB674894B252CAE13567767D" hidden="1">#REF!</definedName>
    <definedName name="BO545E98A03CD44E29BF9B47F07336B3DD" hidden="1">#REF!</definedName>
    <definedName name="BO5471006E69D5443DA40F05BB068E3A7E" hidden="1">#REF!</definedName>
    <definedName name="BO548695EB5CB34CA08FBD9912342C2133" hidden="1">#REF!</definedName>
    <definedName name="BO5488FF89FF03495CB8005F29516349EA" hidden="1">#REF!</definedName>
    <definedName name="BO548FE1191ED249BAABF05DB1627F605C" hidden="1">#REF!</definedName>
    <definedName name="BO54971AE42F544419A922C50094288A53" hidden="1">#REF!</definedName>
    <definedName name="BO54AF21CFB7CC4CEC915A669A45BE8A54" hidden="1">#REF!</definedName>
    <definedName name="BO54BC3C8E20C74D819B39D47317243E3D" hidden="1">#REF!</definedName>
    <definedName name="BO54BCA2EDBC88492F96C287B5F7144A17" hidden="1">#REF!</definedName>
    <definedName name="BO54C5845DBBDA4473AB5872905D10C41F" hidden="1">#REF!</definedName>
    <definedName name="BO54D33C4005C446DE8341C4496015BE10" hidden="1">#REF!</definedName>
    <definedName name="BO54D7E3AE50C14B31B45D240860565719" hidden="1">#REF!</definedName>
    <definedName name="BO54F150FBDDEF43CC98CD3B8E89BB39BC" hidden="1">#REF!</definedName>
    <definedName name="BO54F96497187545FDA9C5AB493AB7585F" hidden="1">#REF!</definedName>
    <definedName name="BO550280AD764F4F0AB97BC478AFF425D9" hidden="1">#REF!</definedName>
    <definedName name="BO55088EF67E4941509F33D963CA4574C6" hidden="1">#REF!</definedName>
    <definedName name="BO550AC5B18CCB459B857417ACACDF2A9A" hidden="1">#REF!</definedName>
    <definedName name="BO550FCF03E3B445DA960D92B84FFFD5DC" hidden="1">#REF!</definedName>
    <definedName name="BO551B660F8B48471DBC4E8D7699CC5381" hidden="1">#REF!</definedName>
    <definedName name="BO55283403177D4C72A66D534B116C6BB3" hidden="1">#REF!</definedName>
    <definedName name="BO552D04B49D1049E887F4A36DE0A5A6B7" hidden="1">#REF!</definedName>
    <definedName name="BO552E687DAECC45EA83ACD2334FCD84E3" hidden="1">#REF!</definedName>
    <definedName name="BO553BAE79D46D47FCA1B1AD86F6522C37" hidden="1">#REF!</definedName>
    <definedName name="BO55559903F35F4C7B897F020233CAA190" hidden="1">#REF!</definedName>
    <definedName name="BO5555A61B89E149FD8824B361E5461B64" hidden="1">#REF!</definedName>
    <definedName name="BO555F105B873642DE8745392E45A7D968" hidden="1">#REF!</definedName>
    <definedName name="BO556AD0B275C04D0D97D9A6354249E23D" hidden="1">#REF!</definedName>
    <definedName name="BO5584382AA67D44608869CC7570E14BB7" hidden="1">#REF!</definedName>
    <definedName name="BO558E3A8FDF474496803DBC9EC2C2F335" hidden="1">#REF!</definedName>
    <definedName name="BO559AC615643D4B2883AFD9690BFE36EE" hidden="1">#REF!</definedName>
    <definedName name="BO55A668CE9F2047D9AFC6CAD2FC9FD49B" hidden="1">#REF!</definedName>
    <definedName name="BO55AC2C80D33440D8AADB17A0FFC06BEE" hidden="1">#REF!</definedName>
    <definedName name="BO55AD95C3E2284C1090D7C8F009188F60" hidden="1">#REF!</definedName>
    <definedName name="BO55AFD5FDAAB84E859BBE30C8238B78F0" hidden="1">#REF!</definedName>
    <definedName name="BO55BFEDC2DCA74053A7E5226B68684207" hidden="1">#REF!</definedName>
    <definedName name="BO55CD683FABCB4DABA720CC2D8B9A3F93" hidden="1">#REF!</definedName>
    <definedName name="BO55D4F8E574C14792A52FD4C46007BA7B" hidden="1">#REF!</definedName>
    <definedName name="BO55DD291DE5A549268B34D2352B6C7725" hidden="1">#REF!</definedName>
    <definedName name="BO56115D4D79CE46D58BCA4E843288E004" hidden="1">#REF!</definedName>
    <definedName name="BO5611C485B07A44D8B8DC5EF477D93E9E" hidden="1">#REF!</definedName>
    <definedName name="BO562387B7EC754B0BA9832280786C7004" hidden="1">#REF!</definedName>
    <definedName name="BO5629AE68F61647B2BB0D40C658AE0309" hidden="1">#REF!</definedName>
    <definedName name="BO56312CE4591B492EBB0FCE43501EAB30" hidden="1">#REF!</definedName>
    <definedName name="BO563C283728B44013AB212E32A8017CDF" hidden="1">#REF!</definedName>
    <definedName name="BO56460DE9229844E684F6D39427341B8F" hidden="1">#REF!</definedName>
    <definedName name="BO564A8EC18E124529A5DE2A64EF0E3E6E" hidden="1">#REF!</definedName>
    <definedName name="BO564BC7E8DC7F4129AFDD12C8811A0B13" hidden="1">#REF!</definedName>
    <definedName name="BO564BCDACD3344CCF9FEB992D50D0179B" hidden="1">#REF!</definedName>
    <definedName name="BO5655D7BCAE9A422C87BC216E1656340B" hidden="1">#REF!</definedName>
    <definedName name="BO565F1B10E013410A89AB88AC4B44E403" hidden="1">#REF!</definedName>
    <definedName name="BO566470C6E1CB4E289EEFC4519A83E286" hidden="1">#REF!</definedName>
    <definedName name="BO5664A9DD03D941788EC78435342B9094" hidden="1">#REF!</definedName>
    <definedName name="BO5669071DBE814EC9AB6F22B90F025B27" hidden="1">#REF!</definedName>
    <definedName name="BO566C2AB6821848F384E1789DF16BBA76" hidden="1">#REF!</definedName>
    <definedName name="BO5679E1BBBCFD4EFB9E4AC814A82BC5D6" hidden="1">#REF!</definedName>
    <definedName name="BO567A7DA6AF244A3CB098B7C153BF9750" hidden="1">#REF!</definedName>
    <definedName name="BO567C5EF033DA4612B25A368A010231CF" hidden="1">#REF!</definedName>
    <definedName name="BO5689A06B9B2245C897EAF127AB030C08" hidden="1">#REF!</definedName>
    <definedName name="BO568B035F32EB40A195638E45B9F360D5" hidden="1">#REF!</definedName>
    <definedName name="BO569161B02894462BBA2ADEA43208FB8D" hidden="1">#REF!</definedName>
    <definedName name="BO56989CB8882245C9926E7EDE54A73AA1" hidden="1">#REF!</definedName>
    <definedName name="BO569D564B2A68412DAEFA7FEEAFA548E3" hidden="1">#REF!</definedName>
    <definedName name="BO569EC218AD12468BB9780634CC2575BD" hidden="1">#REF!</definedName>
    <definedName name="BO56B7432AF9F243608B5AB2B73119DEBC" hidden="1">#REF!</definedName>
    <definedName name="BO56B7F5F6F33F46B38F2A5D3123D1A221" hidden="1">#REF!</definedName>
    <definedName name="BO56C1E34B4FCB4FAFAEAB5F9704F77644" hidden="1">#REF!</definedName>
    <definedName name="BO56D4291BF173462781489C5E41312435" hidden="1">#REF!</definedName>
    <definedName name="BO56D44D5078644384BB97FDB31B2890A5" hidden="1">#REF!</definedName>
    <definedName name="BO56D7F54EF3864AC182CD127A7DACD3A9" hidden="1">#REF!</definedName>
    <definedName name="BO56DFE4AB38E8484181E7CC56F7D8DA00" hidden="1">#REF!</definedName>
    <definedName name="BO56E459A2EAE84E298E436E0BA49EE2AF" hidden="1">#REF!</definedName>
    <definedName name="BO56E631FD81D2467485BEA836E8241D73" hidden="1">#REF!</definedName>
    <definedName name="BO56E85339CCC24582B16A86A9EBE44C9C" hidden="1">#REF!</definedName>
    <definedName name="BO56EB617D4C17428AB06AC1AF4B4AAA24" hidden="1">#REF!</definedName>
    <definedName name="BO56EFB133A8CD49D88C2A9246C269B47F" hidden="1">#REF!</definedName>
    <definedName name="BO5700ECDE4C574EFE86CD18831145FB25" hidden="1">#REF!</definedName>
    <definedName name="BO5702EA6581684B98AFFF416357DA9F17" hidden="1">#REF!</definedName>
    <definedName name="BO570EDFF850684FEC85E0149D5157E271" hidden="1">#REF!</definedName>
    <definedName name="BO5712134948AF458D85440B705833841B" hidden="1">#REF!</definedName>
    <definedName name="BO5712430FE03044A2A681462CFFA7D31C" hidden="1">#REF!</definedName>
    <definedName name="BO57124AEDC12F4E539C55C09B5CB590F7" hidden="1">#REF!</definedName>
    <definedName name="BO5718AC7233F44BDEBD5541CC7A7250A6" hidden="1">#REF!</definedName>
    <definedName name="BO571F2A3DFA4B49DB8DAB14AE041169BC" hidden="1">#REF!</definedName>
    <definedName name="BO57280594E250452E8C6F8A6545DF5F74" hidden="1">#REF!</definedName>
    <definedName name="BO573467812A2947A58BCC9D1892DA66B9" hidden="1">#REF!</definedName>
    <definedName name="BO574A8661F2874C9AADA620207CCA7E04" hidden="1">#REF!</definedName>
    <definedName name="BO5755ADB6B5A2494CB0BD9D916171936B" hidden="1">#REF!</definedName>
    <definedName name="BO575C37B798AE427F80C7762C6DF4664C" hidden="1">#REF!</definedName>
    <definedName name="BO57679A5019D541568086DF7DAE215B9F" hidden="1">#REF!</definedName>
    <definedName name="BO577383BBA6C44B3E8B88B855A9F13CE6" hidden="1">#REF!</definedName>
    <definedName name="BO5775AA63EF03437B8F9748F002E708CF" hidden="1">#REF!</definedName>
    <definedName name="BO5785978DBFA945BAB17239618073C44F" hidden="1">#REF!</definedName>
    <definedName name="BO57881913C6414B8583E0A4AC656F8AF1" hidden="1">#REF!</definedName>
    <definedName name="BO57996924E9AB45ABA91A23E834F5ED9E" hidden="1">#REF!</definedName>
    <definedName name="BO579EDFB6B86D47C29CE951EF83CD2B3A" hidden="1">#REF!</definedName>
    <definedName name="BO579FF3EC91F346B7B66E5F5525340C61" hidden="1">#REF!</definedName>
    <definedName name="BO57AD560F3F4F478ABE1719C08FBB4067" hidden="1">#REF!</definedName>
    <definedName name="BO57AF2936BF034AC6A08F6647F89802C9" hidden="1">#REF!</definedName>
    <definedName name="BO57B80FC22EA04926ACDB99CFCEAA3329" hidden="1">#REF!</definedName>
    <definedName name="BO57BF23E883A749199DB0B4FF80CEB840" hidden="1">#REF!</definedName>
    <definedName name="BO57C00678A2A1464597FF596DF513BE7D" hidden="1">#REF!</definedName>
    <definedName name="BO57D188F9C66041D2A439523A3A2DDA7C" hidden="1">#REF!</definedName>
    <definedName name="BO58096EB698C54FAC8A6E397676B95E39" hidden="1">#REF!</definedName>
    <definedName name="BO58163D3DAAF545288A07B76D00791AD7" hidden="1">#REF!</definedName>
    <definedName name="BO582F83AAE0424F1ABAF95262D2722BF1" hidden="1">#REF!</definedName>
    <definedName name="BO583B84D00F3B434AB602D5AA8F370704" hidden="1">#REF!</definedName>
    <definedName name="BO584BA2394E364EC3808F7D2C0044E31B" hidden="1">#REF!</definedName>
    <definedName name="BO584C4BD56ABB4D2A8845016568487F2C" hidden="1">#REF!</definedName>
    <definedName name="BO58586672011846C592E11D37F90E7513" hidden="1">#REF!</definedName>
    <definedName name="BO585BD409989D431E9ED6A2BA27279DB6" hidden="1">#REF!</definedName>
    <definedName name="BO586C40AB62B64E6B81429E9982877986" hidden="1">#REF!</definedName>
    <definedName name="BO5877103BDE674DCEAECD055821591115" hidden="1">#REF!</definedName>
    <definedName name="BO587B99BAA483477DA3AD20E6C3F94BF4" hidden="1">#REF!</definedName>
    <definedName name="BO587C6B1C89AC4830A789FA7C4775ABD9" hidden="1">#REF!</definedName>
    <definedName name="BO588135FEB0A34056B7CAE1BA8B352B6E" hidden="1">#REF!</definedName>
    <definedName name="BO588BC0CDFE5C4165BBA0890132C4E8B6" hidden="1">#REF!</definedName>
    <definedName name="BO588CB281348B4EC0B7EC392C85CE1AB9" hidden="1">#REF!</definedName>
    <definedName name="BO588CC33682E849B3971517AB47273E05" hidden="1">#REF!</definedName>
    <definedName name="BO588DD3A4881F4AA8A85279619A183C4D" hidden="1">#REF!</definedName>
    <definedName name="BO58A24A334F434A1FBE598EBAC1D3DFD7" hidden="1">#REF!</definedName>
    <definedName name="BO58A4C121397D4321BF0D72769EB05320" hidden="1">#REF!</definedName>
    <definedName name="BO58A74F7A85DE4A63809027D5A1060CC9" hidden="1">#REF!</definedName>
    <definedName name="BO58B87D46956543CA961CDF23DFFD6922" hidden="1">#REF!</definedName>
    <definedName name="BO58DBD8CF89D14EDFB9BDF8DA3EADC3E0" hidden="1">#REF!</definedName>
    <definedName name="BO58DF38928C9F440B9DC6ACDACD1E5F58" hidden="1">#REF!</definedName>
    <definedName name="BO59105ABF2A9B4E448C00A760E7674913" hidden="1">#REF!</definedName>
    <definedName name="BO5914BAE432A84FDFB3D7A84A15D820DE" hidden="1">#REF!</definedName>
    <definedName name="BO591F0FE223DF47E997AD627ED3D763EF" hidden="1">#REF!</definedName>
    <definedName name="BO5929CB64127548D280BCBE8C1F9D8A01" hidden="1">#REF!</definedName>
    <definedName name="BO592AD9DAC41E408FB2134C479302BC52" hidden="1">#REF!</definedName>
    <definedName name="BO5930BCEC622A435883631B2F7463168F" hidden="1">#REF!</definedName>
    <definedName name="BO593A8EF7AF734609BEC28233E742185A" hidden="1">#REF!</definedName>
    <definedName name="BO5943775C513F4AF99148F835A0BDA851" hidden="1">#REF!</definedName>
    <definedName name="BO594A9E5506654994A94F0E8E88EFC450" hidden="1">#REF!</definedName>
    <definedName name="BO597C49603B944189B7267C1288C88333" hidden="1">#REF!</definedName>
    <definedName name="BO597E8FFCE7884C9A85A81B608B1DFE36" hidden="1">#REF!</definedName>
    <definedName name="BO598E2517EE94499985B5046EAB1F94BA" hidden="1">#REF!</definedName>
    <definedName name="BO59AB58918FD744C8AC8D4D7B3E97920A" hidden="1">#REF!</definedName>
    <definedName name="BO59BAEE0424C84B9FAE225E936946BFCF" hidden="1">#REF!</definedName>
    <definedName name="BO59BCF4BB9A7A4059A10B81F56B2EE6A7" hidden="1">#REF!</definedName>
    <definedName name="BO59C741412F9B4929B9F30B2DCAAF7B78" hidden="1">#REF!</definedName>
    <definedName name="BO59CBD84B55E543F689DB102DFF58AE3E" hidden="1">#REF!</definedName>
    <definedName name="BO59D05E32B98D42668EC0972CA578E905" hidden="1">#REF!</definedName>
    <definedName name="BO59D0FFB377B243F8A8A0BE126853466D" hidden="1">#REF!</definedName>
    <definedName name="BO59D1247ABA1942E68DE356ECD4AA5873" hidden="1">#REF!</definedName>
    <definedName name="BO59DE75058BE645E6BA03567AA42DAB96" hidden="1">#REF!</definedName>
    <definedName name="BO59E36496816846F984CE59CCD15A8D16" hidden="1">#REF!</definedName>
    <definedName name="BO59E61CD822834EA3A8B8303789F65058" hidden="1">#REF!</definedName>
    <definedName name="BO59E7D4697A3F4F898D428F70730A4884" hidden="1">#REF!</definedName>
    <definedName name="BO59E83BDF3FDC43A5B68759829965BE9C" hidden="1">#REF!</definedName>
    <definedName name="BO59E99A26BA1F40CCB538BD0FDCD8EA53" hidden="1">#REF!</definedName>
    <definedName name="BO59EBFC281CB9468CBED289AD9EB081AF" hidden="1">#REF!</definedName>
    <definedName name="BO59FCC9626BF941B18C8FC54DFB7331E6" hidden="1">#REF!</definedName>
    <definedName name="BO5A07DE02F2554B39899DAF1069850337" hidden="1">#REF!</definedName>
    <definedName name="BO5A08BC7B65D14324A5F403F20BFBBA16" hidden="1">#REF!</definedName>
    <definedName name="BO5A11F583117A4D0DB0395DB77B3B014A" hidden="1">#REF!</definedName>
    <definedName name="BO5A14A4D57F4D44CD8AF33AD706252A99" hidden="1">#REF!</definedName>
    <definedName name="BO5A29A1056FB7464AA274C04DE693BF94" hidden="1">#REF!</definedName>
    <definedName name="BO5A4E0E82DE614E5EA2957E0B192BE5ED" hidden="1">#REF!</definedName>
    <definedName name="BO5A4F12DD3FF04A6F875E665DCEEDC464" hidden="1">#REF!</definedName>
    <definedName name="BO5A5BB58AF9FF43D5A4363AF212E43677" hidden="1">#REF!</definedName>
    <definedName name="BO5A66E5C68FA2418884D55FFA9595F8E8" hidden="1">#REF!</definedName>
    <definedName name="BO5A6A4CC2230B4B63A0D97A9077B4598D" hidden="1">#REF!</definedName>
    <definedName name="BO5A6E654C7D6B4E25AE8C325BC78B9332" hidden="1">#REF!</definedName>
    <definedName name="BO5A6E94D054DE4EC98820F6894C1C4A79" hidden="1">#REF!</definedName>
    <definedName name="BO5A768AB16B5042809CCA25F1D39C4C91" hidden="1">#REF!</definedName>
    <definedName name="BO5A8FD6C6A22D4532B938B0B310A2261C" hidden="1">#REF!</definedName>
    <definedName name="BO5A92E5198D6946769D91DD65CA62509F" hidden="1">#REF!</definedName>
    <definedName name="BO5A981A420E8E40C79AFFC1FEDCB20DC4" hidden="1">#REF!</definedName>
    <definedName name="BO5AA23C3885594DE895EBA378C7A68FA7" hidden="1">#REF!</definedName>
    <definedName name="BO5AA8D238314240409A0DC9AC6BE70622" hidden="1">#REF!</definedName>
    <definedName name="BO5AC88F934013422BAF43CC8E57B0CAE1" hidden="1">#REF!</definedName>
    <definedName name="BO5ACB1695039E4C4ABEA362C77C2467A8" hidden="1">#REF!</definedName>
    <definedName name="BO5AD100FA9F3348D291AD13F698A56F1B" hidden="1">#REF!</definedName>
    <definedName name="BO5AD436867B9A473BB3775100551477F5" hidden="1">#REF!</definedName>
    <definedName name="BO5AE229A3A2064C4992F93B9605AD7882" hidden="1">#REF!</definedName>
    <definedName name="BO5AF6C0773B394F378644438018E1989F" hidden="1">#REF!</definedName>
    <definedName name="BO5AFAA62432F94478A9DB2D29C8F8EBC6" hidden="1">#REF!</definedName>
    <definedName name="BO5AFCA1634C0F43C691EF5D194E532FF2" hidden="1">#REF!</definedName>
    <definedName name="BO5AFCF7344620449E82D0530EFE938162" hidden="1">#REF!</definedName>
    <definedName name="BO5AFDB8979AF64B7FA92E880A0A3FF54C" hidden="1">#REF!</definedName>
    <definedName name="BO5B097C0691204ABAAF71CC5A6313C327" hidden="1">#REF!</definedName>
    <definedName name="BO5B0ED6A2E7164AD39CE128655CD29DE7" hidden="1">#REF!</definedName>
    <definedName name="BO5B1118C5D85043E5B7895859349BD9EC" hidden="1">#REF!</definedName>
    <definedName name="BO5B3C923987BF419F8D9987C029432E2A" hidden="1">#REF!</definedName>
    <definedName name="BO5B44943A161340C5947DDFDB32DCC2DA" hidden="1">#REF!</definedName>
    <definedName name="BO5B44FA7642F849578B97305ADEF5E3E2" hidden="1">#REF!</definedName>
    <definedName name="BO5B475982E12E4DBEBCBA424C84298F68" hidden="1">#REF!</definedName>
    <definedName name="BO5B476B6D642245CBA147154491F210A7" hidden="1">#REF!</definedName>
    <definedName name="BO5B4A043829554A4499B3F53D426144C2" hidden="1">#REF!</definedName>
    <definedName name="BO5B58816A9F12497A91EC2E6C5838ED62" hidden="1">#REF!</definedName>
    <definedName name="BO5B773E1A5AD644DDAF777102DDEC83CB" hidden="1">#REF!</definedName>
    <definedName name="BO5B7C0290C0D645529EF302AA90F6E7CC" hidden="1">#REF!</definedName>
    <definedName name="BO5B844338724B47CD9AA666587E1A179E" hidden="1">#REF!</definedName>
    <definedName name="BO5B8BD13032A544A088F572EE66B08154" hidden="1">#REF!</definedName>
    <definedName name="BO5BA2B52660E94F149F0C20CA9E03B42B" hidden="1">#REF!</definedName>
    <definedName name="BO5BABF5099F1A4F02B0DAC6F4D579FE61" hidden="1">#REF!</definedName>
    <definedName name="BO5BB74E4526A74BECA3062A82724CBBD2" hidden="1">#REF!</definedName>
    <definedName name="BO5BB8E3529DC9456081A0D4B85C997FD0" hidden="1">#REF!</definedName>
    <definedName name="BO5BDA93A872ED465CBF4AA20E16304140" hidden="1">#REF!</definedName>
    <definedName name="BO5BE6934B4B74447C91E591BF6D3A7925" hidden="1">#REF!</definedName>
    <definedName name="BO5BEA3CF444064C10BE5AE1CAD433A4BB" hidden="1">#REF!</definedName>
    <definedName name="BO5BF1D946B1954EA18DF0A323C8B44BAB" hidden="1">#REF!</definedName>
    <definedName name="BO5BF394A585DF4E3B85AC8329CF519A7E" hidden="1">#REF!</definedName>
    <definedName name="BO5BFF884EE0CA4B58B71645CA8234958F" hidden="1">#REF!</definedName>
    <definedName name="BO5C06167F1AB14C59A5111E7BBAA1AF65" hidden="1">#REF!</definedName>
    <definedName name="BO5C07E5A25BD14F1CB9300643DF494F59" hidden="1">#REF!</definedName>
    <definedName name="BO5C127433CC52417B8F62844D836CF9C4" hidden="1">#REF!</definedName>
    <definedName name="BO5C171BE6FA944835B128C1935E162C93" hidden="1">#REF!</definedName>
    <definedName name="BO5C17B688468F47D7AE331DF9376D30F2" hidden="1">#REF!</definedName>
    <definedName name="BO5C24A86A8ED5432FB61C84DFE0B2CAE1" hidden="1">#REF!</definedName>
    <definedName name="BO5C2FAD5BA94C415AA6B15A3B71B6BCE4" hidden="1">#REF!</definedName>
    <definedName name="BO5C319755599640F38BB966F8E9B62A3A" hidden="1">#REF!</definedName>
    <definedName name="BO5C36F423514B435EA17121BE896304F7" hidden="1">#REF!</definedName>
    <definedName name="BO5C4AE7D67A044E27AB86B140A019A0DE" hidden="1">#REF!</definedName>
    <definedName name="BO5C4AF1AC21B64F8B996ADA9ED83A40BC" hidden="1">#REF!</definedName>
    <definedName name="BO5C511C23119C4812ACF56E2FBAD5DB08" hidden="1">#REF!</definedName>
    <definedName name="BO5C54EA89DF114706AF3C44CA58C83F3C" hidden="1">#REF!</definedName>
    <definedName name="BO5C58188CD90F41699D1DB10753439310" hidden="1">#REF!</definedName>
    <definedName name="BO5C599ED32DD14D2DAE35F8010C57B03A" hidden="1">#REF!</definedName>
    <definedName name="BO5C5AA1128018454289AD86FA743ECEB3" hidden="1">#REF!</definedName>
    <definedName name="BO5C5D3319D8944D7585BE95665B6469F0" hidden="1">#REF!</definedName>
    <definedName name="BO5C6ED0FA4EB34C30A18684292039ACF7" hidden="1">#REF!</definedName>
    <definedName name="BO5C710A40141F457FB9222A6C627BB409" hidden="1">#REF!</definedName>
    <definedName name="BO5C88CB795C55448E94159635C945E3D3" hidden="1">#REF!</definedName>
    <definedName name="BO5C8E405342D94B3FAE8B92790E69EB7A" hidden="1">#REF!</definedName>
    <definedName name="BO5C8FCD99CEBA4E7BA309E717372E491D" hidden="1">#REF!</definedName>
    <definedName name="BO5CAB68F325B846499F1556258B37A029" hidden="1">#REF!</definedName>
    <definedName name="BO5CC3B338A01446C2AD644367F6167A51" hidden="1">#REF!</definedName>
    <definedName name="BO5CDA6BDDF6DC43D988774DBD8206CBEE" hidden="1">#REF!</definedName>
    <definedName name="BO5CE2CE67B14440FEA780A3CF76EA53D8" hidden="1">#REF!</definedName>
    <definedName name="BO5CEB11CADDCD4D4898C911631B26245B" hidden="1">#REF!</definedName>
    <definedName name="BO5CFAF1AC1F8F49DFB97CD2FC0065E1E6" hidden="1">#REF!</definedName>
    <definedName name="BO5D0A21FEAFA0474385D33BE2C615C124" hidden="1">#REF!</definedName>
    <definedName name="BO5D0C34E12E4E4E0BAB25A171AD49DF14" hidden="1">#REF!</definedName>
    <definedName name="BO5D0CC37143354E85A119EB74685D056E" hidden="1">#REF!</definedName>
    <definedName name="BO5D16D02BBC7E47CDAE7CCEE421CC3CB7" hidden="1">#REF!</definedName>
    <definedName name="BO5D199FBB5E10459FA0B863F17598B9A6" hidden="1">#REF!</definedName>
    <definedName name="BO5D259298A8CC4F1D93DB57E1D515EBF4" hidden="1">#REF!</definedName>
    <definedName name="BO5D36B3E74E8940E9BC9658C19524D1B1" hidden="1">#REF!</definedName>
    <definedName name="BO5D432426C89F4360892604F968973F1C" hidden="1">#REF!</definedName>
    <definedName name="BO5D458FECB5EF43B98A1A8089608E262F" hidden="1">#REF!</definedName>
    <definedName name="BO5D470D5929684741B170D66B867E991C" hidden="1">#REF!</definedName>
    <definedName name="BO5D5F98D3640A4F89A7A67F227C78A9E0" hidden="1">#REF!</definedName>
    <definedName name="BO5D64BAA2C9D442DE9BF1E4D2F79DA660" hidden="1">#REF!</definedName>
    <definedName name="BO5D65927E91004CCAA870F1C7804CD95C" hidden="1">#REF!</definedName>
    <definedName name="BO5D69D5A5C9A04B718C0FE786B84008FA" hidden="1">#REF!</definedName>
    <definedName name="BO5D6F92C50D4440FDA7BD8CEBD72A443B" hidden="1">#REF!</definedName>
    <definedName name="BO5D734B76A3B342159964FD63CBC16DD4" hidden="1">#REF!</definedName>
    <definedName name="BO5D8552BCDF3B4893A893CF0A4C2155CB" hidden="1">#REF!</definedName>
    <definedName name="BO5D8B32A284F54C80AA0C671203518808" hidden="1">#REF!</definedName>
    <definedName name="BO5D8EC993FF9E4A0AB884B992EB5FC069" hidden="1">#REF!</definedName>
    <definedName name="BO5D9BAFCA02AA4BF5A419012A6533E2E3" hidden="1">#REF!</definedName>
    <definedName name="BO5DA4BB34B4C34D97B7072FA1A0BF5547" hidden="1">#REF!</definedName>
    <definedName name="BO5DBA36ACB85C488E9B48BF6E86728E10" hidden="1">#REF!</definedName>
    <definedName name="BO5DC0616FA089421AAEE575ACDEA1BD1F" hidden="1">#REF!</definedName>
    <definedName name="BO5DE1185EE3C04DECA5E2EBAF37096F1E" hidden="1">#REF!</definedName>
    <definedName name="BO5DEBC1E0CDED4D0CBB1CA0E2274BEEC8" hidden="1">#REF!</definedName>
    <definedName name="BO5DF103513BDB4A3495B51436CB4FE6A4" hidden="1">#REF!</definedName>
    <definedName name="BO5DF5A81A6C824C69B5347150F87F60A7" hidden="1">#REF!</definedName>
    <definedName name="BO5DFE29754AF543D099463A4A9568E45C" hidden="1">#REF!</definedName>
    <definedName name="BO5E115AD95B694D60AA64C98C4020D5BC" hidden="1">#REF!</definedName>
    <definedName name="BO5E271D87BB354491A40181FD0B52C71D" hidden="1">#REF!</definedName>
    <definedName name="BO5E2D379F62974FACBBADCD4196C08936" hidden="1">#REF!</definedName>
    <definedName name="BO5E39A749CD084386B3FA40D2AC7B591A" hidden="1">#REF!</definedName>
    <definedName name="BO5E43D4E07BAB44D8B7C5B31187CD29AD" hidden="1">#REF!</definedName>
    <definedName name="BO5E450EC19D6E4A84B61FC8ABF4534959" hidden="1">#REF!</definedName>
    <definedName name="BO5E4DCEC929DC4B3F8C57FC5A66C7C4AB" hidden="1">#REF!</definedName>
    <definedName name="BO5E4E63AC98624122B0150074A4CB4AD3" hidden="1">#REF!</definedName>
    <definedName name="BO5E5723B28DEF4A93A0119EA68B46711E" hidden="1">#REF!</definedName>
    <definedName name="BO5E65D29026304E30B80A047A0537E709" hidden="1">#REF!</definedName>
    <definedName name="BO5E6E2F0B57954DAF91BFF5C9022B237A" hidden="1">#REF!</definedName>
    <definedName name="BO5E8374C625C2449A8A88C1479347EFA1" hidden="1">#REF!</definedName>
    <definedName name="BO5E8C45A49EEE45DB9EE3D45FCF4DD95A" hidden="1">#REF!</definedName>
    <definedName name="BO5E9C7A5C7A4D48AFB3A19CCAD25DC0B1" hidden="1">#REF!</definedName>
    <definedName name="BO5EA50170C72041F59B35550D0B89A4E7" hidden="1">#REF!</definedName>
    <definedName name="BO5EA6FB95A42946A1B2A8748C45F97982" hidden="1">#REF!</definedName>
    <definedName name="BO5EA9BECC683D4B388188EFD273EA33E0" hidden="1">#REF!</definedName>
    <definedName name="BO5EB8A3DA9E584F74BB9FEF4D94E94E7F" hidden="1">#REF!</definedName>
    <definedName name="BO5EB951CD2EF94A37B6D33A69CB86E3FB" hidden="1">#REF!</definedName>
    <definedName name="BO5EBA0BCA31494DAC902731C7A55CEB3D" hidden="1">#REF!</definedName>
    <definedName name="BO5EBFAFACB61741BEB33CCB09B90975C3" hidden="1">#REF!</definedName>
    <definedName name="BO5EDB2EE677314325B36B732A147FDB42" hidden="1">#REF!</definedName>
    <definedName name="BO5EDECEDDA5264E628772346E6587CF27" hidden="1">#REF!</definedName>
    <definedName name="BO5EEE1E114C9F4532B2EEE5F016FA3338" hidden="1">#REF!</definedName>
    <definedName name="BO5EF5D959A2434493BA6B573388C14CA7" hidden="1">#REF!</definedName>
    <definedName name="BO5EF64B84ACD341E2A9C3AE1D7895E721" hidden="1">#REF!</definedName>
    <definedName name="BO5EFBF07F6F494546ACF06EEA79D330F6" hidden="1">#REF!</definedName>
    <definedName name="BO5F07E269442B41A6B0CEB4145DE0D66E" hidden="1">#REF!</definedName>
    <definedName name="BO5F159416B6394040952B01CE4D34183B" hidden="1">#REF!</definedName>
    <definedName name="BO5F1C936FFE564E09A6BC379798BA8E2E" hidden="1">#REF!</definedName>
    <definedName name="BO5F3352B4CD6D4535BDFFCDA6191AE9FE" hidden="1">#REF!</definedName>
    <definedName name="BO5F58BA631063454D9856539198337FDF" hidden="1">#REF!</definedName>
    <definedName name="BO5F7037CF7B0B478DB32C6ED5730F19DA" hidden="1">#REF!</definedName>
    <definedName name="BO5F7622B16F8042D684586B4F27029A2C" hidden="1">#REF!</definedName>
    <definedName name="BO5F7852060F66423C95D30BB609EE4091" hidden="1">#REF!</definedName>
    <definedName name="BO5F812BE92C98447DB7FDEA8E45C23C3C" hidden="1">#REF!</definedName>
    <definedName name="BO5F84E563678C489F8B1C8C4DE73D6F74" hidden="1">#REF!</definedName>
    <definedName name="BO5F85BBF62DE04590960599EF665BCA1F" hidden="1">#REF!</definedName>
    <definedName name="BO5F883873D4FC47FF8CD32EB1139D76D2" hidden="1">#REF!</definedName>
    <definedName name="BO5F9F0D04E45146139477D5458C7727A2" hidden="1">#REF!</definedName>
    <definedName name="BO5FAA7894E10E492DA2978D96A4C4D101" hidden="1">#REF!</definedName>
    <definedName name="BO5FB04DF66136425B8251723A3F6B51B7" hidden="1">#REF!</definedName>
    <definedName name="BO5FC5D6348D6D4EFC9256A896695F66D7" hidden="1">#REF!</definedName>
    <definedName name="BO5FC705DCA34F431C9ACAE3B0AC07E791" hidden="1">#REF!</definedName>
    <definedName name="BO5FEC59DE0691419DA9337D5C591FA123" hidden="1">#REF!</definedName>
    <definedName name="BO5FF05BA8556E417C88B538AA9F3E5010" hidden="1">#REF!</definedName>
    <definedName name="BO5FFC942B80C047D39CADFD8D2E600674" hidden="1">#REF!</definedName>
    <definedName name="BO6002889BF66B41C5B382B0354F59EE40" hidden="1">#REF!</definedName>
    <definedName name="BO6005AB88EDAE4F30A6FA3469D8C8B1B5" hidden="1">#REF!</definedName>
    <definedName name="BO6011892F46C54893AA72FF35E2F040DA" hidden="1">#REF!</definedName>
    <definedName name="BO602BA3C38579403ABF2674B8BBC0C762" hidden="1">#REF!</definedName>
    <definedName name="BO602EE45763774521B835ECE0E5911DBA" hidden="1">#REF!</definedName>
    <definedName name="BO60314B47F57D453E8BC5CB4F18881766" hidden="1">#REF!</definedName>
    <definedName name="BO6048A3D9448C4CAEAA9C086C7BB8E922" hidden="1">#REF!</definedName>
    <definedName name="BO604BA1FBBEC34343B7ED77281F819D0E" hidden="1">#REF!</definedName>
    <definedName name="BO6053357345D441C8AFD3E1F721012783" hidden="1">#REF!</definedName>
    <definedName name="BO6055125455B145D58CEE2739DE8803D4" hidden="1">#REF!</definedName>
    <definedName name="BO605D9DEEB55748398A5C36D28098C209" hidden="1">#REF!</definedName>
    <definedName name="BO606E4F5B6CA74BC094F54AF8AA3EB453" hidden="1">#REF!</definedName>
    <definedName name="BO607921CE2D1040F4A95465B56F143DCA" hidden="1">#REF!</definedName>
    <definedName name="BO6081D84A4AFE4565924C700371B47FDB" hidden="1">#REF!</definedName>
    <definedName name="BO6084952E209D4AB18804ABB8EEABBBE0" hidden="1">#REF!</definedName>
    <definedName name="BO608AA6B4F3854EB0937BEAB326E365B4" hidden="1">#REF!</definedName>
    <definedName name="BO609311CB32A2433098059A02B8DED606" hidden="1">#REF!</definedName>
    <definedName name="BO609F7CB4A1E148828509A658D00F96F1" hidden="1">#REF!</definedName>
    <definedName name="BO60B603F557F048D884903C3A5C0F5203" hidden="1">#REF!</definedName>
    <definedName name="BO60D008C836634A469FAE3BC925C40C58" hidden="1">#REF!</definedName>
    <definedName name="BO60EFFD1A207246F7BB6446D995B5AB16" hidden="1">#REF!</definedName>
    <definedName name="BO60F1637446C844A083C549ABE0C7E466" hidden="1">#REF!</definedName>
    <definedName name="BO60F965FAEDA04643B9A744EEE8E1650E" hidden="1">#REF!</definedName>
    <definedName name="BO6114B53ACA1A47488EEE98425D051217" hidden="1">#REF!</definedName>
    <definedName name="BO6118F622E5754A0B849B829E9380AFAA" hidden="1">#REF!</definedName>
    <definedName name="BO6125EE908CEB47B1936FF1C250EF59DB" hidden="1">#REF!</definedName>
    <definedName name="BO61328CC8CDD246359FB5351EBC30C7DE" hidden="1">#REF!</definedName>
    <definedName name="BO61355F9B4FB145918681758A8B6A4163" hidden="1">#REF!</definedName>
    <definedName name="BO614207EFB6E4477691F01890302351DB" hidden="1">#REF!</definedName>
    <definedName name="BO6146D8131B12454A8B114F5CD8EB23DB" hidden="1">#REF!</definedName>
    <definedName name="BO617227B9793545C6BF315DEE81000AFC" hidden="1">#REF!</definedName>
    <definedName name="BO6180FAC5ED6E4D58A7BCA64BA8ECCEBF" hidden="1">#REF!</definedName>
    <definedName name="BO6186DB71BF0E407BA781E6B76C556BC2" hidden="1">#REF!</definedName>
    <definedName name="BO618834F7119040CB8E0ECBB2B886D9B4" hidden="1">#REF!</definedName>
    <definedName name="BO618D58D471984BF79269D587E110A209" hidden="1">#REF!</definedName>
    <definedName name="BO61A4E534814E4946A6C219938E5B8911" hidden="1">#REF!</definedName>
    <definedName name="BO61A77605934C4725A44E32A505B6F1FD" hidden="1">#REF!</definedName>
    <definedName name="BO61AC060B93DD4707863A0D81F58BF7EF" hidden="1">#REF!</definedName>
    <definedName name="BO61C2A4F2D2DB47EDB2B97111B2B51B9D" hidden="1">#REF!</definedName>
    <definedName name="BO61D4F12E7E514B7FA329CCFD355C2EF1" hidden="1">#REF!</definedName>
    <definedName name="BO61D9925CC13E4651B50B06D8BE11774A" hidden="1">#REF!</definedName>
    <definedName name="BO61DC4E5265F349A6ADF0AC2B36FD2531" hidden="1">#REF!</definedName>
    <definedName name="BO61E62ECC6DA64F25BB721BD8C2E3931B" hidden="1">#REF!</definedName>
    <definedName name="BO61F32AB4D3CB4F74A94E9302888AA464" hidden="1">#REF!</definedName>
    <definedName name="BO61FADA7029234F90A5B2044712ED37BC" hidden="1">#REF!</definedName>
    <definedName name="BO6210CD60477F4C7FAF143B69CE6F3F7D" hidden="1">#REF!</definedName>
    <definedName name="BO623C8DE4863E44E4866579849FBFD3CE" hidden="1">#REF!</definedName>
    <definedName name="BO6242D583313144DBBA7D8B69017FD228" hidden="1">#REF!</definedName>
    <definedName name="BO6258E17B968F46B69FA72785B68AF6EE" hidden="1">#REF!</definedName>
    <definedName name="BO6259B90130A84F9BA17A2432DD970171" hidden="1">#REF!</definedName>
    <definedName name="BO626213F4A50A407E80E2AB1F20AAFC0D" hidden="1">#REF!</definedName>
    <definedName name="BO62627EB56A23447A89FE9375BBF15EDB" hidden="1">#REF!</definedName>
    <definedName name="BO62631EA0E14846BB89A1BE45FFA5C473" hidden="1">#REF!</definedName>
    <definedName name="BO6297CA37596E4323B0E206C944004D4E" hidden="1">#REF!</definedName>
    <definedName name="BO62CF7C5E5B8443F39AAC44913D1D99F7" hidden="1">#REF!</definedName>
    <definedName name="BO62EE34E9F30A48399E9D4FE1770DC726" hidden="1">#REF!</definedName>
    <definedName name="BO62FE04DF16094B3AADB9F39220EBF386" hidden="1">#REF!</definedName>
    <definedName name="BO63143E390DA749B9A1958F3660D4C81E" hidden="1">#REF!</definedName>
    <definedName name="BO631654AFFCA4461BA3D7A4205E2F5E73" hidden="1">#REF!</definedName>
    <definedName name="BO63185A662F34403AB586F5FF00A322AC" hidden="1">#REF!</definedName>
    <definedName name="BO631A8AE303B749D78FFE102BDB246A94" hidden="1">#REF!</definedName>
    <definedName name="BO6327D3725E0B4E0F90CA575C9636332D" hidden="1">#REF!</definedName>
    <definedName name="BO6328DAA41893453899C99C36EC1C68B2" hidden="1">#REF!</definedName>
    <definedName name="BO633373516F5D475CAAF86A3078A95C84" hidden="1">#REF!</definedName>
    <definedName name="BO63401E42949E499C926D5D5DD6A36885" hidden="1">#REF!</definedName>
    <definedName name="BO63561953F40E41BFB1ADF19503FF6CBC" hidden="1">#REF!</definedName>
    <definedName name="BO635AE9E2428544AAB06BC5E4C5D14549" hidden="1">#REF!</definedName>
    <definedName name="BO635FADA57E39403384477A536FBCFA4E" hidden="1">#REF!</definedName>
    <definedName name="BO6361A81145F94A46859B6492ED1D1FEB" hidden="1">#REF!</definedName>
    <definedName name="BO63625AE1908748F8B28479418816A033" hidden="1">#REF!</definedName>
    <definedName name="BO6362D13B7B6E486C8686EF55D14867A5" hidden="1">#REF!</definedName>
    <definedName name="BO636CFD38B6EF4772BE0CD0D4D07060F1" hidden="1">#REF!</definedName>
    <definedName name="BO6379A16350B841D392BB228DC542704B" hidden="1">#REF!</definedName>
    <definedName name="BO638690A38D444C7D9EDC2C847F268942" hidden="1">#REF!</definedName>
    <definedName name="BO6392A09D42394A5095EEC8EC87B127D4" hidden="1">#REF!</definedName>
    <definedName name="BO639AED9047684E6AA54980540F223F0D" hidden="1">#REF!</definedName>
    <definedName name="BO63AA1074A6A341AC98923D8910EB6B10" hidden="1">#REF!</definedName>
    <definedName name="BO63ABE448CEAC46D39166E30EDDFBF7BB" hidden="1">#REF!</definedName>
    <definedName name="BO63C1EE2B242C4D56A62FBE9F03BF5797" hidden="1">#REF!</definedName>
    <definedName name="BO63DA3E0430B14B78814C4BE3BB09D1B6" hidden="1">#REF!</definedName>
    <definedName name="BO63DABF47B6B8407C9E6BC00E69DEE9F9" hidden="1">#REF!</definedName>
    <definedName name="BO63F66BDAB759401D94FF1A211147D2FD" hidden="1">#REF!</definedName>
    <definedName name="BO63FCFDE92132425C94FF90C4888C5CD0" hidden="1">#REF!</definedName>
    <definedName name="BO6406AE621D6044EFB12F789B351AE90A" hidden="1">#REF!</definedName>
    <definedName name="BO640F4EFF8069476E8D9496FEE641A671" hidden="1">#REF!</definedName>
    <definedName name="BO641179B7FDCA49D1842A40C092E6E593" hidden="1">#REF!</definedName>
    <definedName name="BO64214A6D88C349CBB67B08B1FAE571B6" hidden="1">#REF!</definedName>
    <definedName name="BO642361A353684695AAF82BB792EBCBE9" hidden="1">#REF!</definedName>
    <definedName name="BO6432C1B7CE6F4DE290F3DBB6DDA2A896" hidden="1">#REF!</definedName>
    <definedName name="BO6442474F16494AE19929455984B7016C" hidden="1">#REF!</definedName>
    <definedName name="BO644256A711C34BD091C3D7167972E241" hidden="1">#REF!</definedName>
    <definedName name="BO6443AABC9A324A0087BEAEB4CA1EAB13" hidden="1">#REF!</definedName>
    <definedName name="BO644919BAD3EF41CCB3BED725A7CC73EE" hidden="1">#REF!</definedName>
    <definedName name="BO645D7E6096984C0A84892D5B2EAE8F2D" hidden="1">#REF!</definedName>
    <definedName name="BO645E749F3B9B49DD9C402E09F7BC0102" hidden="1">#REF!</definedName>
    <definedName name="BO64685C9C9CEE4893BB55E52FBD41CE97" hidden="1">#REF!</definedName>
    <definedName name="BO64701BA2C63D492C8B59C16B31752DC3" hidden="1">#REF!</definedName>
    <definedName name="BO6482024E370343ED910891897633BFE7" hidden="1">#REF!</definedName>
    <definedName name="BO64846342AE8A4CDCA62F72B5C33F607A" hidden="1">#REF!</definedName>
    <definedName name="BO648548BCE0DA45B7A7287C34D05F81F2" hidden="1">#REF!</definedName>
    <definedName name="BO648780E49BF44D76BBC672D8324D1A64" hidden="1">#REF!</definedName>
    <definedName name="BO64A7458E5B7E43399819A220F4C81F58" hidden="1">#REF!</definedName>
    <definedName name="BO64AF21F53271471AAF110FF607ED75C2" hidden="1">#REF!</definedName>
    <definedName name="BO64BD5A3468AA471F882EB2168E56E865" hidden="1">#REF!</definedName>
    <definedName name="BO64D1AF52DBE34F018B786592ED1D354E" hidden="1">#REF!</definedName>
    <definedName name="BO64D232CB0773437B82167022D547C63D" hidden="1">#REF!</definedName>
    <definedName name="BO64D320B687CF4120B9FCED9D36A3F959" hidden="1">#REF!</definedName>
    <definedName name="BO64E3F1F15AC84AB582C0C12701F8EF49" hidden="1">#REF!</definedName>
    <definedName name="BO64F0F5EB20B340BAADFC6559AC2AA264" hidden="1">#REF!</definedName>
    <definedName name="BO64F982EA16E54898B6F92187C8C361F5" hidden="1">#REF!</definedName>
    <definedName name="BO65048D1821184B47A19D548162A72992" hidden="1">#REF!</definedName>
    <definedName name="BO651479EDBB214D2988AD6FEA30D9E99E" hidden="1">#REF!</definedName>
    <definedName name="BO6515A514F746447AA5303E8D09269775" hidden="1">#REF!</definedName>
    <definedName name="BO65180B7D5D654EC08AE50A3796E2EC9E" hidden="1">#REF!</definedName>
    <definedName name="BO6520D75EC63E44F7AC710726C1E6079D" hidden="1">#REF!</definedName>
    <definedName name="BO6521FD43239C41A8B1952CD609A2DABE" hidden="1">#REF!</definedName>
    <definedName name="BO6525F23A7CB4407C935894F7FB5040CD" hidden="1">#REF!</definedName>
    <definedName name="BO652CC2DF666D48668C9CD1A36EB1E73C" hidden="1">#REF!</definedName>
    <definedName name="BO6536E8ECB2954FFA86F054CAB96A3605" hidden="1">#REF!</definedName>
    <definedName name="BO653919FED8EC4688A365BF1E5B77008D" hidden="1">#REF!</definedName>
    <definedName name="BO653CC9949C44421885485FC761D67151" hidden="1">#REF!</definedName>
    <definedName name="BO653D5F52EDC647DB9A750024E688215F" hidden="1">#REF!</definedName>
    <definedName name="BO65458A9BE95547B2B0B612C94D5D9E7D" hidden="1">#REF!</definedName>
    <definedName name="BO655B886EC65946C089F6D0A4FAD31473" hidden="1">#REF!</definedName>
    <definedName name="BO6569B1282CD84D88991969F251051417" hidden="1">#REF!</definedName>
    <definedName name="BO656E77B6A4C743D199659D12351E4149" hidden="1">#REF!</definedName>
    <definedName name="BO65771DB6FA164897BBBEABD24F19FA21" hidden="1">#REF!</definedName>
    <definedName name="BO659BDA55AF094865A49EB2D25B30F53A" hidden="1">#REF!</definedName>
    <definedName name="BO65A00B857FB94E0794C4F3035347AAA0" hidden="1">#REF!</definedName>
    <definedName name="BO65B048AF270D425584D381968CA04F3B" hidden="1">#REF!</definedName>
    <definedName name="BO65C0E2C66D2042F49F209ED7E566F98A" hidden="1">#REF!</definedName>
    <definedName name="BO65C263807011433F92E421764C9F5205" hidden="1">#REF!</definedName>
    <definedName name="BO65C29BD9D6DE4DE491503D83253F8BDB" hidden="1">#REF!</definedName>
    <definedName name="BO65CC7E3CB91945ED8ED2B31C42DB88A6" hidden="1">#REF!</definedName>
    <definedName name="BO65D381BF98AA477487B0A8CEE7C353D7" hidden="1">#REF!</definedName>
    <definedName name="BO65D3FEBFA55D4633BE590E37D7C468CF" hidden="1">#REF!</definedName>
    <definedName name="BO65EF5BC8A08B46BA87CDC3BCEFDF1220" hidden="1">#REF!</definedName>
    <definedName name="BO660210A612C6487A93D3FBCC2BE81260" hidden="1">#REF!</definedName>
    <definedName name="BO66034E61D64F464A9C3BBCEBF0ECCD52" hidden="1">#REF!</definedName>
    <definedName name="BO66043C427E3E492F87C6ABAA5B4EF105" hidden="1">#REF!</definedName>
    <definedName name="BO6608AFFAC9D24147B7F71506F6E91E2D" hidden="1">#REF!</definedName>
    <definedName name="BO6614D524EF2440C7B1DBCDC51937FBA5" hidden="1">#REF!</definedName>
    <definedName name="BO6621318A83B2425FA09DA3C2884951DA" hidden="1">#REF!</definedName>
    <definedName name="BO662473044A01441CB8E1970937C707D0" hidden="1">#REF!</definedName>
    <definedName name="BO6629114C7E4046B6B9BF04B7FB0F360E" hidden="1">#REF!</definedName>
    <definedName name="BO6636F364F195470794D9D33F5185520D" hidden="1">#REF!</definedName>
    <definedName name="BO663D3DDCEC4642BDB6365202B43D6BBE" hidden="1">#REF!</definedName>
    <definedName name="BO66459AEC70FA479D862F90CE99ED13BF" hidden="1">#REF!</definedName>
    <definedName name="BO6653C3BDCEBB42DC83A2A5D787FB3AF0" hidden="1">#REF!</definedName>
    <definedName name="BO66600782B89F45A6B85DFE1A213BCDF3" hidden="1">#REF!</definedName>
    <definedName name="BO666973FD2BF54BA08506880A50AF2BF1" hidden="1">#REF!</definedName>
    <definedName name="BO667189CD29634700A87B7929E30C2ECD" hidden="1">#REF!</definedName>
    <definedName name="BO6674187FBD4E4C8289265BD9FD590547" hidden="1">#REF!</definedName>
    <definedName name="BO66824E1CA6BF4537BD3CDDCC41FE28D3" hidden="1">#REF!</definedName>
    <definedName name="BO66934BBCDD2244359FC782A22BB14899" hidden="1">#REF!</definedName>
    <definedName name="BO66979B7FECF545778B10EE449B37654A" hidden="1">#REF!</definedName>
    <definedName name="BO669A3B0020494AD8A31591FC2E601903" hidden="1">#REF!</definedName>
    <definedName name="BO669AA9157FA048228813CC8304D6182B" hidden="1">#REF!</definedName>
    <definedName name="BO66B05DC12D294EF3B8A1966FC053FC5C" hidden="1">#REF!</definedName>
    <definedName name="BO66B2098B131F47E5A444D0F5E5C5A768" hidden="1">#REF!</definedName>
    <definedName name="BO66BBAFDD558444EB8940825D7B6CDC9E" hidden="1">#REF!</definedName>
    <definedName name="BO66BC42DBB3674B2DB49F2ADEE491A653" hidden="1">#REF!</definedName>
    <definedName name="BO66C114EA43D441719658AE8C647620F4" hidden="1">#REF!</definedName>
    <definedName name="BO66C6C070B3494216BC774594C98FCABB" hidden="1">#REF!</definedName>
    <definedName name="BO66CC7B6EF2124F2A98FD02DCB0829733" hidden="1">#REF!</definedName>
    <definedName name="BO66CD1390D8314228B4D945DD4B5E1481" hidden="1">#REF!</definedName>
    <definedName name="BO66E7C1D3190C4719909504A7D0DE1A3B" hidden="1">#REF!</definedName>
    <definedName name="BO66EB7F558E9F47458EF2735859B7B889" hidden="1">#REF!</definedName>
    <definedName name="BO66FFA8AC22224327A9687B24CF46018B" hidden="1">#REF!</definedName>
    <definedName name="BO66FFFE90D69A4354A4041B5476EC8285" hidden="1">#REF!</definedName>
    <definedName name="BO6708B69E7DAA4C8BA0DAB3B6E4DEC950" hidden="1">#REF!</definedName>
    <definedName name="BO670B3DC93DFA4949B35810D7300F7EB6" hidden="1">#REF!</definedName>
    <definedName name="BO67194566C416433C962FB6CA2A452C61" hidden="1">#REF!</definedName>
    <definedName name="BO67397484177443039AC2374974E2C8AB" hidden="1">#REF!</definedName>
    <definedName name="BO673ACB6E79D845C0BABE100CC872F2BC" hidden="1">#REF!</definedName>
    <definedName name="BO673B205028C5407B9883F23EB15279AB" hidden="1">#REF!</definedName>
    <definedName name="BO674206F31E9745E2A0512685F80C94E2" hidden="1">#REF!</definedName>
    <definedName name="BO674BF41D3F02496D92722135321479CF" hidden="1">#REF!</definedName>
    <definedName name="BO674C825EA3BA46B890D1BB22EE0A05F0" hidden="1">#REF!</definedName>
    <definedName name="BO674C8357B79D4B1FA01727D709271524" hidden="1">#REF!</definedName>
    <definedName name="BO674D79361808448CBE65C76310CFFD6F" hidden="1">#REF!</definedName>
    <definedName name="BO67535083E309468E85BEAFB768263C4B" hidden="1">#REF!</definedName>
    <definedName name="BO675A5A581EDD4D1DB2202FB2B29AC551" hidden="1">#REF!</definedName>
    <definedName name="BO6765C07236D547AEA8E7E6DC98BA57F1" hidden="1">#REF!</definedName>
    <definedName name="BO6767678FBEFE40D68CD56E6CC51598C9" hidden="1">#REF!</definedName>
    <definedName name="BO6767B74150034CF0856D94D3A39F5057" hidden="1">#REF!</definedName>
    <definedName name="BO676F715AF0D641B5BEFB311DAD9E487D" hidden="1">#REF!</definedName>
    <definedName name="BO677C96346466424ABEBCA07C41DF212D" hidden="1">#REF!</definedName>
    <definedName name="BO677CCC4CE0BA4EC98FA31F092C9C8C35" hidden="1">#REF!</definedName>
    <definedName name="BO678180DE66B047EFA2A668CACFD06350" hidden="1">#REF!</definedName>
    <definedName name="BO67ABAF1907B24705AF5B1CF71B65E9C7" hidden="1">#REF!</definedName>
    <definedName name="BO67ACD29383E443C495A53D62A7E35D55" hidden="1">#REF!</definedName>
    <definedName name="BO67AD60AFE74D40C1BE4281FDEA2631EF" hidden="1">#REF!</definedName>
    <definedName name="BO67B9170B65594D018F9B392B611F2869" hidden="1">#REF!</definedName>
    <definedName name="BO67C1A3E54D574D4082474494A41A4886" hidden="1">#REF!</definedName>
    <definedName name="BO67C720E361794CB7B28C64199B10B80D" hidden="1">#REF!</definedName>
    <definedName name="BO67D780B36B804EC597F48A08BFD02190" hidden="1">#REF!</definedName>
    <definedName name="BO67E144C4D27A45C5A6099FF9B78B3C93" hidden="1">#REF!</definedName>
    <definedName name="BO67E28CA96546418988611E244CEF6E2D" hidden="1">#REF!</definedName>
    <definedName name="BO67E5E28C6F89473D914DCD1C584C6E15" hidden="1">#REF!</definedName>
    <definedName name="BO67E83FFE2EB94E50A2E35B8D8E6538AA" hidden="1">#REF!</definedName>
    <definedName name="BO67F479DEE51049FDB9B94D0CA5244852" hidden="1">#REF!</definedName>
    <definedName name="BO67FA6E8C74264E84B46B9768D82FDB62" hidden="1">#REF!</definedName>
    <definedName name="BO680193BD4C7C4C57B548CFD5E27C3C29" hidden="1">#REF!</definedName>
    <definedName name="BO6802FB71F8D042BC83D438699681D629" hidden="1">#REF!</definedName>
    <definedName name="BO6803C6DD6A144F1B906D99AB024B5BF4" hidden="1">#REF!</definedName>
    <definedName name="BO6810F3678DBB4593A8685B06032A7F49" hidden="1">#REF!</definedName>
    <definedName name="BO6812ECC61CC449609AB392C9ADD87591" hidden="1">#REF!</definedName>
    <definedName name="BO682C06BD171D4E90ACBF1FBCD2546EC6" hidden="1">#REF!</definedName>
    <definedName name="BO682FB15A7A574D88838D04C43829329A" hidden="1">#REF!</definedName>
    <definedName name="BO68347EEEA09B4EFB91D07782FC425B02" hidden="1">#REF!</definedName>
    <definedName name="BO683A575ABC1D45D8AE5D816688386A93" hidden="1">#REF!</definedName>
    <definedName name="BO6852CF678995485E95F7DA31DE876CC7" hidden="1">#REF!</definedName>
    <definedName name="BO6858D233A7264E0C8C6AB2C22A49C24E" hidden="1">#REF!</definedName>
    <definedName name="BO6863A3E5C5E04E119E9AAF4B2DE94982" hidden="1">#REF!</definedName>
    <definedName name="BO686B81EC29184313B9A818C669071798" hidden="1">#REF!</definedName>
    <definedName name="BO6892C2BFDEEA46B09CA435879A538D94" hidden="1">#REF!</definedName>
    <definedName name="BO68AA49254FEF464991A5BC04108EEE6F" hidden="1">#REF!</definedName>
    <definedName name="BO68AB8696AC5E4CC5B3D7BD5FCE2F3727" hidden="1">#REF!</definedName>
    <definedName name="BO68AF472219304575ABE01658EB5D5079" hidden="1">#REF!</definedName>
    <definedName name="BO68B0090E13184912881FECD921027219" hidden="1">#REF!</definedName>
    <definedName name="BO68BEADEBC47244DA8EB6A2C931933D65" hidden="1">#REF!</definedName>
    <definedName name="BO68C59870FE0C46E2B067B1873CA0AA6A" hidden="1">#REF!</definedName>
    <definedName name="BO68C63D3C70104C77BF518D6913C6FBF5" hidden="1">#REF!</definedName>
    <definedName name="BO68CF35E36600431CBD8C261F5BE5E7BA" hidden="1">#REF!</definedName>
    <definedName name="BO68DDC64DF10741C7807EFA22644936A0" hidden="1">#REF!</definedName>
    <definedName name="BO68E9D46B1A3F45ADAD1CA7199DD4A8A8" hidden="1">#REF!</definedName>
    <definedName name="BO68F788463CE84B7AA7F9998B7FEE6E87" hidden="1">#REF!</definedName>
    <definedName name="BO68FB116C8BA24609BAD4A36D4916607D" hidden="1">#REF!</definedName>
    <definedName name="BO68FC97155F3740C9BF3F3EF1BDBE0AC4" hidden="1">#REF!</definedName>
    <definedName name="BO690F25776FC64C9AA7D5F0DE6B875626" hidden="1">#REF!</definedName>
    <definedName name="BO6913E7233C074E08A9DD4944FDA386D9" hidden="1">#REF!</definedName>
    <definedName name="BO691A606C63804F16B2318EE4FE58F531" hidden="1">#REF!</definedName>
    <definedName name="BO691C2C11C47A4428AEF33A5E3CBE036D" hidden="1">#REF!</definedName>
    <definedName name="BO692079FB21E0498AAB105B9E4D718D3E" hidden="1">#REF!</definedName>
    <definedName name="BO692EE5F9915D4284A4502F7F151020F5" hidden="1">#REF!</definedName>
    <definedName name="BO694FE0C32CB4480AB162D0293C978DF1" hidden="1">#REF!</definedName>
    <definedName name="BO695F022EC4AD4DCAA64309FACD1B4554" hidden="1">#REF!</definedName>
    <definedName name="BO6963B76A4F804EB6BC3711E9B0DDBDBD" hidden="1">#REF!</definedName>
    <definedName name="BO6974C9D8B9D24B77A1608216894D898C" hidden="1">#REF!</definedName>
    <definedName name="BO697681AC99E245479BDA6FFB2316BF72" hidden="1">#REF!</definedName>
    <definedName name="BO6987BD2F572E48E8A6D3AAF28D62E82F" hidden="1">#REF!</definedName>
    <definedName name="BO698849A341044D2FA03D181E11813F40" hidden="1">#REF!</definedName>
    <definedName name="BO698E7CF8444741DDA927230BA79ECE13" hidden="1">#REF!</definedName>
    <definedName name="BO6990E77B22114FAAB284AA54E17BCD72" hidden="1">#REF!</definedName>
    <definedName name="BO699AB502EB664852BAF8ECE1E7DDA691" hidden="1">#REF!</definedName>
    <definedName name="BO699E0B53D3554A5A9595FA6ECD485235" hidden="1">#REF!</definedName>
    <definedName name="BO69AB0E7165674880870437A07EB9F938" hidden="1">#REF!</definedName>
    <definedName name="BO69B4888A85CC4E9E8AD03C69E8C8E14C" hidden="1">#REF!</definedName>
    <definedName name="BO69B78C41C17D4796A8D70BD502FCFDE0" hidden="1">#REF!</definedName>
    <definedName name="BO69BD6607BACB4C86ADA1A6F3C7C1821A" hidden="1">#REF!</definedName>
    <definedName name="BO69BDDEF3FB58410E91C102B954F9935F" hidden="1">#REF!</definedName>
    <definedName name="BO69CB95397F1A47278234726620100753" hidden="1">#REF!</definedName>
    <definedName name="BO69DDA3C1C15A4461B5065E3DD8F64A33" hidden="1">#REF!</definedName>
    <definedName name="BO69DEF7ED94B243509703DAC7E11F05C2" hidden="1">#REF!</definedName>
    <definedName name="BO69E44A5324F3441AB4E484F9DCC68CB6" hidden="1">#REF!</definedName>
    <definedName name="BO69E943F8A44745538494E4A755966162" hidden="1">#REF!</definedName>
    <definedName name="BO69E9B3A17C084555937283BCAE49689E" hidden="1">#REF!</definedName>
    <definedName name="BO69EEF17C46C14E7EA3BC007153BDCE36" hidden="1">#REF!</definedName>
    <definedName name="BO6A086C5F8557484AB7BBD9DFBA95CAF8" hidden="1">#REF!</definedName>
    <definedName name="BO6A0D938856AF428EBF591B8C8509A9BE" hidden="1">#REF!</definedName>
    <definedName name="BO6A1C9555F2954E8FA604750416607960" hidden="1">#REF!</definedName>
    <definedName name="BO6A21579FDD1E49929107CC520E2EA170" hidden="1">#REF!</definedName>
    <definedName name="BO6A2E257CF2CF44DA9718D13CDC5AF44E" hidden="1">#REF!</definedName>
    <definedName name="BO6A33D399AFF94706AB208FC9FBBCD77C" hidden="1">#REF!</definedName>
    <definedName name="BO6A3B129C4F53425895E6ECE35F5D25CD" hidden="1">#REF!</definedName>
    <definedName name="BO6A419A52989446F892B18DA64E0AB7F3" hidden="1">#REF!</definedName>
    <definedName name="BO6A48AAFFCA4344D788417F75766F24A2" hidden="1">#REF!</definedName>
    <definedName name="BO6A600718F8B445788478EBD35F5F4037" hidden="1">#REF!</definedName>
    <definedName name="BO6A61096362F04646ADE88D3EBC7C516F" hidden="1">#REF!</definedName>
    <definedName name="BO6A668E7514B046DBB6C2E7B0D3F994EE" hidden="1">#REF!</definedName>
    <definedName name="BO6A6A33CEC5E6467080D5775F9C65AA2B" hidden="1">#REF!</definedName>
    <definedName name="BO6A73CEBC413845FF8D1D4B081D2AEF96" hidden="1">#REF!</definedName>
    <definedName name="BO6A74CBF9A8B64F7F969CCC3C13920B46" hidden="1">#REF!</definedName>
    <definedName name="BO6A78CD77A7A44DEDBCAB1F725743769B" hidden="1">#REF!</definedName>
    <definedName name="BO6A7D556AFF1C4D04926A02E8629020D3" hidden="1">#REF!</definedName>
    <definedName name="BO6A8662A724474AB9AFD1B33BAE89F297" hidden="1">#REF!</definedName>
    <definedName name="BO6A91164B72BB4EE8895741111BE44F67" hidden="1">#REF!</definedName>
    <definedName name="BO6A91B774FD8840D5BE794F6C9927690A" hidden="1">#REF!</definedName>
    <definedName name="BO6AA4ABE924A046659DE7DF0382722D60" hidden="1">#REF!</definedName>
    <definedName name="BO6AA4BD880A104098B4AB00797DAC16D6" hidden="1">#REF!</definedName>
    <definedName name="BO6AA5D25953FD4341815FA8517EF1928C" hidden="1">#REF!</definedName>
    <definedName name="BO6AABCD56286443ACAFC4AC43CDD493BE" hidden="1">#REF!</definedName>
    <definedName name="BO6ABD4CF032544A4D8C98F1CE357781CD" hidden="1">#REF!</definedName>
    <definedName name="BO6ABEFA4E82D84CEEA294056450674165" hidden="1">#REF!</definedName>
    <definedName name="BO6ACAC58790D24BB5A4E09CFA423FEF39" hidden="1">#REF!</definedName>
    <definedName name="BO6ACC6A801E114072A735B64A3DE9B7AA" hidden="1">#REF!</definedName>
    <definedName name="BO6ACF13617D9142B78620E637BA4BD21C" hidden="1">#REF!</definedName>
    <definedName name="BO6AE4975B714D4257ADDE14E0A9D3A45D" hidden="1">#REF!</definedName>
    <definedName name="BO6AE8F8431F0C402396796FAC56D22C53" hidden="1">#REF!</definedName>
    <definedName name="BO6AF751A1AA504EB096DD45A36804D356" hidden="1">#REF!</definedName>
    <definedName name="BO6AFEFF171AB9422DB19D8349673485E8" hidden="1">#REF!</definedName>
    <definedName name="BO6B00029F2CDD49F8BF5FF875F4B8F86C" hidden="1">#REF!</definedName>
    <definedName name="BO6B0C80B6C1514CBD82CA757E4DDDB9CC" hidden="1">#REF!</definedName>
    <definedName name="BO6B0FEF3E712B457099C31A7877696FA3" hidden="1">#REF!</definedName>
    <definedName name="BO6B11704669AC464F9C904A9C75FEF58F" hidden="1">#REF!</definedName>
    <definedName name="BO6B14314B273F4270B5C306E49B81FB4A" hidden="1">#REF!</definedName>
    <definedName name="BO6B1961CB9D6D4D5B8F79EC931577DA47" hidden="1">#REF!</definedName>
    <definedName name="BO6B2071620EB74F308EF991165ECB9D78" hidden="1">#REF!</definedName>
    <definedName name="BO6B24DCF1CCC747F19E55C1017284CE69" hidden="1">#REF!</definedName>
    <definedName name="BO6B31B602E78A4C2DBD7D71F44A1AC3AA" hidden="1">#REF!</definedName>
    <definedName name="BO6B35D0B6A51642F1B66051FC0263BFAD" hidden="1">#REF!</definedName>
    <definedName name="BO6B3AA1B46A9746D5A16912F334704968" hidden="1">#REF!</definedName>
    <definedName name="BO6B449F5CF4EE4C0C9C141C0C0A676ED9" hidden="1">#REF!</definedName>
    <definedName name="BO6B50A29A57A346328F11A90CAF13E54D" hidden="1">#REF!</definedName>
    <definedName name="BO6B7878D0509447109A53DAA0EF27B82D" hidden="1">#REF!</definedName>
    <definedName name="BO6B845EC641244F66B4FAD358C19FBB07" hidden="1">#REF!</definedName>
    <definedName name="BO6B8683EFD46440E3BC99389877FB5B38" hidden="1">#REF!</definedName>
    <definedName name="BO6B88745D5C0D4CC694210B78F8B4E16A" hidden="1">#REF!</definedName>
    <definedName name="BO6B9205C251E34B5AA8F94844CE0A7967" hidden="1">#REF!</definedName>
    <definedName name="BO6B95CF0F2BCE42C7AEEF4BB16E587324" hidden="1">#REF!</definedName>
    <definedName name="BO6B995B4D9CDC42BD920D210456ABE292" hidden="1">#REF!</definedName>
    <definedName name="BO6B9E8EF7042E49E8A57240C7CE1B1C82" hidden="1">#REF!</definedName>
    <definedName name="BO6BB35D56A88C4A93B081E162036B10E4" hidden="1">#REF!</definedName>
    <definedName name="BO6BC2888E9D974D199A0096AF1F8763AA" hidden="1">#REF!</definedName>
    <definedName name="BO6BC46C4D3BE34465995F3E8EBACBC333" hidden="1">#REF!</definedName>
    <definedName name="BO6BC59FF898D94C9EB93391C0ADF10AD1" hidden="1">#REF!</definedName>
    <definedName name="BO6BC949D703FE46099E315A9704EEDB81" hidden="1">#REF!</definedName>
    <definedName name="BO6BCC7ED8FC314AF59F985D973B8FCA42" hidden="1">#REF!</definedName>
    <definedName name="BO6BCDAFD599934E108C99F5DC48AEFB97" hidden="1">#REF!</definedName>
    <definedName name="BO6BD1CBB5F24542EFB79E1FE253E0BC93" hidden="1">#REF!</definedName>
    <definedName name="BO6BEE69E3E88E4D2AB8DD1780E0538E33" hidden="1">#REF!</definedName>
    <definedName name="BO6BFCE2AB82714FB2AD75089C18DE4143" hidden="1">#REF!</definedName>
    <definedName name="BO6C16949F9D0A4ACCA68C0612728FD04C" hidden="1">#REF!</definedName>
    <definedName name="BO6C19F4533D7E40C7BBE3E9A8402E1562" hidden="1">#REF!</definedName>
    <definedName name="BO6C2B9E06FA5142619127D2363D04DED8" hidden="1">#REF!</definedName>
    <definedName name="BO6C329587AC6F4DB1B4B532F731FB429A" hidden="1">#REF!</definedName>
    <definedName name="BO6C34D90DCB84419ABB05C31329619E97" hidden="1">#REF!</definedName>
    <definedName name="BO6C3924C05CD44AE28756AEC6B1CEDF92" hidden="1">#REF!</definedName>
    <definedName name="BO6C4E8D539D31410E8314EB3C7AA48C35" hidden="1">#REF!</definedName>
    <definedName name="BO6C5BD691147E454E981962930827E364" hidden="1">#REF!</definedName>
    <definedName name="BO6C5D985A886A43EFB00691D1BC120B4D" hidden="1">#REF!</definedName>
    <definedName name="BO6C5EAC6579254A9E9AE2E5E70628B857" hidden="1">#REF!</definedName>
    <definedName name="BO6C60BDC882C545F8AD956D945B433BEF" hidden="1">#REF!</definedName>
    <definedName name="BO6C7A4D91082643B181296BB73597D4F0" hidden="1">#REF!</definedName>
    <definedName name="BO6C7B96D3276D4CD28081805EF301EB80" hidden="1">#REF!</definedName>
    <definedName name="BO6C7C7885D8014D27AB7E35AC2EBE2573" hidden="1">#REF!</definedName>
    <definedName name="BO6C7DFC3FB3154976886DC028578E2F0D" hidden="1">#REF!</definedName>
    <definedName name="BO6C819A57405244F58F0DE1DB454157B6" hidden="1">#REF!</definedName>
    <definedName name="BO6C88988798464C1EBDEE04FE71F62746" hidden="1">#REF!</definedName>
    <definedName name="BO6C8A243DAA2148FF8040EF652944D643" hidden="1">#REF!</definedName>
    <definedName name="BO6C8B6891E4C64DFE91D3B629E72FD5BC" hidden="1">#REF!</definedName>
    <definedName name="BO6C903F05CECF4586AB159C575BFDD6C8" hidden="1">#REF!</definedName>
    <definedName name="BO6C905BCB7F554E6491F98AF42C974C66" hidden="1">#REF!</definedName>
    <definedName name="BO6C97DFC0A39146A3B3AD3086A8BBD91D" hidden="1">#REF!</definedName>
    <definedName name="BO6C98DAA07F2B43288057091A55FD024F" hidden="1">#REF!</definedName>
    <definedName name="BO6C9E620FE82944F094E92780C898DBE5" hidden="1">#REF!</definedName>
    <definedName name="BO6CA224FCA07E4643892B4E1C19FEF13C" hidden="1">#REF!</definedName>
    <definedName name="BO6CA296663FD1400D94B3DFB26D509A9C" hidden="1">#REF!</definedName>
    <definedName name="BO6CA31F12BF1A4E69931A0401D3BF985E" hidden="1">#REF!</definedName>
    <definedName name="BO6CA9E4916B564141BF62371EB75A0A66" hidden="1">#REF!</definedName>
    <definedName name="BO6CB03D44399642C99969215482D5718F" hidden="1">#REF!</definedName>
    <definedName name="BO6CB736AE3B514B6889DF8831B29D4761" hidden="1">#REF!</definedName>
    <definedName name="BO6CC2F4F5963B4605B38E8D6C4EB6479A" hidden="1">#REF!</definedName>
    <definedName name="BO6CD6C9A6055845C5A440AF0A76718873" hidden="1">#REF!</definedName>
    <definedName name="BO6CDDE1A0ECFB4DC399883C609FF8340E" hidden="1">#REF!</definedName>
    <definedName name="BO6CE9AD3FAF7340E2B1B607847523F56B" hidden="1">#REF!</definedName>
    <definedName name="BO6CF73397C9AF471783B3C49A780DB73F" hidden="1">#REF!</definedName>
    <definedName name="BO6CF899518F344D3BAB35B6F98EE4EA0B" hidden="1">#REF!</definedName>
    <definedName name="BO6D01416494864B46873D2E1F0A27493B" hidden="1">#REF!</definedName>
    <definedName name="BO6D01F2E1818C41038AEA360E8D2CE2F1" hidden="1">#REF!</definedName>
    <definedName name="BO6D061881AAE9463E80064B55C7908B81" hidden="1">#REF!</definedName>
    <definedName name="BO6D0D5D16D3EA4B85B3A0E76AADA3D268" hidden="1">#REF!</definedName>
    <definedName name="BO6D3B2345B90240D9B76F9D6FDB90D225" hidden="1">#REF!</definedName>
    <definedName name="BO6D40C1D976914770BF3C2AC416BAD031" hidden="1">#REF!</definedName>
    <definedName name="BO6D428A64199C499EB0C938BF7F568A0B" hidden="1">#REF!</definedName>
    <definedName name="BO6D5F48335F4E41C9834E3554917A3835" hidden="1">#REF!</definedName>
    <definedName name="BO6D6116AC66F74E37A01B547E510BC380" hidden="1">#REF!</definedName>
    <definedName name="BO6D62DB9257E446F78939C96A78936DCD" hidden="1">#REF!</definedName>
    <definedName name="BO6D7D84B3473C4D639FCE822083F756FD" hidden="1">#REF!</definedName>
    <definedName name="BO6D938E5BA803466887115BC3CBC25C55" hidden="1">#REF!</definedName>
    <definedName name="BO6D9627E8E6684CB3B4E4D4DF1F66BB73" hidden="1">#REF!</definedName>
    <definedName name="BO6D998C5288EF4BB482EC9A8A3D834EA7" hidden="1">#REF!</definedName>
    <definedName name="BO6DA47415902749C583ED98CF35D78707" hidden="1">#REF!</definedName>
    <definedName name="BO6DA8D1E449E847C39DEC0FD2E11C3327" hidden="1">#REF!</definedName>
    <definedName name="BO6DAFF8F7BB934A899C606E879ABFC933" hidden="1">#REF!</definedName>
    <definedName name="BO6DBBCA80C33B4154A636FC19B75F7EB6" hidden="1">#REF!</definedName>
    <definedName name="BO6DBC89EC25C04CB4ADB03B8BAA624A65" hidden="1">#REF!</definedName>
    <definedName name="BO6DC10C25DD8E42C3B06125104FAEEBE5" hidden="1">#REF!</definedName>
    <definedName name="BO6DC2CC9D757C4BDE9C764496322A07F4" hidden="1">#REF!</definedName>
    <definedName name="BO6DD8555FEE5C4D27A1945EA0E016062A" hidden="1">#REF!</definedName>
    <definedName name="BO6DDC3C7594044DA5AE9C2017F077341F" hidden="1">#REF!</definedName>
    <definedName name="BO6DE8DA7D1330458A9FC1AAFADF210BFF" hidden="1">#REF!</definedName>
    <definedName name="BO6DF0E0BABD544C43BE4DF7211F8C1489" hidden="1">#REF!</definedName>
    <definedName name="BO6DF3DF680D024ED3886F4133D697144A" hidden="1">#REF!</definedName>
    <definedName name="BO6E030D4C26644B19AEEBA5DAE81A0BAD" hidden="1">#REF!</definedName>
    <definedName name="BO6E05316C4D6D454EB7703122F197EE72" hidden="1">#REF!</definedName>
    <definedName name="BO6E0C680F29AE429E99B93A1796E7D993" hidden="1">#REF!</definedName>
    <definedName name="BO6E0E5B5E58AA419A9CC7791347E83926" hidden="1">#REF!</definedName>
    <definedName name="BO6E103493954C4639A9EB5FFE62B916E1" hidden="1">#REF!</definedName>
    <definedName name="BO6E12E9ED8A3E492BA90AD683ACE06D08" hidden="1">#REF!</definedName>
    <definedName name="BO6E2C5F1603E64242AE41CF7064A8D9A4" hidden="1">#REF!</definedName>
    <definedName name="BO6E2FF57F7110465DBBC06BD9B647AB9A" hidden="1">#REF!</definedName>
    <definedName name="BO6E386AAD92DC4CBE84D19676C16BF427" hidden="1">#REF!</definedName>
    <definedName name="BO6E4F5498427542319B70B1E1376F6378" hidden="1">#REF!</definedName>
    <definedName name="BO6E60C11860A149FA9965A65ECC4133EB" hidden="1">#REF!</definedName>
    <definedName name="BO6E6925BAFF584376878A185FE95B5A0B" hidden="1">#REF!</definedName>
    <definedName name="BO6E699084886749B6978087E50FDDAA2E" hidden="1">#REF!</definedName>
    <definedName name="BO6E6B636FD9DC41328B5EBA1EDC09551C" hidden="1">#REF!</definedName>
    <definedName name="BO6E6D8318F9FA439AA83D0C858F6351E6" hidden="1">#REF!</definedName>
    <definedName name="BO6E77521B58774E53AB71C3E79EE7CB0F" hidden="1">#REF!</definedName>
    <definedName name="BO6E7A7E8C94E04F7881E05EE25BDA59AD" hidden="1">#REF!</definedName>
    <definedName name="BO6E7C4DC6A3DA4446AA173AED0426867C" hidden="1">#REF!</definedName>
    <definedName name="BO6E7D42B844A9435BACECF3E89009A484" hidden="1">#REF!</definedName>
    <definedName name="BO6E856119EC7E406B9EE9A8AD8DFFF31A" hidden="1">#REF!</definedName>
    <definedName name="BO6E8BB8FDACC34366A06C6CFD6020F14F" hidden="1">#REF!</definedName>
    <definedName name="BO6E8C08E4A7DE463286AF6397339E461E" hidden="1">#REF!</definedName>
    <definedName name="BO6E93B160B9734551A62FB7189A82D09A" hidden="1">#REF!</definedName>
    <definedName name="BO6E968EA939004A758727C22882E060EA" hidden="1">#REF!</definedName>
    <definedName name="BO6EA41ED9576D4608A3D0F4633B1A137E" hidden="1">#REF!</definedName>
    <definedName name="BO6EA9894366CA466B8C94FF0E22BA166F" hidden="1">#REF!</definedName>
    <definedName name="BO6EE1624882564DFC9A30726D6809F7C6" hidden="1">#REF!</definedName>
    <definedName name="BO6EE824BB8219488CB011893EEBF0058F" hidden="1">#REF!</definedName>
    <definedName name="BO6EF80E5190194074AFBA87E45A7A7DA3" hidden="1">#REF!</definedName>
    <definedName name="BO6F0B2074D0964FFF874D59BCCBE577C7" hidden="1">#REF!</definedName>
    <definedName name="BO6F0B69D7E422427998E59215893C6FA6" hidden="1">#REF!</definedName>
    <definedName name="BO6F0C1308C03E491197B2A76DA988611C" hidden="1">#REF!</definedName>
    <definedName name="BO6F0EE2DF0FFF4DF3B255EC6C6D25CDB2" hidden="1">#REF!</definedName>
    <definedName name="BO6F1205C531DE43F7A29C8D8F09B7822D" hidden="1">#REF!</definedName>
    <definedName name="BO6F1763D5D29645A2A9850F7A7025652D" hidden="1">#REF!</definedName>
    <definedName name="BO6F257A35A20A46258F496721EF9AB802" hidden="1">#REF!</definedName>
    <definedName name="BO6F310FDA86AA47A1B4479866D96238EF" hidden="1">#REF!</definedName>
    <definedName name="BO6F39D9ABF36B4E8E951D4721A0B80E8A" hidden="1">#REF!</definedName>
    <definedName name="BO6F4AD7429DDF488B9E335C63702AC230" hidden="1">#REF!</definedName>
    <definedName name="BO6F4B0404B8024842B5A6AAA1546E6C5D" hidden="1">#REF!</definedName>
    <definedName name="BO6F54836ADF7E42F0A18290842D89324C" hidden="1">#REF!</definedName>
    <definedName name="BO6F599B2D3CF64D2B837F1F0FEDAF4C03" hidden="1">#REF!</definedName>
    <definedName name="BO6F5B055CE2BC429799D2923BB2FE477E" hidden="1">#REF!</definedName>
    <definedName name="BO6F5BA289AAB440108AFB4D30B77B0CA7" hidden="1">#REF!</definedName>
    <definedName name="BO6F60D27D27BB4120A515E41F4D94F4C7" hidden="1">#REF!</definedName>
    <definedName name="BO6F6DB92CC27A44F38CC37BB5AACAC8C2" hidden="1">#REF!</definedName>
    <definedName name="BO6F71EB950CDB4584B750129E49164F7D" hidden="1">#REF!</definedName>
    <definedName name="BO6F75AEFAD11048A3AA5000839E50B867" hidden="1">#REF!</definedName>
    <definedName name="BO6F793393D7B446AE823285F5203B65DC" hidden="1">#REF!</definedName>
    <definedName name="BO6F7A3BCB392043C4A4BD009335679444" hidden="1">#REF!</definedName>
    <definedName name="BO6F829BFACF69459FB33E6CAFCD64AAB5" hidden="1">#REF!</definedName>
    <definedName name="BO6F82B81B62344486A7E9CFA132A69793" hidden="1">#REF!</definedName>
    <definedName name="BO6F92C3452A67455A8E6488D309703410" hidden="1">#REF!</definedName>
    <definedName name="BO6F981DC1C2614378A9A1D11016114564" hidden="1">#REF!</definedName>
    <definedName name="BO6F9E481181BA4FE18E0F4C9D56F55316" hidden="1">#REF!</definedName>
    <definedName name="BO6FA18AB7A68D4BD79BDE6BF22DA13E2C" hidden="1">#REF!</definedName>
    <definedName name="BO6FA27A6DCFA04EE1858F0CD369D2A64B" hidden="1">#REF!</definedName>
    <definedName name="BO6FA4B99E2D5F4517B52038BE824C79C0" hidden="1">#REF!</definedName>
    <definedName name="BO6FA57EF2254E450F976EC3422B786903" hidden="1">#REF!</definedName>
    <definedName name="BO6FABC8C4AA01422D8FCE6403E856C241" hidden="1">#REF!</definedName>
    <definedName name="BO6FB51F2CADB24B85AB87CFFA4B06E65B" hidden="1">#REF!</definedName>
    <definedName name="BO6FB61747554B4D4699EFA96E9D8517B2" hidden="1">#REF!</definedName>
    <definedName name="BO6FB972DCD2CA45FA835C046D78F8ABF3" hidden="1">#REF!</definedName>
    <definedName name="BO6FBE1D3F1FE64A8AB07F7AD4A307E7BB" hidden="1">#REF!</definedName>
    <definedName name="BO6FC3B7544D054823B6E5173E4CA5F52C" hidden="1">#REF!</definedName>
    <definedName name="BO6FC43510EA174852A4F6096692A1B7E7" hidden="1">#REF!</definedName>
    <definedName name="BO6FC58F098F3E4521892FB1E808F96B2A" hidden="1">#REF!</definedName>
    <definedName name="BO6FCE4F78601A4EF4AFEBBDB7D52D85D8" hidden="1">#REF!</definedName>
    <definedName name="BO6FD168CC223241CC9454C82F5383C227" hidden="1">#REF!</definedName>
    <definedName name="BO6FE14275438946F99AF5EA6396FD82D6" hidden="1">#REF!</definedName>
    <definedName name="BO6FE2692A8E67465CAFDCB8FF4CBC1190" hidden="1">#REF!</definedName>
    <definedName name="BO6FF8615697284333BB0825AFD8FDD575" hidden="1">#REF!</definedName>
    <definedName name="BO6FFF0B181F6A4C48A2B7261B85D448FA" hidden="1">#REF!</definedName>
    <definedName name="BO70085DB7BF1C4FD38AA705D3E5E858B2" hidden="1">#REF!</definedName>
    <definedName name="BO701F15077BC34DE8B28EBA90FD935CD2" hidden="1">#REF!</definedName>
    <definedName name="BO702041557B8641F698B02CE6A09AFF91" hidden="1">#REF!</definedName>
    <definedName name="BO702B5106F7C44C8196FEF804E3074631" hidden="1">#REF!</definedName>
    <definedName name="BO703FD253C64E48A18DFDAED47F08DB51" hidden="1">#REF!</definedName>
    <definedName name="BO7049472333D94F5293D3CABF73B0D395" hidden="1">#REF!</definedName>
    <definedName name="BO704B6B9306CE4814AB5E4790C394897A" hidden="1">#REF!</definedName>
    <definedName name="BO705811B4428F46D18D77AAC4053022C5" hidden="1">#REF!</definedName>
    <definedName name="BO705AB7D684694BEF9270D3FDB0E6F086" hidden="1">#REF!</definedName>
    <definedName name="BO7063DFD31A274BBEA56584E1DFDC52DD" hidden="1">#REF!</definedName>
    <definedName name="BO7064A69017564A2683E39B61B2E73B6B" hidden="1">#REF!</definedName>
    <definedName name="BO706DDC1ADDA044D2B4FDEF1421F5C209" hidden="1">#REF!</definedName>
    <definedName name="BO7073BD857107441ABA3D0E3CB4CCE211" hidden="1">#REF!</definedName>
    <definedName name="BO7099042ACD474B0D93988CEC8890ADCB" hidden="1">#REF!</definedName>
    <definedName name="BO709A7D1153C243A9B2DFA412DF28CE9A" hidden="1">#REF!</definedName>
    <definedName name="BO70B82BE2B16C43DCBC762473861337EA" hidden="1">#REF!</definedName>
    <definedName name="BO70BAFA06E7EB4341B4858275EE5C887F" hidden="1">#REF!</definedName>
    <definedName name="BO70BF618B3311492F800A0F447B0E7E2B" hidden="1">#REF!</definedName>
    <definedName name="BO70CF3925616249F9B729129A6603E61F" hidden="1">#REF!</definedName>
    <definedName name="BO70D51F16E09F4699A06DA6FBCC93FD03" hidden="1">#REF!</definedName>
    <definedName name="BO70E0676E8774409FA13B8AAA12507335" hidden="1">#REF!</definedName>
    <definedName name="BO70F3EBB058984EC1B36C857BA73AC53E" hidden="1">#REF!</definedName>
    <definedName name="BO70F6E2D9BD6B442F8CC4C6099F24395F" hidden="1">#REF!</definedName>
    <definedName name="BO70FD401DA91645908456061197AD3CC5" hidden="1">#REF!</definedName>
    <definedName name="BO70FDF8F82C804347A7DC5F369392A5D4" hidden="1">#REF!</definedName>
    <definedName name="BO710C988E4C504E3F950E97E1DC972AC2" hidden="1">#REF!</definedName>
    <definedName name="BO7111D220F2C240948C2012760EE19785" hidden="1">#REF!</definedName>
    <definedName name="BO711DF43BBF474AA9A11A016385BAC4D7" hidden="1">#REF!</definedName>
    <definedName name="BO7120D47D257843DCAAC484AADD0D82DA" hidden="1">#REF!</definedName>
    <definedName name="BO71299CC9D7BD4578BDFC3FEC91D9C796" hidden="1">#REF!</definedName>
    <definedName name="BO712C812FBDAF47B98AA7A9DAFB013E5C" hidden="1">#REF!</definedName>
    <definedName name="BO713331B43740435890BC23E5DF82567E" hidden="1">#REF!</definedName>
    <definedName name="BO713A18CEA89D4C49BD714DEAA4156291" hidden="1">#REF!</definedName>
    <definedName name="BO714599E981AA4F1C86464F0245CECD1A" hidden="1">#REF!</definedName>
    <definedName name="BO7145CB97C2064C0A9A3EF6DE03704180" hidden="1">#REF!</definedName>
    <definedName name="BO714E36A76B574A2CA909A37C75B8DAE4" hidden="1">#REF!</definedName>
    <definedName name="BO7160B4450BDA465CAE529E67644DF567" hidden="1">#REF!</definedName>
    <definedName name="BO716BA825847A49408D64EF7036572F39" hidden="1">#REF!</definedName>
    <definedName name="BO716BCCD6F02643FF8CAA047D4083AD60" hidden="1">#REF!</definedName>
    <definedName name="BO716C43F4D90D4AE1AA06DF24D5C87FBF" hidden="1">#REF!</definedName>
    <definedName name="BO719438514EF24029AE30CB8C1625174E" hidden="1">#REF!</definedName>
    <definedName name="BO71993525ABAF4E17B103FD29D0E8763B" hidden="1">#REF!</definedName>
    <definedName name="BO71A1D358501E459AB7029DF11BF583FB" hidden="1">#REF!</definedName>
    <definedName name="BO71A81059A53D42F7980A3A18065C533C" hidden="1">#REF!</definedName>
    <definedName name="BO71C44FE5A0BC4E3AB92CFE167CEA0489" hidden="1">#REF!</definedName>
    <definedName name="BO71CDF8F1194440818419146EF973AC07" hidden="1">#REF!</definedName>
    <definedName name="BO71DE824E357E43B699AC65BB435853C6" hidden="1">#REF!</definedName>
    <definedName name="BO71ED4BF59D5C47F3973B9673CCEAE46E" hidden="1">#REF!</definedName>
    <definedName name="BO71FD4E4A7EAE4B4E9C87926321965B37" hidden="1">#REF!</definedName>
    <definedName name="BO720316194F314083BE47AA4C373D5045" hidden="1">#REF!</definedName>
    <definedName name="BO72074510C8A146018A0FEA2A5C98D862" hidden="1">#REF!</definedName>
    <definedName name="BO720796471C8B4995A345A2499FEEDF49" hidden="1">#REF!</definedName>
    <definedName name="BO721C83C720BA40988DABCC8FC51C7455" hidden="1">#REF!</definedName>
    <definedName name="BO7224F4C90A784DA28BA3A795844C0540" hidden="1">#REF!</definedName>
    <definedName name="BO722CD210D5B64B86B48FDDD849C13F44" hidden="1">#REF!</definedName>
    <definedName name="BO722F9C36759B4254AB70260DD520524B" hidden="1">#REF!</definedName>
    <definedName name="BO7233046E65EC44719410B6F45E0FF0C2" hidden="1">#REF!</definedName>
    <definedName name="BO723D4A78841D4084B520DFF69C910D14" hidden="1">#REF!</definedName>
    <definedName name="BO7240C9320D844109AA7F69449213CCEC" hidden="1">#REF!</definedName>
    <definedName name="BO7248DD38CD6B44FE8C6999559469C4CB" hidden="1">#REF!</definedName>
    <definedName name="BO724B14B634FD46ACA65208DDCF82AF5B" hidden="1">#REF!</definedName>
    <definedName name="BO724E63177A5642A0BB3DB50E2181C0EE" hidden="1">#REF!</definedName>
    <definedName name="BO7257B7DD36F44176924A2BD529821019" hidden="1">#REF!</definedName>
    <definedName name="BO7259B33749F145F5B18CDAE18F140E60" hidden="1">#REF!</definedName>
    <definedName name="BO725CBDEF655749638A770BDCE6E3CACE" hidden="1">#REF!</definedName>
    <definedName name="BO725DE13C88314426AB71DD2997CD5DAD" hidden="1">#REF!</definedName>
    <definedName name="BO725E38C4FD0B4708BFB60E5A2F34AE39" hidden="1">#REF!</definedName>
    <definedName name="BO725EFFCC1EA349029174E342AC5B0DCB" hidden="1">#REF!</definedName>
    <definedName name="BO726035BCF26E4826AA6B8A4B7070EC83" hidden="1">#REF!</definedName>
    <definedName name="BO726C3970EC7749FB968CB8FB25012EFC" hidden="1">#REF!</definedName>
    <definedName name="BO72760A7A01FB4976B33F495C8E450366" hidden="1">#REF!</definedName>
    <definedName name="BO727F680EBB6246739865A8F0BA69C17F" hidden="1">#REF!</definedName>
    <definedName name="BO7281A63874AF4D54A6DFACD1F3B78C3D" hidden="1">#REF!</definedName>
    <definedName name="BO7281BF09AF314319B465BA31AD3FB5E3" hidden="1">#REF!</definedName>
    <definedName name="BO7282A4EA31994C9B99F41B8099FCE50B" hidden="1">#REF!</definedName>
    <definedName name="BO72884E7FCA5B441C98203991A2CFD1BE" hidden="1">#REF!</definedName>
    <definedName name="BO728D5B64DD334CF7A9C3D0BA0A629248" hidden="1">#REF!</definedName>
    <definedName name="BO7298EA7A10804115A49B0067A3F3ACA2" hidden="1">#REF!</definedName>
    <definedName name="BO729C50A4E5434F2F9CF9B97162F333AC" hidden="1">#REF!</definedName>
    <definedName name="BO729DA976D97F4A54B20221CEA35816F5" hidden="1">#REF!</definedName>
    <definedName name="BO72A13DF622C14AB6917FA9BCA75B12E1" hidden="1">#REF!</definedName>
    <definedName name="BO72A7C8E0A4F142F7BE07F2311DD2A356" hidden="1">#REF!</definedName>
    <definedName name="BO72B72FA7AD53432F90112DDD2048B9C9" hidden="1">#REF!</definedName>
    <definedName name="BO72BEC6ECEDA14FD396EB1724A5497857" hidden="1">#REF!</definedName>
    <definedName name="BO72C2897765B84B839DDAA7E36705A610" hidden="1">#REF!</definedName>
    <definedName name="BO72C456EEEFA14EA8A0741987BA4D3D0A" hidden="1">#REF!</definedName>
    <definedName name="BO72D1DCCF7F2C40B1BEF1C1B9A74CBB26" hidden="1">#REF!</definedName>
    <definedName name="BO72DE9666F6094875AD1B7929F688E4C7" hidden="1">#REF!</definedName>
    <definedName name="BO72E6C6397F6C43338C29F387FC8A1D5E" hidden="1">#REF!</definedName>
    <definedName name="BO72E99A66EACF4AD39FB8EF7E0AD03776" hidden="1">#REF!</definedName>
    <definedName name="BO72E9E2352CDE49C78A8A43513A9517F5" hidden="1">#REF!</definedName>
    <definedName name="BO72EBCDAF48EF4A91918B49CFBB647E9A" hidden="1">#REF!</definedName>
    <definedName name="BO730845F09AA74203B451376525872395" hidden="1">#REF!</definedName>
    <definedName name="BO730FB071093544CFA57EECDBF14A81FD" hidden="1">#REF!</definedName>
    <definedName name="BO731193E88C724CD4B3E8ED6947567BCA" hidden="1">#REF!</definedName>
    <definedName name="BO731239BF3ABA4B5FAAC61E6055F381BF" hidden="1">#REF!</definedName>
    <definedName name="BO73179111CC154A47A5CFFAD36E1B9268" hidden="1">#REF!</definedName>
    <definedName name="BO73198A25B57C4171A22CB285EE541543" hidden="1">#REF!</definedName>
    <definedName name="BO73199A088ECE44F6B15404C06715096C" hidden="1">#REF!</definedName>
    <definedName name="BO731D649764F14C2D85FBD84DB417D5A9" hidden="1">#REF!</definedName>
    <definedName name="BO731EB7E2B90243FEA01E47F7C36132B1" hidden="1">#REF!</definedName>
    <definedName name="BO7323E468F4AC4F329A6F184B16D3420C" hidden="1">#REF!</definedName>
    <definedName name="BO733EC6A2256B4B2B9C44693497FFB768" hidden="1">#REF!</definedName>
    <definedName name="BO7353EA249E744D5D8E0F728FA4A59EA1" hidden="1">#REF!</definedName>
    <definedName name="BO735C83C6A6C44674B7FADD7E8B6935C8" hidden="1">#REF!</definedName>
    <definedName name="BO73634539DC11451CAD19E34F5B2179F1" hidden="1">#REF!</definedName>
    <definedName name="BO7367F54A9E084922AFDC4671468C0BA7" hidden="1">#REF!</definedName>
    <definedName name="BO736C131A18CF43A78240385DE2A61725" hidden="1">#REF!</definedName>
    <definedName name="BO7372A3805882444D9FE21CAF43A45F23" hidden="1">#REF!</definedName>
    <definedName name="BO7380A98CC06340AEB2326F31BD917834" hidden="1">#REF!</definedName>
    <definedName name="BO738D0FBAFC9E467ABB78E6DC0D59509C" hidden="1">#REF!</definedName>
    <definedName name="BO738E9BD6015D4CA4B673CE5280C61710" hidden="1">#REF!</definedName>
    <definedName name="BO7397DA9D97AC4605B9E00895DA6B47CF" hidden="1">#REF!</definedName>
    <definedName name="BO73BBE3DE00C44793A580A6D74457C6EE" hidden="1">#REF!</definedName>
    <definedName name="BO73BC1B4EB0544EF29EBFDB936FE4AA40" hidden="1">#REF!</definedName>
    <definedName name="BO73CE77096E96437F83349F53BDAFDFBD" hidden="1">#REF!</definedName>
    <definedName name="BO73CFC503B0DD423DBE4B5425B1E9F416" hidden="1">#REF!</definedName>
    <definedName name="BO73D60EA40F284E0995D5332E33AEA2B4" hidden="1">#REF!</definedName>
    <definedName name="BO73E3F36BEEA247349177110E199ACBBD" hidden="1">#REF!</definedName>
    <definedName name="BO73ED1EC0A58C4B448EF11179967C426F" hidden="1">#REF!</definedName>
    <definedName name="BO7403919763ED4E13ABD73C1CA4BA395A" hidden="1">#REF!</definedName>
    <definedName name="BO7405EBB432874C899177932B640992F0" hidden="1">#REF!</definedName>
    <definedName name="BO7413A1CF7E0E46FD8F1762A875026A9A" hidden="1">#REF!</definedName>
    <definedName name="BO742300AF1A1548C3AFEACA15570508BF" hidden="1">#REF!</definedName>
    <definedName name="BO742AE01233E041BDA2B5FFC19E24A6E8" hidden="1">#REF!</definedName>
    <definedName name="BO742D8FED23024AB1800EC67077A2110F" hidden="1">#REF!</definedName>
    <definedName name="BO742F724BF6984F4A856DAA8795FBCFFF" hidden="1">#REF!</definedName>
    <definedName name="BO7447B065A70948D4BA9FF01A85E2ED57" hidden="1">#REF!</definedName>
    <definedName name="BO7450C842BAB4419496EE9934B54AB2BC" hidden="1">#REF!</definedName>
    <definedName name="BO7459F5F03D3C417485065449EA38338C" hidden="1">#REF!</definedName>
    <definedName name="BO7461A5AE204E4C1C80C4CF622A5B690C" hidden="1">#REF!</definedName>
    <definedName name="BO7464864BD18C476CAC8C24B6C36C3647" hidden="1">#REF!</definedName>
    <definedName name="BO746AD35295B9432ABE01045A86D97DF9" hidden="1">#REF!</definedName>
    <definedName name="BO747595A553D04ED388A2A0343A5DD1FF" hidden="1">#REF!</definedName>
    <definedName name="BO7476B7EE54F4479EA71590D61F5A37ED" hidden="1">#REF!</definedName>
    <definedName name="BO747E9C3F90F440A0B40B1EF7E69B90CF" hidden="1">#REF!</definedName>
    <definedName name="BO748254349EBB409080D0993170250CB9" hidden="1">#REF!</definedName>
    <definedName name="BO749398DFD3284092AFF7F819D3E7BFCD" hidden="1">#REF!</definedName>
    <definedName name="BO7499E3E5DB424361B80BAA74B7B40ADE" hidden="1">#REF!</definedName>
    <definedName name="BO74A3F5B3791F48DF850F3E3EAC0081C1" hidden="1">#REF!</definedName>
    <definedName name="BO74AA2F93AB054BF1893D5A04773FA101" hidden="1">#REF!</definedName>
    <definedName name="BO74B7E768CBF0491592A650EDF7434EFC" hidden="1">#REF!</definedName>
    <definedName name="BO74B899C9AB80422C86CAFB27BE1E51D4" hidden="1">#REF!</definedName>
    <definedName name="BO74BF9410A38C4A8AA75F1A4CEE889DC7" hidden="1">#REF!</definedName>
    <definedName name="BO74CB740AFDFD4785B6F02D12A0BBA86A" hidden="1">#REF!</definedName>
    <definedName name="BO74D242159FBF4218A0E948FAEED1082C" hidden="1">#REF!</definedName>
    <definedName name="BO74D2D72319074AE0AAFA3F40843F0DCE" hidden="1">#REF!</definedName>
    <definedName name="BO74E66896E23E420BBB7FA2EC63F9DB94" hidden="1">#REF!</definedName>
    <definedName name="BO74E80C0C084641B8A4B78CFEFD094ED4" hidden="1">#REF!</definedName>
    <definedName name="BO74E9E3C781C846B0A54E432CD05EF4E1" hidden="1">#REF!</definedName>
    <definedName name="BO74F2319D79D2438BB73B530C26F3D3CF" hidden="1">#REF!</definedName>
    <definedName name="BO74FFDEF4B51545588B414A6194E96F6A" hidden="1">#REF!</definedName>
    <definedName name="BO750920B4EED24F82B96A44F404FF8C82" hidden="1">#REF!</definedName>
    <definedName name="BO75094245FC0347C1BC1CFC7BC6F35312" hidden="1">#REF!</definedName>
    <definedName name="BO75138A5615E64456816FBECB23D28D8B" hidden="1">#REF!</definedName>
    <definedName name="BO752206A5D47A45E2BC31F14830F26C7D" hidden="1">#REF!</definedName>
    <definedName name="BO752586E45C70414AB25FC7F12286ACF1" hidden="1">#REF!</definedName>
    <definedName name="BO752B2140753F4B0F8C71E4BBE59B2FA0" hidden="1">#REF!</definedName>
    <definedName name="BO75451752A604449E8D9622E44686B83F" hidden="1">#REF!</definedName>
    <definedName name="BO75469FD4A14A4665A33CB2AA7DA576DC" hidden="1">#REF!</definedName>
    <definedName name="BO754EAB4E88D9445AAF39A56C5D6B2B27" hidden="1">#REF!</definedName>
    <definedName name="BO7575215436E2438F9C25351F2DDDB422" hidden="1">#REF!</definedName>
    <definedName name="BO75793A43B0524E6E95B3AA5D4A4D6033" hidden="1">#REF!</definedName>
    <definedName name="BO75827FADDC8E4395A17C3014B355E5B2" hidden="1">#REF!</definedName>
    <definedName name="BO75861B0B0AA04E4FAA802ED91FCB75FE" hidden="1">#REF!</definedName>
    <definedName name="BO758A4D0B361D46668FAC2812467E7443" hidden="1">#REF!</definedName>
    <definedName name="BO75900C7D246A4B7A810762C040E2D99A" hidden="1">#REF!</definedName>
    <definedName name="BO759038A368704D4FA15AB6627D545934" hidden="1">#REF!</definedName>
    <definedName name="BO7597727E0ED145058A293E1B2D04C039" hidden="1">#REF!</definedName>
    <definedName name="BO759AEF6B850F43BC9CBF17275EE93EB9" hidden="1">#REF!</definedName>
    <definedName name="BO759AFBCDE7CA4F8A8D39D0ECA68E23D6" hidden="1">#REF!</definedName>
    <definedName name="BO759D5B5C5303458DBF57EBEE30FE0E34" hidden="1">#REF!</definedName>
    <definedName name="BO75B061B843C148F4B029492C3EEAF512" hidden="1">#REF!</definedName>
    <definedName name="BO75BE670A159746F994C2C02954B641B6" hidden="1">#REF!</definedName>
    <definedName name="BO75C19CF6240A4CD8A1648492FB416539" hidden="1">#REF!</definedName>
    <definedName name="BO75C418349DA04F7CA08F367B3647E3D7" hidden="1">#REF!</definedName>
    <definedName name="BO75F3A176A0C7443DB20D94D0EE8F1EB1" hidden="1">#REF!</definedName>
    <definedName name="BO75F5F8D2591841C49F5426A3523C9F43" hidden="1">#REF!</definedName>
    <definedName name="BO7604FB6597FD4C95A85C6457AB2A3266" hidden="1">#REF!</definedName>
    <definedName name="BO76134260FE434EA7BC74AE2A8323C3D3" hidden="1">#REF!</definedName>
    <definedName name="BO7613DDC18F3946B2AA2B7FE14D0C5BAA" hidden="1">#REF!</definedName>
    <definedName name="BO761E56FFB46044BC8A6F9E5764D5E30F" hidden="1">#REF!</definedName>
    <definedName name="BO763F23E96DF24D58908724935ED1437B" hidden="1">#REF!</definedName>
    <definedName name="BO764B5EF3914E476C9B8767B404FF961A" hidden="1">#REF!</definedName>
    <definedName name="BO765195F1DD634F06926D91C3E37954F4" hidden="1">#REF!</definedName>
    <definedName name="BO765197D8F2AF406198E8597EB386DD04" hidden="1">#REF!</definedName>
    <definedName name="BO765DBFC729224A4EBA4A808F45B8DE0D" hidden="1">#REF!</definedName>
    <definedName name="BO76639BB0576547EA9439BEDB81658288" hidden="1">#REF!</definedName>
    <definedName name="BO76672859AAD14E03B790D055C142B230" hidden="1">#REF!</definedName>
    <definedName name="BO767AABCA2CAE444C88B17D6918C5EE88" hidden="1">#REF!</definedName>
    <definedName name="BO767AF7F1426F43489DD313F1D52050D6" hidden="1">#REF!</definedName>
    <definedName name="BO767C6E162DE442B8A4578E2726545248" hidden="1">#REF!</definedName>
    <definedName name="BO7682566AD3744B448AD3F712E36E76F0" hidden="1">#REF!</definedName>
    <definedName name="BO768BF0E1C96142F5A0D7B72100070FEE" hidden="1">#REF!</definedName>
    <definedName name="BO768D83EE673A4B8AA884756BC304D368" hidden="1">#REF!</definedName>
    <definedName name="BO76941B88B55C4A96A20A6561E13CC9AA" hidden="1">#REF!</definedName>
    <definedName name="BO7696DF6542F7408593A3937888D6E833" hidden="1">#REF!</definedName>
    <definedName name="BO7698A339EE1E44A49C0274BA9F2C0E7E" hidden="1">#REF!</definedName>
    <definedName name="BO76A867A909AD43E89DCCA1B337354C84" hidden="1">#REF!</definedName>
    <definedName name="BO76B20245B54A41C59AE743097958C701" hidden="1">#REF!</definedName>
    <definedName name="BO76B69F2CDF97495D9D8717AEF707E4DF" hidden="1">#REF!</definedName>
    <definedName name="BO76D497465C2A4C4D89529D77295B5416" hidden="1">#REF!</definedName>
    <definedName name="BO76F5824545A24021959330350B1C7898" hidden="1">#REF!</definedName>
    <definedName name="BO7706829620B844BF872EEBA65A3F731F" hidden="1">#REF!</definedName>
    <definedName name="BO7717EF6E0D8742F5BC79970654ED475C" hidden="1">#REF!</definedName>
    <definedName name="BO7719125B344649CA84F1BEBC9D1173F3" hidden="1">#REF!</definedName>
    <definedName name="BO772B4BE1AF124C90A6497D461C7B688B" hidden="1">#REF!</definedName>
    <definedName name="BO772F4F983EE743BD99966A52EFF31374" hidden="1">#REF!</definedName>
    <definedName name="BO77316F412B5844A4839BD5A8F2CCEB0F" hidden="1">#REF!</definedName>
    <definedName name="BO77356EF7BC6B41D6A9BC7E0A8AAE2A6F" hidden="1">#REF!</definedName>
    <definedName name="BO773C614233AA46EC9EC7DE5B45B59AD0" hidden="1">#REF!</definedName>
    <definedName name="BO77551E82234E4B0685D2FF3BC3B3B152" hidden="1">#REF!</definedName>
    <definedName name="BO7758B3D837EA4EAEB991E161D5C44C02" hidden="1">#REF!</definedName>
    <definedName name="BO777805B63F784D1891F1314E2A7B53AE" hidden="1">#REF!</definedName>
    <definedName name="BO77865E3119CC4BC591EBCE1D6296338F" hidden="1">#REF!</definedName>
    <definedName name="BO778FAED52B3B475695AEE5AD12035521" hidden="1">#REF!</definedName>
    <definedName name="BO7799F49292564B818EE3A2FDC0A3A1AD" hidden="1">#REF!</definedName>
    <definedName name="BO779E9BCA95F54CC084A3680F2E56EA7A" hidden="1">#REF!</definedName>
    <definedName name="BO779F9A1BF27246429B8F63CA445983E5" hidden="1">#REF!</definedName>
    <definedName name="BO77AACE08EA564DECA857BDD8DDE61F4E" hidden="1">#REF!</definedName>
    <definedName name="BO77DA58E0D9114A5CB50C60471627480C" hidden="1">#REF!</definedName>
    <definedName name="BO77E6148BADF0415FA0374D01DBBFFA11" hidden="1">#REF!</definedName>
    <definedName name="BO77F7966DFED54B4D82CDC2CE8C1DAE15" hidden="1">#REF!</definedName>
    <definedName name="BO78160B390A594BD394A6BBEF9095C87C" hidden="1">#REF!</definedName>
    <definedName name="BO78175209DC9444F4B55C99433D10A654" hidden="1">#REF!</definedName>
    <definedName name="BO781BE5DE3C4C4BF897701DBD98D729FF" hidden="1">#REF!</definedName>
    <definedName name="BO783054A6CF284F358243F0ECE9977E8F" hidden="1">#REF!</definedName>
    <definedName name="BO783A4EC2CC584F70A2CC92B9C6FA8B30" hidden="1">#REF!</definedName>
    <definedName name="BO785379D8E1524215A8720F3F99B811E2" hidden="1">#REF!</definedName>
    <definedName name="BO7853E82954C14D5891677E666B6C2F32" hidden="1">#REF!</definedName>
    <definedName name="BO786095DD3ED941B38847F8070493E972" hidden="1">#REF!</definedName>
    <definedName name="BO786972D2851640FFB2B4CA4F3F089F2E" hidden="1">#REF!</definedName>
    <definedName name="BO788D64B2AB6644B5913D96F16B21D2B5" hidden="1">#REF!</definedName>
    <definedName name="BO788D6BDAD50B4563BBB00478A22B371B" hidden="1">#REF!</definedName>
    <definedName name="BO788E28635FC94F37813069FDDC924A4E" hidden="1">#REF!</definedName>
    <definedName name="BO788F864335864D31A492986D7933EC15" hidden="1">#REF!</definedName>
    <definedName name="BO789189FB98A940FB88223B3C8F7EDB34" hidden="1">#REF!</definedName>
    <definedName name="BO78928D7AC0E842F7873EE3117B8BD57A" hidden="1">#REF!</definedName>
    <definedName name="BO789853D23AEB4DA3ADA3CA044DFFFFA5" hidden="1">#REF!</definedName>
    <definedName name="BO789FCD0DB3924B679B466C88F361B0D2" hidden="1">#REF!</definedName>
    <definedName name="BO78A8FA09C011412BAEFAE437B8A1A644" hidden="1">#REF!</definedName>
    <definedName name="BO78AAE9D5072642FBA559A8911924DAA8" hidden="1">#REF!</definedName>
    <definedName name="BO78B72429FFEA473E875FA889468D2503" hidden="1">#REF!</definedName>
    <definedName name="BO78D5252844944247900FA7903027DA88" hidden="1">#REF!</definedName>
    <definedName name="BO78D9935FD86744538F2DD2409161D5F4" hidden="1">#REF!</definedName>
    <definedName name="BO78E0D3AE86FB486DA43C43191F9C1F23" hidden="1">#REF!</definedName>
    <definedName name="BO78E7E888351C4DBFB184B1BF75621236" hidden="1">#REF!</definedName>
    <definedName name="BO78EAC8452EF64A32B172801573042E85" hidden="1">#REF!</definedName>
    <definedName name="BO78EFBEEAB277436280FA20F8B4F75F4C" hidden="1">#REF!</definedName>
    <definedName name="BO78F7EC5E44724EB8A16CF30E626687A9" hidden="1">#REF!</definedName>
    <definedName name="BO790867C3A6FB482C9BCC9783B8960A98" hidden="1">#REF!</definedName>
    <definedName name="BO791166E0ED094DB69815E40D45037A55" hidden="1">#REF!</definedName>
    <definedName name="BO793166A74FC54ED4AE562736FEC5B702" hidden="1">#REF!</definedName>
    <definedName name="BO793332AA10B64A668E0C32CFE5479EFC" hidden="1">#REF!</definedName>
    <definedName name="BO794812D6AAF443DDB4CD333A95A42E44" hidden="1">#REF!</definedName>
    <definedName name="BO79664A14AC55441D8478A522267C45A7" hidden="1">#REF!</definedName>
    <definedName name="BO7969E30D7C3842898E71F650BC7E74DE" hidden="1">#REF!</definedName>
    <definedName name="BO796A62A855D74E5DA3F4D2DCA993BC84" hidden="1">#REF!</definedName>
    <definedName name="BO796F2489553D4B84BBD794D401FD2345" hidden="1">#REF!</definedName>
    <definedName name="BO7971F9D448CA4DEDB40090DFDABDA1EA" hidden="1">#REF!</definedName>
    <definedName name="BO7978B57EE913480D8209CFCE7F1B4FB4" hidden="1">#REF!</definedName>
    <definedName name="BO7983AA66D5604ECF85BC788E6E35BFB3" hidden="1">#REF!</definedName>
    <definedName name="BO799C4C9B724149618CF14177BB99F40B" hidden="1">#REF!</definedName>
    <definedName name="BO79A59EBB79E04BF3890F159DCEF86146" hidden="1">#REF!</definedName>
    <definedName name="BO79B05964DDE241119761A6A064149C9F" hidden="1">#REF!</definedName>
    <definedName name="BO79BB053C9A754337A6E6BDAC074370AB" hidden="1">#REF!</definedName>
    <definedName name="BO79BF4AFBB34B46E985B44A5A50F86281" hidden="1">#REF!</definedName>
    <definedName name="BO79C23D9382C24EE285DEDE4BBE6082E7" hidden="1">#REF!</definedName>
    <definedName name="BO79C2635F2D4049EA941F440D773EBF3A" hidden="1">#REF!</definedName>
    <definedName name="BO79C2D77A29E14C72A35872539F0099C3" hidden="1">#REF!</definedName>
    <definedName name="BO79C95407D4BD4F48919B366F4EC60562" hidden="1">#REF!</definedName>
    <definedName name="BO79D42CF9C425415F873799343AF4432D" hidden="1">#REF!</definedName>
    <definedName name="BO79D58111FED441E591B3ABBC1973DDC5" hidden="1">#REF!</definedName>
    <definedName name="BO79DEF50077B64901854647D12054F147" hidden="1">#REF!</definedName>
    <definedName name="BO79FA60C23F194F51B348AE51FAE946BA" hidden="1">#REF!</definedName>
    <definedName name="BO7A07CC277BFE4E2B8E3E455839488A7D" hidden="1">#REF!</definedName>
    <definedName name="BO7A0926B1CD1D48A3BBC28BBB7AE37B1C" hidden="1">#REF!</definedName>
    <definedName name="BO7A0C7FFAD70C41FBBC37D1FBE323BC2D" hidden="1">#REF!</definedName>
    <definedName name="BO7A1AD6AB10F2497EB0E11D7EFC3FA0BF" hidden="1">#REF!</definedName>
    <definedName name="BO7A2259DB14E14DF2BF0FEFC5E42A71B6" hidden="1">#REF!</definedName>
    <definedName name="BO7A2423F7C9244487940C7048E5416BCF" hidden="1">#REF!</definedName>
    <definedName name="BO7A26E52162F44B6A8D591F876A783140" hidden="1">#REF!</definedName>
    <definedName name="BO7A297A8D87B146078FCF8D4C523FB505" hidden="1">#REF!</definedName>
    <definedName name="BO7A2CA294EF58475296A574EC3DD1F294" hidden="1">#REF!</definedName>
    <definedName name="BO7A2FE5E817B74B2BA362E88B6D4543BF" hidden="1">#REF!</definedName>
    <definedName name="BO7A3C04EE3F2B48BD86C398CD92C756FF" hidden="1">#REF!</definedName>
    <definedName name="BO7A3FE1DDA8774B34B5A580FB7DF5897E" hidden="1">#REF!</definedName>
    <definedName name="BO7A463FCC5702489C98695CA1594AB7D4" hidden="1">#REF!</definedName>
    <definedName name="BO7A53C2219B6542768D36A331BB450A3E" hidden="1">#REF!</definedName>
    <definedName name="BO7A5FAF1D6F76422DAF32F2DBD4430EB5" hidden="1">#REF!</definedName>
    <definedName name="BO7A6CFCE0E2934680907CEAC2A6065C68" hidden="1">#REF!</definedName>
    <definedName name="BO7A8D98F6D74C40EBB5743BFA4107D90E" hidden="1">#REF!</definedName>
    <definedName name="BO7A8F681D1BAE4F969BBFE8AB1E7BDD52" hidden="1">#REF!</definedName>
    <definedName name="BO7A9152AE77C348F2B3D2A2C6A638F111" hidden="1">#REF!</definedName>
    <definedName name="BO7AAF3A5C5CB6410FAA38515816F129F1" hidden="1">#REF!</definedName>
    <definedName name="BO7AB8781481AD4CD39D3536287DDC340A" hidden="1">#REF!</definedName>
    <definedName name="BO7AB8BC159C724DCF9799B9882E175412" hidden="1">#REF!</definedName>
    <definedName name="BO7ABC8CC337A6456DA3B148C971722B40" hidden="1">#REF!</definedName>
    <definedName name="BO7ABD16AD31DD425D9ACB5412DC651F41" hidden="1">#REF!</definedName>
    <definedName name="BO7AE1AD9D43AF4AF394CF2594EA33E0C0" hidden="1">#REF!</definedName>
    <definedName name="BO7AFB789039D94FFD80F871CA2AACD201" hidden="1">#REF!</definedName>
    <definedName name="BO7B00844D12464559B163F3031ED3782F" hidden="1">#REF!</definedName>
    <definedName name="BO7B0BE798E3EB44A48FEC29FF1E153836" hidden="1">#REF!</definedName>
    <definedName name="BO7B11EBE277F64774994CE433B6349137" hidden="1">#REF!</definedName>
    <definedName name="BO7B11EC203C2049DBA9D5B5D0762554DB" hidden="1">#REF!</definedName>
    <definedName name="BO7B2D723BAF4E44E2A7610DE712380940" hidden="1">#REF!</definedName>
    <definedName name="BO7B4AEA03EC4645F4B01241BA7C1698CD" hidden="1">#REF!</definedName>
    <definedName name="BO7B54430DA2CC477780CDD079748D8306" hidden="1">#REF!</definedName>
    <definedName name="BO7B57D1521E9E411B83813A38819C1CA7" hidden="1">#REF!</definedName>
    <definedName name="BO7B6020CFA76440D1A3DA6CC213CDCFA8" hidden="1">#REF!</definedName>
    <definedName name="BO7B6E9F8D3F384EAF90BD1D6CD08830CF" hidden="1">#REF!</definedName>
    <definedName name="BO7B70810AB6B8436D9533AD8852C4E490" hidden="1">#REF!</definedName>
    <definedName name="BO7B7B6C5D73934BC2B958BF516959FE6D" hidden="1">#REF!</definedName>
    <definedName name="BO7B81937DA2BE415CBDB1684CD92413E8" hidden="1">#REF!</definedName>
    <definedName name="BO7B8BB435896A46F9849B21084AC549E6" hidden="1">#REF!</definedName>
    <definedName name="BO7B9331BB93DA441994F1E4A16031A379" hidden="1">#REF!</definedName>
    <definedName name="BO7BA9FA975353474E88606428FD6E22A6" hidden="1">#REF!</definedName>
    <definedName name="BO7BB02692AB5F4E4BA3B3BA51E512E2C6" hidden="1">#REF!</definedName>
    <definedName name="BO7BB3027A820D47E0970BAEF92B181962" hidden="1">#REF!</definedName>
    <definedName name="BO7BCD2769284A4826988D01492CBACEA2" hidden="1">#REF!</definedName>
    <definedName name="BO7BCF9509076E46EA966433925FCC4776" hidden="1">#REF!</definedName>
    <definedName name="BO7BD010DD3B0A45709C1E949FE1B795E0" hidden="1">#REF!</definedName>
    <definedName name="BO7BD0C7C4E3A6429699C3CCDE82CA4B78" hidden="1">#REF!</definedName>
    <definedName name="BO7BD178FB65ED4A708649B2D0EE08DD16" hidden="1">#REF!</definedName>
    <definedName name="BO7BD4DD90FD0F481B8BD658EF45EF32FE" hidden="1">#REF!</definedName>
    <definedName name="BO7BD741A153AB4F538617C6CB85C2A55F" hidden="1">#REF!</definedName>
    <definedName name="BO7BDA39B9D59748C88590BBE6A87CDC4D" hidden="1">#REF!</definedName>
    <definedName name="BO7BE2676111EA4DBA807C93780BD4FD1F" hidden="1">#REF!</definedName>
    <definedName name="BO7BE380A75152466DA6D4CBC0FC4EF1DD" hidden="1">#REF!</definedName>
    <definedName name="BO7BF0A1C8093E483AB9C2D491B0D97D6A" hidden="1">#REF!</definedName>
    <definedName name="BO7BF127EA6EE44472B7CB982AA1F6573A" hidden="1">#REF!</definedName>
    <definedName name="BO7C0F29602621465C9B7A14A8B14B0DCA" hidden="1">#REF!</definedName>
    <definedName name="BO7C15827F53B14CF0841A9EF0E65FE85A" hidden="1">#REF!</definedName>
    <definedName name="BO7C1D6EB051B1493081AEA53218784739" hidden="1">#REF!</definedName>
    <definedName name="BO7C1E12F1503A4DFEA88150F407D9D678" hidden="1">#REF!</definedName>
    <definedName name="BO7C22128E1FBE422C9D7741E0423EF61A" hidden="1">#REF!</definedName>
    <definedName name="BO7C382F556BAE46AB954A5C0735B552B1" hidden="1">#REF!</definedName>
    <definedName name="BO7C3886EF5BC4470EAB99AED2F8C260BE" hidden="1">#REF!</definedName>
    <definedName name="BO7C3FF3400A944AAFB6474C724108843F" hidden="1">#REF!</definedName>
    <definedName name="BO7C5BF67F689548608354AD16E5C35B7A" hidden="1">#REF!</definedName>
    <definedName name="BO7C716B22B4324EFEA0FDDB9869657D31" hidden="1">#REF!</definedName>
    <definedName name="BO7C74711EA154452DBCE4CAD0F74A2A08" hidden="1">#REF!</definedName>
    <definedName name="BO7C84B38A73DD4D39B41FE4CB91ECE3F5" hidden="1">#REF!</definedName>
    <definedName name="BO7C87A37219E247D4868E0940FE2F0D1A" hidden="1">#REF!</definedName>
    <definedName name="BO7C8C2201FE17445AA7259877C095D60E" hidden="1">#REF!</definedName>
    <definedName name="BO7C97034114074B5C8C0195D886A36102" hidden="1">#REF!</definedName>
    <definedName name="BO7CA5E2239CAD4EB5970B1B039973AAE9" hidden="1">#REF!</definedName>
    <definedName name="BO7CC5787782ED4B688B89DB9A37AD850B" hidden="1">#REF!</definedName>
    <definedName name="BO7CC94CEA7CA240BA969A951FC0CA3E86" hidden="1">#REF!</definedName>
    <definedName name="BO7CC9A3013EBA465981C5FB39F1EE7908" hidden="1">#REF!</definedName>
    <definedName name="BO7CCA9E337EEA4A7A819A01E2A6192A1D" hidden="1">#REF!</definedName>
    <definedName name="BO7CD28496B75E41088DA14AF298FB4932" hidden="1">#REF!</definedName>
    <definedName name="BO7CD63AA61E2549A9A2F91F1615A55D1E" hidden="1">#REF!</definedName>
    <definedName name="BO7CDD5043AB1440FAA1F6EABCC8203843" hidden="1">#REF!</definedName>
    <definedName name="BO7CE1B9309CA749F2B8272D91893742AE" hidden="1">#REF!</definedName>
    <definedName name="BO7CEB8BC03F6047758893D5411E383BD6" hidden="1">#REF!</definedName>
    <definedName name="BO7CF74FF38ED8460E84C33F56C57812EA" hidden="1">#REF!</definedName>
    <definedName name="BO7CFB508D09FC4BB0B53FFE96C9E6A10F" hidden="1">#REF!</definedName>
    <definedName name="BO7D124FECC7C34C5C880BC65814989215" hidden="1">#REF!</definedName>
    <definedName name="BO7D19403047404F9594C5D020D431E4A9" hidden="1">#REF!</definedName>
    <definedName name="BO7D21D1EEC69049AAB812A2289CD40C6D" hidden="1">#REF!</definedName>
    <definedName name="BO7D3F25CB817B461B83F94AC3BDE2BB0C" hidden="1">#REF!</definedName>
    <definedName name="BO7D479D8FABB341A6B8D76471BE5D92E8" hidden="1">#REF!</definedName>
    <definedName name="BO7D48FE93109C42AAAB367BF395A681A8" hidden="1">#REF!</definedName>
    <definedName name="BO7D51E13AADB34FC9AC2A5D6800A3974C" hidden="1">#REF!</definedName>
    <definedName name="BO7D689AD8DCBC4AC8B30DBB2E33C03016" hidden="1">#REF!</definedName>
    <definedName name="BO7D6FA3CAEFE449BABFD5DFF46F7F8307" hidden="1">#REF!</definedName>
    <definedName name="BO7D76C10784784FEE91A6EB0438598CBF" hidden="1">#REF!</definedName>
    <definedName name="BO7D83EA9301F14A3AAA7D60052F48B362" hidden="1">#REF!</definedName>
    <definedName name="BO7D976A52C6E64D76B897487CF65095F4" hidden="1">#REF!</definedName>
    <definedName name="BO7D9BF48D81734FB2A631EB6B8F3BCB35" hidden="1">#REF!</definedName>
    <definedName name="BO7D9F53748E07474B9EF486BF831FE9FA" hidden="1">#REF!</definedName>
    <definedName name="BO7DA3E5E398784C8D844190DEEEA0C751" hidden="1">#REF!</definedName>
    <definedName name="BO7DA9846FD8A84919B2D363B01146C81C" hidden="1">#REF!</definedName>
    <definedName name="BO7DADC9813DE741029AAFAE1C417B2DD9" hidden="1">#REF!</definedName>
    <definedName name="BO7DB9FF7ABC764436B8A92F33762EBE0D" hidden="1">#REF!</definedName>
    <definedName name="BO7DBB398A642247E1A1D8CB871EEF4D99" hidden="1">#REF!</definedName>
    <definedName name="BO7DBF75550A4F4EF98247E8535F8E955B" hidden="1">#REF!</definedName>
    <definedName name="BO7DCBD66830FF479A919FAC35597EBE0F" hidden="1">#REF!</definedName>
    <definedName name="BO7E081F8FDAA64A7A940717955E64020E" hidden="1">#REF!</definedName>
    <definedName name="BO7E0CED21F6B141FB96B372DFC9EDD618" hidden="1">#REF!</definedName>
    <definedName name="BO7E11523C9D914D4AB57A272CBDD5D840" hidden="1">#REF!</definedName>
    <definedName name="BO7E17C8B01A9547129370D994F9A2BBCF" hidden="1">#REF!</definedName>
    <definedName name="BO7E1F5D41894A4A54A7EB23E03C215306" hidden="1">#REF!</definedName>
    <definedName name="BO7E253F0326564F7592C985E1478DB1C4" hidden="1">#REF!</definedName>
    <definedName name="BO7E280B1C36CE42348674DFE0EC6D837A" hidden="1">#REF!</definedName>
    <definedName name="BO7E34ECFC9B7A4A2EA82E1A556D7A3A56" hidden="1">#REF!</definedName>
    <definedName name="BO7E3B50258A3A4256AF9EC03C5F2EB881" hidden="1">#REF!</definedName>
    <definedName name="BO7E3B9A5D96FC46E486220278D07BD369" hidden="1">#REF!</definedName>
    <definedName name="BO7E5556A274964962BD46487568579E07" hidden="1">#REF!</definedName>
    <definedName name="BO7E5A5935D7084E7F941F4390AF74AFB8" hidden="1">#REF!</definedName>
    <definedName name="BO7E5ED9DBDC4D4650872A8D5686CC2C5F" hidden="1">#REF!</definedName>
    <definedName name="BO7E619783F433443D9A18ABF2EFC0CE43" hidden="1">#REF!</definedName>
    <definedName name="BO7E689AC08E2C41C2A3984822AE7D0DDD" hidden="1">#REF!</definedName>
    <definedName name="BO7E70F131CB084FBA919C248F18B00DC0" hidden="1">#REF!</definedName>
    <definedName name="BO7E720837C0B2464899CE61680894CF0B" hidden="1">#REF!</definedName>
    <definedName name="BO7E721CF6FE0C46EFA7146BFAD59D6FBF" hidden="1">#REF!</definedName>
    <definedName name="BO7E81C87200F34B7FA6B7F1D251FEC37B" hidden="1">#REF!</definedName>
    <definedName name="BO7E86C693548F4D4A8E0F853AFA9DB5C0" hidden="1">#REF!</definedName>
    <definedName name="BO7E9462C86A1A4B3DB4480028AFDE7B87" hidden="1">#REF!</definedName>
    <definedName name="BO7E96F53C47E94CC79A8CC7EA22F9BCA9" hidden="1">#REF!</definedName>
    <definedName name="BO7E9DED3E5D894332B50E7C324B924F34" hidden="1">#REF!</definedName>
    <definedName name="BO7EA43E9361634D73ADADE3F78DDA5987" hidden="1">#REF!</definedName>
    <definedName name="BO7EA59BEB375440A8A13923F36B5B1D3C" hidden="1">#REF!</definedName>
    <definedName name="BO7EA8439EE0274A059FF2D53CF603FF5E" hidden="1">#REF!</definedName>
    <definedName name="BO7EABC1E029C34EFDA1F10F398D048651" hidden="1">#REF!</definedName>
    <definedName name="BO7EB172459A3C4B4D821E3FE955CE1352" hidden="1">#REF!</definedName>
    <definedName name="BO7EC5946926B84C6894D28FA67F34E209" hidden="1">#REF!</definedName>
    <definedName name="BO7ECB2A83AEFD4EEDB2842FB5AA5FE039" hidden="1">#REF!</definedName>
    <definedName name="BO7ECDA3D0470D4641916113CCFC507064" hidden="1">#REF!</definedName>
    <definedName name="BO7ED8AAAC80D0438594E0E2287A0A7F3A" hidden="1">#REF!</definedName>
    <definedName name="BO7EDD0A52D25B4A7AAD44BC040A7DDF05" hidden="1">#REF!</definedName>
    <definedName name="BO7EE63671BCF64E8F841686714258E253" hidden="1">#REF!</definedName>
    <definedName name="BO7EEF33A8CE774E4F84D1081798CF7227" hidden="1">#REF!</definedName>
    <definedName name="BO7EF89A2851B74CD3906DE5A6E62BAF3D" hidden="1">#REF!</definedName>
    <definedName name="BO7EF8E6D8072C4370BAC7FF2D1F09CA0A" hidden="1">#REF!</definedName>
    <definedName name="BO7F04C697ADD14103B3905B1B275E3FE2" hidden="1">#REF!</definedName>
    <definedName name="BO7F08A2609ACF4AB7A23F5BC5D5C12A7E" hidden="1">#REF!</definedName>
    <definedName name="BO7F0AC18B387D4B1089C5A385F54AB64E" hidden="1">#REF!</definedName>
    <definedName name="BO7F0E013C72314C158E2120F92209B6B9" hidden="1">#REF!</definedName>
    <definedName name="BO7F119DDBF27D4BC99DEE27890F958FBF" hidden="1">#REF!</definedName>
    <definedName name="BO7F1352BEF59F45A4A58F84F2FF9A7BBB" hidden="1">#REF!</definedName>
    <definedName name="BO7F23AECAB5B94DEFBE2FC6B185BDA8DD" hidden="1">#REF!</definedName>
    <definedName name="BO7F2C29EC0C3547D3AA682291B414F5A1" hidden="1">#REF!</definedName>
    <definedName name="BO7F4FA92EB5464F4CB124F7455D5B4763" hidden="1">#REF!</definedName>
    <definedName name="BO7F5301605A924F59ACB737829CDB6E45" hidden="1">#REF!</definedName>
    <definedName name="BO7F55F8F38D31480A844FC07100356A23" hidden="1">#REF!</definedName>
    <definedName name="BO7F565E9A45654079A01AD3F65D3D0539" hidden="1">#REF!</definedName>
    <definedName name="BO7F61542E49F343DD957C9E8BB680AFC0" hidden="1">#REF!</definedName>
    <definedName name="BO7F61DA818A4E4676B4B2B3AF351E00E5" hidden="1">#REF!</definedName>
    <definedName name="BO7F68E4FD4E1F4AB0ADC00AD35CFEDCBF" hidden="1">#REF!</definedName>
    <definedName name="BO7F78353623E542258CD2E5A0B7C583EA" hidden="1">#REF!</definedName>
    <definedName name="BO7F7E73EDCD3146EDAED65B1D943E6E4F" hidden="1">#REF!</definedName>
    <definedName name="BO7F7F16AF731946C6B097B8358FAAC4FA" hidden="1">#REF!</definedName>
    <definedName name="BO7F7F344B0A27429D97155C7BE19ABD13" hidden="1">#REF!</definedName>
    <definedName name="BO7F83E3C5699C40668130C15DCBA8778C" hidden="1">#REF!</definedName>
    <definedName name="BO7F89A12817804F54AD1018C70529630C" hidden="1">#REF!</definedName>
    <definedName name="BO7F95A25537734AD9B5EDDAB3FA91B203" hidden="1">#REF!</definedName>
    <definedName name="BO7F95B427E893487CA6C8F9E34BD9098A" hidden="1">#REF!</definedName>
    <definedName name="BO7F9B3A9848D34726BDFA611E6D269464" hidden="1">#REF!</definedName>
    <definedName name="BO7F9FD7C4545049F1B231BFB715EBE907" hidden="1">#REF!</definedName>
    <definedName name="BO7FB44234EE164EE99C08B697F6CE615D" hidden="1">#REF!</definedName>
    <definedName name="BO7FBBE94BC0F34A36A89990EFBBD6851F" hidden="1">#REF!</definedName>
    <definedName name="BO7FC55AB3D614444C91778D0B154958B7" hidden="1">#REF!</definedName>
    <definedName name="BO7FD7187FC0D04CBBAFDB975CE6E6896B" hidden="1">#REF!</definedName>
    <definedName name="BO7FD90BC09BC84FC1AC0A7A3773358309" hidden="1">#REF!</definedName>
    <definedName name="BO7FF6123649B54CC99DBB8C4340F7E52D" hidden="1">#REF!</definedName>
    <definedName name="BO7FF70DC985EE469DA155158290B52E7B" hidden="1">#REF!</definedName>
    <definedName name="BO800A09D301A440549595D4C8FF33917D" hidden="1">#REF!</definedName>
    <definedName name="BO800B7534EEE34EE797C5A327810DFA0D" hidden="1">#REF!</definedName>
    <definedName name="BO800CE26C6F6148C7868B2EDFD55CFD03" hidden="1">#REF!</definedName>
    <definedName name="BO8019FD79340E420F891E5E9F54890E0F" hidden="1">#REF!</definedName>
    <definedName name="BO801B7F3D7C754280A34CAED14052D2D1" hidden="1">#REF!</definedName>
    <definedName name="BO802AE3305C8646BDA9CCA0EA351F614B" hidden="1">#REF!</definedName>
    <definedName name="BO802D1B78674E45D3941E423FF070B178" hidden="1">#REF!</definedName>
    <definedName name="BO80422761AA7F47A289284A18F682A56A" hidden="1">#REF!</definedName>
    <definedName name="BO8047A6F0E2D24213BA6F612AC07A2EAF" hidden="1">#REF!</definedName>
    <definedName name="BO80503F7AC1DF4BD7BFDB94D8DE092C57" hidden="1">#REF!</definedName>
    <definedName name="BO80529F7C0384494C9A3A23179DAE2D34" hidden="1">#REF!</definedName>
    <definedName name="BO80550B84BD8240B9A7A0A4139B542075" hidden="1">#REF!</definedName>
    <definedName name="BO805664ADBBDF4152B0C99976A327DB82" hidden="1">#REF!</definedName>
    <definedName name="BO806474ECAA7F4314BCDFB330EB83739B" hidden="1">#REF!</definedName>
    <definedName name="BO8072B734BE2C4A0AAE0C0FDD75C6C22D" hidden="1">#REF!</definedName>
    <definedName name="BO80760A6D398D416DA994548E19D5886A" hidden="1">#REF!</definedName>
    <definedName name="BO80762663F07B477DAB1127FF99B8A940" hidden="1">#REF!</definedName>
    <definedName name="BO8080DC36AB9342349BFC5E30534CA8CC" hidden="1">#REF!</definedName>
    <definedName name="BO809547408F02406C9B63517D23D1DA23" hidden="1">#REF!</definedName>
    <definedName name="BO8096AC4F860F4EEE891A494003A1BCDE" hidden="1">#REF!</definedName>
    <definedName name="BO8099B36935064C9D8A09485F96A1DB25" hidden="1">#REF!</definedName>
    <definedName name="BO809E9CEC71614E0493220852036287E7" hidden="1">#REF!</definedName>
    <definedName name="BO80B13A437D0D4CA49AE9922819B2701C" hidden="1">#REF!</definedName>
    <definedName name="BO80B2C75A09E741BCAFDD6C4E40C06331" hidden="1">#REF!</definedName>
    <definedName name="BO80C301B16805477491C3BD7A025C4974" hidden="1">#REF!</definedName>
    <definedName name="BO80CEB18E4FCC4842A2D07136CE197F80" hidden="1">#REF!</definedName>
    <definedName name="BO80D07B22178C4E5193E6FAF377369AB3" hidden="1">#REF!</definedName>
    <definedName name="BO80EC7D5055AD409B8A9D3714CD0C7A78" hidden="1">#REF!</definedName>
    <definedName name="BO80F909668F804DF5AF956C8FE5BCBEE8" hidden="1">#REF!</definedName>
    <definedName name="BO81059317746D4CC3A902AFB204121620" hidden="1">#REF!</definedName>
    <definedName name="BO8111DCABAC874FE6A1130A8BC0271FF8" hidden="1">#REF!</definedName>
    <definedName name="BO8128EA5B75304CEF9C22EABD84B88D77" hidden="1">#REF!</definedName>
    <definedName name="BO81308487B3D0458585AD7F9CE39ABCCC" hidden="1">#REF!</definedName>
    <definedName name="BO813EF2DC913E47E3A751AC006FD1DCD9" hidden="1">#REF!</definedName>
    <definedName name="BO814383B7B6F2427DAAE80F71B58F6CB2" hidden="1">#REF!</definedName>
    <definedName name="BO814B801A27A14D54BD0E5D95B936D804" hidden="1">#REF!</definedName>
    <definedName name="BO815DFD6AC1744EA09C7DB2528EFBB920" hidden="1">#REF!</definedName>
    <definedName name="BO8166070D955249F1A9052FADB9742377" hidden="1">#REF!</definedName>
    <definedName name="BO816CC9CB06DE456DA3E4B6205D03859B" hidden="1">#REF!</definedName>
    <definedName name="BO817FBEEFC387441ABA78479C11623704" hidden="1">#REF!</definedName>
    <definedName name="BO8180E03F4F5A466090A2CE7C9CCDD98F" hidden="1">#REF!</definedName>
    <definedName name="BO81906468E6D144FF9A06D14823A51011" hidden="1">#REF!</definedName>
    <definedName name="BO81AA4C362003478E9F7705C8446150F4" hidden="1">#REF!</definedName>
    <definedName name="BO81AB7556DFA140C58CE37EDB14856910" hidden="1">#REF!</definedName>
    <definedName name="BO81B46C5E2C6645968E35CE37573209FB" hidden="1">#REF!</definedName>
    <definedName name="BO81B6FDA1FC914B778ED4C2683E8FD37D" hidden="1">#REF!</definedName>
    <definedName name="BO81B8D985F05E42FD95AFF3F07E76A5DC" hidden="1">#REF!</definedName>
    <definedName name="BO81BDDF601BDB43A4BB1D8E2870A91FEF" hidden="1">#REF!</definedName>
    <definedName name="BO81BE8463E6FE4E7CB332DAB4BE11D5FD" hidden="1">#REF!</definedName>
    <definedName name="BO81D732ABCB354B32A0849315E111796D" hidden="1">#REF!</definedName>
    <definedName name="BO81DCFDE034A443D29C04DE89D704CB2C" hidden="1">#REF!</definedName>
    <definedName name="BO81EA2284741D454BB2E7425CCA589489" hidden="1">#REF!</definedName>
    <definedName name="BO8205CA298E8E4A5FA4E6F3A3BCEA6A03" hidden="1">#REF!</definedName>
    <definedName name="BO8229620FCBFD48248A0BEEC0C6281399" hidden="1">#REF!</definedName>
    <definedName name="BO823DA6C58EE7498AA9DA0FA981ED4C24" hidden="1">#REF!</definedName>
    <definedName name="BO824164A0975C456E86156C238846EC22" hidden="1">#REF!</definedName>
    <definedName name="BO8243B8560ECB48D780D3719276572017" hidden="1">#REF!</definedName>
    <definedName name="BO82466D086F2447FEBDDF62CA6F4A0B2B" hidden="1">#REF!</definedName>
    <definedName name="BO824D3B18F386419EB4D391AD6C131CC8" hidden="1">#REF!</definedName>
    <definedName name="BO8258B25B196F4859A65CBC6A70F686AE" hidden="1">#REF!</definedName>
    <definedName name="BO8259C2D598414BDDBA3FA8A7BC3E5271" hidden="1">#REF!</definedName>
    <definedName name="BO825C43DF7D18400DA9D02FB06F18FAE9" hidden="1">#REF!</definedName>
    <definedName name="BO825E9CDBD4264208A33730FB0AE89B26" hidden="1">#REF!</definedName>
    <definedName name="BO82628AB54DA448EC8987222FF24CA4FB" hidden="1">#REF!</definedName>
    <definedName name="BO826F62F7F1E945EAB4E7B1A78A95CF42" hidden="1">#REF!</definedName>
    <definedName name="BO8273BD52621E40339620505F3BCFB663" hidden="1">#REF!</definedName>
    <definedName name="BO827A4C513484414989E27EA7A0647AC1" hidden="1">#REF!</definedName>
    <definedName name="BO829FF5796FE349A28EF11C200CD70141" hidden="1">#REF!</definedName>
    <definedName name="BO82A2FEBA9F2C4FF4863D779E46C678B0" hidden="1">#REF!</definedName>
    <definedName name="BO82ACC9E16F8847CB8C20FC4DE59547D9" hidden="1">#REF!</definedName>
    <definedName name="BO82B15F3AB8664758B5A916C50B920CEC" hidden="1">#REF!</definedName>
    <definedName name="BO82B1C748043041C482970F39D4921BE3" hidden="1">#REF!</definedName>
    <definedName name="BO82C86C51912E40E790BA73E3A10603A2" hidden="1">#REF!</definedName>
    <definedName name="BO82CA5F3BA1A04E0CAE4CBDE46D9A5543" hidden="1">#REF!</definedName>
    <definedName name="BO82CCDB851D7D4B55BF2F4C2F5FF0AE29" hidden="1">#REF!</definedName>
    <definedName name="BO82D767638CE34026AB1A8576C4DD15B7" hidden="1">#REF!</definedName>
    <definedName name="BO82E017A982C04B6C89A8BC05C2BB855F" hidden="1">#REF!</definedName>
    <definedName name="BO82E0357DBC284C8EB650B1FE684EF0FB" hidden="1">#REF!</definedName>
    <definedName name="BO82E544CF75364876A3BCB31D582F75C7" hidden="1">#REF!</definedName>
    <definedName name="BO8303BC72EFA94336826EACCAA2B6486B" hidden="1">#REF!</definedName>
    <definedName name="BO83075789E7E24B2FADBB2F2223DE6D3D" hidden="1">#REF!</definedName>
    <definedName name="BO8309EA28F031463DAEB2091B9DC518B5" hidden="1">#REF!</definedName>
    <definedName name="BO8314B223703444A2B174055D67C02B1A" hidden="1">#REF!</definedName>
    <definedName name="BO831D3293BA08428CB48AB0B8BA8698FD" hidden="1">#REF!</definedName>
    <definedName name="BO833C31C5DF9548C4ABF430F76673D248" hidden="1">#REF!</definedName>
    <definedName name="BO833E1C0DA7FC4D7C9973F28C04F75F17" hidden="1">#REF!</definedName>
    <definedName name="BO833E6ECF026448938B3E3E582E1F10FD" hidden="1">#REF!</definedName>
    <definedName name="BO83418A6E86CB45908ABC21A13CFC1912" hidden="1">#REF!</definedName>
    <definedName name="BO834939C60C0B4BCDB2E678EEEA19F5FD" hidden="1">#REF!</definedName>
    <definedName name="BO834C6F0D70F149F9AB1230B92708484E" hidden="1">#REF!</definedName>
    <definedName name="BO835E0EFBE3684399AEBB7FB711DAB2EC" hidden="1">#REF!</definedName>
    <definedName name="BO8360157308BF44C98E8977C7EFE559CE" hidden="1">#REF!</definedName>
    <definedName name="BO8360EE213C894E2796C33A440C86DB67" hidden="1">#REF!</definedName>
    <definedName name="BO83641495D16B4B03B37B4AF8B3040CD3" hidden="1">#REF!</definedName>
    <definedName name="BO8367E0BD9654435BAEFA81878AF9C453" hidden="1">#REF!</definedName>
    <definedName name="BO836C811970A64FFE89E70CDB1778316E" hidden="1">#REF!</definedName>
    <definedName name="BO83749B0A5B72474681991580F554746B" hidden="1">#REF!</definedName>
    <definedName name="BO837B2FFE7EEF490EA0BB26DE82E5A190" hidden="1">#REF!</definedName>
    <definedName name="BO8382B4057A314EC39312881213DE4B95" hidden="1">#REF!</definedName>
    <definedName name="BO8382D710580A4B6382C7637B3257CC60" hidden="1">#REF!</definedName>
    <definedName name="BO83A1D560F37040199D2630F5B2C4ADB7" hidden="1">#REF!</definedName>
    <definedName name="BO83B1477189CF49F081140D8E4F89C050" hidden="1">#REF!</definedName>
    <definedName name="BO83BDADBB4E434456B0834FF2323C7B07" hidden="1">#REF!</definedName>
    <definedName name="BO83BDC5D2DA494922845D97F09FA3E54C" hidden="1">#REF!</definedName>
    <definedName name="BO83C6F0701730427BA198DEA293BD8C93" hidden="1">#REF!</definedName>
    <definedName name="BO83FF359424C9403E8E61D1D09C651A0D" hidden="1">#REF!</definedName>
    <definedName name="BO8401AF040DA640D894332BB8D68BC41C" hidden="1">#REF!</definedName>
    <definedName name="BO8407DDCA8F1A45A29405F84202980BF1" hidden="1">#REF!</definedName>
    <definedName name="BO8411B45E9CBC40289366D254C2C5CF64" hidden="1">#REF!</definedName>
    <definedName name="BO84168C921D2F49B784D7CE255AD8BA51" hidden="1">#REF!</definedName>
    <definedName name="BO842BD45FB959417D8C98502B684BC46F" hidden="1">#REF!</definedName>
    <definedName name="BO843FDA3F55D04580B8680CE7C6634E46" hidden="1">#REF!</definedName>
    <definedName name="BO8448FFAD7A2944FA9AFC4BAB89573920" hidden="1">#REF!</definedName>
    <definedName name="BO84493B5EBD574947A8D2A26FC9457CA0" hidden="1">#REF!</definedName>
    <definedName name="BO84576F5BA68C4BD7A0549C690595D58F" hidden="1">#REF!</definedName>
    <definedName name="BO84609C06B0354D3D988D83A06179DE73" hidden="1">#REF!</definedName>
    <definedName name="BO84656B713844429CBF9A55E141022A15" hidden="1">#REF!</definedName>
    <definedName name="BO8468D25AAB1E40039EE8475BFB61FC90" hidden="1">#REF!</definedName>
    <definedName name="BO846E62C5A5104FFFB86D126DA5F0BB79" hidden="1">#REF!</definedName>
    <definedName name="BO848756B08B894766A1C491E49EC58B52" hidden="1">#REF!</definedName>
    <definedName name="BO849458F9AD6B48C099AC42081D89354E" hidden="1">#REF!</definedName>
    <definedName name="BO84B2B9ADFE68404ABF9568E355B63754" hidden="1">#REF!</definedName>
    <definedName name="BO84C66187591347D7BEFA5F1E4450858D" hidden="1">#REF!</definedName>
    <definedName name="BO84CDBD1089AE444B9083AF4075172D02" hidden="1">#REF!</definedName>
    <definedName name="BO84CDE81D0CBD4006AAF00CD1FA153B13" hidden="1">#REF!</definedName>
    <definedName name="BO84CE4C5847D64B31ABB03BBEDE80E97B" hidden="1">#REF!</definedName>
    <definedName name="BO84D02EFACE5846BDB5E96DEAE6A3CEAB" hidden="1">#REF!</definedName>
    <definedName name="BO84D497562ED34C38B636850550590EA9" hidden="1">#REF!</definedName>
    <definedName name="BO84D65CE5A240475CB72680CAF8BA2F5D" hidden="1">#REF!</definedName>
    <definedName name="BO84D9B6A17BBB487FA02F521E414A24E0" hidden="1">#REF!</definedName>
    <definedName name="BO84E9EA075F7545E690D279FC34BC2712" hidden="1">#REF!</definedName>
    <definedName name="BO84F0CE29408145A790C4F2555A9D6777" hidden="1">#REF!</definedName>
    <definedName name="BO84F8DFCFD0F544E0815C05FE4381F517" hidden="1">#REF!</definedName>
    <definedName name="BO84F9E34D91984C249BE367CC72531534" hidden="1">#REF!</definedName>
    <definedName name="BO850B8686778441899E257F515AB60DD4" hidden="1">#REF!</definedName>
    <definedName name="BO8519086E53D14512A45F6AFE5292AB4B" hidden="1">#REF!</definedName>
    <definedName name="BO851E3C134702456D8F335B5AFC1EB76C" hidden="1">#REF!</definedName>
    <definedName name="BO8529BBB7A76248EE8B59741337979E49" hidden="1">#REF!</definedName>
    <definedName name="BO852A7851941549BB9ABA6668CDF7D66F" hidden="1">#REF!</definedName>
    <definedName name="BO8530DC91975E413EA811466A5FEAB124" hidden="1">#REF!</definedName>
    <definedName name="BO85398C77C7B64B12B4DC489348C5CFC7" hidden="1">#REF!</definedName>
    <definedName name="BO8556FE8CF0764AF4BD814452E5A9BAFA" hidden="1">#REF!</definedName>
    <definedName name="BO855C38E109914243B0E338F777CBD0C4" hidden="1">#REF!</definedName>
    <definedName name="BO857C75FDD5394D6E88A8E0666D28866E" hidden="1">#REF!</definedName>
    <definedName name="BO857E7743B29146A28C15FC97F61E0CED" hidden="1">#REF!</definedName>
    <definedName name="BO8588F13A0FFF43F0BF3B895F0F81D6EB" hidden="1">#REF!</definedName>
    <definedName name="BO859D181785774A77BB44535E149E857B" hidden="1">#REF!</definedName>
    <definedName name="BO85A2714057F9476D92F63DA8548DB226" hidden="1">#REF!</definedName>
    <definedName name="BO85A61EE7C101489B9542F0E114AD1A9F" hidden="1">#REF!</definedName>
    <definedName name="BO85BDA135D5FC473DB2BAD8F11B4E7FD6" hidden="1">#REF!</definedName>
    <definedName name="BO85CAF4AA7A274071ABE9C69B57369202" hidden="1">#REF!</definedName>
    <definedName name="BO85CF485A02274C4C8A929BE96BA6AE02" hidden="1">#REF!</definedName>
    <definedName name="BO85D00DEC7F9C4BE2AFD21BD14A3A64E5" hidden="1">#REF!</definedName>
    <definedName name="BO85D2D9901A1B48DFBEF059803F5BEF7C" hidden="1">#REF!</definedName>
    <definedName name="BO85DDA43F78AC4B2F97832E771307C24E" hidden="1">#REF!</definedName>
    <definedName name="BO85E4CEECB0C04BAB8A418B53433E100F" hidden="1">#REF!</definedName>
    <definedName name="BO85E503B7518D493389F5C83991485A15" hidden="1">#REF!</definedName>
    <definedName name="BO85EFFD7E7CB244F48DEB308B5B3017A1" hidden="1">#REF!</definedName>
    <definedName name="BO85F1580FCB7E4E26BFC0FCBC7B1C0EA7" hidden="1">#REF!</definedName>
    <definedName name="BO85F1C4789DFA4422A810484C9235C410" hidden="1">#REF!</definedName>
    <definedName name="BO85F68DA7BE2A4D6FBAAB2F95D2779E87" hidden="1">#REF!</definedName>
    <definedName name="BO85F6CF90BFD4498383083021521ED909" hidden="1">#REF!</definedName>
    <definedName name="BO85F96C64891745E5BA390F742931EA40" hidden="1">#REF!</definedName>
    <definedName name="BO860546A2C159451BB0C4F5FB19BAC626" hidden="1">#REF!</definedName>
    <definedName name="BO860665E6076B404C86135C28A10C9F77" hidden="1">#REF!</definedName>
    <definedName name="BO862A8399A4F74F9FBB00702D419CC56F" hidden="1">#REF!</definedName>
    <definedName name="BO863B848402534A07AE95A1A9D8A07D57" hidden="1">#REF!</definedName>
    <definedName name="BO863CB4C4ADDC4AF9A0C1595E078390C7" hidden="1">#REF!</definedName>
    <definedName name="BO863D9886414C4DE5A4A1FD16304268FD" hidden="1">#REF!</definedName>
    <definedName name="BO8640693DA3C3475583E9CC49D2AD463A" hidden="1">#REF!</definedName>
    <definedName name="BO8646526FC4BC47799C8B330D607AD438" hidden="1">#REF!</definedName>
    <definedName name="BO86496FA3785E46468D6AAFCE25E80B4C" hidden="1">#REF!</definedName>
    <definedName name="BO86527C108632416988A028F41DD45DC2" hidden="1">#REF!</definedName>
    <definedName name="BO865610E196C946E3A5CF2EAFC6705A82" hidden="1">#REF!</definedName>
    <definedName name="BO865DC3874A2D4174A494E31017C8A63D" hidden="1">#REF!</definedName>
    <definedName name="BO86611A7BE67248D39E077DF336882C20" hidden="1">#REF!</definedName>
    <definedName name="BO8674B74230724B93B4A52D7B882F98D6" hidden="1">#REF!</definedName>
    <definedName name="BO8679994389AE4C1D87B6D690EFC5F1CE" hidden="1">#REF!</definedName>
    <definedName name="BO867E59F749474704AE33FD5D15FF2928" hidden="1">#REF!</definedName>
    <definedName name="BO86827228EAA045B2B59C5CCF1F289DDD" hidden="1">#REF!</definedName>
    <definedName name="BO8682D4AC0CD54CFABA726AF82371FC23" hidden="1">#REF!</definedName>
    <definedName name="BO8688708ACA7C4AE3A5B1E4CEDA1C3B7F" hidden="1">#REF!</definedName>
    <definedName name="BO8692BA830CCE418AB7B90906993939BD" hidden="1">#REF!</definedName>
    <definedName name="BO8696A6464E6844FFBCDB126211214568" hidden="1">#REF!</definedName>
    <definedName name="BO869D7D008FF648D4B74F348BDD818273" hidden="1">#REF!</definedName>
    <definedName name="BO86A0101E6F23462AAEE366686A2D5E80" hidden="1">#REF!</definedName>
    <definedName name="BO86C3E36F9C3C40A19A9C03841E7E480A" hidden="1">#REF!</definedName>
    <definedName name="BO86C4F3729FE246EAAD9D35D8CA71E0D1" hidden="1">#REF!</definedName>
    <definedName name="BO86C75034038A4B7DB3573000AA0A19C6" hidden="1">#REF!</definedName>
    <definedName name="BO86CA1A75C42E49D892CC3871C9B71377" hidden="1">#REF!</definedName>
    <definedName name="BO86CEFB1E178947B3A75142464350255D" hidden="1">#REF!</definedName>
    <definedName name="BO86D551092DFE413491241B38681E9DD6" hidden="1">#REF!</definedName>
    <definedName name="BO86E1BBC0CAD34914B1795D780B79D0B6" hidden="1">#REF!</definedName>
    <definedName name="BO86E983A4C04C437DA9444AD966F06BDB" hidden="1">#REF!</definedName>
    <definedName name="BO86EDD1A5583249E6B5EE1B3FF0330E1D" hidden="1">#REF!</definedName>
    <definedName name="BO86F12413B3C941BC878E2184372C74EC" hidden="1">#REF!</definedName>
    <definedName name="BO86F29F84A72741B79A513D0A75940937" hidden="1">#REF!</definedName>
    <definedName name="BO87028EF94AF64D89A7782D2ADBEADD55" hidden="1">#REF!</definedName>
    <definedName name="BO8703D5F4B10949599B7C187ECA4C92DC" hidden="1">#REF!</definedName>
    <definedName name="BO870532AC63AE417EA3C02D900B1258BD" hidden="1">#REF!</definedName>
    <definedName name="BO870882E32D174B619BDD6F83B61515BD" hidden="1">#REF!</definedName>
    <definedName name="BO870EA69B45A84FD6B908CF13F7ABACF6" hidden="1">#REF!</definedName>
    <definedName name="BO87155FD4F76A4C6780DBA3D90F58879D" hidden="1">#REF!</definedName>
    <definedName name="BO871F43846AD649868546FAB828AF10CD" hidden="1">#REF!</definedName>
    <definedName name="BO87253F04496A479BBCC19AE138FB1BBB" hidden="1">#REF!</definedName>
    <definedName name="BO8725BD4349584860A534A5F2B0DB97C5" hidden="1">#REF!</definedName>
    <definedName name="BO87536C126714422E91083B83AEB59137" hidden="1">#REF!</definedName>
    <definedName name="BO87579323E28046D2BD6D1B313E28DAFC" hidden="1">#REF!</definedName>
    <definedName name="BO87592E5F03B6457EBC3705956DE01027" hidden="1">#REF!</definedName>
    <definedName name="BO875A1BB533DB4E4988BD3C3D6EA2D63A" hidden="1">#REF!</definedName>
    <definedName name="BO875CFC0B91F34E0AB2E4391C131060C5" hidden="1">#REF!</definedName>
    <definedName name="BO87676BD4DEDE4C30A86B6C11CE0500C5" hidden="1">#REF!</definedName>
    <definedName name="BO8770E06342C34557897FF827CC7E7360" hidden="1">#REF!</definedName>
    <definedName name="BO8776AB8ED4CF4C98BFF19AD981DCB416" hidden="1">#REF!</definedName>
    <definedName name="BO87775B070257415192A819C60FDB293C" hidden="1">#REF!</definedName>
    <definedName name="BO8780DDF0121F42DCBBB523FB41D6571B" hidden="1">#REF!</definedName>
    <definedName name="BO878376AFED3E4BC1BCC5A12E1D115F9A" hidden="1">#REF!</definedName>
    <definedName name="BO878B1D18188C4433B6D14FB3738722F7" hidden="1">#REF!</definedName>
    <definedName name="BO87965D9CD81344A3BB11405770BB112C" hidden="1">#REF!</definedName>
    <definedName name="BO87A044B2DE8F49CA9087E2CB671488CC" hidden="1">#REF!</definedName>
    <definedName name="BO87A18D1D5D404B568C1E512B612A4EC4" hidden="1">#REF!</definedName>
    <definedName name="BO87A21A239B53451B87CCE904A3868CF3" hidden="1">#REF!</definedName>
    <definedName name="BO87A2B11673754BC0BA61C74C773E8A26" hidden="1">#REF!</definedName>
    <definedName name="BO87DBEA4E2C7C4583995CFA63B7C7B691" hidden="1">#REF!</definedName>
    <definedName name="BO87E97FE96FE043E092810BABABF42465" hidden="1">#REF!</definedName>
    <definedName name="BO87F1BC0A692C4D9994A22209241A9647" hidden="1">#REF!</definedName>
    <definedName name="BO87FCA42BA6C940B5BAF6CC43CDC29895" hidden="1">#REF!</definedName>
    <definedName name="BO8800987D6586410AA81CA3FC8A6A9AF3" hidden="1">#REF!</definedName>
    <definedName name="BO8801003E693E40E09321EA4037AB42E6" hidden="1">#REF!</definedName>
    <definedName name="BO8808605D44C8418A8DCA57160277110E" hidden="1">#REF!</definedName>
    <definedName name="BO880BFFEF36BC4E4D91F79A4E7C314444" hidden="1">#REF!</definedName>
    <definedName name="BO882119206C944253B2937717BD117C9E" hidden="1">#REF!</definedName>
    <definedName name="BO8826DC04BB754A729D004ABF1C63D341" hidden="1">#REF!</definedName>
    <definedName name="BO883058D36650450FA6DE1F148B6887C9" hidden="1">#REF!</definedName>
    <definedName name="BO884572CFE169463699F25BA0BD573ABD" hidden="1">#REF!</definedName>
    <definedName name="BO8847357BBA6748FDAF321050C99CAA1D" hidden="1">#REF!</definedName>
    <definedName name="BO884D6F7F420E496EBFC8B25BBF8DC0F2" hidden="1">#REF!</definedName>
    <definedName name="BO88509AA0D27C4D848DDA413E6893D6C5" hidden="1">#REF!</definedName>
    <definedName name="BO8859A802BF3545DC8C4B04BDF795FA74" hidden="1">#REF!</definedName>
    <definedName name="BO885A0A1EE33B4FD89C7BF215C3E9E0F5" hidden="1">#REF!</definedName>
    <definedName name="BO886C7B67B03F4D8E8338E9A36D511EC5" hidden="1">#REF!</definedName>
    <definedName name="BO88722D4B3C2B4E71B87B5FC97BAD86F6" hidden="1">#REF!</definedName>
    <definedName name="BO8872997D0AB44719B26A538794A78351" hidden="1">#REF!</definedName>
    <definedName name="BO8873CD5FBDD84994889F8FE6EE3971D2" hidden="1">#REF!</definedName>
    <definedName name="BO8876D118E9C34611BB32ED72E2BB86F5" hidden="1">#REF!</definedName>
    <definedName name="BO88911035756141A2BC192B3378C3B2C5" hidden="1">#REF!</definedName>
    <definedName name="BO88A374BAF9EB4C84AFAE91C8E72F929B" hidden="1">#REF!</definedName>
    <definedName name="BO88A46B11A1E84259A75305C4D4E559F2" hidden="1">#REF!</definedName>
    <definedName name="BO88A60130850C4F70990C521F4D3493A8" hidden="1">#REF!</definedName>
    <definedName name="BO88A993C7520649A18753F6A46A4745A8" hidden="1">#REF!</definedName>
    <definedName name="BO88AAD9B6AA994416B6148978384F1ACE" hidden="1">#REF!</definedName>
    <definedName name="BO88C1F8EC59644F7FA98250DCBC272C92" hidden="1">#REF!</definedName>
    <definedName name="BO88C6A90F1D804B9CA35E26DDEBF78C6A" hidden="1">#REF!</definedName>
    <definedName name="BO88C7EF9DC7AE448B99AD583248F47FEA" hidden="1">#REF!</definedName>
    <definedName name="BO88D728E084F146D49A7B35F846356BA2" hidden="1">#REF!</definedName>
    <definedName name="BO88DCCCC69CE249128CE0E4A720CF5F6A" hidden="1">#REF!</definedName>
    <definedName name="BO88E1B544F284440E8F3613691DC081C0" hidden="1">#REF!</definedName>
    <definedName name="BO88EC0C4B1BFA4300ADF9E72A481B6577" hidden="1">#REF!</definedName>
    <definedName name="BO88ED8F42819B4ECBBA101C04D51E3037" hidden="1">#REF!</definedName>
    <definedName name="BO88EF5EB98DE14FEC987BC48EDE77DD41" hidden="1">#REF!</definedName>
    <definedName name="BO88F309142D0F471581C015E02F3B89FE" hidden="1">#REF!</definedName>
    <definedName name="BO890B640EA94D4BBFA9909D7EADCE8355" hidden="1">#REF!</definedName>
    <definedName name="BO891E5CBF38B24E19B3410500BAD6FC50" hidden="1">#REF!</definedName>
    <definedName name="BO892C5932395541DEBC501B671D11703E" hidden="1">#REF!</definedName>
    <definedName name="BO893ED20370904C01BB4D3589957B5370" hidden="1">#REF!</definedName>
    <definedName name="BO894D9E2D3AC3451596E63BC28422A580" hidden="1">#REF!</definedName>
    <definedName name="BO8958ACD405C24538BFB8B28A880CF6CE" hidden="1">#REF!</definedName>
    <definedName name="BO896204E674144E0C8320E1923BDC9423" hidden="1">#REF!</definedName>
    <definedName name="BO8975CCBB427A48CF935C27880B6321CD" hidden="1">#REF!</definedName>
    <definedName name="BO8981353D169B47349271B35E475051D8" hidden="1">#REF!</definedName>
    <definedName name="BO8986CB2F141E4C809FA2189AAC46EE0D" hidden="1">#REF!</definedName>
    <definedName name="BO89888BD3829A49E19FC7ACE273AD90D5" hidden="1">#REF!</definedName>
    <definedName name="BO898AA1E9590C41EFB39DCC46CF7428C1" hidden="1">#REF!</definedName>
    <definedName name="BO89A055AD9C4D48368E989FE2B85CF3D0" hidden="1">#REF!</definedName>
    <definedName name="BO89A76BBD0FA14497B3B11484827465B1" hidden="1">#REF!</definedName>
    <definedName name="BO89ACEF28E40F48D885EA832E6E75C12E" hidden="1">#REF!</definedName>
    <definedName name="BO89B042BDB61A451F9433EFC8DA00ABE9" hidden="1">#REF!</definedName>
    <definedName name="BO89B090565D184426BDECA16892AB383E" hidden="1">#REF!</definedName>
    <definedName name="BO89B3D98A46ED48D5AE4A52E2BFA1B918" hidden="1">#REF!</definedName>
    <definedName name="BO89BC0F64BD3E47598E5C601B539EC206" hidden="1">#REF!</definedName>
    <definedName name="BO89BFDB8416CC4D7D93B7281101FC4595" hidden="1">#REF!</definedName>
    <definedName name="BO89C3EC6C57304589BB730FEA3E2D84F0" hidden="1">#REF!</definedName>
    <definedName name="BO89C7EDA0B0B14CF6974FB9FC281EA059" hidden="1">#REF!</definedName>
    <definedName name="BO89C8790957484929A4C63741250043C1" hidden="1">#REF!</definedName>
    <definedName name="BO89D1B16DAA0245A1981573F8C4C2F4B8" hidden="1">#REF!</definedName>
    <definedName name="BO89D34BDDAF774820AAC07FB180A28AE5" hidden="1">#REF!</definedName>
    <definedName name="BO89DFC416C477402EA7BB3734B8EA4FA1" hidden="1">#REF!</definedName>
    <definedName name="BO89E7C35BBADF42AFAEB61EDCF0F8E681" hidden="1">#REF!</definedName>
    <definedName name="BO89EB01E9BF864092909E7887DD3B64A9" hidden="1">#REF!</definedName>
    <definedName name="BO89F0DA72999B4ABD9366CC4EDB088BE4" hidden="1">#REF!</definedName>
    <definedName name="BO89F3C7F8EC4A4F56A164F32C53224D00" hidden="1">#REF!</definedName>
    <definedName name="BO8A01C088A2F5484DBC26AFDF446CFE30" hidden="1">#REF!</definedName>
    <definedName name="BO8A1D5A2389324592978EF9D0979A0CC2" hidden="1">#REF!</definedName>
    <definedName name="BO8A3AC566A3F544F293B32F6BACAE9AB1" hidden="1">#REF!</definedName>
    <definedName name="BO8A3FB3D65CCD4812A68F8613C21A4FC7" hidden="1">#REF!</definedName>
    <definedName name="BO8A4022C4440546179958AC0CAF01B668" hidden="1">#REF!</definedName>
    <definedName name="BO8A4C4FDF377745D6AFB76F00FEDCA85B" hidden="1">#REF!</definedName>
    <definedName name="BO8A4C768D6D1D4075A49419FFE82C39B7" hidden="1">#REF!</definedName>
    <definedName name="BO8A575DC00C4642F68ECCCB8399850CE6" hidden="1">#REF!</definedName>
    <definedName name="BO8A5E39F9AC364CD79E454BC60B8AE977" hidden="1">#REF!</definedName>
    <definedName name="BO8A7B4B7615BF4E439C7926402741833A" hidden="1">#REF!</definedName>
    <definedName name="BO8A8C8FAD37A84FF9994E5172CBD069F7" hidden="1">#REF!</definedName>
    <definedName name="BO8A938C3879FE423DA1DEB4AF4CBC5789" hidden="1">#REF!</definedName>
    <definedName name="BO8A9BCDD66768409594081C9CA468513E" hidden="1">#REF!</definedName>
    <definedName name="BO8A9F3F4DF7514D2385E8E4836E253D15" hidden="1">#REF!</definedName>
    <definedName name="BO8AACEBD3600E4286BB00961E6DC6CAAD" hidden="1">#REF!</definedName>
    <definedName name="BO8AB8A7257427484FBE9C8E250BBABC80" hidden="1">#REF!</definedName>
    <definedName name="BO8AC484EAE10B4AFD90F781EC0EDC41F1" hidden="1">#REF!</definedName>
    <definedName name="BO8AC93F4E51E444DF9DEE01EE732AB5FA" hidden="1">#REF!</definedName>
    <definedName name="BO8ACD1097C32E4450812E89C9CC04A3D9" hidden="1">#REF!</definedName>
    <definedName name="BO8AD6B32FFF254B33A9D7321A4C8F57CC" hidden="1">#REF!</definedName>
    <definedName name="BO8AD82F53DC3D47CD9620042822D0317A" hidden="1">#REF!</definedName>
    <definedName name="BO8B03426698684220AA3526EA1F8EBF1F" hidden="1">#REF!</definedName>
    <definedName name="BO8B049C94B98F4EC68DEEFF276513D38A" hidden="1">#REF!</definedName>
    <definedName name="BO8B0520B88AFC4BC688C9657D65604921" hidden="1">#REF!</definedName>
    <definedName name="BO8B076EA9394C44648BB9E477A2415829" hidden="1">#REF!</definedName>
    <definedName name="BO8B0CE0EEEA854E21AB7FB7AECA13538B" hidden="1">#REF!</definedName>
    <definedName name="BO8B0EFDEBFB644042BB4A74423A3BE6AC" hidden="1">#REF!</definedName>
    <definedName name="BO8B10D7A4C492444E86103F8DCAE6C364" hidden="1">#REF!</definedName>
    <definedName name="BO8B18CFDE35C64B02AA0A9284872BF4E8" hidden="1">#REF!</definedName>
    <definedName name="BO8B1965E12FC4484984DBDAEB586282AD" hidden="1">#REF!</definedName>
    <definedName name="BO8B1DB09FD31C4311BB0582CA6B8A245A" hidden="1">#REF!</definedName>
    <definedName name="BO8B2D7FFBB607443C9C437B09E442A03E" hidden="1">#REF!</definedName>
    <definedName name="BO8B30B9BCFFA24EEFA921AD9CE5DD410F" hidden="1">#REF!</definedName>
    <definedName name="BO8B346347F5424B5594839234E8527BAF" hidden="1">#REF!</definedName>
    <definedName name="BO8B425F1F51E445EB873F4E4229D522E5" hidden="1">#REF!</definedName>
    <definedName name="BO8B50BF1EEC7744B98D7BE4ABCC1DFF4D" hidden="1">#REF!</definedName>
    <definedName name="BO8B52D5FB41254A4B83D45096AEB2CA6D" hidden="1">#REF!</definedName>
    <definedName name="BO8B5707BB1AF1460C9EF9E92C65EB2A8C" hidden="1">#REF!</definedName>
    <definedName name="BO8B58B1B5676E480AB5461C3893A7478C" hidden="1">#REF!</definedName>
    <definedName name="BO8B5A6864A94C411AB64D70F7E06E7B0D" hidden="1">#REF!</definedName>
    <definedName name="BO8B5CCAF47010417AA660F9D68409B198" hidden="1">#REF!</definedName>
    <definedName name="BO8B6C125CFFE1482A8FDBF1972BEEECFF" hidden="1">#REF!</definedName>
    <definedName name="BO8B706BA6E8C34BDC987762D961B82412" hidden="1">#REF!</definedName>
    <definedName name="BO8B75F15A72B14408A058E9E356DE56A1" hidden="1">#REF!</definedName>
    <definedName name="BO8B782FCD4A734A70ADA849811AD55DDC" hidden="1">#REF!</definedName>
    <definedName name="BO8B79C85B9C294514B37A5BB9BD67513C" hidden="1">#REF!</definedName>
    <definedName name="BO8B87E66DABA04D128A9B3B3A2FC0B341" hidden="1">#REF!</definedName>
    <definedName name="BO8B933FEDA86644969B04414203C8F660" hidden="1">#REF!</definedName>
    <definedName name="BO8BA23A9DB6164351BDC36ABC2DDA9DBA" hidden="1">#REF!</definedName>
    <definedName name="BO8BA9D112F03346628B7A0C66AEA9AE7F" hidden="1">#REF!</definedName>
    <definedName name="BO8BAD6E2D535D42A692895028E03FF566" hidden="1">#REF!</definedName>
    <definedName name="BO8BDA3EEC5C684EBA8A491E1C1D6044D7" hidden="1">#REF!</definedName>
    <definedName name="BO8BF6134BDFC4490F808BB9AE7387C757" hidden="1">#REF!</definedName>
    <definedName name="BO8C01DD0C000448B0A610B2339963B1A9" hidden="1">#REF!</definedName>
    <definedName name="BO8C02380892F84FCBAA64339100D42EBB" hidden="1">#REF!</definedName>
    <definedName name="BO8C1A7D0892104C0EB6DBF102E7432C80" hidden="1">#REF!</definedName>
    <definedName name="BO8C1D2DD562384D5BA54F3BAE82328B53" hidden="1">#REF!</definedName>
    <definedName name="BO8C2DE7DF43274E5D8CADC5EBC539579E" hidden="1">#REF!</definedName>
    <definedName name="BO8C32A9A3276D49D8A665C25E34E2F43B" hidden="1">#REF!</definedName>
    <definedName name="BO8C35A5EF568A44D8882EF4FD340CC18E" hidden="1">#REF!</definedName>
    <definedName name="BO8C36B5DB76E34B049B605989B396DC54" hidden="1">#REF!</definedName>
    <definedName name="BO8C3ECB9D66DC443B8903CF2A46B1BE7B" hidden="1">#REF!</definedName>
    <definedName name="BO8C457B1C1D36429296FE6549610F7811" hidden="1">#REF!</definedName>
    <definedName name="BO8C4F9E2742D7463FAC06B37EA6D7B5F4" hidden="1">#REF!</definedName>
    <definedName name="BO8C54D2691BEF4FFE8B50239593964343" hidden="1">#REF!</definedName>
    <definedName name="BO8C5B30C7952243DDB2C1FCD8EFF078CF" hidden="1">#REF!</definedName>
    <definedName name="BO8C6AA5388C54402D8BB949083BD82906" hidden="1">#REF!</definedName>
    <definedName name="BO8C8019B7488E466E8436411F5C32B853" hidden="1">#REF!</definedName>
    <definedName name="BO8C845F5076614E6C96FC8C51C99C075B" hidden="1">#REF!</definedName>
    <definedName name="BO8C8714C877E34D108626FB46707913DE" hidden="1">#REF!</definedName>
    <definedName name="BO8C87982F83724F7E8EBE5602644FC46E" hidden="1">#REF!</definedName>
    <definedName name="BO8C880C95DA9843F99FD04B8E68B4737F" hidden="1">#REF!</definedName>
    <definedName name="BO8C8AE990B3FF424587929CFD4D0EA317" hidden="1">#REF!</definedName>
    <definedName name="BO8C9552834FD3467599BF60C746C70E78" hidden="1">#REF!</definedName>
    <definedName name="BO8C987932062B45DF964556479C760EDA" hidden="1">#REF!</definedName>
    <definedName name="BO8CA20A0DFB2C401E896B2B39809DB447" hidden="1">#REF!</definedName>
    <definedName name="BO8CA3A956AC1C4E49AFC44FE64445BAB3" hidden="1">#REF!</definedName>
    <definedName name="BO8CA94A4D8C6B4495A30D6B542DE1FCAF" hidden="1">#REF!</definedName>
    <definedName name="BO8CAEE5FA6B2D4B6392B029E22997032F" hidden="1">#REF!</definedName>
    <definedName name="BO8CB1F2BDFE3A4400BF7BCD6D4ACB35ED" hidden="1">#REF!</definedName>
    <definedName name="BO8CB351BED0BC48DB87E60714B0F87B10" hidden="1">#REF!</definedName>
    <definedName name="BO8CD86369923940728C1C2BE79E65F821" hidden="1">#REF!</definedName>
    <definedName name="BO8CD90137A9AE413786FAE53E73F9E41A" hidden="1">#REF!</definedName>
    <definedName name="BO8CE988C33676417790CFB16378FA75C5" hidden="1">#REF!</definedName>
    <definedName name="BO8CEA0BE5F64E470E8F314D8854F5C2F6" hidden="1">#REF!</definedName>
    <definedName name="BO8CF83AF349DA409E9117395C19FF7BD2" hidden="1">#REF!</definedName>
    <definedName name="BO8D01168659584523859DCF14502605A4" hidden="1">#REF!</definedName>
    <definedName name="BO8D11E3A0C27E4ECABF2E3108ED4217A9" hidden="1">#REF!</definedName>
    <definedName name="BO8D280F52D9D44B3DBD753A5B43B64FBF" hidden="1">#REF!</definedName>
    <definedName name="BO8D3E756EB754440195E21EEC2B2F9CB7" hidden="1">#REF!</definedName>
    <definedName name="BO8D3FC16A893C4BDFAD57A4A4BC93F26B" hidden="1">#REF!</definedName>
    <definedName name="BO8D4564DA97DD4D1597A5C6B7C00ED65B" hidden="1">#REF!</definedName>
    <definedName name="BO8D4DC128A83B472AB101787214A73641" hidden="1">#REF!</definedName>
    <definedName name="BO8D51EF99D8354918B21C83A59CDE0A0A" hidden="1">#REF!</definedName>
    <definedName name="BO8D5245BE23FF43869A5D6657D9C57785" hidden="1">#REF!</definedName>
    <definedName name="BO8D52B9F40CE2455B8F1D8DCB744A6D8F" hidden="1">#REF!</definedName>
    <definedName name="BO8D56AE80332F4AF7925BF93215D038AD" hidden="1">#REF!</definedName>
    <definedName name="BO8D630EE4F9B44F1CA96C962084F33D84" hidden="1">#REF!</definedName>
    <definedName name="BO8D6B0B0877E147C6824C5E968C3A9C6E" hidden="1">#REF!</definedName>
    <definedName name="BO8D7613321E85487BBFF424CC6C0710EB" hidden="1">#REF!</definedName>
    <definedName name="BO8D76B0285C1E449B8EA95866DE7D6BB4" hidden="1">#REF!</definedName>
    <definedName name="BO8D77E396B99246ED96349D5E58D861E0" hidden="1">#REF!</definedName>
    <definedName name="BO8D7B6B703781460380DC96B5788166E7" hidden="1">#REF!</definedName>
    <definedName name="BO8D7F400B77EB476FA29CA0E3B699BEDA" hidden="1">#REF!</definedName>
    <definedName name="BO8D8438A6209A4F0BB7F1606E16D437FB" hidden="1">#REF!</definedName>
    <definedName name="BO8DA41B9BE40E4ACA91CD32A59F2E4664" hidden="1">#REF!</definedName>
    <definedName name="BO8DAC02376CDE46C4B47616698C1A6D1A" hidden="1">#REF!</definedName>
    <definedName name="BO8DAE1363AA2D4EDCA0B4FBAD257D97B5" hidden="1">#REF!</definedName>
    <definedName name="BO8DB51430F822439986F172A4710C20BB" hidden="1">#REF!</definedName>
    <definedName name="BO8DB8AD5D0FB5466E9FBDEC54EAD6C49E" hidden="1">#REF!</definedName>
    <definedName name="BO8DBFF6D837764E31B94B7BFF7E760B71" hidden="1">#REF!</definedName>
    <definedName name="BO8DC42D87F3C44F3F8B8D43A0D8A338F2" hidden="1">#REF!</definedName>
    <definedName name="BO8DD4B0241F8C4D71A037EAD0CB16A304" hidden="1">#REF!</definedName>
    <definedName name="BO8DD8DCBF5C8B4611BAFCA9BE58523F82" hidden="1">#REF!</definedName>
    <definedName name="BO8DF0A8C239AE469098B9D11F2DE39DA8" hidden="1">#REF!</definedName>
    <definedName name="BO8DF834253D06477683585F342B63D250" hidden="1">#REF!</definedName>
    <definedName name="BO8DF9D89D39E2464FBB7728842512836C" hidden="1">#REF!</definedName>
    <definedName name="BO8E0568BAD1F14A3F8606930E1A655074" hidden="1">#REF!</definedName>
    <definedName name="BO8E0F5B59425A44F88B5E099A5E7F82A0" hidden="1">#REF!</definedName>
    <definedName name="BO8E0FD6D2B976465299B5B63B66A81C4B" hidden="1">#REF!</definedName>
    <definedName name="BO8E12E21B4EFC4357A343A7DDFF2D51ED" hidden="1">#REF!</definedName>
    <definedName name="BO8E13CC4BE9DB421CAA7915A4C29B7962" hidden="1">#REF!</definedName>
    <definedName name="BO8E1713A751CE4A84BD91FF58A7D818F9" hidden="1">#REF!</definedName>
    <definedName name="BO8E17FCB2E3554EF69EC9B3B4B416256E" hidden="1">#REF!</definedName>
    <definedName name="BO8E28E8ED04A54E6BAA2B22EB4F92F50F" hidden="1">#REF!</definedName>
    <definedName name="BO8E2F0C38E78B465AA083A41EAFC4D94C" hidden="1">#REF!</definedName>
    <definedName name="BO8E32890AD432467F9E6957BD737C79F1" hidden="1">#REF!</definedName>
    <definedName name="BO8E35247CE2984C499FD4880D4FA43A2A" hidden="1">#REF!</definedName>
    <definedName name="BO8E3BD649152D40B6A305A8763B84B928" hidden="1">#REF!</definedName>
    <definedName name="BO8E59D6A290C045E6985C8F8D0BD89EC9" hidden="1">#REF!</definedName>
    <definedName name="BO8E77F59C5D3246CAB045EEFCDAFAD927" hidden="1">#REF!</definedName>
    <definedName name="BO8E9C4DE3A299409996005284DE337B83" hidden="1">#REF!</definedName>
    <definedName name="BO8EAC581D2199402283E5F9C1138BBBB2" hidden="1">#REF!</definedName>
    <definedName name="BO8EB66077D9A7421A8C417E7C147E690A" hidden="1">#REF!</definedName>
    <definedName name="BO8EB8870673D9456FB8887157D4D55A6F" hidden="1">#REF!</definedName>
    <definedName name="BO8EBABAC9AEB94128B3357CAF184B1F0F" hidden="1">#REF!</definedName>
    <definedName name="BO8EC9AEC409B0471ABF9F13991C7D9B86" hidden="1">#REF!</definedName>
    <definedName name="BO8EDB3995FDB5460B8E892380410AD715" hidden="1">#REF!</definedName>
    <definedName name="BO8EE3649FBBFA4226A38726AA60455E51" hidden="1">#REF!</definedName>
    <definedName name="BO8EE7C38D29384C419698A814A0F54842" hidden="1">#REF!</definedName>
    <definedName name="BO8EEE0A1A925140328266FEB4AF5372B5" hidden="1">#REF!</definedName>
    <definedName name="BO8F0B335C6D9E45DF8EAF04398055EF69" hidden="1">#REF!</definedName>
    <definedName name="BO8F120D3F03D34849AABC00FA2BA9D1BD" hidden="1">#REF!</definedName>
    <definedName name="BO8F199D982BA94736933FD398DC612D92" hidden="1">#REF!</definedName>
    <definedName name="BO8F241C76A58A4B11AAD08E9A4F72E375" hidden="1">#REF!</definedName>
    <definedName name="BO8F2CFFE2AC5F489AB490DF47F340A718" hidden="1">#REF!</definedName>
    <definedName name="BO8F2E9F9C69204D8BA2ACBC75836D3FF2" hidden="1">#REF!</definedName>
    <definedName name="BO8F31232301F54C98AFD85781F54707A5" hidden="1">#REF!</definedName>
    <definedName name="BO8F338401EA704148865BFBB0BBFC13C0" hidden="1">#REF!</definedName>
    <definedName name="BO8F34DF83806240FC9D63399C7BD05148" hidden="1">#REF!</definedName>
    <definedName name="BO8F3ABE8170A44D5E84D4C75DB0D8E4BD" hidden="1">#REF!</definedName>
    <definedName name="BO8F3F7841D58F44E1AAD043E75255DBC3" hidden="1">#REF!</definedName>
    <definedName name="BO8F450DA725C74D34A738B124757E30AA" hidden="1">#REF!</definedName>
    <definedName name="BO8F4A64ADA5084287B1000A3F79D03B5A" hidden="1">#REF!</definedName>
    <definedName name="BO8F4E778600704F71AD285B8834D958A4" hidden="1">#REF!</definedName>
    <definedName name="BO8F54F49E6220447883E1D1CEBBD6335D" hidden="1">#REF!</definedName>
    <definedName name="BO8F7098BA1CCB4B4A9FD13B0886AC4238" hidden="1">#REF!</definedName>
    <definedName name="BO8F752F848ED548CF905DDF854EB5429D" hidden="1">#REF!</definedName>
    <definedName name="BO8F77D7A0CAC04C1680A153101046795E" hidden="1">#REF!</definedName>
    <definedName name="BO8F78185C83674C639852F75B0B0C78FE" hidden="1">#REF!</definedName>
    <definedName name="BO8F783738EC384BE5AB27FFE7085D7028" hidden="1">#REF!</definedName>
    <definedName name="BO8F917CAB9E2A4B6AA651531D0B787BDA" hidden="1">#REF!</definedName>
    <definedName name="BO8F934ED0DBF94A679BD4F94C282C563A" hidden="1">#REF!</definedName>
    <definedName name="BO8F9BD2803E614202B7128A62987DDDBD" hidden="1">#REF!</definedName>
    <definedName name="BO8F9D81EE7F9F42C28543448FBEFFA81C" hidden="1">#REF!</definedName>
    <definedName name="BO8FA2529E789A48CF8CAC0D6D30B9AD56" hidden="1">#REF!</definedName>
    <definedName name="BO8FAB9936D2D64D9CA16084D3144AF15E" hidden="1">#REF!</definedName>
    <definedName name="BO8FBB042CB8F64548BD2E79D5431BD310" hidden="1">#REF!</definedName>
    <definedName name="BO8FBCE404F731452585CEE2880FE387FF" hidden="1">#REF!</definedName>
    <definedName name="BO8FBF0BB110A844B78B2054E35988E71E" hidden="1">#REF!</definedName>
    <definedName name="BO8FD168FC29744E75B53F513C619777D2" hidden="1">#REF!</definedName>
    <definedName name="BO8FD715F01098428EBE2DEF43CD9E1592" hidden="1">#REF!</definedName>
    <definedName name="BO8FD7CC927D0049578584C2D3E47BFAC9" hidden="1">#REF!</definedName>
    <definedName name="BO8FE2C64C09D043668A27253936F2C98B" hidden="1">#REF!</definedName>
    <definedName name="BO8FED77DF01F244ECB6ACC4C1B2ADF072" hidden="1">#REF!</definedName>
    <definedName name="BO8FEE49E69E4F4748A5D4612CB0A0A152" hidden="1">#REF!</definedName>
    <definedName name="BO8FFDF5124B2840E8922C23235AF118C6" hidden="1">#REF!</definedName>
    <definedName name="BO9006320E243748B29E62073E02FDCE9C" hidden="1">#REF!</definedName>
    <definedName name="BO900C1928FD47427DBEABBFB8B640263C" hidden="1">#REF!</definedName>
    <definedName name="BO9018C1479C7544CFB3A6048FB6DFE190" hidden="1">#REF!</definedName>
    <definedName name="BO901951B587E34CADB79A21D91B6AEC90" hidden="1">#REF!</definedName>
    <definedName name="BO901B1813E2DF43F48010C83C55357CAA" hidden="1">#REF!</definedName>
    <definedName name="BO902282CF0C18442FA0ECA8702548992D" hidden="1">#REF!</definedName>
    <definedName name="BO90277F5F1B4841A3A4707776BC31546D" hidden="1">#REF!</definedName>
    <definedName name="BO9044F1AA89A6492AB13E1C09C4380F01" hidden="1">#REF!</definedName>
    <definedName name="BO90542B52653440B48BA026A84FF774D2" hidden="1">#REF!</definedName>
    <definedName name="BO905ECD6A784F4EA4B47BF9B88C470EB0" hidden="1">#REF!</definedName>
    <definedName name="BO90680BA6902A47648DE1181B595510E6" hidden="1">#REF!</definedName>
    <definedName name="BO9068557641374B279053CF7D89C11B19" hidden="1">#REF!</definedName>
    <definedName name="BO9069775E555E4227AFAB0747DB66397C" hidden="1">#REF!</definedName>
    <definedName name="BO907156A3D7B3487C833A8D818DC0D7CF" hidden="1">#REF!</definedName>
    <definedName name="BO9071902AF6FB40E683AB058B4045701F" hidden="1">#REF!</definedName>
    <definedName name="BO907ADC4549F44B00B10813010CC5066A" hidden="1">#REF!</definedName>
    <definedName name="BO90875F448C0C45BB8BC9BEEE2A973A81" hidden="1">#REF!</definedName>
    <definedName name="BO90B8326E8A954ED2851592FA86839475" hidden="1">#REF!</definedName>
    <definedName name="BO90B99E3D216D4CB2B2390855BB32B86A" hidden="1">#REF!</definedName>
    <definedName name="BO90E5AD96337C42138BFB20987CC21E90" hidden="1">#REF!</definedName>
    <definedName name="BO90E667E585C6494F9914B5B4A319DC3D" hidden="1">#REF!</definedName>
    <definedName name="BO90EF89847A854907B45D39C9BA68CAE3" hidden="1">#REF!</definedName>
    <definedName name="BO90F92BE96D224F48B2F4096773E9C641" hidden="1">#REF!</definedName>
    <definedName name="BO910F790B3C71411CA8BEFDFEDBF23633" hidden="1">#REF!</definedName>
    <definedName name="BO9121064847EA4AAF8FA7C1DCC02B9AA0" hidden="1">#REF!</definedName>
    <definedName name="BO9122D3C6AA44418DB1E93278AB8E8022" hidden="1">#REF!</definedName>
    <definedName name="BO9127CCBD987A42EDB6792C21BC11FC9B" hidden="1">#REF!</definedName>
    <definedName name="BO912975F7B08D4C4F83FA9B9E48995723" hidden="1">#REF!</definedName>
    <definedName name="BO912AAF163FCE432DA79E11150309A00E" hidden="1">#REF!</definedName>
    <definedName name="BO912D26646C134AE1875719CAA3525976" hidden="1">#REF!</definedName>
    <definedName name="BO9136849444F84B7D9D4FD729F3F9F3F3" hidden="1">#REF!</definedName>
    <definedName name="BO913A9CD276024BCDAAA69A4903A2834B" hidden="1">#REF!</definedName>
    <definedName name="BO91419E54A3C14BA7B9E0DD4A601BB379" hidden="1">#REF!</definedName>
    <definedName name="BO914A34EB363F46CDB7925D1C66DD648B" hidden="1">#REF!</definedName>
    <definedName name="BO91615232B5654C8CB614A1C865859A0D" hidden="1">#REF!</definedName>
    <definedName name="BO9174AF7E769A4DF8883864AB80376D76" hidden="1">#REF!</definedName>
    <definedName name="BO9174C662B0304CFE9E2E4F41691C1983" hidden="1">#REF!</definedName>
    <definedName name="BO9175178779CE45788B9548A51B99B746" hidden="1">#REF!</definedName>
    <definedName name="BO917F0F08739D4076AE8A0FF09BA78F5A" hidden="1">#REF!</definedName>
    <definedName name="BO9182AD8D3F6645789E80C6B6F921BA87" hidden="1">#REF!</definedName>
    <definedName name="BO91A736CEF1944A21B42530566F4EB33D" hidden="1">#REF!</definedName>
    <definedName name="BO91B3EC47C6FD402DA7870D22CA98E3A3" hidden="1">#REF!</definedName>
    <definedName name="BO91B5FA2E7C224BCDA2A36965825032F7" hidden="1">#REF!</definedName>
    <definedName name="BO91B720AF61074F83A60B818FB6153073" hidden="1">#REF!</definedName>
    <definedName name="BO91B8AE83FF86495BAC47ACA27EF56540" hidden="1">#REF!</definedName>
    <definedName name="BO91CE7C6761BE48A9931ED9A9BE0315D5" hidden="1">#REF!</definedName>
    <definedName name="BO91DBB66CC85E41559DCC0AE44F56587D" hidden="1">#REF!</definedName>
    <definedName name="BO91E8F5259B5C4EB197B855E6ED103B8F" hidden="1">#REF!</definedName>
    <definedName name="BO91F6EC28409B4132844FC8E85304B8A2" hidden="1">#REF!</definedName>
    <definedName name="BO91FA6FDE0287414B8AA7B15BF01191AE" hidden="1">#REF!</definedName>
    <definedName name="BO9200F77904F847E381D8C333AF7F6533" hidden="1">#REF!</definedName>
    <definedName name="BO920AEC559F564D409ED03FD68232F207" hidden="1">#REF!</definedName>
    <definedName name="BO9211ECD3500D49DAA1494FF41DBC5F43" hidden="1">#REF!</definedName>
    <definedName name="BO921C80A4AAC54290A1709DBA2B9E738E" hidden="1">#REF!</definedName>
    <definedName name="BO921E88F3D9EC44059F11AB5297FED9DB" hidden="1">#REF!</definedName>
    <definedName name="BO921E98B6DAFE4D299928E323BD182980" hidden="1">#REF!</definedName>
    <definedName name="BO921FE8262D37439BB5789C189AB73252" hidden="1">#REF!</definedName>
    <definedName name="BO9221EDEC4C0D4D65B4D03044685ABBEA" hidden="1">#REF!</definedName>
    <definedName name="BO9224E1F893FA4BE6B00FAC32DDD083F4" hidden="1">#REF!</definedName>
    <definedName name="BO922568123FFB432093DE5C3E1125DA11" hidden="1">#REF!</definedName>
    <definedName name="BO923CD13F28C949059ED1A44AE3F9C314" hidden="1">#REF!</definedName>
    <definedName name="BO924AE25DED6C410F8A42DAF71A5BC141" hidden="1">#REF!</definedName>
    <definedName name="BO925246EF08E94F44AA40C058C890AB89" hidden="1">#REF!</definedName>
    <definedName name="BO926020B3E1DF4F6D8FDCA8C02547C01A" hidden="1">#REF!</definedName>
    <definedName name="BO92626B7181E140CAA16381D50E86E1E7" hidden="1">#REF!</definedName>
    <definedName name="BO926425212F7F4CE39F92B2F6C26D2C09" hidden="1">#REF!</definedName>
    <definedName name="BO927562A3059F48CCB9C6A2073948A0A4" hidden="1">#REF!</definedName>
    <definedName name="BO92782BF3F3F54FABBE586DDDF0E23D75" hidden="1">#REF!</definedName>
    <definedName name="BO927FFF8DA2D94155821FE1D7B95F5598" hidden="1">#REF!</definedName>
    <definedName name="BO92844C84F38742268617541364C9A0A3" hidden="1">#REF!</definedName>
    <definedName name="BO9284549E77504549BF85A68E9EA03629" hidden="1">#REF!</definedName>
    <definedName name="BO92898237799D4B969448F7F704185B97" hidden="1">#REF!</definedName>
    <definedName name="BO928E241B278545B5B5F1E7B555806578" hidden="1">#REF!</definedName>
    <definedName name="BO929B43732ABC4DFD945DBE63A9E9039D" hidden="1">#REF!</definedName>
    <definedName name="BO92AB68047EAB471AB3BD1F008BC39C0A" hidden="1">#REF!</definedName>
    <definedName name="BO92B8949C64B9495FB4ABF525BC049210" hidden="1">#REF!</definedName>
    <definedName name="BO92BDBC1C2FD14C05B817DEEB2A119103" hidden="1">#REF!</definedName>
    <definedName name="BO92CD42FED27C43C395362B00C9A3A796" hidden="1">#REF!</definedName>
    <definedName name="BO92CD82C1EB014F09980657E5E079B0B2" hidden="1">#REF!</definedName>
    <definedName name="BO92D2EF4DDE8042A8B416920EDE61EDEC" hidden="1">#REF!</definedName>
    <definedName name="BO92D48FEE1B1D4D648D78D81C36C30500" hidden="1">#REF!</definedName>
    <definedName name="BO92D5DDE2073A4B4FA363EE8F5EA22232" hidden="1">#REF!</definedName>
    <definedName name="BO92D8559178DA40F98FE8FFDF117751D1" hidden="1">#REF!</definedName>
    <definedName name="BO92DCD4F97F8E43F6B561094E67FFF609" hidden="1">#REF!</definedName>
    <definedName name="BO92E3A8A35D5A42E69A35900E6E9F2953" hidden="1">#REF!</definedName>
    <definedName name="BO92E8E9F0ED05482D9C8B998E99679EE0" hidden="1">#REF!</definedName>
    <definedName name="BO92F5D08E9DCD424BABF968CB16C78156" hidden="1">#REF!</definedName>
    <definedName name="BO92F836691E0A4DA48B3AEC1B203E4664" hidden="1">#REF!</definedName>
    <definedName name="BO931B3A55FBE943ABA6842AAA84AC1918" hidden="1">#REF!</definedName>
    <definedName name="BO931B9CB3C93548009429CE984557A4AF" hidden="1">#REF!</definedName>
    <definedName name="BO931E5528393140BB85950C1A94C88E3C" hidden="1">#REF!</definedName>
    <definedName name="BO9322600F98514D11B5CB4E9FDD8AF3F6" hidden="1">#REF!</definedName>
    <definedName name="BO93240BE4450247878AF07A34EB920144" hidden="1">#REF!</definedName>
    <definedName name="BO932BBFAAF1E741D7815AF964958385D9" hidden="1">#REF!</definedName>
    <definedName name="BO9339AD7898C74541ACBD9601147EA84B" hidden="1">#REF!</definedName>
    <definedName name="BO933E6463AD1E4AE783852D481518B0B7" hidden="1">#REF!</definedName>
    <definedName name="BO934A98F281554C4CB1EDD0AB81B59771" hidden="1">#REF!</definedName>
    <definedName name="BO935BC140DD514795BA35981CDAF2FB28" hidden="1">#REF!</definedName>
    <definedName name="BO9363661972974836B7CCE110CC4CBDDE" hidden="1">#REF!</definedName>
    <definedName name="BO936BA2DD48B34FC9B0C705758097D013" hidden="1">#REF!</definedName>
    <definedName name="BO9373175A5BBA4061B7D5362429BA73C9" hidden="1">#REF!</definedName>
    <definedName name="BO9378A427EEF84B549CC487DA41C814CC" hidden="1">#REF!</definedName>
    <definedName name="BO937C00FE04F24C67A51F944DFE62FE21" hidden="1">#REF!</definedName>
    <definedName name="BO9380D60848C14C40AF62504ECB1E7494" hidden="1">#REF!</definedName>
    <definedName name="BO938A4B7AAF8C4C96A087284B5062E000" hidden="1">#REF!</definedName>
    <definedName name="BO938BE720E9AC42A6AAD4DFFD59CDFF1D" hidden="1">#REF!</definedName>
    <definedName name="BO939203EB450D497589737356F60C1600" hidden="1">#REF!</definedName>
    <definedName name="BO939BE0E7CCF14418B852F4A3F213F2E5" hidden="1">#REF!</definedName>
    <definedName name="BO93A8C9AEAC104485B72AB4A8588CF02C" hidden="1">#REF!</definedName>
    <definedName name="BO93AEA742034E4ABCB08C941EAA66DD28" hidden="1">#REF!</definedName>
    <definedName name="BO93C244161DE44BB285C378A289CB1A5E" hidden="1">#REF!</definedName>
    <definedName name="BO93D642C8AB4C49CA89BF2E90D727A092" hidden="1">#REF!</definedName>
    <definedName name="BO93D8A1FCE6BB450BBFC400D8CAA636F7" hidden="1">#REF!</definedName>
    <definedName name="BO93D8D63649A34201A12B5069133C7853" hidden="1">#REF!</definedName>
    <definedName name="BO93E7F653EBA24C63BE0CE921A5E6D30E" hidden="1">#REF!</definedName>
    <definedName name="BO93ED178E06354794885A372394D46594" hidden="1">#REF!</definedName>
    <definedName name="BO93EE2CA582074CA19B93ED0B26423FB6" hidden="1">#REF!</definedName>
    <definedName name="BO93F358F093E84C7DAB9056BA4978A3DE" hidden="1">#REF!</definedName>
    <definedName name="BO93F7460CDAB1400691207BE90A44763A" hidden="1">#REF!</definedName>
    <definedName name="BO93F8F2274A9A4C7784A4B1E423BE505E" hidden="1">#REF!</definedName>
    <definedName name="BO93FD8187B640444EAB8D42E8B40EFC78" hidden="1">#REF!</definedName>
    <definedName name="BO94107BBC763244E7A65D0E18D072346C" hidden="1">#REF!</definedName>
    <definedName name="BO9412A6115F5D427FA8B45C28C2CADDCA" hidden="1">#REF!</definedName>
    <definedName name="BO9413362FA75E47F0B1B1BA89831C2247" hidden="1">#REF!</definedName>
    <definedName name="BO9416389CAE31459BAD3F630E6A06F6DB" hidden="1">#REF!</definedName>
    <definedName name="BO9416841FA96D457395F3EE23D809B37D" hidden="1">#REF!</definedName>
    <definedName name="BO9419B48546574C67AD0235D545ACAD43" hidden="1">#REF!</definedName>
    <definedName name="BO9419F2DB3E1C4AC1B9643171CCB39DD4" hidden="1">#REF!</definedName>
    <definedName name="BO94240A9E4F524DEB9D99E08C462C27D8" hidden="1">#REF!</definedName>
    <definedName name="BO942AD60B245B4C44985FBE7C74F19F05" hidden="1">#REF!</definedName>
    <definedName name="BO943619402EBD4662A3A8CBEB8C4063C8" hidden="1">#REF!</definedName>
    <definedName name="BO945C865F992A40AAA1DC83B5DBF55357" hidden="1">#REF!</definedName>
    <definedName name="BO946280B4D2A8413FB6C470352D49EC34" hidden="1">#REF!</definedName>
    <definedName name="BO9465E6ED93B84AF0BFD75BBF57C925B6" hidden="1">#REF!</definedName>
    <definedName name="BO94679B9E39F64837A52948F90CFC1145" hidden="1">#REF!</definedName>
    <definedName name="BO946D3E10749E4117AFC0DDFC98FF1408" hidden="1">#REF!</definedName>
    <definedName name="BO946D970A7F9A4048A9747D70DCEAFC01" hidden="1">#REF!</definedName>
    <definedName name="BO94755FBA8732460380218E7111D64777" hidden="1">#REF!</definedName>
    <definedName name="BO94930BC264264703A1402F3B00C4A8A7" hidden="1">#REF!</definedName>
    <definedName name="BO949DCD0B4FD741B68F208B1F366704AD" hidden="1">#REF!</definedName>
    <definedName name="BO94AD04CAB56C44F880649B9FB4CAEDF8" hidden="1">#REF!</definedName>
    <definedName name="BO94B32BA024A6438EBEF45312277DD230" hidden="1">#REF!</definedName>
    <definedName name="BO94B8F9834DE14110B0C3AA142DD67203" hidden="1">#REF!</definedName>
    <definedName name="BO94C19A04005442199E29E395FF821134" hidden="1">#REF!</definedName>
    <definedName name="BO94CA78325B1C43C7B3457F984B5AE4EC" hidden="1">#REF!</definedName>
    <definedName name="BO94D39FFDF3C54840B108B1E54F2BF3BF" hidden="1">#REF!</definedName>
    <definedName name="BO94E35FC46E7644FE8E6E5B4D4D0B35D1" hidden="1">#REF!</definedName>
    <definedName name="BO94EFF135B9414B65A5494C1FADD5220B" hidden="1">#REF!</definedName>
    <definedName name="BO950216CFEF0B42629D0395A1BD3F63D6" hidden="1">#REF!</definedName>
    <definedName name="BO95164E67CC654893BADFEFD53AA79D45" hidden="1">#REF!</definedName>
    <definedName name="BO9519530311DD4FC2BDE2E22E53EEF39E" hidden="1">#REF!</definedName>
    <definedName name="BO951C3DF72B8D4A4093D9EC730032EB91" hidden="1">#REF!</definedName>
    <definedName name="BO951D2C7735CE4211B3BB09971719C764" hidden="1">#REF!</definedName>
    <definedName name="BO952C8718AFE54AD7A30CB822848CBA16" hidden="1">#REF!</definedName>
    <definedName name="BO953DEB0B95E744DEB064568745F9CA2D" hidden="1">#REF!</definedName>
    <definedName name="BO9542E7AD0BA84930BBAE864B042CB9BF" hidden="1">#REF!</definedName>
    <definedName name="BO95461B908C584485B0FE6F80505C336E" hidden="1">#REF!</definedName>
    <definedName name="BO9548AFBDA6E14DE78BA6827EDEA47344" hidden="1">#REF!</definedName>
    <definedName name="BO954C04532FE543398BC8381DE512AF5D" hidden="1">#REF!</definedName>
    <definedName name="BO954CFE1717F44CC1B4BD75521D1E1580" hidden="1">#REF!</definedName>
    <definedName name="BO954F5784C7EE48FBA79A5EBF2C2D56E2" hidden="1">#REF!</definedName>
    <definedName name="BO9555BB16265C4DA4AE965B4FE1FB15D8" hidden="1">#REF!</definedName>
    <definedName name="BO955D7CC7419E427E9331E9D2A7A7806A" hidden="1">#REF!</definedName>
    <definedName name="BO95694821E40E42BEA77114D8B33D78F9" hidden="1">#REF!</definedName>
    <definedName name="BO957C10D29A0B40E9AF4A1C41A9BB32E5" hidden="1">#REF!</definedName>
    <definedName name="BO959D00FDCE1A4D95AA757211B53213FC" hidden="1">#REF!</definedName>
    <definedName name="BO95B7C906FDC04D2288C5ADB54B0094D7" hidden="1">#REF!</definedName>
    <definedName name="BO95C0D13E9442418C89B46105490BE4A6" hidden="1">#REF!</definedName>
    <definedName name="BO95C1A5B1E9F94C39A611FE27E878B8D2" hidden="1">#REF!</definedName>
    <definedName name="BO95C8CE58C5AE4FD29FBA6434831B21EC" hidden="1">#REF!</definedName>
    <definedName name="BO95CC9E069F2940D5A71C73D4ED3B0AB5" hidden="1">#REF!</definedName>
    <definedName name="BO95CD154C598345FAAE4F8587274FF86F" hidden="1">#REF!</definedName>
    <definedName name="BO95CE26F3379042A48DB0682F66E6C80A" hidden="1">#REF!</definedName>
    <definedName name="BO95D7B44EE59944CCAFEC831E3A7D436B" hidden="1">#REF!</definedName>
    <definedName name="BO95E7F90CD69C4B8B8205ABD25822C1F7" hidden="1">#REF!</definedName>
    <definedName name="BO95FB50A4E5B6456CBB83EC5C2D6EA2D9" hidden="1">#REF!</definedName>
    <definedName name="BO9601E42E0F2146AC8E8A151D6F073EF8" hidden="1">#REF!</definedName>
    <definedName name="BO961439AAB43F46EA8C5E360DD985055E" hidden="1">#REF!</definedName>
    <definedName name="BO9615C35C78AF4D6888060CE2E8E29681" hidden="1">#REF!</definedName>
    <definedName name="BO961E3655AFA749BE8E6875C24AACE624" hidden="1">#REF!</definedName>
    <definedName name="BO962BD8C510064962A49EF68B4C37F0B0" hidden="1">#REF!</definedName>
    <definedName name="BO9641C447A7D14667A443CC9EAAB06DDA" hidden="1">#REF!</definedName>
    <definedName name="BO964BAB7D7F9847C8938FE29286D3F337" hidden="1">#REF!</definedName>
    <definedName name="BO964D8797B21D4294BEDF3514B94D4AE4" hidden="1">#REF!</definedName>
    <definedName name="BO965C4C3595B942D3B6CAB4D9A6D83566" hidden="1">#REF!</definedName>
    <definedName name="BO965D761D6F774374BA7E264A4426D70C" hidden="1">#REF!</definedName>
    <definedName name="BO9662615A68534F15A976693F7C28EF0B" hidden="1">#REF!</definedName>
    <definedName name="BO96667F3901924EF1B81394C462A8903B" hidden="1">#REF!</definedName>
    <definedName name="BO966921C38713484CB11E4FA4BB1FBB16" hidden="1">#REF!</definedName>
    <definedName name="BO966A6A432EBA4CEA8D4C251EDE05C5D3" hidden="1">#REF!</definedName>
    <definedName name="BO966DB1F54AED45828261AFB38B5B242A" hidden="1">#REF!</definedName>
    <definedName name="BO967D54F5919749769ED9E9DAE7FA98FE" hidden="1">#REF!</definedName>
    <definedName name="BO9681D3E9874F47FB9CC060DF4BE53AA9" hidden="1">#REF!</definedName>
    <definedName name="BO968AA625035F450BA6B7AF3597F8CD3A" hidden="1">#REF!</definedName>
    <definedName name="BO968C04BEE84E4FC480499B5BD8696A7A" hidden="1">#REF!</definedName>
    <definedName name="BO968F62ADC3FD43E18991B52E8CB67ED5" hidden="1">#REF!</definedName>
    <definedName name="BO969C461778BD42C79A7C593FA43AE827" hidden="1">#REF!</definedName>
    <definedName name="BO969DD6715ABC424298A4F526D7759015" hidden="1">#REF!</definedName>
    <definedName name="BO96ABE2DFB44A4825B348565025F77059" hidden="1">#REF!</definedName>
    <definedName name="BO96AD79758A7F403F8EF66239FC1D0480" hidden="1">#REF!</definedName>
    <definedName name="BO96C0C5045A1E41DEA32BEF66C1C05910" hidden="1">#REF!</definedName>
    <definedName name="BO96C2F64F7E5A4587A55EA5EBFFA28431" hidden="1">#REF!</definedName>
    <definedName name="BO96C83CD11E224094A783B29409F3CC6F" hidden="1">#REF!</definedName>
    <definedName name="BO970777A0762D43DFAB7DF179B49DD524" hidden="1">#REF!</definedName>
    <definedName name="BO970C30B06001457386E451FC4532A52E" hidden="1">#REF!</definedName>
    <definedName name="BO971205F145ED483684B57D3C54AD8DF7" hidden="1">#REF!</definedName>
    <definedName name="BO972B5F951ACC4BAAA2F5DD1B26A5DADA" hidden="1">#REF!</definedName>
    <definedName name="BO972FAB5FB8874C0184521A6A593E2DF0" hidden="1">#REF!</definedName>
    <definedName name="BO972FADA90A0F47328AE99686601BF48A" hidden="1">#REF!</definedName>
    <definedName name="BO9742B912C42A4F229505520C0D111AD3" hidden="1">#REF!</definedName>
    <definedName name="BO97433F45EE3444D58E0E82EE93E9471F" hidden="1">#REF!</definedName>
    <definedName name="BO97526DC9788B4ADE9F1894559A4F2AC9" hidden="1">#REF!</definedName>
    <definedName name="BO975979A0306544509D720F995D9B4522" hidden="1">#REF!</definedName>
    <definedName name="BO975B37AA8CF54C1E9559135A542B04F4" hidden="1">#REF!</definedName>
    <definedName name="BO9766E5EA4CDD49E4B1521B37EC046548" hidden="1">#REF!</definedName>
    <definedName name="BO976861FEA5C34ECC98FE4A8CA866D409" hidden="1">#REF!</definedName>
    <definedName name="BO97715050DD76470A9386027F4B70E0C5" hidden="1">#REF!</definedName>
    <definedName name="BO977325821A37494098B593807BBD4B63" hidden="1">#REF!</definedName>
    <definedName name="BO977343953C654A88A3ED45A7CE279013" hidden="1">#REF!</definedName>
    <definedName name="BO97889E3F3771412F91153318A9CE317B" hidden="1">#REF!</definedName>
    <definedName name="BO978FCDF6665644929CE52B9685A5D310" hidden="1">#REF!</definedName>
    <definedName name="BO979F8FBDC9FA4923981D5D89BC1A6F04" hidden="1">#REF!</definedName>
    <definedName name="BO97A1A28B8546474F8A7F549C4261D64F" hidden="1">#REF!</definedName>
    <definedName name="BO97A3706391E24C749B2C447A565399B3" hidden="1">#REF!</definedName>
    <definedName name="BO97A543FF47DA426DA58FC220DE56AB95" hidden="1">#REF!</definedName>
    <definedName name="BO97B2331A8F1643BA8F2547BE8BF3DB0C" hidden="1">#REF!</definedName>
    <definedName name="BO97BB72FB4DD0468687D1339FC954B079" hidden="1">#REF!</definedName>
    <definedName name="BO97F83CBB3D0049C39E1C59EF1EF05D50" hidden="1">#REF!</definedName>
    <definedName name="BO97F8864E2A9C42D6BEE691ACF9F6E81B" hidden="1">#REF!</definedName>
    <definedName name="BO97FA6BB707F740268794B8722D553854" hidden="1">#REF!</definedName>
    <definedName name="BO98015D339A7449289A51B7770F8C539C" hidden="1">#REF!</definedName>
    <definedName name="BO982607832CC44F50B65EE19CF367BDB3" hidden="1">#REF!</definedName>
    <definedName name="BO98300226542D4DD4814F18C52A66F6E1" hidden="1">#REF!</definedName>
    <definedName name="BO98343311F91D4A8AAB3D2838F6992C92" hidden="1">#REF!</definedName>
    <definedName name="BO983590A896E246A0AF2157CC3CBC044E" hidden="1">#REF!</definedName>
    <definedName name="BO984819F0E0DB462FBFEBBBFC27B5CFC3" hidden="1">#REF!</definedName>
    <definedName name="BO9850D7291BF1454EB025C0CCEFBD1457" hidden="1">#REF!</definedName>
    <definedName name="BO9851D25BC9AE47798AAB215A3E7811F8" hidden="1">#REF!</definedName>
    <definedName name="BO98554AB31CAE4C46A78A5DA75971DC4D" hidden="1">#REF!</definedName>
    <definedName name="BO9857E6A1FED24A368C92D0B900B48454" hidden="1">#REF!</definedName>
    <definedName name="BO986DACF1647F41FA845A9E30A1421B3F" hidden="1">#REF!</definedName>
    <definedName name="BO9874C8CC159545A19FD8CE1B0292606A" hidden="1">#REF!</definedName>
    <definedName name="BO9878BEC7346C47E2A643B56DA17004EE" hidden="1">#REF!</definedName>
    <definedName name="BO987C7670C9924BC2BF27DB28FE3C5BA5" hidden="1">#REF!</definedName>
    <definedName name="BO9889B04DD9BB463391D46AE57A9A7999" hidden="1">#REF!</definedName>
    <definedName name="BO988BE4B6E54E47AEADA52CCA17922E8E" hidden="1">#REF!</definedName>
    <definedName name="BO989136267D4B4D2092A736653D6B104A" hidden="1">#REF!</definedName>
    <definedName name="BO9896CA2A53324C7E80AF3C86E675BB5F" hidden="1">#REF!</definedName>
    <definedName name="BO989EBA084FB54D2887ECA62C7482BD73" hidden="1">#REF!</definedName>
    <definedName name="BO98A78CD3A8AA418C9FA0E60B39C0F791" hidden="1">#REF!</definedName>
    <definedName name="BO98A7EEF181A241FCA86BDC8F00B6526C" hidden="1">#REF!</definedName>
    <definedName name="BO98B6C41D8E054CE0B8C6DD9946035BDD" hidden="1">#REF!</definedName>
    <definedName name="BO98BA350E51B74F31AB0ECF8981B2D0CA" hidden="1">#REF!</definedName>
    <definedName name="BO98CB56A0EF4A42EDBDC2BA8337270B36" hidden="1">#REF!</definedName>
    <definedName name="BO98CFEF8BBE6F40AE9ECF6B9524436983" hidden="1">#REF!</definedName>
    <definedName name="BO98E003BAC9D14DEB830E161084DD112B" hidden="1">#REF!</definedName>
    <definedName name="BO98FB4FAB84864CBFAD2548534B615DD9" hidden="1">#REF!</definedName>
    <definedName name="BO98FCBD9841DB4569A42EAACC22C5C1B9" hidden="1">#REF!</definedName>
    <definedName name="BO990A8F3180694539939E3F1063A2C4FE" hidden="1">#REF!</definedName>
    <definedName name="BO991F3CDC2D6D4521A0470EEA16380B40" hidden="1">#REF!</definedName>
    <definedName name="BO992223C27450478E8C18FA80A05A4042" hidden="1">#REF!</definedName>
    <definedName name="BO9935843B69F84E4193247DE89B7F6253" hidden="1">#REF!</definedName>
    <definedName name="BO9940BCE0460C4AE98FC4CA68BDECD822" hidden="1">#REF!</definedName>
    <definedName name="BO994528F32B85435F824C8AAAAE4AA87C" hidden="1">#REF!</definedName>
    <definedName name="BO994C60C5B7FD481490DD22A6FE5FAFF2" hidden="1">#REF!</definedName>
    <definedName name="BO994D532289974F4EB218A50A632839E0" hidden="1">#REF!</definedName>
    <definedName name="BO99518804CD09445DBC9F2843A4498180" hidden="1">#REF!</definedName>
    <definedName name="BO9958BD41D3734822A7F6985C9F87E966" hidden="1">#REF!</definedName>
    <definedName name="BO995A217A46C54E1A96F96F3309A7D7F1" hidden="1">#REF!</definedName>
    <definedName name="BO9960B3647C024BDF930FA71DDFC689C6" hidden="1">#REF!</definedName>
    <definedName name="BO998819982DC14CF8B1F3F01BA8CB67A8" hidden="1">#REF!</definedName>
    <definedName name="BO998F4022BA194AB1B41533DC4D7159E4" hidden="1">#REF!</definedName>
    <definedName name="BO99A67829393548F6ADE97BA9879FF375" hidden="1">#REF!</definedName>
    <definedName name="BO99A6BB12BC0741DE9CD5B7FBB2E1A6C8" hidden="1">#REF!</definedName>
    <definedName name="BO99ABC564BC6C4A7AB93E429AC0D0C4B2" hidden="1">#REF!</definedName>
    <definedName name="BO99AC6189C0E9450395DF8928785A5AB7" hidden="1">#REF!</definedName>
    <definedName name="BO99AEA6239AA8490497769A0F787DA53E" hidden="1">#REF!</definedName>
    <definedName name="BO99B1C7FD469C430488984DD8AABC59CF" hidden="1">#REF!</definedName>
    <definedName name="BO99C6AF40142D48A78D3DDD6E3724F823" hidden="1">#REF!</definedName>
    <definedName name="BO99D05D2CE52D44188244A52958214A73" hidden="1">#REF!</definedName>
    <definedName name="BO99D2692BA5C542F79A1B9F48600FA827" hidden="1">#REF!</definedName>
    <definedName name="BO99D4BCC0D149492A86132A1BCFDC8F57" hidden="1">#REF!</definedName>
    <definedName name="BO99D52FB1C14344C1833FBCF78AEE564B" hidden="1">#REF!</definedName>
    <definedName name="BO99D97A52305D4B3993681F1B6DBF8F00" hidden="1">#REF!</definedName>
    <definedName name="BO99E40DD4BEA14D0BA6E33FDE61C7AD6F" hidden="1">#REF!</definedName>
    <definedName name="BO99EDF72886DD4BF9BA3E9252EDC834DA" hidden="1">#REF!</definedName>
    <definedName name="BO99FD01F6F2B9413493C2AECE4D70AC58" hidden="1">#REF!</definedName>
    <definedName name="BO99FD2198D8A94BBA9233C9F154A2A339" hidden="1">#REF!</definedName>
    <definedName name="BO99FF8454B71E455F8A845CF9685C18BC" hidden="1">#REF!</definedName>
    <definedName name="BO9A01304883BD4F1580044D5FBEC8E529" hidden="1">#REF!</definedName>
    <definedName name="BO9A1497D34A1D415B9D6867DD858D5D3D" hidden="1">#REF!</definedName>
    <definedName name="BO9A154EF4D58B49A6B7E57EDD957CD7A8" hidden="1">#REF!</definedName>
    <definedName name="BO9A1DEDBCD7B4461FA70EA8C5E9EFE807" hidden="1">#REF!</definedName>
    <definedName name="BO9A35AD9FEB044804A64639418DA8CD5B" hidden="1">#REF!</definedName>
    <definedName name="BO9A3EA148DA534FF9A4602BDAD0021405" hidden="1">#REF!</definedName>
    <definedName name="BO9A4155EEDED24AEF8C8DC5EE416C1DD8" hidden="1">#REF!</definedName>
    <definedName name="BO9A4B979D1AE842FCB5082E5BABC72117" hidden="1">#REF!</definedName>
    <definedName name="BO9A4DF981E5FB4BDEBF93DF5F65A169BC" hidden="1">#REF!</definedName>
    <definedName name="BO9A565A3C3BEC4D02A097298EF71447BF" hidden="1">#REF!</definedName>
    <definedName name="BO9A5E9518EECB4BD4BDA17EF5B50C4BD2" hidden="1">#REF!</definedName>
    <definedName name="BO9A615445564B44D3A4937D4F7C89A692" hidden="1">#REF!</definedName>
    <definedName name="BO9A616941E8B64B11B039534DAFF8CC4D" hidden="1">#REF!</definedName>
    <definedName name="BO9A730082ADA64EF59269A70A6BAF6745" hidden="1">#REF!</definedName>
    <definedName name="BO9A79C8CAE07944AC8BFBFCC7A709A467" hidden="1">#REF!</definedName>
    <definedName name="BO9A7D34DB1CF34C90B8A571F2AF4FF47F" hidden="1">#REF!</definedName>
    <definedName name="BO9A7EA7D7DE15469491816D4DB3DE3270" hidden="1">#REF!</definedName>
    <definedName name="BO9A859B2E73A540BA873BDB8F4BD6A981" hidden="1">#REF!</definedName>
    <definedName name="BO9A9C0FACAED344ADAEA8EB5A72B35BBF" hidden="1">#REF!</definedName>
    <definedName name="BO9AAFAAB284F44D59A829CFEECBCEC565" hidden="1">#REF!</definedName>
    <definedName name="BO9AB8D4A8F9664B02AE8FCF463AFE3C25" hidden="1">#REF!</definedName>
    <definedName name="BO9ABD2A29BBD9421993BE32D3F19B5C57" hidden="1">#REF!</definedName>
    <definedName name="BO9ABDE510F18F43099A55FCB92265C440" hidden="1">#REF!</definedName>
    <definedName name="BO9ABDEA7844264934AA24AB5743A2253B" hidden="1">#REF!</definedName>
    <definedName name="BO9ABF270B1BCA4FF890DE8BC9BB71B076" hidden="1">#REF!</definedName>
    <definedName name="BO9AC27525C34A426BBAED969BF63AD550" hidden="1">#REF!</definedName>
    <definedName name="BO9AC5927BDD604EC282DB2104F86B5FC7" hidden="1">#REF!</definedName>
    <definedName name="BO9AC69F373CD44F119284FF2C6012EBDF" hidden="1">#REF!</definedName>
    <definedName name="BO9ACBC6EA81E84AF3B1751D93D7590A70" hidden="1">#REF!</definedName>
    <definedName name="BO9ADE0FC246644675BB4A154C58A069FC" hidden="1">#REF!</definedName>
    <definedName name="BO9ADEA2F5EF8B437A826FAE67EE9E9A7E" hidden="1">#REF!</definedName>
    <definedName name="BO9AE358091CCD41EC90B5C9B038F636B7" hidden="1">#REF!</definedName>
    <definedName name="BO9AE8106D937D44BA979C0547DA549A4C" hidden="1">#REF!</definedName>
    <definedName name="BO9AF56565690543E0B343684F8D78AC7F" hidden="1">#REF!</definedName>
    <definedName name="BO9B037037A3414243B7821E47C67E83EE" hidden="1">#REF!</definedName>
    <definedName name="BO9B0A049201764FC88128A5B54570C992" hidden="1">#REF!</definedName>
    <definedName name="BO9B0DE4C93A8D4752A30013EFA3CCFAAA" hidden="1">#REF!</definedName>
    <definedName name="BO9B1AD9DA2E224141AB9071C8D841CD60" hidden="1">#REF!</definedName>
    <definedName name="BO9B1F53CA2C1440BFA32C9A136AD024B9" hidden="1">#REF!</definedName>
    <definedName name="BO9B25C2FC317040C0B3CFD8CC37E0DC0E" hidden="1">#REF!</definedName>
    <definedName name="BO9B410EE8A20E447194DAE5180BE40223" hidden="1">#REF!</definedName>
    <definedName name="BO9B4327DEA3B845C1BFC58A2192FE036D" hidden="1">#REF!</definedName>
    <definedName name="BO9B43B94883F446D289F6359ACE149BE6" hidden="1">#REF!</definedName>
    <definedName name="BO9B494E7000504864810A14C357C90E89" hidden="1">#REF!</definedName>
    <definedName name="BO9B521D5AF21F41B3A4E4A0391B8F1BA2" hidden="1">#REF!</definedName>
    <definedName name="BO9B523CE587CE419C9B9F4CA25D21D2E1" hidden="1">#REF!</definedName>
    <definedName name="BO9B63A01E2C9140A0BC98DD4820D278ED" hidden="1">#REF!</definedName>
    <definedName name="BO9B6606D0DCA64556810CCE28B455B28B" hidden="1">#REF!</definedName>
    <definedName name="BO9B6922325459437C895790770B014CE5" hidden="1">#REF!</definedName>
    <definedName name="BO9B6F3E293DCA4C209E8A90B519B5A9EF" hidden="1">#REF!</definedName>
    <definedName name="BO9B75825146084F11A18130F67BA3E483" hidden="1">#REF!</definedName>
    <definedName name="BO9B83C58AEF7E4DAD892BDFAD1A7B72D7" hidden="1">#REF!</definedName>
    <definedName name="BO9B938741F9554A8FB3926C8D555197FC" hidden="1">#REF!</definedName>
    <definedName name="BO9B99B967C6E34C60AC2DE2B01969E12C" hidden="1">#REF!</definedName>
    <definedName name="BO9BB23C1BF95F4B6EB69F194E69E08C96" hidden="1">#REF!</definedName>
    <definedName name="BO9BB29FDECC384E2CA43124486A79AA11" hidden="1">#REF!</definedName>
    <definedName name="BO9BB52229A9814080A5ABEC2F0543ED9F" hidden="1">#REF!</definedName>
    <definedName name="BO9BC0AF0B6A714E2FA300E1C9BB19F12E" hidden="1">#REF!</definedName>
    <definedName name="BO9BC6BFA6EF0645AC8B96D0EABE961AF7" hidden="1">#REF!</definedName>
    <definedName name="BO9BD5A45DC1904FD48736398BF3780966" hidden="1">#REF!</definedName>
    <definedName name="BO9BDE2FF542F141A3BAF588D6DE374459" hidden="1">#REF!</definedName>
    <definedName name="BO9BE865E321164829B92730A366F6FC08" hidden="1">#REF!</definedName>
    <definedName name="BO9BEAD0D93531450C9BE15B1234485455" hidden="1">#REF!</definedName>
    <definedName name="BO9BF246419FEB45269E1B88D04FCBB032" hidden="1">#REF!</definedName>
    <definedName name="BO9BFD3CF6A1834572B1AA4D2D0A62ABB5" hidden="1">#REF!</definedName>
    <definedName name="BO9C09642873E74AA68B825D0C1E14FC26" hidden="1">#REF!</definedName>
    <definedName name="BO9C142078F7654238B959C7CA2E086DEA" hidden="1">#REF!</definedName>
    <definedName name="BO9C15A540915D46E981F1A31DE3082051" hidden="1">#REF!</definedName>
    <definedName name="BO9C1E0AC51D1E4E5F8479E1DFDAB1CE24" hidden="1">#REF!</definedName>
    <definedName name="BO9C37EB8887A349C39FBF9079E1CF5482" hidden="1">#REF!</definedName>
    <definedName name="BO9C4B82D926104537B099015465DEEBFD" hidden="1">#REF!</definedName>
    <definedName name="BO9C6C9D095957449BA9C393FCDC870C94" hidden="1">#REF!</definedName>
    <definedName name="BO9C6D0311CC30440BAAA5585F62A37E67" hidden="1">#REF!</definedName>
    <definedName name="BO9C6FFDC140E2483FBC98065339B8DEC3" hidden="1">#REF!</definedName>
    <definedName name="BO9C75C0445588492C83BF84A433FEC042" hidden="1">#REF!</definedName>
    <definedName name="BO9C8B117A38D54D97A7391CB768254EE5" hidden="1">#REF!</definedName>
    <definedName name="BO9C93E2823FD940528BD2EEFB4F0AAFA5" hidden="1">#REF!</definedName>
    <definedName name="BO9C9C9434E7D941388D7DC122CB2E6241" hidden="1">#REF!</definedName>
    <definedName name="BO9CAD0470B79C466C90F403070A4A1C84" hidden="1">#REF!</definedName>
    <definedName name="BO9CBD5BCBDCA845CAB6F438B4652ED719" hidden="1">#REF!</definedName>
    <definedName name="BO9CC31790EC9042F387F52CD4BC55CD3D" hidden="1">#REF!</definedName>
    <definedName name="BO9CC43FF03BC4420C882656044F832480" hidden="1">#REF!</definedName>
    <definedName name="BO9CC811AC6A1548D49D05E45C23D86094" hidden="1">#REF!</definedName>
    <definedName name="BO9CE89903BC7846E282297CE609F00989" hidden="1">#REF!</definedName>
    <definedName name="BO9CEE3EFC4A644BA0A36751F141BBDBCE" hidden="1">#REF!</definedName>
    <definedName name="BO9CF8733E0E9B4C9695D4CB8DEB1B2A63" hidden="1">#REF!</definedName>
    <definedName name="BO9CFD23EB7B3E47BAA938FF35E1C87759" hidden="1">#REF!</definedName>
    <definedName name="BO9D02480314024DC5844E91765CF5B284" hidden="1">#REF!</definedName>
    <definedName name="BO9D109B72737F4A518ED6D41946C52856" hidden="1">#REF!</definedName>
    <definedName name="BO9D12D423E90D417EB559889B82EFDAC4" hidden="1">#REF!</definedName>
    <definedName name="BO9D1B2CCF41D543A5BA7C48D6608251B3" hidden="1">#REF!</definedName>
    <definedName name="BO9D20E77989F5474B8BEFA5CB7EE0A1E5" hidden="1">#REF!</definedName>
    <definedName name="BO9D2D2B302129497F878FD7EAA993654F" hidden="1">#REF!</definedName>
    <definedName name="BO9D345AA66C77483392E28F4BCFB7B4D0" hidden="1">#REF!</definedName>
    <definedName name="BO9D34F9EB53D742919B32CDDA2698C3E0" hidden="1">#REF!</definedName>
    <definedName name="BO9D4DC39D4FF24A0AA9E8CE82C87F4346" hidden="1">#REF!</definedName>
    <definedName name="BO9D4EDE75A548420489B48ADD7AA95547" hidden="1">#REF!</definedName>
    <definedName name="BO9D4FB594999B43B2868344ADE269A1C8" hidden="1">#REF!</definedName>
    <definedName name="BO9D529B63C5534EFC9FB8FC0A6E8298C2" hidden="1">#REF!</definedName>
    <definedName name="BO9D67039B85554B078F61BB69F5E26ABD" hidden="1">#REF!</definedName>
    <definedName name="BO9D8AA126E13F451D9E7C6400DED0C3D6" hidden="1">#REF!</definedName>
    <definedName name="BO9D903747DB6D43C68ED6D75BF58A43F8" hidden="1">#REF!</definedName>
    <definedName name="BO9D9461F16BB04CD78F900DAF39F7EE89" hidden="1">#REF!</definedName>
    <definedName name="BO9D94B87E3F0B42ADA7A9718851630191" hidden="1">#REF!</definedName>
    <definedName name="BO9DC4FC0DB58145B2BD576FEB2D9AD980" hidden="1">#REF!</definedName>
    <definedName name="BO9DCA4A0F41B8474CBB7CC058B326A76C" hidden="1">#REF!</definedName>
    <definedName name="BO9DD270EFD3CD4329A12C4517D1ED66EF" hidden="1">#REF!</definedName>
    <definedName name="BO9DDB87FE27D54A6E8A995BCB2B81E3E3" hidden="1">#REF!</definedName>
    <definedName name="BO9DE27444CCD043F7B6EDEF79BD71EEB6" hidden="1">#REF!</definedName>
    <definedName name="BO9E12E6D31D474F919EABC001611748B2" hidden="1">#REF!</definedName>
    <definedName name="BO9E16A8851FE44C2FB1D17B10464355F1" hidden="1">#REF!</definedName>
    <definedName name="BO9E17E62564144996B7E164CD66C3B358" hidden="1">#REF!</definedName>
    <definedName name="BO9E1D3A0EF11A4600BB680D11CC493B06" hidden="1">#REF!</definedName>
    <definedName name="BO9E2C34FC57304FA4B063DBC82CE165F3" hidden="1">#REF!</definedName>
    <definedName name="BO9E335318CA6D466EA0F11F178866E141" hidden="1">#REF!</definedName>
    <definedName name="BO9E3B91E074D6468EA755704E62D320EF" hidden="1">#REF!</definedName>
    <definedName name="BO9E4A69ED026E41A4A81E1A8769660BC7" hidden="1">#REF!</definedName>
    <definedName name="BO9E4C962490D34C39B32C733688006132" hidden="1">#REF!</definedName>
    <definedName name="BO9E60A5C24A6744288EA49B5A054054E6" hidden="1">#REF!</definedName>
    <definedName name="BO9E60F5E9139A4154939A2D8334010065" hidden="1">#REF!</definedName>
    <definedName name="BO9E6CE0059E3C4C61BCD7CB3DF7885667" hidden="1">#REF!</definedName>
    <definedName name="BO9E70753276B74B0994FD26EE3F3689CC" hidden="1">#REF!</definedName>
    <definedName name="BO9E801FA207C74C7FA17A33923A8CA6ED" hidden="1">#REF!</definedName>
    <definedName name="BO9E8F56F9925D45A395409973311962A9" hidden="1">#REF!</definedName>
    <definedName name="BO9E9175C084D64AA9869C1CCEC9C1328E" hidden="1">#REF!</definedName>
    <definedName name="BO9E976D1CBD154742A339100E81C3659C" hidden="1">#REF!</definedName>
    <definedName name="BO9EA07DF02D604F2CA7678368E11402DA" hidden="1">#REF!</definedName>
    <definedName name="BO9EA65116C4874DCE99E70373145A8F0E" hidden="1">#REF!</definedName>
    <definedName name="BO9EAA12AD2D0E4448A7C8AFAB08A6BF2A" hidden="1">#REF!</definedName>
    <definedName name="BO9EC3E8BAA9AE4D86A97D93025AA17025" hidden="1">#REF!</definedName>
    <definedName name="BO9EC452A3F0884BB9B3C0D50EDF759402" hidden="1">#REF!</definedName>
    <definedName name="BO9ED4B6DDAB29403DAB3171134112609F" hidden="1">#REF!</definedName>
    <definedName name="BO9ED97210C61943E4987E5B76E8245648" hidden="1">#REF!</definedName>
    <definedName name="BO9EDFC669CE0F443082A2C9E72DD5104D" hidden="1">#REF!</definedName>
    <definedName name="BO9EE5A40C868B4DEFBBA0015369B6F918" hidden="1">#REF!</definedName>
    <definedName name="BO9EF09F47E7AD4FEC97ADFDEB26B4D747" hidden="1">#REF!</definedName>
    <definedName name="BO9EF0DC6863AD4B75A577942480F8B1A7" hidden="1">#REF!</definedName>
    <definedName name="BO9EFEE6D846634B68A4A55D9C28F9A074" hidden="1">#REF!</definedName>
    <definedName name="BO9F097C79956045279407BE2A74BA77E0" hidden="1">#REF!</definedName>
    <definedName name="BO9F0A83BF17814CF1B54E2FF158B8F11E" hidden="1">#REF!</definedName>
    <definedName name="BO9F0D0C64C4664DCE9A95FAB572B3AFF9" hidden="1">#REF!</definedName>
    <definedName name="BO9F0FE2EB7ABE41BC8935F9C67B384CE4" hidden="1">#REF!</definedName>
    <definedName name="BO9F10ECFAE09F4F558754246C136637C2" hidden="1">#REF!</definedName>
    <definedName name="BO9F299768E9DF428087BBA862DAB57504" hidden="1">#REF!</definedName>
    <definedName name="BO9F30C3E7A14B4AA69D9199EC2329DA19" hidden="1">#REF!</definedName>
    <definedName name="BO9F35EF68A3984F44AF694B7D7EFDF400" hidden="1">#REF!</definedName>
    <definedName name="BO9F3815C59CD94487B9EEDEDBBFB9D5F9" hidden="1">#REF!</definedName>
    <definedName name="BO9F3A4AE9D55A4D16B6C257E6D4D706A9" hidden="1">#REF!</definedName>
    <definedName name="BO9F51BDC5AAF64E20B721575DE2926490" hidden="1">#REF!</definedName>
    <definedName name="BO9F587B242EEC4A32AE0FB7D80B93695D" hidden="1">#REF!</definedName>
    <definedName name="BO9F59F0CF054346C4A8B8071F63631632" hidden="1">#REF!</definedName>
    <definedName name="BO9F646D39CDE74F7CBF1FD85CE49F355F" hidden="1">#REF!</definedName>
    <definedName name="BO9F769FACCBC04F9F8063EA79472C0421" hidden="1">#REF!</definedName>
    <definedName name="BO9F77FA5560DD4B748ADC0D87FFD3C631" hidden="1">#REF!</definedName>
    <definedName name="BO9F7C553B6CB7402A977A72EDB28CF18B" hidden="1">#REF!</definedName>
    <definedName name="BO9F887FD6849F49D9AC6AB4D3CD65225C" hidden="1">#REF!</definedName>
    <definedName name="BO9F88E74E8FA9454194507C62BDD38B4C" hidden="1">#REF!</definedName>
    <definedName name="BO9F88FD5082FA4AB2A46F7939F463A781" hidden="1">#REF!</definedName>
    <definedName name="BO9F916FECEFA6451FA9FC8F431D8831D6" hidden="1">#REF!</definedName>
    <definedName name="BO9FA52B18E8F64006BB325E3D0DABA709" hidden="1">#REF!</definedName>
    <definedName name="BO9FB97496927A4E2881A5068E91A138AA" hidden="1">#REF!</definedName>
    <definedName name="BO9FD1FE04E4A44DBAA66287D8EAA6D691" hidden="1">#REF!</definedName>
    <definedName name="BO9FD5800BA7BF4CD2833F56BF64B17FDE" hidden="1">#REF!</definedName>
    <definedName name="BO9FD6A80880E14928B9751F707108B80D" hidden="1">#REF!</definedName>
    <definedName name="BO9FD9CCBF78BA40238DE953EEBECC9483" hidden="1">#REF!</definedName>
    <definedName name="BO9FDB5D88F35D41CC8829696BFBB49C62" hidden="1">#REF!</definedName>
    <definedName name="BO9FEACBD6B345412B9F3B8F8C935CBCDE" hidden="1">#REF!</definedName>
    <definedName name="BO9FF970A6066446D795155164CFD8F6F4" hidden="1">#REF!</definedName>
    <definedName name="BO9FFBC877F49C4970BF79331A907F9F59" hidden="1">#REF!</definedName>
    <definedName name="BO9FFFC27D381A442090D5EF53DE0DB117" hidden="1">#REF!</definedName>
    <definedName name="BOA003F64089C541088418A6675E5D4F2E" hidden="1">#REF!</definedName>
    <definedName name="BOA00499DFE0AD4D59A8EBD454682D4566" hidden="1">#REF!</definedName>
    <definedName name="BOA00880DB472548098F37346333C74D05" hidden="1">#REF!</definedName>
    <definedName name="BOA00A437FB37D42C082925B621039987F" hidden="1">#REF!</definedName>
    <definedName name="BOA01AFEFB19944AA7ADA3D3C3562A75AE" hidden="1">#REF!</definedName>
    <definedName name="BOA01C1304E20E4022809B91212D5C290C" hidden="1">#REF!</definedName>
    <definedName name="BOA01F47BE1F744DC68077D9E9859E20DB" hidden="1">#REF!</definedName>
    <definedName name="BOA025A1A7A93A4E19A3C564095AEB2AA8" hidden="1">#REF!</definedName>
    <definedName name="BOA040C52792D74D96B70DD108B0C73E9A" hidden="1">#REF!</definedName>
    <definedName name="BOA04179C8256F44A19D1E5207DE1D70E6" hidden="1">#REF!</definedName>
    <definedName name="BOA042FF813A194251B6C53BD0B889DD0E" hidden="1">#REF!</definedName>
    <definedName name="BOA043E51EFA3F442F95FCBAA021CD1FDA" hidden="1">#REF!</definedName>
    <definedName name="BOA04BB5B1ED1B419BB4F92E94E15DF689" hidden="1">#REF!</definedName>
    <definedName name="BOA051CE291D124DD3B30C2FE0A15AA4D8" hidden="1">#REF!</definedName>
    <definedName name="BOA052B9CF94274503A582CBD146A5D6D9" hidden="1">#REF!</definedName>
    <definedName name="BOA07BA99F6E984F378FFD1713BB865870" hidden="1">#REF!</definedName>
    <definedName name="BOA07DA9C9ECF64E58B820E1788E49C71D" hidden="1">#REF!</definedName>
    <definedName name="BOA07DD951DDDF4FE9969F28C0D641C385" hidden="1">#REF!</definedName>
    <definedName name="BOA0986713C3D24AA3B2115CF80A4DA0F5" hidden="1">#REF!</definedName>
    <definedName name="BOA09E84BC4ADF4944A8852B7DE8127ECE" hidden="1">#REF!</definedName>
    <definedName name="BOA0AD3AE8ED604DD4B7BCBD80F8D8B2E5" hidden="1">#REF!</definedName>
    <definedName name="BOA0AEBF8A366341D7909CF049E0E138F4" hidden="1">#REF!</definedName>
    <definedName name="BOA0BA6A9671A640468B314C2A00D0EF1D" hidden="1">#REF!</definedName>
    <definedName name="BOA0D1E6CC13894E4D938B2616CA0C9579" hidden="1">#REF!</definedName>
    <definedName name="BOA0D28D0B168046A08B0F7DC68B7A5B33" hidden="1">#REF!</definedName>
    <definedName name="BOA0D92B44B3AF4CC2B786187F992BC3DE" hidden="1">#REF!</definedName>
    <definedName name="BOA0EA6088DB204B369A978CDD15673181" hidden="1">#REF!</definedName>
    <definedName name="BOA0F23D93C6CB4E1394C3491A12FB918A" hidden="1">#REF!</definedName>
    <definedName name="BOA0FAB5E98F8F4DAF8BE79DE86C715B64" hidden="1">#REF!</definedName>
    <definedName name="BOA106979A8C734340A67B465554793DEC" hidden="1">#REF!</definedName>
    <definedName name="BOA10BBC0C79D043C6A8092D2E17BB2456" hidden="1">#REF!</definedName>
    <definedName name="BOA1178520C42A43C3A070D7384BF8763C" hidden="1">#REF!</definedName>
    <definedName name="BOA1225B1688F44712BC6B2AA19F86AD6F" hidden="1">#REF!</definedName>
    <definedName name="BOA12999E5B1F6425BBBF457431BB27AE8" hidden="1">#REF!</definedName>
    <definedName name="BOA133B53A1AE74BB1B8E32519A664FD6A" hidden="1">#REF!</definedName>
    <definedName name="BOA13DC474370242EEA0562E1E3B06B5D3" hidden="1">#REF!</definedName>
    <definedName name="BOA13EC368C4C648E19D1E947668E7F623" hidden="1">#REF!</definedName>
    <definedName name="BOA14670D35D0940AF9552B2571D36696B" hidden="1">#REF!</definedName>
    <definedName name="BOA15B3D509FBD48F5995D684F7D519199" hidden="1">#REF!</definedName>
    <definedName name="BOA15BEFD6D0224D1DB8D649FE16B4242E" hidden="1">#REF!</definedName>
    <definedName name="BOA16355018B0A4FB4B011DEA8FDEAB682" hidden="1">#REF!</definedName>
    <definedName name="BOA1649049BE814BDBA0CDC942B67CCA49" hidden="1">#REF!</definedName>
    <definedName name="BOA16946BFDAA94FC193A9E47DB9A195E4" hidden="1">#REF!</definedName>
    <definedName name="BOA170EB8108934041B9B7DAB1E4EA9941" hidden="1">#REF!</definedName>
    <definedName name="BOA1769B9A443748A1A774FC9BC3C3BE2C" hidden="1">#REF!</definedName>
    <definedName name="BOA18DE7D17B4149759E31E1CEF60F1D64" hidden="1">#REF!</definedName>
    <definedName name="BOA1A3A15F5F4B452382D4F6B152D2D792" hidden="1">#REF!</definedName>
    <definedName name="BOA1A5FBEF8D2A42BA8D985DCBFE49625F" hidden="1">#REF!</definedName>
    <definedName name="BOA1A6FB1E8EEC4B3F938EC99422BCB878" hidden="1">#REF!</definedName>
    <definedName name="BOA1BAA295386D4412B9A7E8C6DF769CD3" hidden="1">#REF!</definedName>
    <definedName name="BOA1C13AC98DF041FEABCB2C97F8D34D94" hidden="1">#REF!</definedName>
    <definedName name="BOA1CB41DE99B946ED8060E6D4E3CBBF6A" hidden="1">#REF!</definedName>
    <definedName name="BOA1CDD78036D245388EDEAFA6B39774E0" hidden="1">#REF!</definedName>
    <definedName name="BOA1E5782B38B947A9AB5AD877EF9C8EEA" hidden="1">#REF!</definedName>
    <definedName name="BOA1E77A95EC1548BF83D4198A0FCA0CBF" hidden="1">#REF!</definedName>
    <definedName name="BOA207616DFE424D428C7EFB6737A1CD2B" hidden="1">#REF!</definedName>
    <definedName name="BOA217BFD165254906B5E22149A244C73F" hidden="1">#REF!</definedName>
    <definedName name="BOA21870CC958F4E5692D77120B9FBEC53" hidden="1">#REF!</definedName>
    <definedName name="BOA22C882080AA49759628DC44AD0DBE9E" hidden="1">#REF!</definedName>
    <definedName name="BOA232885CE77D4C719E582B55FFA5CD9F" hidden="1">#REF!</definedName>
    <definedName name="BOA23733DB4F0F40D38F6FF7DCD848CC28" hidden="1">#REF!</definedName>
    <definedName name="BOA248533841684A95B772BFDCAEA98DF4" hidden="1">#REF!</definedName>
    <definedName name="BOA248D63C8D1141A1805C7DE124EA1782" hidden="1">#REF!</definedName>
    <definedName name="BOA254145C4AEA41FC8C8AF3471AF4C446" hidden="1">#REF!</definedName>
    <definedName name="BOA25C2F96F6114381A5B820C1C6E1A8F3" hidden="1">#REF!</definedName>
    <definedName name="BOA2630D1B26FA4442B4775CF68BE8EE3F" hidden="1">#REF!</definedName>
    <definedName name="BOA2631A8526EE4EC8872EC72D434CEF86" hidden="1">#REF!</definedName>
    <definedName name="BOA26621E7A644421AA98D0935C0CBE91C" hidden="1">#REF!</definedName>
    <definedName name="BOA288A7FD268D4BC58AAA6578BE404E19" hidden="1">#REF!</definedName>
    <definedName name="BOA28C2FD00509443C8779E0B6167BBE40" hidden="1">#REF!</definedName>
    <definedName name="BOA29BACD74C4A4005A810F5D2866C23A8" hidden="1">#REF!</definedName>
    <definedName name="BOA29E175B97B542ECB1AC79CA194927DB" hidden="1">#REF!</definedName>
    <definedName name="BOA2B06E6411F44525857D53FB2FEC6037" hidden="1">#REF!</definedName>
    <definedName name="BOA2B3ECCC72B14C90AAE14A289B4485FA" hidden="1">#REF!</definedName>
    <definedName name="BOA2B5C8698F154DB9AF521374243F45B8" hidden="1">#REF!</definedName>
    <definedName name="BOA2B823A7F54E41239DF7DA2437E3F287" hidden="1">#REF!</definedName>
    <definedName name="BOA2BAC3161C714AC6B847CED2CD851A67" hidden="1">#REF!</definedName>
    <definedName name="BOA2BE76EEBC0F4996B7CE7A148A9EBF0E" hidden="1">#REF!</definedName>
    <definedName name="BOA2C75C5634BD459C943E751434A2417C" hidden="1">#REF!</definedName>
    <definedName name="BOA2D7C158C09C44D5BCE62868324DADE5" hidden="1">#REF!</definedName>
    <definedName name="BOA2DA31257F7F4C18B64E1627837444ED" hidden="1">#REF!</definedName>
    <definedName name="BOA2DE90FC8D0F40829C031D4BF37D52A8" hidden="1">#REF!</definedName>
    <definedName name="BOA2E8E2A6BB0F440789D0BF744704E307" hidden="1">#REF!</definedName>
    <definedName name="BOA2EE7DF6AC3B49E58BAFEB2534E80106" hidden="1">#REF!</definedName>
    <definedName name="BOA2F3862B93D744C982E825EBE77C8F1F" hidden="1">#REF!</definedName>
    <definedName name="BOA2F6F24E03B84561976D0DE100648CEC" hidden="1">#REF!</definedName>
    <definedName name="BOA304B70595A7493285688114C1467EFD" hidden="1">#REF!</definedName>
    <definedName name="BOA324B9AA86B247518635EC767E46780E" hidden="1">#REF!</definedName>
    <definedName name="BOA32DEE114B184D7B99DC43459232DDE0" hidden="1">#REF!</definedName>
    <definedName name="BOA333276D38854DA28CC9859138D6FB8E" hidden="1">#REF!</definedName>
    <definedName name="BOA337DF717A24455E97B060158FFC53EB" hidden="1">#REF!</definedName>
    <definedName name="BOA363A3C42A0F4574A65D4070F2428DAD" hidden="1">#REF!</definedName>
    <definedName name="BOA36EA0BF8C434638AFAAA288FA2DE73C" hidden="1">#REF!</definedName>
    <definedName name="BOA3732ADAD18E4A5C954D9092CEF1DB4A" hidden="1">#REF!</definedName>
    <definedName name="BOA3755B409C114D2199E693463EAF269A" hidden="1">#REF!</definedName>
    <definedName name="BOA38D5014CE4B444FA28CB63D7C224CB9" hidden="1">#REF!</definedName>
    <definedName name="BOA39137B638AC4974979ABA079B35036D" hidden="1">#REF!</definedName>
    <definedName name="BOA3A69DECE3CB4B7FA649FC5D19F29AC0" hidden="1">#REF!</definedName>
    <definedName name="BOA3B58675C14642B7883E3D1CF94A578F" hidden="1">#REF!</definedName>
    <definedName name="BOA3B800EFD0DF403185DF831F49D6524F" hidden="1">#REF!</definedName>
    <definedName name="BOA3B90C1B02884B06AF07C7C2D81B41DB" hidden="1">#REF!</definedName>
    <definedName name="BOA3D296336AEC491DBE94EC35C517D786" hidden="1">#REF!</definedName>
    <definedName name="BOA3D3096EFDF34D208F22C3E27CF0AF54" hidden="1">#REF!</definedName>
    <definedName name="BOA3DB2601F4A4413783D86347BC2F71A0" hidden="1">#REF!</definedName>
    <definedName name="BOA3E683D6CB774665BE0AA6ABE522CFA0" hidden="1">#REF!</definedName>
    <definedName name="BOA3E8C9E3807E42EEBFF9FE2EBC220018" hidden="1">#REF!</definedName>
    <definedName name="BOA3FBED17DCB54A808AB972125DFDECE6" hidden="1">#REF!</definedName>
    <definedName name="BOA41CB8648E78456785D8D41BF374F274" hidden="1">#REF!</definedName>
    <definedName name="BOA41F85E811F442BA9E6BE13BEEE66C72" hidden="1">#REF!</definedName>
    <definedName name="BOA4269440744E4ED1B8F8FBB6DDA374C8" hidden="1">#REF!</definedName>
    <definedName name="BOA42E7458D0654D109F853BB5939D1E05" hidden="1">#REF!</definedName>
    <definedName name="BOA4372818CCE54D63A32C106557A4547D" hidden="1">#REF!</definedName>
    <definedName name="BOA43B5E0DF9744CB0BF143D11824B3A98" hidden="1">#REF!</definedName>
    <definedName name="BOA43BC8A077CB431C986B16302DB08C74" hidden="1">#REF!</definedName>
    <definedName name="BOA443BF4C1AE7464DA864634866C0FF84" hidden="1">#REF!</definedName>
    <definedName name="BOA45296666EAE4FB0AEBD390E2A954FD5" hidden="1">#REF!</definedName>
    <definedName name="BOA453E2015C754B32AF4EDD2017E53434" hidden="1">#REF!</definedName>
    <definedName name="BOA45916E65A934310B1A2B5B7CC93D5F1" hidden="1">#REF!</definedName>
    <definedName name="BOA45C5CD9D77B40A2BB131A1F345C797E" hidden="1">#REF!</definedName>
    <definedName name="BOA465E7E2ECC047378314897BEA595F1B" hidden="1">#REF!</definedName>
    <definedName name="BOA4785426D51E4DFCBF8CD4BEA983300A" hidden="1">#REF!</definedName>
    <definedName name="BOA485C28970A8418C8DB79B626EC14332" hidden="1">#REF!</definedName>
    <definedName name="BOA48759F7A91E45AD9DEF920D86CA51E6" hidden="1">#REF!</definedName>
    <definedName name="BOA48A0BD9E343443296BD59EE4553E269" hidden="1">#REF!</definedName>
    <definedName name="BOA4956D8F5D51485682D8818D618682AD" hidden="1">#REF!</definedName>
    <definedName name="BOA49844205F5448BDB0F5B024229AF710" hidden="1">#REF!</definedName>
    <definedName name="BOA49C9DD3B78C40BE99E52146C3D912D7" hidden="1">#REF!</definedName>
    <definedName name="BOA4A05F0D838B46CC8AFC311F7C1431DD" hidden="1">#REF!</definedName>
    <definedName name="BOA4B28A12D3B24F5EA660DEAC8AD933FF" hidden="1">#REF!</definedName>
    <definedName name="BOA4B5DCD558DA499E8495CFC9147965E6" hidden="1">#REF!</definedName>
    <definedName name="BOA4B680E0BD6B41F78AAB99F62B5C3B06" hidden="1">#REF!</definedName>
    <definedName name="BOA4BEF0424E4144D985C3E269696CCD68" hidden="1">#REF!</definedName>
    <definedName name="BOA4BFC0295D554FE3B0B4406C61979B91" hidden="1">#REF!</definedName>
    <definedName name="BOA4C1C659531242818812D12370E0739E" hidden="1">#REF!</definedName>
    <definedName name="BOA4D7D021AD384059BF17C370A19FD2C8" hidden="1">#REF!</definedName>
    <definedName name="BOA4DD448E5D4243839AABB068976B59AD" hidden="1">#REF!</definedName>
    <definedName name="BOA4E70FD2A05D49D4A19FBAB8D9BAF3B9" hidden="1">#REF!</definedName>
    <definedName name="BOA4EC8A2F912B4282A1E35D1AF03806B1" hidden="1">#REF!</definedName>
    <definedName name="BOA507575FC0124F55929D272219504203" hidden="1">#REF!</definedName>
    <definedName name="BOA51C89C3673C49B7AEC6C5CFE93DD803" hidden="1">#REF!</definedName>
    <definedName name="BOA51EB5934DB74ED4B1AE46E0AA41EDB6" hidden="1">#REF!</definedName>
    <definedName name="BOA52BA1F0CB4E46958F691C12F32E23DD" hidden="1">#REF!</definedName>
    <definedName name="BOA541865AC82B4578AE769D48D73ECEDE" hidden="1">#REF!</definedName>
    <definedName name="BOA548C3DA2E27449EBF73FC62F4B27A77" hidden="1">#REF!</definedName>
    <definedName name="BOA54DE5D168A54A69B5D296F9CC023ABE" hidden="1">#REF!</definedName>
    <definedName name="BOA55BE17DBCA0422EBE5923084652BFC7" hidden="1">#REF!</definedName>
    <definedName name="BOA55F17E48D3949C69687082350A8B4DE" hidden="1">#REF!</definedName>
    <definedName name="BOA56930BDD0A44BFB8CD2C7204D47584D" hidden="1">#REF!</definedName>
    <definedName name="BOA57C2CB4023349618F53C61B1262217C" hidden="1">#REF!</definedName>
    <definedName name="BOA59351C652B2411C94FA98E87CADC6B2" hidden="1">#REF!</definedName>
    <definedName name="BOA59591E2A89048F187D7B41678E1F934" hidden="1">#REF!</definedName>
    <definedName name="BOA595E58AEFEF4709ABC9B7C7CFF237D5" hidden="1">#REF!</definedName>
    <definedName name="BOA597F7CC0082494CBE0F0F34C4AE00B5" hidden="1">#REF!</definedName>
    <definedName name="BOA59A668145BB46D4BB9FFA4FAE5A323F" hidden="1">#REF!</definedName>
    <definedName name="BOA59AEC12C134462BA4221E5C1C109E9D" hidden="1">#REF!</definedName>
    <definedName name="BOA5AA8ADDA9DA45BFBDF4EDDADCDAD363" hidden="1">#REF!</definedName>
    <definedName name="BOA5E586E4CBDE432FB48C9398EB844CF4" hidden="1">#REF!</definedName>
    <definedName name="BOA5E835917A1F4DB39B46E2F8A04843DA" hidden="1">#REF!</definedName>
    <definedName name="BOA5FA07DEF2864A9A83CB3E22F48EBE00" hidden="1">#REF!</definedName>
    <definedName name="BOA5FBC2A5C5EC4DF1973A6B3BDF2C00C3" hidden="1">#REF!</definedName>
    <definedName name="BOA5FD959DBF634FD0A71D11806DD0F932" hidden="1">#REF!</definedName>
    <definedName name="BOA600B122F9A04BAA8C7D7FDD41E02DFE" hidden="1">#REF!</definedName>
    <definedName name="BOA60748AF47054FCBA4B7DC7439675B6F" hidden="1">#REF!</definedName>
    <definedName name="BOA6156F44A02D46AF9BC852233656641D" hidden="1">#REF!</definedName>
    <definedName name="BOA6299E0654D34A06B4838941203E4E2E" hidden="1">#REF!</definedName>
    <definedName name="BOA62D4BA5DB33421E8419C5CC364255C4" hidden="1">#REF!</definedName>
    <definedName name="BOA62DA38FDE784AB29FE4B1A91814A9A2" hidden="1">#REF!</definedName>
    <definedName name="BOA632343E23F04B9A85B0ACB002A241F8" hidden="1">#REF!</definedName>
    <definedName name="BOA6357AB91D694F4D99C05103DC0D1479" hidden="1">#REF!</definedName>
    <definedName name="BOA635B525FF9341DEBEE151EDC3BDFD6A" hidden="1">#REF!</definedName>
    <definedName name="BOA637B85621FF4A2FA68EC814BA1DFF58" hidden="1">#REF!</definedName>
    <definedName name="BOA63C47E3E23542148549875FE873928C" hidden="1">#REF!</definedName>
    <definedName name="BOA63EAA0CD5FF46F3AE644AF6D2C8A55E" hidden="1">#REF!</definedName>
    <definedName name="BOA640312767A54B3CB5435DD641E8D18B" hidden="1">#REF!</definedName>
    <definedName name="BOA64428406C2E488AA29FCEBF85175431" hidden="1">#REF!</definedName>
    <definedName name="BOA6494B730A21472EA5FDE55FD291BCBF" hidden="1">#REF!</definedName>
    <definedName name="BOA64D43678A5C45BCBCE4CDCD5D274A4A" hidden="1">#REF!</definedName>
    <definedName name="BOA65C0829550C490AA90B6BF814CB3329" hidden="1">#REF!</definedName>
    <definedName name="BOA660816DA47745E4B2270B42752E40B1" hidden="1">#REF!</definedName>
    <definedName name="BOA67ACE4E3E914291B299ABF6CB43225C" hidden="1">#REF!</definedName>
    <definedName name="BOA686C4406EF74097A3C264FC75DE7E6C" hidden="1">#REF!</definedName>
    <definedName name="BOA691FE58DDF34535BE2B61A921F4C25A" hidden="1">#REF!</definedName>
    <definedName name="BOA6A0B544F9184F35A9F6F68BFE294E6F" hidden="1">#REF!</definedName>
    <definedName name="BOA6A4896E7264443FA2646639674F833C" hidden="1">#REF!</definedName>
    <definedName name="BOA6BD1C47B44D4E6DBCEC93DCC50647D3" hidden="1">#REF!</definedName>
    <definedName name="BOA6C5FA9AFEAA480FB8737BD0E738B150" hidden="1">#REF!</definedName>
    <definedName name="BOA6D84AC9541A44A0B9ACABBFB4AA85B7" hidden="1">#REF!</definedName>
    <definedName name="BOA6EF5AD8C69A4B7FB0AC82C9B690B7F2" hidden="1">#REF!</definedName>
    <definedName name="BOA7164F82A2904FF6915C5F0612A7AEB2" hidden="1">#REF!</definedName>
    <definedName name="BOA71DA6F58ED743509BAEA98A6367ACD9" hidden="1">#REF!</definedName>
    <definedName name="BOA73C0BA5341649F8988A56D6B496C80C" hidden="1">#REF!</definedName>
    <definedName name="BOA7495D652F8E40C797B0E87C43868F6C" hidden="1">#REF!</definedName>
    <definedName name="BOA7880E46DD5D492987E0913D42B5EF33" hidden="1">#REF!</definedName>
    <definedName name="BOA79FDC0AF9A143EA8D12874300E5BBAE" hidden="1">#REF!</definedName>
    <definedName name="BOA7A4943FF0134C05991CB5DAA295E1D9" hidden="1">#REF!</definedName>
    <definedName name="BOA7AA16BF69714AB9AA0B930D8B6446A7" hidden="1">#REF!</definedName>
    <definedName name="BOA7AC4B62AE3541ABA4CB002D3FB9A5D9" hidden="1">#REF!</definedName>
    <definedName name="BOA7BADD59A744459FBB1AA86926A1B352" hidden="1">#REF!</definedName>
    <definedName name="BOA7CC7B46F7F140DCB64189443FC13133" hidden="1">#REF!</definedName>
    <definedName name="BOA7D0A7A9407043B5BEDFB567AE27744D" hidden="1">#REF!</definedName>
    <definedName name="BOA7D6CA14567C4F609E593EAF1B3439FC" hidden="1">#REF!</definedName>
    <definedName name="BOA7DD3A9AA5614507A7061CB69FC17F15" hidden="1">#REF!</definedName>
    <definedName name="BOA7E8E0622263431C9A233B00F60B0AFF" hidden="1">#REF!</definedName>
    <definedName name="BOA7E96BF710164B9D8FDA642CAA4C1E01" hidden="1">#REF!</definedName>
    <definedName name="BOA7F4DD1EA65145B2A4E39D5B50ED08B9" hidden="1">#REF!</definedName>
    <definedName name="BOA7F5A3A7925B4BD3AD9F45661EC0E746" hidden="1">#REF!</definedName>
    <definedName name="BOA7FB14CF31DB43708665AB862E78DB12" hidden="1">#REF!</definedName>
    <definedName name="BOA7FF1C3E42E4482C86073793C314A6AD" hidden="1">#REF!</definedName>
    <definedName name="BOA80B7BA690674200B57D11BF21D9A825" hidden="1">#REF!</definedName>
    <definedName name="BOA819BF06B8ED412A88A55713291D67CA" hidden="1">#REF!</definedName>
    <definedName name="BOA81B3EF63A0C473E893E4910409C39B8" hidden="1">#REF!</definedName>
    <definedName name="BOA81CF3FAEA914F06AAB7EB5A5F3F4991" hidden="1">#REF!</definedName>
    <definedName name="BOA8280CA49FAE43318FE9E294088046E6" hidden="1">#REF!</definedName>
    <definedName name="BOA828650F5D2E4C86844692A8A3AF395B" hidden="1">#REF!</definedName>
    <definedName name="BOA82F14F4B6E44174A990F75DCB97C706" hidden="1">#REF!</definedName>
    <definedName name="BOA84DD6814BF345BFB2AFA556B9B492CC" hidden="1">#REF!</definedName>
    <definedName name="BOA85B2EA5D082451F93D323DE2BA986D6" hidden="1">#REF!</definedName>
    <definedName name="BOA86595DC87BF49229511990D0B4FDCDA" hidden="1">#REF!</definedName>
    <definedName name="BOA8684BF7EFA84601925418CBB0FAC657" hidden="1">#REF!</definedName>
    <definedName name="BOA86ECF3E1391469690A6A8024389CDB2" hidden="1">#REF!</definedName>
    <definedName name="BOA872CAFB084D4747A273BCE505DC5E84" hidden="1">#REF!</definedName>
    <definedName name="BOA8730470846A41A09ED1185BD5F15F0C" hidden="1">#REF!</definedName>
    <definedName name="BOA873A655D1774BB980D9A4A30FEDB154" hidden="1">#REF!</definedName>
    <definedName name="BOA88186C861EE4CADA49A22D80670B1E3" hidden="1">#REF!</definedName>
    <definedName name="BOA885C3455CFF4CAD8625D740E2FC2313" hidden="1">#REF!</definedName>
    <definedName name="BOA894425977F241EF93EC27E241EB1517" hidden="1">#REF!</definedName>
    <definedName name="BOA89A42FC7B0441C68F17295B4C4EB847" hidden="1">#REF!</definedName>
    <definedName name="BOA8A039B5670449B48F4CF6247190923B" hidden="1">#REF!</definedName>
    <definedName name="BOA8A2F4A64C1F49C3AD3C78E42BF56576" hidden="1">#REF!</definedName>
    <definedName name="BOA8A9B500E63049AE8B11F29491FBA2C4" hidden="1">#REF!</definedName>
    <definedName name="BOA8AE036217504FA18CECFC8676773182" hidden="1">#REF!</definedName>
    <definedName name="BOA8AE19DDF5F940E0925A4A7CAFB7987C" hidden="1">#REF!</definedName>
    <definedName name="BOA8B4EFEC8DB54132AB09A58E11777C60" hidden="1">#REF!</definedName>
    <definedName name="BOA8B5B51FD0E640BC840263CBCE3CABA8" hidden="1">#REF!</definedName>
    <definedName name="BOA8BA8CC60D004E328969738E3772F17D" hidden="1">#REF!</definedName>
    <definedName name="BOA8D98DD916114633A6B49930FA7C8D9E" hidden="1">#REF!</definedName>
    <definedName name="BOA8DBA80EEBD741C7AB7C530AC0734D40" hidden="1">#REF!</definedName>
    <definedName name="BOA8F64559FD5B42ABB1DB10BB41247324" hidden="1">#REF!</definedName>
    <definedName name="BOA8F79689F63B4501A2073B129B0F6FCD" hidden="1">#REF!</definedName>
    <definedName name="BOA8FDE0DDB66E4B8BB958004ADF3B3186" hidden="1">#REF!</definedName>
    <definedName name="BOA90CADC33A1C4510BF5F65027EB1336F" hidden="1">#REF!</definedName>
    <definedName name="BOA90EC0BDE43B44DFA5465285A52402DF" hidden="1">#REF!</definedName>
    <definedName name="BOA9190BD6C7B148B2B6F561B395F70ABE" hidden="1">#REF!</definedName>
    <definedName name="BOA91DB03F16544CA1954746E9625EEAEF" hidden="1">#REF!</definedName>
    <definedName name="BOA9332335F53E41B7AF9B82A2461FA357" hidden="1">#REF!</definedName>
    <definedName name="BOA93B4A26A44D4493ACB93AE5E98BC402" hidden="1">#REF!</definedName>
    <definedName name="BOA9409E5F295946D2A8F9727BBEC56266" hidden="1">#REF!</definedName>
    <definedName name="BOA94F2B56659446E9B5BAC05CED68DDBD" hidden="1">#REF!</definedName>
    <definedName name="BOA950F591C406480EAB0E3DCC5F727EC5" hidden="1">#REF!</definedName>
    <definedName name="BOA952B816D8C5463A82CA5BA694DD4F24" hidden="1">#REF!</definedName>
    <definedName name="BOA95A45F23F4B4A24869EECB9C4FEC802" hidden="1">#REF!</definedName>
    <definedName name="BOA95E015B72344D50A2C71C390C333BC5" hidden="1">#REF!</definedName>
    <definedName name="BOA97D82300ED74DCDA71EB06337AE012D" hidden="1">#REF!</definedName>
    <definedName name="BOA97DE7C664074D069A049529C35A8BFE" hidden="1">#REF!</definedName>
    <definedName name="BOA987FC598B1841249B357506350A54B6" hidden="1">#REF!</definedName>
    <definedName name="BOA998BFA6696E4EE0812867AB104855F0" hidden="1">#REF!</definedName>
    <definedName name="BOA99948A725374376984C9C0982246EA2" hidden="1">#REF!</definedName>
    <definedName name="BOA9B1E249DCEC4306BD5D948C1CB22891" hidden="1">#REF!</definedName>
    <definedName name="BOA9B654B7E3844051B667DF74AED52129" hidden="1">#REF!</definedName>
    <definedName name="BOA9B8B8005914468CBF44BFBA49417150" hidden="1">#REF!</definedName>
    <definedName name="BOA9C797F8F8C5481FA4C97137ECED2840" hidden="1">#REF!</definedName>
    <definedName name="BOA9C91FB26A7842B4A196CD399B3D23C8" hidden="1">#REF!</definedName>
    <definedName name="BOA9D3FF8C5F874C0889B31CDB08783E49" hidden="1">#REF!</definedName>
    <definedName name="BOA9DDB9BD55B14F438A6CE276E4695021" hidden="1">#REF!</definedName>
    <definedName name="BOA9ED60FD5F844CD09508EBF4C0B3926A" hidden="1">#REF!</definedName>
    <definedName name="BOA9F4B9C5D3A64A1B883E60908A155CA2" hidden="1">#REF!</definedName>
    <definedName name="BOA9F57DA06917474CBCA71681EB4E8028" hidden="1">#REF!</definedName>
    <definedName name="BOA9F5837146F842EDA40C9B135D0FE7A6" hidden="1">#REF!</definedName>
    <definedName name="BOA9F7A690FD4A4CC0A01D0ED47E18612A" hidden="1">#REF!</definedName>
    <definedName name="BOA9FCA8A21C384F02A9B686ACAC7E0AB7" hidden="1">#REF!</definedName>
    <definedName name="BOAA02F8E6AD0D4ADBB254636CD6063A8B" hidden="1">#REF!</definedName>
    <definedName name="BOAA0300B4CEF34C5B98664430898D4F52" hidden="1">#REF!</definedName>
    <definedName name="BOAA07808F0341497DA3ECDD4183EF139B" hidden="1">#REF!</definedName>
    <definedName name="BOAA09E8E637CC493DB5CB613E75C86AE7" hidden="1">#REF!</definedName>
    <definedName name="BOAA1310CFCB074BAB8F36CAE8D7697E7D" hidden="1">#REF!</definedName>
    <definedName name="BOAA21AFDC1B4343959E9B91D89A619F61" hidden="1">#REF!</definedName>
    <definedName name="BOAA26D099691A428AB72D4D12E9EBB51C" hidden="1">#REF!</definedName>
    <definedName name="BOAA289B3B99EE40A1BAA1264A086B1090" hidden="1">#REF!</definedName>
    <definedName name="BOAA2FBD85973048F693C4B28962497D07" hidden="1">#REF!</definedName>
    <definedName name="BOAA365E142D5C454EB5A3ECC53CAA1E09" hidden="1">#REF!</definedName>
    <definedName name="BOAA37C194397D4DB18E8E3DDD2B779CB0" hidden="1">#REF!</definedName>
    <definedName name="BOAA3D152958DD4A549568D9E1C29ECF72" hidden="1">#REF!</definedName>
    <definedName name="BOAA3F2B9490C749189E04C779B89BFF06" hidden="1">#REF!</definedName>
    <definedName name="BOAA3FDD2FB2624D02B991006DCA629143" hidden="1">#REF!</definedName>
    <definedName name="BOAA44105E558C406FB0EF693566EB9D6F" hidden="1">#REF!</definedName>
    <definedName name="BOAA48519158ED48F38A6767ED9F953AC4" hidden="1">#REF!</definedName>
    <definedName name="BOAA53BE469B9B4D4FAC5D6EFBAFAA7E86" hidden="1">#REF!</definedName>
    <definedName name="BOAA5E124E21474FEF8C49B3E343976332" hidden="1">#REF!</definedName>
    <definedName name="BOAA626D403B8C4151A3FC2A285A432F32" hidden="1">#REF!</definedName>
    <definedName name="BOAA6C75AA27D54314A80989FE25C93948" hidden="1">#REF!</definedName>
    <definedName name="BOAA7AD125D1DA44618EA416381939819C" hidden="1">#REF!</definedName>
    <definedName name="BOAA89457F96EE4444A881F87426A41B48" hidden="1">#REF!</definedName>
    <definedName name="BOAA89D1957674468081C7B5FA930DF1C6" hidden="1">#REF!</definedName>
    <definedName name="BOAA96C7FB54B34C329708BAC5ED5F9DFA" hidden="1">#REF!</definedName>
    <definedName name="BOAAA4062C3ECE4F1FA6F7D215DEE1BE63" hidden="1">#REF!</definedName>
    <definedName name="BOAAA44B352AB44189B64626810C64B158" hidden="1">#REF!</definedName>
    <definedName name="BOAAAE6F5ACD99404EAEC4EAF9655264DF" hidden="1">#REF!</definedName>
    <definedName name="BOAAB5324461D14445BB92845BA8DF09EB" hidden="1">#REF!</definedName>
    <definedName name="BOAAB576EB2C954B1090D8082E276BB7C8" hidden="1">#REF!</definedName>
    <definedName name="BOAAB97CE66FF6453B94FB683C22A59DAC" hidden="1">#REF!</definedName>
    <definedName name="BOAABFF32B01E542318D814456CC549DA4" hidden="1">#REF!</definedName>
    <definedName name="BOAACA57E10AF2467481D554035655AD18" hidden="1">#REF!</definedName>
    <definedName name="BOAAD0DA9FDCC0406E94CCA6A01D89EDCA" hidden="1">#REF!</definedName>
    <definedName name="BOAADEFF235378460AB6893B670C7C40D8" hidden="1">#REF!</definedName>
    <definedName name="BOAAE89E31CE664F578122193EC1A7A83B" hidden="1">#REF!</definedName>
    <definedName name="BOAAE9D3C3875F41EB8DC2FCD563BF7051" hidden="1">#REF!</definedName>
    <definedName name="BOAB0DF435B27F43E39334D32BCF801D81" hidden="1">#REF!</definedName>
    <definedName name="BOAB1976CA81724DBBA54ACF6EDAE618D9" hidden="1">#REF!</definedName>
    <definedName name="BOAB1ED54BBB5A40C8894F11B004A45E70" hidden="1">#REF!</definedName>
    <definedName name="BOAB230EF844714A8A881A9B88C45C09F1" hidden="1">#REF!</definedName>
    <definedName name="BOAB2989BE0D294538B043E5C6DE09659A" hidden="1">#REF!</definedName>
    <definedName name="BOAB3C1F01F83249FF9F23B16957071DB1" hidden="1">#REF!</definedName>
    <definedName name="BOAB67E1E68DA04EA8953506350466849F" hidden="1">#REF!</definedName>
    <definedName name="BOAB71423E9BB94D7789A9AFAFC5F2E03D" hidden="1">#REF!</definedName>
    <definedName name="BOAB7A601CE0BA4A13BFDEE1268CB853A2" hidden="1">#REF!</definedName>
    <definedName name="BOAB9B9541C07A4962B93B311581993724" hidden="1">#REF!</definedName>
    <definedName name="BOABAE4C669B394F9EB0443B263E11E97E" hidden="1">#REF!</definedName>
    <definedName name="BOABB332BD03624C568BAF8EF300FE2A9F" hidden="1">#REF!</definedName>
    <definedName name="BOABBD0D4011314B2C8A7714D2698BFEF3" hidden="1">#REF!</definedName>
    <definedName name="BOABBE73C5E15F4541B0EB2F3DDCD6EE54" hidden="1">#REF!</definedName>
    <definedName name="BOABC0EF9762734558B3D64D6DCFC8E419" hidden="1">#REF!</definedName>
    <definedName name="BOABC7A058A494446FA54B57A06EE46935" hidden="1">#REF!</definedName>
    <definedName name="BOABCB082F04184AB0AFE2D27D149F593D" hidden="1">#REF!</definedName>
    <definedName name="BOABD08DB3AB1B45D6AF7C47D172C0AF1B" hidden="1">#REF!</definedName>
    <definedName name="BOABDA9868E87B456D8E7674A235AB0843" hidden="1">#REF!</definedName>
    <definedName name="BOABDDFD40C77641A29523D1BFC9056529" hidden="1">#REF!</definedName>
    <definedName name="BOABE0E3F8F0D34E0D83FFDAE54C5679E9" hidden="1">#REF!</definedName>
    <definedName name="BOABF0EDCD11C2410EAD7B9DF187274C1D" hidden="1">#REF!</definedName>
    <definedName name="BOAC09AC575A3248C2B2FBACCF1D7EEE17" hidden="1">#REF!</definedName>
    <definedName name="BOAC268CF6A68D402F9CF2BC2C9B4D7DC2" hidden="1">#REF!</definedName>
    <definedName name="BOAC2806EB8FD34342A9860821E171FE05" hidden="1">#REF!</definedName>
    <definedName name="BOAC29A2E18448486D864A2214F3FCDC0A" hidden="1">#REF!</definedName>
    <definedName name="BOAC2AE690B0954205B037E184E2B3BB7D" hidden="1">#REF!</definedName>
    <definedName name="BOAC383D7C385747C2AD0CC9D0C6EE8FD1" hidden="1">#REF!</definedName>
    <definedName name="BOAC45D1F394604C6E9767F21F0F8F4E4C" hidden="1">#REF!</definedName>
    <definedName name="BOAC55544068B142138C141638C3576770" hidden="1">#REF!</definedName>
    <definedName name="BOAC55ED52EED7478D8026B5EB62EEFE57" hidden="1">#REF!</definedName>
    <definedName name="BOAC5AFF75B8234640B1F29F6071E32E85" hidden="1">#REF!</definedName>
    <definedName name="BOAC640DA1972F43A1AB85124D6F10D31E" hidden="1">#REF!</definedName>
    <definedName name="BOAC78FC13FEF647C2A6FF68DF42C4519D" hidden="1">#REF!</definedName>
    <definedName name="BOAC7DFA001E314AC6ADDB9B845D782488" hidden="1">#REF!</definedName>
    <definedName name="BOAC80CB3B4B484A5F8172C4088CCFE6FE" hidden="1">#REF!</definedName>
    <definedName name="BOACAA8DF9EC3A44E2B82A7F666FE654D5" hidden="1">#REF!</definedName>
    <definedName name="BOACAC385EBA2C4C66910A10C48925D76D" hidden="1">#REF!</definedName>
    <definedName name="BOACB458813A6F4B359A2F4D2D4AF3CA97" hidden="1">#REF!</definedName>
    <definedName name="BOACB761594C7B461F83EDC80018BCEE8B" hidden="1">#REF!</definedName>
    <definedName name="BOACBD44B0208148F488A166DECAB33A13" hidden="1">#REF!</definedName>
    <definedName name="BOACCA4A02C648444A8A0CF09F35E1A57C" hidden="1">#REF!</definedName>
    <definedName name="BOACDCB83F372B463DB7098C401F8B0A4B" hidden="1">#REF!</definedName>
    <definedName name="BOACF46FE80798403393A61E40B82FB384" hidden="1">#REF!</definedName>
    <definedName name="BOAD0503E5D8F342CEB431FB2FFC1FC681" hidden="1">#REF!</definedName>
    <definedName name="BOAD05CB7B9DC648EC9ADC7FAEBBED9AFD" hidden="1">#REF!</definedName>
    <definedName name="BOAD07026530BF439B8BA8C6DB95B52C7F" hidden="1">#REF!</definedName>
    <definedName name="BOAD0929507A9F4C2E997C950A2E5A0056" hidden="1">#REF!</definedName>
    <definedName name="BOAD0C27CA78764A5D9A1D0D4F6E6274A7" hidden="1">#REF!</definedName>
    <definedName name="BOAD111D3D420C4A67871E020939F995EA" hidden="1">#REF!</definedName>
    <definedName name="BOAD184865A4804495B5D461E59DAB3771" hidden="1">#REF!</definedName>
    <definedName name="BOAD1EAFFE3430489D8085A0E379D7404A" hidden="1">#REF!</definedName>
    <definedName name="BOAD30DB9D8CBB4B6EAF49243604B19783" hidden="1">#REF!</definedName>
    <definedName name="BOAD506F9C09E4449FB66118170CE9CC89" hidden="1">#REF!</definedName>
    <definedName name="BOAD5984B53B4D4DC99D7696852A023662" hidden="1">#REF!</definedName>
    <definedName name="BOAD5AD52439C54190813D1E7691D6C653" hidden="1">#REF!</definedName>
    <definedName name="BOAD827A0D93094F8FB196AA960EFB8A3B" hidden="1">#REF!</definedName>
    <definedName name="BOAD83BFF483F94563B1F2B9830ABC5E2B" hidden="1">#REF!</definedName>
    <definedName name="BOAD8F6315432F4B23B950FB1F53076113" hidden="1">#REF!</definedName>
    <definedName name="BOAD9C9F031AD44AC38F1B54B73D58BB87" hidden="1">#REF!</definedName>
    <definedName name="BOADA7D7CAEABD463FBDC08DAFDEBCDCE8" hidden="1">#REF!</definedName>
    <definedName name="BOADAB9E0ADCE1418D86D4924536860336" hidden="1">#REF!</definedName>
    <definedName name="BOADC012CF830B48A3B8A75A7BF6D53623" hidden="1">#REF!</definedName>
    <definedName name="BOADC226C863EA46DB82C720AE5375A4E1" hidden="1">#REF!</definedName>
    <definedName name="BOADCD07D75DC04795AB9471279672C631" hidden="1">#REF!</definedName>
    <definedName name="BOADD6033B48F8457884AD22AB724BB561" hidden="1">#REF!</definedName>
    <definedName name="BOADE0B277A645407984E1F09E62505117" hidden="1">#REF!</definedName>
    <definedName name="BOADE80A923F8D469886805F6DCCDD1779" hidden="1">#REF!</definedName>
    <definedName name="BOADE99B1F5F454D92AD0A2C3AF360F5AC" hidden="1">#REF!</definedName>
    <definedName name="BOADEEE2071E0741F9AFC6977DE33D94CA" hidden="1">#REF!</definedName>
    <definedName name="BOADF93095CA444BAC8C75007B4DC819B2" hidden="1">#REF!</definedName>
    <definedName name="BOAE0085021A154A5CB1B519C15A7BACA9" hidden="1">#REF!</definedName>
    <definedName name="BOAE0398D9048542B5BEECF6CA5D65C831" hidden="1">#REF!</definedName>
    <definedName name="BOAE1168C53892482BB610AA791C019A03" hidden="1">#REF!</definedName>
    <definedName name="BOAE13FC2EC96B4EF88CFBBF46327207E6" hidden="1">#REF!</definedName>
    <definedName name="BOAE199AF198B04E90819B8B20FB323483" hidden="1">#REF!</definedName>
    <definedName name="BOAE22807BD3D34982943605BA3BCB6E92" hidden="1">#REF!</definedName>
    <definedName name="BOAE392FFDF649476588B722B597932FA4" hidden="1">#REF!</definedName>
    <definedName name="BOAE3DA71EC47D4887AD7AFC359BFF4283" hidden="1">#REF!</definedName>
    <definedName name="BOAE44FF2143094B7F8328CABBFB518070" hidden="1">#REF!</definedName>
    <definedName name="BOAE4B3117E03C4317A91B715D9A5465F2" hidden="1">#REF!</definedName>
    <definedName name="BOAE4D5748A51347DFB01F527BBA9F0A4D" hidden="1">#REF!</definedName>
    <definedName name="BOAE553FE441064F8AA40189431442BE72" hidden="1">#REF!</definedName>
    <definedName name="BOAE6363F320D84A878EF0F211ED8AAE06" hidden="1">#REF!</definedName>
    <definedName name="BOAE7C84FCF3584665B43F76F81780A46C" hidden="1">#REF!</definedName>
    <definedName name="BOAE8BD4FD9DD14BE0A9E374E4406FD02A" hidden="1">#REF!</definedName>
    <definedName name="BOAEA0A07724CC48DC9099FF6D630C89D0" hidden="1">#REF!</definedName>
    <definedName name="BOAEA10BBE2802476A82CF8325EEA34227" hidden="1">#REF!</definedName>
    <definedName name="BOAEC7EAB465434D0385BA254B4FAFFBAD" hidden="1">#REF!</definedName>
    <definedName name="BOAECBD2CA77244E98ADD77E6DFB4C1F53" hidden="1">#REF!</definedName>
    <definedName name="BOAECC90CF05D646C5BBC14D52A3A909BF" hidden="1">#REF!</definedName>
    <definedName name="BOAECE4AE8210B4F439BB76249C409FA59" hidden="1">#REF!</definedName>
    <definedName name="BOAED9C995A63E439B8BED655EFB7E446B" hidden="1">#REF!</definedName>
    <definedName name="BOAEDA46DFE51641B2A41F9C8BC50071CC" hidden="1">#REF!</definedName>
    <definedName name="BOAEE483398B304950B91586ED2A5977A9" hidden="1">#REF!</definedName>
    <definedName name="BOAF19E1D96AFB49F79DF0DA102326F5D1" hidden="1">#REF!</definedName>
    <definedName name="BOAF25334AC33946E298D0A4F0B972F095" hidden="1">#REF!</definedName>
    <definedName name="BOAF255B49F9EC4E0AAD070A02E24110EE" hidden="1">#REF!</definedName>
    <definedName name="BOAF26A8EAE3C64DDD8FB34B431E6846C8" hidden="1">#REF!</definedName>
    <definedName name="BOAF2AE7B1708E412FB4D7D9DB6CB48E96" hidden="1">#REF!</definedName>
    <definedName name="BOAF2B657DACA448EAB6878EC520E981C5" hidden="1">#REF!</definedName>
    <definedName name="BOAF3758BCFE9140AE8E54F4865F95D1D0" hidden="1">#REF!</definedName>
    <definedName name="BOAF381C7EAD1F46EABAF8400861907442" hidden="1">#REF!</definedName>
    <definedName name="BOAF384495853445908853612BC7EF624F" hidden="1">#REF!</definedName>
    <definedName name="BOAF44C5DCED2F49B28613152964CEDF8B" hidden="1">#REF!</definedName>
    <definedName name="BOAF46E3AF3A4C4C35B17882FE2FA4359B" hidden="1">#REF!</definedName>
    <definedName name="BOAF47D7580C394711980F27BD4EB1FFC4" hidden="1">#REF!</definedName>
    <definedName name="BOAF4D5845FF7D4FF298501DB4F832967E" hidden="1">#REF!</definedName>
    <definedName name="BOAF52EF5CCAE54B6C94BA0278E80B301E" hidden="1">#REF!</definedName>
    <definedName name="BOAF5E79B25E2645B885D661E980FBA61D" hidden="1">#REF!</definedName>
    <definedName name="BOAF5F3FF6522C4803BFFE75B29E7623C3" hidden="1">#REF!</definedName>
    <definedName name="BOAF68F3E66A644C8A854FBF088273F701" hidden="1">#REF!</definedName>
    <definedName name="BOAF6BBD6B68F54A7FA472CD87BDE902E6" hidden="1">#REF!</definedName>
    <definedName name="BOAF6BCA85824C4C929F0FD55D9AE5AC7C" hidden="1">#REF!</definedName>
    <definedName name="BOAF72D7E91E0C42DF96440C6BFA3DB59D" hidden="1">#REF!</definedName>
    <definedName name="BOAF733B329A64410FBD690F78A3FFC1CB" hidden="1">#REF!</definedName>
    <definedName name="BOAF74A0327F3E419BBD61BD3EE6F06BBA" hidden="1">#REF!</definedName>
    <definedName name="BOAF8207C698FE4DD4A147FBB12673D748" hidden="1">#REF!</definedName>
    <definedName name="BOAF9C5EABCFA74DE195FAF0C47F5EAE1C" hidden="1">#REF!</definedName>
    <definedName name="BOAFB1749517504B56AAC330BF32A0C543" hidden="1">#REF!</definedName>
    <definedName name="BOAFB59FE56D6A469081672861299BA182" hidden="1">#REF!</definedName>
    <definedName name="BOAFBDAA672DD44F02BB8519E0FBF662D1" hidden="1">#REF!</definedName>
    <definedName name="BOAFC14918E3C0440AB072AA5D09B01674" hidden="1">#REF!</definedName>
    <definedName name="BOAFC2ACBBB6C648C8BEBC0CE6586320D9" hidden="1">#REF!</definedName>
    <definedName name="BOAFCB0580180C4F5B909B075C7F8154B5" hidden="1">#REF!</definedName>
    <definedName name="BOAFCCF97B6C30434F80EA4D4CD7A6E6B0" hidden="1">#REF!</definedName>
    <definedName name="BOAFD92033784E4347BEF08633B0D37AF4" hidden="1">#REF!</definedName>
    <definedName name="BOAFE0B7779EB449219BB7D90A62DFB882" hidden="1">#REF!</definedName>
    <definedName name="BOAFE2291F13494B2FAF49B44566D1BA23" hidden="1">#REF!</definedName>
    <definedName name="BOAFE70C28BF8E4A8192F6E27D87FB9AC8" hidden="1">#REF!</definedName>
    <definedName name="BOAFF11EEB8B204BC8A0097A4980EC9808" hidden="1">#REF!</definedName>
    <definedName name="BOB00F500EBC3441AD8713E07BB94D4D45" hidden="1">#REF!</definedName>
    <definedName name="BOB0129F9CEFE8419B82515DC60167DCED" hidden="1">#REF!</definedName>
    <definedName name="BOB01FA175799543B69D78892BC1CBA7FA" hidden="1">#REF!</definedName>
    <definedName name="BOB024EBB2B0994FEABB2C700CBB720F03" hidden="1">#REF!</definedName>
    <definedName name="BOB02BCB3F18FB4AA98FD991FBE27A326D" hidden="1">#REF!</definedName>
    <definedName name="BOB02D9103006448D9A5D6182A7AA4842A" hidden="1">#REF!</definedName>
    <definedName name="BOB0327231296C445CA34231A24A4DD886" hidden="1">#REF!</definedName>
    <definedName name="BOB034B20601BB438BA3949561AA0D55C2" hidden="1">#REF!</definedName>
    <definedName name="BOB03BA12414754C559391C1FF361D10C8" hidden="1">#REF!</definedName>
    <definedName name="BOB0435C4E4223418288FB12D21E456B43" hidden="1">#REF!</definedName>
    <definedName name="BOB05BA2799B08442E86A7921725D88408" hidden="1">#REF!</definedName>
    <definedName name="BOB06485AED45144169545E5A933DC7646" hidden="1">#REF!</definedName>
    <definedName name="BOB06DE65E29E641309402A9AFB12D9DFD" hidden="1">#REF!</definedName>
    <definedName name="BOB0752A517EE6439C8BFD263D4A8F18B8" hidden="1">#REF!</definedName>
    <definedName name="BOB077D44AB1AE459FA2B0161CE96B29F0" hidden="1">#REF!</definedName>
    <definedName name="BOB07D82CDF3EA4606A9572B1ACE184F16" hidden="1">#REF!</definedName>
    <definedName name="BOB081CB5C24494620A8F061461B1E0E54" hidden="1">#REF!</definedName>
    <definedName name="BOB08508542D35449080CF66726EFCF705" hidden="1">#REF!</definedName>
    <definedName name="BOB08EB443FF5D4649BF4A67F67EC41B1E" hidden="1">#REF!</definedName>
    <definedName name="BOB090EC79C6F64821BA2D583258833E54" hidden="1">#REF!</definedName>
    <definedName name="BOB0AB2890599443FB946D9E21CC8A461A" hidden="1">#REF!</definedName>
    <definedName name="BOB0C9EF8614A74E5D93A88A613ABAA6EE" hidden="1">#REF!</definedName>
    <definedName name="BOB0CF79422381432E8366A45CF09C7ECE" hidden="1">#REF!</definedName>
    <definedName name="BOB0CF95BB49DE49D8966757965DA1CCAF" hidden="1">#REF!</definedName>
    <definedName name="BOB0DC68234E7F4F3B801D461FF13EB17C" hidden="1">#REF!</definedName>
    <definedName name="BOB0E04007425B41278345C73FFADAC099" hidden="1">#REF!</definedName>
    <definedName name="BOB0EC3D97C07E4DCB8274DD2FA6A4BC69" hidden="1">#REF!</definedName>
    <definedName name="BOB0F26CB22196408E8B624DB1BC670C1D" hidden="1">#REF!</definedName>
    <definedName name="BOB10AB74213E645849CB673F1A06A60DD" hidden="1">#REF!</definedName>
    <definedName name="BOB10C3781F62B4184A41129BCBA35F8E8" hidden="1">#REF!</definedName>
    <definedName name="BOB1151C594BA04DC897564491D6D112B0" hidden="1">#REF!</definedName>
    <definedName name="BOB11BB4687E3C4E77940E48C1C6FA9B27" hidden="1">#REF!</definedName>
    <definedName name="BOB12F68B8D76C4E32AF05F9384C202E74" hidden="1">#REF!</definedName>
    <definedName name="BOB13819DEAD124BB4BF69344CDDE4CF35" hidden="1">#REF!</definedName>
    <definedName name="BOB1658FFD7E0341EDBAA855F65911E95D" hidden="1">#REF!</definedName>
    <definedName name="BOB16F731EAD8D42ABBB3AED91AD2DE6C7" hidden="1">#REF!</definedName>
    <definedName name="BOB172156C945148349A8849885BC0A678" hidden="1">#REF!</definedName>
    <definedName name="BOB17D82F051914DC89555E91E422E6461" hidden="1">#REF!</definedName>
    <definedName name="BOB1853743A0F44CA8A262C185041BED42" hidden="1">#REF!</definedName>
    <definedName name="BOB18E75A435DE4ABE9160F200D12E5084" hidden="1">#REF!</definedName>
    <definedName name="BOB1960E533FF84E9A9C0A9C2F8E1713F4" hidden="1">#REF!</definedName>
    <definedName name="BOB1A1984EFDE646BBA69DAFA589169489" hidden="1">#REF!</definedName>
    <definedName name="BOB1A7FB2825674E6C93EE7D24E3E6CED8" hidden="1">#REF!</definedName>
    <definedName name="BOB1B5049468294D53AFBC634B3088F901" hidden="1">#REF!</definedName>
    <definedName name="BOB1B8022722C3486480B14F38F75CC5A4" hidden="1">#REF!</definedName>
    <definedName name="BOB1E015359263421CA5DC57156D6CEF6D" hidden="1">#REF!</definedName>
    <definedName name="BOB1ECE4CD264A49439226C4998C6DC20A" hidden="1">#REF!</definedName>
    <definedName name="BOB1EF4DF3C27544DBAAA4CCD057C523EA" hidden="1">#REF!</definedName>
    <definedName name="BOB20153BD73BF4227A85FA7AF030DF0F1" hidden="1">#REF!</definedName>
    <definedName name="BOB203288D71094A88A31DB60D9FE5A073" hidden="1">#REF!</definedName>
    <definedName name="BOB2138054F3114B6BA0A6625A89F5A503" hidden="1">#REF!</definedName>
    <definedName name="BOB2165BBDDAF44AD1A42B6ED602C25D50" hidden="1">#REF!</definedName>
    <definedName name="BOB22D4E0487CB41639CB01FFECE79BE32" hidden="1">#REF!</definedName>
    <definedName name="BOB24CB1C651874B7F9C928A5A82239D39" hidden="1">#REF!</definedName>
    <definedName name="BOB2573C995040481191E67CAF7FEE791A" hidden="1">#REF!</definedName>
    <definedName name="BOB25C37D186644000AE2CA57D58B82FC6" hidden="1">#REF!</definedName>
    <definedName name="BOB25E72CBE060481C9A80058EDB24A23E" hidden="1">#REF!</definedName>
    <definedName name="BOB264451CE9CE4866B6D78878B2A3D2E5" hidden="1">#REF!</definedName>
    <definedName name="BOB26B469973A744059CA3E6B03AB2CBB6" hidden="1">#REF!</definedName>
    <definedName name="BOB26BE35C567D4615A982A58A5170B333" hidden="1">#REF!</definedName>
    <definedName name="BOB27A0C2171054AA688DCC82F1A8E31A8" hidden="1">#REF!</definedName>
    <definedName name="BOB27C31A7A98E4BD79F77D6B504175A27" hidden="1">#REF!</definedName>
    <definedName name="BOB281EB7DB99845FABE12BC69B1C4A8CF" hidden="1">#REF!</definedName>
    <definedName name="BOB29B445D291348539A85C0A295812EA4" hidden="1">#REF!</definedName>
    <definedName name="BOB29FBBCE6CA4443A86F68AF4855CA2BC" hidden="1">#REF!</definedName>
    <definedName name="BOB2A257FE032A414C83ADFE54C30A72B7" hidden="1">#REF!</definedName>
    <definedName name="BOB2A90612CC92409CBF3DD014D5D74A3F" hidden="1">#REF!</definedName>
    <definedName name="BOB2B444F9E61E43A8B7916F51389B1810" hidden="1">#REF!</definedName>
    <definedName name="BOB2BC7A0475EC4B73A4C459AAF480D2ED" hidden="1">#REF!</definedName>
    <definedName name="BOB2BC955404624D8A8AD22FFDAA68C0FB" hidden="1">#REF!</definedName>
    <definedName name="BOB2CF5927E15D4E14B5E7D3133B74EDE5" hidden="1">#REF!</definedName>
    <definedName name="BOB2EB20CB480547FB902577BE895BD2DF" hidden="1">#REF!</definedName>
    <definedName name="BOB2FBE313FBB44D2190C46E4B604641C3" hidden="1">#REF!</definedName>
    <definedName name="BOB31C21D07864421A9B248D0ED37D1F56" hidden="1">#REF!</definedName>
    <definedName name="BOB32DE1A0B0C74E06B3241D1C50CBA51D" hidden="1">#REF!</definedName>
    <definedName name="BOB33A8E309317497987385859AA513378" hidden="1">#REF!</definedName>
    <definedName name="BOB33E5FDDF146407DADDFE87BB0770BDB" hidden="1">#REF!</definedName>
    <definedName name="BOB359F0FF330445ED84549B0E3D219F4B" hidden="1">#REF!</definedName>
    <definedName name="BOB35C2F89030B4F199B789C70547179C3" hidden="1">#REF!</definedName>
    <definedName name="BOB372F4840BB147BE8F299BF6679474B5" hidden="1">#REF!</definedName>
    <definedName name="BOB37ACDD0B1414A168B636880549CCF70" hidden="1">#REF!</definedName>
    <definedName name="BOB37ADEBE55DF4605A9FFE27633EF0A62" hidden="1">#REF!</definedName>
    <definedName name="BOB38BF544CE4E468A9254418F7CBDA244" hidden="1">#REF!</definedName>
    <definedName name="BOB39D4313B3974263ABF9B81090AB3283" hidden="1">#REF!</definedName>
    <definedName name="BOB39DF9C9D4964A2D856490F6152FDF0C" hidden="1">#REF!</definedName>
    <definedName name="BOB3A3475CAF5943898DC8ABAA47FC00A8" hidden="1">#REF!</definedName>
    <definedName name="BOB3A6BCB7AFE4443FAC19B352FB7B5DE8" hidden="1">#REF!</definedName>
    <definedName name="BOB3B28E479493418499FB5696A1F866C2" hidden="1">#REF!</definedName>
    <definedName name="BOB3C3FD91DCC84A76AD754BE79F79583F" hidden="1">#REF!</definedName>
    <definedName name="BOB3C51E526F6E498685E6AAC574DE839B" hidden="1">#REF!</definedName>
    <definedName name="BOB3C65EF9ED0F4414A67C0A7D3A799A67" hidden="1">#REF!</definedName>
    <definedName name="BOB3CF7BE6E7264CA38E1C9BFB0F677C96" hidden="1">#REF!</definedName>
    <definedName name="BOB3D2CF6A542A48268FB6589C7CB9CBF2" hidden="1">#REF!</definedName>
    <definedName name="BOB3D32820497048C8A7E4E9081B994E29" hidden="1">#REF!</definedName>
    <definedName name="BOB3D5B36E0FB8404F944EE0D39A18AE87" hidden="1">#REF!</definedName>
    <definedName name="BOB3D7908E4190494082F2DB681B37444D" hidden="1">#REF!</definedName>
    <definedName name="BOB3E9A82A040A4964A072950A231EC036" hidden="1">#REF!</definedName>
    <definedName name="BOB3EA75A6B53B4B72BECDEBC607E3B3DE" hidden="1">#REF!</definedName>
    <definedName name="BOB3EF754AE6BB409AA2C86ACEA63D329E" hidden="1">#REF!</definedName>
    <definedName name="BOB3F1E02838EA4B1BB0C5441882DFBF47" hidden="1">#REF!</definedName>
    <definedName name="BOB4014076B7BB49C09953FAE16F54218C" hidden="1">#REF!</definedName>
    <definedName name="BOB411E6146B714397AC3F1D397580EF1F" hidden="1">#REF!</definedName>
    <definedName name="BOB41CCE82446D4F36B4A930573C0590C5" hidden="1">#REF!</definedName>
    <definedName name="BOB42235857287457CB25C82D0F28416DD" hidden="1">#REF!</definedName>
    <definedName name="BOB43DB40437E6493B837C0DB8FF40795B" hidden="1">#REF!</definedName>
    <definedName name="BOB45A6988D45041F9A8399B1DF6A1C85F" hidden="1">#REF!</definedName>
    <definedName name="BOB4605308CC9C45749F4ABE13C30ECE4E" hidden="1">#REF!</definedName>
    <definedName name="BOB465B30A98CB498FBDC20C5B6D671716" hidden="1">#REF!</definedName>
    <definedName name="BOB470F42D76414C508B7F785B21C3E5AD" hidden="1">#REF!</definedName>
    <definedName name="BOB474FEDE9D2A4612BA2A96B11B34BFF2" hidden="1">#REF!</definedName>
    <definedName name="BOB47A65DAFA284D4E9C8D878BA1189159" hidden="1">#REF!</definedName>
    <definedName name="BOB486A9E496CE471DB4E7F7BEBC89D3F6" hidden="1">#REF!</definedName>
    <definedName name="BOB49FC31D00CF4D788B8DCE09D776E09C" hidden="1">#REF!</definedName>
    <definedName name="BOB4A0BB951D424705A1A79722DA720E81" hidden="1">#REF!</definedName>
    <definedName name="BOB4A71221E79E49278199717213B852AC" hidden="1">#REF!</definedName>
    <definedName name="BOB4AC5E57ECC04B94868467C0E2EFC676" hidden="1">#REF!</definedName>
    <definedName name="BOB4AE4A8B4DB041AAA635F2E9FAD18107" hidden="1">#REF!</definedName>
    <definedName name="BOB4B196D3D3614BB0990C612CCB194296" hidden="1">#REF!</definedName>
    <definedName name="BOB4C0D3AFFC974596A0BF1A89680298B9" hidden="1">#REF!</definedName>
    <definedName name="BOB4CA2D29FC6D46C090DC835483EE6B19" hidden="1">#REF!</definedName>
    <definedName name="BOB4D39D5A8FF74CDF92282E47217AD4C0" hidden="1">#REF!</definedName>
    <definedName name="BOB4D8EB06E6A541F785F982727A620132" hidden="1">#REF!</definedName>
    <definedName name="BOB4E3B8A2E8CD4E3AAD3B3D87452D5B50" hidden="1">#REF!</definedName>
    <definedName name="BOB4E6970314174C22A23CD2998F981F6A" hidden="1">#REF!</definedName>
    <definedName name="BOB4E7856816AC4B1890795302A5628B4E" hidden="1">#REF!</definedName>
    <definedName name="BOB4E97D44C73544679568ED824E38D1EC" hidden="1">#REF!</definedName>
    <definedName name="BOB4F30A70B12B4A9983F1CCE033BCFF68" hidden="1">#REF!</definedName>
    <definedName name="BOB504B42EC7C740FAAFDCA6E24CF911D9" hidden="1">#REF!</definedName>
    <definedName name="BOB50CAB38AC9C4C57AB8DED3AD2716C94" hidden="1">#REF!</definedName>
    <definedName name="BOB5170EEE60BA4A3E8E32D6DE15E5D32E" hidden="1">#REF!</definedName>
    <definedName name="BOB5175846E4AE480782AED046995B2BF2" hidden="1">#REF!</definedName>
    <definedName name="BOB52027AF7227401C8906F53DDA70922F" hidden="1">#REF!</definedName>
    <definedName name="BOB52E82C9D6964717A5345570EAE70D5A" hidden="1">#REF!</definedName>
    <definedName name="BOB53ABE8009384F67B912779F43E53150" hidden="1">#REF!</definedName>
    <definedName name="BOB55AB5F97D624B1A9EB174F428A25FF5" hidden="1">#REF!</definedName>
    <definedName name="BOB55E1F1198F14C609468DB1B9D8516B2" hidden="1">#REF!</definedName>
    <definedName name="BOB560CC4A48344801B7C7BC50BEA82DBC" hidden="1">#REF!</definedName>
    <definedName name="BOB56850D9C88D4AED944CA599BDDCF38D" hidden="1">#REF!</definedName>
    <definedName name="BOB56D905365194C0DBD127119E8577F6E" hidden="1">#REF!</definedName>
    <definedName name="BOB5701D543D874F56B3916A8E9393873B" hidden="1">#REF!</definedName>
    <definedName name="BOB574EFC94D5B44D5BC2FF1E6B3169A5D" hidden="1">#REF!</definedName>
    <definedName name="BOB58D940A745248DB914726794C0D9688" hidden="1">#REF!</definedName>
    <definedName name="BOB5931A5406A64981B9FE762663EF15D9" hidden="1">#REF!</definedName>
    <definedName name="BOB59543762BF1497CA95FDB7CDC060E17" hidden="1">#REF!</definedName>
    <definedName name="BOB598E0DF66594C95A4CD38157B5FDB20" hidden="1">#REF!</definedName>
    <definedName name="BOB59C7FC965454A3BB89FE6F7379537D9" hidden="1">#REF!</definedName>
    <definedName name="BOB5A397D8199B491493186890C5409C66" hidden="1">#REF!</definedName>
    <definedName name="BOB5AF7D0127E04D45B3927F609D16CCA0" hidden="1">#REF!</definedName>
    <definedName name="BOB5B5D4437E3E4874A00E90809359497D" hidden="1">#REF!</definedName>
    <definedName name="BOB5B82BBCB8704DD59AE74A83BBB5D6D7" hidden="1">#REF!</definedName>
    <definedName name="BOB5C735FDD94741DBBF780BE47D05D021" hidden="1">#REF!</definedName>
    <definedName name="BOB5D56A3ED48A4165B02F9008341ECBC7" hidden="1">#REF!</definedName>
    <definedName name="BOB5D7FFC499A544868F05FC7C3F0E8D9E" hidden="1">#REF!</definedName>
    <definedName name="BOB5D89C84CE58460092C4D8C639AAF5FF" hidden="1">#REF!</definedName>
    <definedName name="BOB5EC17A41669463A8783E28E492736E2" hidden="1">#REF!</definedName>
    <definedName name="BOB5F66A80CE624E5CBA61DD89F7F3DF6E" hidden="1">#REF!</definedName>
    <definedName name="BOB607E6D121DD430EB953846058C1C2DB" hidden="1">#REF!</definedName>
    <definedName name="BOB617BDDDF92C4B00A42846B294BA5774" hidden="1">#REF!</definedName>
    <definedName name="BOB6198DABB89F42879F3AE6CDAF5061D3" hidden="1">#REF!</definedName>
    <definedName name="BOB62E5089245F43318434BDA51576E52C" hidden="1">#REF!</definedName>
    <definedName name="BOB62EEEACD9A84F49A9D06AF33E63CA12" hidden="1">#REF!</definedName>
    <definedName name="BOB63098E665B04F72ACBE45F508C4D6B3" hidden="1">#REF!</definedName>
    <definedName name="BOB6357FC875814E18B9A2B6D7A1EC83D6" hidden="1">#REF!</definedName>
    <definedName name="BOB63856EA44CF4A1894C7F205A640D90F" hidden="1">#REF!</definedName>
    <definedName name="BOB63B6672FEE547079F387A0800D62D0B" hidden="1">#REF!</definedName>
    <definedName name="BOB6455514E5144513BDF4FEA59195D77B" hidden="1">#REF!</definedName>
    <definedName name="BOB647AECDE6DC46CDB3BA2194A6F7FC70" hidden="1">#REF!</definedName>
    <definedName name="BOB65A8AACAE204004A1B8D717093B224D" hidden="1">#REF!</definedName>
    <definedName name="BOB666CC50F79844DA86B38E02A6E54D6B" hidden="1">#REF!</definedName>
    <definedName name="BOB66B71E7A1F7487989D0086A6AED89FA" hidden="1">#REF!</definedName>
    <definedName name="BOB66D498F4B204D4A8DD0AC21DE49F7E4" hidden="1">#REF!</definedName>
    <definedName name="BOB6700FFD6B504BF6AA22F70A462A5B5B" hidden="1">#REF!</definedName>
    <definedName name="BOB67907EA1AD04747BAFF6F76D4C31180" hidden="1">#REF!</definedName>
    <definedName name="BOB68D4CD479DA40D6B36617606E8E8552" hidden="1">#REF!</definedName>
    <definedName name="BOB699A27251814F868614DB6E77B89DC5" hidden="1">#REF!</definedName>
    <definedName name="BOB6BFC0817F0E447D830BDCC6BD8569E8" hidden="1">#REF!</definedName>
    <definedName name="BOB6C2746564C0432590B8A77BEEE69CA1" hidden="1">#REF!</definedName>
    <definedName name="BOB6D2D6E4AB1D4B8EAC5D752E783D2555" hidden="1">#REF!</definedName>
    <definedName name="BOB6DCF5E790974FD099D4AEB4CC1AC0A7" hidden="1">#REF!</definedName>
    <definedName name="BOB6EAE608907A4D7A9FA5DB1093D42DF1" hidden="1">#REF!</definedName>
    <definedName name="BOB6EAED81AF2C4F5AB510286997E12F36" hidden="1">#REF!</definedName>
    <definedName name="BOB6F09119385A4B1592C88A16B628E851" hidden="1">#REF!</definedName>
    <definedName name="BOB6F27FD8EB634D55832DE0FDC15FD7E4" hidden="1">#REF!</definedName>
    <definedName name="BOB705A8E9175543B8BA3447322E7382B3" hidden="1">#REF!</definedName>
    <definedName name="BOB70BFDEFEC2144CDBA2B8B2B06E50731" hidden="1">#REF!</definedName>
    <definedName name="BOB7190ADB284746CDB24B0B5F1DEBDF38" hidden="1">#REF!</definedName>
    <definedName name="BOB738ACD61105421991515EB983D3EE0D" hidden="1">#REF!</definedName>
    <definedName name="BOB750421725734F21BB6E8ECEEF9D26B0" hidden="1">#REF!</definedName>
    <definedName name="BOB751DE3BA6F341E5800C518B70D5B088" hidden="1">#REF!</definedName>
    <definedName name="BOB7590E7907A04ED7A1BCA486EB144194" hidden="1">#REF!</definedName>
    <definedName name="BOB759359E0BA34EC98E3AFC1897ECEA50" hidden="1">#REF!</definedName>
    <definedName name="BOB76311B502CC4241B8EB69EB145AD993" hidden="1">#REF!</definedName>
    <definedName name="BOB7763A1112E747EFA6A13AA6D498F8DA" hidden="1">#REF!</definedName>
    <definedName name="BOB77CF889A45C4D98B7CA6993CE5A6758" hidden="1">#REF!</definedName>
    <definedName name="BOB77E656C54BC4682B90C7AC84EE34A07" hidden="1">#REF!</definedName>
    <definedName name="BOB7836FD3C4754E0C8762D3205BABE37A" hidden="1">#REF!</definedName>
    <definedName name="BOB7891C8E302F4E88A04B00A60923BDD2" hidden="1">#REF!</definedName>
    <definedName name="BOB79C094D1C944ED39E3DB417F0F88374" hidden="1">#REF!</definedName>
    <definedName name="BOB7A5F676C263465E9FF8BB998237D311" hidden="1">#REF!</definedName>
    <definedName name="BOB7A6D510F48B49199431273B42481F8C" hidden="1">#REF!</definedName>
    <definedName name="BOB7A7C18837354B27A74735C44D25B9B0" hidden="1">#REF!</definedName>
    <definedName name="BOB7AE52B7D5AA429CAD076A9AD4817407" hidden="1">#REF!</definedName>
    <definedName name="BOB7B17F2E9EB6454197E680FA096E2B98" hidden="1">#REF!</definedName>
    <definedName name="BOB7C317F8628044F89BE79767F394FC9B" hidden="1">#REF!</definedName>
    <definedName name="BOB7C561F8FEB44E6AAE97BAB1F4964526" hidden="1">#REF!</definedName>
    <definedName name="BOB7C6695A69844DEBA43D4373359B0FE4" hidden="1">#REF!</definedName>
    <definedName name="BOB7C853A4573945F2ACA231D4B82CB5B5" hidden="1">#REF!</definedName>
    <definedName name="BOB7CF3A4DB1A94DC58D3EE6563ABF1B1F" hidden="1">#REF!</definedName>
    <definedName name="BOB7DF919F2FCC4B2BB47DB2EFE412B5A5" hidden="1">#REF!</definedName>
    <definedName name="BOB7E9DDF68E694FD09AD10D87A360C431" hidden="1">#REF!</definedName>
    <definedName name="BOB7EE501DA30A49A1A53AB18DB04D4CD7" hidden="1">#REF!</definedName>
    <definedName name="BOB7F1267B63AC4FDEAF05F8A44DC5E38F" hidden="1">#REF!</definedName>
    <definedName name="BOB7F487593193415DA3C5D240F46163BB" hidden="1">#REF!</definedName>
    <definedName name="BOB803F441BE8B446DBEA0DDBE7A5E86CD" hidden="1">#REF!</definedName>
    <definedName name="BOB807E2E19FF545699B817928850EE76B" hidden="1">#REF!</definedName>
    <definedName name="BOB81E9D111CAC46E3A3AFD58EA8521E13" hidden="1">#REF!</definedName>
    <definedName name="BOB82910ACB1604AB9892165D623DF96D2" hidden="1">#REF!</definedName>
    <definedName name="BOB82C3A6623C34F80848546B686D71CE8" hidden="1">#REF!</definedName>
    <definedName name="BOB8358D6F6D764CF7B46D37B21B213F8D" hidden="1">#REF!</definedName>
    <definedName name="BOB83709E25DA24B26AFB4ECB7E8B61FEB" hidden="1">#REF!</definedName>
    <definedName name="BOB83AF06656AD410EA5C72A095D602C38" hidden="1">#REF!</definedName>
    <definedName name="BOB84917541DC74340891F8F9293BD308B" hidden="1">#REF!</definedName>
    <definedName name="BOB86E4883F0F54A4593FC6957F0F88E66" hidden="1">#REF!</definedName>
    <definedName name="BOB87483D9C2F54320AFAEAA2D34993CB5" hidden="1">#REF!</definedName>
    <definedName name="BOB87A094099AD439CB2A2D6CB183E1EEC" hidden="1">#REF!</definedName>
    <definedName name="BOB87F37B0134E4FCA80E5FAE213722B6D" hidden="1">#REF!</definedName>
    <definedName name="BOB882300F16A14F0A8D0D693C8DC7528B" hidden="1">#REF!</definedName>
    <definedName name="BOB89351A5D2DA4A76A148CA3BFCD5F1CC" hidden="1">#REF!</definedName>
    <definedName name="BOB897E4187FC0473E8398A141F2A1B2C6" hidden="1">#REF!</definedName>
    <definedName name="BOB89F6024F31E457C84C5674562FB70CC" hidden="1">#REF!</definedName>
    <definedName name="BOB8A23BD830EF4C36A7F109CE7F0DCFA5" hidden="1">#REF!</definedName>
    <definedName name="BOB8A4FBD530B74B69BF25C0B6AD3578AD" hidden="1">#REF!</definedName>
    <definedName name="BOB8B09827EB0148429CC5BED507551FCA" hidden="1">#REF!</definedName>
    <definedName name="BOB8B31B92CAC14444B0139962BC3C2B62" hidden="1">#REF!</definedName>
    <definedName name="BOB8BA48CBAB834E0188D507D8C9CF380C" hidden="1">#REF!</definedName>
    <definedName name="BOB8D45BE871E84558A6FBB855E282FEC6" hidden="1">#REF!</definedName>
    <definedName name="BOB8D88A7C1F1444288296D885A85B21D1" hidden="1">#REF!</definedName>
    <definedName name="BOB8DC2D14D7D24864B33E79FB6FD192FB" hidden="1">#REF!</definedName>
    <definedName name="BOB8E1C6F59A414224933C2FD734996660" hidden="1">#REF!</definedName>
    <definedName name="BOB8F6BF314C0E48CDBBA09222734A4AF5" hidden="1">#REF!</definedName>
    <definedName name="BOB8FC888F7F274D7ABFA1CE4402AF0C80" hidden="1">#REF!</definedName>
    <definedName name="BOB91B5538838B44BE886798F446EE961E" hidden="1">#REF!</definedName>
    <definedName name="BOB91B83E348F4487396143C09526EA45E" hidden="1">#REF!</definedName>
    <definedName name="BOB920E64A7E09487A86AE0A14E1DD7918" hidden="1">#REF!</definedName>
    <definedName name="BOB923629892A7415993EDBE25E71CEB3E" hidden="1">#REF!</definedName>
    <definedName name="BOB93F476931294287AFFC9D977863DF19" hidden="1">#REF!</definedName>
    <definedName name="BOB941D121BD8C48EF8E0EE57CE7670D74" hidden="1">#REF!</definedName>
    <definedName name="BOB949854849CD4697AA27BC56C08A635E" hidden="1">#REF!</definedName>
    <definedName name="BOB9621782A5E743E19D5B9B9DF998EF7F" hidden="1">#REF!</definedName>
    <definedName name="BOB966D3155BF447F987C6E9803AD640F6" hidden="1">#REF!</definedName>
    <definedName name="BOB970DB0D28EC41648AD26A449BD72AE1" hidden="1">#REF!</definedName>
    <definedName name="BOB9720B4D455E45F18DC0E0B6A09FD609" hidden="1">#REF!</definedName>
    <definedName name="BOB98BFBD4A80344B2A9EBEFF82B5A9BB1" hidden="1">#REF!</definedName>
    <definedName name="BOB9A55FA7705B4F1DB32449D6B413F778" hidden="1">#REF!</definedName>
    <definedName name="BOB9ADB5C15E7946E5854516562FAE6A8B" hidden="1">#REF!</definedName>
    <definedName name="BOB9B5D41401BE4B9FAF38DF19A6F5D2A6" hidden="1">#REF!</definedName>
    <definedName name="BOB9B8C4AFFB6E4EC1B949BA80A6776465" hidden="1">#REF!</definedName>
    <definedName name="BOB9BEA138B552444E90D5168070E0C1B8" hidden="1">#REF!</definedName>
    <definedName name="BOB9BFA727BF054A139862BFF34BB1D7D7" hidden="1">#REF!</definedName>
    <definedName name="BOB9C82B7B1E4C4F8E8C4DB5ABFCF1F678" hidden="1">#REF!</definedName>
    <definedName name="BOB9D6A0440C94432886FCE4848787DFA1" hidden="1">#REF!</definedName>
    <definedName name="BOB9D9F93BDF204DA3A53BC86EFC3ED7C9" hidden="1">#REF!</definedName>
    <definedName name="BOB9DC8C7869AF428B841BCAC58C152006" hidden="1">#REF!</definedName>
    <definedName name="BOB9E4F755F7BB4FEA8D10317F9BCDDC0E" hidden="1">#REF!</definedName>
    <definedName name="BOB9ED275C0DA14639BF2869BF372618B5" hidden="1">#REF!</definedName>
    <definedName name="BOB9F345A25889412A939386D4505C3AC5" hidden="1">#REF!</definedName>
    <definedName name="BOB9F4DAF0E72D4F169E6558FC3C2FD492" hidden="1">#REF!</definedName>
    <definedName name="BOB9F6358962744AA5B838D436EFA1548F" hidden="1">#REF!</definedName>
    <definedName name="BOB9F9EC9898674CC89AAC61735E3EFC1B" hidden="1">#REF!</definedName>
    <definedName name="BOBA0000A98BAD4970BDD28EF93084624E" hidden="1">#REF!</definedName>
    <definedName name="BOBA06F12B42A94CD6AB34AC87F2B93DF5" hidden="1">#REF!</definedName>
    <definedName name="BOBA16CE48DE3440E4ADA3B92FF64E12DE" hidden="1">#REF!</definedName>
    <definedName name="BOBA1A8F7D4BDA4E37A3283995CC2668CD" hidden="1">#REF!</definedName>
    <definedName name="BOBA3AC7D69DAE4B9D9FFDF433F75E2124" hidden="1">#REF!</definedName>
    <definedName name="BOBA463FEEDB1E44E58964202CF821EF1E" hidden="1">#REF!</definedName>
    <definedName name="BOBA46E01F6E8C476BAF9BCB9501CCD2CA" hidden="1">#REF!</definedName>
    <definedName name="BOBA5761EBE04444469A5DD859527588AD" hidden="1">#REF!</definedName>
    <definedName name="BOBA57C6BCB22D47C09AFD9ED1C11A0098" hidden="1">#REF!</definedName>
    <definedName name="BOBA78BBEF6E9B45749D6CDE1E87B86756" hidden="1">#REF!</definedName>
    <definedName name="BOBA839E9B18174F6588FCBD5E97A0F4A7" hidden="1">#REF!</definedName>
    <definedName name="BOBA8A5490878640B589CB4E5F65236EB4" hidden="1">#REF!</definedName>
    <definedName name="BOBA904D46B32247BDB9BB8D5041886E35" hidden="1">#REF!</definedName>
    <definedName name="BOBA9335F762944593826C0D40FE40E77F" hidden="1">#REF!</definedName>
    <definedName name="BOBA9509BC5EFA4AA6BE2A0F3F37832487" hidden="1">#REF!</definedName>
    <definedName name="BOBA99D88CBF684BD2AA71105EB835FBF5" hidden="1">#REF!</definedName>
    <definedName name="BOBAA10B2F44DF419DB2FB67D2CB958ABC" hidden="1">#REF!</definedName>
    <definedName name="BOBAA3F5D565804104BA664822DB54F29E" hidden="1">#REF!</definedName>
    <definedName name="BOBAA7EBB8CB3A49D690A30BE7FCA61026" hidden="1">#REF!</definedName>
    <definedName name="BOBAB4A70DE3A04B54B3570ABDC3388651" hidden="1">#REF!</definedName>
    <definedName name="BOBAB728DC1AE743D096493E1294C1DEEE" hidden="1">#REF!</definedName>
    <definedName name="BOBAC1407143994FBBA71F103BAE62364E" hidden="1">#REF!</definedName>
    <definedName name="BOBAC8AEF0FDFB470AAC90F3A8C4BA6F35" hidden="1">#REF!</definedName>
    <definedName name="BOBAD172C09AD5413A98FDA4F94453A10A" hidden="1">#REF!</definedName>
    <definedName name="BOBAD4181093504B33BCCC3F0ECFE3670C" hidden="1">#REF!</definedName>
    <definedName name="BOBAD5CBF607BD4303A1F2D0153C0077BD" hidden="1">#REF!</definedName>
    <definedName name="BOBAD7A48D89CF42B88E6ED79539EBF42A" hidden="1">#REF!</definedName>
    <definedName name="BOBAE1782AB5834332BE9682AE0889D87A" hidden="1">#REF!</definedName>
    <definedName name="BOBAE26F09E8164635AA2B521E6596929B" hidden="1">#REF!</definedName>
    <definedName name="BOBB064F7F4A934267A74810F4D0EF1EC5" hidden="1">#REF!</definedName>
    <definedName name="BOBB1085EBD6CD49918E593285031EFB2C" hidden="1">#REF!</definedName>
    <definedName name="BOBB16E729E48C44379A05C76B7F06DCA5" hidden="1">#REF!</definedName>
    <definedName name="BOBB1937FA9A2E4682ABC0DDB2E1FAD351" hidden="1">#REF!</definedName>
    <definedName name="BOBB2E8EBEA3B3421D9044AED0C8AA578F" hidden="1">#REF!</definedName>
    <definedName name="BOBB2E9C57B2FF4037AE1AC8736485D590" hidden="1">#REF!</definedName>
    <definedName name="BOBB32B5ABE0F346FDBC612772364D6437" hidden="1">#REF!</definedName>
    <definedName name="BOBB47DCF64FF84244B2CB288C183BFA76" hidden="1">#REF!</definedName>
    <definedName name="BOBB49985F34C14157B8CC28ABCB239479" hidden="1">#REF!</definedName>
    <definedName name="BOBB4A06CFCFC242999382540830758F57" hidden="1">#REF!</definedName>
    <definedName name="BOBB5733D691D147068154938E73D924CA" hidden="1">#REF!</definedName>
    <definedName name="BOBB59A30D046A4539A348DAB8B7D3ADB0" hidden="1">#REF!</definedName>
    <definedName name="BOBB671F864D93421194B67269CED82F2D" hidden="1">#REF!</definedName>
    <definedName name="BOBB680085EF6D4700BB41289937AFD9D3" hidden="1">#REF!</definedName>
    <definedName name="BOBB74A0DE746046E69CC22E3FA0180BB2" hidden="1">#REF!</definedName>
    <definedName name="BOBB8303A4DC8B476EA3A65D5A32259E3F" hidden="1">#REF!</definedName>
    <definedName name="BOBB834A90941D4BCCAC92B639B2C9E399" hidden="1">#REF!</definedName>
    <definedName name="BOBB85B994D44F4784A09D42B99A4DD8F7" hidden="1">#REF!</definedName>
    <definedName name="BOBB8F826CA07045D0AD1A67EBCEDA6CDD" hidden="1">#REF!</definedName>
    <definedName name="BOBB90A62F19054DBEA56DF98C68444D3D" hidden="1">#REF!</definedName>
    <definedName name="BOBBBA85B82BF04F8FBC7122AC3AE5F341" hidden="1">#REF!</definedName>
    <definedName name="BOBBC6E0ED53CE49139884A6782BA68E8C" hidden="1">#REF!</definedName>
    <definedName name="BOBBD4CD3071FB49ECB3AD33B5E00B79F1" hidden="1">#REF!</definedName>
    <definedName name="BOBBE54EC488774132B9F09D228B2D7F73" hidden="1">#REF!</definedName>
    <definedName name="BOBBF212C106844C2187AD2BE43B4E1E51" hidden="1">#REF!</definedName>
    <definedName name="BOBBF518FADC374B738FCA73BBF3132C38" hidden="1">#REF!</definedName>
    <definedName name="BOBBF64367663548B5A354A2DB5936292A" hidden="1">#REF!</definedName>
    <definedName name="BOBBFB0F4AACEA440CB73F2395ED86C4FC" hidden="1">#REF!</definedName>
    <definedName name="BOBBFC1B70A94B458688C5044F9DE9BA82" hidden="1">#REF!</definedName>
    <definedName name="BOBC02B125415A4A31A423BF60543352AE" hidden="1">#REF!</definedName>
    <definedName name="BOBC17A430D0C74A40BDE20C37ECBF9C2F" hidden="1">#REF!</definedName>
    <definedName name="BOBC1F0396560D4A8D9A242CA192A109A1" hidden="1">#REF!</definedName>
    <definedName name="BOBC1FC8695ACA41CDB52B4872D0CA33DD" hidden="1">#REF!</definedName>
    <definedName name="BOBC2A1AA27E554946A3A78977D31440FC" hidden="1">#REF!</definedName>
    <definedName name="BOBC36B2E17C1C4025A2B71C910A6F3FF1" hidden="1">#REF!</definedName>
    <definedName name="BOBC4A8AB33BBC4FEBABB43A1099B0FD3A" hidden="1">#REF!</definedName>
    <definedName name="BOBC55F66D87374DD38CA0F02D96E0F9F3" hidden="1">#REF!</definedName>
    <definedName name="BOBC5B9CCFB7F44D3597C9AF4DF80578C5" hidden="1">#REF!</definedName>
    <definedName name="BOBC5F14B5193248A392A98488C065642D" hidden="1">#REF!</definedName>
    <definedName name="BOBC630A480062481F8EBE992C6D83B18D" hidden="1">#REF!</definedName>
    <definedName name="BOBC68BFF782094FA8938CAB2DF0657C62" hidden="1">#REF!</definedName>
    <definedName name="BOBC8269E99BD049DB854D68319D09076D" hidden="1">#REF!</definedName>
    <definedName name="BOBC8352C5E29E4FEBA3868E3CCD3D6063" hidden="1">#REF!</definedName>
    <definedName name="BOBCA19229FCC74AAEBAF6E555603090BB" hidden="1">#REF!</definedName>
    <definedName name="BOBCAA1ABA6769435A9BADEDA297A3879B" hidden="1">#REF!</definedName>
    <definedName name="BOBCB504F39F22467E8A68487D6C3CC8AD" hidden="1">#REF!</definedName>
    <definedName name="BOBCE8325A9C0549BDBCB9B25B9B90883D" hidden="1">#REF!</definedName>
    <definedName name="BOBCEC410A6CFB4972A39D125F32E560AB" hidden="1">#REF!</definedName>
    <definedName name="BOBCEC8BF5D1C34282847EF6F527A1FCFE" hidden="1">#REF!</definedName>
    <definedName name="BOBCF247AE35ED43F98497E1995DC9F270" hidden="1">#REF!</definedName>
    <definedName name="BOBCF29D4FD8B843D0B23FEA14E5ACDE6A" hidden="1">#REF!</definedName>
    <definedName name="BOBCF79EB08EFA4B3999E14FD5016E97F1" hidden="1">#REF!</definedName>
    <definedName name="BOBCF899F3BB864D54BB94B7474B315E60" hidden="1">#REF!</definedName>
    <definedName name="BOBCFBAD2945ED4CD88759C0E2CD6F9C13" hidden="1">#REF!</definedName>
    <definedName name="BOBD0329294AF348749F3F4D87F6856F2E" hidden="1">#REF!</definedName>
    <definedName name="BOBD07545B83CC45BBB05AFBE52DE96916" hidden="1">#REF!</definedName>
    <definedName name="BOBD08AB9F96AD42DFBD8C9D23D2D35178" hidden="1">#REF!</definedName>
    <definedName name="BOBD0DA2C7B7A9422F8303174447B1D7CE" hidden="1">#REF!</definedName>
    <definedName name="BOBD102D5C3D0F47C1983829D32ACBCE8B" hidden="1">#REF!</definedName>
    <definedName name="BOBD183B891667431CA74F26716AFB4345" hidden="1">#REF!</definedName>
    <definedName name="BOBD1AB20D8E1948C9B53C79475A224E7A" hidden="1">#REF!</definedName>
    <definedName name="BOBD2505533D0D477B8BEE33A7C773807C" hidden="1">#REF!</definedName>
    <definedName name="BOBD25729EB2CE40BB8F7BCC7F509D3837" hidden="1">#REF!</definedName>
    <definedName name="BOBD2BE17F72034456B41213F63E0ECD27" hidden="1">#REF!</definedName>
    <definedName name="BOBD2C0483ECB64F04823FDF78F6330B85" hidden="1">#REF!</definedName>
    <definedName name="BOBD2FC99AFB64487CA8A2F43923BDF9B7" hidden="1">#REF!</definedName>
    <definedName name="BOBD37D018833444D3AD4278F3C3BE9413" hidden="1">#REF!</definedName>
    <definedName name="BOBD4865AD6C1F4A598D4BEAFC5D1074D1" hidden="1">#REF!</definedName>
    <definedName name="BOBD5714784A8F45AAAF16D5567C5B54E1" hidden="1">#REF!</definedName>
    <definedName name="BOBD682A5FD3BD46C989B99A79C60BF3C1" hidden="1">#REF!</definedName>
    <definedName name="BOBD69C533FEFC4CD6A9F24C77CDDE14C3" hidden="1">#REF!</definedName>
    <definedName name="BOBD8AB778FCAB4F36A3F4E38C047DCF4A" hidden="1">#REF!</definedName>
    <definedName name="BOBD99A58A7D3E4373B8054FB51ECAD498" hidden="1">#REF!</definedName>
    <definedName name="BOBDA752BDA3464B8896B344EE59334B1E" hidden="1">#REF!</definedName>
    <definedName name="BOBDBDB3F52AF1498CA933AD041B90B44E" hidden="1">#REF!</definedName>
    <definedName name="BOBDCA32E2AF7A4B96B467B3A2DD100E59" hidden="1">#REF!</definedName>
    <definedName name="BOBDD38C8288A54396AADB8C6CE28F9E30" hidden="1">#REF!</definedName>
    <definedName name="BOBDDBEE791C2342B0A438773FA531BA30" hidden="1">#REF!</definedName>
    <definedName name="BOBDE35A87518243D3940A2EACACE56432" hidden="1">#REF!</definedName>
    <definedName name="BOBDE8FC911F6240BCAEB11897AC2139FA" hidden="1">#REF!</definedName>
    <definedName name="BOBDF20212F88B45D693D7D0D6FE03AECD" hidden="1">#REF!</definedName>
    <definedName name="BOBDF2218966D14D8984E1363C8E38E823" hidden="1">#REF!</definedName>
    <definedName name="BOBE2461EA7A27495380C8BD6AF354A484" hidden="1">#REF!</definedName>
    <definedName name="BOBE2BE213A6EB434FA81F4F81DCC709BA" hidden="1">#REF!</definedName>
    <definedName name="BOBE2EA4C6964C43859E35131005BD58D5" hidden="1">#REF!</definedName>
    <definedName name="BOBE2F7808C61744219A1EB77AA3C2803E" hidden="1">#REF!</definedName>
    <definedName name="BOBE30AA34F50243A3A1B40D859C75AFBF" hidden="1">#REF!</definedName>
    <definedName name="BOBE3AED85AD944973AF01E679FD43F9C0" hidden="1">#REF!</definedName>
    <definedName name="BOBE3D6968E5E94A4C94F473180448BCA0" hidden="1">#REF!</definedName>
    <definedName name="BOBE48F1256CF841E68D5A56788DDBC7D8" hidden="1">#REF!</definedName>
    <definedName name="BOBE4A5B6A440E4B4CB84EF928495E3F8D" hidden="1">#REF!</definedName>
    <definedName name="BOBE4AEFF3662E43C5823EF77CF1796184" hidden="1">#REF!</definedName>
    <definedName name="BOBE57B3589A0E413EA44420672771EEE1" hidden="1">#REF!</definedName>
    <definedName name="BOBE598419D06D47E7B285E7E74CBE6F8C" hidden="1">#REF!</definedName>
    <definedName name="BOBE65C68AE0F041849C9A9D0DD2578D33" hidden="1">#REF!</definedName>
    <definedName name="BOBE7215ABBA0B419F9570EF5114448FC4" hidden="1">#REF!</definedName>
    <definedName name="BOBE72BBB4BD0445BC8E5D2342BB8A30F3" hidden="1">#REF!</definedName>
    <definedName name="BOBE74F199470D42168139E0757F43930B" hidden="1">#REF!</definedName>
    <definedName name="BOBE778B66C5DF4F15B2C7FB0028FB9BAC" hidden="1">#REF!</definedName>
    <definedName name="BOBE847E0212084D0E9AA2C411A683E4EC" hidden="1">#REF!</definedName>
    <definedName name="BOBE92AF4EF01F4606AFD512A2DC2D1973" hidden="1">#REF!</definedName>
    <definedName name="BOBE96348F2D524EDDA814670AD7116609" hidden="1">#REF!</definedName>
    <definedName name="BOBE98671BD1B54EFAB051DC1DF624B5A2" hidden="1">#REF!</definedName>
    <definedName name="BOBEAC376E25004E9F8740032524FCA681" hidden="1">#REF!</definedName>
    <definedName name="BOBEB219F2890143D0ABB227B2408F5FD2" hidden="1">#REF!</definedName>
    <definedName name="BOBEC30B956E9E43F9A9DBCA0D585950DE" hidden="1">#REF!</definedName>
    <definedName name="BOBEC49583263A41A282273BF0D9DF64F9" hidden="1">#REF!</definedName>
    <definedName name="BOBEC6AE8D2E464EBB971B6954DAA1B75C" hidden="1">#REF!</definedName>
    <definedName name="BOBEF798768CBA4CE7BB1EF155DD151A18" hidden="1">#REF!</definedName>
    <definedName name="BOBF0C52EB725A40EEB83DC65447D4BA66" hidden="1">#REF!</definedName>
    <definedName name="BOBF14097EB6E74E89BD1D61C5EF922D61" hidden="1">#REF!</definedName>
    <definedName name="BOBF2537C6FD5B420DA8103F191E99E79B" hidden="1">#REF!</definedName>
    <definedName name="BOBF25DFFF41B746D4A77F50F623C0A2B2" hidden="1">#REF!</definedName>
    <definedName name="BOBF2F371830B349FFAC2FD1CDCDF00250" hidden="1">#REF!</definedName>
    <definedName name="BOBF321CB3C1D943819B092FBCF79EA5C4" hidden="1">#REF!</definedName>
    <definedName name="BOBF3BF7BD524C430AA135E54550D43F68" hidden="1">#REF!</definedName>
    <definedName name="BOBF414C70680C4A3492936CFA833A3DF5" hidden="1">#REF!</definedName>
    <definedName name="BOBF48AD0735D34501ADC8094EE1ADBFB6" hidden="1">#REF!</definedName>
    <definedName name="BOBF5304D89D2740A8B775F2B1F2DC1D21" hidden="1">#REF!</definedName>
    <definedName name="BOBF54BEDE41204076801BE2DAA0F51CF1" hidden="1">#REF!</definedName>
    <definedName name="BOBF5C9049FD384A3AA566FC8CF9FC99A9" hidden="1">#REF!</definedName>
    <definedName name="BOBF5CCB9CE23647489B98B727E42F1CED" hidden="1">#REF!</definedName>
    <definedName name="BOBF622D0F56D24DF09B3555EB401B4017" hidden="1">#REF!</definedName>
    <definedName name="BOBF692E65FCB34D079DD05249C081E280" hidden="1">#REF!</definedName>
    <definedName name="BOBF804B0C14504C53A38C94D292222F69" hidden="1">#REF!</definedName>
    <definedName name="BOBF87D44F0EC64C69BD6232202EEBA270" hidden="1">#REF!</definedName>
    <definedName name="BOBF8D332FB680483D9F87916A7B4FC8F5" hidden="1">#REF!</definedName>
    <definedName name="BOBF9C0D7305F74E94A5A4FB2297342286" hidden="1">#REF!</definedName>
    <definedName name="BOBFAC087F26AC4EDDA62649BC457B32EB" hidden="1">#REF!</definedName>
    <definedName name="BOBFC58B4509AF4B5D839AC36E5DD6E917" hidden="1">#REF!</definedName>
    <definedName name="BOBFC7018E431542DE842D50BA24CECE70" hidden="1">#REF!</definedName>
    <definedName name="BOBFC7D63A57354B39B7A43B7F403A19AD" hidden="1">#REF!</definedName>
    <definedName name="BOBFE279CB13FF495B9E38FA3A2BD9EC47" hidden="1">#REF!</definedName>
    <definedName name="BOBFE4F0913F004F7F90E6511097A5AE62" hidden="1">#REF!</definedName>
    <definedName name="BOBFF063EBF6F94A89AAD2A0B90A240DD7" hidden="1">#REF!</definedName>
    <definedName name="BOBFF3A0F77ECD49508C4407CEDE1CFF38" hidden="1">#REF!</definedName>
    <definedName name="BOBFF6CE3EE3D0465580AAD448FAA06F12" hidden="1">#REF!</definedName>
    <definedName name="BOC002C5C316A7483187B213106FC2E2CE" hidden="1">#REF!</definedName>
    <definedName name="BOC00650127E534624BCBAD0750D3B3B6F" hidden="1">#REF!</definedName>
    <definedName name="BOC00A3390A1A446DEBC855DEF17F571F5" hidden="1">#REF!</definedName>
    <definedName name="BOC0153AF980094431829FE4A756F1633E" hidden="1">#REF!</definedName>
    <definedName name="BOC01BA6897124409EBCD3C711733E2DFF" hidden="1">#REF!</definedName>
    <definedName name="BOC01E3011E93A4E49BB31277D77A0FAC8" hidden="1">#REF!</definedName>
    <definedName name="BOC020BEFC61224AB2A0CE2B5A1420EA07" hidden="1">#REF!</definedName>
    <definedName name="BOC02A882E214A4407ABDF3FDCAAF22F2A" hidden="1">#REF!</definedName>
    <definedName name="BOC03795360B9F48B1ADF62D93A1B7BE46" hidden="1">#REF!</definedName>
    <definedName name="BOC039A288DB164F89AFF1AFEB33AB1595" hidden="1">#REF!</definedName>
    <definedName name="BOC0461A3FF7EA448D9B613E1BE33F540F" hidden="1">#REF!</definedName>
    <definedName name="BOC0540207029C4BBC946DDB4084DEAE8D" hidden="1">#REF!</definedName>
    <definedName name="BOC0562992C44B44D9A12D1B52A874FF04" hidden="1">#REF!</definedName>
    <definedName name="BOC057C4AAD49040C68F91376FDDC39366" hidden="1">#REF!</definedName>
    <definedName name="BOC05D60BC2FF846D4888E559CD3F6E293" hidden="1">#REF!</definedName>
    <definedName name="BOC0626737A9C14F2493A110F6B6358736" hidden="1">#REF!</definedName>
    <definedName name="BOC06955615E6D4797BC5D60628022334C" hidden="1">#REF!</definedName>
    <definedName name="BOC0697AAB0C7A4B3E830F38DA696FBDF8" hidden="1">#REF!</definedName>
    <definedName name="BOC06A329A3A3A40DA92FF21424F78A0BA" hidden="1">#REF!</definedName>
    <definedName name="BOC06C42121B0046338BF842EA122F1904" hidden="1">#REF!</definedName>
    <definedName name="BOC070EAE04692499FAC8E41B17433451D" hidden="1">#REF!</definedName>
    <definedName name="BOC07444B908D849079385A787E15B930C" hidden="1">#REF!</definedName>
    <definedName name="BOC077886C1FF94D56850DA984193E42C7" hidden="1">#REF!</definedName>
    <definedName name="BOC077C1EA87354FFCA4B3BD815E6401AC" hidden="1">#REF!</definedName>
    <definedName name="BOC078BD87247B4961B0F84CF4B86CBE1C" hidden="1">#REF!</definedName>
    <definedName name="BOC081391CAE7946858EC251AE68CAF4C7" hidden="1">#REF!</definedName>
    <definedName name="BOC0886D220A704202A4786E98ABC96A63" hidden="1">#REF!</definedName>
    <definedName name="BOC099750FC6AF46AB9D5BF067DF80A4AB" hidden="1">#REF!</definedName>
    <definedName name="BOC099C957A41E40859765EF422F0B2FB7" hidden="1">#REF!</definedName>
    <definedName name="BOC09B66A22AEE4E5B857575F5F51F11B3" hidden="1">#REF!</definedName>
    <definedName name="BOC09F968A5E3F4AB1BF5E98D4B53793E5" hidden="1">#REF!</definedName>
    <definedName name="BOC0A0FA019DD14D829766543293C8EACA" hidden="1">#REF!</definedName>
    <definedName name="BOC0A92350E8EB44B0BAA33DC688165D49" hidden="1">#REF!</definedName>
    <definedName name="BOC0AE6E13FB594B74BD83A1FE10E15A9C" hidden="1">#REF!</definedName>
    <definedName name="BOC0CBD4E59EBA4776958A395C83F31D53" hidden="1">#REF!</definedName>
    <definedName name="BOC0D7C43C3CA843DE83F89ACE321D94EA" hidden="1">#REF!</definedName>
    <definedName name="BOC0DF717A1DEB4048820E85C77E02E0D6" hidden="1">#REF!</definedName>
    <definedName name="BOC0EF196E5EA54445933E73B775E9A070" hidden="1">#REF!</definedName>
    <definedName name="BOC120AD9FD05646A38E760C2CD3DA3BDE" hidden="1">#REF!</definedName>
    <definedName name="BOC127F59EBBAF4FE3995E5D7EBDCDA428" hidden="1">#REF!</definedName>
    <definedName name="BOC160A532ECD74BA0BB2B397B5CDDFB87" hidden="1">#REF!</definedName>
    <definedName name="BOC16181D00769443D8FC5C82DC63FA008" hidden="1">#REF!</definedName>
    <definedName name="BOC16C3D0483514148B442B5D219A8DBAF" hidden="1">#REF!</definedName>
    <definedName name="BOC1802EEDC24E47C8A674F864233D23EF" hidden="1">#REF!</definedName>
    <definedName name="BOC181AB355B524726857D70BC98C03C33" hidden="1">#REF!</definedName>
    <definedName name="BOC187317CF28D4AC3AF377111DA569600" hidden="1">#REF!</definedName>
    <definedName name="BOC18DF1DE3A0A4C3EBE638771A56B0959" hidden="1">#REF!</definedName>
    <definedName name="BOC1909CFF8AA04A568905B4BDFBD9DEF5" hidden="1">#REF!</definedName>
    <definedName name="BOC19B26A5A4CD496EB941396EBAFB8899" hidden="1">#REF!</definedName>
    <definedName name="BOC1BE9552E6F74169981557C5152D884B" hidden="1">#REF!</definedName>
    <definedName name="BOC1BEA31290F04314851F121EAEADFC8C" hidden="1">#REF!</definedName>
    <definedName name="BOC1C27813A6CF49619A46EB2BF418CB7E" hidden="1">#REF!</definedName>
    <definedName name="BOC1CDE286B240413AA8F80BD11B358D40" hidden="1">#REF!</definedName>
    <definedName name="BOC1D148D2167C43C7AF416D6C54C911EB" hidden="1">#REF!</definedName>
    <definedName name="BOC1DE4C7F19FF4960AF2432FD4FD984AA" hidden="1">#REF!</definedName>
    <definedName name="BOC1EA740DCED246E0B4F082760FD85F8B" hidden="1">#REF!</definedName>
    <definedName name="BOC1F1A196EA2D4FAEBAA13120212D4A12" hidden="1">#REF!</definedName>
    <definedName name="BOC206EB37F1954701AC092C6F8F562FBA" hidden="1">#REF!</definedName>
    <definedName name="BOC2192BC75D4943D2BE55BBE1A64793FD" hidden="1">#REF!</definedName>
    <definedName name="BOC21C3798F70945B5BF609108B197E021" hidden="1">#REF!</definedName>
    <definedName name="BOC228945FFCD74FDBA855A67928D60EF8" hidden="1">#REF!</definedName>
    <definedName name="BOC22AB9A87FCB4347B6C750587474CE2D" hidden="1">#REF!</definedName>
    <definedName name="BOC22C807AD5594241B2E4FEE07DE12B85" hidden="1">#REF!</definedName>
    <definedName name="BOC231944AD6454CB598B6AF7BD03AD1B8" hidden="1">#REF!</definedName>
    <definedName name="BOC238B5C2A5B440798D2E7C5DF36488A9" hidden="1">#REF!</definedName>
    <definedName name="BOC24579F1348745028AB405D34BD2D2CE" hidden="1">#REF!</definedName>
    <definedName name="BOC24A5162321B457F99D56A7CEDBE09A1" hidden="1">#REF!</definedName>
    <definedName name="BOC24CDF5FB0EF4FD6868D3953D31A6DCB" hidden="1">#REF!</definedName>
    <definedName name="BOC2746536C02B4DF9B2E6C7C5F9267A87" hidden="1">#REF!</definedName>
    <definedName name="BOC27888F0A79B4E11B716E8E010BF3A1C" hidden="1">#REF!</definedName>
    <definedName name="BOC2830E54449B4A6CA044BB9832D2DE86" hidden="1">#REF!</definedName>
    <definedName name="BOC28939A1443A4786BAFF21010B0797FA" hidden="1">#REF!</definedName>
    <definedName name="BOC290551685964ED7BB67EEC49D4AA60C" hidden="1">#REF!</definedName>
    <definedName name="BOC29BF1DF3B314509846E195703079B08" hidden="1">#REF!</definedName>
    <definedName name="BOC29FBCC35B65455989240A248A8C2F15" hidden="1">#REF!</definedName>
    <definedName name="BOC2A0A0BD00974655BFA9599D4C741813" hidden="1">#REF!</definedName>
    <definedName name="BOC2A0A4A3768046108B9DD8938414E374" hidden="1">#REF!</definedName>
    <definedName name="BOC2A4294786974B7E9BEF2B123A4D44A8" hidden="1">#REF!</definedName>
    <definedName name="BOC2AAA5A15799449FA78F0551E7B09764" hidden="1">#REF!</definedName>
    <definedName name="BOC2AF9A860C344B3988307315F898AA81" hidden="1">#REF!</definedName>
    <definedName name="BOC2B0AC26B6F9424F8B6A33CA74E25FF7" hidden="1">#REF!</definedName>
    <definedName name="BOC2B57C28EC8A424BA87968A186D38B46" hidden="1">#REF!</definedName>
    <definedName name="BOC2C49B5F8DCE43539BA1ED93EE641352" hidden="1">#REF!</definedName>
    <definedName name="BOC2DC1862A47B45A2B988123C05731907" hidden="1">#REF!</definedName>
    <definedName name="BOC2E3EE0C69CC4BA7B347671B591A68CB" hidden="1">#REF!</definedName>
    <definedName name="BOC2E7E57A47714432BC7F7B2842A4D94B" hidden="1">#REF!</definedName>
    <definedName name="BOC3001736646F4689A41678BA713181D9" hidden="1">#REF!</definedName>
    <definedName name="BOC311870043774F25A3F2ECB62E05C3AA" hidden="1">#REF!</definedName>
    <definedName name="BOC31646B3E8974DA791CC6C950E4BE43E" hidden="1">#REF!</definedName>
    <definedName name="BOC32AE42D07D444BBA191B7F2D23BBB1D" hidden="1">#REF!</definedName>
    <definedName name="BOC3582CF963284E18B3A2D307A6610F8C" hidden="1">#REF!</definedName>
    <definedName name="BOC368E76DFB4E4EF88D0D2186A8CD89B9" hidden="1">#REF!</definedName>
    <definedName name="BOC3779C093E674E129A1871AEE76CA0B2" hidden="1">#REF!</definedName>
    <definedName name="BOC381D8009BE44E5181884A904458A507" hidden="1">#REF!</definedName>
    <definedName name="BOC38461B74791498181DF345B410F4B5B" hidden="1">#REF!</definedName>
    <definedName name="BOC3987B7CD5984CC9984B278329776DC5" hidden="1">#REF!</definedName>
    <definedName name="BOC39B2CD7980846689CFEF70DD7A4FD32" hidden="1">#REF!</definedName>
    <definedName name="BOC3A7CF460B244443A2BAEB77FBA92D6A" hidden="1">#REF!</definedName>
    <definedName name="BOC3B6180E2FA3448584654177475FC440" hidden="1">#REF!</definedName>
    <definedName name="BOC3B987C588304DDDBE021D2F41CB85FC" hidden="1">#REF!</definedName>
    <definedName name="BOC3BD7FD74AFC4A4DAD18451C971F14A2" hidden="1">#REF!</definedName>
    <definedName name="BOC3BFD9232A1F44EBB7B0D582D65072FD" hidden="1">#REF!</definedName>
    <definedName name="BOC3C182C00FCA4399B10C3D7A8AA574AE" hidden="1">#REF!</definedName>
    <definedName name="BOC3DB0395A38740358FA41AE003C6CDE5" hidden="1">#REF!</definedName>
    <definedName name="BOC3DE3593755245D0B206F9D6F047D065" hidden="1">#REF!</definedName>
    <definedName name="BOC3E41E70E0D54A708496B22E9B2BED29" hidden="1">#REF!</definedName>
    <definedName name="BOC3ECFC73C5F64A8BBEAA8C46B481B7ED" hidden="1">#REF!</definedName>
    <definedName name="BOC3F1B4D211514084BD8A093EEF4D69E8" hidden="1">#REF!</definedName>
    <definedName name="BOC3F941CA92574393ACC4F51CA9FA5209" hidden="1">#REF!</definedName>
    <definedName name="BOC403C82E6DD845EBB8479B3C4F03DE0A" hidden="1">#REF!</definedName>
    <definedName name="BOC405699CD1564234A56FDF5C1EC8839B" hidden="1">#REF!</definedName>
    <definedName name="BOC4102EFEC3B54349B8C23A1DFEEF72D4" hidden="1">#REF!</definedName>
    <definedName name="BOC41314D3A2774A52B2F134E4BD8824F8" hidden="1">#REF!</definedName>
    <definedName name="BOC414D231CCB9470186197CED2BE3E501" hidden="1">#REF!</definedName>
    <definedName name="BOC4194C336800431CBC256F31C13A40FE" hidden="1">#REF!</definedName>
    <definedName name="BOC4274FCB605A48F9940B4F6131EAD1A1" hidden="1">#REF!</definedName>
    <definedName name="BOC443D62A14144251A19235B122760708" hidden="1">#REF!</definedName>
    <definedName name="BOC46678E9BB26422890D1B74B76A0B2E1" hidden="1">#REF!</definedName>
    <definedName name="BOC467763A3EDD495D82514D7AC5DBB20D" hidden="1">#REF!</definedName>
    <definedName name="BOC46B9DC3074C46B4BDBA4A4D49419A4D" hidden="1">#REF!</definedName>
    <definedName name="BOC47BF0C58D614DA7A1EA6B4905550F5E" hidden="1">#REF!</definedName>
    <definedName name="BOC47F9DB68F6D480C958AF89BCBA64723" hidden="1">#REF!</definedName>
    <definedName name="BOC498B82E65A346C6BBEFADB1CEFAF47D" hidden="1">#REF!</definedName>
    <definedName name="BOC49D83497BA2426B82A337C7BB92728F" hidden="1">#REF!</definedName>
    <definedName name="BOC4A083E8FDF44A3484AF093EB435A32C" hidden="1">#REF!</definedName>
    <definedName name="BOC4A3A20B5764494DA2734BB8A59F464E" hidden="1">#REF!</definedName>
    <definedName name="BOC4A45FE3FD854B6C9B308BDE02A3E03A" hidden="1">#REF!</definedName>
    <definedName name="BOC4A7144484494916BA4BF56C4A5D906C" hidden="1">#REF!</definedName>
    <definedName name="BOC4B71D33956F4EC493A45A5A724A7978" hidden="1">#REF!</definedName>
    <definedName name="BOC4D1467401DF4EDB88D6D448C502B0A3" hidden="1">#REF!</definedName>
    <definedName name="BOC4D401EFF85446AC940923ED04DD84FA" hidden="1">#REF!</definedName>
    <definedName name="BOC4D9DE5057644F3899D0237FF13007F5" hidden="1">#REF!</definedName>
    <definedName name="BOC4DDD6C6E0F3466FBB1A7F843B0FA8CA" hidden="1">#REF!</definedName>
    <definedName name="BOC4EBDBC719F64B2E9353DB823A06665A" hidden="1">#REF!</definedName>
    <definedName name="BOC4ECD25783934B90854A2F558571020F" hidden="1">#REF!</definedName>
    <definedName name="BOC4FB4407E6D744C4AF283CFAF0178CF6" hidden="1">#REF!</definedName>
    <definedName name="BOC4FD282E9F7B441D8766DD25EEFEBBAA" hidden="1">#REF!</definedName>
    <definedName name="BOC4FED08F375F4EAFA4A5DD7705FFFC15" hidden="1">#REF!</definedName>
    <definedName name="BOC503FDB53C6F463BA2440734411F2366" hidden="1">#REF!</definedName>
    <definedName name="BOC504FAA91C1A41FA8D3C2DEC4E63334B" hidden="1">#REF!</definedName>
    <definedName name="BOC51C3ED08BB94CA4B8A1FC6EDBFE74E0" hidden="1">#REF!</definedName>
    <definedName name="BOC5256F80F0DE4F24820F4887873FC9EE" hidden="1">#REF!</definedName>
    <definedName name="BOC52EDB6A7A3D43809BF3E016DA4AAC12" hidden="1">#REF!</definedName>
    <definedName name="BOC5322AD70C46455E9D6877C90982790D" hidden="1">#REF!</definedName>
    <definedName name="BOC53FFBE4F2AD434B8E28DCD595BAE689" hidden="1">#REF!</definedName>
    <definedName name="BOC5483FA2D8BA440686489CA3FECE8A50" hidden="1">#REF!</definedName>
    <definedName name="BOC548B75655BE48B8BA84C36E300B1E68" hidden="1">#REF!</definedName>
    <definedName name="BOC5525EE8EE6444609B50EA3F4EB06953" hidden="1">#REF!</definedName>
    <definedName name="BOC5534E1864F644EC9ADB90061EF26DF4" hidden="1">#REF!</definedName>
    <definedName name="BOC5654C1728444683AAA03E8553C4E069" hidden="1">#REF!</definedName>
    <definedName name="BOC57E12394DE94538BCF9850B3111DEDE" hidden="1">#REF!</definedName>
    <definedName name="BOC581AF5B82264CC0B4C66C4275837E48" hidden="1">#REF!</definedName>
    <definedName name="BOC58BEF3C705E4974A9E5C4C6B00B2D9D" hidden="1">#REF!</definedName>
    <definedName name="BOC58E0055CEE0425CBE68DECFA26CCBE6" hidden="1">#REF!</definedName>
    <definedName name="BOC58E8E162E6447DAA7888A9719A6DCDB" hidden="1">#REF!</definedName>
    <definedName name="BOC59F026E37F14F07AF14008072D42C1D" hidden="1">#REF!</definedName>
    <definedName name="BOC59F1780BF734DF19B71ABDB10E6F325" hidden="1">#REF!</definedName>
    <definedName name="BOC5A5FD3E13A042C6BD6922A9F1989E36" hidden="1">#REF!</definedName>
    <definedName name="BOC5A6ADC391FA4287ACBFF6C2D73A1A56" hidden="1">#REF!</definedName>
    <definedName name="BOC5AC79EBA58546EEAE4B3130C706C892" hidden="1">#REF!</definedName>
    <definedName name="BOC5AD64032D9F45C3A081D7622CCD8509" hidden="1">#REF!</definedName>
    <definedName name="BOC5B3B00470D74144A6F0BF3173410B5A" hidden="1">#REF!</definedName>
    <definedName name="BOC5C7E9D1D0F545ADAAFBF76A171F9B94" hidden="1">#REF!</definedName>
    <definedName name="BOC5D081E11F7440918D6807AF4129BC0D" hidden="1">#REF!</definedName>
    <definedName name="BOC5D918A00BDC47438AF460B667B42ECB" hidden="1">#REF!</definedName>
    <definedName name="BOC5F668A3861E44A3A9E94428EADE63B5" hidden="1">#REF!</definedName>
    <definedName name="BOC5F6AA0C638E4040969ADEC1E45B222F" hidden="1">#REF!</definedName>
    <definedName name="BOC5F9B86137704A7B9B46E06774850FD9" hidden="1">#REF!</definedName>
    <definedName name="BOC6120A667F8A4A08B5D918533B78912D" hidden="1">#REF!</definedName>
    <definedName name="BOC64F93EE6D254C7EA2773FD4BEA51C3E" hidden="1">#REF!</definedName>
    <definedName name="BOC662BE8834304C27BAFF47C172050588" hidden="1">#REF!</definedName>
    <definedName name="BOC66755A4669A45428695FDD1EC8B380B" hidden="1">#REF!</definedName>
    <definedName name="BOC66B692E24E5413F98DDA5A605832A50" hidden="1">#REF!</definedName>
    <definedName name="BOC66C789EFD68409CB9EFCF2C557398DA" hidden="1">#REF!</definedName>
    <definedName name="BOC67E44E0B8F048CABAE0855CBCC03314" hidden="1">#REF!</definedName>
    <definedName name="BOC6862856D3CF4D4A847CB88088E76DC0" hidden="1">#REF!</definedName>
    <definedName name="BOC69142E10D974AA282CC5C498E117FF0" hidden="1">#REF!</definedName>
    <definedName name="BOC69E56C7391C4563B787B04CFA4BEA0D" hidden="1">#REF!</definedName>
    <definedName name="BOC69ECEE6D0D8425FAD609AB5AD1D4A93" hidden="1">#REF!</definedName>
    <definedName name="BOC6A3654C4D894FD18DAE62D4A675DF54" hidden="1">#REF!</definedName>
    <definedName name="BOC6A61F727D9E4E5B92DFEA78D047BED1" hidden="1">#REF!</definedName>
    <definedName name="BOC6A771780BB34714A840EC22FE4BA614" hidden="1">#REF!</definedName>
    <definedName name="BOC6B22AAC2E2A462D97C1F28A602D78A6" hidden="1">#REF!</definedName>
    <definedName name="BOC6B3D3FEFDED4F028CCD6CAE519C5E7A" hidden="1">#REF!</definedName>
    <definedName name="BOC6B697293DA2455483C35ABD9FAB6BD0" hidden="1">#REF!</definedName>
    <definedName name="BOC6BC9C4DB3524511BA181B7FD51601FC" hidden="1">#REF!</definedName>
    <definedName name="BOC6C18BA28EEC46BA8F84B0CBB89DB180" hidden="1">#REF!</definedName>
    <definedName name="BOC6C3BE05EA864E6B88B6317BCE3F23C8" hidden="1">#REF!</definedName>
    <definedName name="BOC6CA8A149227486C8E44286A298592A9" hidden="1">#REF!</definedName>
    <definedName name="BOC6CEBE9833994D0D979770A8E4B2CC47" hidden="1">#REF!</definedName>
    <definedName name="BOC6CF5CC2CCED420CB898D072B629B20D" hidden="1">#REF!</definedName>
    <definedName name="BOC6DA4F3778CB4E4ABE58E9172884BBC9" hidden="1">#REF!</definedName>
    <definedName name="BOC6DBFD6796FB4BA997E354884749AFB1" hidden="1">#REF!</definedName>
    <definedName name="BOC6EE784AE3984C15BD11AF714A93775E" hidden="1">#REF!</definedName>
    <definedName name="BOC6EF95F1C4A94CB0895242ACFE065EB7" hidden="1">#REF!</definedName>
    <definedName name="BOC6F2DDD01290440D9CC47AF74F9B77CE" hidden="1">#REF!</definedName>
    <definedName name="BOC6F8C75C819248C9BC476600FAC07AA7" hidden="1">#REF!</definedName>
    <definedName name="BOC6FF3D58673542B5A7C9883E8B3C417B" hidden="1">#REF!</definedName>
    <definedName name="BOC70405B934554CDC81F4BDBCFEEF712C" hidden="1">#REF!</definedName>
    <definedName name="BOC70BFD0DF1854A3799475BFCF4C1AD7B" hidden="1">#REF!</definedName>
    <definedName name="BOC7137CA1F6BA4A71B2EF58D51D3000C6" hidden="1">#REF!</definedName>
    <definedName name="BOC71977E3B9384220A98C048AE5EEA492" hidden="1">#REF!</definedName>
    <definedName name="BOC71CFA98C3C14444BEE060B7DD1FDCB4" hidden="1">#REF!</definedName>
    <definedName name="BOC721AD81D68047F288627AAE42BE056C" hidden="1">#REF!</definedName>
    <definedName name="BOC726AE4A9F7541FA9BF1A4AE1EB62A4C" hidden="1">#REF!</definedName>
    <definedName name="BOC728142AB6154537A6EBF766A8D514C8" hidden="1">#REF!</definedName>
    <definedName name="BOC72C73B86C9F43BBA0570043FA52BB30" hidden="1">#REF!</definedName>
    <definedName name="BOC7343FB75A924FE49909A3F202307E87" hidden="1">#REF!</definedName>
    <definedName name="BOC738F0BAC3D34FC6BFBBBF445EA6AA5D" hidden="1">#REF!</definedName>
    <definedName name="BOC73A2FF577754B55AC10538A7E98FE05" hidden="1">#REF!</definedName>
    <definedName name="BOC73CB7B0F4024F9FBE37930CA99B7B26" hidden="1">#REF!</definedName>
    <definedName name="BOC74865CD64084C0EACBCC63C991E7565" hidden="1">#REF!</definedName>
    <definedName name="BOC754CF9D493546E59C345CDC1343A5F0" hidden="1">#REF!</definedName>
    <definedName name="BOC7612C2D508C49D788B8D4B8E06BAED7" hidden="1">#REF!</definedName>
    <definedName name="BOC761AED986ED48FFB6D303492100F7F4" hidden="1">#REF!</definedName>
    <definedName name="BOC76ED6ECD9824F20A447BD5CCDEB936E" hidden="1">#REF!</definedName>
    <definedName name="BOC77229A74C4D468D99EC16FA6D259686" hidden="1">#REF!</definedName>
    <definedName name="BOC790CAA1028447C98523765C20F1DB7B" hidden="1">#REF!</definedName>
    <definedName name="BOC792E4B35CCF42219CE8965B8D00CC4B" hidden="1">#REF!</definedName>
    <definedName name="BOC79C0023ED7F478F86B26BB1AF1C8EC4" hidden="1">#REF!</definedName>
    <definedName name="BOC7A539E475F24751895AB85647DCFAB8" hidden="1">#REF!</definedName>
    <definedName name="BOC7A75EDABD58415DBAAA55230F7A89AD" hidden="1">#REF!</definedName>
    <definedName name="BOC7AE76E8A72A48EFB446530A42079266" hidden="1">#REF!</definedName>
    <definedName name="BOC7B43F12DFC5437B877CCB71F26C335C" hidden="1">#REF!</definedName>
    <definedName name="BOC7C01EB455D0494296575A7158C0D13F" hidden="1">#REF!</definedName>
    <definedName name="BOC7C3265EC7304D7F8EC72F0C1BD9AE20" hidden="1">#REF!</definedName>
    <definedName name="BOC7C6EC2CE7364EECB4AE5284C83B9883" hidden="1">#REF!</definedName>
    <definedName name="BOC7DA3BBC553247189CE0512777B2CE6F" hidden="1">#REF!</definedName>
    <definedName name="BOC7EAC248CB484EACBC6D1641FB1F5746" hidden="1">#REF!</definedName>
    <definedName name="BOC7EFECEDA1654965A5675BADB0FC818C" hidden="1">#REF!</definedName>
    <definedName name="BOC7F23567E0FC43EF8AFAF31F77B8C5D1" hidden="1">#REF!</definedName>
    <definedName name="BOC7FF3F5F776C4A789FAE16190E2C782D" hidden="1">#REF!</definedName>
    <definedName name="BOC8024B76DC9E43DEAE271469188DF598" hidden="1">#REF!</definedName>
    <definedName name="BOC803EED355C54ACAB0A10F133946C86C" hidden="1">#REF!</definedName>
    <definedName name="BOC80BD939CA284C88835330B815477149" hidden="1">#REF!</definedName>
    <definedName name="BOC80C72E59A2A425390D15A68AC0B2F68" hidden="1">#REF!</definedName>
    <definedName name="BOC80CE5AB846248CC889C1DA9D54D25E6" hidden="1">#REF!</definedName>
    <definedName name="BOC80F62C77E534F67B55C807C70EC446F" hidden="1">#REF!</definedName>
    <definedName name="BOC80FA1C0029C46BB837B78153D3B0943" hidden="1">#REF!</definedName>
    <definedName name="BOC8296EF4083341E8AC33E2972EFA7385" hidden="1">#REF!</definedName>
    <definedName name="BOC855EDAC13184DFBBFE5301166F5B620" hidden="1">#REF!</definedName>
    <definedName name="BOC86213D777EC406696B6FEDD2D67863F" hidden="1">#REF!</definedName>
    <definedName name="BOC8728EFFCA5645CB88692A09F7070149" hidden="1">#REF!</definedName>
    <definedName name="BOC87B38344BA34F728D97426A738200CD" hidden="1">#REF!</definedName>
    <definedName name="BOC87FF6644F374B7F977754153A6B493E" hidden="1">#REF!</definedName>
    <definedName name="BOC8842B6BE1C1463BB7601B9590CF58E1" hidden="1">#REF!</definedName>
    <definedName name="BOC8869887E70B4818A88E13173C4A1CF7" hidden="1">#REF!</definedName>
    <definedName name="BOC8972E7C46864D298A01DF1EB7930290" hidden="1">#REF!</definedName>
    <definedName name="BOC8A7E7BC26B640B989580B3BB8AEB1AE" hidden="1">#REF!</definedName>
    <definedName name="BOC8AA233CFB3E42669786F9DEB95C546E" hidden="1">#REF!</definedName>
    <definedName name="BOC8B7F86BE82F498C8F79B3F23FE1E7AF" hidden="1">#REF!</definedName>
    <definedName name="BOC8C10B1C8061426A980F67403B83C521" hidden="1">#REF!</definedName>
    <definedName name="BOC8C9FF12ABA64F6CA2C220BB9485DDCC" hidden="1">#REF!</definedName>
    <definedName name="BOC8D17043FE9D4029AF7D912201D279BE" hidden="1">#REF!</definedName>
    <definedName name="BOC8E4D2C4D1F34027A807B522E374B9E5" hidden="1">#REF!</definedName>
    <definedName name="BOC8EC793C482B4705AA0AAB0BA792213B" hidden="1">#REF!</definedName>
    <definedName name="BOC8F2EA51E05741DC929CFFF148A6F778" hidden="1">#REF!</definedName>
    <definedName name="BOC8F53A31316E4DE18690968A99BE6301" hidden="1">#REF!</definedName>
    <definedName name="BOC8F740D0F7C14C9FADF02E5A7FF774A7" hidden="1">#REF!</definedName>
    <definedName name="BOC8FBA24C47E442039F81CFF259CDA17D" hidden="1">#REF!</definedName>
    <definedName name="BOC9169EB243BB4787A93E27B0684745B9" hidden="1">#REF!</definedName>
    <definedName name="BOC91E1757BF2E4CC28A6C80B116F1EE50" hidden="1">#REF!</definedName>
    <definedName name="BOC926E891BA164AF8ABA57349159767C1" hidden="1">#REF!</definedName>
    <definedName name="BOC93A1F4615D346998D3007EA1503FC1D" hidden="1">#REF!</definedName>
    <definedName name="BOC94ED5679E6B4A95AFD8131D3B10B8AB" hidden="1">#REF!</definedName>
    <definedName name="BOC953C42F616848E0AA25F0CCCA75CA9D" hidden="1">#REF!</definedName>
    <definedName name="BOC959DF3C9D684ACCB02C559E4B4F9FC4" hidden="1">#REF!</definedName>
    <definedName name="BOC95B46FBAE66416A88B8878372DEB86C" hidden="1">#REF!</definedName>
    <definedName name="BOC96249CE2D604DC58C505A5BF5153C29" hidden="1">#REF!</definedName>
    <definedName name="BOC9671073082747B49BB45DF3098C7F9A" hidden="1">#REF!</definedName>
    <definedName name="BOC995DE8CB4784AC2923A4693444BF92F" hidden="1">#REF!</definedName>
    <definedName name="BOC99798025DBB40CD861EBABC1B3B9DC3" hidden="1">#REF!</definedName>
    <definedName name="BOC99AA6A75C5944F0A2513C9EE7857157" hidden="1">#REF!</definedName>
    <definedName name="BOC99D8953E27047FBBC64424DD0B1A1DC" hidden="1">#REF!</definedName>
    <definedName name="BOC99DEBEE81C24D7B84F07273A9763193" hidden="1">#REF!</definedName>
    <definedName name="BOC9A9E8F30812445EB0F0B4B940CCD77B" hidden="1">#REF!</definedName>
    <definedName name="BOC9ABE62A295C4072900414BC894C3883" hidden="1">#REF!</definedName>
    <definedName name="BOC9ADC0C89AE34C7EB6A0AE1DE4D53E7E" hidden="1">#REF!</definedName>
    <definedName name="BOC9AF0F0BA0D74737896F1A72402D007D" hidden="1">#REF!</definedName>
    <definedName name="BOC9BF0E36F41C40C2B1D861652525D9F2" hidden="1">#REF!</definedName>
    <definedName name="BOC9CB77920218454794E34566A1FF9CC0" hidden="1">#REF!</definedName>
    <definedName name="BOC9D3CB5A052D406D92A431B8601E8BDA" hidden="1">#REF!</definedName>
    <definedName name="BOC9D408364D1C49AEABD42695F397A50D" hidden="1">#REF!</definedName>
    <definedName name="BOC9DCDC9F8025495AA046BE19F464DD01" hidden="1">#REF!</definedName>
    <definedName name="BOC9E4DD95875F414B8CED24777DD25A47" hidden="1">#REF!</definedName>
    <definedName name="BOCA074A9DE8DD47D8AE05B92D00EBA10B" hidden="1">#REF!</definedName>
    <definedName name="BOCA0907671B4F485C97D9A6E59D340968" hidden="1">#REF!</definedName>
    <definedName name="BOCA09F46CFD2F40099C39D5C765650E32" hidden="1">#REF!</definedName>
    <definedName name="BOCA0BA33B7D9B4192A1308FB3A6CF4351" hidden="1">#REF!</definedName>
    <definedName name="BOCA123036C8A046E4AF0059A94790CC7B" hidden="1">#REF!</definedName>
    <definedName name="BOCA185A624EF9435D86E9F45DB8B2276D" hidden="1">#REF!</definedName>
    <definedName name="BOCA1AC40D035642BDAD851CD1C006E420" hidden="1">#REF!</definedName>
    <definedName name="BOCA1DF6CD1C434C9F8FDBA017D59B2A09" hidden="1">#REF!</definedName>
    <definedName name="BOCA20573B8BDD4A53BBDFFC10801487F0" hidden="1">#REF!</definedName>
    <definedName name="BOCA2A86E144ED43B88974C6CEF311C01E" hidden="1">#REF!</definedName>
    <definedName name="BOCA36DAA4DA0A44B2B28689803DB20F42" hidden="1">#REF!</definedName>
    <definedName name="BOCA3BF6AC3B23401998D0195DAF83BECC" hidden="1">#REF!</definedName>
    <definedName name="BOCA3F1F4E7C6847748BAF942709E44AF6" hidden="1">#REF!</definedName>
    <definedName name="BOCA421E6ABEB24C638FAA7721E35045C1" hidden="1">#REF!</definedName>
    <definedName name="BOCA42A6F4BD9E405F9A931721DDAB24F7" hidden="1">#REF!</definedName>
    <definedName name="BOCA4C0F5B356D44459C6A9C00BC229622" hidden="1">#REF!</definedName>
    <definedName name="BOCA4E648895974047B95F956C2BF7AA21" hidden="1">#REF!</definedName>
    <definedName name="BOCA6FA6D2AFBC4A70A97F32AB25EF3619" hidden="1">#REF!</definedName>
    <definedName name="BOCA7617AC50324926B86A79933FC253EF" hidden="1">#REF!</definedName>
    <definedName name="BOCA8B1B97D03545A088C2E5E0668F0ECD" hidden="1">#REF!</definedName>
    <definedName name="BOCA90235F95A84C5DA0A48125084C5AA7" hidden="1">#REF!</definedName>
    <definedName name="BOCA9D17F8F20E4A20B836655F0E80ADC8" hidden="1">#REF!</definedName>
    <definedName name="BOCAAC96D7A29A4D88895A18930CAC28C6" hidden="1">#REF!</definedName>
    <definedName name="BOCAB0C94A9F184085939BC58E7D6D720E" hidden="1">#REF!</definedName>
    <definedName name="BOCABA6A29917E49A980D74FE4A9ABBBF0" hidden="1">#REF!</definedName>
    <definedName name="BOCABB79DF922B4B70B3DB95181BB63716" hidden="1">#REF!</definedName>
    <definedName name="BOCAC20E70FC2C4EA2B35EE17BE4045985" hidden="1">#REF!</definedName>
    <definedName name="BOCACB271DE48B4D569E8AEA6609E67EF2" hidden="1">#REF!</definedName>
    <definedName name="BOCACF7B219BDB42B5987A986A14FE7AC4" hidden="1">#REF!</definedName>
    <definedName name="BOCAE04BDCCDDA40E38EFD0B67C249F503" hidden="1">#REF!</definedName>
    <definedName name="BOCAF3546900E5486CBE6AA381B80CBA81" hidden="1">#REF!</definedName>
    <definedName name="BOCAF3F067937048348A51E5C3C563D5A1" hidden="1">#REF!</definedName>
    <definedName name="BOCB0D6AD555F64AC08528F46910B95855" hidden="1">#REF!</definedName>
    <definedName name="BOCB11EB3ED01A43019D02FD957A29CF05" hidden="1">#REF!</definedName>
    <definedName name="BOCB23D564181E437B8722746637E10E65" hidden="1">#REF!</definedName>
    <definedName name="BOCB27A924F6314A6ABD6FF6AD41B9342E" hidden="1">#REF!</definedName>
    <definedName name="BOCB2CC4DD4A3A403681380830D5DC150F" hidden="1">#REF!</definedName>
    <definedName name="BOCB305D090CB5475D9E732F8E70C89760" hidden="1">#REF!</definedName>
    <definedName name="BOCB31D5260AF9477D963D3E321A7A5D5E" hidden="1">#REF!</definedName>
    <definedName name="BOCB34A805EB1043FB936B90C8CA4E1F22" hidden="1">#REF!</definedName>
    <definedName name="BOCB35F23AAD4747368EFADADE9507E348" hidden="1">#REF!</definedName>
    <definedName name="BOCB48B819BB7C4B27816DA4B7AE193893" hidden="1">#REF!</definedName>
    <definedName name="BOCB495ACFBECF47E5A597BBBBE2D51A06" hidden="1">#REF!</definedName>
    <definedName name="BOCB4DBA2CD0B8489A9184873D49892A37" hidden="1">#REF!</definedName>
    <definedName name="BOCB523FCF0A254CBE8ABFA887037CCDF0" hidden="1">#REF!</definedName>
    <definedName name="BOCB5AF87499394900A1347325CE886551" hidden="1">#REF!</definedName>
    <definedName name="BOCB5B88E25E404529982E2C418A89BA4C" hidden="1">#REF!</definedName>
    <definedName name="BOCB64320708644987A05E35DC65EBACB5" hidden="1">#REF!</definedName>
    <definedName name="BOCB7DC01146B942BF80B92AB6731FC9C1" hidden="1">#REF!</definedName>
    <definedName name="BOCBA5FDFA2EE44C39B1268A6A98CA44EF" hidden="1">#REF!</definedName>
    <definedName name="BOCBA76573B2ED44FEAA91D32D5908280C" hidden="1">#REF!</definedName>
    <definedName name="BOCBB9D0536C554F9CB96D2AC20131CED3" hidden="1">#REF!</definedName>
    <definedName name="BOCBD08E806CA645F1B18C58A56B984D1A" hidden="1">#REF!</definedName>
    <definedName name="BOCBD50580C8DA4978B2142B11DB4C4039" hidden="1">#REF!</definedName>
    <definedName name="BOCBE022C6EEDE4FCDA0C4CE22C65E7405" hidden="1">#REF!</definedName>
    <definedName name="BOCBE0E2989F7047EFB4262CB854AFB478" hidden="1">#REF!</definedName>
    <definedName name="BOCBE170BD519C42239D63A181E249338B" hidden="1">#REF!</definedName>
    <definedName name="BOCBE7D75AA1E54C29BD2021C65EA254A5" hidden="1">#REF!</definedName>
    <definedName name="BOCC0988DE0D9D4DA0AD5433A273D8821B" hidden="1">#REF!</definedName>
    <definedName name="BOCC1015847B974795A4483E459E34DB01" hidden="1">#REF!</definedName>
    <definedName name="BOCC24710B85194CDF9D9350D965B4D8AA" hidden="1">#REF!</definedName>
    <definedName name="BOCC278275817A45EAA1616006CCF9CEC8" hidden="1">#REF!</definedName>
    <definedName name="BOCC304B8C3D0247A1BB1AF6B48F3EBA44" hidden="1">#REF!</definedName>
    <definedName name="BOCC39C4DE47BF4A008BC4E7675E0F2E3D" hidden="1">#REF!</definedName>
    <definedName name="BOCC3F4820175A4FD0A7ADD0F5009F795D" hidden="1">#REF!</definedName>
    <definedName name="BOCC45D87771CF46E5A0CF0725A7BDE5F8" hidden="1">#REF!</definedName>
    <definedName name="BOCC462160B28C40F5851B699E1B5B3DE0" hidden="1">#REF!</definedName>
    <definedName name="BOCC478F6C3DB940CBB2F090948867494D" hidden="1">#REF!</definedName>
    <definedName name="BOCC499937FE94443E8B2B48EBCA118016" hidden="1">#REF!</definedName>
    <definedName name="BOCC4B6592B93D4EF19DA0CD7D05E89727" hidden="1">#REF!</definedName>
    <definedName name="BOCC691B3EEEAC4150A39F921B686E1CA6" hidden="1">#REF!</definedName>
    <definedName name="BOCC6FD29C349E45168A68B76140925BA3" hidden="1">#REF!</definedName>
    <definedName name="BOCC7247C4594A4A21A2E663170011627B" hidden="1">#REF!</definedName>
    <definedName name="BOCC914A6654444A1C8BD964103A833C7E" hidden="1">#REF!</definedName>
    <definedName name="BOCC9C97E393F5478A995AB1A988040CD5" hidden="1">#REF!</definedName>
    <definedName name="BOCC9F344FE00E435D9331BD0B13B50A6C" hidden="1">#REF!</definedName>
    <definedName name="BOCCAA027688CC426FB1F162F5B44E3C51" hidden="1">#REF!</definedName>
    <definedName name="BOCCD1637BAA09400B93A67B02DB2A00F8" hidden="1">#REF!</definedName>
    <definedName name="BOCCD32B0C15CB4E30B9EB9A48262ED0D3" hidden="1">#REF!</definedName>
    <definedName name="BOCCD803188E674FFAA44B9ECA626F046B" hidden="1">#REF!</definedName>
    <definedName name="BOCCE003A89FB24C00B89EED22C3D10D40" hidden="1">#REF!</definedName>
    <definedName name="BOCCEEA8633284456AB7575D50F301C1CC" hidden="1">#REF!</definedName>
    <definedName name="BOCCEF1C1C578546FE9703792F4156C545" hidden="1">#REF!</definedName>
    <definedName name="BOCCF062646E38401E9F279EA04231458E" hidden="1">#REF!</definedName>
    <definedName name="BOCCF2FB76A68F43A79308251D35674951" hidden="1">#REF!</definedName>
    <definedName name="BOCCF57DF3D479442AB804DE221ED7A0A7" hidden="1">#REF!</definedName>
    <definedName name="BOCCFFD66261D64372B74FDE8B3EFB0FC1" hidden="1">#REF!</definedName>
    <definedName name="BOCD07EE31EE584A2A8CD595F42D9E97A0" hidden="1">#REF!</definedName>
    <definedName name="BOCD0CE88649764E57A5D376369BF59484" hidden="1">#REF!</definedName>
    <definedName name="BOCD0DD462F0EA48599BE7FA94F9047229" hidden="1">#REF!</definedName>
    <definedName name="BOCD12967B6A5F43A28F01BF1F72565969" hidden="1">#REF!</definedName>
    <definedName name="BOCD157E5830184FF9BEF9FA0AF580BE82" hidden="1">#REF!</definedName>
    <definedName name="BOCD2B329AF2EC4F69A5C6B0BEF727CAB4" hidden="1">#REF!</definedName>
    <definedName name="BOCD4BBC6A5E2F489FBFC5CBC907AE801E" hidden="1">#REF!</definedName>
    <definedName name="BOCD51D7197A5E476A86FD9C91675CA09B" hidden="1">#REF!</definedName>
    <definedName name="BOCD56E70353EA41F2A5031B6724EE8C54" hidden="1">#REF!</definedName>
    <definedName name="BOCD60CA51DA244C9E9EA2C41F88476315" hidden="1">#REF!</definedName>
    <definedName name="BOCD73BEA4010C4D27B5B0A496580D48C1" hidden="1">#REF!</definedName>
    <definedName name="BOCD757EB2615E48238575F35A849E9D5B" hidden="1">#REF!</definedName>
    <definedName name="BOCD772097CE3B4EC2B7E94DA07FB05A9B" hidden="1">#REF!</definedName>
    <definedName name="BOCD7725FFE7A94D618A05C04B8124A702" hidden="1">#REF!</definedName>
    <definedName name="BOCD781CA2DD4046F4AEE7B97833AA0F78" hidden="1">#REF!</definedName>
    <definedName name="BOCD78CE5CFEDE4B388FCD35F608A56ABD" hidden="1">#REF!</definedName>
    <definedName name="BOCD7D036FB62447C59D5DAF7B769196E7" hidden="1">#REF!</definedName>
    <definedName name="BOCD84F781EFD7405A893141D5B4D7E9D8" hidden="1">#REF!</definedName>
    <definedName name="BOCD8B1DDE93364DEFA1086000CE47B79D" hidden="1">#REF!</definedName>
    <definedName name="BOCD8BBB5A81F04ACFBB09683E8503F059" hidden="1">#REF!</definedName>
    <definedName name="BOCD8D8FFEF8624311A42CB41803748EC8" hidden="1">#REF!</definedName>
    <definedName name="BOCD8EA7989DDA43EE9E4B96CB216B56E4" hidden="1">#REF!</definedName>
    <definedName name="BOCD9C75175CE64E82A8C3F1E260A5797E" hidden="1">#REF!</definedName>
    <definedName name="BOCD9D664FF18E44E5A0A2C8537501DA49" hidden="1">#REF!</definedName>
    <definedName name="BOCDA5DFAE92A54BD0A2B7D7782CE547C8" hidden="1">#REF!</definedName>
    <definedName name="BOCDB87B3B429841F383B64AC9279B56F2" hidden="1">#REF!</definedName>
    <definedName name="BOCDBFF21B88DA41E0B846C70BD798273A" hidden="1">#REF!</definedName>
    <definedName name="BOCDC28E410C44432EBE863703C6AC51AA" hidden="1">#REF!</definedName>
    <definedName name="BOCDC7853C86654B15B07DE97211C2F420" hidden="1">#REF!</definedName>
    <definedName name="BOCDD3F91F8BFB4928B56CAEA40F5AEC08" hidden="1">#REF!</definedName>
    <definedName name="BOCDD94267DDFF4D0BA9DB6D7B5A7393A2" hidden="1">#REF!</definedName>
    <definedName name="BOCDE0510D777A4A2CA23062C08E568B79" hidden="1">#REF!</definedName>
    <definedName name="BOCDE5BE14268D4CC2AA3CB7E030D23296" hidden="1">#REF!</definedName>
    <definedName name="BOCDEA7761C90043388449EE8A988350B1" hidden="1">#REF!</definedName>
    <definedName name="BOCE097C4E4EA842EBA24952C2223BCC41" hidden="1">#REF!</definedName>
    <definedName name="BOCE0B0E6F79A44DAFA0481A70C4FEE4BC" hidden="1">#REF!</definedName>
    <definedName name="BOCE1E9B44B3AD4EABB0457DB1E112C202" hidden="1">#REF!</definedName>
    <definedName name="BOCE24BA090CD749E3A8FF80A8862AAC74" hidden="1">#REF!</definedName>
    <definedName name="BOCE2A1EC8AA1F43DDBCB06484DBC42EEB" hidden="1">#REF!</definedName>
    <definedName name="BOCE2D136A8AFF464DB05575B3718F6EB9" hidden="1">#REF!</definedName>
    <definedName name="BOCE5B7F2784A447BEB1988E35E2BF2599" hidden="1">#REF!</definedName>
    <definedName name="BOCE5EAECD91AB4C29B31F008E96377ED4" hidden="1">#REF!</definedName>
    <definedName name="BOCE6B34B83A554E14ADFAE5DF03F6372C" hidden="1">#REF!</definedName>
    <definedName name="BOCE6F3CCB0A3948BF882F41AA79B9834F" hidden="1">#REF!</definedName>
    <definedName name="BOCE7B890F14C946FA89A4E77333DD94C5" hidden="1">#REF!</definedName>
    <definedName name="BOCE7DB66047754CD4AE20CB4E8CE8A417" hidden="1">#REF!</definedName>
    <definedName name="BOCE7F5A785C2449A786DEAB41449823C3" hidden="1">#REF!</definedName>
    <definedName name="BOCE864BB427254EC895E646023798D387" hidden="1">#REF!</definedName>
    <definedName name="BOCE8E773603DE4D639CEAB43702042A5A" hidden="1">#REF!</definedName>
    <definedName name="BOCE97B683183A4EC8B69470642D678067" hidden="1">#REF!</definedName>
    <definedName name="BOCE9C94A72A964BA8B85447F4BC1ACE89" hidden="1">#REF!</definedName>
    <definedName name="BOCEAD43DDCC92470CAA368CFC62C8F0BB" hidden="1">#REF!</definedName>
    <definedName name="BOCEB1882C8C5B428196706BE892EE30B1" hidden="1">#REF!</definedName>
    <definedName name="BOCEBA9CE843AE4E19804C63A44FA43724" hidden="1">#REF!</definedName>
    <definedName name="BOCEBCC91D966A4164B68D20FE51528E77" hidden="1">#REF!</definedName>
    <definedName name="BOCED1479FEBB14DC591971D4A6481AF64" hidden="1">#REF!</definedName>
    <definedName name="BOCEE32C65257F468FB06F9F330F4873C3" hidden="1">#REF!</definedName>
    <definedName name="BOCEFCDC9614DB4F1EB2619D1E3C89E7B4" hidden="1">#REF!</definedName>
    <definedName name="BOCEFE7B1B728E4DA3960C1263762B5F76" hidden="1">#REF!</definedName>
    <definedName name="BOCF067095C5F540AB8552A7DCC44C1521" hidden="1">#REF!</definedName>
    <definedName name="BOCF0BFB9E52654F3CB4C2354AC79FCCE4" hidden="1">#REF!</definedName>
    <definedName name="BOCF14CB4951E7406A92C0819D85299FD8" hidden="1">#REF!</definedName>
    <definedName name="BOCF21DFC470674C91AFEAA08F5EE777D3" hidden="1">#REF!</definedName>
    <definedName name="BOCF463928AF504B73825A9333A76B12FA" hidden="1">#REF!</definedName>
    <definedName name="BOCF4F73DBC85645C8AE38B4D85F0128DB" hidden="1">#REF!</definedName>
    <definedName name="BOCF53D1F420B54CB6A13C7C732B6B0427" hidden="1">#REF!</definedName>
    <definedName name="BOCF557C6E59CA494994DEC4C1DDCB11BC" hidden="1">#REF!</definedName>
    <definedName name="BOCF6CEA67C664472EA76C93A4F0FAFBE7" hidden="1">#REF!</definedName>
    <definedName name="BOCF76C84ACC2B40E0AD05F47E71278321" hidden="1">#REF!</definedName>
    <definedName name="BOCF7B6E715ED04080B510F3E8DBC63790" hidden="1">#REF!</definedName>
    <definedName name="BOCF7E0CE53E404D63A891BAC3AA17E6C1" hidden="1">#REF!</definedName>
    <definedName name="BOCF7F2F0106184D2DA096AC85FDA39F98" hidden="1">#REF!</definedName>
    <definedName name="BOCF804194C1804845A2C41413209DAFB6" hidden="1">#REF!</definedName>
    <definedName name="BOCF833942CD6542189492BBB6BB2ACD78" hidden="1">#REF!</definedName>
    <definedName name="BOCF91D6B9BA924641AE33B00059AD92A4" hidden="1">#REF!</definedName>
    <definedName name="BOCF9B72862A844CB39AD2263362CA1011" hidden="1">#REF!</definedName>
    <definedName name="BOCF9E8732EBAE4C1E9C9398C7A0BB4758" hidden="1">#REF!</definedName>
    <definedName name="BOCFA1106A7396473C83D586595D83E094" hidden="1">#REF!</definedName>
    <definedName name="BOCFA116E43ACB48FFADD25F1EBD534125" hidden="1">#REF!</definedName>
    <definedName name="BOCFA403FD4D4B4CABAE1B1666220909F3" hidden="1">#REF!</definedName>
    <definedName name="BOCFA543FA86DC4514BEF89CD029DC8120" hidden="1">#REF!</definedName>
    <definedName name="BOCFC2B4DC104E41DE9DD0596AFC3844FA" hidden="1">#REF!</definedName>
    <definedName name="BOCFCCB63CB5B943E0B2007D3FD0B53C71" hidden="1">#REF!</definedName>
    <definedName name="BOCFCE1670FF04465588571ABF6EB4D6B8" hidden="1">#REF!</definedName>
    <definedName name="BOCFCEB44E9A594F139E0FAA8575E8A480" hidden="1">#REF!</definedName>
    <definedName name="BOCFD2F718C3184ED39FE17C58990217BC" hidden="1">#REF!</definedName>
    <definedName name="BOCFE843D26AE049F684E71DA2D9802837" hidden="1">#REF!</definedName>
    <definedName name="BOCFEC3041ED9C40E9AA0506DD41AFEF50" hidden="1">#REF!</definedName>
    <definedName name="BOCFECD2810D954775879BE954583B17C5" hidden="1">#REF!</definedName>
    <definedName name="BOCFF07B1CB42B49B5804CA83635EFD695" hidden="1">#REF!</definedName>
    <definedName name="BOCFF8D14E9FE946D49E487B5DB86B2636" hidden="1">#REF!</definedName>
    <definedName name="BOCFFB17AE391A4D4C95E8171F2D734F2E" hidden="1">#REF!</definedName>
    <definedName name="BOD0055E56DAAC43DCA6C2E30700EEA233" hidden="1">#REF!</definedName>
    <definedName name="BOD00682582F07467B91FCAF2E5833A071" hidden="1">#REF!</definedName>
    <definedName name="BOD006B4A6BA4E41E7AD9895A6DA9E0C7B" hidden="1">#REF!</definedName>
    <definedName name="BOD0117C5CEB004994B902AC5A6E98039E" hidden="1">#REF!</definedName>
    <definedName name="BOD015BB528B654D57B93F29970B778AE4" hidden="1">#REF!</definedName>
    <definedName name="BOD018127C859C4F7EB3CED5258024411C" hidden="1">#REF!</definedName>
    <definedName name="BOD020598AB4CA4C89B49875EAF76A2E72" hidden="1">#REF!</definedName>
    <definedName name="BOD020924676D34CC8B666FA1825ED090F" hidden="1">#REF!</definedName>
    <definedName name="BOD023612F351A483681A06D542E290449" hidden="1">#REF!</definedName>
    <definedName name="BOD02F6A830CED41D490A542D1069F934B" hidden="1">#REF!</definedName>
    <definedName name="BOD030A37F7895417FAB307A97A88DCB27" hidden="1">#REF!</definedName>
    <definedName name="BOD037543A72D245FE8AB64328D0B7A53A" hidden="1">#REF!</definedName>
    <definedName name="BOD041BB8013A5429E901E95DAE18599EF" hidden="1">#REF!</definedName>
    <definedName name="BOD042714A7FC14334B77841C609FB5CD9" hidden="1">#REF!</definedName>
    <definedName name="BOD0521ECEC08C4B02BA380838864DF621" hidden="1">#REF!</definedName>
    <definedName name="BOD05F71FEE4994FE4A3E9074930B36707" hidden="1">#REF!</definedName>
    <definedName name="BOD05F99368B4A47748288276334F9135F" hidden="1">#REF!</definedName>
    <definedName name="BOD061931D2931443A9ECADC5F02DC98E9" hidden="1">#REF!</definedName>
    <definedName name="BOD06477FDE764414C994617DBFC29A158" hidden="1">#REF!</definedName>
    <definedName name="BOD069C0C046454D1684A5F5A22519039F" hidden="1">#REF!</definedName>
    <definedName name="BOD06B4B91120F49119E1AB708ADCB20B1" hidden="1">#REF!</definedName>
    <definedName name="BOD06BA7064A7A48A49539DF1B0CF57E1F" hidden="1">#REF!</definedName>
    <definedName name="BOD07ECDB243EB4FD184CCBBC7EED26DB5" hidden="1">#REF!</definedName>
    <definedName name="BOD0856120648941C9A6245ADEAEF97FAA" hidden="1">#REF!</definedName>
    <definedName name="BOD08824EAABCC47268734F2D2D6E2AA1F" hidden="1">#REF!</definedName>
    <definedName name="BOD08C2C27A2F542FFAACD1C55CE1EDAE0" hidden="1">#REF!</definedName>
    <definedName name="BOD08E9CA1B9F64BF29EE2577CFACF6363" hidden="1">#REF!</definedName>
    <definedName name="BOD09710F2D95E4B5DA064808C272C8EA3" hidden="1">#REF!</definedName>
    <definedName name="BOD0993709ABB64F2B9F6B4ED4CC726772" hidden="1">#REF!</definedName>
    <definedName name="BOD09CC523EBF444559A7FEC444292EAF0" hidden="1">#REF!</definedName>
    <definedName name="BOD0AA3B237301459DA4FC290A75C4DAF0" hidden="1">#REF!</definedName>
    <definedName name="BOD0B07BA1EFDF4979816482E0DE58B10E" hidden="1">#REF!</definedName>
    <definedName name="BOD0B32FA56B0E491786CAF0E2655CE2A9" hidden="1">#REF!</definedName>
    <definedName name="BOD0B75D69940E44C49613D4C27CDC5E58" hidden="1">#REF!</definedName>
    <definedName name="BOD0C35C0D182C4289B79D02CC591F1CD9" hidden="1">#REF!</definedName>
    <definedName name="BOD0C54ABBE53D469F8C477AF0DB12FFF8" hidden="1">#REF!</definedName>
    <definedName name="BOD0CAD5AB78A646DCA7A095C9C90C6F53" hidden="1">#REF!</definedName>
    <definedName name="BOD0DC308492604439BA21F0A96ADB322E" hidden="1">#REF!</definedName>
    <definedName name="BOD0DDE23A5D3C4DDAB9AAC65578B12264" hidden="1">#REF!</definedName>
    <definedName name="BOD0E24862F0054742BA0A3175AC016C8B" hidden="1">#REF!</definedName>
    <definedName name="BOD1075E77674B456CACC8FE527A024792" hidden="1">#REF!</definedName>
    <definedName name="BOD1126B656251421192238ABCE4CC3F04" hidden="1">#REF!</definedName>
    <definedName name="BOD116239791D54BE69187C489B9BB3969" hidden="1">#REF!</definedName>
    <definedName name="BOD11DFE5EF7A14B16BA6993931377AA18" hidden="1">#REF!</definedName>
    <definedName name="BOD121239AA94D491990703E084B08FAB1" hidden="1">#REF!</definedName>
    <definedName name="BOD122B30CCF8542D3B2FA812FCC81A42D" hidden="1">#REF!</definedName>
    <definedName name="BOD1250BFA11154E74A77811FC99580580" hidden="1">#REF!</definedName>
    <definedName name="BOD12BFB15E9AA402E85EB6BBBC9C29CB1" hidden="1">#REF!</definedName>
    <definedName name="BOD12D9B99472E45578627692AB2488622" hidden="1">#REF!</definedName>
    <definedName name="BOD136941C97234B499BA8AA189BBA8C8D" hidden="1">#REF!</definedName>
    <definedName name="BOD14EF789EFED4782AE8BE17E6930F4AB" hidden="1">#REF!</definedName>
    <definedName name="BOD152770AF22B4ABB9D174F79952577DB" hidden="1">#REF!</definedName>
    <definedName name="BOD15A227032F4415891CC16E4BBB5D9C1" hidden="1">#REF!</definedName>
    <definedName name="BOD16447127036449EB9461BE2E786FFD4" hidden="1">#REF!</definedName>
    <definedName name="BOD172623A64DD4AA8B35B4A4569008AB1" hidden="1">#REF!</definedName>
    <definedName name="BOD1788B50A8674993807F674CCBF33628" hidden="1">#REF!</definedName>
    <definedName name="BOD1895AD9E1C7481F946CAAF5A436FB10" hidden="1">#REF!</definedName>
    <definedName name="BOD193F845B87A47C8AD0CB46518C9CFFE" hidden="1">#REF!</definedName>
    <definedName name="BOD199803F07E3441E967B2E5D6FD92490" hidden="1">#REF!</definedName>
    <definedName name="BOD19E9BC537CF4BFE9E01ACB46295ED5E" hidden="1">#REF!</definedName>
    <definedName name="BOD1A0E03A378E434891576A3A4520AEC9" hidden="1">#REF!</definedName>
    <definedName name="BOD1A19DA57E534CCEAC0E7AD13E48C3C8" hidden="1">#REF!</definedName>
    <definedName name="BOD1AFEBBFB6114013B27AC97FDC097838" hidden="1">#REF!</definedName>
    <definedName name="BOD1B0E98941C646FF9D8A0B01557C7B10" hidden="1">#REF!</definedName>
    <definedName name="BOD1BCE75B8AF54E3099F175B2E3DD6FA5" hidden="1">#REF!</definedName>
    <definedName name="BOD1BF2606B22041E5A735F1FBE227095A" hidden="1">#REF!</definedName>
    <definedName name="BOD1C759464E034606A880F16F6644E8B2" hidden="1">#REF!</definedName>
    <definedName name="BOD1D4F980C6864BBB9533DAB1DB32C35B" hidden="1">#REF!</definedName>
    <definedName name="BOD1E5E8D093E34449B2EFBB33DDED6D33" hidden="1">#REF!</definedName>
    <definedName name="BOD1F17FC4662D4E58B0CB9FFEEA650A0D" hidden="1">#REF!</definedName>
    <definedName name="BOD1F5B3B70ED94ADBA22650B2D2E1F651" hidden="1">#REF!</definedName>
    <definedName name="BOD1FCB3135C2641D399CE038DBEB9E203" hidden="1">#REF!</definedName>
    <definedName name="BOD1FE699996944F4F83270A0E79679AE1" hidden="1">#REF!</definedName>
    <definedName name="BOD202AA6F2BDA40C6B8298581366656B5" hidden="1">#REF!</definedName>
    <definedName name="BOD20DA1C8FD7345D6AB19B1A8F8689DD1" hidden="1">#REF!</definedName>
    <definedName name="BOD21231B91F3E4C258AFB39E4765456BA" hidden="1">#REF!</definedName>
    <definedName name="BOD21D4F0ED597478A9A1CF5C75621BC01" hidden="1">#REF!</definedName>
    <definedName name="BOD2227ABF2DFC4839900AA91FC8FBDC66" hidden="1">#REF!</definedName>
    <definedName name="BOD226DC50A56F4537B0624B3853B8BA8F" hidden="1">#REF!</definedName>
    <definedName name="BOD2312FE4BBCF43F7BF1768D9189E1D60" hidden="1">#REF!</definedName>
    <definedName name="BOD236201746894D37ABFBD8102C0711E2" hidden="1">#REF!</definedName>
    <definedName name="BOD237168A9379430EA4FC9CE8872AF06A" hidden="1">#REF!</definedName>
    <definedName name="BOD2389C65FBF64E30AA79B38F2C0EEF38" hidden="1">#REF!</definedName>
    <definedName name="BOD23B3D464E8343E083A2CF726F83B318" hidden="1">#REF!</definedName>
    <definedName name="BOD23C5271F9134B49A820282751DE6D02" hidden="1">#REF!</definedName>
    <definedName name="BOD23DBEBEB64946D8B00E623BB07B3777" hidden="1">#REF!</definedName>
    <definedName name="BOD241FC81710A40509FFFCA6FFAB6A4FC" hidden="1">#REF!</definedName>
    <definedName name="BOD2475FF6D9A04B96A9901A061CDCADEF" hidden="1">#REF!</definedName>
    <definedName name="BOD24AB4C7E8BD41D5AB7627726E662D28" hidden="1">#REF!</definedName>
    <definedName name="BOD24C21F91D644F3A8091E61FCDBFD2DA" hidden="1">#REF!</definedName>
    <definedName name="BOD252ADD163DF4CC2B9C438FD2C78EE89" hidden="1">#REF!</definedName>
    <definedName name="BOD25DF343C9534432BC4EDDF7FD4BCB8B" hidden="1">#REF!</definedName>
    <definedName name="BOD25EE09DFCB64BD2BB71E9E9CC20BC40" hidden="1">#REF!</definedName>
    <definedName name="BOD283A34B46C649B68FA6FF8E66FCBF21" hidden="1">#REF!</definedName>
    <definedName name="BOD287AEA88F7340B090CC06DB5BBD074D" hidden="1">#REF!</definedName>
    <definedName name="BOD287D75D9A8F49F9AF9A3BFBB5927679" hidden="1">#REF!</definedName>
    <definedName name="BOD28DEBB06E8642D0BDD41AD4F7252896" hidden="1">#REF!</definedName>
    <definedName name="BOD291F7DA2BB948C0A0B0C4318848488C" hidden="1">#REF!</definedName>
    <definedName name="BOD294162BE739465191528A6F5C44542B" hidden="1">#REF!</definedName>
    <definedName name="BOD29E86E0E54049E8AFD6FACC17FCB05C" hidden="1">#REF!</definedName>
    <definedName name="BOD2B4A48537F14B98A50A72A7B04BC1F9" hidden="1">#REF!</definedName>
    <definedName name="BOD2B6B58443D847FDB6829ABC39269B31" hidden="1">#REF!</definedName>
    <definedName name="BOD2BB2DC95F56496CAB94C280E187DDC4" hidden="1">#REF!</definedName>
    <definedName name="BOD2CF95D06F4D47E59ED9F16BF00FFEBF" hidden="1">#REF!</definedName>
    <definedName name="BOD2D20507421347DF82293D26EF2E3D47" hidden="1">#REF!</definedName>
    <definedName name="BOD2D436A1CE844DAF959A6961CD5977AE" hidden="1">#REF!</definedName>
    <definedName name="BOD3066EA13C1C46549995A7A358B7E0F0" hidden="1">#REF!</definedName>
    <definedName name="BOD318D98FA01F48958725B53C175E1FDB" hidden="1">#REF!</definedName>
    <definedName name="BOD31A25C54E5C4EDCB3058B2E87A4FA5D" hidden="1">#REF!</definedName>
    <definedName name="BOD31F6301EE734D759A574A2DA53FC062" hidden="1">#REF!</definedName>
    <definedName name="BOD32B534202BD44598B34597B74FC2A08" hidden="1">#REF!</definedName>
    <definedName name="BOD32B7C1A69E24CF097EFEF6C5939FA9E" hidden="1">#REF!</definedName>
    <definedName name="BOD32C99B0325C4CC1B3BE243E5FD67BF0" hidden="1">#REF!</definedName>
    <definedName name="BOD3343F57DF7F4E07958E1C5EFF2A0110" hidden="1">#REF!</definedName>
    <definedName name="BOD354EA9B02B84802B9F4DBD42E5292E1" hidden="1">#REF!</definedName>
    <definedName name="BOD356905173E4474D840BAC1079FA3DC9" hidden="1">#REF!</definedName>
    <definedName name="BOD36C4B7DC91541F8B5536B7C0EA266E1" hidden="1">#REF!</definedName>
    <definedName name="BOD36FF4294F0A435588CB92D265FF30A4" hidden="1">#REF!</definedName>
    <definedName name="BOD3754ABCE33145CC810EF5230606CA6B" hidden="1">#REF!</definedName>
    <definedName name="BOD37C7FFDF196454CBD8CB757159C3092" hidden="1">#REF!</definedName>
    <definedName name="BOD381673486894B688E116600C150D165" hidden="1">#REF!</definedName>
    <definedName name="BOD38587AA9C3D47F9B4FF319842198063" hidden="1">#REF!</definedName>
    <definedName name="BOD38AA01D30334D75A1777406B7D13478" hidden="1">#REF!</definedName>
    <definedName name="BOD39AABA5E2B54662AF94CCB27DFC52B1" hidden="1">#REF!</definedName>
    <definedName name="BOD3AA68B30FFC4DB9AE29F1333BB8B806" hidden="1">#REF!</definedName>
    <definedName name="BOD3AB9977D5F846CF8A6F7DC50789B382" hidden="1">#REF!</definedName>
    <definedName name="BOD3AE4731A4784CCC93B0B67D8E79A43C" hidden="1">#REF!</definedName>
    <definedName name="BOD3BAA13BA0ED4DC9B97E607972E4E2D7" hidden="1">#REF!</definedName>
    <definedName name="BOD3C247E9F42F4F9DB8310B9F9ADB8858" hidden="1">#REF!</definedName>
    <definedName name="BOD3C4311E35754A03818EF570935FA90D" hidden="1">#REF!</definedName>
    <definedName name="BOD3C61D3BC8EF4B3C9DDA3AF04DE34223" hidden="1">#REF!</definedName>
    <definedName name="BOD3D294015A8D411DB1B57A856A8BF576" hidden="1">#REF!</definedName>
    <definedName name="BOD3DCA25CD69342CB81B4500E1E27C30A" hidden="1">#REF!</definedName>
    <definedName name="BOD3DD8479F9574540A2E5B4B79E052BF7" hidden="1">#REF!</definedName>
    <definedName name="BOD3EC1C3D52AE4873B3EC0D151EA6AD85" hidden="1">#REF!</definedName>
    <definedName name="BOD3F08ECB1B8F4CFC8158D2E0070E6AAE" hidden="1">#REF!</definedName>
    <definedName name="BOD3F8EBB0EB544D969CF0CAED059BA6C2" hidden="1">#REF!</definedName>
    <definedName name="BOD3FC786B8666473A8977E660773C7641" hidden="1">#REF!</definedName>
    <definedName name="BOD4168F98FDED4D3B9D5CCC65534DA839" hidden="1">#REF!</definedName>
    <definedName name="BOD423DDE898904C0194B7FB01F80CFAFE" hidden="1">#REF!</definedName>
    <definedName name="BOD426A6BFD012478D95373E8B2F0BBFD1" hidden="1">#REF!</definedName>
    <definedName name="BOD429A20535AA4EA8B0BD8C762656CAFE" hidden="1">#REF!</definedName>
    <definedName name="BOD42A79AFF9854B99A1FF3AF78EE704E8" hidden="1">#REF!</definedName>
    <definedName name="BOD435681E3EA6435A80473BF9EB6B1085" hidden="1">#REF!</definedName>
    <definedName name="BOD43EDC8C463949DEB5611F614E4B823B" hidden="1">#REF!</definedName>
    <definedName name="BOD44197A6099D435EB0FE02E10D221AF6" hidden="1">#REF!</definedName>
    <definedName name="BOD444CD50B665452D9E49DE77C8602DA7" hidden="1">#REF!</definedName>
    <definedName name="BOD4544EEEEA324CF5AFDCDE200B33B1B3" hidden="1">#REF!</definedName>
    <definedName name="BOD4561814F62B47D38C8937677BF85716" hidden="1">#REF!</definedName>
    <definedName name="BOD457328FAD2C49119B4F6DF1B4A9795A" hidden="1">#REF!</definedName>
    <definedName name="BOD46392F7156D4184963D688CC78BD36E" hidden="1">#REF!</definedName>
    <definedName name="BOD472F2C8D22E4EE8A0BD06B873D63FEF" hidden="1">#REF!</definedName>
    <definedName name="BOD48065ED38A14B959CE2DB4763062C4E" hidden="1">#REF!</definedName>
    <definedName name="BOD4855FF09CCE441F963B5476A397ED7A" hidden="1">#REF!</definedName>
    <definedName name="BOD4920868DCD544988C7CB8FFCE623138" hidden="1">#REF!</definedName>
    <definedName name="BOD49402EE9C3C4D0DB29F38CDD48C48A5" hidden="1">#REF!</definedName>
    <definedName name="BOD49B28E2FD6B4E439DA1189F6C98B8FF" hidden="1">#REF!</definedName>
    <definedName name="BOD49E3AA6BEE9463298FC96D4EE039FB5" hidden="1">#REF!</definedName>
    <definedName name="BOD4A1F3DFED9A48F7A96E1E65E0BCED0F" hidden="1">#REF!</definedName>
    <definedName name="BOD4ABC40C225C4FCF83B8F3E7E71C22CA" hidden="1">#REF!</definedName>
    <definedName name="BOD4B278245AE34B58AC05F944C9D4EDC8" hidden="1">#REF!</definedName>
    <definedName name="BOD4C8D07010AD49B59E75753A49C9D237" hidden="1">#REF!</definedName>
    <definedName name="BOD4CBDBC6BF824D28980BEE3BD2AB688B" hidden="1">#REF!</definedName>
    <definedName name="BOD4E5E87F52CF4666A9AAB9DB6D4490C1" hidden="1">#REF!</definedName>
    <definedName name="BOD4F001903DE8470FBC38B24C34839CC6" hidden="1">#REF!</definedName>
    <definedName name="BOD4F503DDBE3D405B92C840CA5EDEA28E" hidden="1">#REF!</definedName>
    <definedName name="BOD501206A29FF4F2786B0236F942F9B67" hidden="1">#REF!</definedName>
    <definedName name="BOD51D8C03077B4373BCAC1837845FBCAA" hidden="1">#REF!</definedName>
    <definedName name="BOD522D91BF9934BD4AB4F5EAB88545C80" hidden="1">#REF!</definedName>
    <definedName name="BOD5340046BD7B41D48FA4C226BAA8CEE6" hidden="1">#REF!</definedName>
    <definedName name="BOD537C2FA5EEE45148F0386F93CFF1D06" hidden="1">#REF!</definedName>
    <definedName name="BOD5488344AC404D559CC6D808EF62DEB1" hidden="1">#REF!</definedName>
    <definedName name="BOD565D6AB52D143609F20A06C0EDA8DE5" hidden="1">#REF!</definedName>
    <definedName name="BOD56620A6B31544A88B48E2C5710B1C76" hidden="1">#REF!</definedName>
    <definedName name="BOD569D6D1DF504122B12F1EB5FAE51EB7" hidden="1">#REF!</definedName>
    <definedName name="BOD577956B0FAF49818DAABD596734ACF5" hidden="1">#REF!</definedName>
    <definedName name="BOD5781A6ECDAE4C8F9C1B949CAF4158C6" hidden="1">#REF!</definedName>
    <definedName name="BOD582F6F32F334E0DA045C4A74FEBFE85" hidden="1">#REF!</definedName>
    <definedName name="BOD5851AA1C9544A5AA3C9227A2D00347F" hidden="1">#REF!</definedName>
    <definedName name="BOD58E331116404BA18357C323A0354321" hidden="1">#REF!</definedName>
    <definedName name="BOD58FE7A3165E4A378E1603412A9239F7" hidden="1">#REF!</definedName>
    <definedName name="BOD59F514F5B234A3880E0ECEA8E52785E" hidden="1">#REF!</definedName>
    <definedName name="BOD5ACA476617A4E9AA67455C053490FD9" hidden="1">#REF!</definedName>
    <definedName name="BOD5ACE6BCE13A4C9A990CB89932C60D3E" hidden="1">#REF!</definedName>
    <definedName name="BOD5AF70E63D57493FA594E3308C495553" hidden="1">#REF!</definedName>
    <definedName name="BOD5BAFE7792CB4961B403F80CBAA1C69E" hidden="1">#REF!</definedName>
    <definedName name="BOD5CE4708B17744A2B6D64496C757D63D" hidden="1">#REF!</definedName>
    <definedName name="BOD5D0C70D4C5348F18B7AA23677CC9570" hidden="1">#REF!</definedName>
    <definedName name="BOD5D47A78FEB344D19C31BA6FB2388B15" hidden="1">#REF!</definedName>
    <definedName name="BOD5E05F0B64D845CCB8348A3C3959813B" hidden="1">#REF!</definedName>
    <definedName name="BOD5E519FDCA674D5AB6EAE0BC2A1BC540" hidden="1">#REF!</definedName>
    <definedName name="BOD5ECA4D276DB4ECB943F8393E9B2141E" hidden="1">#REF!</definedName>
    <definedName name="BOD5EFDCBE874C4E9C90F73A4D1AA30793" hidden="1">#REF!</definedName>
    <definedName name="BOD5F47E05C25C460BA10401753C3B41D5" hidden="1">#REF!</definedName>
    <definedName name="BOD5F4A10016E945A4B5F7C32EB57C2E57" hidden="1">#REF!</definedName>
    <definedName name="BOD5F6490C0BE74C3EA549A1512EFD4B02" hidden="1">#REF!</definedName>
    <definedName name="BOD5F9EFCC397D403BA585F7A3F93657DC" hidden="1">#REF!</definedName>
    <definedName name="BOD5FA8E0A1B9F474ABB452C1EF2FCACC0" hidden="1">#REF!</definedName>
    <definedName name="BOD606F01979CA4EC9BE13FC8A11B8C954" hidden="1">#REF!</definedName>
    <definedName name="BOD607091530604B19AF14F8E6C1ECB6C1" hidden="1">#REF!</definedName>
    <definedName name="BOD60CDCE0D9BB4A91AB15C4A98B898389" hidden="1">#REF!</definedName>
    <definedName name="BOD61227A807604B93A4C22A1EE10A75A4" hidden="1">#REF!</definedName>
    <definedName name="BOD61A2934374341ADABB8D6C6FCA1FA1A" hidden="1">#REF!</definedName>
    <definedName name="BOD61C0E40290B4AAC85131A36E7B86632" hidden="1">#REF!</definedName>
    <definedName name="BOD621F2A7F04A42ED9D1F93A5B70B28AB" hidden="1">#REF!</definedName>
    <definedName name="BOD630DEC7B2E64373B31926C928FA4105" hidden="1">#REF!</definedName>
    <definedName name="BOD6337D530A25458DAB86C55CDE0E090D" hidden="1">#REF!</definedName>
    <definedName name="BOD638A6DEB2AE4E33B4F5012D446E3F2F" hidden="1">#REF!</definedName>
    <definedName name="BOD6478173B2A84F80B239D63D8B8FDA65" hidden="1">#REF!</definedName>
    <definedName name="BOD651C1A861994325BFBC3652A44C5A83" hidden="1">#REF!</definedName>
    <definedName name="BOD65B3E26012444AC958CA6C810522620" hidden="1">#REF!</definedName>
    <definedName name="BOD65B5938A0E04A09803D8F712499BE58" hidden="1">#REF!</definedName>
    <definedName name="BOD661C021CD644B04824ED8E0023E9648" hidden="1">#REF!</definedName>
    <definedName name="BOD661C8F2A0DD4C30BCE5C278133B6441" hidden="1">#REF!</definedName>
    <definedName name="BOD6679B2684B244889066E4818048E411" hidden="1">#REF!</definedName>
    <definedName name="BOD66EEE78A0DD435CAFB89209373763C1" hidden="1">#REF!</definedName>
    <definedName name="BOD678EA66FDBF4FE0A42C832CF861367B" hidden="1">#REF!</definedName>
    <definedName name="BOD6816396F50449129BA62E85B9EEF489" hidden="1">#REF!</definedName>
    <definedName name="BOD688BDDF71AC4B3E94E6748413E45FCA" hidden="1">#REF!</definedName>
    <definedName name="BOD68A918062F740B587E01C1337CF89F9" hidden="1">#REF!</definedName>
    <definedName name="BOD6938B068E404841A883DC945BBC1B29" hidden="1">#REF!</definedName>
    <definedName name="BOD6979F41FDED4826A0DE0572D08AFAC1" hidden="1">#REF!</definedName>
    <definedName name="BOD697D602C3D14185AF9EFD41E083BBBE" hidden="1">#REF!</definedName>
    <definedName name="BOD6984F78645949AAB6F974360E2F7FC2" hidden="1">#REF!</definedName>
    <definedName name="BOD6BA17BB54B24CA28900A1D2DAAA98C0" hidden="1">#REF!</definedName>
    <definedName name="BOD6D3014F43184401824056B2C0DCF69F" hidden="1">#REF!</definedName>
    <definedName name="BOD6DE7702B24E4A3AB418DF6829C5CA71" hidden="1">#REF!</definedName>
    <definedName name="BOD6E6718904854D7A8EA2112AF0019C05" hidden="1">#REF!</definedName>
    <definedName name="BOD6E721C4F8CB4396B0DC8D82543CF892" hidden="1">#REF!</definedName>
    <definedName name="BOD6ECD53C18BC4C978C5D3619AED4601E" hidden="1">#REF!</definedName>
    <definedName name="BOD6EE64D767BA4FEBA872492BA731C3DB" hidden="1">#REF!</definedName>
    <definedName name="BOD6FB4D08AE7E426DABD7E39A0DB94FDB" hidden="1">#REF!</definedName>
    <definedName name="BOD7051FD759F74E809A77EAB96C79AA53" hidden="1">#REF!</definedName>
    <definedName name="BOD70A858D0B174FF78271EC91A20AD93A" hidden="1">#REF!</definedName>
    <definedName name="BOD70B66DB8855401D8A71E8E8BACBD2EF" hidden="1">#REF!</definedName>
    <definedName name="BOD71A0C724249477BA66E732EE0E08084" hidden="1">#REF!</definedName>
    <definedName name="BOD7221D89ADFC472DB86B76D81BE0002F" hidden="1">#REF!</definedName>
    <definedName name="BOD728A8E54D9E4044B80911731F7DC529" hidden="1">#REF!</definedName>
    <definedName name="BOD7306075FD4C48A98B32158B2C619E37" hidden="1">#REF!</definedName>
    <definedName name="BOD73384BFD128497C8E078B9E2C69DF98" hidden="1">#REF!</definedName>
    <definedName name="BOD73C896B07FF4762A72436BD9C3D4B85" hidden="1">#REF!</definedName>
    <definedName name="BOD747EF9C40984BE28F493001670CA536" hidden="1">#REF!</definedName>
    <definedName name="BOD756DBF9269F44C59F063BDEB1214CD2" hidden="1">#REF!</definedName>
    <definedName name="BOD759CBBE99EF4E85933F5ACC73B184BF" hidden="1">#REF!</definedName>
    <definedName name="BOD7677DD4D4714B39A8C8AA6EDF13494A" hidden="1">#REF!</definedName>
    <definedName name="BOD77128844EDE41CBA24F12E8E407BAB6" hidden="1">#REF!</definedName>
    <definedName name="BOD7757F078FB94A3699D92C59992E5706" hidden="1">#REF!</definedName>
    <definedName name="BOD7832A5A35704194B00D064667182832" hidden="1">#REF!</definedName>
    <definedName name="BOD786745F16E642D9826BD69EBE5CC00D" hidden="1">#REF!</definedName>
    <definedName name="BOD79217BF28B44E90BBFCE7DFCF2D1C66" hidden="1">#REF!</definedName>
    <definedName name="BOD796DC27F38D411ABCB06A548B8802A0" hidden="1">#REF!</definedName>
    <definedName name="BOD7975EE708064E0F8431894602C9A30B" hidden="1">#REF!</definedName>
    <definedName name="BOD79C827B6EC545C7A225E61C7F3A812F" hidden="1">#REF!</definedName>
    <definedName name="BOD7B353A7A6BD4586A75760CD20038020" hidden="1">#REF!</definedName>
    <definedName name="BOD7B3F09CD09E43FCAED095867B637C9C" hidden="1">#REF!</definedName>
    <definedName name="BOD7C0158FF7474BD28B0A65BE072CC17B" hidden="1">#REF!</definedName>
    <definedName name="BOD7C1350B21C441D0BA5EC62FFA9F46C6" hidden="1">#REF!</definedName>
    <definedName name="BOD7C3BDF2F72F4FC39511DAA049D85FF2" hidden="1">#REF!</definedName>
    <definedName name="BOD7C9FC569A954D1795C2C1874D0645D5" hidden="1">#REF!</definedName>
    <definedName name="BOD7DA02D7C6884B76BB20C1F9520594DA" hidden="1">#REF!</definedName>
    <definedName name="BOD7E50133C03F4113AF3A6DE734CE0B16" hidden="1">#REF!</definedName>
    <definedName name="BOD7E917FA87514693A81210E81DB28650" hidden="1">#REF!</definedName>
    <definedName name="BOD7F700B887154A5BB4CD95CE31DF6A76" hidden="1">#REF!</definedName>
    <definedName name="BOD7F9649A60A4447697DBECC23FFDCE84" hidden="1">#REF!</definedName>
    <definedName name="BOD7FC2875159E4BE5BEDEF03EF8EE0C21" hidden="1">#REF!</definedName>
    <definedName name="BOD7FFB56E85734190AE3ADF9F3564CAEB" hidden="1">#REF!</definedName>
    <definedName name="BOD8012411113B439B912A7E42FFD47547" hidden="1">#REF!</definedName>
    <definedName name="BOD816164CC39A45018C8929C8F4D0291C" hidden="1">#REF!</definedName>
    <definedName name="BOD819CDCF4FB04D5BB5611159D622B5C3" hidden="1">#REF!</definedName>
    <definedName name="BOD820304C69744DF98E1E9CAFA9277B7A" hidden="1">#REF!</definedName>
    <definedName name="BOD821B1F2FAC141948C1880486586392C" hidden="1">#REF!</definedName>
    <definedName name="BOD830BA6CC0C54631A7603569E2FE4844" hidden="1">#REF!</definedName>
    <definedName name="BOD83A30E6D5614EBE89207C48E887B12C" hidden="1">#REF!</definedName>
    <definedName name="BOD843623897804A18ADC14CA480B9AD22" hidden="1">#REF!</definedName>
    <definedName name="BOD8510521C58B4632BBB96CF659BD075B" hidden="1">#REF!</definedName>
    <definedName name="BOD8512C78BEC84751BA91BF1022DD6B7D" hidden="1">#REF!</definedName>
    <definedName name="BOD8542C015ABF4411BE7B7507DB2D38AA" hidden="1">#REF!</definedName>
    <definedName name="BOD876BBF1454B4BEC9370AF87F263CB96" hidden="1">#REF!</definedName>
    <definedName name="BOD8781FAC98224651A9035F7544A2ADBC" hidden="1">#REF!</definedName>
    <definedName name="BOD87BEEB1C27A4B66B6CD029BA8C872E4" hidden="1">#REF!</definedName>
    <definedName name="BOD88309A21E7F415BB8C2D4DD18ECC319" hidden="1">#REF!</definedName>
    <definedName name="BOD897EE1272B346E08F53A01A89A36C74" hidden="1">#REF!</definedName>
    <definedName name="BOD8AEC032FC86477381701178FEED8D1E" hidden="1">#REF!</definedName>
    <definedName name="BOD8B07E0EEB414482B718EE9FCC1BA031" hidden="1">#REF!</definedName>
    <definedName name="BOD8B80603287C4B42A35F709CDB9FA957" hidden="1">#REF!</definedName>
    <definedName name="BOD8C1217F7A8644F1A58562916028BFAE" hidden="1">#REF!</definedName>
    <definedName name="BOD8D108150B4D45049E1304DE2B43759A" hidden="1">#REF!</definedName>
    <definedName name="BOD8D92E12C604437AB98036C4E2333F57" hidden="1">#REF!</definedName>
    <definedName name="BOD8D935A7038B4501BBE85551958C42D8" hidden="1">#REF!</definedName>
    <definedName name="BOD8DE7EC6FCF8401E9D144F3069F513F0" hidden="1">#REF!</definedName>
    <definedName name="BOD8F4D80C28E94005B07DBF6214FF6C86" hidden="1">#REF!</definedName>
    <definedName name="BOD9095DE9CEB846A8897A6C4875C7D8B6" hidden="1">#REF!</definedName>
    <definedName name="BOD90E19ABE3134E638291461D45B525EB" hidden="1">#REF!</definedName>
    <definedName name="BOD91B421CC42A40B6BAA869A58912D696" hidden="1">#REF!</definedName>
    <definedName name="BOD9241ED3A9364CD1B3E04E35BF33E81A" hidden="1">#REF!</definedName>
    <definedName name="BOD92546223C3E456180A01C3652020A6E" hidden="1">#REF!</definedName>
    <definedName name="BOD93E2A6FD5F04CD590871461D3F9B5DF" hidden="1">#REF!</definedName>
    <definedName name="BOD943D5AA8E9A4813867BC6B7D4212481" hidden="1">#REF!</definedName>
    <definedName name="BOD9462627C0364B60AFB4A17FF8469294" hidden="1">#REF!</definedName>
    <definedName name="BOD94EBE27D32B45CFBA97EC9157509B19" hidden="1">#REF!</definedName>
    <definedName name="BOD9646D7A05DD4878B467267710384121" hidden="1">#REF!</definedName>
    <definedName name="BOD982A666F3AE4567AC24CF8B24280F98" hidden="1">#REF!</definedName>
    <definedName name="BOD99A09089FCD4ED48938FFFA7CDAC9DA" hidden="1">#REF!</definedName>
    <definedName name="BOD9A102906DD44B288AD841C5B0F54128" hidden="1">#REF!</definedName>
    <definedName name="BOD9ADCC2E63F04BD1A3137557AAD132E2" hidden="1">#REF!</definedName>
    <definedName name="BOD9BB18C5CEC94BA1933D2D69CB3BD953" hidden="1">#REF!</definedName>
    <definedName name="BOD9C748D17A7B488DB077D9D60536D5AF" hidden="1">#REF!</definedName>
    <definedName name="BOD9CAE766A70F40FC881F4556962E6A1E" hidden="1">#REF!</definedName>
    <definedName name="BOD9EB473E54DD45D39E36109A4223769D" hidden="1">#REF!</definedName>
    <definedName name="BOD9ED02DF5FFE4299A84A9DC6849E31AF" hidden="1">#REF!</definedName>
    <definedName name="BOD9F0F6D12BA74CA197BFB75764B9D81C" hidden="1">#REF!</definedName>
    <definedName name="BOD9F710E7627245B6B4C67963F566CB25" hidden="1">#REF!</definedName>
    <definedName name="BOD9F7716F85F247378D72DCF9C0513D3B" hidden="1">#REF!</definedName>
    <definedName name="BOD9F92DC49A9A445681FDD970FF6CA6C6" hidden="1">#REF!</definedName>
    <definedName name="BOD9FC89C22FB7442F99C258690E4D3FA1" hidden="1">#REF!</definedName>
    <definedName name="BODA00B47F79BB4DA9BA387DC47E76F011" hidden="1">#REF!</definedName>
    <definedName name="BODA00E593B59244C58E50BA882BF826FE" hidden="1">#REF!</definedName>
    <definedName name="BODA0444ED1B20494083D3356142E8511E" hidden="1">#REF!</definedName>
    <definedName name="BODA12497CA5CC44D0AEC5FD0123E25D14" hidden="1">#REF!</definedName>
    <definedName name="BODA1840CC9A6647B5878B2EA1B616E1A4" hidden="1">#REF!</definedName>
    <definedName name="BODA2BC9839AFB493F9E7DA2CFF380485B" hidden="1">#REF!</definedName>
    <definedName name="BODA31CEB0D0C4449A84F367B6C2FAA917" hidden="1">#REF!</definedName>
    <definedName name="BODA368B6720724DCA9AE99C713D079140" hidden="1">#REF!</definedName>
    <definedName name="BODA36E3B594C54CE8A38DA476F3E759D0" hidden="1">#REF!</definedName>
    <definedName name="BODA3A2B0600304F589479496F7FA4019D" hidden="1">#REF!</definedName>
    <definedName name="BODA3D0120A54D4AE581962A573E4956D2" hidden="1">#REF!</definedName>
    <definedName name="BODA490599311F4C7B8DEB5289D351CDCF" hidden="1">#REF!</definedName>
    <definedName name="BODA4C19AF557F4312A3663009970E647C" hidden="1">#REF!</definedName>
    <definedName name="BODA5AF0FA23B54F75BBD09B6E6E96C18E" hidden="1">#REF!</definedName>
    <definedName name="BODA5D042776C64E9DB8CE72DC84617F0D" hidden="1">#REF!</definedName>
    <definedName name="BODA64BD4FDFD542CF93C04659839C3A43" hidden="1">#REF!</definedName>
    <definedName name="BODA677690E363498793D257CF47C47F5C" hidden="1">#REF!</definedName>
    <definedName name="BODA6B00973A4F407599CE6261607BBEBA" hidden="1">#REF!</definedName>
    <definedName name="BODA768ADE3E7E45ECBA70AA76F49262C1" hidden="1">#REF!</definedName>
    <definedName name="BODA76B807AD884E409590150F7A114000" hidden="1">#REF!</definedName>
    <definedName name="BODA79350C093B4B7FAEF388EA6C8D3EE1" hidden="1">#REF!</definedName>
    <definedName name="BODA952316892C499EA2D4158FD92618C8" hidden="1">#REF!</definedName>
    <definedName name="BODA9899301F4346799A86A5FEF2EC7055" hidden="1">#REF!</definedName>
    <definedName name="BODA9F10E0B14D4BDB891E7BDC4F91DA07" hidden="1">#REF!</definedName>
    <definedName name="BODAC2027642A74E08943960C4032F180A" hidden="1">#REF!</definedName>
    <definedName name="BODAC887E751FF438194FBB13F1284DD1E" hidden="1">#REF!</definedName>
    <definedName name="BODACB3DCCC8304D4BA0A4B52025AAF6FC" hidden="1">#REF!</definedName>
    <definedName name="BODAD3436322D74AC2B686603C92C9A387" hidden="1">#REF!</definedName>
    <definedName name="BODAE3FA6186894E2BA1E6FF1EFE132C00" hidden="1">#REF!</definedName>
    <definedName name="BODAF8B80A9402489688B12FA12BE046F4" hidden="1">#REF!</definedName>
    <definedName name="BODB13B37A48884F788A50D242A842737A" hidden="1">#REF!</definedName>
    <definedName name="BODB15DD60CEE2471B91D01D2D5AA4D3E1" hidden="1">#REF!</definedName>
    <definedName name="BODB1E3974A62F4579BEF54C1F8043BD92" hidden="1">#REF!</definedName>
    <definedName name="BODB1FB6B18C3C4C9D87E8EB72D33D28B4" hidden="1">#REF!</definedName>
    <definedName name="BODB43912443CB41C1999FEA264C6B78E9" hidden="1">#REF!</definedName>
    <definedName name="BODB45CCC3F7574D8885C7F37EE950306A" hidden="1">#REF!</definedName>
    <definedName name="BODB48036ADCE84D2EB942B0DD1051A645" hidden="1">#REF!</definedName>
    <definedName name="BODB4DAA6A48FB454A817A1A6D97ABCC25" hidden="1">#REF!</definedName>
    <definedName name="BODB505E8CF2684D6C806335227D42316C" hidden="1">#REF!</definedName>
    <definedName name="BODB67DF7F63F74527B6479FB58AA3DE91" hidden="1">#REF!</definedName>
    <definedName name="BODB6E6FA1C3C44E9CBF52C0CBFD3C7411" hidden="1">#REF!</definedName>
    <definedName name="BODB75ADB75E624F57B60C07B539892F1C" hidden="1">#REF!</definedName>
    <definedName name="BODB7B57906EB24AFD93B60FC553BA1E18" hidden="1">#REF!</definedName>
    <definedName name="BODB7D22A64B754EED9C2AE44F8098EDB6" hidden="1">#REF!</definedName>
    <definedName name="BODB820A47836243428A6B1722B8908EC1" hidden="1">#REF!</definedName>
    <definedName name="BODB8FB77C24C94A67A95D8FA37FE58EA0" hidden="1">#REF!</definedName>
    <definedName name="BODB919D2BF92B4DBA9B4FAFEAD7439753" hidden="1">#REF!</definedName>
    <definedName name="BODB9C3AFB433B40B4B176612103ED0807" hidden="1">#REF!</definedName>
    <definedName name="BODBA0F228F6D74F0C9C5E22A4B59A2839" hidden="1">#REF!</definedName>
    <definedName name="BODBA2F5E214ED4BC78A1BD01F8638BDF9" hidden="1">#REF!</definedName>
    <definedName name="BODBACB694BD7E44CEBE4E45C08FE131B4" hidden="1">#REF!</definedName>
    <definedName name="BODBBD5D8409644C468C54FD3D931960EB" hidden="1">#REF!</definedName>
    <definedName name="BODBCBA82F8E9249D89108036ADA662788" hidden="1">#REF!</definedName>
    <definedName name="BODBD104E8C7004854B202CBE0C003FEAD" hidden="1">#REF!</definedName>
    <definedName name="BODBE57A7EF8404AF5B3C8AEDBF48AB223" hidden="1">#REF!</definedName>
    <definedName name="BODBEEEB87A6444E32BADC7F1718A1A576" hidden="1">#REF!</definedName>
    <definedName name="BODBF8FFFCD2AB44D197FE04EBD6A5FD4A" hidden="1">#REF!</definedName>
    <definedName name="BODBFBB48EECEF4996820C307769DBD37F" hidden="1">#REF!</definedName>
    <definedName name="BODBFCF8CCC6324C318D66C83A5FBC2D05" hidden="1">#REF!</definedName>
    <definedName name="BODC00901AEC6E4E1880DEBF9AECA13618" hidden="1">#REF!</definedName>
    <definedName name="BODC0617E966DA4A49A005919B60EB0884" hidden="1">#REF!</definedName>
    <definedName name="BODC14076DC94946E8B204F6A9B1FD474D" hidden="1">#REF!</definedName>
    <definedName name="BODC2466BF70D243169B07F218B7842FA6" hidden="1">#REF!</definedName>
    <definedName name="BODC3C4D7089404422819FFF35151BE111" hidden="1">#REF!</definedName>
    <definedName name="BODC3D5DE14C4B4D10996BE2EA97644BA0" hidden="1">#REF!</definedName>
    <definedName name="BODC3F3335B67F4F989556CAF56681B87F" hidden="1">#REF!</definedName>
    <definedName name="BODC421164C06F42BDAEC627C75208B06A" hidden="1">#REF!</definedName>
    <definedName name="BODC47CAA239E14213A4F54BF0707697CC" hidden="1">#REF!</definedName>
    <definedName name="BODC5B5A5EA03C47B8BEB2E396CACF0E2E" hidden="1">#REF!</definedName>
    <definedName name="BODC6A5169D6D14AE7B8061DDEA3CA025D" hidden="1">#REF!</definedName>
    <definedName name="BODC737E7AFB7540519EDD0E5A0525B80A" hidden="1">#REF!</definedName>
    <definedName name="BODC844A8C943A4BB2839E99D476F423EB" hidden="1">#REF!</definedName>
    <definedName name="BODC884F78779C4E159DC4A432F21F4C66" hidden="1">#REF!</definedName>
    <definedName name="BODC94C384E9D0432BAEC355B6ED28D4EC" hidden="1">#REF!</definedName>
    <definedName name="BODC95A382AD8E42FB88EA674CF76813E6" hidden="1">#REF!</definedName>
    <definedName name="BODC994130966846C9880636CF2AB1C1E5" hidden="1">#REF!</definedName>
    <definedName name="BODC9E2F63C5834317AF920A41B2B9081D" hidden="1">#REF!</definedName>
    <definedName name="BODC9F6BB797884CCCBCE29A6AF7E0C643" hidden="1">#REF!</definedName>
    <definedName name="BODCAA246D97194570A40B0EA9C23F24F8" hidden="1">#REF!</definedName>
    <definedName name="BODCBF43DB5F9745C6911F1E9B6B6A5594" hidden="1">#REF!</definedName>
    <definedName name="BODCC001BC3CBA47AE8D215650F4DF35F6" hidden="1">#REF!</definedName>
    <definedName name="BODCC3F698F665412C8F806ECBDC0E37F6" hidden="1">#REF!</definedName>
    <definedName name="BODCD755FB5EEB43D5BE0D7271D4F2E0E6" hidden="1">#REF!</definedName>
    <definedName name="BODCDBE2925EB4496183C1E2B1BE491C98" hidden="1">#REF!</definedName>
    <definedName name="BODCE1C1B0524B450BA02A4BBAA1B7BC09" hidden="1">#REF!</definedName>
    <definedName name="BODCE67B1ABD0945F2BF5687D2FBEEF04D" hidden="1">#REF!</definedName>
    <definedName name="BODD00426B2ADE49D785976772A647B97C" hidden="1">#REF!</definedName>
    <definedName name="BODD03D1B865D64DE6855A6704112C1AEB" hidden="1">#REF!</definedName>
    <definedName name="BODD04DDB3A41647B8B7F218EC0BFCE0E8" hidden="1">#REF!</definedName>
    <definedName name="BODD05349F82B6457D9326A1AE48A8B793" hidden="1">#REF!</definedName>
    <definedName name="BODD0D90B4A13A46188548D558377A0863" hidden="1">#REF!</definedName>
    <definedName name="BODD0F308350C3480E9EC140B8008B5C9A" hidden="1">#REF!</definedName>
    <definedName name="BODD188E47B51947408D02F29C0E26E9CB" hidden="1">#REF!</definedName>
    <definedName name="BODD1E401FE77541C1A0AA62D2B2E76281" hidden="1">#REF!</definedName>
    <definedName name="BODD29E2144E7547F2A51874922700D110" hidden="1">#REF!</definedName>
    <definedName name="BODD2B4674B0D54FB1911D13FD35455351" hidden="1">#REF!</definedName>
    <definedName name="BODD47DFEFD79D4B399A669FE121E49F51" hidden="1">#REF!</definedName>
    <definedName name="BODD4CDD1442D5401BA377D5AA05FBF4C2" hidden="1">#REF!</definedName>
    <definedName name="BODD5F3702700044FDBAD7F24EB979E6B6" hidden="1">#REF!</definedName>
    <definedName name="BODD63BDC34BA745C5ABEAC00D924A0804" hidden="1">#REF!</definedName>
    <definedName name="BODD6BF6ADF5F74DC094457254434017CE" hidden="1">#REF!</definedName>
    <definedName name="BODD7A60680CB843A2AA0518A856B757C0" hidden="1">#REF!</definedName>
    <definedName name="BODD7C47E9158447BCB3C4B4BE22F65D8B" hidden="1">#REF!</definedName>
    <definedName name="BODD8706A476D34B768BBEE04F47275209" hidden="1">#REF!</definedName>
    <definedName name="BODD8B4CD7C6F540B5A0C94568151312CE" hidden="1">#REF!</definedName>
    <definedName name="BODD92B8304617491F897A0858079DC145" hidden="1">#REF!</definedName>
    <definedName name="BODD97F5D417954A00987CB2D823083B39" hidden="1">#REF!</definedName>
    <definedName name="BODDA49FBC8F5E469988414B80DFDF66A9" hidden="1">#REF!</definedName>
    <definedName name="BODDABBB288AF842A9943B733911E0DCBA" hidden="1">#REF!</definedName>
    <definedName name="BODDAD585DF8CE43DBB20CC339E2F93AE0" hidden="1">#REF!</definedName>
    <definedName name="BODDB08F03BD114B9490F62B77EEA21C04" hidden="1">#REF!</definedName>
    <definedName name="BODDB15C30B2224922AF1049C676DFDC49" hidden="1">#REF!</definedName>
    <definedName name="BODDB6FD645C3E4E528268B29D04395346" hidden="1">#REF!</definedName>
    <definedName name="BODDB76BAF23D44E0098B2A26277D4FE19" hidden="1">#REF!</definedName>
    <definedName name="BODDC21717D61C43588A9AE355CFF2591F" hidden="1">#REF!</definedName>
    <definedName name="BODDC8BC7442174F47A915804405C91DE2" hidden="1">#REF!</definedName>
    <definedName name="BODDD3F4EF7B1B4A4B919BEFD1B9235886" hidden="1">#REF!</definedName>
    <definedName name="BODDD89B9E5D74439B9A641298BF423F72" hidden="1">#REF!</definedName>
    <definedName name="BODDE4BF959CEC4E6EB1765D666FC4E334" hidden="1">#REF!</definedName>
    <definedName name="BODDE542DC4D124A48AE60AD6CF7DFAEF4" hidden="1">#REF!</definedName>
    <definedName name="BODDE933A436D04056B6403FC0FFE71C24" hidden="1">#REF!</definedName>
    <definedName name="BODDF1C388B08A4EE6A56C3D47EBACE29E" hidden="1">#REF!</definedName>
    <definedName name="BODE06F0A926AE473788D89A33D13A16B7" hidden="1">#REF!</definedName>
    <definedName name="BODE071774D10943039A23AF1FFE99CFC0" hidden="1">#REF!</definedName>
    <definedName name="BODE08C68E66DE42A5A1F2913FF85498A5" hidden="1">#REF!</definedName>
    <definedName name="BODE106229DFDD40B686C7459F5A3D172D" hidden="1">#REF!</definedName>
    <definedName name="BODE14A43E0C3A4E919C0E25C1077A72AB" hidden="1">#REF!</definedName>
    <definedName name="BODE24375B6A5F493A8E4358835D3B0712" hidden="1">#REF!</definedName>
    <definedName name="BODE2488710BE347D69BB8C59CA1C07A1A" hidden="1">#REF!</definedName>
    <definedName name="BODE35238769474EBDB1C74FD992B5752E" hidden="1">#REF!</definedName>
    <definedName name="BODE457C9713EB4B0BA405750E5C8F7704" hidden="1">#REF!</definedName>
    <definedName name="BODE498A03EFFB42CC9D7065E128518969" hidden="1">#REF!</definedName>
    <definedName name="BODE502E3B8DB84DDAADFCE6E736CFF90A" hidden="1">#REF!</definedName>
    <definedName name="BODE5C6902422746A6849CBA3237CBBACC" hidden="1">#REF!</definedName>
    <definedName name="BODE729FEC74F84DC08A3170AE79A00448" hidden="1">#REF!</definedName>
    <definedName name="BODE7387CAF524447B950C9F1A78207588" hidden="1">#REF!</definedName>
    <definedName name="BODE7668EF38A844D9B4D1C848C58F3E76" hidden="1">#REF!</definedName>
    <definedName name="BODE88A5AD823140A7A4A610D32557F165" hidden="1">#REF!</definedName>
    <definedName name="BODE96889B24E849EDAB5AF60D6EBB7E70" hidden="1">#REF!</definedName>
    <definedName name="BODE97CBE9B45B41B6AA948C827DAD0DBE" hidden="1">#REF!</definedName>
    <definedName name="BODE9F43C5521540CE952FD90590B33F41" hidden="1">#REF!</definedName>
    <definedName name="BODEA25EF41D694B81BF611B7BA4393D8B" hidden="1">#REF!</definedName>
    <definedName name="BODEB9944D278C43B19E4542BFD12BE45E" hidden="1">#REF!</definedName>
    <definedName name="BODEBB4201A8C343038D0D81D52CD71557" hidden="1">#REF!</definedName>
    <definedName name="BODEC581678FC04124B01DE3BAD6691B03" hidden="1">#REF!</definedName>
    <definedName name="BODECC2369F5EA4C0D876E0F03736A8CB0" hidden="1">#REF!</definedName>
    <definedName name="BODECF8B111EA74B9A903C1EBE716E306F" hidden="1">#REF!</definedName>
    <definedName name="BODED10952DB0C49098533D2F32B2EBC54" hidden="1">#REF!</definedName>
    <definedName name="BODED505088B404FE4A1E4331C52C5F8F5" hidden="1">#REF!</definedName>
    <definedName name="BODED5B43DFF7E44B28541568B383D7101" hidden="1">#REF!</definedName>
    <definedName name="BODED6A7CB9D7A44C5B008C5515BA81F48" hidden="1">#REF!</definedName>
    <definedName name="BODEE0EC32CBF2448C8102FCB753E3D341" hidden="1">#REF!</definedName>
    <definedName name="BODEE172AF37684F498707F9735ABA747F" hidden="1">#REF!</definedName>
    <definedName name="BODEE42839F44E4EFFADD2430D9952F195" hidden="1">#REF!</definedName>
    <definedName name="BODEF7A861A474457884F711EFD37C6E1C" hidden="1">#REF!</definedName>
    <definedName name="BODF14A29571AF48DDAF191DBE51DAE3DA" hidden="1">#REF!</definedName>
    <definedName name="BODF1A622F4A5D4A3BBD8F0B5233578BF9" hidden="1">#REF!</definedName>
    <definedName name="BODF1A8B2B0B0544C6A1273BC2EF4686C8" hidden="1">#REF!</definedName>
    <definedName name="BODF207A1FBD8D485D9A983232D2D4ED58" hidden="1">#REF!</definedName>
    <definedName name="BODF2AC8F3CF3240188D136FE664AFA8F8" hidden="1">#REF!</definedName>
    <definedName name="BODF352BE480814E57B8A2FB25A8EF533E" hidden="1">#REF!</definedName>
    <definedName name="BODF38A21629AE4D458CF8B71E483EDAD3" hidden="1">#REF!</definedName>
    <definedName name="BODF3A45831CA5476C87A9472BF207B26F" hidden="1">#REF!</definedName>
    <definedName name="BODF4CD10072FE44478B79199D33F5F1E3" hidden="1">#REF!</definedName>
    <definedName name="BODF52C0A54B924AEE99560C55E0DE5DDB" hidden="1">#REF!</definedName>
    <definedName name="BODF54CC427F064B7CA6BE59B7167BE2DA" hidden="1">#REF!</definedName>
    <definedName name="BODF674E9ED7914391BB04D23BBD159A27" hidden="1">#REF!</definedName>
    <definedName name="BODF6C293AB72E4EDA8C2997811A51C92B" hidden="1">#REF!</definedName>
    <definedName name="BODF73D06768BD44DF937EE8FB4448C10E" hidden="1">#REF!</definedName>
    <definedName name="BODF82F43E971C4BCBA64CFC10CFA193DE" hidden="1">#REF!</definedName>
    <definedName name="BODF83DAA768E347ECA3E99DF0AAC20D97" hidden="1">#REF!</definedName>
    <definedName name="BODF87A0C5636440359AD412A601248248" hidden="1">#REF!</definedName>
    <definedName name="BODF8A3231249C4208AE9D0795EEB2BDDE" hidden="1">#REF!</definedName>
    <definedName name="BODF8EA10FA42742929AC2ECC571667832" hidden="1">#REF!</definedName>
    <definedName name="BODF913E4D7C9F4E639DD18A6B01E2D234" hidden="1">#REF!</definedName>
    <definedName name="BODF9215F5880840FE8799AA9CDF9F7D4F" hidden="1">#REF!</definedName>
    <definedName name="BODF991D8822F940EBAF216731AA012C11" hidden="1">#REF!</definedName>
    <definedName name="BODFA793098A8546C6A9EF5D4E2763C4BF" hidden="1">#REF!</definedName>
    <definedName name="BODFB49F4BD5F14FF7A4A8766C1E8C9C8F" hidden="1">#REF!</definedName>
    <definedName name="BODFC5B89E2B5E44EEB88B51118D5FDDF5" hidden="1">#REF!</definedName>
    <definedName name="BODFD0BE61084E4956B45CA3CE71C85C5A" hidden="1">#REF!</definedName>
    <definedName name="BODFD7A2093CE9432CA42747A1BBD8A0D9" hidden="1">#REF!</definedName>
    <definedName name="BOE0072C6AA8B746C5BD57A0BE4FD7DFEC" hidden="1">#REF!</definedName>
    <definedName name="BOE01663C5161E45DD9F78B1986E18DD93" hidden="1">#REF!</definedName>
    <definedName name="BOE0227AAB625C4AA398D22EE3D9F3B1B2" hidden="1">#REF!</definedName>
    <definedName name="BOE02478A8730645BA85EF05DFC2BFFB3E" hidden="1">#REF!</definedName>
    <definedName name="BOE031716054A54AECBB83BBAE651C51FB" hidden="1">#REF!</definedName>
    <definedName name="BOE032994194FC44338A91811FD99B31A8" hidden="1">#REF!</definedName>
    <definedName name="BOE035193A09D34297A35338657F1E8201" hidden="1">#REF!</definedName>
    <definedName name="BOE0489C19BE754EAE8879BF20B484C72E" hidden="1">#REF!</definedName>
    <definedName name="BOE04A720C190B41DBB2A5D467A4879AE6" hidden="1">#REF!</definedName>
    <definedName name="BOE04DF545F88046B88412DCFAA256DF22" hidden="1">#REF!</definedName>
    <definedName name="BOE04F7A19568A4D8C9F0D79777E305A35" hidden="1">#REF!</definedName>
    <definedName name="BOE05528BA1E324C27A5CECE252F27CDC3" hidden="1">#REF!</definedName>
    <definedName name="BOE0652F851A37440D9655FC96F00C95E9" hidden="1">#REF!</definedName>
    <definedName name="BOE065BCFB10CD45C99E2F9FA220D234EF" hidden="1">#REF!</definedName>
    <definedName name="BOE06B37EECBE84055AA64A0BA7AC37CFE" hidden="1">#REF!</definedName>
    <definedName name="BOE06FC83DA81E4C57A2D229755327A807" hidden="1">#REF!</definedName>
    <definedName name="BOE0796408CBFF432388F3DFF5CC05872E" hidden="1">#REF!</definedName>
    <definedName name="BOE07CD70360FE4A2F9A425D8573FB2ACD" hidden="1">#REF!</definedName>
    <definedName name="BOE09E29F463CA424BBFAC137296204F7B" hidden="1">#REF!</definedName>
    <definedName name="BOE0C5779A53A44A04B041736ED3558B1A" hidden="1">#REF!</definedName>
    <definedName name="BOE0C8CB79749546DAB5C182AC167B327F" hidden="1">#REF!</definedName>
    <definedName name="BOE0CF6ECBE4BE497582E866250CB732DF" hidden="1">#REF!</definedName>
    <definedName name="BOE0D015CDCFB440B3AD2B0414F9D6FD88" hidden="1">#REF!</definedName>
    <definedName name="BOE0D875225A4846349AB1A1C7779198C0" hidden="1">#REF!</definedName>
    <definedName name="BOE0D8A911D0A841DFBC43CAF3899CE817" hidden="1">#REF!</definedName>
    <definedName name="BOE0DE38D8C4874818984E2D600952BF26" hidden="1">#REF!</definedName>
    <definedName name="BOE0E083743777422DAF38243820B0F8F1" hidden="1">#REF!</definedName>
    <definedName name="BOE0E489B406BF4FF69E7E5C732A0A856B" hidden="1">#REF!</definedName>
    <definedName name="BOE0EB14789FB248E18F448C6986BCDDE3" hidden="1">#REF!</definedName>
    <definedName name="BOE0EEDF2EBE3E43799F46C22F5A4FC4F2" hidden="1">#REF!</definedName>
    <definedName name="BOE1000F85B1CB4E36AA52386C4FEB4A57" hidden="1">#REF!</definedName>
    <definedName name="BOE11EE0BEA65D46DDB2DE053C29781AEA" hidden="1">#REF!</definedName>
    <definedName name="BOE122E3DA2D7E427296CDEADEE76C204C" hidden="1">#REF!</definedName>
    <definedName name="BOE139841B3F834D77B80512E21AC47E01" hidden="1">#REF!</definedName>
    <definedName name="BOE13FB44C44704431A0D21151AB09A3CF" hidden="1">#REF!</definedName>
    <definedName name="BOE1473E7375CA4B1D90BE26EE8380744A" hidden="1">#REF!</definedName>
    <definedName name="BOE15065583D764334943293B17E8C3B66" hidden="1">#REF!</definedName>
    <definedName name="BOE15462FD52C94C09AA83F1FBFCBC066B" hidden="1">#REF!</definedName>
    <definedName name="BOE15717B6D5CD4C24AF44984907DAF238" hidden="1">#REF!</definedName>
    <definedName name="BOE1678A8E40724A058592E60B587DC585" hidden="1">#REF!</definedName>
    <definedName name="BOE172E49A97C64B03A91D3EA139260C7F" hidden="1">#REF!</definedName>
    <definedName name="BOE18CE4475986452298AFB757736B893A" hidden="1">#REF!</definedName>
    <definedName name="BOE193603A818F4EE8B60D207F1B0A2747" hidden="1">#REF!</definedName>
    <definedName name="BOE1A2A55DD0A74089984E995ED05A7AA3" hidden="1">#REF!</definedName>
    <definedName name="BOE1A520D6946F4D23A00C0027FC483ADB" hidden="1">#REF!</definedName>
    <definedName name="BOE1D3CD249DA14EDAA6FA66CAAC0913D0" hidden="1">#REF!</definedName>
    <definedName name="BOE1D6A3B855CB4FCDAF369984F63AF768" hidden="1">#REF!</definedName>
    <definedName name="BOE1E71717F9A44EDA93411465C1D1D279" hidden="1">#REF!</definedName>
    <definedName name="BOE202827C1BA7487D811A1E549AA16C16" hidden="1">#REF!</definedName>
    <definedName name="BOE20361EB30A34BBD83E96319A8420579" hidden="1">#REF!</definedName>
    <definedName name="BOE2036E8074684CC382463FA308C6F2B6" hidden="1">#REF!</definedName>
    <definedName name="BOE2176BB7355F4C338D566876978FE51E" hidden="1">#REF!</definedName>
    <definedName name="BOE2223E20DE1B4BE68830CC4CEE24C579" hidden="1">#REF!</definedName>
    <definedName name="BOE22275963ACA420998D0FD5913D1DA21" hidden="1">#REF!</definedName>
    <definedName name="BOE222C393E811410489C4F618197F40D2" hidden="1">#REF!</definedName>
    <definedName name="BOE23595CA5D6B47D8B9AB55613E56B26F" hidden="1">#REF!</definedName>
    <definedName name="BOE237D9BC54B04B469A08FDA5E10EF86B" hidden="1">#REF!</definedName>
    <definedName name="BOE241ED80084E46CCA5B05057792D952D" hidden="1">#REF!</definedName>
    <definedName name="BOE244A9C43D754421B545BE7E69DFF841" hidden="1">#REF!</definedName>
    <definedName name="BOE247C5EC599D4D0BA3EEF1841C9110A9" hidden="1">#REF!</definedName>
    <definedName name="BOE268388F64B340EC9CF16B5932049A8C" hidden="1">#REF!</definedName>
    <definedName name="BOE26C90862C274E1399A91A4AC4755D31" hidden="1">#REF!</definedName>
    <definedName name="BOE2723C37BC2D481CA7536880F712D099" hidden="1">#REF!</definedName>
    <definedName name="BOE27A02A1ED61465CB753B9D76ADDB2D1" hidden="1">#REF!</definedName>
    <definedName name="BOE287BB7538264FD9B7DFB582E7EB0C26" hidden="1">#REF!</definedName>
    <definedName name="BOE2880CAE61FF4C91BF4F58265ED031DD" hidden="1">#REF!</definedName>
    <definedName name="BOE28A57B3A86B496C9B11816374AA1AA0" hidden="1">#REF!</definedName>
    <definedName name="BOE29BC175BCB2426EACCF6E3643B74321" hidden="1">#REF!</definedName>
    <definedName name="BOE2A620132BCE4EC6B19884A84E6109D5" hidden="1">#REF!</definedName>
    <definedName name="BOE2AB731887654340B1B8083A20A31764" hidden="1">#REF!</definedName>
    <definedName name="BOE2AC3C26CA1C42E8A3DFF3EAA820FA7A" hidden="1">#REF!</definedName>
    <definedName name="BOE2B4F080B325487D9428D4A380892F22" hidden="1">#REF!</definedName>
    <definedName name="BOE2C257E384FE44AD9785D4F2FBCC5ACD" hidden="1">#REF!</definedName>
    <definedName name="BOE2C43E4AA0E44D5D8DCA706D1895B1CF" hidden="1">#REF!</definedName>
    <definedName name="BOE2C6F8BDAF1F4D4490FD339FBC1751CB" hidden="1">#REF!</definedName>
    <definedName name="BOE2D7C218F576483599CE34B180F42455" hidden="1">#REF!</definedName>
    <definedName name="BOE2D871C1D98E46D78EC82CF82591043F" hidden="1">#REF!</definedName>
    <definedName name="BOE2EECFDA905949928CC4DA6A98C5F2E6" hidden="1">#REF!</definedName>
    <definedName name="BOE2F099AC26074647B8293BDA5301A75F" hidden="1">#REF!</definedName>
    <definedName name="BOE2F2B05DE27E4C228EE0DCDA93A84AE5" hidden="1">#REF!</definedName>
    <definedName name="BOE2F44EB040B3482D909253992C66C346" hidden="1">#REF!</definedName>
    <definedName name="BOE30430034C874131B908C5E176FECD1C" hidden="1">#REF!</definedName>
    <definedName name="BOE3086526A0194B259EBF84B2BA39AF47" hidden="1">#REF!</definedName>
    <definedName name="BOE3087F16F9A2410B98693A847499248C" hidden="1">#REF!</definedName>
    <definedName name="BOE30F66EF46D749BD99A7D887356DDDC1" hidden="1">#REF!</definedName>
    <definedName name="BOE3133C8BEBF44F4C8A4B1D0B823E51CF" hidden="1">#REF!</definedName>
    <definedName name="BOE313D78B841B40F59B5989DB54F76100" hidden="1">#REF!</definedName>
    <definedName name="BOE316B62D204D4E66A68E3F071E46529F" hidden="1">#REF!</definedName>
    <definedName name="BOE3177178FE014D1C9A3D48927F84626A" hidden="1">#REF!</definedName>
    <definedName name="BOE32495E71F6C492B8E3CC07089E7C37C" hidden="1">#REF!</definedName>
    <definedName name="BOE3261CBE4C5E452CBF3F38CFA694898D" hidden="1">#REF!</definedName>
    <definedName name="BOE3276B997AEC425ABA684037300A294C" hidden="1">#REF!</definedName>
    <definedName name="BOE3287746EC4B47CBA4E1FB9CC14AF298" hidden="1">#REF!</definedName>
    <definedName name="BOE33765DC2A0B41199B7A259FF801CA04" hidden="1">#REF!</definedName>
    <definedName name="BOE34DDAC611EF424DAF166E1532E317F8" hidden="1">#REF!</definedName>
    <definedName name="BOE35B8E0C900A4834A137FA6005028C7B" hidden="1">#REF!</definedName>
    <definedName name="BOE35DD95AB2844737AB06B7603964E5B5" hidden="1">#REF!</definedName>
    <definedName name="BOE36B8B018D21421F8D19741C99678167" hidden="1">#REF!</definedName>
    <definedName name="BOE3805BC384C74085A772249C0FE7F8E1" hidden="1">#REF!</definedName>
    <definedName name="BOE3831D0D8CEF40EF9DE783D3D9EF64E4" hidden="1">#REF!</definedName>
    <definedName name="BOE3914D6549B746F48F316C68E1C42C7A" hidden="1">#REF!</definedName>
    <definedName name="BOE39628214D034074A31905F156D06424" hidden="1">#REF!</definedName>
    <definedName name="BOE39FAB7A74A64FF79B56A89D00D39ED1" hidden="1">#REF!</definedName>
    <definedName name="BOE3A1C882A6264B6F92218AE6FEF4D784" hidden="1">#REF!</definedName>
    <definedName name="BOE3AAC551F6F4418B9F61861A429B00D4" hidden="1">#REF!</definedName>
    <definedName name="BOE3B4A8F47C5347AB938B6FF88B007DB9" hidden="1">#REF!</definedName>
    <definedName name="BOE3B4C31E2363459F9CF7530F2BA5B1E0" hidden="1">#REF!</definedName>
    <definedName name="BOE3BB96B732C1435EB44B99E7D187022A" hidden="1">#REF!</definedName>
    <definedName name="BOE3C9EA40A2734BF0B1C8DC80193966BD" hidden="1">#REF!</definedName>
    <definedName name="BOE3CDC28B26FC4F479FBEAB25BB1D190D" hidden="1">#REF!</definedName>
    <definedName name="BOE3E9FABBAAFF436A9706A138E6F517EB" hidden="1">#REF!</definedName>
    <definedName name="BOE3F32B47D2C44577BEE987773411A86E" hidden="1">#REF!</definedName>
    <definedName name="BOE3F35167844F4744B81CD8A9CC153F7C" hidden="1">#REF!</definedName>
    <definedName name="BOE4090133A6734C499AB5AD6237B70E5B" hidden="1">#REF!</definedName>
    <definedName name="BOE417510D81BA4F49A7FF78231E6D3921" hidden="1">#REF!</definedName>
    <definedName name="BOE422E4403CCA4FBAB20D1BF5DED1AEC8" hidden="1">#REF!</definedName>
    <definedName name="BOE42405A5EE8344F5BD4581E7A893D34F" hidden="1">#REF!</definedName>
    <definedName name="BOE42B1DB0D5F44BDB9C884B7911C90056" hidden="1">#REF!</definedName>
    <definedName name="BOE43C1F3836504F6FA2A4E6DD3B0C0E49" hidden="1">#REF!</definedName>
    <definedName name="BOE43EE58280EB42CFBC3009DD9B45ABBF" hidden="1">#REF!</definedName>
    <definedName name="BOE449C49CE3DB45EFA03DDDF4B96081E0" hidden="1">#REF!</definedName>
    <definedName name="BOE4621E7A3DA54328B398B91C40F4854A" hidden="1">#REF!</definedName>
    <definedName name="BOE46A7233C0E54540A034CA8865F746EE" hidden="1">#REF!</definedName>
    <definedName name="BOE477D495D8D24D55A4415310ED9A27F8" hidden="1">#REF!</definedName>
    <definedName name="BOE484D8A5A36E4B05B91BBC7F2FE89A3D" hidden="1">#REF!</definedName>
    <definedName name="BOE48999CE5C6348B09EB3DBEF3664380C" hidden="1">#REF!</definedName>
    <definedName name="BOE49418F53CB142C6BF2075679D212623" hidden="1">#REF!</definedName>
    <definedName name="BOE49D6451033E4EE68CE6B1D77926F39A" hidden="1">#REF!</definedName>
    <definedName name="BOE4A2FC7DDFA34C7C86CE9CCC7398C9D0" hidden="1">#REF!</definedName>
    <definedName name="BOE4B4663861634B6380C6DEDF9D37515A" hidden="1">#REF!</definedName>
    <definedName name="BOE4BA9A13980D4F5AB426F701841862BF" hidden="1">#REF!</definedName>
    <definedName name="BOE4C4227C3DE04C81B2FA73EC45D76092" hidden="1">#REF!</definedName>
    <definedName name="BOE4E6575D8F7F499583FD75CF08FF0371" hidden="1">#REF!</definedName>
    <definedName name="BOE4F095E945424FD882FCC63FEADCD995" hidden="1">#REF!</definedName>
    <definedName name="BOE504C37B105B459C888EECED59F57583" hidden="1">#REF!</definedName>
    <definedName name="BOE50C504BC3314416BC885CC71E0985B7" hidden="1">#REF!</definedName>
    <definedName name="BOE512B6684BD744B791F11F317CB0155A" hidden="1">#REF!</definedName>
    <definedName name="BOE514F4FDEFEB4341BB0C97E538C37AFD" hidden="1">#REF!</definedName>
    <definedName name="BOE51710A891BC48659FDF998E29745D2D" hidden="1">#REF!</definedName>
    <definedName name="BOE51985C5BC004572AEA68D6142A8436B" hidden="1">#REF!</definedName>
    <definedName name="BOE51F44A0DDF34435997EF241474F25D0" hidden="1">#REF!</definedName>
    <definedName name="BOE51F8B56E81C4E70A837DC31C5255D68" hidden="1">#REF!</definedName>
    <definedName name="BOE541EBB9A57E40A685443F182D0975ED" hidden="1">#REF!</definedName>
    <definedName name="BOE548F41068534F22B30417C744EF5373" hidden="1">#REF!</definedName>
    <definedName name="BOE552172D364443588E235157E41FC6EF" hidden="1">#REF!</definedName>
    <definedName name="BOE562048AC955436DAD6E9CE5AB9C7544" hidden="1">#REF!</definedName>
    <definedName name="BOE5638EE9EF83470FA80E0440D5D8CB43" hidden="1">#REF!</definedName>
    <definedName name="BOE56B3327A2EF440BAB845200EC75F733" hidden="1">#REF!</definedName>
    <definedName name="BOE56CA3397EA34C098409285CFC7C0B63" hidden="1">#REF!</definedName>
    <definedName name="BOE56E130FA7FD45F4B588DE468A4E97FE" hidden="1">#REF!</definedName>
    <definedName name="BOE57180583A304754903E83AA8F4B9BA6" hidden="1">#REF!</definedName>
    <definedName name="BOE571CA43EBF54DA083E4D8D569F5D224" hidden="1">#REF!</definedName>
    <definedName name="BOE5721825846245DBA510FEBEFFAC0ED9" hidden="1">#REF!</definedName>
    <definedName name="BOE572B7BBA8C74E6DA73F32299EE4F2A4" hidden="1">#REF!</definedName>
    <definedName name="BOE57A1B7ABEDD46C29887760C46876F83" hidden="1">#REF!</definedName>
    <definedName name="BOE584EE6AC52F40BD954DA9034D468162" hidden="1">#REF!</definedName>
    <definedName name="BOE58ED27452A44E759328A287F793A242" hidden="1">#REF!</definedName>
    <definedName name="BOE58ED6DE749540B4B191C36E41FA3C4E" hidden="1">#REF!</definedName>
    <definedName name="BOE5A61B71E99441B8A2B0F127FEC68B11" hidden="1">#REF!</definedName>
    <definedName name="BOE5A92993EB8943578A0B8DD6E141EE88" hidden="1">#REF!</definedName>
    <definedName name="BOE5AA088337A34AD9B5911457F9CB0651" hidden="1">#REF!</definedName>
    <definedName name="BOE5ACE6726A3E446A8907831DAC978A0F" hidden="1">#REF!</definedName>
    <definedName name="BOE5B3274D9185461E8A8732B4FC80F12C" hidden="1">#REF!</definedName>
    <definedName name="BOE5B730814A4E440283146AAA1E4B9F28" hidden="1">#REF!</definedName>
    <definedName name="BOE5B945A3DA8343F990D04FBD764A06BC" hidden="1">#REF!</definedName>
    <definedName name="BOE5BC418CD9D04DBA81E65E007059E30C" hidden="1">#REF!</definedName>
    <definedName name="BOE5C0F300949641EE87DA78E854A2C980" hidden="1">#REF!</definedName>
    <definedName name="BOE5C20954FD8F4F5EAD32E96070DABD8E" hidden="1">#REF!</definedName>
    <definedName name="BOE5C2DC8BD95349E3A61A4BF77FB608E7" hidden="1">#REF!</definedName>
    <definedName name="BOE5C5844635D24D03B973AA15EBFAB900" hidden="1">#REF!</definedName>
    <definedName name="BOE5C6C75D4587439BBDED444F8D59EE7B" hidden="1">#REF!</definedName>
    <definedName name="BOE5CC6DF21DCB4D1C8DFD09F315882D71" hidden="1">#REF!</definedName>
    <definedName name="BOE5D1C3075C3947D0A9D759CC525BABA8" hidden="1">#REF!</definedName>
    <definedName name="BOE5DC0A1135EC4F8FBBA8019AB00C5F59" hidden="1">#REF!</definedName>
    <definedName name="BOE5E89310474D4A52887881F3DC4D7259" hidden="1">#REF!</definedName>
    <definedName name="BOE5F37519C82E4651AAF4CE9E9E5D9504" hidden="1">#REF!</definedName>
    <definedName name="BOE603D8CEB8554AFBBD909D483C22690F" hidden="1">#REF!</definedName>
    <definedName name="BOE60F91B88FA94B9495B6295E6D737EB1" hidden="1">#REF!</definedName>
    <definedName name="BOE62019F8AA64461C8DCCE9A7AFCE285F" hidden="1">#REF!</definedName>
    <definedName name="BOE62A6DFBFDB747DC82E2278C4F2B7BE8" hidden="1">#REF!</definedName>
    <definedName name="BOE62F1CBA81724A688FBFB606B2AA5496" hidden="1">#REF!</definedName>
    <definedName name="BOE63E58E702C54BA58111DFE0A66BAFDE" hidden="1">#REF!</definedName>
    <definedName name="BOE645E23DBBB041EAA426843C23660CBD" hidden="1">#REF!</definedName>
    <definedName name="BOE64FCB51E2CF4AB8B44E6E6D5A0273E7" hidden="1">#REF!</definedName>
    <definedName name="BOE666DDF9DA7C4014895CDE407408F66C" hidden="1">#REF!</definedName>
    <definedName name="BOE670E8BEFEAF403EBC68C69A08913541" hidden="1">#REF!</definedName>
    <definedName name="BOE676EE3F9FE24324A5FA4501938C5DA7" hidden="1">#REF!</definedName>
    <definedName name="BOE67A5412973946E19DDAD3339DB8CB15" hidden="1">#REF!</definedName>
    <definedName name="BOE68316744D924938B8A2430124ECA265" hidden="1">#REF!</definedName>
    <definedName name="BOE686AAF426084139B744C45DEC38A669" hidden="1">#REF!</definedName>
    <definedName name="BOE68C7699AD134C579065F6AA2AC52361" hidden="1">#REF!</definedName>
    <definedName name="BOE699453E7D904C71BE3907865B62F2D7" hidden="1">#REF!</definedName>
    <definedName name="BOE6A4CC4968704E99A38D387F4C5BDF20" hidden="1">#REF!</definedName>
    <definedName name="BOE6A895DF730D4C648D75B75EA8EC3D5B" hidden="1">#REF!</definedName>
    <definedName name="BOE6AB64E1AA394266B5E9CA50CDA62114" hidden="1">#REF!</definedName>
    <definedName name="BOE6AD42C661054E7DA3C3014D0D6CAFC2" hidden="1">#REF!</definedName>
    <definedName name="BOE6BC677AEF63439FB725357FD2AE4957" hidden="1">#REF!</definedName>
    <definedName name="BOE6C27514D2614E48B77DB13C26257AC7" hidden="1">#REF!</definedName>
    <definedName name="BOE6EAA319561C4E339CF0DFEEAD64C175" hidden="1">#REF!</definedName>
    <definedName name="BOE70239AD8D5A4EE19FB505ECCC483EF6" hidden="1">#REF!</definedName>
    <definedName name="BOE708C6D956D14213A9A0F5D71F80D177" hidden="1">#REF!</definedName>
    <definedName name="BOE713249A70E44E7D996C16A8A38A6C8F" hidden="1">#REF!</definedName>
    <definedName name="BOE719B34B193B480DA0034AF29AC5BD1E" hidden="1">#REF!</definedName>
    <definedName name="BOE723F183EED040F89115312745C7C98D" hidden="1">#REF!</definedName>
    <definedName name="BOE72A2808D8A54F0C99F4BC9CFBA3EADF" hidden="1">#REF!</definedName>
    <definedName name="BOE73285E980B345BA990EEB8E4432ADFA" hidden="1">#REF!</definedName>
    <definedName name="BOE7499CCF54EF4F85AD9F14CCD1C4DEFD" hidden="1">#REF!</definedName>
    <definedName name="BOE74FE812004E4DCF874964C68F41FCF7" hidden="1">#REF!</definedName>
    <definedName name="BOE74FFF84953B42D7B70A13E79001D0D7" hidden="1">#REF!</definedName>
    <definedName name="BOE756C0AB570B43BB8566DCA680FC7AB3" hidden="1">#REF!</definedName>
    <definedName name="BOE760A0E7DAB84332BAB552BF5FC9159A" hidden="1">#REF!</definedName>
    <definedName name="BOE763020F3B8F42D4B22B14798C12544D" hidden="1">#REF!</definedName>
    <definedName name="BOE76AC300557449F1AE14437C61AF6DBE" hidden="1">#REF!</definedName>
    <definedName name="BOE778070FD4CE49638692AABA708FA9F7" hidden="1">#REF!</definedName>
    <definedName name="BOE77F96E796B845B49DA101FCC1ACEBF1" hidden="1">#REF!</definedName>
    <definedName name="BOE7804C2F5AD849F5B59BB49BB7C73A29" hidden="1">#REF!</definedName>
    <definedName name="BOE780FD10822F4D528401A6B4ADF3AA6F" hidden="1">#REF!</definedName>
    <definedName name="BOE785DDFF5CDC4D1C9FE39D53DE8EE81E" hidden="1">#REF!</definedName>
    <definedName name="BOE792E5C5FEF2496B90FE4C16F76E166F" hidden="1">#REF!</definedName>
    <definedName name="BOE7962CF301674546BE48459CC3BB58B4" hidden="1">#REF!</definedName>
    <definedName name="BOE798D7F8DA9E4D97A30B616DDE7DC338" hidden="1">#REF!</definedName>
    <definedName name="BOE79BAE4C6C6644E89B26E4AA08634BEC" hidden="1">#REF!</definedName>
    <definedName name="BOE7A45CA35A88467D986BB37469B53A4C" hidden="1">#REF!</definedName>
    <definedName name="BOE7A8E4F2E5EC4C49B34C9BCEEECDC5EA" hidden="1">#REF!</definedName>
    <definedName name="BOE7AC32302A634EC88E3E8123278FC19D" hidden="1">#REF!</definedName>
    <definedName name="BOE7AC813D937E48A9A41A4920BFFF3A62" hidden="1">#REF!</definedName>
    <definedName name="BOE7B676E190DF4786AAFB519E92F1191E" hidden="1">#REF!</definedName>
    <definedName name="BOE7B7F4F676A94A7F84AF4244024153B1" hidden="1">#REF!</definedName>
    <definedName name="BOE7BED555770346829F973D537C4C8F6E" hidden="1">#REF!</definedName>
    <definedName name="BOE7CC8531BC3F42CA8A9D6B22DD34A5C8" hidden="1">#REF!</definedName>
    <definedName name="BOE7DB888872E54A81861A5B0FCCE23F69" hidden="1">#REF!</definedName>
    <definedName name="BOE7DE0269A02C43569AAEE1D781357855" hidden="1">#REF!</definedName>
    <definedName name="BOE7E2CEE0DA554D16AF42AE852D287186" hidden="1">#REF!</definedName>
    <definedName name="BOE7E3089D3BC74A51BC8ABCAC05CFCB4B" hidden="1">#REF!</definedName>
    <definedName name="BOE7EB524ACF9748779D8285C2C3CA8648" hidden="1">#REF!</definedName>
    <definedName name="BOE7ECDACD4ABE4937A1548A177FDF18EC" hidden="1">#REF!</definedName>
    <definedName name="BOE80E8FE3C9C14C7389DF881A8ADD29A9" hidden="1">#REF!</definedName>
    <definedName name="BOE81043C2D1AC4AB492B6BC3968BDD3C8" hidden="1">#REF!</definedName>
    <definedName name="BOE81803C53FA34B44BFDE588EBB00F9D8" hidden="1">#REF!</definedName>
    <definedName name="BOE8219E389E3341C0A5AFCE7A4469EFAA" hidden="1">#REF!</definedName>
    <definedName name="BOE82602D442F540C982D6D717A5CBEFA0" hidden="1">#REF!</definedName>
    <definedName name="BOE826DD75AE464511864205F3605E6FEE" hidden="1">#REF!</definedName>
    <definedName name="BOE8280FA446D241ED95A4687CDEC836A8" hidden="1">#REF!</definedName>
    <definedName name="BOE82F1151E5C745FA8D224B7653BD8CA2" hidden="1">#REF!</definedName>
    <definedName name="BOE82FF0A14D26423BAA64418085931C9F" hidden="1">#REF!</definedName>
    <definedName name="BOE8492816A4174AF6BF2445753AA66B9D" hidden="1">#REF!</definedName>
    <definedName name="BOE850B706164D4C2E907E8175E4F517CA" hidden="1">#REF!</definedName>
    <definedName name="BOE8592501169545BBA0CD3AF1097D43C5" hidden="1">#REF!</definedName>
    <definedName name="BOE860395F514E4F83AC6859D8D2C926B4" hidden="1">#REF!</definedName>
    <definedName name="BOE8619FE84FFD4E15B8DB54D280792016" hidden="1">#REF!</definedName>
    <definedName name="BOE86E4A8EAD334EE7AA0776CEC24687C6" hidden="1">#REF!</definedName>
    <definedName name="BOE86E7F286DA241C8BD454A20423450C9" hidden="1">#REF!</definedName>
    <definedName name="BOE877EAE875DE4E23885330F9E082A075" hidden="1">#REF!</definedName>
    <definedName name="BOE877F72E6E0C40E3877E0C79F26757AF" hidden="1">#REF!</definedName>
    <definedName name="BOE87FA6BEA4B848CEADC08A2A4376640C" hidden="1">#REF!</definedName>
    <definedName name="BOE8879B24B7A94944A23FC4320A4E613E" hidden="1">#REF!</definedName>
    <definedName name="BOE88AFD4AB5A24A6EAECD50E8AB116886" hidden="1">#REF!</definedName>
    <definedName name="BOE88BF8B6801C482C88E8739B1486BC99" hidden="1">#REF!</definedName>
    <definedName name="BOE8942FE5407749AD94E1C83EFD4440C7" hidden="1">#REF!</definedName>
    <definedName name="BOE896F21AC5DB4AF4953BE17902BCC6A2" hidden="1">#REF!</definedName>
    <definedName name="BOE89A7E35AFF54965ADA8A758628E481D" hidden="1">#REF!</definedName>
    <definedName name="BOE89C44414AD345DC8E64A86806B6C757" hidden="1">#REF!</definedName>
    <definedName name="BOE8A1DEF744BF41B9A293B0B4A0817711" hidden="1">#REF!</definedName>
    <definedName name="BOE8AC3C28DBAB4B9C951F5984F091C4CD" hidden="1">#REF!</definedName>
    <definedName name="BOE8ACBAB036024ADBB66A05134CA37190" hidden="1">#REF!</definedName>
    <definedName name="BOE8AE6D3158644A6E85E2887190503B50" hidden="1">#REF!</definedName>
    <definedName name="BOE8B7ACD5B8274D49A8515BBA9AAB1EF6" hidden="1">#REF!</definedName>
    <definedName name="BOE8C23AECC33C4C2EBD70B2AE2B7A7076" hidden="1">#REF!</definedName>
    <definedName name="BOE8D8A80A4B9449D880ACC4C3ECE0365B" hidden="1">#REF!</definedName>
    <definedName name="BOE8E415C14DB943F0A1956519D69CC2A1" hidden="1">#REF!</definedName>
    <definedName name="BOE8E8D5DB0DE840C38AD669919685716C" hidden="1">#REF!</definedName>
    <definedName name="BOE8FDDDD7F0614678B2B4D07CE98E2FA4" hidden="1">#REF!</definedName>
    <definedName name="BOE908843B001E4257BEDD2496749647E4" hidden="1">#REF!</definedName>
    <definedName name="BOE90EEA92927741C0AEF29C717BF5DC3D" hidden="1">#REF!</definedName>
    <definedName name="BOE915D02A23ED421E9CD00A28A1369096" hidden="1">#REF!</definedName>
    <definedName name="BOE91ADDB085884EE5ADB5990AD342FB88" hidden="1">#REF!</definedName>
    <definedName name="BOE91BB66A346E4A5AAD29DF657EC11D1E" hidden="1">#REF!</definedName>
    <definedName name="BOE91D1B6B45D54B0AA0F58ED0C6A3F6D6" hidden="1">#REF!</definedName>
    <definedName name="BOE91F01C783934FBDAFD0CD3D3E607604" hidden="1">#REF!</definedName>
    <definedName name="BOE920BB365E6A4D22B271BFECBF9603F6" hidden="1">#REF!</definedName>
    <definedName name="BOE926DBE572B14DC88BED303CCB12C8E6" hidden="1">#REF!</definedName>
    <definedName name="BOE94367B32FA24AFEA1DDE6E7A753DFEB" hidden="1">#REF!</definedName>
    <definedName name="BOE9498DF83E85463B89CCF152693B2E0A" hidden="1">#REF!</definedName>
    <definedName name="BOE94B950501E442F8AD9977AB11C4C0F0" hidden="1">#REF!</definedName>
    <definedName name="BOE953A6B3A992491E8CCBE654A2BA0227" hidden="1">#REF!</definedName>
    <definedName name="BOE9548CDA0EE24A44A177E2A207F4B064" hidden="1">#REF!</definedName>
    <definedName name="BOE95853530F2E4F77B2DF79BA1CE74324" hidden="1">#REF!</definedName>
    <definedName name="BOE95866BA87D74DC8A51209EEC3C10921" hidden="1">#REF!</definedName>
    <definedName name="BOE97122F0528742B7A7402B75BFA3624F" hidden="1">#REF!</definedName>
    <definedName name="BOE9752D7FF60942B5BA8EFFF3714FCBC4" hidden="1">#REF!</definedName>
    <definedName name="BOE97C978D9C884C2CAA238E9817AAEE52" hidden="1">#REF!</definedName>
    <definedName name="BOE99D80E7B5814F33AC3ACA49A106FB30" hidden="1">#REF!</definedName>
    <definedName name="BOE9A02BDE68154E58A8B2BC3060E98378" hidden="1">#REF!</definedName>
    <definedName name="BOE9A33A8458E147DD8752B9256E4989DA" hidden="1">#REF!</definedName>
    <definedName name="BOE9A42E63A8F64BEBB09F5784DD7C5A10" hidden="1">#REF!</definedName>
    <definedName name="BOE9A6877DA7AC4930BA5AFEF4B73A9DD2" hidden="1">#REF!</definedName>
    <definedName name="BOE9A69B5001314A93BB74B34B45F34C65" hidden="1">#REF!</definedName>
    <definedName name="BOE9A8A0C9024442D7A3A56F13B828D845" hidden="1">#REF!</definedName>
    <definedName name="BOE9B0E8C006074405BC5A128CC799976F" hidden="1">#REF!</definedName>
    <definedName name="BOE9C49CCCB6E44C19958C6A3DDBEF4688" hidden="1">#REF!</definedName>
    <definedName name="BOE9C864A9BA2A494886CEC6341DA99CA6" hidden="1">#REF!</definedName>
    <definedName name="BOE9CF133BC5FA4DBD968624BFD3E693CD" hidden="1">#REF!</definedName>
    <definedName name="BOE9DABF9A72D746ABB0A8E3A583D292BF" hidden="1">#REF!</definedName>
    <definedName name="BOE9E7C9DC65B24321BA65C1A922164F21" hidden="1">#REF!</definedName>
    <definedName name="BOE9FA2856F145478AA6E9D66D7E6A8E4F" hidden="1">#REF!</definedName>
    <definedName name="BOEA11CC21208D4A0A8CE2DC5672733501" hidden="1">#REF!</definedName>
    <definedName name="BOEA1F4CF03D7B47F187C5C8F1158CCABB" hidden="1">#REF!</definedName>
    <definedName name="BOEA3BE6C2F1794E95AC57BEEE8DA90B89" hidden="1">#REF!</definedName>
    <definedName name="BOEA3CA65417C140AC973BA50B6406D014" hidden="1">#REF!</definedName>
    <definedName name="BOEA425472C1A349E491C24213F4A1B3D7" hidden="1">#REF!</definedName>
    <definedName name="BOEA45AF0679DE429097E507E0916272B7" hidden="1">#REF!</definedName>
    <definedName name="BOEA5E1D02D0E84702B68392C07F8424F9" hidden="1">#REF!</definedName>
    <definedName name="BOEA63614AD5F74C9CA82D0E7478AEEF49" hidden="1">#REF!</definedName>
    <definedName name="BOEA6CD7B6D68F43C2B14AD9922E408003" hidden="1">#REF!</definedName>
    <definedName name="BOEA702A0B345F460F8551F28E89F89099" hidden="1">#REF!</definedName>
    <definedName name="BOEA7BFD37879F4E5BAEC438F71B976587" hidden="1">#REF!</definedName>
    <definedName name="BOEA8C2016EDEF419E953BC10947FD6A62" hidden="1">#REF!</definedName>
    <definedName name="BOEA9D6C4D6C31476F887C9620B2B5C87B" hidden="1">#REF!</definedName>
    <definedName name="BOEAB2D64F9B7342E1A8AB612FA5E3C2CE" hidden="1">#REF!</definedName>
    <definedName name="BOEADCD4342BBB4920BFC5ADA838D258BA" hidden="1">#REF!</definedName>
    <definedName name="BOEADCD57575A54B29B4E2778FB59CA7C6" hidden="1">#REF!</definedName>
    <definedName name="BOEAE4CE333F87462FAF32FBCE7536BE56" hidden="1">#REF!</definedName>
    <definedName name="BOEAEBD6F6BB294C35808D48BA3BAA20E7" hidden="1">#REF!</definedName>
    <definedName name="BOEAF146AEE9A64E6B915FCE130F0973EB" hidden="1">#REF!</definedName>
    <definedName name="BOEAF58F5F4F2C47E18C41097E359C34F9" hidden="1">#REF!</definedName>
    <definedName name="BOEB0A02E8781542938D74AF430440BBF5" hidden="1">#REF!</definedName>
    <definedName name="BOEB17219160FC4E8CA6EDABA49A91726E" hidden="1">#REF!</definedName>
    <definedName name="BOEB1ADDDD081C40D998B81BD8B1679D72" hidden="1">#REF!</definedName>
    <definedName name="BOEB2047169D1B4FE7B195CEDAF7B3AD2E" hidden="1">#REF!</definedName>
    <definedName name="BOEB2237EDDA394922803580A0DD9198FE" hidden="1">#REF!</definedName>
    <definedName name="BOEB2934B19B824F19872DB1CC8817D448" hidden="1">#REF!</definedName>
    <definedName name="BOEB2FEC4862D94EB5BBF3006AFECFC5AD" hidden="1">#REF!</definedName>
    <definedName name="BOEB4B8A1147FB4F0F916260F59AE0BDB2" hidden="1">#REF!</definedName>
    <definedName name="BOEB521C49E10D4608ACEA3EC0BE55DAA5" hidden="1">#REF!</definedName>
    <definedName name="BOEB560E0F3D3E4C47AAB04830413A8BDD" hidden="1">#REF!</definedName>
    <definedName name="BOEB6CC87C50C34F6190EF27299C2847DE" hidden="1">#REF!</definedName>
    <definedName name="BOEB711C546411402FAFA376A1623904A0" hidden="1">#REF!</definedName>
    <definedName name="BOEB78A4A451394FBCA88B10FA10D414B4" hidden="1">#REF!</definedName>
    <definedName name="BOEB7AB7366D6C4E26BF32DCB722FD0903" hidden="1">#REF!</definedName>
    <definedName name="BOEBA42ABC7CC442AA8FE83EF883A83DBB" hidden="1">#REF!</definedName>
    <definedName name="BOEBB46C1380964425A098371FA5F168E4" hidden="1">#REF!</definedName>
    <definedName name="BOEBCBBB91648B4D048799CE6EEF643342" hidden="1">#REF!</definedName>
    <definedName name="BOEBD600AB5EC34D05A27E0210D0E8AB80" hidden="1">#REF!</definedName>
    <definedName name="BOEBDA69F6FCB744498FB3B07074D91349" hidden="1">#REF!</definedName>
    <definedName name="BOEBDC08562C97449EB9B9163D3B063A26" hidden="1">#REF!</definedName>
    <definedName name="BOEBEBFB0CC0D943B7A4207D0E5D4E9F2E" hidden="1">#REF!</definedName>
    <definedName name="BOEC14F40A4BF34EB9BBD4E4FDCF0705FF" hidden="1">#REF!</definedName>
    <definedName name="BOEC1C7BC5DFB64ED5A9F0E1CB247E483D" hidden="1">#REF!</definedName>
    <definedName name="BOEC21FD88AD3C4E5E86572705D2F670E5" hidden="1">#REF!</definedName>
    <definedName name="BOEC33B9CDBDF646169098893065B7A359" hidden="1">#REF!</definedName>
    <definedName name="BOEC3D3C51D1E54820834B7977C4D693FE" hidden="1">#REF!</definedName>
    <definedName name="BOEC3E7870E3A94F31B3A4CCEAF3266570" hidden="1">#REF!</definedName>
    <definedName name="BOEC465505C514456A8AA5FDFF54318B36" hidden="1">#REF!</definedName>
    <definedName name="BOEC4DA8A3BBB94F6A8E4758E9A69DAEB5" hidden="1">#REF!</definedName>
    <definedName name="BOEC5087CB0FB74A47B6D44C4A48BF06A7" hidden="1">#REF!</definedName>
    <definedName name="BOEC52FD1B1B524207B3CAB0E79E4087A0" hidden="1">#REF!</definedName>
    <definedName name="BOEC5491CA98CD4FBDAC60B3F849853DE1" hidden="1">#REF!</definedName>
    <definedName name="BOEC561A297FA24CED8B856F41F1698394" hidden="1">#REF!</definedName>
    <definedName name="BOEC5D926C552A49869CA5DFF7A1169D6D" hidden="1">#REF!</definedName>
    <definedName name="BOEC5DB122632D4B2380E3F3587ADE91E1" hidden="1">#REF!</definedName>
    <definedName name="BOEC5F11953F564C5884D2361C1F3E59BC" hidden="1">#REF!</definedName>
    <definedName name="BOEC6285B8799043AB9CD76566C9024445" hidden="1">#REF!</definedName>
    <definedName name="BOEC720A81F03945DE82E2B43689C757C5" hidden="1">#REF!</definedName>
    <definedName name="BOEC772D1F7C9A4C288CA4B1FCA56C9A6F" hidden="1">#REF!</definedName>
    <definedName name="BOEC81AECFD1004B4F87F1F48E9B3ADC5F" hidden="1">#REF!</definedName>
    <definedName name="BOEC939EDB1D7D438BB635610C4C9D6A5B" hidden="1">#REF!</definedName>
    <definedName name="BOEC98DACC1C8446DFB8EDC8DB9CAB6597" hidden="1">#REF!</definedName>
    <definedName name="BOECACD1BBF634404AABE4205C761A432E" hidden="1">#REF!</definedName>
    <definedName name="BOECB66E7556A84F2FBFD0EEF1545508C5" hidden="1">#REF!</definedName>
    <definedName name="BOECB709AF3A8E4DC8A66CC9C62CBBC747" hidden="1">#REF!</definedName>
    <definedName name="BOECD9FC16D16D4D55918357FB6A4BFF4B" hidden="1">#REF!</definedName>
    <definedName name="BOECE0590910114C6C9BC047896EA1C4B8" hidden="1">#REF!</definedName>
    <definedName name="BOECE9070C9CEB4EDB9017F93949336171" hidden="1">#REF!</definedName>
    <definedName name="BOECF6574937DA4151ADE3FC50176E68B4" hidden="1">#REF!</definedName>
    <definedName name="BOED03F05BB96D4FD0A3E6B2835362E294" hidden="1">#REF!</definedName>
    <definedName name="BOED08A2B26F444A8AAD0ABF6E29752A30" hidden="1">#REF!</definedName>
    <definedName name="BOED22C9B8B6A84475B5E5D40DACB66F1A" hidden="1">#REF!</definedName>
    <definedName name="BOED2D92B5E14F48FC9951E7CB3816BF9D" hidden="1">#REF!</definedName>
    <definedName name="BOED33B60FEDA8426EBDB8B668837D7D0F" hidden="1">#REF!</definedName>
    <definedName name="BOED433F7C963648ABA1BF60A28D3AA588" hidden="1">#REF!</definedName>
    <definedName name="BOED449B0A9B5F4356A583D831A462937C" hidden="1">#REF!</definedName>
    <definedName name="BOED6BB06DCB6345238550A772384DC5F0" hidden="1">#REF!</definedName>
    <definedName name="BOED73392AE596484EB27BFAAABFBF46AD" hidden="1">#REF!</definedName>
    <definedName name="BOED75E66A33E04A0A8D3CC4489DB2899F" hidden="1">#REF!</definedName>
    <definedName name="BOED847360C53B4F3C96115FCFF44A999F" hidden="1">#REF!</definedName>
    <definedName name="BOEDA99B247D0E49468921F766139EE820" hidden="1">#REF!</definedName>
    <definedName name="BOEDAEBB3060814F30BB52063082E06A04" hidden="1">#REF!</definedName>
    <definedName name="BOEDCBB0FFEAF347999F44875DA2068A3E" hidden="1">#REF!</definedName>
    <definedName name="BOEDD718CE6564433680BEB9D65A2ED887" hidden="1">#REF!</definedName>
    <definedName name="BOEDD7239255124673886AFE2199F1E3E2" hidden="1">#REF!</definedName>
    <definedName name="BOEDDA70FD84DB41559CA65F82BB843747" hidden="1">#REF!</definedName>
    <definedName name="BOEDEBC96EBEEA42498E1C8A2AAD1B035B" hidden="1">#REF!</definedName>
    <definedName name="BOEDF78ACC12AE47ED8D4A467FC46B6A48" hidden="1">#REF!</definedName>
    <definedName name="BOEE03E772172E473B99006BBE5CDAC3DE" hidden="1">#REF!</definedName>
    <definedName name="BOEE0A6C645C404F0DAFA93F4FC04564FA" hidden="1">#REF!</definedName>
    <definedName name="BOEE1AE15E1C33423ABE1D58D3A815204E" hidden="1">#REF!</definedName>
    <definedName name="BOEE1C3EFF0529496F99578577DB17609D" hidden="1">#REF!</definedName>
    <definedName name="BOEE20881E763940B5B14AD31CA8ACA919" hidden="1">#REF!</definedName>
    <definedName name="BOEE3655D2019F485B996C8AA2BCB9FB24" hidden="1">#REF!</definedName>
    <definedName name="BOEE380941CBDC4083A613E375A8F2091C" hidden="1">#REF!</definedName>
    <definedName name="BOEE4AFFA294A2404C87210FFF2EB6FF46" hidden="1">#REF!</definedName>
    <definedName name="BOEE4C7D4338AA48BE974C0E9D259CF76E" hidden="1">#REF!</definedName>
    <definedName name="BOEE5EBCD53F2A40F5B72B2DA6DBA9F61D" hidden="1">#REF!</definedName>
    <definedName name="BOEE64F4D1FDBB47529E9DF3F6B7D678E9" hidden="1">#REF!</definedName>
    <definedName name="BOEE6B8030B47B4162A7CBB69D3D2847E5" hidden="1">#REF!</definedName>
    <definedName name="BOEE6CCE94F8C24E3CBC1477A165506724" hidden="1">#REF!</definedName>
    <definedName name="BOEE6FFCF82C7E4728AD056BEDC0CF49DF" hidden="1">#REF!</definedName>
    <definedName name="BOEE702D06A1BD4E60B14280E27BE9620B" hidden="1">#REF!</definedName>
    <definedName name="BOEE733EB1563742A48242556DEEFA5389" hidden="1">#REF!</definedName>
    <definedName name="BOEE79F92860524D4AA551B3670D99A656" hidden="1">#REF!</definedName>
    <definedName name="BOEE8EC640A81F4BDFB5109C5142B4CF3B" hidden="1">#REF!</definedName>
    <definedName name="BOEE8F263F4D774F42B8D683A4912940BD" hidden="1">#REF!</definedName>
    <definedName name="BOEEAC33E6A6024A2D980F26DC910565FE" hidden="1">#REF!</definedName>
    <definedName name="BOEEB87179511E4D099A7BB9B6E93220A6" hidden="1">#REF!</definedName>
    <definedName name="BOEEDFDF4EA1464EAB8BB215870A9123FA" hidden="1">#REF!</definedName>
    <definedName name="BOEEEE5BF28DEC44D2B02306CE27FB2031" hidden="1">#REF!</definedName>
    <definedName name="BOEEEF6C0F7BFE4C4D95A4E8E2D593F0B6" hidden="1">#REF!</definedName>
    <definedName name="BOEEF60926A9D2451397861DF2DB54CAA9" hidden="1">#REF!</definedName>
    <definedName name="BOEF007558B9024743BFE7DF0D69D54816" hidden="1">#REF!</definedName>
    <definedName name="BOEF03654FC092411BB962345B5620BF63" hidden="1">#REF!</definedName>
    <definedName name="BOEF0AAA25E7CE428FBBBB498C461EB6A7" hidden="1">#REF!</definedName>
    <definedName name="BOEF0B902E6DA14A0C8BBF8D3D42A416CD" hidden="1">#REF!</definedName>
    <definedName name="BOEF0BD39B67EB4C9394288A32904B7E75" hidden="1">#REF!</definedName>
    <definedName name="BOEF0C40FC914C4AA2A5FDEB9F1177A0B9" hidden="1">#REF!</definedName>
    <definedName name="BOEF375B8742494504892EB82EE765075D" hidden="1">#REF!</definedName>
    <definedName name="BOEF577BFB3F564B03AF92A0A242445F16" hidden="1">#REF!</definedName>
    <definedName name="BOEF5F6E6B72A546E9AACD50CC4BBF4F26" hidden="1">#REF!</definedName>
    <definedName name="BOEF7EC7E3E5F14602B88F2EDDFBC39638" hidden="1">#REF!</definedName>
    <definedName name="BOEF88520100354917921A1440DDFFE04A" hidden="1">#REF!</definedName>
    <definedName name="BOEFA61DB93F8D4BD7B41F9974A5902910" hidden="1">#REF!</definedName>
    <definedName name="BOEFB592B587864DC6B9E4642C20078D1B" hidden="1">#REF!</definedName>
    <definedName name="BOEFB7D48C769349439A5BF19B064DEDEF" hidden="1">#REF!</definedName>
    <definedName name="BOEFB843F5A4154F9C8AAF4EBDADE78A68" hidden="1">#REF!</definedName>
    <definedName name="BOEFBE3FAF93DB434797106BDD67D26467" hidden="1">#REF!</definedName>
    <definedName name="BOEFDA452D3ACF4E509C18B0EB7CED5C1B" hidden="1">#REF!</definedName>
    <definedName name="BOEFDF4D306B96413CA4B572D8AE126797" hidden="1">#REF!</definedName>
    <definedName name="BOEFE930DF89D24CF09AC904E75098D757" hidden="1">#REF!</definedName>
    <definedName name="BOEFFA960A83694DB3856919FF58F645C0" hidden="1">#REF!</definedName>
    <definedName name="BOEFFF9A328B514AB29C6EEE979F2D8C81" hidden="1">#REF!</definedName>
    <definedName name="BOEFFFCF5D9E5B47BD81E8BAAF68F8CE8B" hidden="1">#REF!</definedName>
    <definedName name="BOF00090E8834D4AC2BC93442CC55037BF" hidden="1">#REF!</definedName>
    <definedName name="BOF002E7ECEB7949F5A26004A71D7761BD" hidden="1">#REF!</definedName>
    <definedName name="BOF00AB2C131D4470B9A6736BA47C1A29C" hidden="1">#REF!</definedName>
    <definedName name="BOF00C6C249F374352BDCEAC6EECA6C09F" hidden="1">#REF!</definedName>
    <definedName name="BOF019956EE6FD41A19E0AAA6DD17D43B7" hidden="1">#REF!</definedName>
    <definedName name="BOF02F72AC22B14C80A20245E633FAB43E" hidden="1">#REF!</definedName>
    <definedName name="BOF033BA7070C94D71AD452DDDBADC9999" hidden="1">#REF!</definedName>
    <definedName name="BOF044CC84E6DC4546AE14B5BF25E98A1D" hidden="1">#REF!</definedName>
    <definedName name="BOF048057EA2084AD284E3AB87C78A631B" hidden="1">#REF!</definedName>
    <definedName name="BOF04DDFEE27C5437EA19E9A5972A7D9AB" hidden="1">#REF!</definedName>
    <definedName name="BOF04E5C93DB5E415AA112DAE13FC24EFF" hidden="1">#REF!</definedName>
    <definedName name="BOF04E93EF02F3473989DA213C332B02A6" hidden="1">#REF!</definedName>
    <definedName name="BOF050B962A2BE4EA598A0F8F3019899DC" hidden="1">#REF!</definedName>
    <definedName name="BOF056ECC1646447EB8ECBA4BD35E5E234" hidden="1">#REF!</definedName>
    <definedName name="BOF0661EC70FE3408E9EDF18F95E2DCA7E" hidden="1">#REF!</definedName>
    <definedName name="BOF072FC8CF40449DFADC9BD51416866F6" hidden="1">#REF!</definedName>
    <definedName name="BOF0811454CAAF431EB63A2485BB7F60EE" hidden="1">#REF!</definedName>
    <definedName name="BOF08D0F28A9A545D599F417CBFEB097C0" hidden="1">#REF!</definedName>
    <definedName name="BOF097825C6DFA4CBAAF6767F86EFEFAFB" hidden="1">#REF!</definedName>
    <definedName name="BOF09A8D140623491081CD883F8F0EC488" hidden="1">#REF!</definedName>
    <definedName name="BOF0A0108CC40548B5B228403A4F192146" hidden="1">#REF!</definedName>
    <definedName name="BOF0A24394BCFD44268B0A5245F875D86B" hidden="1">#REF!</definedName>
    <definedName name="BOF0A330256FA24EDE9A53F62425B55800" hidden="1">#REF!</definedName>
    <definedName name="BOF0ACB9FFC4E94404B14D144C8C43184B" hidden="1">#REF!</definedName>
    <definedName name="BOF0B25A98C53043AAA07ECEB2E4D61337" hidden="1">#REF!</definedName>
    <definedName name="BOF0B5B92FF89B4A36B1C6271BEEDE89AC" hidden="1">#REF!</definedName>
    <definedName name="BOF0C528CB121A45E9A35C41026BF6134D" hidden="1">#REF!</definedName>
    <definedName name="BOF0C9432E3B18463296688D67D9B6D56A" hidden="1">#REF!</definedName>
    <definedName name="BOF0CDB8D5BF4C41B195D1E2CF5D3F131B" hidden="1">#REF!</definedName>
    <definedName name="BOF0E3DE6778AA41EF8D16829130032661" hidden="1">#REF!</definedName>
    <definedName name="BOF0EC79B971524CDE8CEFA961BBFC1F16" hidden="1">#REF!</definedName>
    <definedName name="BOF0FC66A39BE944BEB9541B599DE3ACDC" hidden="1">#REF!</definedName>
    <definedName name="BOF100315EB9FD4473B9C114715CDA364B" hidden="1">#REF!</definedName>
    <definedName name="BOF108B7E64FC845938AFCF7D6C9354EF5" hidden="1">#REF!</definedName>
    <definedName name="BOF10E520B266E41B0AD3D88C1D1F2B9A8" hidden="1">#REF!</definedName>
    <definedName name="BOF10EE2876E0647AB94BC70EB9E60C631" hidden="1">#REF!</definedName>
    <definedName name="BOF11F859C743F41E6B440C720851AE949" hidden="1">#REF!</definedName>
    <definedName name="BOF125FD99265B4A8383BD4F502759FCCC" hidden="1">#REF!</definedName>
    <definedName name="BOF12C5EE3E4824CC281DFAE51391FFDD7" hidden="1">#REF!</definedName>
    <definedName name="BOF12CF36461D94ECDB82164DB54F1F5C0" hidden="1">#REF!</definedName>
    <definedName name="BOF12D0AA39B734CA0AC89CA186E3E0AE1" hidden="1">#REF!</definedName>
    <definedName name="BOF137BE46E3DE4A8BA83799B124A3AFE7" hidden="1">#REF!</definedName>
    <definedName name="BOF1405EBE436845F4B859273790135EDD" hidden="1">#REF!</definedName>
    <definedName name="BOF14243902A1F4DD2A569F943848CEB58" hidden="1">#REF!</definedName>
    <definedName name="BOF143DC2343D64C6CB2BC6FC313A92696" hidden="1">#REF!</definedName>
    <definedName name="BOF1463AF17D63430AB2A8D77342E4C372" hidden="1">#REF!</definedName>
    <definedName name="BOF1465E28BB28412B8F9BB05D4C2C1E99" hidden="1">#REF!</definedName>
    <definedName name="BOF1595246B29342A0A2BD0BAC6AC596ED" hidden="1">#REF!</definedName>
    <definedName name="BOF15F3128D24843DCA19D417C38299873" hidden="1">#REF!</definedName>
    <definedName name="BOF15FD192CBF2476BA6A02084B7161BE3" hidden="1">#REF!</definedName>
    <definedName name="BOF16785F965914B8092B83543519FFA9C" hidden="1">#REF!</definedName>
    <definedName name="BOF17CF153AED74E40B7D49167C55F1D71" hidden="1">#REF!</definedName>
    <definedName name="BOF18515A989BB482D8E9805A606F5DDA8" hidden="1">#REF!</definedName>
    <definedName name="BOF1A548461F41455BB25F3EA405EEDA94" hidden="1">#REF!</definedName>
    <definedName name="BOF1BF90C810A74C1AA1C97A70203F1E04" hidden="1">#REF!</definedName>
    <definedName name="BOF1C7D79B6FF94E1EBEDCFE98C9E0C9AE" hidden="1">#REF!</definedName>
    <definedName name="BOF1CCC8B5394D442A85555ED2283AB9D5" hidden="1">#REF!</definedName>
    <definedName name="BOF1CD2FD9AED844AFB89F3B6933628B12" hidden="1">#REF!</definedName>
    <definedName name="BOF1CECD06280249B09209011F2BB04A6B" hidden="1">#REF!</definedName>
    <definedName name="BOF1E1177FA4314E6784B492028183C0AA" hidden="1">#REF!</definedName>
    <definedName name="BOF1E5241D483D4D2FAE18840CC012BCCF" hidden="1">#REF!</definedName>
    <definedName name="BOF1EE53272EC24B8A94D709E5C26FCCD5" hidden="1">#REF!</definedName>
    <definedName name="BOF1EF5057072145BB8C95D39864A133A5" hidden="1">#REF!</definedName>
    <definedName name="BOF1F5DB9437C048139E161A9AC46F81E2" hidden="1">#REF!</definedName>
    <definedName name="BOF1FAF0074CCA4821A876018A83A2E6C5" hidden="1">#REF!</definedName>
    <definedName name="BOF20BFD034AD64460A02B613B7A3A6E06" hidden="1">#REF!</definedName>
    <definedName name="BOF2131F640DF04B7F90417567C3FE074C" hidden="1">#REF!</definedName>
    <definedName name="BOF214BB9E20024B5590E8395410C66721" hidden="1">#REF!</definedName>
    <definedName name="BOF225A553C8794B57BB9F08B489426221" hidden="1">#REF!</definedName>
    <definedName name="BOF22C0A24DB5B4E2289883DED6B3847D6" hidden="1">#REF!</definedName>
    <definedName name="BOF232156954A14D0DA75295F22F6EB9D9" hidden="1">#REF!</definedName>
    <definedName name="BOF2345AB838A847F7BE245FF090C38F1C" hidden="1">#REF!</definedName>
    <definedName name="BOF23A604B82B241E2ADDEA6C3A3459238" hidden="1">#REF!</definedName>
    <definedName name="BOF248BF2222CC4E4581E0C6140BFDB006" hidden="1">#REF!</definedName>
    <definedName name="BOF253A444376743F0A078B628CE6B1F32" hidden="1">#REF!</definedName>
    <definedName name="BOF26798A8409644A499FEB553F55465FF" hidden="1">#REF!</definedName>
    <definedName name="BOF27F5E7124C54505A78775A69C5C6CF9" hidden="1">#REF!</definedName>
    <definedName name="BOF2A1E7D4AA7640A4B62F7ABB29024967" hidden="1">#REF!</definedName>
    <definedName name="BOF2AE96F93E5F497F9FE7E8D914D93B82" hidden="1">#REF!</definedName>
    <definedName name="BOF2B310E207D142EFB3F5A6617D789542" hidden="1">#REF!</definedName>
    <definedName name="BOF2BBD3217CAF4D9895A3ED5AC86C53AE" hidden="1">#REF!</definedName>
    <definedName name="BOF2BD2E080D0A4EA0A5A9C64B9922002D" hidden="1">#REF!</definedName>
    <definedName name="BOF2BEFABCD09A4752A6CA36347EF2991A" hidden="1">#REF!</definedName>
    <definedName name="BOF2D5D54D55474A1CA75F51F480BB01E8" hidden="1">#REF!</definedName>
    <definedName name="BOF2D5ED6A403D4A1D9804C7A24C10CA74" hidden="1">#REF!</definedName>
    <definedName name="BOF2D8363A8B3B4625B2ED1512448C0BB0" hidden="1">#REF!</definedName>
    <definedName name="BOF2E2F19DBDF94967A4D048324C21E3FD" hidden="1">#REF!</definedName>
    <definedName name="BOF2EC7EF3D7654059AE8699F9DFC12E4A" hidden="1">#REF!</definedName>
    <definedName name="BOF2FAEDC0E76543669BA08D6081DEB77C" hidden="1">#REF!</definedName>
    <definedName name="BOF2FD3B5DE6DE4D2A80779AA4F7485CA8" hidden="1">#REF!</definedName>
    <definedName name="BOF2FF87E5492C4FE8B7E585308423B8CB" hidden="1">#REF!</definedName>
    <definedName name="BOF3066C906FDF404D911FA83A8978A1FE" hidden="1">#REF!</definedName>
    <definedName name="BOF30A9FBA10664094B413D2909941A70B" hidden="1">#REF!</definedName>
    <definedName name="BOF3159DE3DBC0424CA5628A1E2430C291" hidden="1">#REF!</definedName>
    <definedName name="BOF334234C88804F48B133FB8C3B43ADEF" hidden="1">#REF!</definedName>
    <definedName name="BOF34D1CF5A30E473CBF5BD0B972A0E15C" hidden="1">#REF!</definedName>
    <definedName name="BOF363B13895E14C0EAA6CBE9A182A5CBE" hidden="1">#REF!</definedName>
    <definedName name="BOF36A048365284FDAAEC39E26B835A000" hidden="1">#REF!</definedName>
    <definedName name="BOF370B7C3577B404AB03F5DCE4D828631" hidden="1">#REF!</definedName>
    <definedName name="BOF371480141084CE187A73C6CE19B9625" hidden="1">#REF!</definedName>
    <definedName name="BOF371EFD1A38147C2AD24EF320AC391AB" hidden="1">#REF!</definedName>
    <definedName name="BOF37C7F6BB8584C1B803F89179B8D75CA" hidden="1">#REF!</definedName>
    <definedName name="BOF381C0E9F749464497E14CB5D96A5787" hidden="1">#REF!</definedName>
    <definedName name="BOF38329BB9A464E2B852762E68246922E" hidden="1">#REF!</definedName>
    <definedName name="BOF38875BDA4EB46CB8A2CCB5908A7BCB7" hidden="1">#REF!</definedName>
    <definedName name="BOF39680939B5D4A459C2CF70A440FA91D" hidden="1">#REF!</definedName>
    <definedName name="BOF3979862B7E5486EB8CBF01A922675FF" hidden="1">#REF!</definedName>
    <definedName name="BOF3AC9290D1064C4B828315C1C5EB6934" hidden="1">#REF!</definedName>
    <definedName name="BOF3B24E8EE7DE4F5282C48873596A8075" hidden="1">#REF!</definedName>
    <definedName name="BOF3CCA890D74643D18E0BA337D23BFD95" hidden="1">#REF!</definedName>
    <definedName name="BOF3CFDD1FEB934CE28A86A9B1EB0B65D5" hidden="1">#REF!</definedName>
    <definedName name="BOF3D0CB223B334975B8D96B844C2F35E6" hidden="1">#REF!</definedName>
    <definedName name="BOF3D94101747D4D91A1A94E0D0B4792D5" hidden="1">#REF!</definedName>
    <definedName name="BOF3D9B85C7BF3488FA9C42BEEF48673F5" hidden="1">#REF!</definedName>
    <definedName name="BOF3DFD24303CF4F4B88EFF59B6027CC61" hidden="1">#REF!</definedName>
    <definedName name="BOF3F9DF20A31C4B6A8FF0E474065FA2DC" hidden="1">#REF!</definedName>
    <definedName name="BOF3FB6313222645C9BF5D83346E69B562" hidden="1">#REF!</definedName>
    <definedName name="BOF4014B0FFDCC4C8AAC67960F7EACA11B" hidden="1">#REF!</definedName>
    <definedName name="BOF40ABFBC6C404CFBBE82FCC0F04F45CE" hidden="1">#REF!</definedName>
    <definedName name="BOF40F1ADFC2984890A5A3CBADBE20EFBF" hidden="1">#REF!</definedName>
    <definedName name="BOF42523B9F1FE4A15842C4801082D1DF8" hidden="1">#REF!</definedName>
    <definedName name="BOF436A50FB5F8421D8607A308EF858C2F" hidden="1">#REF!</definedName>
    <definedName name="BOF448D5C0B2B34371A9DE1B82E069C013" hidden="1">#REF!</definedName>
    <definedName name="BOF4495C3EC7CF475F8CB984D9E850F84B" hidden="1">#REF!</definedName>
    <definedName name="BOF44F1EA1699B4D06BD911F33073CEE9D" hidden="1">#REF!</definedName>
    <definedName name="BOF4519A875C8F490CA6185539E9E7442B" hidden="1">#REF!</definedName>
    <definedName name="BOF469BB726D334CD2BCC14B89F2ABBB7C" hidden="1">#REF!</definedName>
    <definedName name="BOF471F59F7F4A4DDAA4D6A07332592C0B" hidden="1">#REF!</definedName>
    <definedName name="BOF4804CDD67344BD2A221D678F53258DC" hidden="1">#REF!</definedName>
    <definedName name="BOF485B1DCAECE4535BD4033C98F50A8F4" hidden="1">#REF!</definedName>
    <definedName name="BOF49B65FC0DEF459D94084A5CD9DE75E7" hidden="1">#REF!</definedName>
    <definedName name="BOF49D4BA192974434BD9560D7C3214276" hidden="1">#REF!</definedName>
    <definedName name="BOF4A1E1D2DAD0457F81F02F4F7519BF37" hidden="1">#REF!</definedName>
    <definedName name="BOF4A7DCFE646B4504B55B18F4826B49BB" hidden="1">#REF!</definedName>
    <definedName name="BOF4AEBEE570064D40808A6B63F2A7834F" hidden="1">#REF!</definedName>
    <definedName name="BOF4B227311C504E3D82348894ED9534E7" hidden="1">#REF!</definedName>
    <definedName name="BOF4B34BCFA4614D6194CCAD3AE9EABAD8" hidden="1">#REF!</definedName>
    <definedName name="BOF4B90DCAA3244C77A444A65819397042" hidden="1">#REF!</definedName>
    <definedName name="BOF4D5A413CD6642BA8C4F309E0D890C3C" hidden="1">#REF!</definedName>
    <definedName name="BOF4E235DCD6754EE6877F4E898B4E3398" hidden="1">#REF!</definedName>
    <definedName name="BOF4E80BB1FC924FCFA8A90A816AAE0A50" hidden="1">#REF!</definedName>
    <definedName name="BOF4E8EE7F09C24CCCAB5419C0A419ADD7" hidden="1">#REF!</definedName>
    <definedName name="BOF4EA58942DBD425AB20267AD78345AA0" hidden="1">#REF!</definedName>
    <definedName name="BOF4ECD87AB9164ECB80AAE08A920A0972" hidden="1">#REF!</definedName>
    <definedName name="BOF4EF67B82344491DA24CB09A78AA8EEF" hidden="1">#REF!</definedName>
    <definedName name="BOF503EA10645642DD8C6C500896DFD65D" hidden="1">#REF!</definedName>
    <definedName name="BOF50B4D2EA1F9474FACAE8F9DEDA0FE4A" hidden="1">#REF!</definedName>
    <definedName name="BOF50BBBCB96DA4F9F84547CF6BA440348" hidden="1">#REF!</definedName>
    <definedName name="BOF512B9CFD6ED4A24B558E2FAEF33EA71" hidden="1">#REF!</definedName>
    <definedName name="BOF51E820C0EBF404ABEB9BA40720FEA9D" hidden="1">#REF!</definedName>
    <definedName name="BOF523441F87304A92B097AF7780FB7817" hidden="1">#REF!</definedName>
    <definedName name="BOF534AE075980424DAF8605D49C99A19D" hidden="1">#REF!</definedName>
    <definedName name="BOF538476A39624F5CAC6688D99AF0737D" hidden="1">#REF!</definedName>
    <definedName name="BOF560F84326344D54AADFA876392FDF9D" hidden="1">#REF!</definedName>
    <definedName name="BOF565E7C2B89E4F5584B7DCD9B92FB559" hidden="1">#REF!</definedName>
    <definedName name="BOF56FAE257C17468AB49F78C67F26BA37" hidden="1">#REF!</definedName>
    <definedName name="BOF57AD5140AC24B1E8CA1889BFE7C8983" hidden="1">#REF!</definedName>
    <definedName name="BOF585087003EB47379516F9A034B5A9B1" hidden="1">#REF!</definedName>
    <definedName name="BOF58EFD9347A74A71B801873FC177105B" hidden="1">#REF!</definedName>
    <definedName name="BOF590C7B22C3245F291726339075B0522" hidden="1">#REF!</definedName>
    <definedName name="BOF5923661F1284470844147D6319E575F" hidden="1">#REF!</definedName>
    <definedName name="BOF598849C2175466DA992BD88F7D92D1F" hidden="1">#REF!</definedName>
    <definedName name="BOF5A34EB3830E43AAB57DDAFF7B03E329" hidden="1">#REF!</definedName>
    <definedName name="BOF5A74FDABF444221944DBCB9B069DEFE" hidden="1">#REF!</definedName>
    <definedName name="BOF5A90AF506454FF5A1B543E123833D2F" hidden="1">#REF!</definedName>
    <definedName name="BOF5B081AC90164CC6BF6A21831CC0B24F" hidden="1">#REF!</definedName>
    <definedName name="BOF5B5293ADB47470CA1AF85E04FFF1F31" hidden="1">#REF!</definedName>
    <definedName name="BOF5BF06C40BC540E39EA2976A57A68B95" hidden="1">#REF!</definedName>
    <definedName name="BOF5CC3480CE2C4500AD279C3F3DD492C8" hidden="1">#REF!</definedName>
    <definedName name="BOF5D1344E19654EDAAD8199FB37F6850F" hidden="1">#REF!</definedName>
    <definedName name="BOF5D8CD8542B5462C8938F71694233E9A" hidden="1">#REF!</definedName>
    <definedName name="BOF5D9F98588034B51B5F8E80D96FAF429" hidden="1">#REF!</definedName>
    <definedName name="BOF5E490726E2D4A5DB6D6E419DD7B5765" hidden="1">#REF!</definedName>
    <definedName name="BOF5EEEFC90E1C4D77A4C4297325CB633F" hidden="1">#REF!</definedName>
    <definedName name="BOF5F4E86ED08049E184091145EDFC277A" hidden="1">#REF!</definedName>
    <definedName name="BOF5FBE31421C2480F99D3565169893F20" hidden="1">#REF!</definedName>
    <definedName name="BOF5FC3C65B34C40FA93E5DE40B5566557" hidden="1">#REF!</definedName>
    <definedName name="BOF6084E5E136A4503897AB7ABD47DE8AB" hidden="1">#REF!</definedName>
    <definedName name="BOF61BD8E506334015A06B532EE16B45B2" hidden="1">#REF!</definedName>
    <definedName name="BOF64124A6A1FC4BC383754EF25800319B" hidden="1">#REF!</definedName>
    <definedName name="BOF64A0DEB16574F698AF7CA61751C2624" hidden="1">#REF!</definedName>
    <definedName name="BOF65B8945AB0F4241BC0E0D44588D0E9D" hidden="1">#REF!</definedName>
    <definedName name="BOF65EDBAFCC334A649A722DA7E9BF4B1C" hidden="1">#REF!</definedName>
    <definedName name="BOF665235562AD4BF5BAAFFC80BE652F62" hidden="1">#REF!</definedName>
    <definedName name="BOF67CCCCC9C1A44279F52B149081758BD" hidden="1">#REF!</definedName>
    <definedName name="BOF6897EA7553E4CB28802BD1F1264B7D4" hidden="1">#REF!</definedName>
    <definedName name="BOF68A3A79DCAD4088AE03623ABD99CA88" hidden="1">#REF!</definedName>
    <definedName name="BOF694EE80B5D24D0FA1AC99E16D3AB999" hidden="1">#REF!</definedName>
    <definedName name="BOF6A2050C04EF4F7592FC944C97AD0B2F" hidden="1">#REF!</definedName>
    <definedName name="BOF6BFE71541124B23914885C92821E017" hidden="1">#REF!</definedName>
    <definedName name="BOF6CA2BD9AAAB4492929995BE328F9A54" hidden="1">#REF!</definedName>
    <definedName name="BOF6E707E3FBAE4AD380B8CDC23CEAEB2C" hidden="1">#REF!</definedName>
    <definedName name="BOF6EBEFAD3CD348A988438A5BEF70E79F" hidden="1">#REF!</definedName>
    <definedName name="BOF6F2A40EAC514DBFB9953F2E3A35BF6F" hidden="1">#REF!</definedName>
    <definedName name="BOF6FBF4A8750941C9B6DE47261C79EACE" hidden="1">#REF!</definedName>
    <definedName name="BOF7067B359E144ED5AD74B2393EBA0E57" hidden="1">#REF!</definedName>
    <definedName name="BOF70938DB367E4D149BC02E6BAFD0195D" hidden="1">#REF!</definedName>
    <definedName name="BOF7237A50862A4D77BFD12ED70FF37FBF" hidden="1">#REF!</definedName>
    <definedName name="BOF726CA5DE18A4FDBBCE30A5A794F1F11" hidden="1">#REF!</definedName>
    <definedName name="BOF72A4628BBCC4E1F8FFA11619466796A" hidden="1">#REF!</definedName>
    <definedName name="BOF74129E45861416E92558DC56E7BCA42" hidden="1">#REF!</definedName>
    <definedName name="BOF74A141A20B6490FA9039C3A18A9F71C" hidden="1">#REF!</definedName>
    <definedName name="BOF74E800F8AB24B21A67C124DAC333722" hidden="1">#REF!</definedName>
    <definedName name="BOF75B7362A19143E1A17DBED181116A2D" hidden="1">#REF!</definedName>
    <definedName name="BOF75DD6070C8144FBAE7AEBB487FB4091" hidden="1">#REF!</definedName>
    <definedName name="BOF775D5025A66459FAF6143A045ACA3D0" hidden="1">#REF!</definedName>
    <definedName name="BOF7865F25CC8B474B908C074A588B4A58" hidden="1">#REF!</definedName>
    <definedName name="BOF78EBA653D5843C3BD46C0815836201E" hidden="1">#REF!</definedName>
    <definedName name="BOF79AD498D4704E219E6017415B970500" hidden="1">#REF!</definedName>
    <definedName name="BOF79B4DFD6A744A2E8BC9A8BA5233F516" hidden="1">#REF!</definedName>
    <definedName name="BOF7AB90F98F974157857C81905085FD0E" hidden="1">#REF!</definedName>
    <definedName name="BOF7AEF746C6F645928EDF4EC095EE26E8" hidden="1">#REF!</definedName>
    <definedName name="BOF7B893474DB94F86B42E078D7E00E8CD" hidden="1">#REF!</definedName>
    <definedName name="BOF7BC4528BF59491BBDBC7F50FFD3741C" hidden="1">#REF!</definedName>
    <definedName name="BOF7C2ED0116C64726991162AC6FD27DE4" hidden="1">#REF!</definedName>
    <definedName name="BOF7C3ADCD676E47D99C52D547309EC544" hidden="1">#REF!</definedName>
    <definedName name="BOF7CFEE2F9D1E4E998FD384B827E1648E" hidden="1">#REF!</definedName>
    <definedName name="BOF7E0B752CCBB47C080EF57DBCF17204E" hidden="1">#REF!</definedName>
    <definedName name="BOF7EABF7E28BB46359CAA0D0E4E158B9E" hidden="1">#REF!</definedName>
    <definedName name="BOF7F007D74049454CAA444251231F55C3" hidden="1">#REF!</definedName>
    <definedName name="BOF7FA2573A7204BA8BB2FE315F7E90037" hidden="1">#REF!</definedName>
    <definedName name="BOF802C9EC28104CB7B5499FEB65CA4FD7" hidden="1">#REF!</definedName>
    <definedName name="BOF808554E08284DF88B1980C03DBD3542" hidden="1">#REF!</definedName>
    <definedName name="BOF80B1D75630140A6BA5185E1B4A95698" hidden="1">#REF!</definedName>
    <definedName name="BOF813A8A5821E4C53A3426B9A868BC743" hidden="1">#REF!</definedName>
    <definedName name="BOF81439556F74427394F043225EBD8FC0" hidden="1">#REF!</definedName>
    <definedName name="BOF81BECE8D3734A32822788AE1974B593" hidden="1">#REF!</definedName>
    <definedName name="BOF81D421CC6B9417D941B25B996C72884" hidden="1">#REF!</definedName>
    <definedName name="BOF8211C967E024AFA99A0EFF12D45AEF0" hidden="1">#REF!</definedName>
    <definedName name="BOF8213881CED843A1841269B8EAD7F96F" hidden="1">#REF!</definedName>
    <definedName name="BOF822D3ABD1534D9F998B63C914C8ECD6" hidden="1">#REF!</definedName>
    <definedName name="BOF82C43F91B5C49E491F0134CBCC0086D" hidden="1">#REF!</definedName>
    <definedName name="BOF857E0257D5E43D5820430AAFC21F398" hidden="1">#REF!</definedName>
    <definedName name="BOF866A55A6A814E3BB4ADFA7BBD656797" hidden="1">#REF!</definedName>
    <definedName name="BOF867433AAE404C87804A6570CD9AA4C2" hidden="1">#REF!</definedName>
    <definedName name="BOF867605E04704C94881A0D9B97C2AF6D" hidden="1">#REF!</definedName>
    <definedName name="BOF86AD3E819A34654A11F74EC6DE7C3E8" hidden="1">#REF!</definedName>
    <definedName name="BOF87A41AC60194D5596D421A932CACB34" hidden="1">#REF!</definedName>
    <definedName name="BOF87E72475BF74EDB931AE92349BA1743" hidden="1">#REF!</definedName>
    <definedName name="BOF889CE13158A4FB382EE64FF8718C51B" hidden="1">#REF!</definedName>
    <definedName name="BOF88A659C69964B009B2D83565265FD86" hidden="1">#REF!</definedName>
    <definedName name="BOF8921A10B8E14D6E93498215DA5B4CC5" hidden="1">#REF!</definedName>
    <definedName name="BOF8AEB7F576C446909E0A327C72228592" hidden="1">#REF!</definedName>
    <definedName name="BOF8B07A1B50F54E5288258CD8F02A5F08" hidden="1">#REF!</definedName>
    <definedName name="BOF8B0CBE235594743825721777CB308B5" hidden="1">#REF!</definedName>
    <definedName name="BOF8BA711862C74BEE9FC10A7819806A97" hidden="1">#REF!</definedName>
    <definedName name="BOF8C93988A19A423794B6B09D20728F62" hidden="1">#REF!</definedName>
    <definedName name="BOF8D38CC096954A639266BEA031FC1BF6" hidden="1">#REF!</definedName>
    <definedName name="BOF8E47CD4DE724E67B67FA44FE9D0687F" hidden="1">#REF!</definedName>
    <definedName name="BOF8F3D3D100BF4624975FD9B421117776" hidden="1">#REF!</definedName>
    <definedName name="BOF900986C01994B3B8E193EF255736360" hidden="1">#REF!</definedName>
    <definedName name="BOF9046FBF09C14605A1C1D415EA591897" hidden="1">#REF!</definedName>
    <definedName name="BOF904C7E5F32D4355A29848034E1C02A2" hidden="1">#REF!</definedName>
    <definedName name="BOF908A8F90DD64344AD0E0D7D9866BA5D" hidden="1">#REF!</definedName>
    <definedName name="BOF917D74EBDFB4853A0CDD3C83EEEF78B" hidden="1">#REF!</definedName>
    <definedName name="BOF9198EE697FD46B1A4AB693A4F8924F8" hidden="1">#REF!</definedName>
    <definedName name="BOF91B769502CB4CD1BBCB0265218703C1" hidden="1">#REF!</definedName>
    <definedName name="BOF91DB64553ED4A6C8E3A08C4E9BDD985" hidden="1">#REF!</definedName>
    <definedName name="BOF92C678865AE4CAFBBCD49C98AF63C2D" hidden="1">#REF!</definedName>
    <definedName name="BOF93184DE86DD4655A5C136CE4D67BE61" hidden="1">#REF!</definedName>
    <definedName name="BOF941EA18CFF34D0EA77EE7D6BC7E997E" hidden="1">#REF!</definedName>
    <definedName name="BOF9545A6789844DCF975C7F8E30C8DB7E" hidden="1">#REF!</definedName>
    <definedName name="BOF954CDC8C03046B79C0E0E0BBCF4ECB2" hidden="1">#REF!</definedName>
    <definedName name="BOF95C0DF323784C0C87570FDC60BD6C7C" hidden="1">#REF!</definedName>
    <definedName name="BOF9698CB8AE66414EB5C01C99FFF5ADC7" hidden="1">#REF!</definedName>
    <definedName name="BOF97115EC08D24C29845A1472CABA115A" hidden="1">#REF!</definedName>
    <definedName name="BOF973A8803E9F4F3D8DA5DC4CF01216D9" hidden="1">#REF!</definedName>
    <definedName name="BOF97F8B9A4B4A4627BFA15374FD2953BA" hidden="1">#REF!</definedName>
    <definedName name="BOF9801FCDD3594EF0935C956D2A5B94F7" hidden="1">#REF!</definedName>
    <definedName name="BOF982A38F26354265BB6CE78E56D046AA" hidden="1">#REF!</definedName>
    <definedName name="BOF98737EA666F4BD88D5BCD832B192B91" hidden="1">#REF!</definedName>
    <definedName name="BOF98B546D9E494E42925BE785099B56CF" hidden="1">#REF!</definedName>
    <definedName name="BOF9A7ECA7B3284EEBA3889CF5A16148EE" hidden="1">#REF!</definedName>
    <definedName name="BOF9ACA0F6681844B39D620B048DA8C234" hidden="1">#REF!</definedName>
    <definedName name="BOF9E2385EA1804CC1B1BA053D233E02A6" hidden="1">#REF!</definedName>
    <definedName name="BOF9EEC088BBDC4CA0AA698BE525CDAA85" hidden="1">#REF!</definedName>
    <definedName name="BOF9F3E5B0909B4D22AF1C6B14D47B7FC9" hidden="1">#REF!</definedName>
    <definedName name="BOF9F86764E0FF4403959D2388077FEFFA" hidden="1">#REF!</definedName>
    <definedName name="BOF9FE1D3728E84D69B366C936AC7B8BB0" hidden="1">#REF!</definedName>
    <definedName name="BOF9FF8DC9A7FE4261A05B9FEEA121F6FF" hidden="1">#REF!</definedName>
    <definedName name="BOFA2529D20BA84C50A147A7FDB56C2EFB" hidden="1">#REF!</definedName>
    <definedName name="BOFA32B9A012D6476FB7691631EB57453D" hidden="1">#REF!</definedName>
    <definedName name="BOFA38529889BD4E9DBF2AB1293A68FB9A" hidden="1">#REF!</definedName>
    <definedName name="BOFA39EE70CEC54BD388F3971B2A03E9CE" hidden="1">#REF!</definedName>
    <definedName name="BOFA3C1030CE7E4DFB9A356CB8DFDEF315" hidden="1">#REF!</definedName>
    <definedName name="BOFA4630B1838A40B995948B70067B8A7E" hidden="1">#REF!</definedName>
    <definedName name="BOFA5F0AD4A782471D81947F592AA492D1" hidden="1">#REF!</definedName>
    <definedName name="BOFA63A343622D415CB05B058CB376A8F0" hidden="1">#REF!</definedName>
    <definedName name="BOFA6BEC52E62F495E8A6774DB5F93DC79" hidden="1">#REF!</definedName>
    <definedName name="BOFA72F792627744DB892390DF4AB5C7D2" hidden="1">#REF!</definedName>
    <definedName name="BOFA757FC3C2914FDBAF9B90985D917372" hidden="1">#REF!</definedName>
    <definedName name="BOFA7DBACF98D443ABA6FBB112389DDA10" hidden="1">#REF!</definedName>
    <definedName name="BOFA8185A6DEAE4FF188992B49899A08C8" hidden="1">#REF!</definedName>
    <definedName name="BOFA821041CC364F63BC5FC72A7A2CFC87" hidden="1">#REF!</definedName>
    <definedName name="BOFA8699B82C4C404CABE153D3138A97BD" hidden="1">#REF!</definedName>
    <definedName name="BOFA8AAF04B5274141BAAC9B54C31A585D" hidden="1">#REF!</definedName>
    <definedName name="BOFA8F64294143401E9B255112E747CE41" hidden="1">#REF!</definedName>
    <definedName name="BOFA99B3D7D84E494DAB7DA499C0A80FEC" hidden="1">#REF!</definedName>
    <definedName name="BOFAB916E17A3C4804B41BF71709A14205" hidden="1">#REF!</definedName>
    <definedName name="BOFAC12FDDC1604E8D899473C32AFEBD9E" hidden="1">#REF!</definedName>
    <definedName name="BOFAC4A9E7912C4EF9B265121A3CFC81AA" hidden="1">#REF!</definedName>
    <definedName name="BOFADDB9E7A0344DA2A2987B44D52F91DF" hidden="1">#REF!</definedName>
    <definedName name="BOFAE1B6686E23416EA4A08BFA812852E3" hidden="1">#REF!</definedName>
    <definedName name="BOFAE47A40CF504B12BA9269972D666FAA" hidden="1">#REF!</definedName>
    <definedName name="BOFB06892DDF324A26BA54D536AF26874F" hidden="1">#REF!</definedName>
    <definedName name="BOFB21E9CAA40E440DB72750798E35AB29" hidden="1">#REF!</definedName>
    <definedName name="BOFB2342DD34464C649BD56ED3B55372F7" hidden="1">#REF!</definedName>
    <definedName name="BOFB2AD2C4509E4296B328CA926774635C" hidden="1">#REF!</definedName>
    <definedName name="BOFB2B456DA52042E5AC3A72CFA530C739" hidden="1">#REF!</definedName>
    <definedName name="BOFB373FCC96024F0FA7B9050A4DAADDF1" hidden="1">#REF!</definedName>
    <definedName name="BOFB3EE843E2EF41B69054E953A02D5F16" hidden="1">#REF!</definedName>
    <definedName name="BOFB40419992524FA0A3A140BB2A6E79DB" hidden="1">#REF!</definedName>
    <definedName name="BOFB50260EB58B47ABBEF4F0EF47611F0E" hidden="1">#REF!</definedName>
    <definedName name="BOFB5D978CAF8F4585B6FB3FAF0F389CA3" hidden="1">#REF!</definedName>
    <definedName name="BOFB5FDC97D499470989759D0B74B24E3B" hidden="1">#REF!</definedName>
    <definedName name="BOFB690BA83FA345C297F2BD53D54AF283" hidden="1">#REF!</definedName>
    <definedName name="BOFB6A5D5F3D204475B61F4E300CE3C184" hidden="1">#REF!</definedName>
    <definedName name="BOFB76F261074B46F891AD31EA57996035" hidden="1">#REF!</definedName>
    <definedName name="BOFB8390AE7B814030BD478C9456EEAC84" hidden="1">#REF!</definedName>
    <definedName name="BOFB960E4D73DB42C0A360D302F4054E1B" hidden="1">#REF!</definedName>
    <definedName name="BOFB9A140DDEA3433F90E49D304B3CB2E7" hidden="1">#REF!</definedName>
    <definedName name="BOFB9D88ED508845FFA4988C3ABBD07BFC" hidden="1">#REF!</definedName>
    <definedName name="BOFBBF14149B8E4ECC8ABFFEA6DEACF6A0" hidden="1">#REF!</definedName>
    <definedName name="BOFBBF434865AF4CF286C515E84F1EDEE5" hidden="1">#REF!</definedName>
    <definedName name="BOFBD0E721F0D34556B404E081D18AFF8D" hidden="1">#REF!</definedName>
    <definedName name="BOFBD174970C28490398398691BC80DDC7" hidden="1">#REF!</definedName>
    <definedName name="BOFBDE77A5957B4DA4A3FB8FBE52DA725D" hidden="1">#REF!</definedName>
    <definedName name="BOFBE0495EE90C43D4A2267C942BB21F8C" hidden="1">#REF!</definedName>
    <definedName name="BOFBE58B6B2F824502A073DA79888EF0AD" hidden="1">#REF!</definedName>
    <definedName name="BOFBF07FBE68754902AAD5E3C2574A0478" hidden="1">#REF!</definedName>
    <definedName name="BOFBF551F5A45A41CCA1C4785C7D8814A3" hidden="1">#REF!</definedName>
    <definedName name="BOFC06CEC5B35847888FAAE63F9BA3854E" hidden="1">#REF!</definedName>
    <definedName name="BOFC0C41ADC8CF478AAFF8F84F97EB93C2" hidden="1">#REF!</definedName>
    <definedName name="BOFC0DB4C2DA05414CB98567FBA1852FF7" hidden="1">#REF!</definedName>
    <definedName name="BOFC12C199BDB74E9AB7FBF326E9E0F495" hidden="1">#REF!</definedName>
    <definedName name="BOFC1A08B1525D4F2384B9A4A912180CB2" hidden="1">#REF!</definedName>
    <definedName name="BOFC28A6FC67D64261B1465C120CD2B0FD" hidden="1">#REF!</definedName>
    <definedName name="BOFC3671AA471B495DA647EF4B33273A26" hidden="1">#REF!</definedName>
    <definedName name="BOFC3D29199A9B4555B2028DB6B5B83122" hidden="1">#REF!</definedName>
    <definedName name="BOFC4077CF644D49D797AB9C0117E74702" hidden="1">#REF!</definedName>
    <definedName name="BOFC42D11893A24173ABBC136AE855335B" hidden="1">#REF!</definedName>
    <definedName name="BOFC43B5B130244338B2BBE6467D49BEF5" hidden="1">#REF!</definedName>
    <definedName name="BOFC489C595BA9454C98C06EC5CE53B190" hidden="1">#REF!</definedName>
    <definedName name="BOFC491F0C6BC94860A701B51F48C9BCD1" hidden="1">#REF!</definedName>
    <definedName name="BOFC5ACA8D196F426CB85C3747DADE57F2" hidden="1">#REF!</definedName>
    <definedName name="BOFC5F054BB42C44608DF23285BD45B69B" hidden="1">#REF!</definedName>
    <definedName name="BOFC69F941BC764B4DBB191CE0706323C7" hidden="1">#REF!</definedName>
    <definedName name="BOFC6A1136B4CF4C6D9FAB29E5C066B7C4" hidden="1">#REF!</definedName>
    <definedName name="BOFC6E0281184F411A933D8EDFE12BF591" hidden="1">#REF!</definedName>
    <definedName name="BOFC7821684CEB493FA91FC4FCB8608127" hidden="1">#REF!</definedName>
    <definedName name="BOFC842083DB2A4A448A1668C615775C06" hidden="1">#REF!</definedName>
    <definedName name="BOFC859E0D6F8D415CA91486DF12815E5D" hidden="1">#REF!</definedName>
    <definedName name="BOFCA4D810C6ED460497AA6C4BD6C728B4" hidden="1">#REF!</definedName>
    <definedName name="BOFCA8924221C44BB4A203D4363939971F" hidden="1">#REF!</definedName>
    <definedName name="BOFCB6ABE3F39D496F9E8B8DA106534370" hidden="1">#REF!</definedName>
    <definedName name="BOFCB9EA4E310E49608BB29B156659CC95" hidden="1">#REF!</definedName>
    <definedName name="BOFCBF4EC7DD5D47F0B2DAB44C9A706CEC" hidden="1">#REF!</definedName>
    <definedName name="BOFCC46FC1C4AE41138AF475CE36299967" hidden="1">#REF!</definedName>
    <definedName name="BOFCC5DC63B6C541C9840AC81546C46588" hidden="1">#REF!</definedName>
    <definedName name="BOFCCA4AE4A7DB46BA824BD398D8C28AD4" hidden="1">#REF!</definedName>
    <definedName name="BOFCCC25E6EB664499BE134B68003E462B" hidden="1">#REF!</definedName>
    <definedName name="BOFCD8308078E64749B3AC8E32B7067B96" hidden="1">#REF!</definedName>
    <definedName name="BOFCDC2ADC094840909149F18B460C74F7" hidden="1">#REF!</definedName>
    <definedName name="BOFCF098D721E740058F3D0B24B82C2CE3" hidden="1">#REF!</definedName>
    <definedName name="BOFCF4421EEA1849E6A08018EC1050828A" hidden="1">#REF!</definedName>
    <definedName name="BOFD0CA662AC4E4EC3A69C07DD4BE8E5CC" hidden="1">#REF!</definedName>
    <definedName name="BOFD0E080A613441FD94B76F648CAF081F" hidden="1">#REF!</definedName>
    <definedName name="BOFD1B9B89D1754EEDA89D130877E835B2" hidden="1">#REF!</definedName>
    <definedName name="BOFD242C52576740459B10B31AF999F941" hidden="1">#REF!</definedName>
    <definedName name="BOFD2B5AA513C049278777C07846FFB29B" hidden="1">#REF!</definedName>
    <definedName name="BOFD4353783E8E4D8FBE17110972FE0C0B" hidden="1">#REF!</definedName>
    <definedName name="BOFD4DF7C398224437ABE66C58F2C630A2" hidden="1">#REF!</definedName>
    <definedName name="BOFD6C64B2C851424B8A8394258E5672AA" hidden="1">#REF!</definedName>
    <definedName name="BOFD711ABAA1A74EEB9E25667F91C143D9" hidden="1">#REF!</definedName>
    <definedName name="BOFD7FFFDC0395489A9A4A5CA124121BFD" hidden="1">#REF!</definedName>
    <definedName name="BOFD8E4E74A7A24898B596092D1AA97511" hidden="1">#REF!</definedName>
    <definedName name="BOFD9C5A13F5E04E6CB176652CCC432DCB" hidden="1">#REF!</definedName>
    <definedName name="BOFDA176B706F64661B9A68065D02F25DF" hidden="1">#REF!</definedName>
    <definedName name="BOFDA327A3EBCB43028527485513AABA5A" hidden="1">#REF!</definedName>
    <definedName name="BOFDA95C69CBC248EA937E7927258BD86C" hidden="1">#REF!</definedName>
    <definedName name="BOFDAB002C63424371BE578DA59D630470" hidden="1">#REF!</definedName>
    <definedName name="BOFDAFC23EC6A246A09B51B0BBDEA598BA" hidden="1">#REF!</definedName>
    <definedName name="BOFDB0C27CBCD54FF697D3CF06C8B3AC58" hidden="1">#REF!</definedName>
    <definedName name="BOFDB5E793317248B4BB5D576CCDB5DC4C" hidden="1">#REF!</definedName>
    <definedName name="BOFDB63C9B076248B19B4C49766FF1E8C2" hidden="1">#REF!</definedName>
    <definedName name="BOFDD4D8BCAF024B5589F8B4928ADEFCB7" hidden="1">#REF!</definedName>
    <definedName name="BOFDDC50CFACBB4E0E94D9AD30C374006B" hidden="1">#REF!</definedName>
    <definedName name="BOFDE4B16AC8964979A05EE6752EF2D81E" hidden="1">#REF!</definedName>
    <definedName name="BOFE058824E2CA423494E7BBB89BFC1827" hidden="1">#REF!</definedName>
    <definedName name="BOFE07C4D9A601446882557DC03C81BEA8" hidden="1">#REF!</definedName>
    <definedName name="BOFE0A73B67930446EA8CC1ECE26F704F4" hidden="1">#REF!</definedName>
    <definedName name="BOFE0C674B71BA4B478A554708AD6E4846" hidden="1">#REF!</definedName>
    <definedName name="BOFE11538B38C748DABA6E9B98D81AF15D" hidden="1">#REF!</definedName>
    <definedName name="BOFE1A7545F1A74289B7EA9E5CA87D2ADD" hidden="1">#REF!</definedName>
    <definedName name="BOFE2891BAFE69432FAE5F467C525A92A3" hidden="1">#REF!</definedName>
    <definedName name="BOFE2DEF8DA0174C6AA2A4126C5E1291EF" hidden="1">#REF!</definedName>
    <definedName name="BOFE34234FF0A84905A64190885B0ECB3B" hidden="1">#REF!</definedName>
    <definedName name="BOFE3A142BF26B46FDBF3A3B8731DA35FC" hidden="1">#REF!</definedName>
    <definedName name="BOFE4E24F9D0D74FEEAA554B4B6470193E" hidden="1">#REF!</definedName>
    <definedName name="BOFE4F61FA22B74588A46B32C0ECC145DD" hidden="1">#REF!</definedName>
    <definedName name="BOFE6862330400433582CE072D746567F6" hidden="1">#REF!</definedName>
    <definedName name="BOFE686FB8AF6F4457A8A238F841BCDFB7" hidden="1">#REF!</definedName>
    <definedName name="BOFE6CE17D2FD448078A335E700DB5FE65" hidden="1">#REF!</definedName>
    <definedName name="BOFE8672FC722F4F13B23228F9E423B6ED" hidden="1">#REF!</definedName>
    <definedName name="BOFE8C41E2159D4232B2A102ACE7826C4A" hidden="1">#REF!</definedName>
    <definedName name="BOFE8CB77E58FD444CAAB1C996F21DBAD3" hidden="1">#REF!</definedName>
    <definedName name="BOFE9B1418716848A4A8B5BEEC89B35CFB" hidden="1">#REF!</definedName>
    <definedName name="BOFEAEDA4D94774633B92078449223173D" hidden="1">#REF!</definedName>
    <definedName name="BOFEBA4B7C41A747CEA17AEFD8A61D1AED" hidden="1">#REF!</definedName>
    <definedName name="BOFEC6BC004C394EB3877E07CC1F0BED3B" hidden="1">#REF!</definedName>
    <definedName name="BOFED0CA4BD08049E4B33B805E37D9C450" hidden="1">#REF!</definedName>
    <definedName name="BOFED4BE01560440388CEB3A2B4ED5270B" hidden="1">#REF!</definedName>
    <definedName name="BOFED968AD40E2461ABAC7EC0AC7ACF13A" hidden="1">#REF!</definedName>
    <definedName name="BOFEE4D51401FC44AE93D21330BF981397" hidden="1">#REF!</definedName>
    <definedName name="BOFEF2A61BA52345D4A035226F5F1F5386" hidden="1">#REF!</definedName>
    <definedName name="BOFEFC84DA12A448AEA12918F727888834" hidden="1">#REF!</definedName>
    <definedName name="BOFF141F9E8C80496999887608C197C432" hidden="1">#REF!</definedName>
    <definedName name="BOFF20714CBB854200BFD01C9A2EBC1511" hidden="1">#REF!</definedName>
    <definedName name="BOFF2C8BC44EF04A0DA5FAE9D8D5397F00" hidden="1">#REF!</definedName>
    <definedName name="BOFF39F060C92B4B55A4BC60686B25034D" hidden="1">#REF!</definedName>
    <definedName name="BOFF3E01A5E8574D69B323C27884179BF7" hidden="1">#REF!</definedName>
    <definedName name="BOFF46603597A94C129348055368842319" hidden="1">#REF!</definedName>
    <definedName name="BOFF4AFBFD373C4981913A647EDC7B863B" hidden="1">#REF!</definedName>
    <definedName name="BOFF4C2DB0631D4BFF9CCF86EFDA936630" hidden="1">#REF!</definedName>
    <definedName name="BOFF51DBB521524F92B5CDBFDB72570B1A" hidden="1">#REF!</definedName>
    <definedName name="BOFF5CE01BFCAD41C3B1310216B00B3B51" hidden="1">#REF!</definedName>
    <definedName name="BOFF637B9231424D60B8F721296AD070BA" hidden="1">#REF!</definedName>
    <definedName name="BOFF7845B81951427B952EF337834FC25F" hidden="1">#REF!</definedName>
    <definedName name="BOFF7F2D2EEDEA4B6F9AD0B50B2F04F10C" hidden="1">#REF!</definedName>
    <definedName name="BOFF81A5081B9F4F33AFE77F70F81F48E9" hidden="1">#REF!</definedName>
    <definedName name="BOFF93FD5565F544AAAEAF8BC489E96912" hidden="1">#REF!</definedName>
    <definedName name="BOFFA6AE2858254647AD1DB3CEF9223EBA" hidden="1">#REF!</definedName>
    <definedName name="BOFFAEFA6A1ED0429EB93003DCE2EAB086" hidden="1">#REF!</definedName>
    <definedName name="BOFFAFBC61BDAE49C08A70D6906492447F" hidden="1">#REF!</definedName>
    <definedName name="BOFFB0308A03DF4F25B29587DEF1C74FA2" hidden="1">#REF!</definedName>
    <definedName name="BOFFB2D93965FC4CE38608C6D9A373E99C" hidden="1">#REF!</definedName>
    <definedName name="BOFFB635C596534E3A82766B2DAE186FEA" hidden="1">#REF!</definedName>
    <definedName name="BOFFC5156365624583A6B13E8658B49488" hidden="1">#REF!</definedName>
    <definedName name="BOFFD1535D148943FA8C1277418B779D54" hidden="1">#REF!</definedName>
    <definedName name="BOFFD4A5DEB0BD4A6A83EEC89A0122DEF4" hidden="1">#REF!</definedName>
    <definedName name="BOFFDD5A196BAB4502B3F4048A9B1CA218" hidden="1">#REF!</definedName>
    <definedName name="BOFFE9CABC7606405AA2EF910ECCB7F35D" hidden="1">#REF!</definedName>
    <definedName name="BOFFEC084D6EDB4D6C9B0CE2A26ACFC530" hidden="1">#REF!</definedName>
    <definedName name="BOFFF7092DFF004CCABA46759FF6A283D7" hidden="1">#REF!</definedName>
    <definedName name="BOFFF87D2EAF964C5F829D28779DE2BDA1" hidden="1">#REF!</definedName>
    <definedName name="BOFFF944EE37754FE18E47A573CCDA18D4" hidden="1">#REF!</definedName>
    <definedName name="BOFFFA874F1F9347C6A81D78F4FB38DFC0" hidden="1">#REF!</definedName>
    <definedName name="bosse" localSheetId="9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bosse" localSheetId="1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bosse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bro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ro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ro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rozait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rozait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rozai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tdc2" hidden="1">#REF!</definedName>
    <definedName name="ccc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cc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c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ccc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ccc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cc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cccc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cccc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ccc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IQWBGuid" hidden="1">"621f55ae-6bbd-4e45-8f58-3e88dc7f13f9"</definedName>
    <definedName name="Cwvu.GREY_ALL." hidden="1">#REF!</definedName>
    <definedName name="D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a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a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sc" localSheetId="9" hidden="1">{#N/A,#N/A,FALSE,"Aging Summary";#N/A,#N/A,FALSE,"Ratio Analysis";#N/A,#N/A,FALSE,"Test 120 Day Accts";#N/A,#N/A,FALSE,"Tickmarks"}</definedName>
    <definedName name="dasc" localSheetId="10" hidden="1">{#N/A,#N/A,FALSE,"Aging Summary";#N/A,#N/A,FALSE,"Ratio Analysis";#N/A,#N/A,FALSE,"Test 120 Day Accts";#N/A,#N/A,FALSE,"Tickmarks"}</definedName>
    <definedName name="dasc" hidden="1">{#N/A,#N/A,FALSE,"Aging Summary";#N/A,#N/A,FALSE,"Ratio Analysis";#N/A,#N/A,FALSE,"Test 120 Day Accts";#N/A,#N/A,FALSE,"Tickmarks"}</definedName>
    <definedName name="data1" hidden="1">#REF!</definedName>
    <definedName name="data2" hidden="1">#REF!</definedName>
    <definedName name="data3" hidden="1">#REF!</definedName>
    <definedName name="DCR" hidden="1">#REF!</definedName>
    <definedName name="dcwqc" localSheetId="9" hidden="1">{#N/A,#N/A,FALSE,"Aging Summary";#N/A,#N/A,FALSE,"Ratio Analysis";#N/A,#N/A,FALSE,"Test 120 Day Accts";#N/A,#N/A,FALSE,"Tickmarks"}</definedName>
    <definedName name="dcwqc" localSheetId="10" hidden="1">{#N/A,#N/A,FALSE,"Aging Summary";#N/A,#N/A,FALSE,"Ratio Analysis";#N/A,#N/A,FALSE,"Test 120 Day Accts";#N/A,#N/A,FALSE,"Tickmarks"}</definedName>
    <definedName name="dcwqc" hidden="1">{#N/A,#N/A,FALSE,"Aging Summary";#N/A,#N/A,FALSE,"Ratio Analysis";#N/A,#N/A,FALSE,"Test 120 Day Accts";#N/A,#N/A,FALSE,"Tickmarks"}</definedName>
    <definedName name="dd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d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dafa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dafa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daf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dd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dd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d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ddd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ddd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dd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dddd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dddd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ddd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e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e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elete" localSheetId="9" hidden="1">{"IGRONIC2",#N/A,FALSE,"IG fixed RONIC";"IGRONIC1",#N/A,FALSE,"IG fixed RONIC"}</definedName>
    <definedName name="delete" localSheetId="10" hidden="1">{"IGRONIC2",#N/A,FALSE,"IG fixed RONIC";"IGRONIC1",#N/A,FALSE,"IG fixed RONIC"}</definedName>
    <definedName name="delete" hidden="1">{"IGRONIC2",#N/A,FALSE,"IG fixed RONIC";"IGRONIC1",#N/A,FALSE,"IG fixed RONIC"}</definedName>
    <definedName name="delete2" localSheetId="9" hidden="1">{"IGRONIC2",#N/A,FALSE,"IG fixed RONIC";"IGRONIC1",#N/A,FALSE,"IG fixed RONIC"}</definedName>
    <definedName name="delete2" localSheetId="10" hidden="1">{"IGRONIC2",#N/A,FALSE,"IG fixed RONIC";"IGRONIC1",#N/A,FALSE,"IG fixed RONIC"}</definedName>
    <definedName name="delete2" hidden="1">{"IGRONIC2",#N/A,FALSE,"IG fixed RONIC";"IGRONIC1",#N/A,FALSE,"IG fixed RONIC"}</definedName>
    <definedName name="dfsafd" localSheetId="9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" localSheetId="1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localSheetId="9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localSheetId="1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localSheetId="9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localSheetId="1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localSheetId="9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localSheetId="1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gsdg" localSheetId="9" hidden="1">{"'Sheet1'!$L$16"}</definedName>
    <definedName name="dgsdg" localSheetId="10" hidden="1">{"'Sheet1'!$L$16"}</definedName>
    <definedName name="dgsdg" hidden="1">{"'Sheet1'!$L$16"}</definedName>
    <definedName name="dhgsd" localSheetId="9" hidden="1">{"Offgrid",#N/A,FALSE,"OFFGRID";"Region",#N/A,FALSE,"REGION";"Offgrid -2",#N/A,FALSE,"OFFGRID";"WTP",#N/A,FALSE,"WTP";"WTP -2",#N/A,FALSE,"WTP";"Project",#N/A,FALSE,"PROJECT";"Summary -2",#N/A,FALSE,"SUMMARY"}</definedName>
    <definedName name="dhgsd" localSheetId="10" hidden="1">{"Offgrid",#N/A,FALSE,"OFFGRID";"Region",#N/A,FALSE,"REGION";"Offgrid -2",#N/A,FALSE,"OFFGRID";"WTP",#N/A,FALSE,"WTP";"WTP -2",#N/A,FALSE,"WTP";"Project",#N/A,FALSE,"PROJECT";"Summary -2",#N/A,FALSE,"SUMMARY"}</definedName>
    <definedName name="dhgsd" hidden="1">{"Offgrid",#N/A,FALSE,"OFFGRID";"Region",#N/A,FALSE,"REGION";"Offgrid -2",#N/A,FALSE,"OFFGRID";"WTP",#N/A,FALSE,"WTP";"WTP -2",#N/A,FALSE,"WTP";"Project",#N/A,FALSE,"PROJECT";"Summary -2",#N/A,FALSE,"SUMMARY"}</definedName>
    <definedName name="dhhs" localSheetId="9" hidden="1">{"'Sheet1'!$L$16"}</definedName>
    <definedName name="dhhs" localSheetId="10" hidden="1">{"'Sheet1'!$L$16"}</definedName>
    <definedName name="dhhs" hidden="1">{"'Sheet1'!$L$16"}</definedName>
    <definedName name="Discount" hidden="1">#REF!</definedName>
    <definedName name="display_area_2" hidden="1">#REF!</definedName>
    <definedName name="djdgjg" hidden="1">#REF!</definedName>
    <definedName name="dsafd" localSheetId="9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" localSheetId="1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ee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ee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e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eeee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eeee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eee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hh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hh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h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PMWorkbookOptions_1" hidden="1">"TSEAAB|LCAAAAAAABADsvQdgHEmWJSYvbcp7f0r1StfgdKEIgGATJNiQQBDswYjN5pLsHWlHIymrKoHKZVZlXWYWQMztnbz33nvvvffee||997o7nU4n99//P1xmZAFs9s5K2smeIYCqyB8/fnwfPyIe/x7vFmV6mddNUS0/|2h3vPNRmi|n1axYXnz20bo939799KPf4|g3Th5/t6rfTqrq7Zerlpo2Kb23bB69a4rPPpq37erR3btXV1fjq3v"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"jqr64u7ezs3v39/7i|evpPF9k28WyabPlNP/IvjW7|a2PqNc0fXxSLZf5FH2|qU7WdZ0v258s8iv|Mvj6adZm|il9/iJb5NKb7anNF6t1XXBXXzV5/bLOz3OCN83HhNBHR7//s5df/P5PXp68|O7uzu//PX1pd2d879Px7v549|Heo4OdnZ27Tba6O1lN737/9//eT758ki3f/v5PT7/4Uv76/Z989fTz0zdnLz6nv8|zssm///guUHGIHa9WZT"</definedName>
    <definedName name="EPMWorkbookOptions_3" hidden="1">"HNPCLeGkEDI4TifazjPgow6SAgVHOETO8OfvXtYjbLl0|LRb5sGN3hpg7VJmhDrV7PqysL46Qqq/qordf547uRLza9yqOIvNkbnb5InNHm79pn2WVVFy3hxfMhL/e|u8X7z4q6aT0E4t93AFkshwl021Z|u6|WxS9a5zzyk|M3p59/|er3eXw39u0mIEJyEvD7O7v3DnY9ALHJ4He/rGd5fbTz|K78EoXerMrs|mVdrfK6vT7avf/p/fN8cr59/"</definedName>
    <definedName name="EPMWorkbookOptions_4" hidden="1">"9PZ/vb|3vnD7YP7eb69k|V7|7PJg/0Hk3voOXwrAvh51rSv85JkPZ99kS8mpLIizUKujDagJvK|R6bvGSp|f/w9|t/xyZuvjp|T6PYaDgD8dpHXWT2dX7umKanGR8ui/OwjsMxHHdnx3o1M2|3efXx381Af370Nzbxp/1nj0Vcv35x89erV6YuTD2DTnZ190r|359Ld//9xqUdHYdTnJ/9fZ9JvjBSnX736/zot/t8jsG/Ovjj92pJ67979|/v7"</definedName>
    <definedName name="EPMWorkbookOptions_5" hidden="1">"|7eX1L3//0kqCEhM|fKYOPTNt3fpV3JuPx2/|fLNj|xK2OxWrQbYFH7u8cnJl1|9ePO1ufXTB7s7BwcPbs|t9/7/x60eHUOmfXr68svXZ29e/4hl/Wa3arWBZYm6Z28|yBP69NN7997DFdr//yfLCh3F/NPfP2JSv9mtWm1g0s9fffnVy6/Po|8dVN7//yePMhlDpcof/f4vjv|/zq8/K2Q5fv4j/yhodqtWG|T45QkR|PTVD1GSP/3/pyQrIUO"</definedName>
    <definedName name="EPMWorkbookOptions_6" hidden="1">"mJXb9/Z|e/eTZ67MvX/zISwqa3arVJsZ99eXTr06|vmP//oz74P|njCuEDBn3|ZfHL36e26AoXSDQoM2PhDlodqtWA8L8xenx669enb7|IUrywXtIcpY/nDx8uP9wezaZ3Nvev797sD05f5BtZ5/O7k0e3ru/t3c||3|BJBsqSrjz8vTV2ZdPz37epn9Davw|b57|f50Q36C43qKRxWZ47fbx3dgac/CpaU7Q|qvw/of9lfvHr/LzOm/mXy6/XO"</definedName>
    <definedName name="EPMWorkbookOptions_7" hidden="1">"VLszQbfsjtTso8qwH0y|Xr7DI3Lbsfc9vvVvXbSVW9JSFtmYymdf|LsP3VTGft8Vnzk1ldZJMy/yKvLxyE3ue/ceLAfrkSavw/AQAA//|53YmeTSEAAA=="</definedName>
    <definedName name="esnrc14c1" hidden="1">#REF!</definedName>
    <definedName name="etrt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rt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r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40241.6489930556</definedName>
    <definedName name="EV__LOCKEDCVW__FINANCE" hidden="1">"A61590,buTotal,Actual,Bankreporting,deTotal,dCLO,eTotal,gETOTAL,prTotal,rTotal,2010.OCT,YTD,"</definedName>
    <definedName name="EV__LOCKEDCVW__RATE" hidden="1">"Actual,EUR,Avg,Global,2006.TOTAL,YTD,"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4</definedName>
    <definedName name="EV__WBVERSION__" hidden="1">0</definedName>
    <definedName name="EV__WSINFO__" hidden="1">"feed"</definedName>
    <definedName name="ewgbrt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gbrt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gbr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ff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ff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f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DG" hidden="1">#REF!</definedName>
    <definedName name="fsdsfafd" localSheetId="9" hidden="1">{"CSheet",#N/A,FALSE,"C";"SmCap",#N/A,FALSE,"VAL1";"GulfCoast",#N/A,FALSE,"VAL1";"nav",#N/A,FALSE,"NAV";"Summary",#N/A,FALSE,"NAV"}</definedName>
    <definedName name="fsdsfafd" localSheetId="10" hidden="1">{"CSheet",#N/A,FALSE,"C";"SmCap",#N/A,FALSE,"VAL1";"GulfCoast",#N/A,FALSE,"VAL1";"nav",#N/A,FALSE,"NAV";"Summary",#N/A,FALSE,"NAV"}</definedName>
    <definedName name="fsdsfafd" hidden="1">{"CSheet",#N/A,FALSE,"C";"SmCap",#N/A,FALSE,"VAL1";"GulfCoast",#N/A,FALSE,"VAL1";"nav",#N/A,FALSE,"NAV";"Summary",#N/A,FALSE,"NAV"}</definedName>
    <definedName name="fshg" localSheetId="9" hidden="1">{"'Sheet1'!$L$16"}</definedName>
    <definedName name="fshg" localSheetId="10" hidden="1">{"'Sheet1'!$L$16"}</definedName>
    <definedName name="fshg" hidden="1">{"'Sheet1'!$L$16"}</definedName>
    <definedName name="fsvsd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svsd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sv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" localSheetId="9" hidden="1">{#N/A,"DR",FALSE,"increm pf";#N/A,"MAMSI",FALSE,"increm pf";#N/A,"MAXI",FALSE,"increm pf";#N/A,"PCAM",FALSE,"increm pf";#N/A,"PHSV",FALSE,"increm pf";#N/A,"SIE",FALSE,"increm pf"}</definedName>
    <definedName name="g" localSheetId="10" hidden="1">{#N/A,"DR",FALSE,"increm pf";#N/A,"MAMSI",FALSE,"increm pf";#N/A,"MAXI",FALSE,"increm pf";#N/A,"PCAM",FALSE,"increm pf";#N/A,"PHSV",FALSE,"increm pf";#N/A,"SIE",FALSE,"increm pf"}</definedName>
    <definedName name="g" hidden="1">{#N/A,"DR",FALSE,"increm pf";#N/A,"MAMSI",FALSE,"increm pf";#N/A,"MAXI",FALSE,"increm pf";#N/A,"PCAM",FALSE,"increm pf";#N/A,"PHSV",FALSE,"increm pf";#N/A,"SIE",FALSE,"increm pf"}</definedName>
    <definedName name="gdshd" localSheetId="9" hidden="1">{"'Sheet1'!$L$16"}</definedName>
    <definedName name="gdshd" localSheetId="10" hidden="1">{"'Sheet1'!$L$16"}</definedName>
    <definedName name="gdshd" hidden="1">{"'Sheet1'!$L$16"}</definedName>
    <definedName name="gg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gg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gg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g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hhhh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hhhh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hhh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nr" localSheetId="9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nr" localSheetId="1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" localSheetId="9" hidden="1">{"'Sheet1'!$L$16"}</definedName>
    <definedName name="h" localSheetId="10" hidden="1">{"'Sheet1'!$L$16"}</definedName>
    <definedName name="h" hidden="1">{"'Sheet1'!$L$16"}</definedName>
    <definedName name="hdsdhd" localSheetId="9" hidden="1">{"Offgrid",#N/A,FALSE,"OFFGRID";"Region",#N/A,FALSE,"REGION";"Offgrid -2",#N/A,FALSE,"OFFGRID";"WTP",#N/A,FALSE,"WTP";"WTP -2",#N/A,FALSE,"WTP";"Project",#N/A,FALSE,"PROJECT";"Summary -2",#N/A,FALSE,"SUMMARY"}</definedName>
    <definedName name="hdsdhd" localSheetId="10" hidden="1">{"Offgrid",#N/A,FALSE,"OFFGRID";"Region",#N/A,FALSE,"REGION";"Offgrid -2",#N/A,FALSE,"OFFGRID";"WTP",#N/A,FALSE,"WTP";"WTP -2",#N/A,FALSE,"WTP";"Project",#N/A,FALSE,"PROJECT";"Summary -2",#N/A,FALSE,"SUMMARY"}</definedName>
    <definedName name="hdsdhd" hidden="1">{"Offgrid",#N/A,FALSE,"OFFGRID";"Region",#N/A,FALSE,"REGION";"Offgrid -2",#N/A,FALSE,"OFFGRID";"WTP",#N/A,FALSE,"WTP";"WTP -2",#N/A,FALSE,"WTP";"Project",#N/A,FALSE,"PROJECT";"Summary -2",#N/A,FALSE,"SUMMARY"}</definedName>
    <definedName name="hh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hh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hh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h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iddenRows" hidden="1">#REF!</definedName>
    <definedName name="hjjkl" localSheetId="9" hidden="1">{"'Sheet1'!$L$16"}</definedName>
    <definedName name="hjjkl" localSheetId="10" hidden="1">{"'Sheet1'!$L$16"}</definedName>
    <definedName name="hjjkl" hidden="1">{"'Sheet1'!$L$16"}</definedName>
    <definedName name="hsgsgs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sgsgs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sgsg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TML_CodePage" hidden="1">950</definedName>
    <definedName name="HTML_Control" localSheetId="9" hidden="1">{"'Sheet1'!$L$16"}</definedName>
    <definedName name="HTML_Control" localSheetId="1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ac" hidden="1">"Macintosh HD:HomePageStuff:New_Home_Page:datafile:ctryprem.html"</definedName>
    <definedName name="HTML_Title" hidden="1">"00Q3961-SUM"</definedName>
    <definedName name="huy" localSheetId="9" hidden="1">{"'Sheet1'!$L$16"}</definedName>
    <definedName name="huy" localSheetId="10" hidden="1">{"'Sheet1'!$L$16"}</definedName>
    <definedName name="huy" hidden="1">{"'Sheet1'!$L$16"}</definedName>
    <definedName name="hwtrwrw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wtrwrw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wtrwr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.4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.4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.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.6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.6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.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hh" localSheetId="9" hidden="1">{"'Sheet1'!$L$16"}</definedName>
    <definedName name="ihh" localSheetId="10" hidden="1">{"'Sheet1'!$L$16"}</definedName>
    <definedName name="ihh" hidden="1">{"'Sheet1'!$L$16"}</definedName>
    <definedName name="iii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ii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ii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iiii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iiii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iiii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Q_ADDIN" hidden="1">"AUTO"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PRICE_TARGET" hidden="1">"c82"</definedName>
    <definedName name="IQ_CAPEX_BR" hidden="1">"c111"</definedName>
    <definedName name="IQ_CH">110000</definedName>
    <definedName name="IQ_CHANGE_AP_BR" hidden="1">"c135"</definedName>
    <definedName name="IQ_CHANGE_AR_BR" hidden="1">"c142"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Q">5000</definedName>
    <definedName name="IQ_CURRENCY_GAIN_BR" hidden="1">"c236"</definedName>
    <definedName name="IQ_CURRENT_PORT_DEBT_BR" hidden="1">"c1567"</definedName>
    <definedName name="IQ_CY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BT_BR" hidden="1">"c378"</definedName>
    <definedName name="IQ_EBT_EXCL_BR" hidden="1">"c381"</definedName>
    <definedName name="IQ_EST_EPS_SURPRISE" hidden="1">"c1635"</definedName>
    <definedName name="IQ_EXTRA_ACC_ITEMS_BR" hidden="1">"c412"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VEST_LOANS_CF_BR" hidden="1">"c630"</definedName>
    <definedName name="IQ_INVEST_SECURITY_CF_BR" hidden="1">"c639"</definedName>
    <definedName name="IQ_LATESTK" hidden="1">1000</definedName>
    <definedName name="IQ_LATESTQ" hidden="1">500</definedName>
    <definedName name="IQ_LEGAL_SETTLE_BR" hidden="1">"c649"</definedName>
    <definedName name="IQ_LOANS_CF_BR" hidden="1">"c661"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>2000</definedName>
    <definedName name="IQ_LTMMONTH" hidden="1">120000</definedName>
    <definedName name="IQ_MERGER_BR" hidden="1">"c715"</definedName>
    <definedName name="IQ_MERGER_RESTRUCTURE_BR" hidden="1">"c721"</definedName>
    <definedName name="IQ_MINORITY_INTEREST_BR" hidden="1">"c729"</definedName>
    <definedName name="IQ_MONTH">15000</definedName>
    <definedName name="IQ_MTD" hidden="1">800000</definedName>
    <definedName name="IQ_NAMES_REVISION_DATE_" hidden="1">"01/14/2021 04:00:13"</definedName>
    <definedName name="IQ_NAV_ACT_OR_EST" hidden="1">"c2225"</definedName>
    <definedName name="IQ_NET_DEBT_ISSUED_BR" hidden="1">"c753"</definedName>
    <definedName name="IQ_NET_INT_INC_BR" hidden="1">"c765"</definedName>
    <definedName name="IQ_NTM">6000</definedName>
    <definedName name="IQ_OG_TOTAL_OIL_PRODUCTON" hidden="1">"c2059"</definedName>
    <definedName name="IQ_OPER_INC_BR" hidden="1">"c850"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REF_ISSUED_BR" hidden="1">"c1047"</definedName>
    <definedName name="IQ_PREF_OTHER_BR" hidden="1">"c1055"</definedName>
    <definedName name="IQ_PREF_REP_BR" hidden="1">"c1062"</definedName>
    <definedName name="IQ_QTD" hidden="1">750000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PENSION_OBLIGATION" hidden="1">"c1292"</definedName>
    <definedName name="IQ_TOTAL_REV_BR" hidden="1">"c1303"</definedName>
    <definedName name="IQ_TREASURY_OTHER_EQUITY_BR" hidden="1">"c1314"</definedName>
    <definedName name="IQ_UNEARN_REV_CURRENT_BR" hidden="1">"c1324"</definedName>
    <definedName name="IQ_WEEK">50000</definedName>
    <definedName name="IQ_YTD">3000</definedName>
    <definedName name="IQ_YTDMONTH" hidden="1">130000</definedName>
    <definedName name="jdstre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dstre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dstr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j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j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j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rtryr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rtryr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rtry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swt4r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swt4r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swt4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dye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dye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dy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etyrtyr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etyrtyr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etyrty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HGDFKHGFJKGF" hidden="1">#REF!</definedName>
    <definedName name="kjrtrr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jrtrr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jrt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kk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kk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k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kkkk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kkkk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kkk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setr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setr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set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yutr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yutr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yut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imcount" hidden="1">2</definedName>
    <definedName name="ListOffset" hidden="1">1</definedName>
    <definedName name="lll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l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l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lll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lll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lll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uit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uit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ui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tyuty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tyuty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tyut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EWarning" hidden="1">0</definedName>
    <definedName name="mmmmm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mmmm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mmm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dfdd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dfdd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dfd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dfdz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dfdz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dfdz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nn" hidden="1">#REF!</definedName>
    <definedName name="nstgs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stgs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stg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oo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oo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oo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oooo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oooo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oooo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ppp" localSheetId="9" hidden="1">{#N/A,#N/A,FALSE,"Gesamt";#N/A,#N/A,FALSE,"Ree KG";#N/A,#N/A,FALSE,"Ree Inter";#N/A,#N/A,FALSE,"BTM";#N/A,#N/A,FALSE,"GmbH";#N/A,#N/A,FALSE,"Sonstige"}</definedName>
    <definedName name="oppp" localSheetId="10" hidden="1">{#N/A,#N/A,FALSE,"Gesamt";#N/A,#N/A,FALSE,"Ree KG";#N/A,#N/A,FALSE,"Ree Inter";#N/A,#N/A,FALSE,"BTM";#N/A,#N/A,FALSE,"GmbH";#N/A,#N/A,FALSE,"Sonstige"}</definedName>
    <definedName name="oppp" hidden="1">{#N/A,#N/A,FALSE,"Gesamt";#N/A,#N/A,FALSE,"Ree KG";#N/A,#N/A,FALSE,"Ree Inter";#N/A,#N/A,FALSE,"BTM";#N/A,#N/A,FALSE,"GmbH";#N/A,#N/A,FALSE,"Sonstige"}</definedName>
    <definedName name="OrderTable" hidden="1">#REF!</definedName>
    <definedName name="P" localSheetId="9" hidden="1">{#N/A,"DR",FALSE,"increm pf";#N/A,"MAMSI",FALSE,"increm pf";#N/A,"MAXI",FALSE,"increm pf";#N/A,"PCAM",FALSE,"increm pf";#N/A,"PHSV",FALSE,"increm pf";#N/A,"SIE",FALSE,"increm pf"}</definedName>
    <definedName name="P" localSheetId="10" hidden="1">{#N/A,"DR",FALSE,"increm pf";#N/A,"MAMSI",FALSE,"increm pf";#N/A,"MAXI",FALSE,"increm pf";#N/A,"PCAM",FALSE,"increm pf";#N/A,"PHSV",FALSE,"increm pf";#N/A,"SIE",FALSE,"increm pf"}</definedName>
    <definedName name="P" hidden="1">{#N/A,"DR",FALSE,"increm pf";#N/A,"MAMSI",FALSE,"increm pf";#N/A,"MAXI",FALSE,"increm pf";#N/A,"PCAM",FALSE,"increm pf";#N/A,"PHSV",FALSE,"increm pf";#N/A,"SIE",FALSE,"increm pf"}</definedName>
    <definedName name="poo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oo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oo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pp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pp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p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pppp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pppp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ppp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R" localSheetId="9" hidden="1">{"'Sheet1'!$L$16"}</definedName>
    <definedName name="PR" localSheetId="10" hidden="1">{"'Sheet1'!$L$16"}</definedName>
    <definedName name="PR" hidden="1">{"'Sheet1'!$L$16"}</definedName>
    <definedName name="prd" localSheetId="9" hidden="1">{"Netbacks",#N/A,FALSE,"Netbacks"}</definedName>
    <definedName name="prd" localSheetId="10" hidden="1">{"Netbacks",#N/A,FALSE,"Netbacks"}</definedName>
    <definedName name="prd" hidden="1">{"Netbacks",#N/A,FALSE,"Netbacks"}</definedName>
    <definedName name="prd." localSheetId="9" hidden="1">{"IS Years",#N/A,FALSE,"Income Statement";"IS Q96",#N/A,FALSE,"Income Statement";"IS Q97",#N/A,FALSE,"Income Statement";"Corporate",#N/A,FALSE,"Corporate Profile";"Netbacks",#N/A,FALSE,"Netbacks"}</definedName>
    <definedName name="prd." localSheetId="10" hidden="1">{"IS Years",#N/A,FALSE,"Income Statement";"IS Q96",#N/A,FALSE,"Income Statement";"IS Q97",#N/A,FALSE,"Income Statement";"Corporate",#N/A,FALSE,"Corporate Profile";"Netbacks",#N/A,FALSE,"Netbacks"}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odForm" hidden="1">#REF!</definedName>
    <definedName name="q" localSheetId="9" hidden="1">{"CSheet",#N/A,FALSE,"C";"SmCap",#N/A,FALSE,"VAL1";"GulfCoast",#N/A,FALSE,"VAL1";"nav",#N/A,FALSE,"NAV";"Summary",#N/A,FALSE,"NAV"}</definedName>
    <definedName name="q" localSheetId="10" hidden="1">{"CSheet",#N/A,FALSE,"C";"SmCap",#N/A,FALSE,"VAL1";"GulfCoast",#N/A,FALSE,"VAL1";"nav",#N/A,FALSE,"NAV";"Summary",#N/A,FALSE,"NAV"}</definedName>
    <definedName name="q" hidden="1">{"CSheet",#N/A,FALSE,"C";"SmCap",#N/A,FALSE,"VAL1";"GulfCoast",#N/A,FALSE,"VAL1";"nav",#N/A,FALSE,"NAV";"Summary",#N/A,FALSE,"NAV"}</definedName>
    <definedName name="qiyf" localSheetId="9" hidden="1">{0}</definedName>
    <definedName name="qiyf" localSheetId="10" hidden="1">{0}</definedName>
    <definedName name="qiyf" hidden="1">{0}</definedName>
    <definedName name="qqq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qq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q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qqqq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qqqq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qqq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CArea" hidden="1">#REF!</definedName>
    <definedName name="rfwerwe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fwerwe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fwerw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strswr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strswr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strs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trr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trr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t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54er5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54er5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54er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brtrtr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brtrtr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brtrt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as" localSheetId="9" hidden="1">{"Total",#N/A,FALSE,"Six Fields";"PDP",#N/A,FALSE,"Six Fields";"PNP",#N/A,FALSE,"Six Fields";"PUD",#N/A,FALSE,"Six Fields";"Prob",#N/A,FALSE,"Six Fields"}</definedName>
    <definedName name="sdas" localSheetId="10" hidden="1">{"Total",#N/A,FALSE,"Six Fields";"PDP",#N/A,FALSE,"Six Fields";"PNP",#N/A,FALSE,"Six Fields";"PUD",#N/A,FALSE,"Six Fields";"Prob",#N/A,FALSE,"Six Fields"}</definedName>
    <definedName name="sdas" hidden="1">{"Total",#N/A,FALSE,"Six Fields";"PDP",#N/A,FALSE,"Six Fields";"PNP",#N/A,FALSE,"Six Fields";"PUD",#N/A,FALSE,"Six Fields";"Prob",#N/A,FALSE,"Six Fields"}</definedName>
    <definedName name="sdgfdh" localSheetId="9" hidden="1">{"'Sheet1'!$L$16"}</definedName>
    <definedName name="sdgfdh" localSheetId="10" hidden="1">{"'Sheet1'!$L$16"}</definedName>
    <definedName name="sdgfdh" hidden="1">{"'Sheet1'!$L$16"}</definedName>
    <definedName name="sdhrt" localSheetId="9" hidden="1">{"'Sheet1'!$L$16"}</definedName>
    <definedName name="sdhrt" localSheetId="10" hidden="1">{"'Sheet1'!$L$16"}</definedName>
    <definedName name="sdhrt" hidden="1">{"'Sheet1'!$L$16"}</definedName>
    <definedName name="sencount" hidden="1">2</definedName>
    <definedName name="seyrt" localSheetId="9" hidden="1">{"'Sheet1'!$L$16"}</definedName>
    <definedName name="seyrt" localSheetId="10" hidden="1">{"'Sheet1'!$L$16"}</definedName>
    <definedName name="seyrt" hidden="1">{"'Sheet1'!$L$16"}</definedName>
    <definedName name="sgfhg" localSheetId="9" hidden="1">{"'Sheet1'!$L$16"}</definedName>
    <definedName name="sgfhg" localSheetId="10" hidden="1">{"'Sheet1'!$L$16"}</definedName>
    <definedName name="sgfhg" hidden="1">{"'Sheet1'!$L$16"}</definedName>
    <definedName name="sgfhgf" localSheetId="9" hidden="1">{"Offgrid",#N/A,FALSE,"OFFGRID";"Region",#N/A,FALSE,"REGION";"Offgrid -2",#N/A,FALSE,"OFFGRID";"WTP",#N/A,FALSE,"WTP";"WTP -2",#N/A,FALSE,"WTP";"Project",#N/A,FALSE,"PROJECT";"Summary -2",#N/A,FALSE,"SUMMARY"}</definedName>
    <definedName name="sgfhgf" localSheetId="10" hidden="1">{"Offgrid",#N/A,FALSE,"OFFGRID";"Region",#N/A,FALSE,"REGION";"Offgrid -2",#N/A,FALSE,"OFFGRID";"WTP",#N/A,FALSE,"WTP";"WTP -2",#N/A,FALSE,"WTP";"Project",#N/A,FALSE,"PROJECT";"Summary -2",#N/A,FALSE,"SUMMARY"}</definedName>
    <definedName name="sgfhgf" hidden="1">{"Offgrid",#N/A,FALSE,"OFFGRID";"Region",#N/A,FALSE,"REGION";"Offgrid -2",#N/A,FALSE,"OFFGRID";"WTP",#N/A,FALSE,"WTP";"WTP -2",#N/A,FALSE,"WTP";"Project",#N/A,FALSE,"PROJECT";"Summary -2",#N/A,FALSE,"SUMMARY"}</definedName>
    <definedName name="sghfhf" localSheetId="9" hidden="1">{"Offgrid",#N/A,FALSE,"OFFGRID";"Region",#N/A,FALSE,"REGION";"Offgrid -2",#N/A,FALSE,"OFFGRID";"WTP",#N/A,FALSE,"WTP";"WTP -2",#N/A,FALSE,"WTP";"Project",#N/A,FALSE,"PROJECT";"Summary -2",#N/A,FALSE,"SUMMARY"}</definedName>
    <definedName name="sghfhf" localSheetId="10" hidden="1">{"Offgrid",#N/A,FALSE,"OFFGRID";"Region",#N/A,FALSE,"REGION";"Offgrid -2",#N/A,FALSE,"OFFGRID";"WTP",#N/A,FALSE,"WTP";"WTP -2",#N/A,FALSE,"WTP";"Project",#N/A,FALSE,"PROJECT";"Summary -2",#N/A,FALSE,"SUMMARY"}</definedName>
    <definedName name="sghfhf" hidden="1">{"Offgrid",#N/A,FALSE,"OFFGRID";"Region",#N/A,FALSE,"REGION";"Offgrid -2",#N/A,FALSE,"OFFGRID";"WTP",#N/A,FALSE,"WTP";"WTP -2",#N/A,FALSE,"WTP";"Project",#N/A,FALSE,"PROJECT";"Summary -2",#N/A,FALSE,"SUMMARY"}</definedName>
    <definedName name="shfg" localSheetId="9" hidden="1">{#N/A,#N/A,FALSE,"Chi tiÆt"}</definedName>
    <definedName name="shfg" localSheetId="10" hidden="1">{#N/A,#N/A,FALSE,"Chi tiÆt"}</definedName>
    <definedName name="shfg" hidden="1">{#N/A,#N/A,FALSE,"Chi tiÆt"}</definedName>
    <definedName name="shfgb" localSheetId="9" hidden="1">{"'Sheet1'!$L$16"}</definedName>
    <definedName name="shfgb" localSheetId="10" hidden="1">{"'Sheet1'!$L$16"}</definedName>
    <definedName name="shfgb" hidden="1">{"'Sheet1'!$L$16"}</definedName>
    <definedName name="shfgf" localSheetId="9" hidden="1">{"'Sheet1'!$L$16"}</definedName>
    <definedName name="shfgf" localSheetId="10" hidden="1">{"'Sheet1'!$L$16"}</definedName>
    <definedName name="shfgf" hidden="1">{"'Sheet1'!$L$16"}</definedName>
    <definedName name="shfghgf" localSheetId="9" hidden="1">{#N/A,#N/A,FALSE,"Sheet1";#N/A,#N/A,FALSE,"Compliance";#N/A,#N/A,FALSE,"Liquidity Summary - Local";#N/A,#N/A,FALSE,"Liquidity Summary - Foreign";#N/A,#N/A,FALSE,"Interest Rate Risk - Local";#N/A,#N/A,FALSE,"Interest Rate Risk - Foreign";#N/A,#N/A,FALSE,"Sources &amp; Uses - Local";#N/A,#N/A,FALSE,"Sources &amp; Uses - Foreign";#N/A,#N/A,FALSE,"Forecast-USD";#N/A,#N/A,FALSE,"Forecast-VND"}</definedName>
    <definedName name="shfghgf" localSheetId="10" hidden="1">{#N/A,#N/A,FALSE,"Sheet1";#N/A,#N/A,FALSE,"Compliance";#N/A,#N/A,FALSE,"Liquidity Summary - Local";#N/A,#N/A,FALSE,"Liquidity Summary - Foreign";#N/A,#N/A,FALSE,"Interest Rate Risk - Local";#N/A,#N/A,FALSE,"Interest Rate Risk - Foreign";#N/A,#N/A,FALSE,"Sources &amp; Uses - Local";#N/A,#N/A,FALSE,"Sources &amp; Uses - Foreign";#N/A,#N/A,FALSE,"Forecast-USD";#N/A,#N/A,FALSE,"Forecast-VND"}</definedName>
    <definedName name="shfghgf" hidden="1">{#N/A,#N/A,FALSE,"Sheet1";#N/A,#N/A,FALSE,"Compliance";#N/A,#N/A,FALSE,"Liquidity Summary - Local";#N/A,#N/A,FALSE,"Liquidity Summary - Foreign";#N/A,#N/A,FALSE,"Interest Rate Risk - Local";#N/A,#N/A,FALSE,"Interest Rate Risk - Foreign";#N/A,#N/A,FALSE,"Sources &amp; Uses - Local";#N/A,#N/A,FALSE,"Sources &amp; Uses - Foreign";#N/A,#N/A,FALSE,"Forecast-USD";#N/A,#N/A,FALSE,"Forecast-VND"}</definedName>
    <definedName name="shyt" localSheetId="9" hidden="1">{"'Sheet1'!$L$16"}</definedName>
    <definedName name="shyt" localSheetId="10" hidden="1">{"'Sheet1'!$L$16"}</definedName>
    <definedName name="shyt" hidden="1">{"'Sheet1'!$L$16"}</definedName>
    <definedName name="SpecialPrice" hidden="1">#REF!</definedName>
    <definedName name="srte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rte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rt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ss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ss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s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ssss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ssss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sss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sssss" localSheetId="9" hidden="1">{#N/A,#N/A,FALSE,"Gesamt";#N/A,#N/A,FALSE,"Ree KG";#N/A,#N/A,FALSE,"Ree Inter";#N/A,#N/A,FALSE,"BTM";#N/A,#N/A,FALSE,"GmbH";#N/A,#N/A,FALSE,"Sonstige"}</definedName>
    <definedName name="ssssss" localSheetId="10" hidden="1">{#N/A,#N/A,FALSE,"Gesamt";#N/A,#N/A,FALSE,"Ree KG";#N/A,#N/A,FALSE,"Ree Inter";#N/A,#N/A,FALSE,"BTM";#N/A,#N/A,FALSE,"GmbH";#N/A,#N/A,FALSE,"Sonstige"}</definedName>
    <definedName name="ssssss" hidden="1">{#N/A,#N/A,FALSE,"Gesamt";#N/A,#N/A,FALSE,"Ree KG";#N/A,#N/A,FALSE,"Ree Inter";#N/A,#N/A,FALSE,"BTM";#N/A,#N/A,FALSE,"GmbH";#N/A,#N/A,FALSE,"Sonstige"}</definedName>
    <definedName name="sua" localSheetId="9" hidden="1">{"'Sheet1'!$L$16"}</definedName>
    <definedName name="sua" localSheetId="10" hidden="1">{"'Sheet1'!$L$16"}</definedName>
    <definedName name="sua" hidden="1">{"'Sheet1'!$L$16"}</definedName>
    <definedName name="SWITCH_EXPENSES">1</definedName>
    <definedName name="SWITCH_LIABILITIES">1</definedName>
    <definedName name="sy" hidden="1">#REF!</definedName>
    <definedName name="sygg" localSheetId="9" hidden="1">{"'Sheet1'!$L$16"}</definedName>
    <definedName name="sygg" localSheetId="10" hidden="1">{"'Sheet1'!$L$16"}</definedName>
    <definedName name="sygg" hidden="1">{"'Sheet1'!$L$16"}</definedName>
    <definedName name="tbl_ProdInfo" hidden="1">#REF!</definedName>
    <definedName name="TextRefCopyRangeCount" hidden="1">29</definedName>
    <definedName name="tha" localSheetId="9" hidden="1">{"'Sheet1'!$L$16"}</definedName>
    <definedName name="tha" localSheetId="10" hidden="1">{"'Sheet1'!$L$16"}</definedName>
    <definedName name="tha" hidden="1">{"'Sheet1'!$L$16"}</definedName>
    <definedName name="tstr4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str4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str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tt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tt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t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" localSheetId="9" hidden="1">{"CSheet",#N/A,FALSE,"C";"SmCap",#N/A,FALSE,"VAL1";"GulfCoast",#N/A,FALSE,"VAL1";"nav",#N/A,FALSE,"NAV";"Summary",#N/A,FALSE,"NAV"}</definedName>
    <definedName name="u" localSheetId="10" hidden="1">{"CSheet",#N/A,FALSE,"C";"SmCap",#N/A,FALSE,"VAL1";"GulfCoast",#N/A,FALSE,"VAL1";"nav",#N/A,FALSE,"NAV";"Summary",#N/A,FALSE,"NAV"}</definedName>
    <definedName name="u" hidden="1">{"CSheet",#N/A,FALSE,"C";"SmCap",#N/A,FALSE,"VAL1";"GulfCoast",#N/A,FALSE,"VAL1";"nav",#N/A,FALSE,"NAV";"Summary",#N/A,FALSE,"NAV"}</definedName>
    <definedName name="ư2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ư2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ư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et5w3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et5w3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et5w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etew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etew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et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rtr4es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rtr4es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rtr4e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uu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uu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uu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uuuu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uuuu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uuuu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yggg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yggg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ygg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valuevx">42.314159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  <definedName name="vvv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vvv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vvv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vvvvv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vvvvv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vvvvv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vzv" localSheetId="9" hidden="1">{#N/A,#N/A,FALSE,"Gesamt";#N/A,#N/A,FALSE,"Ree KG";#N/A,#N/A,FALSE,"Ree Inter";#N/A,#N/A,FALSE,"BTM";#N/A,#N/A,FALSE,"GmbH";#N/A,#N/A,FALSE,"Sonstige"}</definedName>
    <definedName name="vzv" localSheetId="10" hidden="1">{#N/A,#N/A,FALSE,"Gesamt";#N/A,#N/A,FALSE,"Ree KG";#N/A,#N/A,FALSE,"Ree Inter";#N/A,#N/A,FALSE,"BTM";#N/A,#N/A,FALSE,"GmbH";#N/A,#N/A,FALSE,"Sonstige"}</definedName>
    <definedName name="vzv" hidden="1">{#N/A,#N/A,FALSE,"Gesamt";#N/A,#N/A,FALSE,"Ree KG";#N/A,#N/A,FALSE,"Ree Inter";#N/A,#N/A,FALSE,"BTM";#N/A,#N/A,FALSE,"GmbH";#N/A,#N/A,FALSE,"Sonstige"}</definedName>
    <definedName name="w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A." localSheetId="9" hidden="1">{#N/A,#N/A,FALSE,"Sheet1";#N/A,#N/A,FALSE,"Compliance";#N/A,#N/A,FALSE,"Liquidity Summary - Local";#N/A,#N/A,FALSE,"Liquidity Summary - Foreign";#N/A,#N/A,FALSE,"Interest Rate Risk - Local";#N/A,#N/A,FALSE,"Interest Rate Risk - Foreign";#N/A,#N/A,FALSE,"Sources &amp; Uses - Local";#N/A,#N/A,FALSE,"Sources &amp; Uses - Foreign";#N/A,#N/A,FALSE,"Forecast-USD";#N/A,#N/A,FALSE,"Forecast-VND"}</definedName>
    <definedName name="wrn.A." localSheetId="10" hidden="1">{#N/A,#N/A,FALSE,"Sheet1";#N/A,#N/A,FALSE,"Compliance";#N/A,#N/A,FALSE,"Liquidity Summary - Local";#N/A,#N/A,FALSE,"Liquidity Summary - Foreign";#N/A,#N/A,FALSE,"Interest Rate Risk - Local";#N/A,#N/A,FALSE,"Interest Rate Risk - Foreign";#N/A,#N/A,FALSE,"Sources &amp; Uses - Local";#N/A,#N/A,FALSE,"Sources &amp; Uses - Foreign";#N/A,#N/A,FALSE,"Forecast-USD";#N/A,#N/A,FALSE,"Forecast-VND"}</definedName>
    <definedName name="wrn.A." hidden="1">{#N/A,#N/A,FALSE,"Sheet1";#N/A,#N/A,FALSE,"Compliance";#N/A,#N/A,FALSE,"Liquidity Summary - Local";#N/A,#N/A,FALSE,"Liquidity Summary - Foreign";#N/A,#N/A,FALSE,"Interest Rate Risk - Local";#N/A,#N/A,FALSE,"Interest Rate Risk - Foreign";#N/A,#N/A,FALSE,"Sources &amp; Uses - Local";#N/A,#N/A,FALSE,"Sources &amp; Uses - Foreign";#N/A,#N/A,FALSE,"Forecast-USD";#N/A,#N/A,FALSE,"Forecast-VND"}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localSheetId="1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chi._.tiÆt." localSheetId="9" hidden="1">{#N/A,#N/A,FALSE,"Chi tiÆt"}</definedName>
    <definedName name="wrn.chi._.tiÆt." localSheetId="10" hidden="1">{#N/A,#N/A,FALSE,"Chi tiÆt"}</definedName>
    <definedName name="wrn.chi._.tiÆt." hidden="1">{#N/A,#N/A,FALSE,"Chi tiÆt"}</definedName>
    <definedName name="wrn.Corporate." localSheetId="9" hidden="1">{"Corporate",#N/A,FALSE,"Corporate Profile"}</definedName>
    <definedName name="wrn.Corporate." localSheetId="10" hidden="1">{"Corporate",#N/A,FALSE,"Corporate Profile"}</definedName>
    <definedName name="wrn.Corporate." hidden="1">{"Corporate",#N/A,FALSE,"Corporate Profile"}</definedName>
    <definedName name="wrn.cotop." localSheetId="9" hidden="1">{"ReportTop",#N/A,FALSE,"report top"}</definedName>
    <definedName name="wrn.cotop." localSheetId="10" hidden="1">{"ReportTop",#N/A,FALSE,"report top"}</definedName>
    <definedName name="wrn.cotop." hidden="1">{"ReportTop",#N/A,FALSE,"report top"}</definedName>
    <definedName name="wrn.cotop2." localSheetId="9" hidden="1">{"ReportTop",#N/A,FALSE,"report top"}</definedName>
    <definedName name="wrn.cotop2." localSheetId="10" hidden="1">{"ReportTop",#N/A,FALSE,"report top"}</definedName>
    <definedName name="wrn.cotop2." hidden="1">{"ReportTop",#N/A,FALSE,"report top"}</definedName>
    <definedName name="wrn.FCB." localSheetId="9" hidden="1">{"FCB_ALL",#N/A,FALSE,"FCB"}</definedName>
    <definedName name="wrn.FCB." localSheetId="10" hidden="1">{"FCB_ALL",#N/A,FALSE,"FCB"}</definedName>
    <definedName name="wrn.FCB." hidden="1">{"FCB_ALL",#N/A,FALSE,"FCB"}</definedName>
    <definedName name="wrn.fcb2" localSheetId="9" hidden="1">{"FCB_ALL",#N/A,FALSE,"FCB"}</definedName>
    <definedName name="wrn.fcb2" localSheetId="10" hidden="1">{"FCB_ALL",#N/A,FALSE,"FCB"}</definedName>
    <definedName name="wrn.fcb2" hidden="1">{"FCB_ALL",#N/A,FALSE,"FCB"}</definedName>
    <definedName name="wrn.graph." localSheetId="9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." localSheetId="10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IGRONICbasicdata." localSheetId="9" hidden="1">{"IGRONIC2",#N/A,FALSE,"IG fixed RONIC";"IGRONIC1",#N/A,FALSE,"IG fixed RONIC"}</definedName>
    <definedName name="wrn.IGRONICbasicdata." localSheetId="10" hidden="1">{"IGRONIC2",#N/A,FALSE,"IG fixed RONIC";"IGRONIC1",#N/A,FALSE,"IG fixed RONIC"}</definedName>
    <definedName name="wrn.IGRONICbasicdata." hidden="1">{"IGRONIC2",#N/A,FALSE,"IG fixed RONIC";"IGRONIC1",#N/A,FALSE,"IG fixed RONIC"}</definedName>
    <definedName name="wrn.IGRONICbasicdata2" localSheetId="9" hidden="1">{"IGRONIC2",#N/A,FALSE,"IG fixed RONIC";"IGRONIC1",#N/A,FALSE,"IG fixed RONIC"}</definedName>
    <definedName name="wrn.IGRONICbasicdata2" localSheetId="10" hidden="1">{"IGRONIC2",#N/A,FALSE,"IG fixed RONIC";"IGRONIC1",#N/A,FALSE,"IG fixed RONIC"}</definedName>
    <definedName name="wrn.IGRONICbasicdata2" hidden="1">{"IGRONIC2",#N/A,FALSE,"IG fixed RONIC";"IGRONIC1",#N/A,FALSE,"IG fixed RONIC"}</definedName>
    <definedName name="wrn.IS._.Q96." localSheetId="9" hidden="1">{"IS Q96",#N/A,FALSE,"Income Statement"}</definedName>
    <definedName name="wrn.IS._.Q96." localSheetId="10" hidden="1">{"IS Q96",#N/A,FALSE,"Income Statement"}</definedName>
    <definedName name="wrn.IS._.Q96." hidden="1">{"IS Q96",#N/A,FALSE,"Income Statement"}</definedName>
    <definedName name="wrn.IS._.Q97." localSheetId="9" hidden="1">{"IS Q97",#N/A,FALSE,"Income Statement"}</definedName>
    <definedName name="wrn.IS._.Q97." localSheetId="10" hidden="1">{"IS Q97",#N/A,FALSE,"Income Statement"}</definedName>
    <definedName name="wrn.IS._.Q97." hidden="1">{"IS Q97",#N/A,FALSE,"Income Statement"}</definedName>
    <definedName name="wrn.IS._.Years." localSheetId="9" hidden="1">{"IS Years",#N/A,FALSE,"Income Statement"}</definedName>
    <definedName name="wrn.IS._.Years." localSheetId="10" hidden="1">{"IS Years",#N/A,FALSE,"Income Statement"}</definedName>
    <definedName name="wrn.IS._.Years." hidden="1">{"IS Years",#N/A,FALSE,"Income Statement"}</definedName>
    <definedName name="wrn.JODM._.Graphs." localSheetId="9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localSheetId="1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Main._.Fields." localSheetId="9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 localSheetId="1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Netbacks." localSheetId="9" hidden="1">{"Netbacks",#N/A,FALSE,"Netbacks"}</definedName>
    <definedName name="wrn.Netbacks." localSheetId="10" hidden="1">{"Netbacks",#N/A,FALSE,"Netbacks"}</definedName>
    <definedName name="wrn.Netbacks." hidden="1">{"Netbacks",#N/A,FALSE,"Netbacks"}</definedName>
    <definedName name="wrn.PLX." localSheetId="9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localSheetId="1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int_Buyer." localSheetId="9" hidden="1">{#N/A,"DR",FALSE,"increm pf";#N/A,"MAMSI",FALSE,"increm pf";#N/A,"MAXI",FALSE,"increm pf";#N/A,"PCAM",FALSE,"increm pf";#N/A,"PHSV",FALSE,"increm pf";#N/A,"SIE",FALSE,"increm pf"}</definedName>
    <definedName name="wrn.Print_Buyer." localSheetId="1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localSheetId="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_.All." localSheetId="9" hidden="1">{"IS Years",#N/A,FALSE,"Income Statement";"IS Q96",#N/A,FALSE,"Income Statement";"IS Q97",#N/A,FALSE,"Income Statement";"Corporate",#N/A,FALSE,"Corporate Profile";"Netbacks",#N/A,FALSE,"Netbacks"}</definedName>
    <definedName name="wrn.Print._.All." localSheetId="10" hidden="1">{"IS Years",#N/A,FALSE,"Income Statement";"IS Q96",#N/A,FALSE,"Income Statement";"IS Q97",#N/A,FALSE,"Income Statement";"Corporate",#N/A,FALSE,"Corporate Profile";"Netbacks",#N/A,FALSE,"Netbacks"}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graphs." localSheetId="9" hidden="1">{"cap_structure",#N/A,FALSE,"Graph-Mkt Cap";"price",#N/A,FALSE,"Graph-Price";"ebit",#N/A,FALSE,"Graph-EBITDA";"ebitda",#N/A,FALSE,"Graph-EBITDA"}</definedName>
    <definedName name="wrn.print._.graphs." localSheetId="1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9" hidden="1">{"inputs raw data",#N/A,TRUE,"INPUT"}</definedName>
    <definedName name="wrn.print._.raw._.data._.entry." localSheetId="10" hidden="1">{"inputs raw data",#N/A,TRUE,"INPUT"}</definedName>
    <definedName name="wrn.print._.raw._.data._.entry." hidden="1">{"inputs raw data",#N/A,TRUE,"INPUT"}</definedName>
    <definedName name="wrn.print._.summary._.sheets." localSheetId="9" hidden="1">{"summary1",#N/A,TRUE,"Comps";"summary2",#N/A,TRUE,"Comps";"summary3",#N/A,TRUE,"Comps"}</definedName>
    <definedName name="wrn.print._.summary._.sheets." localSheetId="1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Report." localSheetId="9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oll._.Up._.Fields." localSheetId="9" hidden="1">{"Total",#N/A,FALSE,"Six Fields";"PDP",#N/A,FALSE,"Six Fields";"PNP",#N/A,FALSE,"Six Fields";"PUD",#N/A,FALSE,"Six Fields";"Prob",#N/A,FALSE,"Six Fields"}</definedName>
    <definedName name="wrn.Roll._.Up._.Fields." localSheetId="10" hidden="1">{"Total",#N/A,FALSE,"Six Fields";"PDP",#N/A,FALSE,"Six Fields";"PNP",#N/A,FALSE,"Six Fields";"PUD",#N/A,FALSE,"Six Fields";"Prob",#N/A,FALSE,"Six Fields"}</definedName>
    <definedName name="wrn.Roll._.Up._.Fields." hidden="1">{"Total",#N/A,FALSE,"Six Fields";"PDP",#N/A,FALSE,"Six Fields";"PNP",#N/A,FALSE,"Six Fields";"PUD",#N/A,FALSE,"Six Fields";"Prob",#N/A,FALSE,"Six Fields"}</definedName>
    <definedName name="wrn.STAND_ALONE_BOTH." localSheetId="9" hidden="1">{"FCB_ALL",#N/A,FALSE,"FCB";"GREY_ALL",#N/A,FALSE,"GREY"}</definedName>
    <definedName name="wrn.STAND_ALONE_BOTH." localSheetId="10" hidden="1">{"FCB_ALL",#N/A,FALSE,"FCB";"GREY_ALL",#N/A,FALSE,"GREY"}</definedName>
    <definedName name="wrn.STAND_ALONE_BOTH." hidden="1">{"FCB_ALL",#N/A,FALSE,"FCB";"GREY_ALL",#N/A,FALSE,"GREY"}</definedName>
    <definedName name="wrn.Summary." localSheetId="9" hidden="1">{"Sum1",#N/A,FALSE,"Reserve Report";"Sum2",#N/A,FALSE,"Reserve Report";"Sum3",#N/A,FALSE,"Reserve Report";"Sum4",#N/A,FALSE,"Reserve Report"}</definedName>
    <definedName name="wrn.Summary." localSheetId="10" hidden="1">{"Sum1",#N/A,FALSE,"Reserve Report";"Sum2",#N/A,FALSE,"Reserve Report";"Sum3",#N/A,FALSE,"Reserve Report";"Sum4",#N/A,FALSE,"Reserve Report"}</definedName>
    <definedName name="wrn.Summary." hidden="1">{"Sum1",#N/A,FALSE,"Reserve Report";"Sum2",#N/A,FALSE,"Reserve Report";"Sum3",#N/A,FALSE,"Reserve Report";"Sum4",#N/A,FALSE,"Reserve Report"}</definedName>
    <definedName name="wrn.TheWholeEnchilada." localSheetId="9" hidden="1">{"CSheet",#N/A,FALSE,"C";"SmCap",#N/A,FALSE,"VAL1";"GulfCoast",#N/A,FALSE,"VAL1";"nav",#N/A,FALSE,"NAV";"Summary",#N/A,FALSE,"NAV"}</definedName>
    <definedName name="wrn.TheWholeEnchilada." localSheetId="10" hidden="1">{"CSheet",#N/A,FALSE,"C";"SmCap",#N/A,FALSE,"VAL1";"GulfCoast",#N/A,FALSE,"VAL1";"nav",#N/A,FALSE,"NAV";"Summary",#N/A,FALSE,"NAV"}</definedName>
    <definedName name="wrn.TheWholeEnchilada." hidden="1">{"CSheet",#N/A,FALSE,"C";"SmCap",#N/A,FALSE,"VAL1";"GulfCoast",#N/A,FALSE,"VAL1";"nav",#N/A,FALSE,"NAV";"Summary",#N/A,FALSE,"NAV"}</definedName>
    <definedName name="wrn.Total.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.Proved." localSheetId="9" hidden="1">{"Total",#N/A,FALSE,"Total Proved";"PDP",#N/A,FALSE,"Total Proved";"PNP",#N/A,FALSE,"Total Proved";"PUD",#N/A,FALSE,"Total Proved"}</definedName>
    <definedName name="wrn.Total._.Proved." localSheetId="10" hidden="1">{"Total",#N/A,FALSE,"Total Proved";"PDP",#N/A,FALSE,"Total Proved";"PNP",#N/A,FALSE,"Total Proved";"PUD",#N/A,FALSE,"Total Proved"}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localSheetId="9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 localSheetId="10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1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1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Working._.Capital." localSheetId="9" hidden="1">{#N/A,#N/A,FALSE,"Gesamt";#N/A,#N/A,FALSE,"Ree KG";#N/A,#N/A,FALSE,"Ree Inter";#N/A,#N/A,FALSE,"BTM";#N/A,#N/A,FALSE,"GmbH";#N/A,#N/A,FALSE,"Sonstige"}</definedName>
    <definedName name="wrn.Working._.Capital." localSheetId="10" hidden="1">{#N/A,#N/A,FALSE,"Gesamt";#N/A,#N/A,FALSE,"Ree KG";#N/A,#N/A,FALSE,"Ree Inter";#N/A,#N/A,FALSE,"BTM";#N/A,#N/A,FALSE,"GmbH";#N/A,#N/A,FALSE,"Sonstige"}</definedName>
    <definedName name="wrn.Working._.Capital." hidden="1">{#N/A,#N/A,FALSE,"Gesamt";#N/A,#N/A,FALSE,"Ree KG";#N/A,#N/A,FALSE,"Ree Inter";#N/A,#N/A,FALSE,"BTM";#N/A,#N/A,FALSE,"GmbH";#N/A,#N/A,FALSE,"Sonstige"}</definedName>
    <definedName name="wrnf.report" localSheetId="9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vu.inputs._.raw._.data.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ww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ww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w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svrder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svrder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svrde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sx" localSheetId="9" hidden="1">{"'Sheet1'!$L$16"}</definedName>
    <definedName name="xsx" localSheetId="10" hidden="1">{"'Sheet1'!$L$16"}</definedName>
    <definedName name="xsx" hidden="1">{"'Sheet1'!$L$16"}</definedName>
    <definedName name="xxxxx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xx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aafa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aafa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aaf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tysew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tysew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tys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uru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uru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uru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y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y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yy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yy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y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z" localSheetId="9" hidden="1">{"CSheet",#N/A,FALSE,"C";"SmCap",#N/A,FALSE,"VAL1";"GulfCoast",#N/A,FALSE,"VAL1";"nav",#N/A,FALSE,"NAV";"Summary",#N/A,FALSE,"NAV"}</definedName>
    <definedName name="z" localSheetId="10" hidden="1">{"CSheet",#N/A,FALSE,"C";"SmCap",#N/A,FALSE,"VAL1";"GulfCoast",#N/A,FALSE,"VAL1";"nav",#N/A,FALSE,"NAV";"Summary",#N/A,FALSE,"NAV"}</definedName>
    <definedName name="z" hidden="1">{"CSheet",#N/A,FALSE,"C";"SmCap",#N/A,FALSE,"VAL1";"GulfCoast",#N/A,FALSE,"VAL1";"nav",#N/A,FALSE,"NAV";"Summary",#N/A,FALSE,"NAV"}</definedName>
    <definedName name="zdfgxzdfg" localSheetId="9" hidden="1">{"ReportTop",#N/A,FALSE,"report top"}</definedName>
    <definedName name="zdfgxzdfg" localSheetId="10" hidden="1">{"ReportTop",#N/A,FALSE,"report top"}</definedName>
    <definedName name="zdfgxzdfg" hidden="1">{"ReportTop",#N/A,FALSE,"report top"}</definedName>
    <definedName name="zzzzzz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zzzzzz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zzzzzz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ввыфс" localSheetId="9" hidden="1">{#N/A,#N/A,FALSE,"Aging Summary";#N/A,#N/A,FALSE,"Ratio Analysis";#N/A,#N/A,FALSE,"Test 120 Day Accts";#N/A,#N/A,FALSE,"Tickmarks"}</definedName>
    <definedName name="ввыфс" localSheetId="10" hidden="1">{#N/A,#N/A,FALSE,"Aging Summary";#N/A,#N/A,FALSE,"Ratio Analysis";#N/A,#N/A,FALSE,"Test 120 Day Accts";#N/A,#N/A,FALSE,"Tickmarks"}</definedName>
    <definedName name="ввыфс" hidden="1">{#N/A,#N/A,FALSE,"Aging Summary";#N/A,#N/A,FALSE,"Ratio Analysis";#N/A,#N/A,FALSE,"Test 120 Day Accts";#N/A,#N/A,FALSE,"Tickmarks"}</definedName>
    <definedName name="выфс" localSheetId="9" hidden="1">{#N/A,#N/A,FALSE,"Aging Summary";#N/A,#N/A,FALSE,"Ratio Analysis";#N/A,#N/A,FALSE,"Test 120 Day Accts";#N/A,#N/A,FALSE,"Tickmarks"}</definedName>
    <definedName name="выфс" localSheetId="10" hidden="1">{#N/A,#N/A,FALSE,"Aging Summary";#N/A,#N/A,FALSE,"Ratio Analysis";#N/A,#N/A,FALSE,"Test 120 Day Accts";#N/A,#N/A,FALSE,"Tickmarks"}</definedName>
    <definedName name="выфс" hidden="1">{#N/A,#N/A,FALSE,"Aging Summary";#N/A,#N/A,FALSE,"Ratio Analysis";#N/A,#N/A,FALSE,"Test 120 Day Accts";#N/A,#N/A,FALSE,"Tickmarks"}</definedName>
    <definedName name="структура" localSheetId="9" hidden="1">{#N/A,#N/A,FALSE,"Aging Summary";#N/A,#N/A,FALSE,"Ratio Analysis";#N/A,#N/A,FALSE,"Test 120 Day Accts";#N/A,#N/A,FALSE,"Tickmarks"}</definedName>
    <definedName name="структура" localSheetId="10" hidden="1">{#N/A,#N/A,FALSE,"Aging Summary";#N/A,#N/A,FALSE,"Ratio Analysis";#N/A,#N/A,FALSE,"Test 120 Day Accts";#N/A,#N/A,FALSE,"Tickmarks"}</definedName>
    <definedName name="структура" hidden="1">{#N/A,#N/A,FALSE,"Aging Summary";#N/A,#N/A,FALSE,"Ratio Analysis";#N/A,#N/A,FALSE,"Test 120 Day Accts";#N/A,#N/A,FALSE,"Tickmarks"}</definedName>
    <definedName name="ФФ" localSheetId="9" hidden="1">{#N/A,#N/A,FALSE,"Aging Summary";#N/A,#N/A,FALSE,"Ratio Analysis";#N/A,#N/A,FALSE,"Test 120 Day Accts";#N/A,#N/A,FALSE,"Tickmarks"}</definedName>
    <definedName name="ФФ" localSheetId="10" hidden="1">{#N/A,#N/A,FALSE,"Aging Summary";#N/A,#N/A,FALSE,"Ratio Analysis";#N/A,#N/A,FALSE,"Test 120 Day Accts";#N/A,#N/A,FALSE,"Tickmarks"}</definedName>
    <definedName name="ФФ" hidden="1">{#N/A,#N/A,FALSE,"Aging Summary";#N/A,#N/A,FALSE,"Ratio Analysis";#N/A,#N/A,FALSE,"Test 120 Day Accts";#N/A,#N/A,FALSE,"Tickmarks"}</definedName>
    <definedName name="фыч" localSheetId="9" hidden="1">{#N/A,#N/A,FALSE,"Aging Summary";#N/A,#N/A,FALSE,"Ratio Analysis";#N/A,#N/A,FALSE,"Test 120 Day Accts";#N/A,#N/A,FALSE,"Tickmarks"}</definedName>
    <definedName name="фыч" localSheetId="10" hidden="1">{#N/A,#N/A,FALSE,"Aging Summary";#N/A,#N/A,FALSE,"Ratio Analysis";#N/A,#N/A,FALSE,"Test 120 Day Accts";#N/A,#N/A,FALSE,"Tickmarks"}</definedName>
    <definedName name="фыч" hidden="1">{#N/A,#N/A,FALSE,"Aging Summary";#N/A,#N/A,FALSE,"Ratio Analysis";#N/A,#N/A,FALSE,"Test 120 Day Accts";#N/A,#N/A,FALSE,"Tickmarks"}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" i="43" l="1"/>
  <c r="K29" i="43"/>
  <c r="K3" i="43"/>
  <c r="N3" i="43"/>
  <c r="N53" i="43"/>
  <c r="N29" i="43"/>
  <c r="F3" i="43"/>
  <c r="F25" i="43"/>
  <c r="F51" i="43"/>
  <c r="F29" i="43" s="1"/>
  <c r="F53" i="43"/>
  <c r="F74" i="43"/>
  <c r="F73" i="43"/>
  <c r="F72" i="43"/>
  <c r="F71" i="43"/>
  <c r="F50" i="43"/>
  <c r="F49" i="43"/>
  <c r="F48" i="43"/>
  <c r="F47" i="43"/>
  <c r="G368" i="22"/>
  <c r="G339" i="22"/>
  <c r="G324" i="22"/>
  <c r="G315" i="22"/>
  <c r="G286" i="22"/>
  <c r="G271" i="22"/>
  <c r="G262" i="22"/>
  <c r="G233" i="22"/>
  <c r="G218" i="22"/>
  <c r="G209" i="22"/>
  <c r="G180" i="22"/>
  <c r="F23" i="43" s="1"/>
  <c r="G103" i="22"/>
  <c r="G74" i="22"/>
  <c r="G59" i="22"/>
  <c r="G50" i="22"/>
  <c r="G26" i="22"/>
  <c r="G9" i="22"/>
  <c r="G165" i="22"/>
  <c r="B75" i="43"/>
  <c r="A75" i="43" s="1"/>
  <c r="B74" i="43"/>
  <c r="A74" i="43" s="1"/>
  <c r="B73" i="43"/>
  <c r="A73" i="43"/>
  <c r="B72" i="43"/>
  <c r="A72" i="43"/>
  <c r="B71" i="43"/>
  <c r="A71" i="43"/>
  <c r="B51" i="43"/>
  <c r="A51" i="43"/>
  <c r="B50" i="43"/>
  <c r="A50" i="43" s="1"/>
  <c r="B49" i="43"/>
  <c r="A49" i="43"/>
  <c r="B48" i="43"/>
  <c r="A48" i="43"/>
  <c r="B47" i="43"/>
  <c r="A47" i="43"/>
  <c r="B25" i="43"/>
  <c r="A25" i="43"/>
  <c r="B24" i="43"/>
  <c r="A24" i="43"/>
  <c r="B23" i="43"/>
  <c r="A23" i="43"/>
  <c r="B22" i="43"/>
  <c r="A22" i="43"/>
  <c r="B21" i="43"/>
  <c r="A21" i="43"/>
  <c r="F50" i="22"/>
  <c r="F26" i="22"/>
  <c r="F9" i="22"/>
  <c r="F368" i="22"/>
  <c r="F339" i="22"/>
  <c r="F324" i="22"/>
  <c r="F315" i="22"/>
  <c r="F286" i="22"/>
  <c r="F271" i="22"/>
  <c r="F262" i="22"/>
  <c r="F233" i="22"/>
  <c r="F218" i="22"/>
  <c r="F209" i="22"/>
  <c r="F180" i="22"/>
  <c r="F165" i="22"/>
  <c r="F103" i="22"/>
  <c r="F74" i="22"/>
  <c r="F59" i="22"/>
  <c r="B70" i="43"/>
  <c r="E70" i="43" s="1"/>
  <c r="B69" i="43"/>
  <c r="E69" i="43" s="1"/>
  <c r="B68" i="43"/>
  <c r="E68" i="43" s="1"/>
  <c r="B67" i="43"/>
  <c r="E67" i="43" s="1"/>
  <c r="B66" i="43"/>
  <c r="A66" i="43" s="1"/>
  <c r="B65" i="43"/>
  <c r="E65" i="43" s="1"/>
  <c r="B64" i="43"/>
  <c r="E64" i="43" s="1"/>
  <c r="B46" i="43"/>
  <c r="E46" i="43" s="1"/>
  <c r="B45" i="43"/>
  <c r="E45" i="43" s="1"/>
  <c r="B44" i="43"/>
  <c r="E44" i="43" s="1"/>
  <c r="B43" i="43"/>
  <c r="E43" i="43" s="1"/>
  <c r="B42" i="43"/>
  <c r="E42" i="43" s="1"/>
  <c r="B41" i="43"/>
  <c r="E41" i="43" s="1"/>
  <c r="B40" i="43"/>
  <c r="E40" i="43" s="1"/>
  <c r="A40" i="43"/>
  <c r="B20" i="43"/>
  <c r="E20" i="43" s="1"/>
  <c r="A20" i="43"/>
  <c r="B19" i="43"/>
  <c r="E19" i="43" s="1"/>
  <c r="A19" i="43"/>
  <c r="B18" i="43"/>
  <c r="E18" i="43" s="1"/>
  <c r="A18" i="43"/>
  <c r="B17" i="43"/>
  <c r="E17" i="43" s="1"/>
  <c r="A17" i="43"/>
  <c r="B16" i="43"/>
  <c r="E16" i="43" s="1"/>
  <c r="A16" i="43"/>
  <c r="B15" i="43"/>
  <c r="E15" i="43" s="1"/>
  <c r="A15" i="43"/>
  <c r="B14" i="43"/>
  <c r="E14" i="43" s="1"/>
  <c r="A14" i="43"/>
  <c r="G687" i="19"/>
  <c r="G675" i="19"/>
  <c r="G670" i="19"/>
  <c r="G598" i="19"/>
  <c r="G592" i="19"/>
  <c r="G571" i="19"/>
  <c r="G532" i="19"/>
  <c r="G454" i="19"/>
  <c r="G442" i="19"/>
  <c r="G325" i="19"/>
  <c r="G319" i="19"/>
  <c r="G298" i="19"/>
  <c r="G286" i="19"/>
  <c r="G259" i="19"/>
  <c r="G169" i="19"/>
  <c r="G163" i="19"/>
  <c r="G142" i="19"/>
  <c r="G130" i="19"/>
  <c r="G124" i="19"/>
  <c r="G103" i="19"/>
  <c r="G64" i="19"/>
  <c r="G52" i="19"/>
  <c r="F514" i="19"/>
  <c r="G514" i="19" s="1"/>
  <c r="F493" i="19"/>
  <c r="G493" i="19" s="1"/>
  <c r="F481" i="19"/>
  <c r="G481" i="19" s="1"/>
  <c r="F592" i="19"/>
  <c r="F571" i="19"/>
  <c r="F559" i="19"/>
  <c r="G559" i="19" s="1"/>
  <c r="F436" i="19"/>
  <c r="G436" i="19" s="1"/>
  <c r="F415" i="19"/>
  <c r="G415" i="19" s="1"/>
  <c r="F403" i="19"/>
  <c r="G403" i="19" s="1"/>
  <c r="F124" i="19"/>
  <c r="F103" i="19"/>
  <c r="F91" i="19"/>
  <c r="G91" i="19" s="1"/>
  <c r="F708" i="19"/>
  <c r="G708" i="19" s="1"/>
  <c r="F687" i="19"/>
  <c r="F675" i="19"/>
  <c r="F670" i="19"/>
  <c r="F649" i="19"/>
  <c r="G649" i="19" s="1"/>
  <c r="F637" i="19"/>
  <c r="G637" i="19" s="1"/>
  <c r="F631" i="19"/>
  <c r="G631" i="19" s="1"/>
  <c r="F610" i="19"/>
  <c r="G610" i="19" s="1"/>
  <c r="F598" i="19"/>
  <c r="F553" i="19"/>
  <c r="G553" i="19" s="1"/>
  <c r="F532" i="19"/>
  <c r="F520" i="19"/>
  <c r="G520" i="19" s="1"/>
  <c r="F475" i="19"/>
  <c r="G475" i="19" s="1"/>
  <c r="F454" i="19"/>
  <c r="F442" i="19"/>
  <c r="F397" i="19"/>
  <c r="G397" i="19" s="1"/>
  <c r="F376" i="19"/>
  <c r="G376" i="19" s="1"/>
  <c r="F364" i="19"/>
  <c r="G364" i="19" s="1"/>
  <c r="F358" i="19"/>
  <c r="G358" i="19" s="1"/>
  <c r="F337" i="19"/>
  <c r="G337" i="19" s="1"/>
  <c r="F325" i="19"/>
  <c r="F319" i="19"/>
  <c r="F298" i="19"/>
  <c r="F286" i="19"/>
  <c r="F280" i="19"/>
  <c r="G280" i="19" s="1"/>
  <c r="F259" i="19"/>
  <c r="F247" i="19"/>
  <c r="G247" i="19" s="1"/>
  <c r="F241" i="19"/>
  <c r="G241" i="19" s="1"/>
  <c r="F220" i="19"/>
  <c r="G220" i="19" s="1"/>
  <c r="F208" i="19"/>
  <c r="G208" i="19" s="1"/>
  <c r="F202" i="19"/>
  <c r="G202" i="19" s="1"/>
  <c r="F181" i="19"/>
  <c r="G181" i="19" s="1"/>
  <c r="F169" i="19"/>
  <c r="F163" i="19"/>
  <c r="F142" i="19"/>
  <c r="F130" i="19"/>
  <c r="F85" i="19"/>
  <c r="G85" i="19" s="1"/>
  <c r="F64" i="19"/>
  <c r="F52" i="19"/>
  <c r="B63" i="43"/>
  <c r="A63" i="43" s="1"/>
  <c r="B62" i="43"/>
  <c r="A62" i="43" s="1"/>
  <c r="B61" i="43"/>
  <c r="E61" i="43" s="1"/>
  <c r="B60" i="43"/>
  <c r="A60" i="43" s="1"/>
  <c r="B59" i="43"/>
  <c r="A59" i="43" s="1"/>
  <c r="B58" i="43"/>
  <c r="A58" i="43" s="1"/>
  <c r="B57" i="43"/>
  <c r="A57" i="43" s="1"/>
  <c r="B56" i="43"/>
  <c r="A56" i="43" s="1"/>
  <c r="B55" i="43"/>
  <c r="E55" i="43" s="1"/>
  <c r="B54" i="43"/>
  <c r="A54" i="43" s="1"/>
  <c r="B39" i="43"/>
  <c r="A39" i="43" s="1"/>
  <c r="B38" i="43"/>
  <c r="A38" i="43" s="1"/>
  <c r="B37" i="43"/>
  <c r="A37" i="43" s="1"/>
  <c r="B36" i="43"/>
  <c r="E36" i="43" s="1"/>
  <c r="B35" i="43"/>
  <c r="A35" i="43" s="1"/>
  <c r="B34" i="43"/>
  <c r="A34" i="43" s="1"/>
  <c r="B33" i="43"/>
  <c r="A33" i="43" s="1"/>
  <c r="B32" i="43"/>
  <c r="A32" i="43" s="1"/>
  <c r="B31" i="43"/>
  <c r="E31" i="43" s="1"/>
  <c r="B30" i="43"/>
  <c r="A30" i="43" s="1"/>
  <c r="B13" i="43"/>
  <c r="E13" i="43" s="1"/>
  <c r="A13" i="43"/>
  <c r="B12" i="43"/>
  <c r="E12" i="43" s="1"/>
  <c r="A12" i="43"/>
  <c r="B11" i="43"/>
  <c r="E11" i="43" s="1"/>
  <c r="A11" i="43"/>
  <c r="B10" i="43"/>
  <c r="E10" i="43" s="1"/>
  <c r="A10" i="43"/>
  <c r="B9" i="43"/>
  <c r="E9" i="43" s="1"/>
  <c r="A9" i="43"/>
  <c r="B8" i="43"/>
  <c r="E8" i="43" s="1"/>
  <c r="A8" i="43"/>
  <c r="B7" i="43"/>
  <c r="E7" i="43" s="1"/>
  <c r="A7" i="43"/>
  <c r="B6" i="43"/>
  <c r="E6" i="43" s="1"/>
  <c r="A6" i="43"/>
  <c r="B5" i="43"/>
  <c r="E5" i="43" s="1"/>
  <c r="A5" i="43"/>
  <c r="B4" i="43"/>
  <c r="E4" i="43" s="1"/>
  <c r="A4" i="43"/>
  <c r="H368" i="22"/>
  <c r="H339" i="22"/>
  <c r="H315" i="22"/>
  <c r="H286" i="22"/>
  <c r="H262" i="22"/>
  <c r="H233" i="22"/>
  <c r="H209" i="22"/>
  <c r="H180" i="22"/>
  <c r="H103" i="22"/>
  <c r="H74" i="22"/>
  <c r="H50" i="22"/>
  <c r="H26" i="22"/>
  <c r="H324" i="22"/>
  <c r="H271" i="22"/>
  <c r="H218" i="22"/>
  <c r="H165" i="22"/>
  <c r="H59" i="22"/>
  <c r="H9" i="22"/>
  <c r="AC675" i="19"/>
  <c r="AC637" i="19"/>
  <c r="AC598" i="19"/>
  <c r="AC559" i="19"/>
  <c r="AC520" i="19"/>
  <c r="AC481" i="19"/>
  <c r="AC442" i="19"/>
  <c r="AC403" i="19"/>
  <c r="AC364" i="19"/>
  <c r="AC325" i="19"/>
  <c r="AC286" i="19"/>
  <c r="AC247" i="19"/>
  <c r="AC208" i="19"/>
  <c r="AC169" i="19"/>
  <c r="AC130" i="19"/>
  <c r="AC91" i="19"/>
  <c r="H708" i="19"/>
  <c r="H687" i="19"/>
  <c r="H675" i="19"/>
  <c r="H670" i="19"/>
  <c r="H649" i="19"/>
  <c r="H637" i="19"/>
  <c r="H631" i="19"/>
  <c r="H610" i="19"/>
  <c r="H598" i="19"/>
  <c r="H592" i="19"/>
  <c r="H571" i="19"/>
  <c r="H559" i="19"/>
  <c r="H553" i="19"/>
  <c r="H532" i="19"/>
  <c r="H520" i="19"/>
  <c r="H514" i="19"/>
  <c r="H493" i="19"/>
  <c r="H481" i="19"/>
  <c r="H475" i="19"/>
  <c r="H454" i="19"/>
  <c r="H442" i="19"/>
  <c r="H436" i="19"/>
  <c r="H415" i="19"/>
  <c r="H403" i="19"/>
  <c r="H397" i="19"/>
  <c r="H376" i="19"/>
  <c r="H364" i="19"/>
  <c r="H358" i="19"/>
  <c r="H337" i="19"/>
  <c r="H325" i="19"/>
  <c r="H319" i="19"/>
  <c r="H298" i="19"/>
  <c r="H286" i="19"/>
  <c r="H280" i="19"/>
  <c r="H259" i="19"/>
  <c r="H247" i="19"/>
  <c r="H241" i="19"/>
  <c r="H220" i="19"/>
  <c r="H208" i="19"/>
  <c r="H202" i="19"/>
  <c r="H181" i="19"/>
  <c r="H169" i="19"/>
  <c r="H163" i="19"/>
  <c r="H142" i="19"/>
  <c r="H130" i="19"/>
  <c r="H124" i="19"/>
  <c r="H103" i="19"/>
  <c r="H91" i="19"/>
  <c r="H85" i="19"/>
  <c r="H64" i="19"/>
  <c r="H52" i="19"/>
  <c r="B35" i="42"/>
  <c r="B34" i="42"/>
  <c r="B33" i="42"/>
  <c r="A33" i="42" s="1"/>
  <c r="B32" i="42"/>
  <c r="B31" i="42"/>
  <c r="B30" i="42"/>
  <c r="B29" i="42"/>
  <c r="A29" i="42" s="1"/>
  <c r="B28" i="42"/>
  <c r="B27" i="42"/>
  <c r="A27" i="42" s="1"/>
  <c r="B26" i="42"/>
  <c r="A26" i="42" s="1"/>
  <c r="B24" i="42"/>
  <c r="A24" i="42" s="1"/>
  <c r="B23" i="42"/>
  <c r="A23" i="42" s="1"/>
  <c r="B22" i="42"/>
  <c r="B21" i="42"/>
  <c r="B20" i="42"/>
  <c r="A20" i="42" s="1"/>
  <c r="B19" i="42"/>
  <c r="B18" i="42"/>
  <c r="A18" i="42" s="1"/>
  <c r="B17" i="42"/>
  <c r="A17" i="42" s="1"/>
  <c r="B16" i="42"/>
  <c r="B15" i="42"/>
  <c r="A15" i="42" s="1"/>
  <c r="B13" i="42"/>
  <c r="A13" i="42"/>
  <c r="B12" i="42"/>
  <c r="A12" i="42"/>
  <c r="B11" i="42"/>
  <c r="A11" i="42"/>
  <c r="B10" i="42"/>
  <c r="A10" i="42"/>
  <c r="B9" i="42"/>
  <c r="A9" i="42"/>
  <c r="B8" i="42"/>
  <c r="A8" i="42"/>
  <c r="B7" i="42"/>
  <c r="A7" i="42"/>
  <c r="B6" i="42"/>
  <c r="A6" i="42"/>
  <c r="B5" i="42"/>
  <c r="A5" i="42"/>
  <c r="B4" i="42"/>
  <c r="A4" i="42"/>
  <c r="J3" i="42"/>
  <c r="AT62" i="25"/>
  <c r="AT78" i="25"/>
  <c r="AT52" i="25"/>
  <c r="AK269" i="14"/>
  <c r="AK268" i="14"/>
  <c r="AK267" i="14"/>
  <c r="AK266" i="14"/>
  <c r="AK265" i="14"/>
  <c r="AK264" i="14"/>
  <c r="AK263" i="14"/>
  <c r="AK262" i="14"/>
  <c r="AL260" i="14"/>
  <c r="AN260" i="14"/>
  <c r="AB208" i="19"/>
  <c r="V295" i="14"/>
  <c r="U314" i="14"/>
  <c r="AJ55" i="14"/>
  <c r="AJ56" i="14"/>
  <c r="AJ58" i="14"/>
  <c r="AJ59" i="14"/>
  <c r="AJ60" i="14"/>
  <c r="AJ57" i="14"/>
  <c r="AJ65" i="14"/>
  <c r="AJ61" i="14"/>
  <c r="AJ62" i="14"/>
  <c r="AJ63" i="14"/>
  <c r="AJ64" i="14"/>
  <c r="AM6" i="41"/>
  <c r="Z6" i="41"/>
  <c r="M6" i="41"/>
  <c r="P12" i="23"/>
  <c r="AB5" i="23"/>
  <c r="AB12" i="23"/>
  <c r="Q12" i="23"/>
  <c r="R12" i="23"/>
  <c r="S12" i="23"/>
  <c r="T12" i="23"/>
  <c r="U12" i="23"/>
  <c r="V12" i="23"/>
  <c r="W12" i="23"/>
  <c r="X12" i="23"/>
  <c r="Y12" i="23"/>
  <c r="Z12" i="23"/>
  <c r="AA12" i="23"/>
  <c r="AB4" i="23"/>
  <c r="AB12" i="28"/>
  <c r="AB10" i="28"/>
  <c r="N515" i="21"/>
  <c r="N575" i="21"/>
  <c r="O515" i="21"/>
  <c r="D20" i="41"/>
  <c r="P515" i="21"/>
  <c r="E20" i="41"/>
  <c r="Q515" i="21"/>
  <c r="F20" i="41"/>
  <c r="R515" i="21"/>
  <c r="G20" i="41"/>
  <c r="T515" i="21"/>
  <c r="I20" i="41"/>
  <c r="U515" i="21"/>
  <c r="J20" i="41"/>
  <c r="V515" i="21"/>
  <c r="K20" i="41"/>
  <c r="W515" i="21"/>
  <c r="L20" i="41"/>
  <c r="X515" i="21"/>
  <c r="X575" i="21"/>
  <c r="M515" i="21"/>
  <c r="B20" i="41"/>
  <c r="AB675" i="19"/>
  <c r="AB637" i="19"/>
  <c r="AB598" i="19"/>
  <c r="AB559" i="19"/>
  <c r="AB520" i="19"/>
  <c r="AH31" i="25"/>
  <c r="AH30" i="25"/>
  <c r="AH26" i="25"/>
  <c r="AH25" i="25"/>
  <c r="AM24" i="41"/>
  <c r="Q26" i="27"/>
  <c r="Q49" i="27"/>
  <c r="Q50" i="27"/>
  <c r="R86" i="27"/>
  <c r="R87" i="27"/>
  <c r="R85" i="27"/>
  <c r="AB468" i="19"/>
  <c r="G152" i="24"/>
  <c r="F152" i="24"/>
  <c r="E152" i="24"/>
  <c r="D152" i="24"/>
  <c r="C152" i="24"/>
  <c r="G150" i="24"/>
  <c r="F150" i="24"/>
  <c r="E150" i="24"/>
  <c r="D150" i="24"/>
  <c r="C150" i="24"/>
  <c r="G147" i="24"/>
  <c r="F147" i="24"/>
  <c r="L147" i="24" s="1"/>
  <c r="E147" i="24"/>
  <c r="K147" i="24" s="1"/>
  <c r="D147" i="24"/>
  <c r="J147" i="24" s="1"/>
  <c r="C147" i="24"/>
  <c r="I147" i="24" s="1"/>
  <c r="M443" i="19"/>
  <c r="D98" i="24"/>
  <c r="C215" i="14" s="1"/>
  <c r="D97" i="24"/>
  <c r="C214" i="14" s="1"/>
  <c r="D96" i="24"/>
  <c r="C213" i="14" s="1"/>
  <c r="D95" i="24"/>
  <c r="C212" i="14" s="1"/>
  <c r="D94" i="24"/>
  <c r="C211" i="14" s="1"/>
  <c r="D93" i="24"/>
  <c r="C210" i="14" s="1"/>
  <c r="D92" i="24"/>
  <c r="C208" i="14" s="1"/>
  <c r="D91" i="24"/>
  <c r="C209" i="14" s="1"/>
  <c r="D89" i="24"/>
  <c r="C206" i="14" s="1"/>
  <c r="D88" i="24"/>
  <c r="C205" i="14" s="1"/>
  <c r="D87" i="24"/>
  <c r="D86" i="24"/>
  <c r="D85" i="24"/>
  <c r="D83" i="24"/>
  <c r="D82" i="24"/>
  <c r="D81" i="24"/>
  <c r="D74" i="24"/>
  <c r="D73" i="24"/>
  <c r="C200" i="14" s="1"/>
  <c r="D72" i="24"/>
  <c r="D71" i="24"/>
  <c r="D69" i="24"/>
  <c r="C198" i="14" s="1"/>
  <c r="D66" i="24"/>
  <c r="C197" i="14" s="1"/>
  <c r="D65" i="24"/>
  <c r="D64" i="24"/>
  <c r="D63" i="24"/>
  <c r="D13" i="24"/>
  <c r="D6" i="24"/>
  <c r="D5" i="24"/>
  <c r="D4" i="24"/>
  <c r="D39" i="24"/>
  <c r="C154" i="14" s="1"/>
  <c r="D38" i="24"/>
  <c r="C153" i="14" s="1"/>
  <c r="D37" i="24"/>
  <c r="C152" i="14" s="1"/>
  <c r="D36" i="24"/>
  <c r="C151" i="14" s="1"/>
  <c r="D35" i="24"/>
  <c r="C150" i="14" s="1"/>
  <c r="D34" i="24"/>
  <c r="C149" i="14" s="1"/>
  <c r="D33" i="24"/>
  <c r="C148" i="14" s="1"/>
  <c r="D30" i="24"/>
  <c r="C145" i="14" s="1"/>
  <c r="D29" i="24"/>
  <c r="C144" i="14" s="1"/>
  <c r="D27" i="24"/>
  <c r="D26" i="24"/>
  <c r="D24" i="24"/>
  <c r="D23" i="24"/>
  <c r="D22" i="24"/>
  <c r="D15" i="24"/>
  <c r="D14" i="24"/>
  <c r="C139" i="14" s="1"/>
  <c r="D12" i="24"/>
  <c r="D10" i="24"/>
  <c r="D8" i="24"/>
  <c r="D7" i="24"/>
  <c r="C136" i="14" s="1"/>
  <c r="AT35" i="25"/>
  <c r="N124" i="24"/>
  <c r="N125" i="24"/>
  <c r="N129" i="24"/>
  <c r="N130" i="24"/>
  <c r="N134" i="24"/>
  <c r="N135" i="24"/>
  <c r="D17" i="24"/>
  <c r="D18" i="24"/>
  <c r="N109" i="24"/>
  <c r="N110" i="24"/>
  <c r="N114" i="24"/>
  <c r="N115" i="24"/>
  <c r="N119" i="24"/>
  <c r="N120" i="24"/>
  <c r="P575" i="21"/>
  <c r="M20" i="41"/>
  <c r="T575" i="21"/>
  <c r="U575" i="21"/>
  <c r="Q575" i="21"/>
  <c r="C20" i="41"/>
  <c r="R575" i="21"/>
  <c r="W575" i="21"/>
  <c r="O575" i="21"/>
  <c r="V575" i="21"/>
  <c r="L128" i="24"/>
  <c r="L127" i="24" s="1"/>
  <c r="L123" i="24"/>
  <c r="L122" i="24" s="1"/>
  <c r="L113" i="24"/>
  <c r="L112" i="24" s="1"/>
  <c r="L137" i="24" s="1"/>
  <c r="L108" i="24"/>
  <c r="L107" i="24" s="1"/>
  <c r="Z109" i="24"/>
  <c r="Z110" i="24"/>
  <c r="Z114" i="24"/>
  <c r="Z115" i="24"/>
  <c r="Z119" i="24"/>
  <c r="Z120" i="24"/>
  <c r="Z124" i="24"/>
  <c r="Z125" i="24"/>
  <c r="Z129" i="24"/>
  <c r="Z130" i="24"/>
  <c r="Z134" i="24"/>
  <c r="Z135" i="24"/>
  <c r="M140" i="24"/>
  <c r="O140" i="24"/>
  <c r="P140" i="24"/>
  <c r="S140" i="24"/>
  <c r="T140" i="24"/>
  <c r="V140" i="24"/>
  <c r="N52" i="24"/>
  <c r="M678" i="19"/>
  <c r="M445" i="19"/>
  <c r="M406" i="19"/>
  <c r="AA527" i="19"/>
  <c r="AA14" i="19" s="1"/>
  <c r="AA252" i="22"/>
  <c r="G126" i="24" s="1"/>
  <c r="AA93" i="22"/>
  <c r="AA358" i="22"/>
  <c r="F126" i="24" s="1"/>
  <c r="AA305" i="22"/>
  <c r="AA199" i="22"/>
  <c r="J126" i="24" s="1"/>
  <c r="X522" i="21"/>
  <c r="AA528" i="19"/>
  <c r="Q74" i="24" s="1"/>
  <c r="N51" i="24" s="1"/>
  <c r="X455" i="21"/>
  <c r="X395" i="21"/>
  <c r="X335" i="21"/>
  <c r="X275" i="21"/>
  <c r="X215" i="21"/>
  <c r="X149" i="21"/>
  <c r="K128" i="24"/>
  <c r="K113" i="24"/>
  <c r="K108" i="24"/>
  <c r="K107" i="24" s="1"/>
  <c r="J131" i="24"/>
  <c r="J128" i="24"/>
  <c r="J116" i="24"/>
  <c r="W116" i="24" s="1"/>
  <c r="J113" i="24"/>
  <c r="W113" i="24" s="1"/>
  <c r="J108" i="24"/>
  <c r="I131" i="24"/>
  <c r="I127" i="24" s="1"/>
  <c r="I116" i="24"/>
  <c r="H113" i="24"/>
  <c r="U113" i="24" s="1"/>
  <c r="U112" i="24" s="1"/>
  <c r="H108" i="24"/>
  <c r="H107" i="24" s="1"/>
  <c r="G131" i="24"/>
  <c r="G129" i="24"/>
  <c r="G128" i="24"/>
  <c r="G116" i="24"/>
  <c r="T116" i="24" s="1"/>
  <c r="G114" i="24"/>
  <c r="T114" i="24" s="1"/>
  <c r="G113" i="24"/>
  <c r="G109" i="24"/>
  <c r="G108" i="24"/>
  <c r="F131" i="24"/>
  <c r="F116" i="24"/>
  <c r="S116" i="24" s="1"/>
  <c r="F113" i="24"/>
  <c r="S113" i="24" s="1"/>
  <c r="F108" i="24"/>
  <c r="E129" i="24"/>
  <c r="E124" i="24"/>
  <c r="E114" i="24"/>
  <c r="E113" i="24"/>
  <c r="E109" i="24"/>
  <c r="E108" i="24"/>
  <c r="D131" i="24"/>
  <c r="D129" i="24"/>
  <c r="D128" i="24"/>
  <c r="D116" i="24"/>
  <c r="Q116" i="24" s="1"/>
  <c r="D114" i="24"/>
  <c r="Q114" i="24" s="1"/>
  <c r="D113" i="24"/>
  <c r="D109" i="24"/>
  <c r="D108" i="24"/>
  <c r="C130" i="24"/>
  <c r="C129" i="24"/>
  <c r="C128" i="24"/>
  <c r="C115" i="24"/>
  <c r="P115" i="24" s="1"/>
  <c r="C114" i="24"/>
  <c r="P114" i="24" s="1"/>
  <c r="C113" i="24"/>
  <c r="C110" i="24"/>
  <c r="C109" i="24"/>
  <c r="C108" i="24"/>
  <c r="AA660" i="19"/>
  <c r="G124" i="24" s="1"/>
  <c r="AA621" i="19"/>
  <c r="C124" i="24" s="1"/>
  <c r="AA582" i="19"/>
  <c r="AA543" i="19"/>
  <c r="P492" i="14" s="1"/>
  <c r="D124" i="24"/>
  <c r="AA504" i="19"/>
  <c r="C125" i="24" s="1"/>
  <c r="AA426" i="19"/>
  <c r="AA387" i="19"/>
  <c r="AB387" i="19" s="1"/>
  <c r="AA348" i="19"/>
  <c r="E123" i="24" s="1"/>
  <c r="AA309" i="19"/>
  <c r="AB309" i="19" s="1"/>
  <c r="AA270" i="19"/>
  <c r="P405" i="14" s="1"/>
  <c r="AA231" i="19"/>
  <c r="P376" i="14" s="1"/>
  <c r="C123" i="24"/>
  <c r="AA192" i="19"/>
  <c r="AB192" i="19" s="1"/>
  <c r="K123" i="24"/>
  <c r="K122" i="24" s="1"/>
  <c r="AA153" i="19"/>
  <c r="J123" i="24" s="1"/>
  <c r="AA114" i="19"/>
  <c r="AA75" i="19"/>
  <c r="P347" i="14" s="1"/>
  <c r="P294" i="14"/>
  <c r="P295" i="14"/>
  <c r="P296" i="14"/>
  <c r="P297" i="14"/>
  <c r="P299" i="14"/>
  <c r="P300" i="14"/>
  <c r="P301" i="14"/>
  <c r="P302" i="14"/>
  <c r="P303" i="14"/>
  <c r="P304" i="14"/>
  <c r="P305" i="14"/>
  <c r="P306" i="14"/>
  <c r="P307" i="14"/>
  <c r="P308" i="14"/>
  <c r="P309" i="14"/>
  <c r="P310" i="14"/>
  <c r="P311" i="14"/>
  <c r="P312" i="14"/>
  <c r="P313" i="14"/>
  <c r="P314" i="14"/>
  <c r="P315" i="14"/>
  <c r="P316" i="14"/>
  <c r="P317" i="14"/>
  <c r="P318" i="14"/>
  <c r="P319" i="14"/>
  <c r="P320" i="14"/>
  <c r="P321" i="14"/>
  <c r="U308" i="14"/>
  <c r="U304" i="14"/>
  <c r="U295" i="14"/>
  <c r="U294" i="14"/>
  <c r="U321" i="14"/>
  <c r="U301" i="14"/>
  <c r="U285" i="14"/>
  <c r="U275" i="14"/>
  <c r="U267" i="14"/>
  <c r="U264" i="14"/>
  <c r="U271" i="14"/>
  <c r="S280" i="14"/>
  <c r="S281" i="14"/>
  <c r="S260" i="14"/>
  <c r="R280" i="14"/>
  <c r="R281" i="14"/>
  <c r="R260" i="14"/>
  <c r="T280" i="14"/>
  <c r="U284" i="14"/>
  <c r="U288" i="14"/>
  <c r="AT10" i="25"/>
  <c r="U102" i="14"/>
  <c r="U100" i="14"/>
  <c r="U98" i="14"/>
  <c r="U97" i="14"/>
  <c r="U96" i="14"/>
  <c r="U89" i="14"/>
  <c r="U88" i="14"/>
  <c r="U87" i="14"/>
  <c r="S98" i="14"/>
  <c r="R98" i="14"/>
  <c r="S94" i="14"/>
  <c r="R94" i="14"/>
  <c r="Q102" i="14"/>
  <c r="Q100" i="14"/>
  <c r="Q98" i="14"/>
  <c r="Q97" i="14"/>
  <c r="Q96" i="14"/>
  <c r="Q89" i="14"/>
  <c r="Q88" i="14"/>
  <c r="U127" i="14"/>
  <c r="U126" i="14"/>
  <c r="U124" i="14"/>
  <c r="U123" i="14"/>
  <c r="U122" i="14"/>
  <c r="U121" i="14"/>
  <c r="U120" i="14"/>
  <c r="U116" i="14"/>
  <c r="U114" i="14"/>
  <c r="U113" i="14"/>
  <c r="U107" i="14"/>
  <c r="U106" i="14"/>
  <c r="S117" i="14"/>
  <c r="X159" i="21"/>
  <c r="X225" i="21"/>
  <c r="R129" i="14"/>
  <c r="R117" i="14"/>
  <c r="Q131" i="14"/>
  <c r="Q127" i="14"/>
  <c r="Q126" i="14"/>
  <c r="Q124" i="14"/>
  <c r="Q123" i="14"/>
  <c r="Q122" i="14"/>
  <c r="Q121" i="14"/>
  <c r="Q120" i="14"/>
  <c r="Q116" i="14"/>
  <c r="Q114" i="14"/>
  <c r="Q113" i="14"/>
  <c r="Q107" i="14"/>
  <c r="Q106" i="14"/>
  <c r="AH48" i="25"/>
  <c r="AB41" i="19"/>
  <c r="AB43" i="19"/>
  <c r="AB44" i="19"/>
  <c r="AB47" i="19"/>
  <c r="AB48" i="19"/>
  <c r="AB49" i="19"/>
  <c r="AB50" i="19"/>
  <c r="AB51" i="19"/>
  <c r="AB52" i="19"/>
  <c r="AB53" i="19"/>
  <c r="AB55" i="19"/>
  <c r="AB57" i="19"/>
  <c r="AB58" i="19"/>
  <c r="AB59" i="19"/>
  <c r="AB60" i="19"/>
  <c r="AB67" i="19"/>
  <c r="AB68" i="19"/>
  <c r="AB69" i="19"/>
  <c r="AB71" i="19"/>
  <c r="AB72" i="19"/>
  <c r="AB73" i="19"/>
  <c r="AB74" i="19"/>
  <c r="AB77" i="19"/>
  <c r="AB78" i="19"/>
  <c r="AB79" i="19"/>
  <c r="AB80" i="19"/>
  <c r="AB81" i="19"/>
  <c r="AB82" i="19"/>
  <c r="AB83" i="19"/>
  <c r="AB84" i="19"/>
  <c r="AB86" i="19"/>
  <c r="AB87" i="19"/>
  <c r="AB88" i="19"/>
  <c r="AB89" i="19"/>
  <c r="AB90" i="19"/>
  <c r="AB91" i="19"/>
  <c r="AB92" i="19"/>
  <c r="AB94" i="19"/>
  <c r="AB96" i="19"/>
  <c r="AB97" i="19"/>
  <c r="AB98" i="19"/>
  <c r="AB99" i="19"/>
  <c r="AB106" i="19"/>
  <c r="AB107" i="19"/>
  <c r="AB108" i="19"/>
  <c r="AB110" i="19"/>
  <c r="AB111" i="19"/>
  <c r="AB112" i="19"/>
  <c r="AB113" i="19"/>
  <c r="AB114" i="19"/>
  <c r="AB116" i="19"/>
  <c r="AB117" i="19"/>
  <c r="AB118" i="19"/>
  <c r="AB119" i="19"/>
  <c r="AB120" i="19"/>
  <c r="AB121" i="19"/>
  <c r="AB122" i="19"/>
  <c r="AB123" i="19"/>
  <c r="AB125" i="19"/>
  <c r="AB126" i="19"/>
  <c r="AB127" i="19"/>
  <c r="AB128" i="19"/>
  <c r="AB129" i="19"/>
  <c r="AB130" i="19"/>
  <c r="AB131" i="19"/>
  <c r="AB133" i="19"/>
  <c r="AB135" i="19"/>
  <c r="AB136" i="19"/>
  <c r="AB137" i="19"/>
  <c r="AB138" i="19"/>
  <c r="AB145" i="19"/>
  <c r="AB146" i="19"/>
  <c r="AB147" i="19"/>
  <c r="AB149" i="19"/>
  <c r="AB150" i="19"/>
  <c r="AB151" i="19"/>
  <c r="AB152" i="19"/>
  <c r="AB155" i="19"/>
  <c r="AB156" i="19"/>
  <c r="AB157" i="19"/>
  <c r="AB158" i="19"/>
  <c r="AB159" i="19"/>
  <c r="AB160" i="19"/>
  <c r="AB161" i="19"/>
  <c r="AB162" i="19"/>
  <c r="AB164" i="19"/>
  <c r="AB165" i="19"/>
  <c r="AB166" i="19"/>
  <c r="AB167" i="19"/>
  <c r="AB168" i="19"/>
  <c r="AB169" i="19"/>
  <c r="AB170" i="19"/>
  <c r="AB172" i="19"/>
  <c r="AB174" i="19"/>
  <c r="AB175" i="19"/>
  <c r="AB176" i="19"/>
  <c r="AB177" i="19"/>
  <c r="AB184" i="19"/>
  <c r="AB185" i="19"/>
  <c r="AB186" i="19"/>
  <c r="AB188" i="19"/>
  <c r="AB189" i="19"/>
  <c r="AB190" i="19"/>
  <c r="AB191" i="19"/>
  <c r="AB194" i="19"/>
  <c r="AB195" i="19"/>
  <c r="AB196" i="19"/>
  <c r="AB197" i="19"/>
  <c r="AB198" i="19"/>
  <c r="AB199" i="19"/>
  <c r="AB200" i="19"/>
  <c r="AB201" i="19"/>
  <c r="AB203" i="19"/>
  <c r="AB204" i="19"/>
  <c r="AB205" i="19"/>
  <c r="AB206" i="19"/>
  <c r="AB207" i="19"/>
  <c r="AB209" i="19"/>
  <c r="AB211" i="19"/>
  <c r="AB213" i="19"/>
  <c r="AB214" i="19"/>
  <c r="AB215" i="19"/>
  <c r="AB216" i="19"/>
  <c r="AB223" i="19"/>
  <c r="AB224" i="19"/>
  <c r="AB225" i="19"/>
  <c r="AB227" i="19"/>
  <c r="AB228" i="19"/>
  <c r="AB229" i="19"/>
  <c r="AB230" i="19"/>
  <c r="AB233" i="19"/>
  <c r="AB234" i="19"/>
  <c r="AB235" i="19"/>
  <c r="AB236" i="19"/>
  <c r="AB237" i="19"/>
  <c r="AB238" i="19"/>
  <c r="AB239" i="19"/>
  <c r="AB240" i="19"/>
  <c r="AB242" i="19"/>
  <c r="AB243" i="19"/>
  <c r="AB244" i="19"/>
  <c r="AB245" i="19"/>
  <c r="AB246" i="19"/>
  <c r="AB247" i="19"/>
  <c r="AB248" i="19"/>
  <c r="AB250" i="19"/>
  <c r="AB252" i="19"/>
  <c r="AB253" i="19"/>
  <c r="AB254" i="19"/>
  <c r="AB255" i="19"/>
  <c r="AB262" i="19"/>
  <c r="AB263" i="19"/>
  <c r="AB264" i="19"/>
  <c r="AB266" i="19"/>
  <c r="AB267" i="19"/>
  <c r="AB268" i="19"/>
  <c r="AB269" i="19"/>
  <c r="AB270" i="19"/>
  <c r="AB272" i="19"/>
  <c r="AB274" i="19"/>
  <c r="AB275" i="19"/>
  <c r="AB276" i="19"/>
  <c r="AB277" i="19"/>
  <c r="AB278" i="19"/>
  <c r="AB279" i="19"/>
  <c r="AB281" i="19"/>
  <c r="AB282" i="19"/>
  <c r="AB283" i="19"/>
  <c r="AB284" i="19"/>
  <c r="AB285" i="19"/>
  <c r="AB286" i="19"/>
  <c r="AB287" i="19"/>
  <c r="AB289" i="19"/>
  <c r="AB291" i="19"/>
  <c r="AB292" i="19"/>
  <c r="AB293" i="19"/>
  <c r="AB294" i="19"/>
  <c r="AB301" i="19"/>
  <c r="AB302" i="19"/>
  <c r="AB303" i="19"/>
  <c r="AB305" i="19"/>
  <c r="AB306" i="19"/>
  <c r="AB307" i="19"/>
  <c r="AB308" i="19"/>
  <c r="AB311" i="19"/>
  <c r="AB312" i="19"/>
  <c r="AB313" i="19"/>
  <c r="AB314" i="19"/>
  <c r="AB315" i="19"/>
  <c r="AB316" i="19"/>
  <c r="AB317" i="19"/>
  <c r="AB318" i="19"/>
  <c r="AB320" i="19"/>
  <c r="AB321" i="19"/>
  <c r="AB322" i="19"/>
  <c r="AB323" i="19"/>
  <c r="AB324" i="19"/>
  <c r="AB325" i="19"/>
  <c r="AB326" i="19"/>
  <c r="AB328" i="19"/>
  <c r="AB330" i="19"/>
  <c r="AB331" i="19"/>
  <c r="AB332" i="19"/>
  <c r="AB333" i="19"/>
  <c r="AB340" i="19"/>
  <c r="AB341" i="19"/>
  <c r="AB342" i="19"/>
  <c r="AB344" i="19"/>
  <c r="AB345" i="19"/>
  <c r="AB346" i="19"/>
  <c r="AB347" i="19"/>
  <c r="AB350" i="19"/>
  <c r="AB352" i="19"/>
  <c r="AB353" i="19"/>
  <c r="AB354" i="19"/>
  <c r="AB355" i="19"/>
  <c r="AB356" i="19"/>
  <c r="AB357" i="19"/>
  <c r="AB359" i="19"/>
  <c r="AB360" i="19"/>
  <c r="AB361" i="19"/>
  <c r="AB362" i="19"/>
  <c r="AB363" i="19"/>
  <c r="AB364" i="19"/>
  <c r="AB365" i="19"/>
  <c r="AB367" i="19"/>
  <c r="AB369" i="19"/>
  <c r="AB370" i="19"/>
  <c r="AB371" i="19"/>
  <c r="AB372" i="19"/>
  <c r="AB373" i="19"/>
  <c r="AB379" i="19"/>
  <c r="AB380" i="19"/>
  <c r="AB381" i="19"/>
  <c r="AB383" i="19"/>
  <c r="AB384" i="19"/>
  <c r="AB385" i="19"/>
  <c r="AB386" i="19"/>
  <c r="AB389" i="19"/>
  <c r="AB391" i="19"/>
  <c r="AB392" i="19"/>
  <c r="AB393" i="19"/>
  <c r="AB394" i="19"/>
  <c r="AB395" i="19"/>
  <c r="AB396" i="19"/>
  <c r="AB398" i="19"/>
  <c r="AB399" i="19"/>
  <c r="AB400" i="19"/>
  <c r="AB401" i="19"/>
  <c r="AB402" i="19"/>
  <c r="AB403" i="19"/>
  <c r="AB404" i="19"/>
  <c r="AB406" i="19"/>
  <c r="AB408" i="19"/>
  <c r="AB409" i="19"/>
  <c r="AB410" i="19"/>
  <c r="AB411" i="19"/>
  <c r="AB412" i="19"/>
  <c r="AB418" i="19"/>
  <c r="AB419" i="19"/>
  <c r="AB420" i="19"/>
  <c r="AB422" i="19"/>
  <c r="AB423" i="19"/>
  <c r="AB424" i="19"/>
  <c r="AB425" i="19"/>
  <c r="AB428" i="19"/>
  <c r="AB429" i="19"/>
  <c r="AB430" i="19"/>
  <c r="AB431" i="19"/>
  <c r="AB432" i="19"/>
  <c r="AB433" i="19"/>
  <c r="AB434" i="19"/>
  <c r="AB435" i="19"/>
  <c r="AA390" i="19"/>
  <c r="H128" i="24" s="1"/>
  <c r="H127" i="24" s="1"/>
  <c r="AA273" i="19"/>
  <c r="F128" i="24" s="1"/>
  <c r="X132" i="21"/>
  <c r="Z390" i="19"/>
  <c r="Z388" i="19" s="1"/>
  <c r="X29" i="21"/>
  <c r="AB273" i="19"/>
  <c r="M640" i="19"/>
  <c r="M601" i="19"/>
  <c r="M562" i="19"/>
  <c r="M523" i="19"/>
  <c r="M482" i="19"/>
  <c r="M367" i="19"/>
  <c r="M328" i="19"/>
  <c r="M289" i="19"/>
  <c r="M250" i="19"/>
  <c r="M211" i="19"/>
  <c r="M172" i="19"/>
  <c r="M133" i="19"/>
  <c r="P57" i="27" s="1"/>
  <c r="M94" i="19"/>
  <c r="M55" i="19"/>
  <c r="Q250" i="14"/>
  <c r="Q249" i="14"/>
  <c r="Q248" i="14"/>
  <c r="Q247" i="14"/>
  <c r="Q243" i="14"/>
  <c r="Q241" i="14"/>
  <c r="Q240" i="14"/>
  <c r="Q239" i="14"/>
  <c r="Q238" i="14"/>
  <c r="Q237" i="14"/>
  <c r="Q236" i="14"/>
  <c r="Q234" i="14"/>
  <c r="Q233" i="14"/>
  <c r="Q232" i="14"/>
  <c r="Q231" i="14"/>
  <c r="Q226" i="14"/>
  <c r="Q225" i="14"/>
  <c r="Q215" i="14"/>
  <c r="Q216" i="14"/>
  <c r="Q212" i="14"/>
  <c r="Q213" i="14"/>
  <c r="Q211" i="14"/>
  <c r="Q210" i="14"/>
  <c r="Q209" i="14"/>
  <c r="Q208" i="14"/>
  <c r="Q207" i="14"/>
  <c r="Q206" i="14"/>
  <c r="Q205" i="14"/>
  <c r="Q204" i="14"/>
  <c r="Q203" i="14"/>
  <c r="Q198" i="14"/>
  <c r="Q197" i="14"/>
  <c r="U183" i="14"/>
  <c r="U179" i="14"/>
  <c r="Q175" i="14"/>
  <c r="Q174" i="14"/>
  <c r="Q173" i="14"/>
  <c r="Q185" i="14"/>
  <c r="Q184" i="14"/>
  <c r="Q186" i="14"/>
  <c r="Q183" i="14"/>
  <c r="Q182" i="14"/>
  <c r="Q181" i="14"/>
  <c r="Q180" i="14"/>
  <c r="Q179" i="14"/>
  <c r="Q178" i="14"/>
  <c r="Q177" i="14"/>
  <c r="Q176" i="14"/>
  <c r="Q166" i="14"/>
  <c r="Q165" i="14"/>
  <c r="U153" i="14"/>
  <c r="X142" i="21"/>
  <c r="Q154" i="14"/>
  <c r="Q152" i="14"/>
  <c r="Q151" i="14"/>
  <c r="Q150" i="14"/>
  <c r="Q149" i="14"/>
  <c r="Q148" i="14"/>
  <c r="Q147" i="14"/>
  <c r="Q145" i="14"/>
  <c r="Q144" i="14"/>
  <c r="Q143" i="14"/>
  <c r="Q142" i="14"/>
  <c r="Q137" i="14"/>
  <c r="Q136" i="14"/>
  <c r="X62" i="21"/>
  <c r="AA39" i="22"/>
  <c r="P118" i="14" s="1"/>
  <c r="AA328" i="22"/>
  <c r="AA275" i="22"/>
  <c r="AA222" i="22"/>
  <c r="AA169" i="22"/>
  <c r="AA63" i="22"/>
  <c r="AA324" i="22"/>
  <c r="F111" i="24" s="1"/>
  <c r="AA271" i="22"/>
  <c r="I111" i="24" s="1"/>
  <c r="AA218" i="22"/>
  <c r="E146" i="24" s="1"/>
  <c r="AA165" i="22"/>
  <c r="AA59" i="22"/>
  <c r="Z366" i="22"/>
  <c r="Z48" i="22" s="1"/>
  <c r="O125" i="14" s="1"/>
  <c r="X530" i="21"/>
  <c r="X590" i="21"/>
  <c r="X529" i="21"/>
  <c r="X589" i="21"/>
  <c r="X424" i="21"/>
  <c r="X421" i="21"/>
  <c r="X364" i="21"/>
  <c r="X361" i="21"/>
  <c r="X304" i="21"/>
  <c r="X301" i="21"/>
  <c r="X244" i="21"/>
  <c r="X241" i="21"/>
  <c r="X184" i="21"/>
  <c r="X181" i="21"/>
  <c r="X165" i="21"/>
  <c r="X164" i="21"/>
  <c r="X163" i="21"/>
  <c r="X162" i="21"/>
  <c r="X161" i="21"/>
  <c r="X42" i="21"/>
  <c r="X41" i="21"/>
  <c r="X40" i="21"/>
  <c r="X39" i="21"/>
  <c r="X121" i="21"/>
  <c r="X119" i="21"/>
  <c r="X111" i="21"/>
  <c r="X120" i="21"/>
  <c r="X582" i="21"/>
  <c r="X154" i="21"/>
  <c r="X527" i="21"/>
  <c r="X160" i="21"/>
  <c r="X533" i="21"/>
  <c r="X587" i="21"/>
  <c r="X593" i="21"/>
  <c r="X532" i="21"/>
  <c r="X592" i="21"/>
  <c r="X524" i="21"/>
  <c r="X584" i="21"/>
  <c r="X581" i="21"/>
  <c r="X572" i="21"/>
  <c r="X571" i="21"/>
  <c r="X570" i="21"/>
  <c r="X569" i="21"/>
  <c r="X568" i="21"/>
  <c r="X566" i="21"/>
  <c r="AD2" i="22"/>
  <c r="X503" i="21"/>
  <c r="X563" i="21"/>
  <c r="AD1" i="22"/>
  <c r="X499" i="21"/>
  <c r="AA351" i="19"/>
  <c r="AB351" i="19" s="1"/>
  <c r="AT89" i="25"/>
  <c r="X498" i="21"/>
  <c r="AT90" i="25"/>
  <c r="AT56" i="25"/>
  <c r="AQ14" i="41"/>
  <c r="AM16" i="41"/>
  <c r="AM26" i="41"/>
  <c r="AM25" i="41"/>
  <c r="AM23" i="41"/>
  <c r="AM22" i="41"/>
  <c r="AM20" i="41"/>
  <c r="AM19" i="41"/>
  <c r="AM18" i="41"/>
  <c r="AM17" i="41"/>
  <c r="AM13" i="41"/>
  <c r="AM9" i="41"/>
  <c r="AN9" i="41"/>
  <c r="AM8" i="41"/>
  <c r="AN8" i="41"/>
  <c r="AM4" i="41"/>
  <c r="AM7" i="41"/>
  <c r="Z26" i="41"/>
  <c r="Z25" i="41"/>
  <c r="Z24" i="41"/>
  <c r="Z19" i="41"/>
  <c r="Z18" i="41"/>
  <c r="Z17" i="41"/>
  <c r="Z13" i="41"/>
  <c r="Z9" i="41"/>
  <c r="AA9" i="41"/>
  <c r="Z3" i="41"/>
  <c r="AA3" i="41"/>
  <c r="M26" i="41"/>
  <c r="M25" i="41"/>
  <c r="M24" i="41"/>
  <c r="M19" i="41"/>
  <c r="M18" i="41"/>
  <c r="M17" i="41"/>
  <c r="M13" i="41"/>
  <c r="M12" i="41"/>
  <c r="M9" i="41"/>
  <c r="N9" i="41"/>
  <c r="M8" i="41"/>
  <c r="N8" i="41"/>
  <c r="M4" i="41"/>
  <c r="M3" i="41"/>
  <c r="N3" i="41"/>
  <c r="AQ11" i="41"/>
  <c r="X38" i="21"/>
  <c r="X37" i="21"/>
  <c r="X36" i="21"/>
  <c r="X35" i="21"/>
  <c r="X34" i="21"/>
  <c r="X25" i="21"/>
  <c r="X23" i="21"/>
  <c r="X21" i="21"/>
  <c r="Q83" i="14"/>
  <c r="Q79" i="14"/>
  <c r="Q77" i="14"/>
  <c r="Q75" i="14"/>
  <c r="Q74" i="14"/>
  <c r="Q73" i="14"/>
  <c r="Q72" i="14"/>
  <c r="Q71" i="14"/>
  <c r="Q70" i="14"/>
  <c r="Q69" i="14"/>
  <c r="Q68" i="14"/>
  <c r="Q67" i="14"/>
  <c r="Q66" i="14"/>
  <c r="Q64" i="14"/>
  <c r="Q63" i="14"/>
  <c r="Q62" i="14"/>
  <c r="Q60" i="14"/>
  <c r="Q59" i="14"/>
  <c r="Q56" i="14"/>
  <c r="Q55" i="14"/>
  <c r="U62" i="14"/>
  <c r="U79" i="14"/>
  <c r="U77" i="14"/>
  <c r="U75" i="14"/>
  <c r="U74" i="14"/>
  <c r="U73" i="14"/>
  <c r="U72" i="14"/>
  <c r="U71" i="14"/>
  <c r="U70" i="14"/>
  <c r="U69" i="14"/>
  <c r="U68" i="14"/>
  <c r="U67" i="14"/>
  <c r="U66" i="14"/>
  <c r="U63" i="14"/>
  <c r="U60" i="14"/>
  <c r="U59" i="14"/>
  <c r="U56" i="14"/>
  <c r="U55" i="14"/>
  <c r="S81" i="14"/>
  <c r="R81" i="14"/>
  <c r="X158" i="21"/>
  <c r="X531" i="21"/>
  <c r="M11" i="41"/>
  <c r="AM15" i="41"/>
  <c r="AM21" i="41"/>
  <c r="M7" i="41"/>
  <c r="X31" i="21"/>
  <c r="X591" i="21"/>
  <c r="AM14" i="41"/>
  <c r="X528" i="21"/>
  <c r="X588" i="21"/>
  <c r="W528" i="21"/>
  <c r="X526" i="21"/>
  <c r="X586" i="21"/>
  <c r="X574" i="21"/>
  <c r="Z20" i="41"/>
  <c r="X152" i="21"/>
  <c r="X223" i="21"/>
  <c r="X222" i="21"/>
  <c r="X283" i="21"/>
  <c r="X282" i="21"/>
  <c r="X343" i="21"/>
  <c r="X342" i="21"/>
  <c r="X403" i="21"/>
  <c r="X402" i="21"/>
  <c r="X463" i="21"/>
  <c r="X462" i="21"/>
  <c r="X543" i="21"/>
  <c r="W543" i="21"/>
  <c r="X544" i="21"/>
  <c r="Z8" i="41"/>
  <c r="AA8" i="41"/>
  <c r="X483" i="21"/>
  <c r="X481" i="21"/>
  <c r="M5" i="41"/>
  <c r="X479" i="21"/>
  <c r="X540" i="21"/>
  <c r="W540" i="21"/>
  <c r="X8" i="21"/>
  <c r="X451" i="21"/>
  <c r="X450" i="21"/>
  <c r="X440" i="21"/>
  <c r="X415" i="21"/>
  <c r="X391" i="21"/>
  <c r="X390" i="21"/>
  <c r="X380" i="21"/>
  <c r="X355" i="21"/>
  <c r="X331" i="21"/>
  <c r="X330" i="21"/>
  <c r="X320" i="21"/>
  <c r="X295" i="21"/>
  <c r="X211" i="21"/>
  <c r="X210" i="21"/>
  <c r="X270" i="21"/>
  <c r="X271" i="21"/>
  <c r="X260" i="21"/>
  <c r="X235" i="21"/>
  <c r="X200" i="21"/>
  <c r="X175" i="21"/>
  <c r="AT72" i="25"/>
  <c r="X336" i="21"/>
  <c r="X525" i="21"/>
  <c r="X523" i="21"/>
  <c r="M27" i="41"/>
  <c r="X449" i="21"/>
  <c r="X541" i="21"/>
  <c r="Z5" i="41"/>
  <c r="Z4" i="41"/>
  <c r="Z7" i="41"/>
  <c r="X517" i="21"/>
  <c r="X518" i="21"/>
  <c r="X507" i="21"/>
  <c r="X505" i="21"/>
  <c r="X209" i="21"/>
  <c r="X585" i="21"/>
  <c r="X583" i="21"/>
  <c r="Z27" i="41"/>
  <c r="M16" i="41"/>
  <c r="X567" i="21"/>
  <c r="X565" i="21"/>
  <c r="X578" i="21"/>
  <c r="Z23" i="41"/>
  <c r="M23" i="41"/>
  <c r="X516" i="21"/>
  <c r="X496" i="21"/>
  <c r="X577" i="21"/>
  <c r="M22" i="41"/>
  <c r="X276" i="21"/>
  <c r="X274" i="21"/>
  <c r="X261" i="21"/>
  <c r="X262" i="21"/>
  <c r="X263" i="21"/>
  <c r="X264" i="21"/>
  <c r="X265" i="21"/>
  <c r="X259" i="21"/>
  <c r="X256" i="21"/>
  <c r="X253" i="21"/>
  <c r="X456" i="21"/>
  <c r="X438" i="21"/>
  <c r="X437" i="21"/>
  <c r="X436" i="21"/>
  <c r="X396" i="21"/>
  <c r="X389" i="21"/>
  <c r="X378" i="21"/>
  <c r="X376" i="21"/>
  <c r="X372" i="21"/>
  <c r="M21" i="41"/>
  <c r="X576" i="21"/>
  <c r="X556" i="21"/>
  <c r="Z22" i="41"/>
  <c r="Z21" i="41"/>
  <c r="Z16" i="41"/>
  <c r="X504" i="21"/>
  <c r="X497" i="21"/>
  <c r="X534" i="21"/>
  <c r="X495" i="21"/>
  <c r="M15" i="41"/>
  <c r="X369" i="21"/>
  <c r="X377" i="21"/>
  <c r="X368" i="21"/>
  <c r="X371" i="21"/>
  <c r="X329" i="21"/>
  <c r="M14" i="41"/>
  <c r="X564" i="21"/>
  <c r="Z15" i="41"/>
  <c r="X370" i="21"/>
  <c r="X316" i="21"/>
  <c r="X216" i="21"/>
  <c r="Z14" i="41"/>
  <c r="M10" i="41"/>
  <c r="X198" i="21"/>
  <c r="X197" i="21"/>
  <c r="X196" i="21"/>
  <c r="M28" i="41"/>
  <c r="X105" i="21"/>
  <c r="X272" i="21"/>
  <c r="X269" i="21"/>
  <c r="X150" i="21"/>
  <c r="AM27" i="41"/>
  <c r="X418" i="21"/>
  <c r="X358" i="21"/>
  <c r="X298" i="21"/>
  <c r="X238" i="21"/>
  <c r="X178" i="21"/>
  <c r="X108" i="21"/>
  <c r="Q87" i="27"/>
  <c r="Q86" i="27"/>
  <c r="Q85" i="27"/>
  <c r="X143" i="21"/>
  <c r="X126" i="21"/>
  <c r="X90" i="21"/>
  <c r="X79" i="21"/>
  <c r="X74" i="21"/>
  <c r="X123" i="21"/>
  <c r="X131" i="21"/>
  <c r="X125" i="21"/>
  <c r="X6" i="21"/>
  <c r="X559" i="21"/>
  <c r="X560" i="21"/>
  <c r="AM12" i="41"/>
  <c r="AM11" i="41"/>
  <c r="AM10" i="41"/>
  <c r="AM28" i="41"/>
  <c r="X122" i="21"/>
  <c r="X124" i="21"/>
  <c r="X166" i="21"/>
  <c r="X167" i="21"/>
  <c r="X558" i="21"/>
  <c r="X557" i="21"/>
  <c r="X594" i="21"/>
  <c r="Z12" i="41"/>
  <c r="Z11" i="41"/>
  <c r="Z10" i="41"/>
  <c r="X555" i="21"/>
  <c r="X11" i="21"/>
  <c r="X57" i="21"/>
  <c r="X87" i="21"/>
  <c r="X85" i="21"/>
  <c r="X145" i="21"/>
  <c r="W236" i="21"/>
  <c r="V236" i="21"/>
  <c r="U236" i="21"/>
  <c r="T236" i="21"/>
  <c r="S236" i="21"/>
  <c r="R236" i="21"/>
  <c r="Q236" i="21"/>
  <c r="J416" i="21"/>
  <c r="J356" i="21"/>
  <c r="J296" i="21"/>
  <c r="J176" i="21"/>
  <c r="O236" i="21"/>
  <c r="N236" i="21"/>
  <c r="M236" i="21"/>
  <c r="AA689" i="19"/>
  <c r="AA688" i="19" s="1"/>
  <c r="AA651" i="19"/>
  <c r="AA650" i="19" s="1"/>
  <c r="AA612" i="19"/>
  <c r="AA611" i="19" s="1"/>
  <c r="AA534" i="19"/>
  <c r="AA495" i="19"/>
  <c r="AA494" i="19" s="1"/>
  <c r="P173" i="14" s="1"/>
  <c r="AA456" i="19"/>
  <c r="AA455" i="19" s="1"/>
  <c r="AA417" i="19"/>
  <c r="AA416" i="19" s="1"/>
  <c r="AA378" i="19"/>
  <c r="AA377" i="19" s="1"/>
  <c r="AA339" i="19"/>
  <c r="AA338" i="19" s="1"/>
  <c r="AA300" i="19"/>
  <c r="AA261" i="19"/>
  <c r="AA260" i="19" s="1"/>
  <c r="P402" i="14" s="1"/>
  <c r="AA222" i="19"/>
  <c r="AA221" i="19" s="1"/>
  <c r="P373" i="14" s="1"/>
  <c r="AA183" i="19"/>
  <c r="AA144" i="19"/>
  <c r="AA105" i="19"/>
  <c r="Z66" i="19"/>
  <c r="Z65" i="19" s="1"/>
  <c r="AA66" i="19"/>
  <c r="AA65" i="19" s="1"/>
  <c r="W87" i="21"/>
  <c r="Z28" i="41"/>
  <c r="X51" i="21"/>
  <c r="X26" i="21"/>
  <c r="X27" i="21"/>
  <c r="X43" i="21"/>
  <c r="X44" i="21"/>
  <c r="X75" i="21"/>
  <c r="X78" i="21"/>
  <c r="X76" i="21"/>
  <c r="X97" i="21"/>
  <c r="X48" i="21"/>
  <c r="W145" i="21"/>
  <c r="X49" i="21"/>
  <c r="X71" i="21"/>
  <c r="X7" i="21"/>
  <c r="X5" i="21"/>
  <c r="J708" i="19"/>
  <c r="AB707" i="19"/>
  <c r="M707" i="19"/>
  <c r="J707" i="19"/>
  <c r="AB706" i="19"/>
  <c r="J706" i="19"/>
  <c r="AB705" i="19"/>
  <c r="M705" i="19"/>
  <c r="J705" i="19"/>
  <c r="AB704" i="19"/>
  <c r="M704" i="19"/>
  <c r="J704" i="19"/>
  <c r="AB703" i="19"/>
  <c r="M703" i="19"/>
  <c r="J703" i="19"/>
  <c r="AB702" i="19"/>
  <c r="M702" i="19"/>
  <c r="J702" i="19"/>
  <c r="AB701" i="19"/>
  <c r="M701" i="19"/>
  <c r="J701" i="19"/>
  <c r="AB700" i="19"/>
  <c r="M700" i="19"/>
  <c r="J700" i="19"/>
  <c r="AA699" i="19"/>
  <c r="Z699" i="19"/>
  <c r="Y699" i="19"/>
  <c r="X699" i="19"/>
  <c r="W699" i="19"/>
  <c r="V699" i="19"/>
  <c r="U699" i="19"/>
  <c r="T699" i="19"/>
  <c r="S699" i="19"/>
  <c r="R699" i="19"/>
  <c r="Q699" i="19"/>
  <c r="P699" i="19"/>
  <c r="O699" i="19"/>
  <c r="N699" i="19"/>
  <c r="J699" i="19"/>
  <c r="AB698" i="19"/>
  <c r="M698" i="19"/>
  <c r="J698" i="19"/>
  <c r="AB697" i="19"/>
  <c r="M697" i="19"/>
  <c r="J697" i="19"/>
  <c r="AB696" i="19"/>
  <c r="M696" i="19"/>
  <c r="J696" i="19"/>
  <c r="AB695" i="19"/>
  <c r="M695" i="19"/>
  <c r="J695" i="19"/>
  <c r="AB694" i="19"/>
  <c r="M694" i="19"/>
  <c r="J694" i="19"/>
  <c r="AA693" i="19"/>
  <c r="Z693" i="19"/>
  <c r="Y693" i="19"/>
  <c r="X693" i="19"/>
  <c r="W693" i="19"/>
  <c r="V693" i="19"/>
  <c r="U693" i="19"/>
  <c r="T693" i="19"/>
  <c r="S693" i="19"/>
  <c r="R693" i="19"/>
  <c r="Q693" i="19"/>
  <c r="P693" i="19"/>
  <c r="O693" i="19"/>
  <c r="N693" i="19"/>
  <c r="J693" i="19"/>
  <c r="AB692" i="19"/>
  <c r="M692" i="19"/>
  <c r="J692" i="19"/>
  <c r="AB691" i="19"/>
  <c r="J691" i="19"/>
  <c r="AB690" i="19"/>
  <c r="M690" i="19"/>
  <c r="J690" i="19"/>
  <c r="Z689" i="19"/>
  <c r="Y689" i="19"/>
  <c r="Y688" i="19" s="1"/>
  <c r="X689" i="19"/>
  <c r="X688" i="19" s="1"/>
  <c r="W689" i="19"/>
  <c r="W688" i="19" s="1"/>
  <c r="V689" i="19"/>
  <c r="V688" i="19" s="1"/>
  <c r="U689" i="19"/>
  <c r="U688" i="19" s="1"/>
  <c r="T689" i="19"/>
  <c r="T688" i="19" s="1"/>
  <c r="S689" i="19"/>
  <c r="S688" i="19" s="1"/>
  <c r="R689" i="19"/>
  <c r="R688" i="19" s="1"/>
  <c r="O689" i="19"/>
  <c r="O688" i="19" s="1"/>
  <c r="N689" i="19"/>
  <c r="N688" i="19" s="1"/>
  <c r="J689" i="19"/>
  <c r="Q688" i="19"/>
  <c r="P688" i="19"/>
  <c r="J688" i="19"/>
  <c r="J687" i="19"/>
  <c r="AA686" i="19"/>
  <c r="Z686" i="19"/>
  <c r="Y686" i="19"/>
  <c r="X686" i="19"/>
  <c r="W686" i="19"/>
  <c r="V686" i="19"/>
  <c r="U686" i="19"/>
  <c r="T686" i="19"/>
  <c r="S686" i="19"/>
  <c r="R686" i="19"/>
  <c r="Q686" i="19"/>
  <c r="P686" i="19"/>
  <c r="O686" i="19"/>
  <c r="N686" i="19"/>
  <c r="J686" i="19"/>
  <c r="AA685" i="19"/>
  <c r="Z685" i="19"/>
  <c r="Y685" i="19"/>
  <c r="X685" i="19"/>
  <c r="W685" i="19"/>
  <c r="V685" i="19"/>
  <c r="U685" i="19"/>
  <c r="T685" i="19"/>
  <c r="S685" i="19"/>
  <c r="R685" i="19"/>
  <c r="Q685" i="19"/>
  <c r="P685" i="19"/>
  <c r="O685" i="19"/>
  <c r="N685" i="19"/>
  <c r="J685" i="19"/>
  <c r="AA684" i="19"/>
  <c r="Z684" i="19"/>
  <c r="Y684" i="19"/>
  <c r="X684" i="19"/>
  <c r="W684" i="19"/>
  <c r="V684" i="19"/>
  <c r="U684" i="19"/>
  <c r="T684" i="19"/>
  <c r="S684" i="19"/>
  <c r="R684" i="19"/>
  <c r="Q684" i="19"/>
  <c r="P684" i="19"/>
  <c r="O684" i="19"/>
  <c r="N684" i="19"/>
  <c r="J684" i="19"/>
  <c r="AB683" i="19"/>
  <c r="M683" i="19"/>
  <c r="J683" i="19"/>
  <c r="AB682" i="19"/>
  <c r="M682" i="19"/>
  <c r="J682" i="19"/>
  <c r="AB681" i="19"/>
  <c r="M681" i="19"/>
  <c r="J681" i="19"/>
  <c r="AB680" i="19"/>
  <c r="M680" i="19"/>
  <c r="J680" i="19"/>
  <c r="AA679" i="19"/>
  <c r="Z679" i="19"/>
  <c r="Y679" i="19"/>
  <c r="X679" i="19"/>
  <c r="W679" i="19"/>
  <c r="V679" i="19"/>
  <c r="U679" i="19"/>
  <c r="T679" i="19"/>
  <c r="S679" i="19"/>
  <c r="R679" i="19"/>
  <c r="Q679" i="19"/>
  <c r="P679" i="19"/>
  <c r="O679" i="19"/>
  <c r="N679" i="19"/>
  <c r="J679" i="19"/>
  <c r="AB678" i="19"/>
  <c r="J678" i="19"/>
  <c r="AB677" i="19"/>
  <c r="V677" i="19"/>
  <c r="J677" i="19"/>
  <c r="AA676" i="19"/>
  <c r="W676" i="19"/>
  <c r="V676" i="19"/>
  <c r="U676" i="19"/>
  <c r="T676" i="19"/>
  <c r="S676" i="19"/>
  <c r="R676" i="19"/>
  <c r="Q676" i="19"/>
  <c r="Q677" i="19" s="1"/>
  <c r="P676" i="19"/>
  <c r="O676" i="19"/>
  <c r="N676" i="19"/>
  <c r="J676" i="19"/>
  <c r="M675" i="19"/>
  <c r="J675" i="19"/>
  <c r="AB674" i="19"/>
  <c r="M674" i="19"/>
  <c r="J674" i="19"/>
  <c r="AB673" i="19"/>
  <c r="M673" i="19"/>
  <c r="J673" i="19"/>
  <c r="AB672" i="19"/>
  <c r="M672" i="19"/>
  <c r="J672" i="19"/>
  <c r="AB671" i="19"/>
  <c r="J671" i="19"/>
  <c r="N32" i="19"/>
  <c r="C237" i="14" s="1"/>
  <c r="O32" i="19"/>
  <c r="D237" i="14" s="1"/>
  <c r="P32" i="19"/>
  <c r="Q32" i="19"/>
  <c r="R32" i="19"/>
  <c r="G237" i="14" s="1"/>
  <c r="S32" i="19"/>
  <c r="H237" i="14" s="1"/>
  <c r="T32" i="19"/>
  <c r="U32" i="19"/>
  <c r="J237" i="14" s="1"/>
  <c r="V32" i="19"/>
  <c r="K237" i="14" s="1"/>
  <c r="W32" i="19"/>
  <c r="L237" i="14" s="1"/>
  <c r="X32" i="19"/>
  <c r="M237" i="14" s="1"/>
  <c r="Y32" i="19"/>
  <c r="Q33" i="19"/>
  <c r="N34" i="19"/>
  <c r="O34" i="19"/>
  <c r="P34" i="19"/>
  <c r="Q34" i="19"/>
  <c r="R34" i="19"/>
  <c r="S34" i="19"/>
  <c r="T34" i="19"/>
  <c r="U34" i="19"/>
  <c r="V34" i="19"/>
  <c r="W34" i="19"/>
  <c r="X34" i="19"/>
  <c r="Y34" i="19"/>
  <c r="N35" i="19"/>
  <c r="P35" i="19"/>
  <c r="Q35" i="19"/>
  <c r="R35" i="19"/>
  <c r="S35" i="19"/>
  <c r="T35" i="19"/>
  <c r="U35" i="19"/>
  <c r="V35" i="19"/>
  <c r="W35" i="19"/>
  <c r="X35" i="19"/>
  <c r="Y35" i="19"/>
  <c r="N36" i="19"/>
  <c r="O36" i="19"/>
  <c r="P36" i="19"/>
  <c r="Q36" i="19"/>
  <c r="R36" i="19"/>
  <c r="S36" i="19"/>
  <c r="T36" i="19"/>
  <c r="U36" i="19"/>
  <c r="V36" i="19"/>
  <c r="W36" i="19"/>
  <c r="X36" i="19"/>
  <c r="Y36" i="19"/>
  <c r="N37" i="19"/>
  <c r="O37" i="19"/>
  <c r="P37" i="19"/>
  <c r="Q37" i="19"/>
  <c r="R37" i="19"/>
  <c r="S37" i="19"/>
  <c r="T37" i="19"/>
  <c r="U37" i="19"/>
  <c r="V37" i="19"/>
  <c r="W37" i="19"/>
  <c r="X37" i="19"/>
  <c r="Y37" i="19"/>
  <c r="N38" i="19"/>
  <c r="O38" i="19"/>
  <c r="P38" i="19"/>
  <c r="Q38" i="19"/>
  <c r="R38" i="19"/>
  <c r="S38" i="19"/>
  <c r="T38" i="19"/>
  <c r="U38" i="19"/>
  <c r="V38" i="19"/>
  <c r="W38" i="19"/>
  <c r="X38" i="19"/>
  <c r="Y38" i="19"/>
  <c r="N39" i="19"/>
  <c r="O39" i="19"/>
  <c r="P39" i="19"/>
  <c r="Q39" i="19"/>
  <c r="R39" i="19"/>
  <c r="S39" i="19"/>
  <c r="T39" i="19"/>
  <c r="U39" i="19"/>
  <c r="V39" i="19"/>
  <c r="W39" i="19"/>
  <c r="X39" i="19"/>
  <c r="Y39" i="19"/>
  <c r="AA32" i="19"/>
  <c r="AA34" i="19"/>
  <c r="AA35" i="19"/>
  <c r="AA36" i="19"/>
  <c r="AA37" i="19"/>
  <c r="AA38" i="19"/>
  <c r="AA39" i="19"/>
  <c r="Z39" i="19"/>
  <c r="Z38" i="19"/>
  <c r="Z37" i="19"/>
  <c r="Z36" i="19"/>
  <c r="Z35" i="19"/>
  <c r="Z34" i="19"/>
  <c r="Z32" i="19"/>
  <c r="O237" i="14" s="1"/>
  <c r="N30" i="19"/>
  <c r="P30" i="19"/>
  <c r="Q30" i="19"/>
  <c r="S30" i="19"/>
  <c r="T30" i="19"/>
  <c r="V30" i="19"/>
  <c r="W30" i="19"/>
  <c r="N29" i="19"/>
  <c r="O29" i="19"/>
  <c r="P29" i="19"/>
  <c r="Q29" i="19"/>
  <c r="R29" i="19"/>
  <c r="S29" i="19"/>
  <c r="T29" i="19"/>
  <c r="U29" i="19"/>
  <c r="V29" i="19"/>
  <c r="W29" i="19"/>
  <c r="X29" i="19"/>
  <c r="Y29" i="19"/>
  <c r="AA29" i="19"/>
  <c r="Z29" i="19"/>
  <c r="N26" i="19"/>
  <c r="O26" i="19"/>
  <c r="P26" i="19"/>
  <c r="Q26" i="19"/>
  <c r="R26" i="19"/>
  <c r="S26" i="19"/>
  <c r="T26" i="19"/>
  <c r="U26" i="19"/>
  <c r="Y26" i="19"/>
  <c r="N27" i="19"/>
  <c r="O27" i="19"/>
  <c r="P27" i="19"/>
  <c r="Q27" i="19"/>
  <c r="R27" i="19"/>
  <c r="S27" i="19"/>
  <c r="T27" i="19"/>
  <c r="U27" i="19"/>
  <c r="V27" i="19"/>
  <c r="W27" i="19"/>
  <c r="X27" i="19"/>
  <c r="Y27" i="19"/>
  <c r="N28" i="19"/>
  <c r="O28" i="19"/>
  <c r="P28" i="19"/>
  <c r="Q28" i="19"/>
  <c r="R28" i="19"/>
  <c r="S28" i="19"/>
  <c r="T28" i="19"/>
  <c r="U28" i="19"/>
  <c r="V28" i="19"/>
  <c r="W28" i="19"/>
  <c r="X28" i="19"/>
  <c r="Y28" i="19"/>
  <c r="AA26" i="19"/>
  <c r="AA27" i="19"/>
  <c r="AA28" i="19"/>
  <c r="Z28" i="19"/>
  <c r="Z27" i="19"/>
  <c r="Z26" i="19"/>
  <c r="N22" i="19"/>
  <c r="O22" i="19"/>
  <c r="P22" i="19"/>
  <c r="Q22" i="19"/>
  <c r="R22" i="19"/>
  <c r="S22" i="19"/>
  <c r="T22" i="19"/>
  <c r="U22" i="19"/>
  <c r="V22" i="19"/>
  <c r="W22" i="19"/>
  <c r="X22" i="19"/>
  <c r="Y22" i="19"/>
  <c r="N23" i="19"/>
  <c r="P23" i="19"/>
  <c r="Q23" i="19"/>
  <c r="R23" i="19"/>
  <c r="S23" i="19"/>
  <c r="T23" i="19"/>
  <c r="U23" i="19"/>
  <c r="V23" i="19"/>
  <c r="W23" i="19"/>
  <c r="X23" i="19"/>
  <c r="N24" i="19"/>
  <c r="N20" i="19" s="1"/>
  <c r="P24" i="19"/>
  <c r="Q24" i="19"/>
  <c r="R24" i="19"/>
  <c r="S24" i="19"/>
  <c r="T24" i="19"/>
  <c r="U24" i="19"/>
  <c r="V24" i="19"/>
  <c r="W24" i="19"/>
  <c r="X24" i="19"/>
  <c r="AA22" i="19"/>
  <c r="AA23" i="19"/>
  <c r="AA24" i="19"/>
  <c r="Z23" i="19"/>
  <c r="Z22" i="19"/>
  <c r="N10" i="19"/>
  <c r="O10" i="19"/>
  <c r="P10" i="19"/>
  <c r="Q10" i="19"/>
  <c r="R10" i="19"/>
  <c r="S10" i="19"/>
  <c r="T10" i="19"/>
  <c r="U10" i="19"/>
  <c r="V10" i="19"/>
  <c r="W10" i="19"/>
  <c r="X10" i="19"/>
  <c r="Y10" i="19"/>
  <c r="N12" i="19"/>
  <c r="O12" i="19"/>
  <c r="P12" i="19"/>
  <c r="Q12" i="19"/>
  <c r="R12" i="19"/>
  <c r="S12" i="19"/>
  <c r="T12" i="19"/>
  <c r="U12" i="19"/>
  <c r="V12" i="19"/>
  <c r="W12" i="19"/>
  <c r="X12" i="19"/>
  <c r="Y12" i="19"/>
  <c r="N13" i="19"/>
  <c r="N17" i="19" s="1"/>
  <c r="O13" i="19"/>
  <c r="O17" i="19" s="1"/>
  <c r="P13" i="19"/>
  <c r="R13" i="19"/>
  <c r="S13" i="19"/>
  <c r="T13" i="19"/>
  <c r="U13" i="19"/>
  <c r="V13" i="19"/>
  <c r="W13" i="19"/>
  <c r="X13" i="19"/>
  <c r="Y13" i="19"/>
  <c r="N14" i="19"/>
  <c r="O14" i="19"/>
  <c r="P14" i="19"/>
  <c r="Q14" i="19"/>
  <c r="R14" i="19"/>
  <c r="S14" i="19"/>
  <c r="T14" i="19"/>
  <c r="U14" i="19"/>
  <c r="V14" i="19"/>
  <c r="W14" i="19"/>
  <c r="X14" i="19"/>
  <c r="Y14" i="19"/>
  <c r="N15" i="19"/>
  <c r="O15" i="19"/>
  <c r="P15" i="19"/>
  <c r="Q15" i="19"/>
  <c r="R15" i="19"/>
  <c r="S15" i="19"/>
  <c r="T15" i="19"/>
  <c r="U15" i="19"/>
  <c r="V15" i="19"/>
  <c r="W15" i="19"/>
  <c r="X15" i="19"/>
  <c r="AA10" i="19"/>
  <c r="M10" i="19" s="1"/>
  <c r="AA12" i="19"/>
  <c r="AA13" i="19"/>
  <c r="AA15" i="19"/>
  <c r="Z15" i="19"/>
  <c r="Z13" i="19"/>
  <c r="Z12" i="19"/>
  <c r="Z10" i="19"/>
  <c r="N7" i="19"/>
  <c r="Q7" i="19"/>
  <c r="R7" i="19"/>
  <c r="S7" i="19"/>
  <c r="T7" i="19"/>
  <c r="U7" i="19"/>
  <c r="V7" i="19"/>
  <c r="W7" i="19"/>
  <c r="X7" i="19"/>
  <c r="Y7" i="19"/>
  <c r="AA7" i="19"/>
  <c r="Z7" i="19"/>
  <c r="N6" i="19"/>
  <c r="O6" i="19"/>
  <c r="U6" i="19"/>
  <c r="V6" i="19"/>
  <c r="W6" i="19"/>
  <c r="X6" i="19"/>
  <c r="Y6" i="19"/>
  <c r="AA6" i="19"/>
  <c r="Z6" i="19"/>
  <c r="M6" i="19" s="1"/>
  <c r="N5" i="19"/>
  <c r="O5" i="19"/>
  <c r="P5" i="19"/>
  <c r="Q5" i="19"/>
  <c r="R5" i="19"/>
  <c r="S5" i="19"/>
  <c r="T5" i="19"/>
  <c r="U5" i="19"/>
  <c r="V5" i="19"/>
  <c r="W5" i="19"/>
  <c r="X5" i="19"/>
  <c r="Y5" i="19"/>
  <c r="AA5" i="19"/>
  <c r="Z5" i="19"/>
  <c r="Z4" i="19"/>
  <c r="N4" i="19"/>
  <c r="O4" i="19"/>
  <c r="P4" i="19"/>
  <c r="Q4" i="19"/>
  <c r="R4" i="19"/>
  <c r="S4" i="19"/>
  <c r="T4" i="19"/>
  <c r="U4" i="19"/>
  <c r="V4" i="19"/>
  <c r="W4" i="19"/>
  <c r="X4" i="19"/>
  <c r="Y4" i="19"/>
  <c r="AA4" i="19"/>
  <c r="O4" i="24"/>
  <c r="J475" i="19"/>
  <c r="AB474" i="19"/>
  <c r="M474" i="19"/>
  <c r="J474" i="19"/>
  <c r="AB473" i="19"/>
  <c r="J473" i="19"/>
  <c r="AB472" i="19"/>
  <c r="M472" i="19"/>
  <c r="J472" i="19"/>
  <c r="AB471" i="19"/>
  <c r="M471" i="19"/>
  <c r="J471" i="19"/>
  <c r="AB470" i="19"/>
  <c r="M470" i="19"/>
  <c r="J470" i="19"/>
  <c r="AB469" i="19"/>
  <c r="M469" i="19"/>
  <c r="J469" i="19"/>
  <c r="M468" i="19"/>
  <c r="J468" i="19"/>
  <c r="AB467" i="19"/>
  <c r="M467" i="19"/>
  <c r="J467" i="19"/>
  <c r="AA466" i="19"/>
  <c r="Z466" i="19"/>
  <c r="Y466" i="19"/>
  <c r="X466" i="19"/>
  <c r="W466" i="19"/>
  <c r="V466" i="19"/>
  <c r="U466" i="19"/>
  <c r="T466" i="19"/>
  <c r="S466" i="19"/>
  <c r="R466" i="19"/>
  <c r="Q466" i="19"/>
  <c r="P466" i="19"/>
  <c r="O466" i="19"/>
  <c r="N466" i="19"/>
  <c r="J466" i="19"/>
  <c r="AB465" i="19"/>
  <c r="M465" i="19"/>
  <c r="Y123" i="24" s="1"/>
  <c r="Y122" i="24" s="1"/>
  <c r="J465" i="19"/>
  <c r="AB464" i="19"/>
  <c r="M464" i="19"/>
  <c r="J464" i="19"/>
  <c r="AB463" i="19"/>
  <c r="M463" i="19"/>
  <c r="J463" i="19"/>
  <c r="AB462" i="19"/>
  <c r="M462" i="19"/>
  <c r="J462" i="19"/>
  <c r="AB461" i="19"/>
  <c r="M461" i="19"/>
  <c r="J461" i="19"/>
  <c r="AA460" i="19"/>
  <c r="Z460" i="19"/>
  <c r="Y460" i="19"/>
  <c r="X460" i="19"/>
  <c r="W460" i="19"/>
  <c r="V460" i="19"/>
  <c r="U460" i="19"/>
  <c r="T460" i="19"/>
  <c r="S460" i="19"/>
  <c r="R460" i="19"/>
  <c r="Q460" i="19"/>
  <c r="P460" i="19"/>
  <c r="O460" i="19"/>
  <c r="N460" i="19"/>
  <c r="J460" i="19"/>
  <c r="AB459" i="19"/>
  <c r="M459" i="19"/>
  <c r="J459" i="19"/>
  <c r="AB458" i="19"/>
  <c r="M458" i="19"/>
  <c r="J458" i="19"/>
  <c r="AB457" i="19"/>
  <c r="M457" i="19"/>
  <c r="J457" i="19"/>
  <c r="Z456" i="19"/>
  <c r="Z455" i="19" s="1"/>
  <c r="Y456" i="19"/>
  <c r="Y455" i="19" s="1"/>
  <c r="X456" i="19"/>
  <c r="X455" i="19" s="1"/>
  <c r="W456" i="19"/>
  <c r="W455" i="19" s="1"/>
  <c r="V456" i="19"/>
  <c r="V455" i="19" s="1"/>
  <c r="U456" i="19"/>
  <c r="U455" i="19" s="1"/>
  <c r="T456" i="19"/>
  <c r="T455" i="19" s="1"/>
  <c r="S456" i="19"/>
  <c r="S455" i="19" s="1"/>
  <c r="R456" i="19"/>
  <c r="R455" i="19" s="1"/>
  <c r="Q456" i="19"/>
  <c r="Q455" i="19" s="1"/>
  <c r="P456" i="19"/>
  <c r="P455" i="19" s="1"/>
  <c r="O456" i="19"/>
  <c r="O455" i="19" s="1"/>
  <c r="N456" i="19"/>
  <c r="N455" i="19" s="1"/>
  <c r="J456" i="19"/>
  <c r="J455" i="19"/>
  <c r="J454" i="19"/>
  <c r="AA453" i="19"/>
  <c r="Z453" i="19"/>
  <c r="Y453" i="19"/>
  <c r="U453" i="19"/>
  <c r="T453" i="19"/>
  <c r="S453" i="19"/>
  <c r="J453" i="19"/>
  <c r="AA452" i="19"/>
  <c r="Z452" i="19"/>
  <c r="Y452" i="19"/>
  <c r="X452" i="19"/>
  <c r="W452" i="19"/>
  <c r="V452" i="19"/>
  <c r="U452" i="19"/>
  <c r="T452" i="19"/>
  <c r="S452" i="19"/>
  <c r="J452" i="19"/>
  <c r="AB451" i="19"/>
  <c r="X451" i="19"/>
  <c r="X453" i="19" s="1"/>
  <c r="W451" i="19"/>
  <c r="W453" i="19" s="1"/>
  <c r="V451" i="19"/>
  <c r="V453" i="19" s="1"/>
  <c r="J451" i="19"/>
  <c r="AB450" i="19"/>
  <c r="J450" i="19"/>
  <c r="AB449" i="19"/>
  <c r="J449" i="19"/>
  <c r="AB448" i="19"/>
  <c r="J448" i="19"/>
  <c r="AB447" i="19"/>
  <c r="M447" i="19"/>
  <c r="J447" i="19"/>
  <c r="AA446" i="19"/>
  <c r="M446" i="19" s="1"/>
  <c r="Z446" i="19"/>
  <c r="Y446" i="19"/>
  <c r="X446" i="19"/>
  <c r="W446" i="19"/>
  <c r="V446" i="19"/>
  <c r="U446" i="19"/>
  <c r="T446" i="19"/>
  <c r="S446" i="19"/>
  <c r="R446" i="19"/>
  <c r="Q446" i="19"/>
  <c r="P446" i="19"/>
  <c r="O446" i="19"/>
  <c r="N446" i="19"/>
  <c r="J446" i="19"/>
  <c r="AB445" i="19"/>
  <c r="J445" i="19"/>
  <c r="AA444" i="19"/>
  <c r="Z444" i="19"/>
  <c r="Y444" i="19"/>
  <c r="X444" i="19"/>
  <c r="W444" i="19"/>
  <c r="V444" i="19"/>
  <c r="U444" i="19"/>
  <c r="T444" i="19"/>
  <c r="S444" i="19"/>
  <c r="R444" i="19"/>
  <c r="Q444" i="19"/>
  <c r="P444" i="19"/>
  <c r="O444" i="19"/>
  <c r="N444" i="19"/>
  <c r="J444" i="19"/>
  <c r="AB443" i="19"/>
  <c r="J443" i="19"/>
  <c r="AB442" i="19"/>
  <c r="M442" i="19"/>
  <c r="Y108" i="24" s="1"/>
  <c r="Y107" i="24" s="1"/>
  <c r="J442" i="19"/>
  <c r="AB441" i="19"/>
  <c r="M441" i="19"/>
  <c r="J441" i="19"/>
  <c r="AB440" i="19"/>
  <c r="J440" i="19"/>
  <c r="AB439" i="19"/>
  <c r="M439" i="19"/>
  <c r="J439" i="19"/>
  <c r="AB438" i="19"/>
  <c r="J438" i="19"/>
  <c r="J436" i="19"/>
  <c r="M435" i="19"/>
  <c r="J435" i="19"/>
  <c r="J434" i="19"/>
  <c r="M433" i="19"/>
  <c r="J433" i="19"/>
  <c r="M432" i="19"/>
  <c r="J432" i="19"/>
  <c r="M431" i="19"/>
  <c r="J431" i="19"/>
  <c r="M430" i="19"/>
  <c r="J430" i="19"/>
  <c r="M429" i="19"/>
  <c r="J429" i="19"/>
  <c r="M428" i="19"/>
  <c r="J428" i="19"/>
  <c r="AA427" i="19"/>
  <c r="Z427" i="19"/>
  <c r="Y427" i="19"/>
  <c r="X427" i="19"/>
  <c r="W427" i="19"/>
  <c r="V427" i="19"/>
  <c r="U427" i="19"/>
  <c r="T427" i="19"/>
  <c r="S427" i="19"/>
  <c r="R427" i="19"/>
  <c r="Q427" i="19"/>
  <c r="P427" i="19"/>
  <c r="O427" i="19"/>
  <c r="N427" i="19"/>
  <c r="J427" i="19"/>
  <c r="J426" i="19"/>
  <c r="M425" i="19"/>
  <c r="J425" i="19"/>
  <c r="M424" i="19"/>
  <c r="J424" i="19"/>
  <c r="M423" i="19"/>
  <c r="J423" i="19"/>
  <c r="M422" i="19"/>
  <c r="J422" i="19"/>
  <c r="AA421" i="19"/>
  <c r="Z421" i="19"/>
  <c r="Y421" i="19"/>
  <c r="X421" i="19"/>
  <c r="W421" i="19"/>
  <c r="V421" i="19"/>
  <c r="U421" i="19"/>
  <c r="T421" i="19"/>
  <c r="S421" i="19"/>
  <c r="R421" i="19"/>
  <c r="Q421" i="19"/>
  <c r="P421" i="19"/>
  <c r="O421" i="19"/>
  <c r="N421" i="19"/>
  <c r="J421" i="19"/>
  <c r="M420" i="19"/>
  <c r="J420" i="19"/>
  <c r="M419" i="19"/>
  <c r="J419" i="19"/>
  <c r="M418" i="19"/>
  <c r="J418" i="19"/>
  <c r="Z417" i="19"/>
  <c r="Y417" i="19"/>
  <c r="Y416" i="19" s="1"/>
  <c r="X417" i="19"/>
  <c r="X416" i="19" s="1"/>
  <c r="W417" i="19"/>
  <c r="W416" i="19" s="1"/>
  <c r="V417" i="19"/>
  <c r="V416" i="19" s="1"/>
  <c r="U417" i="19"/>
  <c r="U416" i="19" s="1"/>
  <c r="T417" i="19"/>
  <c r="T416" i="19" s="1"/>
  <c r="S417" i="19"/>
  <c r="S416" i="19" s="1"/>
  <c r="R417" i="19"/>
  <c r="R416" i="19" s="1"/>
  <c r="Q417" i="19"/>
  <c r="Q416" i="19" s="1"/>
  <c r="P417" i="19"/>
  <c r="P416" i="19" s="1"/>
  <c r="O417" i="19"/>
  <c r="O416" i="19" s="1"/>
  <c r="N417" i="19"/>
  <c r="N416" i="19" s="1"/>
  <c r="J417" i="19"/>
  <c r="J416" i="19"/>
  <c r="J415" i="19"/>
  <c r="AA414" i="19"/>
  <c r="Z414" i="19"/>
  <c r="Y414" i="19"/>
  <c r="U414" i="19"/>
  <c r="T414" i="19"/>
  <c r="S414" i="19"/>
  <c r="J414" i="19"/>
  <c r="AA413" i="19"/>
  <c r="Z413" i="19"/>
  <c r="Y413" i="19"/>
  <c r="X413" i="19"/>
  <c r="W413" i="19"/>
  <c r="V413" i="19"/>
  <c r="U413" i="19"/>
  <c r="T413" i="19"/>
  <c r="S413" i="19"/>
  <c r="J413" i="19"/>
  <c r="X412" i="19"/>
  <c r="X414" i="19" s="1"/>
  <c r="W412" i="19"/>
  <c r="W414" i="19" s="1"/>
  <c r="V412" i="19"/>
  <c r="V414" i="19" s="1"/>
  <c r="J412" i="19"/>
  <c r="J411" i="19"/>
  <c r="J410" i="19"/>
  <c r="J409" i="19"/>
  <c r="M408" i="19"/>
  <c r="J408" i="19"/>
  <c r="AA407" i="19"/>
  <c r="Z407" i="19"/>
  <c r="Y407" i="19"/>
  <c r="X407" i="19"/>
  <c r="W407" i="19"/>
  <c r="V407" i="19"/>
  <c r="U407" i="19"/>
  <c r="T407" i="19"/>
  <c r="S407" i="19"/>
  <c r="R407" i="19"/>
  <c r="Q407" i="19"/>
  <c r="P407" i="19"/>
  <c r="O407" i="19"/>
  <c r="N407" i="19"/>
  <c r="J407" i="19"/>
  <c r="J406" i="19"/>
  <c r="AA405" i="19"/>
  <c r="Z405" i="19"/>
  <c r="Y405" i="19"/>
  <c r="X405" i="19"/>
  <c r="W405" i="19"/>
  <c r="V405" i="19"/>
  <c r="U405" i="19"/>
  <c r="T405" i="19"/>
  <c r="S405" i="19"/>
  <c r="R405" i="19"/>
  <c r="Q405" i="19"/>
  <c r="P405" i="19"/>
  <c r="O405" i="19"/>
  <c r="N405" i="19"/>
  <c r="J405" i="19"/>
  <c r="M404" i="19"/>
  <c r="J404" i="19"/>
  <c r="M403" i="19"/>
  <c r="J403" i="19"/>
  <c r="M402" i="19"/>
  <c r="J402" i="19"/>
  <c r="J401" i="19"/>
  <c r="M400" i="19"/>
  <c r="J400" i="19"/>
  <c r="J399" i="19"/>
  <c r="M111" i="21"/>
  <c r="M116" i="21"/>
  <c r="AB676" i="19"/>
  <c r="Z24" i="28"/>
  <c r="Z375" i="19"/>
  <c r="Y375" i="19"/>
  <c r="AS89" i="25"/>
  <c r="AS90" i="25"/>
  <c r="U109" i="25"/>
  <c r="U94" i="25"/>
  <c r="U96" i="25"/>
  <c r="U108" i="25"/>
  <c r="U83" i="25"/>
  <c r="AJ124" i="25"/>
  <c r="AK124" i="25"/>
  <c r="AL124" i="25"/>
  <c r="AM124" i="25"/>
  <c r="AN124" i="25"/>
  <c r="AO124" i="25"/>
  <c r="AP124" i="25"/>
  <c r="AQ124" i="25"/>
  <c r="AR124" i="25"/>
  <c r="AS124" i="25"/>
  <c r="AI124" i="25"/>
  <c r="X260" i="14"/>
  <c r="AA5" i="23"/>
  <c r="AA12" i="28"/>
  <c r="AA10" i="28"/>
  <c r="AT66" i="25"/>
  <c r="AS66" i="25"/>
  <c r="AS19" i="25"/>
  <c r="Y273" i="19"/>
  <c r="O32" i="24" s="1"/>
  <c r="N147" i="14" s="1"/>
  <c r="Y33" i="19"/>
  <c r="W225" i="21"/>
  <c r="W159" i="21"/>
  <c r="Z200" i="22"/>
  <c r="AR52" i="25"/>
  <c r="AS52" i="25"/>
  <c r="AR78" i="25"/>
  <c r="AS78" i="25"/>
  <c r="AR335" i="29"/>
  <c r="AS335" i="29"/>
  <c r="AT335" i="29"/>
  <c r="AT345" i="29"/>
  <c r="AU335" i="29"/>
  <c r="AV335" i="29"/>
  <c r="AW335" i="29"/>
  <c r="AW345" i="29"/>
  <c r="AX335" i="29"/>
  <c r="AX345" i="29"/>
  <c r="AY335" i="29"/>
  <c r="AZ335" i="29"/>
  <c r="BA335" i="29"/>
  <c r="BB335" i="29"/>
  <c r="BB345" i="29"/>
  <c r="BC335" i="29"/>
  <c r="AS345" i="29"/>
  <c r="AU345" i="29"/>
  <c r="AV345" i="29"/>
  <c r="AY345" i="29"/>
  <c r="AZ345" i="29"/>
  <c r="BA345" i="29"/>
  <c r="BC345" i="29"/>
  <c r="AR345" i="29"/>
  <c r="Q308" i="14"/>
  <c r="O296" i="14"/>
  <c r="O297" i="14"/>
  <c r="O299" i="14"/>
  <c r="O300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262" i="14"/>
  <c r="O263" i="14"/>
  <c r="O265" i="14"/>
  <c r="O266" i="14"/>
  <c r="O268" i="14"/>
  <c r="O269" i="14"/>
  <c r="O270" i="14"/>
  <c r="O274" i="14"/>
  <c r="O276" i="14"/>
  <c r="O278" i="14"/>
  <c r="O279" i="14"/>
  <c r="O282" i="14"/>
  <c r="O283" i="14"/>
  <c r="O286" i="14"/>
  <c r="O287" i="14"/>
  <c r="O289" i="14"/>
  <c r="T289" i="14"/>
  <c r="O290" i="14"/>
  <c r="T290" i="14"/>
  <c r="Z42" i="19"/>
  <c r="O248" i="14" s="1"/>
  <c r="AB42" i="19"/>
  <c r="AS44" i="25"/>
  <c r="W13" i="21"/>
  <c r="Z40" i="19"/>
  <c r="O264" i="14"/>
  <c r="O285" i="14"/>
  <c r="O261" i="14"/>
  <c r="T261" i="14"/>
  <c r="O267" i="14"/>
  <c r="O271" i="14"/>
  <c r="W158" i="21"/>
  <c r="M644" i="19"/>
  <c r="Q56" i="27"/>
  <c r="Q30" i="27"/>
  <c r="Q3" i="27"/>
  <c r="Z492" i="19"/>
  <c r="O190" i="14" s="1"/>
  <c r="Z39" i="22"/>
  <c r="Z490" i="19"/>
  <c r="O169" i="14" s="1"/>
  <c r="W424" i="21"/>
  <c r="W421" i="21"/>
  <c r="W364" i="21"/>
  <c r="W361" i="21"/>
  <c r="W304" i="21"/>
  <c r="W301" i="21"/>
  <c r="W244" i="21"/>
  <c r="V244" i="21"/>
  <c r="Z527" i="19"/>
  <c r="Z529" i="19" s="1"/>
  <c r="Z14" i="19"/>
  <c r="W241" i="21"/>
  <c r="W184" i="21"/>
  <c r="W181" i="21"/>
  <c r="W119" i="21"/>
  <c r="W121" i="21"/>
  <c r="W111" i="21"/>
  <c r="W120" i="21"/>
  <c r="Z621" i="19"/>
  <c r="Z543" i="19"/>
  <c r="O492" i="14" s="1"/>
  <c r="W165" i="21"/>
  <c r="W164" i="21"/>
  <c r="W163" i="21"/>
  <c r="W162" i="21"/>
  <c r="B25" i="41"/>
  <c r="C25" i="41"/>
  <c r="D25" i="41"/>
  <c r="E25" i="41"/>
  <c r="F25" i="41"/>
  <c r="G25" i="41"/>
  <c r="AK20" i="41"/>
  <c r="AL20" i="41"/>
  <c r="W579" i="21"/>
  <c r="AL24" i="41"/>
  <c r="AL16" i="41"/>
  <c r="AL26" i="41"/>
  <c r="AL25" i="41"/>
  <c r="AL23" i="41"/>
  <c r="AL22" i="41"/>
  <c r="AL19" i="41"/>
  <c r="AL18" i="41"/>
  <c r="AL17" i="41"/>
  <c r="AL13" i="41"/>
  <c r="AL9" i="41"/>
  <c r="AL8" i="41"/>
  <c r="AL4" i="41"/>
  <c r="Y9" i="41"/>
  <c r="Y3" i="41"/>
  <c r="L26" i="41"/>
  <c r="L25" i="41"/>
  <c r="L24" i="41"/>
  <c r="L19" i="41"/>
  <c r="L18" i="41"/>
  <c r="L17" i="41"/>
  <c r="L9" i="41"/>
  <c r="L8" i="41"/>
  <c r="L4" i="41"/>
  <c r="L3" i="41"/>
  <c r="M506" i="19"/>
  <c r="P130" i="24" s="1"/>
  <c r="AL21" i="41"/>
  <c r="W161" i="21"/>
  <c r="L7" i="41"/>
  <c r="AL6" i="41"/>
  <c r="AL7" i="41"/>
  <c r="AL15" i="41"/>
  <c r="W582" i="21"/>
  <c r="Y26" i="41"/>
  <c r="W581" i="21"/>
  <c r="Y25" i="41"/>
  <c r="Y24" i="41"/>
  <c r="W574" i="21"/>
  <c r="W573" i="21"/>
  <c r="W572" i="21"/>
  <c r="Y19" i="41"/>
  <c r="W571" i="21"/>
  <c r="Y18" i="41"/>
  <c r="W570" i="21"/>
  <c r="W569" i="21"/>
  <c r="W568" i="21"/>
  <c r="W566" i="21"/>
  <c r="W152" i="21"/>
  <c r="V585" i="19"/>
  <c r="K495" i="14" s="1"/>
  <c r="V33" i="19"/>
  <c r="X227" i="19"/>
  <c r="X26" i="19" s="1"/>
  <c r="W499" i="21"/>
  <c r="L12" i="41"/>
  <c r="W272" i="21"/>
  <c r="W463" i="21"/>
  <c r="W462" i="21"/>
  <c r="W403" i="21"/>
  <c r="W402" i="21"/>
  <c r="W343" i="21"/>
  <c r="W342" i="21"/>
  <c r="W223" i="21"/>
  <c r="W222" i="21"/>
  <c r="W253" i="21"/>
  <c r="W256" i="21"/>
  <c r="W265" i="21"/>
  <c r="W264" i="21"/>
  <c r="W263" i="21"/>
  <c r="W262" i="21"/>
  <c r="W261" i="21"/>
  <c r="W260" i="21"/>
  <c r="W259" i="21"/>
  <c r="W271" i="21"/>
  <c r="W270" i="21"/>
  <c r="W274" i="21"/>
  <c r="W283" i="21"/>
  <c r="W282" i="21"/>
  <c r="W451" i="21"/>
  <c r="W450" i="21"/>
  <c r="W440" i="21"/>
  <c r="W438" i="21"/>
  <c r="X407" i="21"/>
  <c r="W390" i="21"/>
  <c r="W331" i="21"/>
  <c r="W330" i="21"/>
  <c r="W320" i="21"/>
  <c r="W316" i="21"/>
  <c r="W200" i="21"/>
  <c r="W196" i="21"/>
  <c r="W503" i="21"/>
  <c r="W436" i="21"/>
  <c r="W380" i="21"/>
  <c r="W378" i="21"/>
  <c r="W376" i="21"/>
  <c r="W372" i="21"/>
  <c r="V372" i="21"/>
  <c r="W210" i="21"/>
  <c r="W227" i="19"/>
  <c r="V227" i="19"/>
  <c r="V26" i="19" s="1"/>
  <c r="Z328" i="22"/>
  <c r="Z275" i="22"/>
  <c r="Z222" i="22"/>
  <c r="Z169" i="22"/>
  <c r="Z63" i="22"/>
  <c r="Z324" i="22"/>
  <c r="Z323" i="22" s="1"/>
  <c r="Z271" i="22"/>
  <c r="Z270" i="22" s="1"/>
  <c r="Z218" i="22"/>
  <c r="Z217" i="22" s="1"/>
  <c r="Z59" i="22"/>
  <c r="Z58" i="22" s="1"/>
  <c r="W154" i="21"/>
  <c r="W160" i="21"/>
  <c r="AQ12" i="41"/>
  <c r="Z165" i="22"/>
  <c r="Z164" i="22" s="1"/>
  <c r="W544" i="21"/>
  <c r="Y8" i="41"/>
  <c r="W481" i="21"/>
  <c r="L5" i="41"/>
  <c r="W483" i="21"/>
  <c r="W517" i="21"/>
  <c r="W418" i="21"/>
  <c r="W358" i="21"/>
  <c r="W298" i="21"/>
  <c r="W238" i="21"/>
  <c r="W178" i="21"/>
  <c r="W11" i="21"/>
  <c r="W8" i="21"/>
  <c r="W415" i="21"/>
  <c r="W355" i="21"/>
  <c r="W295" i="21"/>
  <c r="W235" i="21"/>
  <c r="W175" i="21"/>
  <c r="W105" i="21"/>
  <c r="W479" i="21"/>
  <c r="V479" i="21"/>
  <c r="W108" i="21"/>
  <c r="Y20" i="41"/>
  <c r="Y17" i="41"/>
  <c r="AL14" i="41"/>
  <c r="W541" i="21"/>
  <c r="Y5" i="41"/>
  <c r="Y4" i="41"/>
  <c r="Y7" i="41"/>
  <c r="W518" i="21"/>
  <c r="W563" i="21"/>
  <c r="Y13" i="41"/>
  <c r="L13" i="41"/>
  <c r="L11" i="41"/>
  <c r="W577" i="21"/>
  <c r="Y22" i="41"/>
  <c r="L22" i="41"/>
  <c r="W507" i="21"/>
  <c r="W505" i="21"/>
  <c r="W498" i="21"/>
  <c r="W336" i="21"/>
  <c r="W396" i="21"/>
  <c r="W456" i="21"/>
  <c r="W216" i="21"/>
  <c r="W269" i="21"/>
  <c r="W368" i="21"/>
  <c r="W329" i="21"/>
  <c r="W276" i="21"/>
  <c r="W449" i="21"/>
  <c r="W437" i="21"/>
  <c r="W371" i="21"/>
  <c r="AB477" i="19"/>
  <c r="AB478" i="19"/>
  <c r="AB479" i="19"/>
  <c r="AB480" i="19"/>
  <c r="AB481" i="19"/>
  <c r="AB482" i="19"/>
  <c r="AB483" i="19"/>
  <c r="AB486" i="19"/>
  <c r="AB487" i="19"/>
  <c r="AB488" i="19"/>
  <c r="AB489" i="19"/>
  <c r="AB496" i="19"/>
  <c r="AB497" i="19"/>
  <c r="AB498" i="19"/>
  <c r="AB500" i="19"/>
  <c r="AB501" i="19"/>
  <c r="AB502" i="19"/>
  <c r="AB503" i="19"/>
  <c r="AB504" i="19"/>
  <c r="AB506" i="19"/>
  <c r="AB507" i="19"/>
  <c r="AB508" i="19"/>
  <c r="AB509" i="19"/>
  <c r="AB510" i="19"/>
  <c r="AB511" i="19"/>
  <c r="AB512" i="19"/>
  <c r="AB513" i="19"/>
  <c r="AB515" i="19"/>
  <c r="AB516" i="19"/>
  <c r="AB517" i="19"/>
  <c r="AB518" i="19"/>
  <c r="AB519" i="19"/>
  <c r="AB523" i="19"/>
  <c r="AB525" i="19"/>
  <c r="AB526" i="19"/>
  <c r="AB535" i="19"/>
  <c r="AB539" i="19"/>
  <c r="AB540" i="19"/>
  <c r="AB541" i="19"/>
  <c r="AB542" i="19"/>
  <c r="AB545" i="19"/>
  <c r="AB546" i="19"/>
  <c r="AB547" i="19"/>
  <c r="AB548" i="19"/>
  <c r="AB549" i="19"/>
  <c r="AB550" i="19"/>
  <c r="AB551" i="19"/>
  <c r="AB552" i="19"/>
  <c r="AB554" i="19"/>
  <c r="AB555" i="19"/>
  <c r="AB556" i="19"/>
  <c r="AB557" i="19"/>
  <c r="AB558" i="19"/>
  <c r="AB561" i="19"/>
  <c r="AB562" i="19"/>
  <c r="AB564" i="19"/>
  <c r="AB565" i="19"/>
  <c r="AB566" i="19"/>
  <c r="AB567" i="19"/>
  <c r="AB573" i="19"/>
  <c r="AB574" i="19"/>
  <c r="AB575" i="19"/>
  <c r="AB576" i="19"/>
  <c r="AB578" i="19"/>
  <c r="AB579" i="19"/>
  <c r="AB580" i="19"/>
  <c r="AB581" i="19"/>
  <c r="AB584" i="19"/>
  <c r="AB585" i="19"/>
  <c r="AB586" i="19"/>
  <c r="AB587" i="19"/>
  <c r="AB588" i="19"/>
  <c r="AB589" i="19"/>
  <c r="AB590" i="19"/>
  <c r="AB591" i="19"/>
  <c r="AB593" i="19"/>
  <c r="AB594" i="19"/>
  <c r="AB595" i="19"/>
  <c r="AB596" i="19"/>
  <c r="AB597" i="19"/>
  <c r="AB600" i="19"/>
  <c r="AB601" i="19"/>
  <c r="AB603" i="19"/>
  <c r="AB604" i="19"/>
  <c r="AB605" i="19"/>
  <c r="AB606" i="19"/>
  <c r="AB613" i="19"/>
  <c r="AB617" i="19"/>
  <c r="AB618" i="19"/>
  <c r="AB619" i="19"/>
  <c r="AB620" i="19"/>
  <c r="AB623" i="19"/>
  <c r="AB624" i="19"/>
  <c r="AB625" i="19"/>
  <c r="AB626" i="19"/>
  <c r="AB627" i="19"/>
  <c r="AB628" i="19"/>
  <c r="AB629" i="19"/>
  <c r="AB630" i="19"/>
  <c r="AB633" i="19"/>
  <c r="AB634" i="19"/>
  <c r="AB635" i="19"/>
  <c r="AB636" i="19"/>
  <c r="AB639" i="19"/>
  <c r="AB640" i="19"/>
  <c r="AB642" i="19"/>
  <c r="AB643" i="19"/>
  <c r="AB644" i="19"/>
  <c r="AB645" i="19"/>
  <c r="AB652" i="19"/>
  <c r="AB653" i="19"/>
  <c r="AB654" i="19"/>
  <c r="AB656" i="19"/>
  <c r="AB657" i="19"/>
  <c r="AB658" i="19"/>
  <c r="AB659" i="19"/>
  <c r="AB660" i="19"/>
  <c r="AB662" i="19"/>
  <c r="AB663" i="19"/>
  <c r="AB664" i="19"/>
  <c r="AB665" i="19"/>
  <c r="AB666" i="19"/>
  <c r="AB667" i="19"/>
  <c r="AB668" i="19"/>
  <c r="AB669" i="19"/>
  <c r="Z560" i="19"/>
  <c r="J517" i="19"/>
  <c r="AS35" i="25"/>
  <c r="AS68" i="25"/>
  <c r="W578" i="21"/>
  <c r="Y23" i="41"/>
  <c r="Y21" i="41"/>
  <c r="L23" i="41"/>
  <c r="L21" i="41"/>
  <c r="W516" i="21"/>
  <c r="W496" i="21"/>
  <c r="L16" i="41"/>
  <c r="W567" i="21"/>
  <c r="W565" i="21"/>
  <c r="Z261" i="19"/>
  <c r="Z105" i="19"/>
  <c r="Z104" i="19" s="1"/>
  <c r="Z144" i="19"/>
  <c r="Z143" i="19" s="1"/>
  <c r="Z183" i="19"/>
  <c r="Z182" i="19" s="1"/>
  <c r="Z222" i="19"/>
  <c r="Z221" i="19" s="1"/>
  <c r="O373" i="14" s="1"/>
  <c r="Z300" i="19"/>
  <c r="Z299" i="19" s="1"/>
  <c r="Z339" i="19"/>
  <c r="Z338" i="19" s="1"/>
  <c r="Z378" i="19"/>
  <c r="Z495" i="19"/>
  <c r="Z494" i="19" s="1"/>
  <c r="Z651" i="19"/>
  <c r="Q145" i="21"/>
  <c r="W504" i="21"/>
  <c r="W497" i="21"/>
  <c r="W576" i="21"/>
  <c r="W556" i="21"/>
  <c r="Y16" i="41"/>
  <c r="W495" i="21"/>
  <c r="L6" i="41"/>
  <c r="L15" i="41"/>
  <c r="L14" i="41"/>
  <c r="L10" i="41"/>
  <c r="W85" i="21"/>
  <c r="V87" i="21"/>
  <c r="V145" i="21"/>
  <c r="W150" i="21"/>
  <c r="AL27" i="41"/>
  <c r="W132" i="21"/>
  <c r="W126" i="21"/>
  <c r="AL12" i="41"/>
  <c r="AL11" i="41"/>
  <c r="AL10" i="41"/>
  <c r="W90" i="21"/>
  <c r="W564" i="21"/>
  <c r="AL28" i="41"/>
  <c r="Y15" i="41"/>
  <c r="Y14" i="41"/>
  <c r="Y6" i="41"/>
  <c r="W125" i="21"/>
  <c r="W6" i="21"/>
  <c r="W560" i="21"/>
  <c r="W559" i="21"/>
  <c r="Y12" i="41"/>
  <c r="Y11" i="41"/>
  <c r="W391" i="21"/>
  <c r="W389" i="21"/>
  <c r="W211" i="21"/>
  <c r="W209" i="21"/>
  <c r="W143" i="21"/>
  <c r="W123" i="21"/>
  <c r="W122" i="21"/>
  <c r="Y10" i="41"/>
  <c r="AO10" i="41"/>
  <c r="W558" i="21"/>
  <c r="W557" i="21"/>
  <c r="W555" i="21"/>
  <c r="W377" i="21"/>
  <c r="W370" i="21"/>
  <c r="W407" i="21"/>
  <c r="W369" i="21"/>
  <c r="W131" i="21"/>
  <c r="W124" i="21"/>
  <c r="W166" i="21"/>
  <c r="W167" i="21"/>
  <c r="W79" i="21"/>
  <c r="W74" i="21"/>
  <c r="W75" i="21"/>
  <c r="W42" i="21"/>
  <c r="W41" i="21"/>
  <c r="W40" i="21"/>
  <c r="W39" i="21"/>
  <c r="W37" i="21"/>
  <c r="W36" i="21"/>
  <c r="W35" i="21"/>
  <c r="W34" i="21"/>
  <c r="W47" i="21"/>
  <c r="W57" i="21"/>
  <c r="W26" i="21"/>
  <c r="Z537" i="19"/>
  <c r="Z615" i="19"/>
  <c r="Z32" i="22"/>
  <c r="Z147" i="22"/>
  <c r="Z136" i="22"/>
  <c r="Z129" i="22"/>
  <c r="Z128" i="22" s="1"/>
  <c r="Z114" i="22"/>
  <c r="Z111" i="22"/>
  <c r="Z107" i="22"/>
  <c r="Z109" i="22" s="1"/>
  <c r="W38" i="21"/>
  <c r="W25" i="21"/>
  <c r="W27" i="21"/>
  <c r="W43" i="21"/>
  <c r="W44" i="21"/>
  <c r="W31" i="21"/>
  <c r="W48" i="21"/>
  <c r="W51" i="21"/>
  <c r="W49" i="21"/>
  <c r="W71" i="21"/>
  <c r="W78" i="21"/>
  <c r="W29" i="21"/>
  <c r="W7" i="21"/>
  <c r="W76" i="21"/>
  <c r="W97" i="21"/>
  <c r="W273" i="19"/>
  <c r="U273" i="19"/>
  <c r="J407" i="14" s="1"/>
  <c r="AN264" i="14"/>
  <c r="AQ261" i="14"/>
  <c r="AJ260" i="14"/>
  <c r="Z6" i="28"/>
  <c r="Z10" i="28"/>
  <c r="Z5" i="23"/>
  <c r="P612" i="19"/>
  <c r="P611" i="19" s="1"/>
  <c r="Q612" i="19"/>
  <c r="Q611" i="19" s="1"/>
  <c r="R612" i="19"/>
  <c r="R611" i="19" s="1"/>
  <c r="G518" i="14" s="1"/>
  <c r="S612" i="19"/>
  <c r="S611" i="19" s="1"/>
  <c r="T612" i="19"/>
  <c r="T611" i="19" s="1"/>
  <c r="U612" i="19"/>
  <c r="U611" i="19" s="1"/>
  <c r="V612" i="19"/>
  <c r="V611" i="19" s="1"/>
  <c r="K518" i="14" s="1"/>
  <c r="W612" i="19"/>
  <c r="W611" i="19" s="1"/>
  <c r="L518" i="14" s="1"/>
  <c r="X612" i="19"/>
  <c r="X611" i="19" s="1"/>
  <c r="Y651" i="19"/>
  <c r="Y650" i="19" s="1"/>
  <c r="R56" i="27"/>
  <c r="AK24" i="41"/>
  <c r="P73" i="27"/>
  <c r="C74" i="27"/>
  <c r="D74" i="27"/>
  <c r="E74" i="27"/>
  <c r="F74" i="27"/>
  <c r="G74" i="27"/>
  <c r="H74" i="27"/>
  <c r="I74" i="27"/>
  <c r="J74" i="27"/>
  <c r="K74" i="27"/>
  <c r="L74" i="27"/>
  <c r="M74" i="27"/>
  <c r="N74" i="27"/>
  <c r="O74" i="27"/>
  <c r="B74" i="27"/>
  <c r="C73" i="27"/>
  <c r="D73" i="27"/>
  <c r="E73" i="27"/>
  <c r="F73" i="27"/>
  <c r="G73" i="27"/>
  <c r="H73" i="27"/>
  <c r="I73" i="27"/>
  <c r="J73" i="27"/>
  <c r="K73" i="27"/>
  <c r="L73" i="27"/>
  <c r="M73" i="27"/>
  <c r="N73" i="27"/>
  <c r="O73" i="27"/>
  <c r="B73" i="27"/>
  <c r="C72" i="27"/>
  <c r="D72" i="27"/>
  <c r="E72" i="27"/>
  <c r="F72" i="27"/>
  <c r="G72" i="27"/>
  <c r="H72" i="27"/>
  <c r="I72" i="27"/>
  <c r="J72" i="27"/>
  <c r="K72" i="27"/>
  <c r="L72" i="27"/>
  <c r="M72" i="27"/>
  <c r="N72" i="27"/>
  <c r="O72" i="27"/>
  <c r="B72" i="27"/>
  <c r="C71" i="27"/>
  <c r="D71" i="27"/>
  <c r="E71" i="27"/>
  <c r="F71" i="27"/>
  <c r="G71" i="27"/>
  <c r="H71" i="27"/>
  <c r="I71" i="27"/>
  <c r="J71" i="27"/>
  <c r="K71" i="27"/>
  <c r="L71" i="27"/>
  <c r="M71" i="27"/>
  <c r="N71" i="27"/>
  <c r="O71" i="27"/>
  <c r="B71" i="27"/>
  <c r="C70" i="27"/>
  <c r="D70" i="27"/>
  <c r="E70" i="27"/>
  <c r="F70" i="27"/>
  <c r="G70" i="27"/>
  <c r="H70" i="27"/>
  <c r="I70" i="27"/>
  <c r="J70" i="27"/>
  <c r="K70" i="27"/>
  <c r="L70" i="27"/>
  <c r="M70" i="27"/>
  <c r="N70" i="27"/>
  <c r="O70" i="27"/>
  <c r="B70" i="27"/>
  <c r="C69" i="27"/>
  <c r="D69" i="27"/>
  <c r="E69" i="27"/>
  <c r="F69" i="27"/>
  <c r="G69" i="27"/>
  <c r="H69" i="27"/>
  <c r="I69" i="27"/>
  <c r="J69" i="27"/>
  <c r="K69" i="27"/>
  <c r="L69" i="27"/>
  <c r="M69" i="27"/>
  <c r="N69" i="27"/>
  <c r="O69" i="27"/>
  <c r="B69" i="27"/>
  <c r="C68" i="27"/>
  <c r="D68" i="27"/>
  <c r="E68" i="27"/>
  <c r="F68" i="27"/>
  <c r="G68" i="27"/>
  <c r="H68" i="27"/>
  <c r="I68" i="27"/>
  <c r="J68" i="27"/>
  <c r="K68" i="27"/>
  <c r="L68" i="27"/>
  <c r="M68" i="27"/>
  <c r="N68" i="27"/>
  <c r="O68" i="27"/>
  <c r="B68" i="27"/>
  <c r="C67" i="27"/>
  <c r="D67" i="27"/>
  <c r="E67" i="27"/>
  <c r="F67" i="27"/>
  <c r="G67" i="27"/>
  <c r="H67" i="27"/>
  <c r="I67" i="27"/>
  <c r="J67" i="27"/>
  <c r="K67" i="27"/>
  <c r="L67" i="27"/>
  <c r="M67" i="27"/>
  <c r="N67" i="27"/>
  <c r="O67" i="27"/>
  <c r="B67" i="27"/>
  <c r="D65" i="27"/>
  <c r="E65" i="27"/>
  <c r="G65" i="27"/>
  <c r="H65" i="27"/>
  <c r="J65" i="27"/>
  <c r="K65" i="27"/>
  <c r="M65" i="27"/>
  <c r="N65" i="27"/>
  <c r="B65" i="27"/>
  <c r="C64" i="27"/>
  <c r="D64" i="27"/>
  <c r="D92" i="27" s="1"/>
  <c r="E64" i="27"/>
  <c r="E92" i="27" s="1"/>
  <c r="F64" i="27"/>
  <c r="F92" i="27" s="1"/>
  <c r="G64" i="27"/>
  <c r="G92" i="27" s="1"/>
  <c r="H64" i="27"/>
  <c r="H92" i="27" s="1"/>
  <c r="I64" i="27"/>
  <c r="I92" i="27" s="1"/>
  <c r="J64" i="27"/>
  <c r="J92" i="27" s="1"/>
  <c r="K64" i="27"/>
  <c r="L64" i="27"/>
  <c r="M64" i="27"/>
  <c r="N64" i="27"/>
  <c r="N92" i="27" s="1"/>
  <c r="O64" i="27"/>
  <c r="B64" i="27"/>
  <c r="C57" i="27"/>
  <c r="D57" i="27"/>
  <c r="E57" i="27"/>
  <c r="F57" i="27"/>
  <c r="G57" i="27"/>
  <c r="H57" i="27"/>
  <c r="I57" i="27"/>
  <c r="J57" i="27"/>
  <c r="K57" i="27"/>
  <c r="L57" i="27"/>
  <c r="M57" i="27"/>
  <c r="N57" i="27"/>
  <c r="O57" i="27"/>
  <c r="B57" i="27"/>
  <c r="M135" i="19"/>
  <c r="M136" i="19"/>
  <c r="C13" i="24" s="1"/>
  <c r="M137" i="19"/>
  <c r="P59" i="27" s="1"/>
  <c r="M138" i="19"/>
  <c r="C15" i="24" s="1"/>
  <c r="C59" i="27"/>
  <c r="D59" i="27"/>
  <c r="E59" i="27"/>
  <c r="F59" i="27"/>
  <c r="G59" i="27"/>
  <c r="H59" i="27"/>
  <c r="I59" i="27"/>
  <c r="J59" i="27"/>
  <c r="K59" i="27"/>
  <c r="L59" i="27"/>
  <c r="M59" i="27"/>
  <c r="N59" i="27"/>
  <c r="O59" i="27"/>
  <c r="B59" i="27"/>
  <c r="D399" i="14"/>
  <c r="C399" i="14"/>
  <c r="C56" i="27"/>
  <c r="D56" i="27"/>
  <c r="D87" i="27" s="1"/>
  <c r="E56" i="27"/>
  <c r="E87" i="27" s="1"/>
  <c r="F56" i="27"/>
  <c r="F87" i="27" s="1"/>
  <c r="G56" i="27"/>
  <c r="G87" i="27" s="1"/>
  <c r="H56" i="27"/>
  <c r="H87" i="27" s="1"/>
  <c r="I56" i="27"/>
  <c r="I87" i="27" s="1"/>
  <c r="J56" i="27"/>
  <c r="J87" i="27" s="1"/>
  <c r="K56" i="27"/>
  <c r="K87" i="27" s="1"/>
  <c r="L56" i="27"/>
  <c r="L87" i="27" s="1"/>
  <c r="M56" i="27"/>
  <c r="M87" i="27" s="1"/>
  <c r="N56" i="27"/>
  <c r="N87" i="27" s="1"/>
  <c r="O56" i="27"/>
  <c r="O87" i="27" s="1"/>
  <c r="B56" i="27"/>
  <c r="K39" i="27"/>
  <c r="L39" i="27"/>
  <c r="M39" i="27"/>
  <c r="P540" i="21"/>
  <c r="Q540" i="21"/>
  <c r="R540" i="21"/>
  <c r="S540" i="21"/>
  <c r="T540" i="21"/>
  <c r="U540" i="21"/>
  <c r="V540" i="21"/>
  <c r="O540" i="21"/>
  <c r="N479" i="21"/>
  <c r="O479" i="21"/>
  <c r="P479" i="21"/>
  <c r="Q479" i="21"/>
  <c r="R479" i="21"/>
  <c r="S479" i="21"/>
  <c r="T479" i="21"/>
  <c r="U479" i="21"/>
  <c r="M479" i="21"/>
  <c r="V158" i="21"/>
  <c r="AJ68" i="25"/>
  <c r="AK68" i="25"/>
  <c r="AL68" i="25"/>
  <c r="AM68" i="25"/>
  <c r="AM66" i="25"/>
  <c r="AN68" i="25"/>
  <c r="AN66" i="25"/>
  <c r="AO68" i="25"/>
  <c r="AP68" i="25"/>
  <c r="AP66" i="25"/>
  <c r="AQ68" i="25"/>
  <c r="AR68" i="25"/>
  <c r="AI68" i="25"/>
  <c r="AP71" i="25"/>
  <c r="AM71" i="25"/>
  <c r="AN71" i="25"/>
  <c r="AJ66" i="25"/>
  <c r="AK66" i="25"/>
  <c r="AL66" i="25"/>
  <c r="AO66" i="25"/>
  <c r="AQ66" i="25"/>
  <c r="AI66" i="25"/>
  <c r="L300" i="14"/>
  <c r="M300" i="14"/>
  <c r="N300" i="14"/>
  <c r="S298" i="14"/>
  <c r="R298" i="14"/>
  <c r="Y328" i="22"/>
  <c r="Y275" i="22"/>
  <c r="Y222" i="22"/>
  <c r="Y169" i="22"/>
  <c r="Y63" i="22"/>
  <c r="Y39" i="22"/>
  <c r="N118" i="14" s="1"/>
  <c r="T300" i="14"/>
  <c r="X300" i="14"/>
  <c r="R300" i="14"/>
  <c r="S300" i="14"/>
  <c r="W300" i="14"/>
  <c r="Y42" i="19"/>
  <c r="V164" i="21"/>
  <c r="V165" i="21"/>
  <c r="V13" i="21"/>
  <c r="V154" i="21"/>
  <c r="V160" i="21"/>
  <c r="V450" i="21"/>
  <c r="U450" i="21"/>
  <c r="T450" i="21"/>
  <c r="U390" i="21"/>
  <c r="T390" i="21"/>
  <c r="U330" i="21"/>
  <c r="T330" i="21"/>
  <c r="U270" i="21"/>
  <c r="T270" i="21"/>
  <c r="S270" i="21"/>
  <c r="U210" i="21"/>
  <c r="T210" i="21"/>
  <c r="S210" i="21"/>
  <c r="R210" i="21"/>
  <c r="V330" i="21"/>
  <c r="V210" i="21"/>
  <c r="V390" i="21"/>
  <c r="V270" i="21"/>
  <c r="N296" i="14"/>
  <c r="S296" i="14"/>
  <c r="N297" i="14"/>
  <c r="S297" i="14"/>
  <c r="N299" i="14"/>
  <c r="S299" i="14"/>
  <c r="N303" i="14"/>
  <c r="S303" i="14"/>
  <c r="N305" i="14"/>
  <c r="S305" i="14"/>
  <c r="N306" i="14"/>
  <c r="S306" i="14"/>
  <c r="N307" i="14"/>
  <c r="S307" i="14"/>
  <c r="N309" i="14"/>
  <c r="S309" i="14"/>
  <c r="N310" i="14"/>
  <c r="S310" i="14"/>
  <c r="N311" i="14"/>
  <c r="S311" i="14"/>
  <c r="N312" i="14"/>
  <c r="S312" i="14"/>
  <c r="N313" i="14"/>
  <c r="S313" i="14"/>
  <c r="N315" i="14"/>
  <c r="S315" i="14"/>
  <c r="N316" i="14"/>
  <c r="S316" i="14"/>
  <c r="N317" i="14"/>
  <c r="S317" i="14"/>
  <c r="N318" i="14"/>
  <c r="S318" i="14"/>
  <c r="N319" i="14"/>
  <c r="S319" i="14"/>
  <c r="N320" i="14"/>
  <c r="S320" i="14"/>
  <c r="Q275" i="14"/>
  <c r="Y361" i="22"/>
  <c r="Y43" i="22" s="1"/>
  <c r="N126" i="14" s="1"/>
  <c r="N42" i="14" s="1"/>
  <c r="AR20" i="25"/>
  <c r="AR66" i="25"/>
  <c r="Y324" i="22"/>
  <c r="Y323" i="22" s="1"/>
  <c r="Y271" i="22"/>
  <c r="Y218" i="22"/>
  <c r="Y217" i="22" s="1"/>
  <c r="Y165" i="22"/>
  <c r="M30" i="27" s="1"/>
  <c r="M86" i="27" s="1"/>
  <c r="Y59" i="22"/>
  <c r="Y58" i="22" s="1"/>
  <c r="M483" i="19"/>
  <c r="AK16" i="41"/>
  <c r="AK4" i="41"/>
  <c r="AK8" i="41"/>
  <c r="AK9" i="41"/>
  <c r="AK13" i="41"/>
  <c r="AK17" i="41"/>
  <c r="AK18" i="41"/>
  <c r="AK19" i="41"/>
  <c r="AK22" i="41"/>
  <c r="AK23" i="41"/>
  <c r="AK25" i="41"/>
  <c r="AK26" i="41"/>
  <c r="AK6" i="41"/>
  <c r="AK7" i="41"/>
  <c r="AK15" i="41"/>
  <c r="AK21" i="41"/>
  <c r="X3" i="41"/>
  <c r="X9" i="41"/>
  <c r="B9" i="41"/>
  <c r="C9" i="41"/>
  <c r="D9" i="41"/>
  <c r="E9" i="41"/>
  <c r="F9" i="41"/>
  <c r="G9" i="41"/>
  <c r="K3" i="41"/>
  <c r="K4" i="41"/>
  <c r="K8" i="41"/>
  <c r="K9" i="41"/>
  <c r="K17" i="41"/>
  <c r="K18" i="41"/>
  <c r="K19" i="41"/>
  <c r="K24" i="41"/>
  <c r="K25" i="41"/>
  <c r="K26" i="41"/>
  <c r="Q512" i="21"/>
  <c r="R499" i="21"/>
  <c r="V568" i="21"/>
  <c r="V569" i="21"/>
  <c r="V570" i="21"/>
  <c r="V571" i="21"/>
  <c r="X18" i="41"/>
  <c r="V572" i="21"/>
  <c r="X19" i="41"/>
  <c r="V503" i="21"/>
  <c r="K13" i="41"/>
  <c r="V499" i="21"/>
  <c r="K12" i="41"/>
  <c r="Y582" i="19"/>
  <c r="AB582" i="19" s="1"/>
  <c r="Y528" i="19"/>
  <c r="Y543" i="19"/>
  <c r="Y621" i="19"/>
  <c r="N521" i="14" s="1"/>
  <c r="K7" i="41"/>
  <c r="AK14" i="41"/>
  <c r="K11" i="41"/>
  <c r="V498" i="21"/>
  <c r="V579" i="21"/>
  <c r="X24" i="41"/>
  <c r="V566" i="21"/>
  <c r="V563" i="21"/>
  <c r="X13" i="41"/>
  <c r="V581" i="21"/>
  <c r="X25" i="41"/>
  <c r="V544" i="21"/>
  <c r="X8" i="41"/>
  <c r="V481" i="21"/>
  <c r="K5" i="41"/>
  <c r="V162" i="21"/>
  <c r="V163" i="21"/>
  <c r="V8" i="21"/>
  <c r="V11" i="21"/>
  <c r="V152" i="21"/>
  <c r="V402" i="21"/>
  <c r="V403" i="21"/>
  <c r="V283" i="21"/>
  <c r="V282" i="21"/>
  <c r="V222" i="21"/>
  <c r="V223" i="21"/>
  <c r="V424" i="21"/>
  <c r="V421" i="21"/>
  <c r="V364" i="21"/>
  <c r="X17" i="41"/>
  <c r="V276" i="21"/>
  <c r="V216" i="21"/>
  <c r="V396" i="21"/>
  <c r="V361" i="21"/>
  <c r="V304" i="21"/>
  <c r="V301" i="21"/>
  <c r="V241" i="21"/>
  <c r="V184" i="21"/>
  <c r="V181" i="21"/>
  <c r="V119" i="21"/>
  <c r="V121" i="21"/>
  <c r="V111" i="21"/>
  <c r="V120" i="21"/>
  <c r="V582" i="21"/>
  <c r="X26" i="41"/>
  <c r="R522" i="21"/>
  <c r="Q573" i="21"/>
  <c r="O522" i="21"/>
  <c r="AR89" i="25"/>
  <c r="N302" i="14"/>
  <c r="S302" i="14"/>
  <c r="Y356" i="22"/>
  <c r="Y348" i="22" s="1"/>
  <c r="Y346" i="22"/>
  <c r="Y341" i="22" s="1"/>
  <c r="Y303" i="22"/>
  <c r="Y295" i="22" s="1"/>
  <c r="Y284" i="22" s="1"/>
  <c r="Y250" i="22"/>
  <c r="Y242" i="22" s="1"/>
  <c r="Y240" i="22"/>
  <c r="Y235" i="22" s="1"/>
  <c r="Y197" i="22"/>
  <c r="Y189" i="22" s="1"/>
  <c r="M37" i="27" s="1"/>
  <c r="M36" i="27" s="1"/>
  <c r="Y187" i="22"/>
  <c r="Y182" i="22" s="1"/>
  <c r="Y181" i="22" s="1"/>
  <c r="Y91" i="22"/>
  <c r="Y81" i="22"/>
  <c r="Y76" i="22" s="1"/>
  <c r="Y75" i="22" s="1"/>
  <c r="N499" i="21"/>
  <c r="V483" i="21"/>
  <c r="V518" i="21"/>
  <c r="V451" i="21"/>
  <c r="V391" i="21"/>
  <c r="V331" i="21"/>
  <c r="V271" i="21"/>
  <c r="V211" i="21"/>
  <c r="V440" i="21"/>
  <c r="V380" i="21"/>
  <c r="V320" i="21"/>
  <c r="V260" i="21"/>
  <c r="V200" i="21"/>
  <c r="V415" i="21"/>
  <c r="V355" i="21"/>
  <c r="V295" i="21"/>
  <c r="V235" i="21"/>
  <c r="V175" i="21"/>
  <c r="V105" i="21"/>
  <c r="V543" i="21"/>
  <c r="V507" i="21"/>
  <c r="V517" i="21"/>
  <c r="V541" i="21"/>
  <c r="X5" i="41"/>
  <c r="X4" i="41"/>
  <c r="X7" i="41"/>
  <c r="K23" i="41"/>
  <c r="K103" i="21"/>
  <c r="AR35" i="25"/>
  <c r="AR56" i="25"/>
  <c r="V573" i="21"/>
  <c r="X20" i="41"/>
  <c r="V574" i="21"/>
  <c r="Y614" i="19"/>
  <c r="AB614" i="19" s="1"/>
  <c r="Y536" i="19"/>
  <c r="AB536" i="19" s="1"/>
  <c r="K16" i="41"/>
  <c r="K15" i="41"/>
  <c r="V505" i="21"/>
  <c r="Z534" i="19"/>
  <c r="Z533" i="19" s="1"/>
  <c r="V567" i="21"/>
  <c r="Z612" i="19"/>
  <c r="Y612" i="19"/>
  <c r="V577" i="21"/>
  <c r="X22" i="41"/>
  <c r="K22" i="41"/>
  <c r="K21" i="41"/>
  <c r="K14" i="41"/>
  <c r="K10" i="41"/>
  <c r="V578" i="21"/>
  <c r="V516" i="21"/>
  <c r="K6" i="41"/>
  <c r="X16" i="41"/>
  <c r="X6" i="41"/>
  <c r="V565" i="21"/>
  <c r="X15" i="41"/>
  <c r="V504" i="21"/>
  <c r="V497" i="21"/>
  <c r="V576" i="21"/>
  <c r="V556" i="21"/>
  <c r="X23" i="41"/>
  <c r="X21" i="41"/>
  <c r="V495" i="21"/>
  <c r="V496" i="21"/>
  <c r="AS7" i="41"/>
  <c r="X390" i="19"/>
  <c r="X14" i="41"/>
  <c r="V564" i="21"/>
  <c r="V462" i="21"/>
  <c r="V463" i="21"/>
  <c r="V342" i="21"/>
  <c r="V343" i="21"/>
  <c r="V336" i="21"/>
  <c r="V456" i="21"/>
  <c r="Y5" i="23"/>
  <c r="X5" i="23"/>
  <c r="Q84" i="27"/>
  <c r="V274" i="21"/>
  <c r="V39" i="21"/>
  <c r="V40" i="21"/>
  <c r="V41" i="21"/>
  <c r="V42" i="21"/>
  <c r="V34" i="21"/>
  <c r="V35" i="21"/>
  <c r="V36" i="21"/>
  <c r="V37" i="21"/>
  <c r="V161" i="21"/>
  <c r="V150" i="21"/>
  <c r="AK27" i="41"/>
  <c r="V261" i="21"/>
  <c r="V262" i="21"/>
  <c r="V263" i="21"/>
  <c r="V264" i="21"/>
  <c r="V265" i="21"/>
  <c r="V259" i="21"/>
  <c r="V256" i="21"/>
  <c r="V253" i="21"/>
  <c r="V449" i="21"/>
  <c r="V438" i="21"/>
  <c r="V436" i="21"/>
  <c r="V389" i="21"/>
  <c r="V378" i="21"/>
  <c r="V376" i="21"/>
  <c r="V371" i="21"/>
  <c r="V329" i="21"/>
  <c r="V316" i="21"/>
  <c r="V209" i="21"/>
  <c r="V196" i="21"/>
  <c r="V272" i="21"/>
  <c r="V269" i="21"/>
  <c r="V38" i="21"/>
  <c r="V31" i="21"/>
  <c r="V10" i="21"/>
  <c r="V377" i="21"/>
  <c r="V437" i="21"/>
  <c r="V79" i="21"/>
  <c r="V74" i="21"/>
  <c r="V9" i="21"/>
  <c r="V418" i="21"/>
  <c r="V358" i="21"/>
  <c r="V298" i="21"/>
  <c r="V238" i="21"/>
  <c r="V178" i="21"/>
  <c r="V90" i="21"/>
  <c r="V85" i="21"/>
  <c r="V75" i="21"/>
  <c r="V143" i="21"/>
  <c r="V123" i="21"/>
  <c r="V132" i="21"/>
  <c r="V126" i="21"/>
  <c r="AK12" i="41"/>
  <c r="AK11" i="41"/>
  <c r="AK10" i="41"/>
  <c r="V47" i="21"/>
  <c r="V57" i="21"/>
  <c r="U87" i="21"/>
  <c r="U145" i="21"/>
  <c r="AK28" i="41"/>
  <c r="V25" i="21"/>
  <c r="V559" i="21"/>
  <c r="X12" i="41"/>
  <c r="X11" i="41"/>
  <c r="X10" i="41"/>
  <c r="V560" i="21"/>
  <c r="V48" i="21"/>
  <c r="V26" i="21"/>
  <c r="V27" i="21"/>
  <c r="V43" i="21"/>
  <c r="V44" i="21"/>
  <c r="V125" i="21"/>
  <c r="V122" i="21"/>
  <c r="V3" i="21"/>
  <c r="V51" i="21"/>
  <c r="V78" i="21"/>
  <c r="V76" i="21"/>
  <c r="V97" i="21"/>
  <c r="V131" i="21"/>
  <c r="Y615" i="19"/>
  <c r="AB615" i="19"/>
  <c r="Y537" i="19"/>
  <c r="Y24" i="19" s="1"/>
  <c r="V6" i="21"/>
  <c r="V124" i="21"/>
  <c r="V166" i="21"/>
  <c r="V167" i="21"/>
  <c r="V558" i="21"/>
  <c r="V557" i="21"/>
  <c r="V555" i="21"/>
  <c r="V49" i="21"/>
  <c r="V71" i="21"/>
  <c r="V29" i="21"/>
  <c r="V7" i="21"/>
  <c r="V5" i="21"/>
  <c r="V16" i="21"/>
  <c r="V17" i="21"/>
  <c r="Y495" i="19"/>
  <c r="Y494" i="19" s="1"/>
  <c r="N173" i="14" s="1"/>
  <c r="Y378" i="19"/>
  <c r="Y377" i="19" s="1"/>
  <c r="Y339" i="19"/>
  <c r="Y338" i="19" s="1"/>
  <c r="Y300" i="19"/>
  <c r="Y299" i="19" s="1"/>
  <c r="Y261" i="19"/>
  <c r="Y260" i="19" s="1"/>
  <c r="Y222" i="19"/>
  <c r="Y221" i="19" s="1"/>
  <c r="Y183" i="19"/>
  <c r="Y182" i="19" s="1"/>
  <c r="Y144" i="19"/>
  <c r="Y143" i="19" s="1"/>
  <c r="M62" i="27" s="1"/>
  <c r="Y105" i="19"/>
  <c r="Y104" i="19" s="1"/>
  <c r="Y66" i="19"/>
  <c r="X32" i="1"/>
  <c r="Z78" i="10"/>
  <c r="X51" i="1"/>
  <c r="Y51" i="1"/>
  <c r="Z51" i="1"/>
  <c r="AA51" i="1"/>
  <c r="Y23" i="1"/>
  <c r="Z23" i="1"/>
  <c r="AA23" i="1"/>
  <c r="Y20" i="1"/>
  <c r="Z20" i="1"/>
  <c r="AA20" i="1"/>
  <c r="Y17" i="1"/>
  <c r="Z17" i="1"/>
  <c r="AA17" i="1"/>
  <c r="Y14" i="1"/>
  <c r="Z14" i="1"/>
  <c r="AA14" i="1"/>
  <c r="V7" i="24"/>
  <c r="AJ272" i="14"/>
  <c r="AJ271" i="14"/>
  <c r="AP260" i="14"/>
  <c r="AR260" i="14"/>
  <c r="J483" i="19"/>
  <c r="J484" i="19"/>
  <c r="J485" i="19"/>
  <c r="J486" i="19"/>
  <c r="J487" i="19"/>
  <c r="J488" i="19"/>
  <c r="J489" i="19"/>
  <c r="J490" i="19"/>
  <c r="J491" i="19"/>
  <c r="J492" i="19"/>
  <c r="J493" i="19"/>
  <c r="J494" i="19"/>
  <c r="J495" i="19"/>
  <c r="J496" i="19"/>
  <c r="J497" i="19"/>
  <c r="J498" i="19"/>
  <c r="J499" i="19"/>
  <c r="J500" i="19"/>
  <c r="J501" i="19"/>
  <c r="J502" i="19"/>
  <c r="J503" i="19"/>
  <c r="J504" i="19"/>
  <c r="J505" i="19"/>
  <c r="J506" i="19"/>
  <c r="J507" i="19"/>
  <c r="J508" i="19"/>
  <c r="J509" i="19"/>
  <c r="J510" i="19"/>
  <c r="J511" i="19"/>
  <c r="J512" i="19"/>
  <c r="J513" i="19"/>
  <c r="J514" i="19"/>
  <c r="AJ20" i="41"/>
  <c r="AI20" i="41"/>
  <c r="AI19" i="41"/>
  <c r="AJ19" i="41"/>
  <c r="AH19" i="41"/>
  <c r="AN19" i="41"/>
  <c r="I19" i="41"/>
  <c r="J19" i="41"/>
  <c r="H19" i="41"/>
  <c r="W373" i="19"/>
  <c r="W375" i="19" s="1"/>
  <c r="V373" i="19"/>
  <c r="V375" i="19" s="1"/>
  <c r="X373" i="19"/>
  <c r="X375" i="19" s="1"/>
  <c r="AQ35" i="25"/>
  <c r="X100" i="19"/>
  <c r="J45" i="19"/>
  <c r="J116" i="19"/>
  <c r="J131" i="19"/>
  <c r="J174" i="19"/>
  <c r="J288" i="19"/>
  <c r="J347" i="19"/>
  <c r="X42" i="19"/>
  <c r="M248" i="14" s="1"/>
  <c r="AH57" i="25"/>
  <c r="AH58" i="25"/>
  <c r="AH59" i="25"/>
  <c r="AH60" i="25"/>
  <c r="AH55" i="25"/>
  <c r="AH34" i="25"/>
  <c r="AQ20" i="25"/>
  <c r="I9" i="41"/>
  <c r="J9" i="41"/>
  <c r="H9" i="41"/>
  <c r="V62" i="14"/>
  <c r="X387" i="19"/>
  <c r="M387" i="19" s="1"/>
  <c r="X348" i="19"/>
  <c r="X309" i="19"/>
  <c r="X270" i="19"/>
  <c r="M405" i="14" s="1"/>
  <c r="X231" i="19"/>
  <c r="M376" i="14" s="1"/>
  <c r="X192" i="19"/>
  <c r="X75" i="19"/>
  <c r="M347" i="14" s="1"/>
  <c r="X504" i="19"/>
  <c r="M176" i="14" s="1"/>
  <c r="U126" i="21"/>
  <c r="N12" i="14"/>
  <c r="O12" i="14"/>
  <c r="P12" i="14"/>
  <c r="R12" i="14"/>
  <c r="N14" i="14"/>
  <c r="O14" i="14"/>
  <c r="P14" i="14"/>
  <c r="R14" i="14"/>
  <c r="N7" i="14"/>
  <c r="M12" i="14"/>
  <c r="AJ24" i="41"/>
  <c r="X660" i="19"/>
  <c r="X621" i="19"/>
  <c r="X582" i="19"/>
  <c r="X543" i="19"/>
  <c r="M492" i="14" s="1"/>
  <c r="X358" i="22"/>
  <c r="X305" i="22"/>
  <c r="X252" i="22"/>
  <c r="X199" i="22"/>
  <c r="L48" i="27" s="1"/>
  <c r="X93" i="22"/>
  <c r="X153" i="19"/>
  <c r="L65" i="27" s="1"/>
  <c r="X114" i="19"/>
  <c r="U522" i="21"/>
  <c r="U455" i="21"/>
  <c r="U395" i="21"/>
  <c r="U335" i="21"/>
  <c r="U275" i="21"/>
  <c r="U215" i="21"/>
  <c r="U149" i="21"/>
  <c r="U165" i="21"/>
  <c r="U164" i="21"/>
  <c r="U42" i="21"/>
  <c r="U41" i="21"/>
  <c r="U13" i="21"/>
  <c r="M14" i="14"/>
  <c r="M299" i="14"/>
  <c r="R299" i="14"/>
  <c r="M303" i="14"/>
  <c r="R303" i="14"/>
  <c r="M305" i="14"/>
  <c r="R305" i="14"/>
  <c r="M306" i="14"/>
  <c r="R306" i="14"/>
  <c r="M307" i="14"/>
  <c r="R307" i="14"/>
  <c r="M309" i="14"/>
  <c r="R309" i="14"/>
  <c r="M310" i="14"/>
  <c r="R310" i="14"/>
  <c r="M311" i="14"/>
  <c r="R311" i="14"/>
  <c r="M312" i="14"/>
  <c r="R312" i="14"/>
  <c r="M313" i="14"/>
  <c r="R313" i="14"/>
  <c r="M315" i="14"/>
  <c r="R315" i="14"/>
  <c r="M316" i="14"/>
  <c r="R316" i="14"/>
  <c r="M317" i="14"/>
  <c r="R317" i="14"/>
  <c r="M318" i="14"/>
  <c r="R318" i="14"/>
  <c r="M319" i="14"/>
  <c r="R319" i="14"/>
  <c r="M320" i="14"/>
  <c r="R320" i="14"/>
  <c r="M296" i="14"/>
  <c r="R296" i="14"/>
  <c r="M297" i="14"/>
  <c r="R297" i="14"/>
  <c r="T207" i="19"/>
  <c r="M642" i="19"/>
  <c r="M643" i="19"/>
  <c r="M645" i="19"/>
  <c r="Y6" i="23"/>
  <c r="Y4" i="23"/>
  <c r="Y12" i="28"/>
  <c r="Y10" i="28"/>
  <c r="U154" i="21"/>
  <c r="U160" i="21"/>
  <c r="U163" i="21"/>
  <c r="U162" i="21"/>
  <c r="U40" i="21"/>
  <c r="U39" i="21"/>
  <c r="U158" i="21"/>
  <c r="U37" i="21"/>
  <c r="U36" i="21"/>
  <c r="X351" i="19"/>
  <c r="X349" i="19" s="1"/>
  <c r="H3" i="41"/>
  <c r="U3" i="41"/>
  <c r="H4" i="41"/>
  <c r="AH4" i="41"/>
  <c r="H8" i="41"/>
  <c r="AH8" i="41"/>
  <c r="U9" i="41"/>
  <c r="AH9" i="41"/>
  <c r="H12" i="41"/>
  <c r="AH13" i="41"/>
  <c r="AH16" i="41"/>
  <c r="H17" i="41"/>
  <c r="AH17" i="41"/>
  <c r="H18" i="41"/>
  <c r="AH18" i="41"/>
  <c r="AC20" i="41"/>
  <c r="AD20" i="41"/>
  <c r="AG20" i="41"/>
  <c r="AH20" i="41"/>
  <c r="AH22" i="41"/>
  <c r="H24" i="41"/>
  <c r="AG24" i="41"/>
  <c r="H25" i="41"/>
  <c r="AH25" i="41"/>
  <c r="H26" i="41"/>
  <c r="AH26" i="41"/>
  <c r="U263" i="14"/>
  <c r="U262" i="14"/>
  <c r="AH15" i="41"/>
  <c r="U579" i="21"/>
  <c r="AJ16" i="41"/>
  <c r="AJ26" i="41"/>
  <c r="AJ25" i="41"/>
  <c r="AJ23" i="41"/>
  <c r="AJ22" i="41"/>
  <c r="AJ18" i="41"/>
  <c r="AJ17" i="41"/>
  <c r="AJ13" i="41"/>
  <c r="AJ9" i="41"/>
  <c r="AJ8" i="41"/>
  <c r="AJ4" i="41"/>
  <c r="AJ7" i="41"/>
  <c r="J26" i="41"/>
  <c r="J25" i="41"/>
  <c r="J24" i="41"/>
  <c r="J18" i="41"/>
  <c r="J17" i="41"/>
  <c r="J8" i="41"/>
  <c r="J4" i="41"/>
  <c r="J3" i="41"/>
  <c r="W24" i="41"/>
  <c r="W9" i="41"/>
  <c r="W3" i="41"/>
  <c r="Q119" i="14"/>
  <c r="Q132" i="14" s="1"/>
  <c r="AJ21" i="41"/>
  <c r="AJ15" i="41"/>
  <c r="AJ6" i="41"/>
  <c r="J7" i="41"/>
  <c r="AJ14" i="41"/>
  <c r="U424" i="21"/>
  <c r="U421" i="21"/>
  <c r="U364" i="21"/>
  <c r="U361" i="21"/>
  <c r="U304" i="21"/>
  <c r="U301" i="21"/>
  <c r="U244" i="21"/>
  <c r="U241" i="21"/>
  <c r="U184" i="21"/>
  <c r="U181" i="21"/>
  <c r="U119" i="21"/>
  <c r="U121" i="21"/>
  <c r="U111" i="21"/>
  <c r="U120" i="21"/>
  <c r="X356" i="22"/>
  <c r="X348" i="22" s="1"/>
  <c r="X346" i="22"/>
  <c r="X341" i="22" s="1"/>
  <c r="X303" i="22"/>
  <c r="X295" i="22" s="1"/>
  <c r="X250" i="22"/>
  <c r="X242" i="22" s="1"/>
  <c r="X240" i="22"/>
  <c r="X235" i="22" s="1"/>
  <c r="X197" i="22"/>
  <c r="X189" i="22" s="1"/>
  <c r="L37" i="27" s="1"/>
  <c r="L36" i="27" s="1"/>
  <c r="X187" i="22"/>
  <c r="X182" i="22" s="1"/>
  <c r="L34" i="27" s="1"/>
  <c r="X91" i="22"/>
  <c r="X81" i="22"/>
  <c r="T152" i="21"/>
  <c r="U152" i="21"/>
  <c r="U582" i="21"/>
  <c r="W26" i="41"/>
  <c r="U581" i="21"/>
  <c r="W25" i="41"/>
  <c r="U574" i="21"/>
  <c r="U573" i="21"/>
  <c r="U572" i="21"/>
  <c r="W19" i="41"/>
  <c r="U571" i="21"/>
  <c r="W18" i="41"/>
  <c r="U570" i="21"/>
  <c r="U569" i="21"/>
  <c r="U568" i="21"/>
  <c r="W20" i="41"/>
  <c r="U566" i="21"/>
  <c r="U544" i="21"/>
  <c r="W8" i="41"/>
  <c r="U543" i="21"/>
  <c r="U503" i="21"/>
  <c r="J13" i="41"/>
  <c r="U499" i="21"/>
  <c r="U483" i="21"/>
  <c r="U481" i="21"/>
  <c r="J5" i="41"/>
  <c r="W328" i="22"/>
  <c r="W275" i="22"/>
  <c r="W222" i="22"/>
  <c r="W169" i="22"/>
  <c r="W63" i="22"/>
  <c r="W17" i="41"/>
  <c r="U518" i="21"/>
  <c r="J23" i="41"/>
  <c r="U517" i="21"/>
  <c r="U563" i="21"/>
  <c r="W13" i="41"/>
  <c r="U541" i="21"/>
  <c r="W5" i="41"/>
  <c r="W4" i="41"/>
  <c r="W7" i="41"/>
  <c r="U507" i="21"/>
  <c r="U498" i="21"/>
  <c r="J12" i="41"/>
  <c r="J11" i="41"/>
  <c r="X328" i="22"/>
  <c r="X275" i="22"/>
  <c r="X222" i="22"/>
  <c r="X169" i="22"/>
  <c r="X63" i="22"/>
  <c r="AQ89" i="25"/>
  <c r="M302" i="14"/>
  <c r="R302" i="14"/>
  <c r="J16" i="41"/>
  <c r="J15" i="41"/>
  <c r="U505" i="21"/>
  <c r="U578" i="21"/>
  <c r="W23" i="41"/>
  <c r="U516" i="21"/>
  <c r="U496" i="21"/>
  <c r="U577" i="21"/>
  <c r="W22" i="41"/>
  <c r="J22" i="41"/>
  <c r="J21" i="41"/>
  <c r="J14" i="41"/>
  <c r="J10" i="41"/>
  <c r="U567" i="21"/>
  <c r="J6" i="41"/>
  <c r="U463" i="21"/>
  <c r="U462" i="21"/>
  <c r="U403" i="21"/>
  <c r="U402" i="21"/>
  <c r="U343" i="21"/>
  <c r="U342" i="21"/>
  <c r="U283" i="21"/>
  <c r="U282" i="21"/>
  <c r="U223" i="21"/>
  <c r="U222" i="21"/>
  <c r="U35" i="21"/>
  <c r="U34" i="21"/>
  <c r="U274" i="21"/>
  <c r="M94" i="14"/>
  <c r="U271" i="21"/>
  <c r="U265" i="21"/>
  <c r="U264" i="21"/>
  <c r="U263" i="21"/>
  <c r="U262" i="21"/>
  <c r="U261" i="21"/>
  <c r="U259" i="21"/>
  <c r="U260" i="21"/>
  <c r="X258" i="21"/>
  <c r="X257" i="21"/>
  <c r="W258" i="21"/>
  <c r="W257" i="21"/>
  <c r="V258" i="21"/>
  <c r="V257" i="21"/>
  <c r="U256" i="21"/>
  <c r="U253" i="21"/>
  <c r="U252" i="21"/>
  <c r="U451" i="21"/>
  <c r="U449" i="21"/>
  <c r="U440" i="21"/>
  <c r="U438" i="21"/>
  <c r="U436" i="21"/>
  <c r="X432" i="21"/>
  <c r="X431" i="21"/>
  <c r="X430" i="21"/>
  <c r="X467" i="21"/>
  <c r="W432" i="21"/>
  <c r="W431" i="21"/>
  <c r="W430" i="21"/>
  <c r="W467" i="21"/>
  <c r="V432" i="21"/>
  <c r="V431" i="21"/>
  <c r="V430" i="21"/>
  <c r="V467" i="21"/>
  <c r="U432" i="21"/>
  <c r="X429" i="21"/>
  <c r="W429" i="21"/>
  <c r="V429" i="21"/>
  <c r="U391" i="21"/>
  <c r="U389" i="21"/>
  <c r="U380" i="21"/>
  <c r="U378" i="21"/>
  <c r="U376" i="21"/>
  <c r="V370" i="21"/>
  <c r="V407" i="21"/>
  <c r="U372" i="21"/>
  <c r="V369" i="21"/>
  <c r="U331" i="21"/>
  <c r="U329" i="21"/>
  <c r="X324" i="22"/>
  <c r="X271" i="22"/>
  <c r="U320" i="21"/>
  <c r="U318" i="21"/>
  <c r="X318" i="21"/>
  <c r="X317" i="21"/>
  <c r="W318" i="21"/>
  <c r="W317" i="21"/>
  <c r="V318" i="21"/>
  <c r="V317" i="21"/>
  <c r="U316" i="21"/>
  <c r="X218" i="22"/>
  <c r="X217" i="22" s="1"/>
  <c r="X165" i="22"/>
  <c r="X312" i="21"/>
  <c r="W312" i="21"/>
  <c r="V312" i="21"/>
  <c r="U312" i="21"/>
  <c r="X309" i="21"/>
  <c r="W309" i="21"/>
  <c r="V309" i="21"/>
  <c r="X252" i="21"/>
  <c r="X251" i="21"/>
  <c r="W252" i="21"/>
  <c r="W251" i="21"/>
  <c r="V252" i="21"/>
  <c r="X249" i="21"/>
  <c r="W249" i="21"/>
  <c r="V249" i="21"/>
  <c r="X59" i="22"/>
  <c r="X58" i="22" s="1"/>
  <c r="U211" i="21"/>
  <c r="U209" i="21"/>
  <c r="U200" i="21"/>
  <c r="U198" i="21"/>
  <c r="X192" i="21"/>
  <c r="X188" i="21"/>
  <c r="W192" i="21"/>
  <c r="W191" i="21"/>
  <c r="X189" i="21"/>
  <c r="W189" i="21"/>
  <c r="W198" i="21"/>
  <c r="W197" i="21"/>
  <c r="V198" i="21"/>
  <c r="V197" i="21"/>
  <c r="U196" i="21"/>
  <c r="V192" i="21"/>
  <c r="V191" i="21"/>
  <c r="U192" i="21"/>
  <c r="V189" i="21"/>
  <c r="U415" i="21"/>
  <c r="U355" i="21"/>
  <c r="U295" i="21"/>
  <c r="U235" i="21"/>
  <c r="U175" i="21"/>
  <c r="U105" i="21"/>
  <c r="U411" i="21"/>
  <c r="U161" i="21"/>
  <c r="U150" i="21"/>
  <c r="AJ27" i="41"/>
  <c r="X61" i="22"/>
  <c r="W312" i="19"/>
  <c r="M312" i="19" s="1"/>
  <c r="Q437" i="14" s="1"/>
  <c r="W16" i="41"/>
  <c r="W15" i="41"/>
  <c r="U565" i="21"/>
  <c r="U504" i="21"/>
  <c r="U497" i="21"/>
  <c r="U576" i="21"/>
  <c r="U556" i="21"/>
  <c r="W21" i="41"/>
  <c r="W14" i="41"/>
  <c r="U413" i="21"/>
  <c r="V411" i="21"/>
  <c r="W411" i="21"/>
  <c r="X411" i="21"/>
  <c r="U276" i="21"/>
  <c r="U396" i="21"/>
  <c r="V308" i="21"/>
  <c r="W308" i="21"/>
  <c r="U495" i="21"/>
  <c r="X308" i="21"/>
  <c r="W311" i="21"/>
  <c r="W310" i="21"/>
  <c r="W347" i="21"/>
  <c r="U216" i="21"/>
  <c r="U456" i="21"/>
  <c r="U336" i="21"/>
  <c r="W6" i="41"/>
  <c r="U429" i="21"/>
  <c r="V311" i="21"/>
  <c r="V310" i="21"/>
  <c r="V347" i="21"/>
  <c r="X428" i="21"/>
  <c r="X311" i="21"/>
  <c r="X310" i="21"/>
  <c r="X347" i="21"/>
  <c r="X191" i="21"/>
  <c r="X190" i="21"/>
  <c r="X227" i="21"/>
  <c r="U437" i="21"/>
  <c r="U258" i="21"/>
  <c r="W250" i="21"/>
  <c r="W287" i="21"/>
  <c r="X250" i="21"/>
  <c r="X287" i="21"/>
  <c r="V248" i="21"/>
  <c r="U251" i="21"/>
  <c r="U431" i="21"/>
  <c r="U428" i="21"/>
  <c r="W428" i="21"/>
  <c r="V428" i="21"/>
  <c r="U377" i="21"/>
  <c r="U369" i="21"/>
  <c r="U371" i="21"/>
  <c r="U368" i="21"/>
  <c r="V368" i="21"/>
  <c r="U309" i="21"/>
  <c r="U317" i="21"/>
  <c r="U311" i="21"/>
  <c r="U308" i="21"/>
  <c r="W248" i="21"/>
  <c r="V251" i="21"/>
  <c r="V250" i="21"/>
  <c r="V287" i="21"/>
  <c r="X248" i="21"/>
  <c r="U189" i="21"/>
  <c r="U197" i="21"/>
  <c r="W190" i="21"/>
  <c r="W227" i="21"/>
  <c r="W188" i="21"/>
  <c r="V190" i="21"/>
  <c r="V227" i="21"/>
  <c r="V188" i="21"/>
  <c r="U191" i="21"/>
  <c r="U188" i="21"/>
  <c r="U414" i="21"/>
  <c r="U418" i="21"/>
  <c r="U358" i="21"/>
  <c r="U298" i="21"/>
  <c r="U238" i="21"/>
  <c r="U178" i="21"/>
  <c r="X413" i="21"/>
  <c r="X414" i="21"/>
  <c r="W413" i="21"/>
  <c r="W414" i="21"/>
  <c r="U564" i="21"/>
  <c r="V413" i="21"/>
  <c r="V414" i="21"/>
  <c r="U430" i="21"/>
  <c r="U467" i="21"/>
  <c r="U370" i="21"/>
  <c r="U407" i="21"/>
  <c r="U248" i="21"/>
  <c r="U310" i="21"/>
  <c r="U347" i="21"/>
  <c r="U190" i="21"/>
  <c r="U227" i="21"/>
  <c r="Q529" i="14"/>
  <c r="D523" i="14"/>
  <c r="E523" i="14"/>
  <c r="F523" i="14"/>
  <c r="G523" i="14"/>
  <c r="H523" i="14"/>
  <c r="I523" i="14"/>
  <c r="J523" i="14"/>
  <c r="K523" i="14"/>
  <c r="L523" i="14"/>
  <c r="M523" i="14"/>
  <c r="N523" i="14"/>
  <c r="O523" i="14"/>
  <c r="P523" i="14"/>
  <c r="D524" i="14"/>
  <c r="E524" i="14"/>
  <c r="F524" i="14"/>
  <c r="G524" i="14"/>
  <c r="H524" i="14"/>
  <c r="I524" i="14"/>
  <c r="J524" i="14"/>
  <c r="K524" i="14"/>
  <c r="L524" i="14"/>
  <c r="M524" i="14"/>
  <c r="N524" i="14"/>
  <c r="O524" i="14"/>
  <c r="P524" i="14"/>
  <c r="D525" i="14"/>
  <c r="E525" i="14"/>
  <c r="F525" i="14"/>
  <c r="G525" i="14"/>
  <c r="H525" i="14"/>
  <c r="I525" i="14"/>
  <c r="J525" i="14"/>
  <c r="O525" i="14"/>
  <c r="P525" i="14"/>
  <c r="D526" i="14"/>
  <c r="E526" i="14"/>
  <c r="F526" i="14"/>
  <c r="G526" i="14"/>
  <c r="H526" i="14"/>
  <c r="I526" i="14"/>
  <c r="J526" i="14"/>
  <c r="K526" i="14"/>
  <c r="L526" i="14"/>
  <c r="M526" i="14"/>
  <c r="N526" i="14"/>
  <c r="O526" i="14"/>
  <c r="P526" i="14"/>
  <c r="D527" i="14"/>
  <c r="E527" i="14"/>
  <c r="F527" i="14"/>
  <c r="G527" i="14"/>
  <c r="H527" i="14"/>
  <c r="I527" i="14"/>
  <c r="J527" i="14"/>
  <c r="K527" i="14"/>
  <c r="L527" i="14"/>
  <c r="M527" i="14"/>
  <c r="N527" i="14"/>
  <c r="O527" i="14"/>
  <c r="P527" i="14"/>
  <c r="D528" i="14"/>
  <c r="E528" i="14"/>
  <c r="F528" i="14"/>
  <c r="G528" i="14"/>
  <c r="H528" i="14"/>
  <c r="I528" i="14"/>
  <c r="J528" i="14"/>
  <c r="K528" i="14"/>
  <c r="L528" i="14"/>
  <c r="M528" i="14"/>
  <c r="N528" i="14"/>
  <c r="O528" i="14"/>
  <c r="P528" i="14"/>
  <c r="D529" i="14"/>
  <c r="E529" i="14"/>
  <c r="F529" i="14"/>
  <c r="G529" i="14"/>
  <c r="H529" i="14"/>
  <c r="I529" i="14"/>
  <c r="J529" i="14"/>
  <c r="K529" i="14"/>
  <c r="L529" i="14"/>
  <c r="M529" i="14"/>
  <c r="N529" i="14"/>
  <c r="O529" i="14"/>
  <c r="P529" i="14"/>
  <c r="D530" i="14"/>
  <c r="E530" i="14"/>
  <c r="F530" i="14"/>
  <c r="G530" i="14"/>
  <c r="H530" i="14"/>
  <c r="I530" i="14"/>
  <c r="J530" i="14"/>
  <c r="K530" i="14"/>
  <c r="L530" i="14"/>
  <c r="M530" i="14"/>
  <c r="N530" i="14"/>
  <c r="O530" i="14"/>
  <c r="P530" i="14"/>
  <c r="C530" i="14"/>
  <c r="C529" i="14"/>
  <c r="C528" i="14"/>
  <c r="C527" i="14"/>
  <c r="C526" i="14"/>
  <c r="C525" i="14"/>
  <c r="C524" i="14"/>
  <c r="C523" i="14"/>
  <c r="E521" i="14"/>
  <c r="F521" i="14"/>
  <c r="H521" i="14"/>
  <c r="I521" i="14"/>
  <c r="K521" i="14"/>
  <c r="L521" i="14"/>
  <c r="C521" i="14"/>
  <c r="D520" i="14"/>
  <c r="E520" i="14"/>
  <c r="F520" i="14"/>
  <c r="G520" i="14"/>
  <c r="H520" i="14"/>
  <c r="I520" i="14"/>
  <c r="J520" i="14"/>
  <c r="K520" i="14"/>
  <c r="L520" i="14"/>
  <c r="M520" i="14"/>
  <c r="N520" i="14"/>
  <c r="O520" i="14"/>
  <c r="P520" i="14"/>
  <c r="C520" i="14"/>
  <c r="D515" i="14"/>
  <c r="E515" i="14"/>
  <c r="F515" i="14"/>
  <c r="G515" i="14"/>
  <c r="H515" i="14"/>
  <c r="I515" i="14"/>
  <c r="J515" i="14"/>
  <c r="K515" i="14"/>
  <c r="L515" i="14"/>
  <c r="M515" i="14"/>
  <c r="Q515" i="14" s="1"/>
  <c r="N515" i="14"/>
  <c r="O515" i="14"/>
  <c r="P515" i="14"/>
  <c r="C515" i="14"/>
  <c r="AQ56" i="25"/>
  <c r="AH56" i="25"/>
  <c r="D513" i="14"/>
  <c r="E513" i="14"/>
  <c r="F513" i="14"/>
  <c r="G513" i="14"/>
  <c r="H513" i="14"/>
  <c r="I513" i="14"/>
  <c r="J513" i="14"/>
  <c r="K513" i="14"/>
  <c r="L513" i="14"/>
  <c r="M513" i="14"/>
  <c r="N513" i="14"/>
  <c r="O513" i="14"/>
  <c r="P513" i="14"/>
  <c r="C513" i="14"/>
  <c r="C512" i="14"/>
  <c r="D512" i="14"/>
  <c r="E512" i="14"/>
  <c r="F512" i="14"/>
  <c r="G512" i="14"/>
  <c r="H512" i="14"/>
  <c r="I512" i="14"/>
  <c r="J512" i="14"/>
  <c r="K512" i="14"/>
  <c r="L512" i="14"/>
  <c r="M512" i="14"/>
  <c r="N512" i="14"/>
  <c r="O512" i="14"/>
  <c r="P512" i="14"/>
  <c r="Q500" i="14"/>
  <c r="P495" i="14"/>
  <c r="P496" i="14"/>
  <c r="P497" i="14"/>
  <c r="P498" i="14"/>
  <c r="P499" i="14"/>
  <c r="P500" i="14"/>
  <c r="P501" i="14"/>
  <c r="D494" i="14"/>
  <c r="E494" i="14"/>
  <c r="F494" i="14"/>
  <c r="G494" i="14"/>
  <c r="H494" i="14"/>
  <c r="I494" i="14"/>
  <c r="J494" i="14"/>
  <c r="K494" i="14"/>
  <c r="L494" i="14"/>
  <c r="M494" i="14"/>
  <c r="N494" i="14"/>
  <c r="O494" i="14"/>
  <c r="P494" i="14"/>
  <c r="D495" i="14"/>
  <c r="E495" i="14"/>
  <c r="F495" i="14"/>
  <c r="G495" i="14"/>
  <c r="H495" i="14"/>
  <c r="I495" i="14"/>
  <c r="J495" i="14"/>
  <c r="L495" i="14"/>
  <c r="M495" i="14"/>
  <c r="N495" i="14"/>
  <c r="O495" i="14"/>
  <c r="D496" i="14"/>
  <c r="E496" i="14"/>
  <c r="F496" i="14"/>
  <c r="G496" i="14"/>
  <c r="H496" i="14"/>
  <c r="I496" i="14"/>
  <c r="J496" i="14"/>
  <c r="K496" i="14"/>
  <c r="L496" i="14"/>
  <c r="M496" i="14"/>
  <c r="N496" i="14"/>
  <c r="O496" i="14"/>
  <c r="D497" i="14"/>
  <c r="E497" i="14"/>
  <c r="F497" i="14"/>
  <c r="G497" i="14"/>
  <c r="H497" i="14"/>
  <c r="I497" i="14"/>
  <c r="J497" i="14"/>
  <c r="K497" i="14"/>
  <c r="L497" i="14"/>
  <c r="M497" i="14"/>
  <c r="N497" i="14"/>
  <c r="O497" i="14"/>
  <c r="D498" i="14"/>
  <c r="E498" i="14"/>
  <c r="F498" i="14"/>
  <c r="G498" i="14"/>
  <c r="H498" i="14"/>
  <c r="I498" i="14"/>
  <c r="J498" i="14"/>
  <c r="K498" i="14"/>
  <c r="L498" i="14"/>
  <c r="M498" i="14"/>
  <c r="N498" i="14"/>
  <c r="O498" i="14"/>
  <c r="D499" i="14"/>
  <c r="E499" i="14"/>
  <c r="F499" i="14"/>
  <c r="G499" i="14"/>
  <c r="H499" i="14"/>
  <c r="I499" i="14"/>
  <c r="J499" i="14"/>
  <c r="K499" i="14"/>
  <c r="L499" i="14"/>
  <c r="M499" i="14"/>
  <c r="N499" i="14"/>
  <c r="O499" i="14"/>
  <c r="D500" i="14"/>
  <c r="E500" i="14"/>
  <c r="F500" i="14"/>
  <c r="G500" i="14"/>
  <c r="H500" i="14"/>
  <c r="I500" i="14"/>
  <c r="J500" i="14"/>
  <c r="K500" i="14"/>
  <c r="L500" i="14"/>
  <c r="M500" i="14"/>
  <c r="N500" i="14"/>
  <c r="O500" i="14"/>
  <c r="D501" i="14"/>
  <c r="E501" i="14"/>
  <c r="F501" i="14"/>
  <c r="G501" i="14"/>
  <c r="H501" i="14"/>
  <c r="I501" i="14"/>
  <c r="J501" i="14"/>
  <c r="K501" i="14"/>
  <c r="L501" i="14"/>
  <c r="M501" i="14"/>
  <c r="N501" i="14"/>
  <c r="O501" i="14"/>
  <c r="C501" i="14"/>
  <c r="C500" i="14"/>
  <c r="C499" i="14"/>
  <c r="C498" i="14"/>
  <c r="C497" i="14"/>
  <c r="C496" i="14"/>
  <c r="C495" i="14"/>
  <c r="C494" i="14"/>
  <c r="E492" i="14"/>
  <c r="F492" i="14"/>
  <c r="H492" i="14"/>
  <c r="I492" i="14"/>
  <c r="K492" i="14"/>
  <c r="L492" i="14"/>
  <c r="C492" i="14"/>
  <c r="C491" i="14"/>
  <c r="D491" i="14"/>
  <c r="E491" i="14"/>
  <c r="F491" i="14"/>
  <c r="G491" i="14"/>
  <c r="H491" i="14"/>
  <c r="I491" i="14"/>
  <c r="J491" i="14"/>
  <c r="K491" i="14"/>
  <c r="L491" i="14"/>
  <c r="M491" i="14"/>
  <c r="N491" i="14"/>
  <c r="O491" i="14"/>
  <c r="P491" i="14"/>
  <c r="C484" i="14"/>
  <c r="D486" i="14"/>
  <c r="E486" i="14"/>
  <c r="F486" i="14"/>
  <c r="G486" i="14"/>
  <c r="H486" i="14"/>
  <c r="I486" i="14"/>
  <c r="J486" i="14"/>
  <c r="K486" i="14"/>
  <c r="L486" i="14"/>
  <c r="M486" i="14"/>
  <c r="N486" i="14"/>
  <c r="C486" i="14"/>
  <c r="D484" i="14"/>
  <c r="D505" i="14" s="1"/>
  <c r="E484" i="14"/>
  <c r="E506" i="14" s="1"/>
  <c r="F484" i="14"/>
  <c r="F506" i="14" s="1"/>
  <c r="G484" i="14"/>
  <c r="G506" i="14" s="1"/>
  <c r="H484" i="14"/>
  <c r="H506" i="14" s="1"/>
  <c r="I484" i="14"/>
  <c r="I505" i="14" s="1"/>
  <c r="J484" i="14"/>
  <c r="J505" i="14" s="1"/>
  <c r="K484" i="14"/>
  <c r="K505" i="14" s="1"/>
  <c r="L484" i="14"/>
  <c r="L505" i="14" s="1"/>
  <c r="M484" i="14"/>
  <c r="M506" i="14" s="1"/>
  <c r="N484" i="14"/>
  <c r="N505" i="14" s="1"/>
  <c r="O484" i="14"/>
  <c r="O506" i="14" s="1"/>
  <c r="P484" i="14"/>
  <c r="P506" i="14" s="1"/>
  <c r="C483" i="14"/>
  <c r="D483" i="14"/>
  <c r="E483" i="14"/>
  <c r="F483" i="14"/>
  <c r="G483" i="14"/>
  <c r="H483" i="14"/>
  <c r="I483" i="14"/>
  <c r="J483" i="14"/>
  <c r="K483" i="14"/>
  <c r="L483" i="14"/>
  <c r="M483" i="14"/>
  <c r="N483" i="14"/>
  <c r="O483" i="14"/>
  <c r="P483" i="14"/>
  <c r="U272" i="21"/>
  <c r="U269" i="21"/>
  <c r="U249" i="21"/>
  <c r="U11" i="21"/>
  <c r="U38" i="21"/>
  <c r="U31" i="21"/>
  <c r="U30" i="21"/>
  <c r="U8" i="21"/>
  <c r="U28" i="21"/>
  <c r="U47" i="21"/>
  <c r="U57" i="21"/>
  <c r="U51" i="21"/>
  <c r="U49" i="21"/>
  <c r="U71" i="21"/>
  <c r="U90" i="21"/>
  <c r="U85" i="21"/>
  <c r="U75" i="21"/>
  <c r="T87" i="21"/>
  <c r="U79" i="21"/>
  <c r="U74" i="21"/>
  <c r="T145" i="21"/>
  <c r="U143" i="21"/>
  <c r="U123" i="21"/>
  <c r="U132" i="21"/>
  <c r="AJ12" i="41"/>
  <c r="AJ11" i="41"/>
  <c r="AJ10" i="41"/>
  <c r="AJ28" i="41"/>
  <c r="U108" i="21"/>
  <c r="X651" i="19"/>
  <c r="X650" i="19" s="1"/>
  <c r="X534" i="19"/>
  <c r="X533" i="19" s="1"/>
  <c r="X495" i="19"/>
  <c r="X494" i="19" s="1"/>
  <c r="M173" i="14" s="1"/>
  <c r="X378" i="19"/>
  <c r="X377" i="19" s="1"/>
  <c r="X339" i="19"/>
  <c r="X338" i="19" s="1"/>
  <c r="M460" i="14" s="1"/>
  <c r="X261" i="19"/>
  <c r="X260" i="19" s="1"/>
  <c r="M402" i="14" s="1"/>
  <c r="X222" i="19"/>
  <c r="X221" i="19" s="1"/>
  <c r="X144" i="19"/>
  <c r="X143" i="19" s="1"/>
  <c r="L62" i="27" s="1"/>
  <c r="J670" i="19"/>
  <c r="M669" i="19"/>
  <c r="J669" i="19"/>
  <c r="J668" i="19"/>
  <c r="M667" i="19"/>
  <c r="J667" i="19"/>
  <c r="M666" i="19"/>
  <c r="J666" i="19"/>
  <c r="M665" i="19"/>
  <c r="J665" i="19"/>
  <c r="M664" i="19"/>
  <c r="J664" i="19"/>
  <c r="M663" i="19"/>
  <c r="J663" i="19"/>
  <c r="M662" i="19"/>
  <c r="J662" i="19"/>
  <c r="J661" i="19"/>
  <c r="J660" i="19"/>
  <c r="M659" i="19"/>
  <c r="J659" i="19"/>
  <c r="M658" i="19"/>
  <c r="J658" i="19"/>
  <c r="M657" i="19"/>
  <c r="J657" i="19"/>
  <c r="M656" i="19"/>
  <c r="J656" i="19"/>
  <c r="Y655" i="19"/>
  <c r="X655" i="19"/>
  <c r="J655" i="19"/>
  <c r="M654" i="19"/>
  <c r="J654" i="19"/>
  <c r="J653" i="19"/>
  <c r="M652" i="19"/>
  <c r="J652" i="19"/>
  <c r="W651" i="19"/>
  <c r="V651" i="19"/>
  <c r="V650" i="19" s="1"/>
  <c r="U651" i="19"/>
  <c r="U650" i="19" s="1"/>
  <c r="T651" i="19"/>
  <c r="T650" i="19" s="1"/>
  <c r="S651" i="19"/>
  <c r="S650" i="19" s="1"/>
  <c r="R651" i="19"/>
  <c r="R650" i="19" s="1"/>
  <c r="O651" i="19"/>
  <c r="O650" i="19" s="1"/>
  <c r="J651" i="19"/>
  <c r="J650" i="19"/>
  <c r="J649" i="19"/>
  <c r="AA648" i="19"/>
  <c r="Z648" i="19"/>
  <c r="Y648" i="19"/>
  <c r="X648" i="19"/>
  <c r="W648" i="19"/>
  <c r="U648" i="19"/>
  <c r="T648" i="19"/>
  <c r="S648" i="19"/>
  <c r="R648" i="19"/>
  <c r="Q648" i="19"/>
  <c r="P648" i="19"/>
  <c r="O648" i="19"/>
  <c r="N648" i="19"/>
  <c r="J648" i="19"/>
  <c r="AA647" i="19"/>
  <c r="Z647" i="19"/>
  <c r="Y647" i="19"/>
  <c r="X647" i="19"/>
  <c r="W647" i="19"/>
  <c r="V647" i="19"/>
  <c r="U647" i="19"/>
  <c r="T647" i="19"/>
  <c r="S647" i="19"/>
  <c r="R647" i="19"/>
  <c r="Q647" i="19"/>
  <c r="P647" i="19"/>
  <c r="O647" i="19"/>
  <c r="N647" i="19"/>
  <c r="J647" i="19"/>
  <c r="J646" i="19"/>
  <c r="J645" i="19"/>
  <c r="J644" i="19"/>
  <c r="J643" i="19"/>
  <c r="J642" i="19"/>
  <c r="AA641" i="19"/>
  <c r="Z641" i="19"/>
  <c r="M641" i="19" s="1"/>
  <c r="Y641" i="19"/>
  <c r="X641" i="19"/>
  <c r="W641" i="19"/>
  <c r="V641" i="19"/>
  <c r="U641" i="19"/>
  <c r="T641" i="19"/>
  <c r="S641" i="19"/>
  <c r="R641" i="19"/>
  <c r="Q641" i="19"/>
  <c r="P641" i="19"/>
  <c r="O641" i="19"/>
  <c r="N641" i="19"/>
  <c r="J641" i="19"/>
  <c r="J640" i="19"/>
  <c r="J639" i="19"/>
  <c r="AA638" i="19"/>
  <c r="Z638" i="19"/>
  <c r="Y638" i="19"/>
  <c r="X638" i="19"/>
  <c r="W638" i="19"/>
  <c r="V638" i="19"/>
  <c r="U638" i="19"/>
  <c r="T638" i="19"/>
  <c r="S638" i="19"/>
  <c r="R638" i="19"/>
  <c r="Q638" i="19"/>
  <c r="Q639" i="19" s="1"/>
  <c r="P638" i="19"/>
  <c r="P639" i="19" s="1"/>
  <c r="O638" i="19"/>
  <c r="N638" i="19"/>
  <c r="J638" i="19"/>
  <c r="M637" i="19"/>
  <c r="T109" i="24" s="1"/>
  <c r="J637" i="19"/>
  <c r="M636" i="19"/>
  <c r="J636" i="19"/>
  <c r="M635" i="19"/>
  <c r="J635" i="19"/>
  <c r="M634" i="19"/>
  <c r="J634" i="19"/>
  <c r="J633" i="19"/>
  <c r="U25" i="21"/>
  <c r="U26" i="21"/>
  <c r="U559" i="21"/>
  <c r="W12" i="41"/>
  <c r="W11" i="41"/>
  <c r="W10" i="41"/>
  <c r="U560" i="21"/>
  <c r="U257" i="21"/>
  <c r="U250" i="21"/>
  <c r="U287" i="21"/>
  <c r="U48" i="21"/>
  <c r="U78" i="21"/>
  <c r="U131" i="21"/>
  <c r="U122" i="21"/>
  <c r="U125" i="21"/>
  <c r="S238" i="21"/>
  <c r="S178" i="21"/>
  <c r="S108" i="21"/>
  <c r="T418" i="21"/>
  <c r="T358" i="21"/>
  <c r="T298" i="21"/>
  <c r="T238" i="21"/>
  <c r="T178" i="21"/>
  <c r="T108" i="21"/>
  <c r="U27" i="21"/>
  <c r="U43" i="21"/>
  <c r="U44" i="21"/>
  <c r="U6" i="21"/>
  <c r="U124" i="21"/>
  <c r="U166" i="21"/>
  <c r="U167" i="21"/>
  <c r="U558" i="21"/>
  <c r="U557" i="21"/>
  <c r="U555" i="21"/>
  <c r="U76" i="21"/>
  <c r="U97" i="21"/>
  <c r="U29" i="21"/>
  <c r="P35" i="22"/>
  <c r="Q35" i="22"/>
  <c r="R35" i="22"/>
  <c r="S35" i="22"/>
  <c r="T35" i="22"/>
  <c r="U35" i="22"/>
  <c r="V35" i="22"/>
  <c r="W35" i="22"/>
  <c r="X35" i="22"/>
  <c r="Y35" i="22"/>
  <c r="Z35" i="22"/>
  <c r="AA35" i="22"/>
  <c r="J353" i="22"/>
  <c r="J304" i="22"/>
  <c r="J300" i="22"/>
  <c r="J247" i="22"/>
  <c r="J194" i="22"/>
  <c r="J88" i="22"/>
  <c r="J35" i="22"/>
  <c r="U7" i="21"/>
  <c r="AI16" i="41"/>
  <c r="V126" i="14"/>
  <c r="K12" i="14"/>
  <c r="L12" i="14"/>
  <c r="L299" i="14"/>
  <c r="L303" i="14"/>
  <c r="L305" i="14"/>
  <c r="L306" i="14"/>
  <c r="L307" i="14"/>
  <c r="L309" i="14"/>
  <c r="L310" i="14"/>
  <c r="L311" i="14"/>
  <c r="L312" i="14"/>
  <c r="L313" i="14"/>
  <c r="L315" i="14"/>
  <c r="L316" i="14"/>
  <c r="L317" i="14"/>
  <c r="L318" i="14"/>
  <c r="L319" i="14"/>
  <c r="L320" i="14"/>
  <c r="L296" i="14"/>
  <c r="L297" i="14"/>
  <c r="AI24" i="41"/>
  <c r="AI26" i="41"/>
  <c r="AI25" i="41"/>
  <c r="AI23" i="41"/>
  <c r="AI22" i="41"/>
  <c r="AI18" i="41"/>
  <c r="AI17" i="41"/>
  <c r="AI13" i="41"/>
  <c r="AI9" i="41"/>
  <c r="AI8" i="41"/>
  <c r="AI4" i="41"/>
  <c r="V9" i="41"/>
  <c r="V3" i="41"/>
  <c r="I26" i="41"/>
  <c r="I25" i="41"/>
  <c r="N25" i="41"/>
  <c r="I24" i="41"/>
  <c r="I18" i="41"/>
  <c r="I17" i="41"/>
  <c r="I8" i="41"/>
  <c r="I4" i="41"/>
  <c r="I3" i="41"/>
  <c r="W40" i="19"/>
  <c r="T13" i="21"/>
  <c r="L14" i="14"/>
  <c r="AI21" i="41"/>
  <c r="AI15" i="41"/>
  <c r="I7" i="41"/>
  <c r="AI7" i="41"/>
  <c r="AI6" i="41"/>
  <c r="T165" i="21"/>
  <c r="T164" i="21"/>
  <c r="T163" i="21"/>
  <c r="T162" i="21"/>
  <c r="T154" i="21"/>
  <c r="T160" i="21"/>
  <c r="AI14" i="41"/>
  <c r="T483" i="21"/>
  <c r="T481" i="21"/>
  <c r="I5" i="41"/>
  <c r="X12" i="28"/>
  <c r="X10" i="28"/>
  <c r="T507" i="21"/>
  <c r="T517" i="21"/>
  <c r="T518" i="21"/>
  <c r="T567" i="21"/>
  <c r="T505" i="21"/>
  <c r="I16" i="41"/>
  <c r="I15" i="41"/>
  <c r="T577" i="21"/>
  <c r="I22" i="41"/>
  <c r="T516" i="21"/>
  <c r="I23" i="41"/>
  <c r="X6" i="23"/>
  <c r="I21" i="41"/>
  <c r="I14" i="41"/>
  <c r="I6" i="41"/>
  <c r="AP89" i="25"/>
  <c r="L302" i="14"/>
  <c r="T451" i="21"/>
  <c r="T440" i="21"/>
  <c r="T413" i="21"/>
  <c r="T414" i="21"/>
  <c r="T415" i="21"/>
  <c r="T391" i="21"/>
  <c r="T380" i="21"/>
  <c r="T355" i="21"/>
  <c r="T331" i="21"/>
  <c r="T320" i="21"/>
  <c r="T295" i="21"/>
  <c r="T271" i="21"/>
  <c r="T260" i="21"/>
  <c r="T235" i="21"/>
  <c r="T211" i="21"/>
  <c r="T200" i="21"/>
  <c r="T175" i="21"/>
  <c r="T105" i="21"/>
  <c r="T543" i="21"/>
  <c r="T541" i="21"/>
  <c r="V5" i="41"/>
  <c r="V4" i="41"/>
  <c r="T158" i="21"/>
  <c r="T424" i="21"/>
  <c r="T421" i="21"/>
  <c r="T364" i="21"/>
  <c r="T361" i="21"/>
  <c r="T304" i="21"/>
  <c r="T301" i="21"/>
  <c r="T244" i="21"/>
  <c r="T241" i="21"/>
  <c r="T184" i="21"/>
  <c r="T181" i="21"/>
  <c r="T121" i="21"/>
  <c r="T119" i="21"/>
  <c r="T111" i="21"/>
  <c r="T120" i="21"/>
  <c r="W91" i="22"/>
  <c r="W83" i="22" s="1"/>
  <c r="W356" i="22"/>
  <c r="W348" i="22" s="1"/>
  <c r="W346" i="22"/>
  <c r="W341" i="22" s="1"/>
  <c r="W340" i="22" s="1"/>
  <c r="W303" i="22"/>
  <c r="W295" i="22" s="1"/>
  <c r="W284" i="22" s="1"/>
  <c r="W250" i="22"/>
  <c r="W240" i="22"/>
  <c r="W235" i="22" s="1"/>
  <c r="W197" i="22"/>
  <c r="W189" i="22" s="1"/>
  <c r="K37" i="27" s="1"/>
  <c r="K36" i="27" s="1"/>
  <c r="W187" i="22"/>
  <c r="W182" i="22" s="1"/>
  <c r="K34" i="27" s="1"/>
  <c r="L262" i="14"/>
  <c r="L263" i="14"/>
  <c r="L265" i="14"/>
  <c r="L266" i="14"/>
  <c r="L268" i="14"/>
  <c r="L269" i="14"/>
  <c r="L270" i="14"/>
  <c r="L274" i="14"/>
  <c r="L286" i="14"/>
  <c r="L287" i="14"/>
  <c r="L264" i="14"/>
  <c r="L267" i="14"/>
  <c r="L261" i="14"/>
  <c r="L285" i="14"/>
  <c r="T463" i="21"/>
  <c r="T462" i="21"/>
  <c r="T403" i="21"/>
  <c r="T402" i="21"/>
  <c r="T343" i="21"/>
  <c r="T342" i="21"/>
  <c r="T223" i="21"/>
  <c r="T222" i="21"/>
  <c r="W324" i="22"/>
  <c r="W323" i="22" s="1"/>
  <c r="W271" i="22"/>
  <c r="W270" i="22" s="1"/>
  <c r="W218" i="22"/>
  <c r="W217" i="22" s="1"/>
  <c r="W165" i="22"/>
  <c r="K30" i="27" s="1"/>
  <c r="K86" i="27" s="1"/>
  <c r="W59" i="22"/>
  <c r="W58" i="22" s="1"/>
  <c r="Z76" i="22"/>
  <c r="AA76" i="22"/>
  <c r="W76" i="22"/>
  <c r="W326" i="22"/>
  <c r="X326" i="22"/>
  <c r="Y326" i="22"/>
  <c r="Z326" i="22"/>
  <c r="AA326" i="22"/>
  <c r="L271" i="14"/>
  <c r="T396" i="21"/>
  <c r="T274" i="21"/>
  <c r="T283" i="21"/>
  <c r="T282" i="21"/>
  <c r="T265" i="21"/>
  <c r="T264" i="21"/>
  <c r="T263" i="21"/>
  <c r="T262" i="21"/>
  <c r="T261" i="21"/>
  <c r="T259" i="21"/>
  <c r="T256" i="21"/>
  <c r="T253" i="21"/>
  <c r="T252" i="21"/>
  <c r="T579" i="21"/>
  <c r="V24" i="41"/>
  <c r="V7" i="41"/>
  <c r="T272" i="21"/>
  <c r="T269" i="21"/>
  <c r="T574" i="21"/>
  <c r="T573" i="21"/>
  <c r="T572" i="21"/>
  <c r="V19" i="41"/>
  <c r="T571" i="21"/>
  <c r="V18" i="41"/>
  <c r="T570" i="21"/>
  <c r="T569" i="21"/>
  <c r="T568" i="21"/>
  <c r="V16" i="41"/>
  <c r="V6" i="41"/>
  <c r="T566" i="21"/>
  <c r="T578" i="21"/>
  <c r="V23" i="41"/>
  <c r="V22" i="41"/>
  <c r="T582" i="21"/>
  <c r="V26" i="41"/>
  <c r="T581" i="21"/>
  <c r="V25" i="41"/>
  <c r="T504" i="21"/>
  <c r="T503" i="21"/>
  <c r="T499" i="21"/>
  <c r="I12" i="41"/>
  <c r="T456" i="21"/>
  <c r="T449" i="21"/>
  <c r="T438" i="21"/>
  <c r="T436" i="21"/>
  <c r="T432" i="21"/>
  <c r="T389" i="21"/>
  <c r="T378" i="21"/>
  <c r="T376" i="21"/>
  <c r="T372" i="21"/>
  <c r="T336" i="21"/>
  <c r="T329" i="21"/>
  <c r="T318" i="21"/>
  <c r="T316" i="21"/>
  <c r="T312" i="21"/>
  <c r="T216" i="21"/>
  <c r="T209" i="21"/>
  <c r="T198" i="21"/>
  <c r="T196" i="21"/>
  <c r="T192" i="21"/>
  <c r="T161" i="21"/>
  <c r="T150" i="21"/>
  <c r="AI27" i="41"/>
  <c r="V20" i="41"/>
  <c r="V17" i="41"/>
  <c r="T565" i="21"/>
  <c r="V15" i="41"/>
  <c r="V21" i="41"/>
  <c r="T496" i="21"/>
  <c r="I13" i="41"/>
  <c r="I11" i="41"/>
  <c r="I10" i="41"/>
  <c r="T188" i="21"/>
  <c r="T368" i="21"/>
  <c r="T276" i="21"/>
  <c r="T258" i="21"/>
  <c r="T248" i="21"/>
  <c r="T369" i="21"/>
  <c r="T429" i="21"/>
  <c r="T251" i="21"/>
  <c r="T563" i="21"/>
  <c r="V13" i="41"/>
  <c r="T249" i="21"/>
  <c r="T498" i="21"/>
  <c r="T495" i="21"/>
  <c r="T576" i="21"/>
  <c r="T189" i="21"/>
  <c r="T197" i="21"/>
  <c r="T437" i="21"/>
  <c r="T431" i="21"/>
  <c r="T428" i="21"/>
  <c r="T377" i="21"/>
  <c r="T371" i="21"/>
  <c r="T309" i="21"/>
  <c r="T317" i="21"/>
  <c r="T308" i="21"/>
  <c r="T311" i="21"/>
  <c r="T191" i="21"/>
  <c r="T544" i="21"/>
  <c r="V8" i="41"/>
  <c r="W534" i="19"/>
  <c r="W533" i="19" s="1"/>
  <c r="W495" i="19"/>
  <c r="W494" i="19" s="1"/>
  <c r="W378" i="19"/>
  <c r="W377" i="19" s="1"/>
  <c r="W339" i="19"/>
  <c r="W338" i="19" s="1"/>
  <c r="W261" i="19"/>
  <c r="W260" i="19" s="1"/>
  <c r="W222" i="19"/>
  <c r="W221" i="19" s="1"/>
  <c r="L373" i="14" s="1"/>
  <c r="W144" i="19"/>
  <c r="W143" i="19" s="1"/>
  <c r="K62" i="27" s="1"/>
  <c r="T11" i="21"/>
  <c r="T9" i="21"/>
  <c r="L10" i="14"/>
  <c r="T42" i="21"/>
  <c r="T41" i="21"/>
  <c r="T40" i="21"/>
  <c r="T39" i="21"/>
  <c r="T37" i="21"/>
  <c r="T36" i="21"/>
  <c r="T35" i="21"/>
  <c r="T34" i="21"/>
  <c r="T30" i="21"/>
  <c r="T8" i="21"/>
  <c r="T28" i="21"/>
  <c r="T90" i="21"/>
  <c r="T85" i="21"/>
  <c r="W655" i="19"/>
  <c r="X66" i="19"/>
  <c r="X65" i="19" s="1"/>
  <c r="V14" i="41"/>
  <c r="T430" i="21"/>
  <c r="T467" i="21"/>
  <c r="T38" i="21"/>
  <c r="T257" i="21"/>
  <c r="T250" i="21"/>
  <c r="T287" i="21"/>
  <c r="T497" i="21"/>
  <c r="T31" i="21"/>
  <c r="T556" i="21"/>
  <c r="T564" i="21"/>
  <c r="T370" i="21"/>
  <c r="T407" i="21"/>
  <c r="T310" i="21"/>
  <c r="T347" i="21"/>
  <c r="T190" i="21"/>
  <c r="T227" i="21"/>
  <c r="T79" i="21"/>
  <c r="T74" i="21"/>
  <c r="T75" i="21"/>
  <c r="S145" i="21"/>
  <c r="AH23" i="41"/>
  <c r="S87" i="21"/>
  <c r="T47" i="21"/>
  <c r="T57" i="21"/>
  <c r="T51" i="21"/>
  <c r="T26" i="21"/>
  <c r="T25" i="21"/>
  <c r="T10" i="21"/>
  <c r="L8" i="14"/>
  <c r="T78" i="21"/>
  <c r="T76" i="21"/>
  <c r="T97" i="21"/>
  <c r="T48" i="21"/>
  <c r="T143" i="21"/>
  <c r="T123" i="21"/>
  <c r="T132" i="21"/>
  <c r="T126" i="21"/>
  <c r="AI12" i="41"/>
  <c r="AI11" i="41"/>
  <c r="AI10" i="41"/>
  <c r="AP35" i="25"/>
  <c r="AP56" i="25"/>
  <c r="P5" i="23"/>
  <c r="W10" i="28"/>
  <c r="W6" i="23"/>
  <c r="T27" i="21"/>
  <c r="T43" i="21"/>
  <c r="T44" i="21"/>
  <c r="T49" i="21"/>
  <c r="T71" i="21"/>
  <c r="T29" i="21"/>
  <c r="AI28" i="41"/>
  <c r="T560" i="21"/>
  <c r="T559" i="21"/>
  <c r="V12" i="41"/>
  <c r="V11" i="41"/>
  <c r="V10" i="41"/>
  <c r="T122" i="21"/>
  <c r="T125" i="21"/>
  <c r="T6" i="21"/>
  <c r="T131" i="21"/>
  <c r="W5" i="23"/>
  <c r="W4" i="23"/>
  <c r="T558" i="21"/>
  <c r="T557" i="21"/>
  <c r="T555" i="21"/>
  <c r="T124" i="21"/>
  <c r="T166" i="21"/>
  <c r="T167" i="21"/>
  <c r="T7" i="21"/>
  <c r="T5" i="21"/>
  <c r="AP61" i="14"/>
  <c r="AP64" i="14"/>
  <c r="AP60" i="14"/>
  <c r="AP56" i="14"/>
  <c r="AP55" i="14"/>
  <c r="S579" i="21"/>
  <c r="U24" i="41"/>
  <c r="AH24" i="41"/>
  <c r="R272" i="21"/>
  <c r="G140" i="24"/>
  <c r="L140" i="24"/>
  <c r="R146" i="21"/>
  <c r="R579" i="21"/>
  <c r="U119" i="14"/>
  <c r="AO27" i="25"/>
  <c r="AO28" i="25"/>
  <c r="AG35" i="25"/>
  <c r="AF35" i="25"/>
  <c r="AE35" i="25"/>
  <c r="AD35" i="25"/>
  <c r="AC35" i="25"/>
  <c r="AB35" i="25"/>
  <c r="AA35" i="25"/>
  <c r="Z35" i="25"/>
  <c r="Y35" i="25"/>
  <c r="X35" i="25"/>
  <c r="W35" i="25"/>
  <c r="V35" i="25"/>
  <c r="T35" i="25"/>
  <c r="S35" i="25"/>
  <c r="R35" i="25"/>
  <c r="Q35" i="25"/>
  <c r="P35" i="25"/>
  <c r="O35" i="25"/>
  <c r="N35" i="25"/>
  <c r="M35" i="25"/>
  <c r="L35" i="25"/>
  <c r="K35" i="25"/>
  <c r="J35" i="25"/>
  <c r="I35" i="25"/>
  <c r="AH21" i="41"/>
  <c r="T16" i="21"/>
  <c r="T17" i="21"/>
  <c r="L7" i="14"/>
  <c r="L11" i="14"/>
  <c r="L13" i="14"/>
  <c r="V42" i="19"/>
  <c r="V40" i="19" s="1"/>
  <c r="S165" i="21"/>
  <c r="S164" i="21"/>
  <c r="S42" i="21"/>
  <c r="S41" i="21"/>
  <c r="S13" i="21"/>
  <c r="K14" i="14"/>
  <c r="V648" i="19"/>
  <c r="U78" i="19"/>
  <c r="M320" i="21"/>
  <c r="M44" i="19"/>
  <c r="T250" i="14" s="1"/>
  <c r="W250" i="14" s="1"/>
  <c r="AA40" i="19"/>
  <c r="M43" i="19"/>
  <c r="T249" i="14" s="1"/>
  <c r="W249" i="14" s="1"/>
  <c r="N40" i="19"/>
  <c r="S424" i="21"/>
  <c r="S421" i="21"/>
  <c r="S364" i="21"/>
  <c r="S361" i="21"/>
  <c r="S304" i="21"/>
  <c r="S301" i="21"/>
  <c r="S244" i="21"/>
  <c r="S241" i="21"/>
  <c r="S184" i="21"/>
  <c r="S181" i="21"/>
  <c r="S119" i="21"/>
  <c r="K80" i="14"/>
  <c r="S121" i="21"/>
  <c r="S111" i="21"/>
  <c r="S120" i="21"/>
  <c r="J4" i="22"/>
  <c r="J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36" i="22"/>
  <c r="J37" i="22"/>
  <c r="J38" i="22"/>
  <c r="J39" i="22"/>
  <c r="J40" i="22"/>
  <c r="J41" i="22"/>
  <c r="J42" i="22"/>
  <c r="J43" i="22"/>
  <c r="J44" i="22"/>
  <c r="J45" i="22"/>
  <c r="J46" i="22"/>
  <c r="J47" i="22"/>
  <c r="J48" i="22"/>
  <c r="J49" i="22"/>
  <c r="J50" i="22"/>
  <c r="J53" i="22"/>
  <c r="J54" i="22"/>
  <c r="J55" i="22"/>
  <c r="J56" i="22"/>
  <c r="J57" i="22"/>
  <c r="J58" i="22"/>
  <c r="J59" i="22"/>
  <c r="J60" i="22"/>
  <c r="J61" i="22"/>
  <c r="J62" i="22"/>
  <c r="J63" i="22"/>
  <c r="J64" i="22"/>
  <c r="J65" i="22"/>
  <c r="J66" i="22"/>
  <c r="J67" i="22"/>
  <c r="J68" i="22"/>
  <c r="J69" i="22"/>
  <c r="J70" i="22"/>
  <c r="J71" i="22"/>
  <c r="J72" i="22"/>
  <c r="J73" i="22"/>
  <c r="J74" i="22"/>
  <c r="J75" i="22"/>
  <c r="J76" i="22"/>
  <c r="J77" i="22"/>
  <c r="J78" i="22"/>
  <c r="J79" i="22"/>
  <c r="J80" i="22"/>
  <c r="J81" i="22"/>
  <c r="J82" i="22"/>
  <c r="J83" i="22"/>
  <c r="J84" i="22"/>
  <c r="J85" i="22"/>
  <c r="J86" i="22"/>
  <c r="J87" i="22"/>
  <c r="J89" i="22"/>
  <c r="J90" i="22"/>
  <c r="J91" i="22"/>
  <c r="J92" i="22"/>
  <c r="J93" i="22"/>
  <c r="J94" i="22"/>
  <c r="J95" i="22"/>
  <c r="J96" i="22"/>
  <c r="J97" i="22"/>
  <c r="J98" i="22"/>
  <c r="J99" i="22"/>
  <c r="J100" i="22"/>
  <c r="J101" i="22"/>
  <c r="J102" i="22"/>
  <c r="J103" i="22"/>
  <c r="J158" i="22"/>
  <c r="J159" i="22"/>
  <c r="J160" i="22"/>
  <c r="J161" i="22"/>
  <c r="J162" i="22"/>
  <c r="J163" i="22"/>
  <c r="J164" i="22"/>
  <c r="J165" i="22"/>
  <c r="J166" i="22"/>
  <c r="J167" i="22"/>
  <c r="J168" i="22"/>
  <c r="J169" i="22"/>
  <c r="J170" i="22"/>
  <c r="J171" i="22"/>
  <c r="J172" i="22"/>
  <c r="J173" i="22"/>
  <c r="J174" i="22"/>
  <c r="J175" i="22"/>
  <c r="J176" i="22"/>
  <c r="J177" i="22"/>
  <c r="J178" i="22"/>
  <c r="J179" i="22"/>
  <c r="J180" i="22"/>
  <c r="J181" i="22"/>
  <c r="J182" i="22"/>
  <c r="J183" i="22"/>
  <c r="J184" i="22"/>
  <c r="J185" i="22"/>
  <c r="J186" i="22"/>
  <c r="J187" i="22"/>
  <c r="J188" i="22"/>
  <c r="J189" i="22"/>
  <c r="J190" i="22"/>
  <c r="J191" i="22"/>
  <c r="J192" i="22"/>
  <c r="J193" i="22"/>
  <c r="J195" i="22"/>
  <c r="J196" i="22"/>
  <c r="J197" i="22"/>
  <c r="J198" i="22"/>
  <c r="J199" i="22"/>
  <c r="J200" i="22"/>
  <c r="J201" i="22"/>
  <c r="J202" i="22"/>
  <c r="J203" i="22"/>
  <c r="J204" i="22"/>
  <c r="J205" i="22"/>
  <c r="J206" i="22"/>
  <c r="J207" i="22"/>
  <c r="J208" i="22"/>
  <c r="J209" i="22"/>
  <c r="J211" i="22"/>
  <c r="J212" i="22"/>
  <c r="J213" i="22"/>
  <c r="J214" i="22"/>
  <c r="J215" i="22"/>
  <c r="J216" i="22"/>
  <c r="J217" i="22"/>
  <c r="J218" i="22"/>
  <c r="J219" i="22"/>
  <c r="J220" i="22"/>
  <c r="J221" i="22"/>
  <c r="J222" i="22"/>
  <c r="J223" i="22"/>
  <c r="J224" i="22"/>
  <c r="J225" i="22"/>
  <c r="J226" i="22"/>
  <c r="J227" i="22"/>
  <c r="J228" i="22"/>
  <c r="J229" i="22"/>
  <c r="J230" i="22"/>
  <c r="J231" i="22"/>
  <c r="J232" i="22"/>
  <c r="J233" i="22"/>
  <c r="J234" i="22"/>
  <c r="J235" i="22"/>
  <c r="J236" i="22"/>
  <c r="J237" i="22"/>
  <c r="J238" i="22"/>
  <c r="J239" i="22"/>
  <c r="J240" i="22"/>
  <c r="J241" i="22"/>
  <c r="J242" i="22"/>
  <c r="J243" i="22"/>
  <c r="J244" i="22"/>
  <c r="J245" i="22"/>
  <c r="J246" i="22"/>
  <c r="J248" i="22"/>
  <c r="J249" i="22"/>
  <c r="J250" i="22"/>
  <c r="J251" i="22"/>
  <c r="J252" i="22"/>
  <c r="J253" i="22"/>
  <c r="J254" i="22"/>
  <c r="J255" i="22"/>
  <c r="J256" i="22"/>
  <c r="J257" i="22"/>
  <c r="J258" i="22"/>
  <c r="J259" i="22"/>
  <c r="J260" i="22"/>
  <c r="J261" i="22"/>
  <c r="J262" i="22"/>
  <c r="J264" i="22"/>
  <c r="J265" i="22"/>
  <c r="J266" i="22"/>
  <c r="J267" i="22"/>
  <c r="J268" i="22"/>
  <c r="J269" i="22"/>
  <c r="J270" i="22"/>
  <c r="J271" i="22"/>
  <c r="J272" i="22"/>
  <c r="J273" i="22"/>
  <c r="J274" i="22"/>
  <c r="J275" i="22"/>
  <c r="J276" i="22"/>
  <c r="J277" i="22"/>
  <c r="J278" i="22"/>
  <c r="J279" i="22"/>
  <c r="J280" i="22"/>
  <c r="J281" i="22"/>
  <c r="J282" i="22"/>
  <c r="J283" i="22"/>
  <c r="J284" i="22"/>
  <c r="J285" i="22"/>
  <c r="J286" i="22"/>
  <c r="J287" i="22"/>
  <c r="J288" i="22"/>
  <c r="J289" i="22"/>
  <c r="J290" i="22"/>
  <c r="J291" i="22"/>
  <c r="J292" i="22"/>
  <c r="J293" i="22"/>
  <c r="J294" i="22"/>
  <c r="J295" i="22"/>
  <c r="J296" i="22"/>
  <c r="J297" i="22"/>
  <c r="J298" i="22"/>
  <c r="J299" i="22"/>
  <c r="J301" i="22"/>
  <c r="J302" i="22"/>
  <c r="J303" i="22"/>
  <c r="J305" i="22"/>
  <c r="J306" i="22"/>
  <c r="J307" i="22"/>
  <c r="J308" i="22"/>
  <c r="J309" i="22"/>
  <c r="J310" i="22"/>
  <c r="J311" i="22"/>
  <c r="J312" i="22"/>
  <c r="J313" i="22"/>
  <c r="J314" i="22"/>
  <c r="J315" i="22"/>
  <c r="J317" i="22"/>
  <c r="J318" i="22"/>
  <c r="J319" i="22"/>
  <c r="J320" i="22"/>
  <c r="J321" i="22"/>
  <c r="J322" i="22"/>
  <c r="J323" i="22"/>
  <c r="J324" i="22"/>
  <c r="J325" i="22"/>
  <c r="J326" i="22"/>
  <c r="J327" i="22"/>
  <c r="J328" i="22"/>
  <c r="J329" i="22"/>
  <c r="J330" i="22"/>
  <c r="J331" i="22"/>
  <c r="J332" i="22"/>
  <c r="J333" i="22"/>
  <c r="J334" i="22"/>
  <c r="J335" i="22"/>
  <c r="J336" i="22"/>
  <c r="J337" i="22"/>
  <c r="J338" i="22"/>
  <c r="J339" i="22"/>
  <c r="J340" i="22"/>
  <c r="J341" i="22"/>
  <c r="J342" i="22"/>
  <c r="J343" i="22"/>
  <c r="J344" i="22"/>
  <c r="J345" i="22"/>
  <c r="J346" i="22"/>
  <c r="J347" i="22"/>
  <c r="J348" i="22"/>
  <c r="J349" i="22"/>
  <c r="J350" i="22"/>
  <c r="J351" i="22"/>
  <c r="J352" i="22"/>
  <c r="J354" i="22"/>
  <c r="J355" i="22"/>
  <c r="J356" i="22"/>
  <c r="J357" i="22"/>
  <c r="J358" i="22"/>
  <c r="J359" i="22"/>
  <c r="J360" i="22"/>
  <c r="J361" i="22"/>
  <c r="J362" i="22"/>
  <c r="J363" i="22"/>
  <c r="J364" i="22"/>
  <c r="J365" i="22"/>
  <c r="J366" i="22"/>
  <c r="J367" i="22"/>
  <c r="J368" i="22"/>
  <c r="K296" i="14"/>
  <c r="K299" i="14"/>
  <c r="K303" i="14"/>
  <c r="K305" i="14"/>
  <c r="K306" i="14"/>
  <c r="K307" i="14"/>
  <c r="K309" i="14"/>
  <c r="K310" i="14"/>
  <c r="K311" i="14"/>
  <c r="K312" i="14"/>
  <c r="K313" i="14"/>
  <c r="K315" i="14"/>
  <c r="K316" i="14"/>
  <c r="K317" i="14"/>
  <c r="K318" i="14"/>
  <c r="K319" i="14"/>
  <c r="K320" i="14"/>
  <c r="S163" i="21"/>
  <c r="S162" i="21"/>
  <c r="K77" i="14"/>
  <c r="S40" i="21"/>
  <c r="S39" i="21"/>
  <c r="W5" i="21"/>
  <c r="U5" i="21"/>
  <c r="M7" i="14"/>
  <c r="P7" i="14"/>
  <c r="O7" i="14"/>
  <c r="AH6" i="41"/>
  <c r="AH7" i="41"/>
  <c r="H7" i="41"/>
  <c r="U261" i="14"/>
  <c r="R7" i="14"/>
  <c r="AH14" i="41"/>
  <c r="K262" i="14"/>
  <c r="K263" i="14"/>
  <c r="K265" i="14"/>
  <c r="K266" i="14"/>
  <c r="K268" i="14"/>
  <c r="K269" i="14"/>
  <c r="K270" i="14"/>
  <c r="K274" i="14"/>
  <c r="K286" i="14"/>
  <c r="K287" i="14"/>
  <c r="K267" i="14"/>
  <c r="K261" i="14"/>
  <c r="K285" i="14"/>
  <c r="K264" i="14"/>
  <c r="K271" i="14"/>
  <c r="AO89" i="25"/>
  <c r="V250" i="22"/>
  <c r="V240" i="22"/>
  <c r="V235" i="22" s="1"/>
  <c r="V356" i="22"/>
  <c r="V348" i="22" s="1"/>
  <c r="V346" i="22"/>
  <c r="V341" i="22" s="1"/>
  <c r="V340" i="22" s="1"/>
  <c r="V197" i="22"/>
  <c r="V189" i="22" s="1"/>
  <c r="J37" i="27" s="1"/>
  <c r="J36" i="27" s="1"/>
  <c r="V303" i="22"/>
  <c r="V187" i="22"/>
  <c r="U63" i="22"/>
  <c r="N13" i="22"/>
  <c r="O13" i="22"/>
  <c r="Q13" i="22"/>
  <c r="R13" i="22"/>
  <c r="S13" i="22"/>
  <c r="T13" i="22"/>
  <c r="V328" i="22"/>
  <c r="V275" i="22"/>
  <c r="V222" i="22"/>
  <c r="V169" i="22"/>
  <c r="V63" i="22"/>
  <c r="Q152" i="21"/>
  <c r="R152" i="21"/>
  <c r="S152" i="21"/>
  <c r="S572" i="21"/>
  <c r="U19" i="41"/>
  <c r="S265" i="21"/>
  <c r="V359" i="22"/>
  <c r="W359" i="22"/>
  <c r="X359" i="22"/>
  <c r="AA359" i="22"/>
  <c r="G151" i="24" s="1"/>
  <c r="Z40" i="22"/>
  <c r="O127" i="14" s="1"/>
  <c r="O43" i="14" s="1"/>
  <c r="Z348" i="22"/>
  <c r="AA348" i="22"/>
  <c r="Z341" i="22"/>
  <c r="Z340" i="22" s="1"/>
  <c r="AA341" i="22"/>
  <c r="AA340" i="22" s="1"/>
  <c r="V338" i="22"/>
  <c r="W338" i="22"/>
  <c r="X338" i="22"/>
  <c r="Y338" i="22"/>
  <c r="Z338" i="22"/>
  <c r="AA338" i="22"/>
  <c r="V333" i="22"/>
  <c r="W333" i="22"/>
  <c r="X333" i="22"/>
  <c r="Y333" i="22"/>
  <c r="Z333" i="22"/>
  <c r="AA333" i="22"/>
  <c r="G153" i="24" s="1"/>
  <c r="V329" i="22"/>
  <c r="W329" i="22"/>
  <c r="X329" i="22"/>
  <c r="Y329" i="22"/>
  <c r="Z329" i="22"/>
  <c r="AA329" i="22"/>
  <c r="V306" i="22"/>
  <c r="W306" i="22"/>
  <c r="X306" i="22"/>
  <c r="Y306" i="22"/>
  <c r="Z306" i="22"/>
  <c r="AA306" i="22"/>
  <c r="Y40" i="22"/>
  <c r="N127" i="14" s="1"/>
  <c r="N43" i="14" s="1"/>
  <c r="Z295" i="22"/>
  <c r="Z284" i="22" s="1"/>
  <c r="AA295" i="22"/>
  <c r="AA284" i="22" s="1"/>
  <c r="V287" i="22"/>
  <c r="W287" i="22"/>
  <c r="X287" i="22"/>
  <c r="Y287" i="22"/>
  <c r="Z287" i="22"/>
  <c r="AA287" i="22"/>
  <c r="V285" i="22"/>
  <c r="W285" i="22"/>
  <c r="X285" i="22"/>
  <c r="Y285" i="22"/>
  <c r="Z285" i="22"/>
  <c r="AA285" i="22"/>
  <c r="V280" i="22"/>
  <c r="W280" i="22"/>
  <c r="X280" i="22"/>
  <c r="Y280" i="22"/>
  <c r="Z280" i="22"/>
  <c r="AA280" i="22"/>
  <c r="F153" i="24" s="1"/>
  <c r="V276" i="22"/>
  <c r="W276" i="22"/>
  <c r="X276" i="22"/>
  <c r="Y276" i="22"/>
  <c r="Z276" i="22"/>
  <c r="AA276" i="22"/>
  <c r="W273" i="22"/>
  <c r="X273" i="22"/>
  <c r="Y273" i="22"/>
  <c r="Z273" i="22"/>
  <c r="AA273" i="22"/>
  <c r="W253" i="22"/>
  <c r="X253" i="22"/>
  <c r="Y253" i="22"/>
  <c r="Z253" i="22"/>
  <c r="AA253" i="22"/>
  <c r="E151" i="24" s="1"/>
  <c r="V40" i="22"/>
  <c r="K127" i="14" s="1"/>
  <c r="K43" i="14" s="1"/>
  <c r="W40" i="22"/>
  <c r="L127" i="14" s="1"/>
  <c r="L43" i="14" s="1"/>
  <c r="Z242" i="22"/>
  <c r="AA242" i="22"/>
  <c r="Z235" i="22"/>
  <c r="Z234" i="22" s="1"/>
  <c r="AA235" i="22"/>
  <c r="AA234" i="22" s="1"/>
  <c r="V232" i="22"/>
  <c r="W232" i="22"/>
  <c r="X232" i="22"/>
  <c r="Y232" i="22"/>
  <c r="Z232" i="22"/>
  <c r="AA232" i="22"/>
  <c r="V227" i="22"/>
  <c r="W227" i="22"/>
  <c r="X227" i="22"/>
  <c r="Y227" i="22"/>
  <c r="Z227" i="22"/>
  <c r="AA227" i="22"/>
  <c r="E153" i="24" s="1"/>
  <c r="V223" i="22"/>
  <c r="W223" i="22"/>
  <c r="X223" i="22"/>
  <c r="Y223" i="22"/>
  <c r="Z223" i="22"/>
  <c r="AA223" i="22"/>
  <c r="W220" i="22"/>
  <c r="X220" i="22"/>
  <c r="Y220" i="22"/>
  <c r="Z220" i="22"/>
  <c r="AA220" i="22"/>
  <c r="V200" i="22"/>
  <c r="W200" i="22"/>
  <c r="X200" i="22"/>
  <c r="Y200" i="22"/>
  <c r="AA200" i="22"/>
  <c r="D151" i="24" s="1"/>
  <c r="Z189" i="22"/>
  <c r="AA189" i="22"/>
  <c r="O37" i="27" s="1"/>
  <c r="O36" i="27" s="1"/>
  <c r="Z182" i="22"/>
  <c r="Z181" i="22" s="1"/>
  <c r="AA182" i="22"/>
  <c r="O34" i="27" s="1"/>
  <c r="V179" i="22"/>
  <c r="W179" i="22"/>
  <c r="X179" i="22"/>
  <c r="Z179" i="22"/>
  <c r="AA179" i="22"/>
  <c r="V174" i="22"/>
  <c r="J50" i="27" s="1"/>
  <c r="W174" i="22"/>
  <c r="W18" i="22" s="1"/>
  <c r="X174" i="22"/>
  <c r="X18" i="22" s="1"/>
  <c r="Y174" i="22"/>
  <c r="M50" i="27" s="1"/>
  <c r="Z174" i="22"/>
  <c r="N50" i="27" s="1"/>
  <c r="AA174" i="22"/>
  <c r="O50" i="27" s="1"/>
  <c r="V170" i="22"/>
  <c r="W170" i="22"/>
  <c r="X170" i="22"/>
  <c r="Y170" i="22"/>
  <c r="Z170" i="22"/>
  <c r="AA170" i="22"/>
  <c r="W167" i="22"/>
  <c r="X167" i="22"/>
  <c r="Y167" i="22"/>
  <c r="Z167" i="22"/>
  <c r="AA167" i="22"/>
  <c r="V94" i="22"/>
  <c r="W94" i="22"/>
  <c r="X94" i="22"/>
  <c r="Y94" i="22"/>
  <c r="Z94" i="22"/>
  <c r="AA94" i="22"/>
  <c r="C151" i="24" s="1"/>
  <c r="V83" i="22"/>
  <c r="AA83" i="22"/>
  <c r="V75" i="22"/>
  <c r="V73" i="22"/>
  <c r="W73" i="22"/>
  <c r="X73" i="22"/>
  <c r="Y73" i="22"/>
  <c r="Z73" i="22"/>
  <c r="AA73" i="22"/>
  <c r="V68" i="22"/>
  <c r="W68" i="22"/>
  <c r="X68" i="22"/>
  <c r="Y68" i="22"/>
  <c r="Z68" i="22"/>
  <c r="AA68" i="22"/>
  <c r="C153" i="24" s="1"/>
  <c r="V64" i="22"/>
  <c r="W64" i="22"/>
  <c r="X64" i="22"/>
  <c r="Y64" i="22"/>
  <c r="Z64" i="22"/>
  <c r="AA64" i="22"/>
  <c r="W61" i="22"/>
  <c r="Y61" i="22"/>
  <c r="Z61" i="22"/>
  <c r="AA61" i="22"/>
  <c r="V49" i="22"/>
  <c r="K123" i="14" s="1"/>
  <c r="K40" i="14" s="1"/>
  <c r="W49" i="22"/>
  <c r="L123" i="14" s="1"/>
  <c r="L40" i="14" s="1"/>
  <c r="X49" i="22"/>
  <c r="M123" i="14" s="1"/>
  <c r="M40" i="14" s="1"/>
  <c r="Y49" i="22"/>
  <c r="N123" i="14" s="1"/>
  <c r="N40" i="14" s="1"/>
  <c r="Z49" i="22"/>
  <c r="O123" i="14" s="1"/>
  <c r="O40" i="14" s="1"/>
  <c r="AA49" i="22"/>
  <c r="P123" i="14" s="1"/>
  <c r="V48" i="22"/>
  <c r="W48" i="22"/>
  <c r="X48" i="22"/>
  <c r="Y48" i="22"/>
  <c r="N125" i="14" s="1"/>
  <c r="AA48" i="22"/>
  <c r="P125" i="14" s="1"/>
  <c r="V47" i="22"/>
  <c r="K121" i="14" s="1"/>
  <c r="K35" i="14" s="1"/>
  <c r="W47" i="22"/>
  <c r="L121" i="14" s="1"/>
  <c r="L35" i="14" s="1"/>
  <c r="X47" i="22"/>
  <c r="M121" i="14" s="1"/>
  <c r="M35" i="14" s="1"/>
  <c r="Y47" i="22"/>
  <c r="N121" i="14" s="1"/>
  <c r="Z47" i="22"/>
  <c r="O121" i="14" s="1"/>
  <c r="AA47" i="22"/>
  <c r="P121" i="14" s="1"/>
  <c r="V46" i="22"/>
  <c r="K124" i="14" s="1"/>
  <c r="K41" i="14" s="1"/>
  <c r="W46" i="22"/>
  <c r="L124" i="14" s="1"/>
  <c r="L41" i="14" s="1"/>
  <c r="X46" i="22"/>
  <c r="M124" i="14" s="1"/>
  <c r="M41" i="14" s="1"/>
  <c r="Y46" i="22"/>
  <c r="N124" i="14" s="1"/>
  <c r="N41" i="14" s="1"/>
  <c r="Z46" i="22"/>
  <c r="O124" i="14" s="1"/>
  <c r="O41" i="14" s="1"/>
  <c r="AA46" i="22"/>
  <c r="P124" i="14" s="1"/>
  <c r="P41" i="14" s="1"/>
  <c r="V45" i="22"/>
  <c r="K122" i="14" s="1"/>
  <c r="K39" i="14" s="1"/>
  <c r="W45" i="22"/>
  <c r="L122" i="14" s="1"/>
  <c r="L39" i="14" s="1"/>
  <c r="X45" i="22"/>
  <c r="M122" i="14" s="1"/>
  <c r="M39" i="14" s="1"/>
  <c r="Y45" i="22"/>
  <c r="N122" i="14" s="1"/>
  <c r="N39" i="14" s="1"/>
  <c r="Z45" i="22"/>
  <c r="O122" i="14" s="1"/>
  <c r="O39" i="14" s="1"/>
  <c r="AA45" i="22"/>
  <c r="P122" i="14" s="1"/>
  <c r="V44" i="22"/>
  <c r="K120" i="14" s="1"/>
  <c r="K34" i="14" s="1"/>
  <c r="W44" i="22"/>
  <c r="L120" i="14" s="1"/>
  <c r="L34" i="14" s="1"/>
  <c r="X44" i="22"/>
  <c r="M120" i="14" s="1"/>
  <c r="M34" i="14" s="1"/>
  <c r="Y44" i="22"/>
  <c r="N120" i="14" s="1"/>
  <c r="N34" i="14" s="1"/>
  <c r="Z44" i="22"/>
  <c r="O120" i="14" s="1"/>
  <c r="O34" i="14" s="1"/>
  <c r="AA44" i="22"/>
  <c r="P120" i="14" s="1"/>
  <c r="V43" i="22"/>
  <c r="K126" i="14" s="1"/>
  <c r="K42" i="14" s="1"/>
  <c r="W43" i="22"/>
  <c r="L126" i="14" s="1"/>
  <c r="L42" i="14" s="1"/>
  <c r="X43" i="22"/>
  <c r="M126" i="14" s="1"/>
  <c r="M42" i="14" s="1"/>
  <c r="Z43" i="22"/>
  <c r="O126" i="14" s="1"/>
  <c r="O42" i="14" s="1"/>
  <c r="AA43" i="22"/>
  <c r="P126" i="14" s="1"/>
  <c r="V42" i="22"/>
  <c r="W42" i="22"/>
  <c r="X42" i="22"/>
  <c r="Y42" i="22"/>
  <c r="Z42" i="22"/>
  <c r="AA42" i="22"/>
  <c r="Z38" i="22"/>
  <c r="AA38" i="22"/>
  <c r="V37" i="22"/>
  <c r="W37" i="22"/>
  <c r="X37" i="22"/>
  <c r="Y37" i="22"/>
  <c r="AA37" i="22"/>
  <c r="V36" i="22"/>
  <c r="W36" i="22"/>
  <c r="X36" i="22"/>
  <c r="Y36" i="22"/>
  <c r="Z36" i="22"/>
  <c r="AA36" i="22"/>
  <c r="W34" i="22"/>
  <c r="X34" i="22"/>
  <c r="Y34" i="22"/>
  <c r="Z34" i="22"/>
  <c r="AA34" i="22"/>
  <c r="W33" i="22"/>
  <c r="X33" i="22"/>
  <c r="Y33" i="22"/>
  <c r="Z33" i="22"/>
  <c r="AA33" i="22"/>
  <c r="W32" i="22"/>
  <c r="X32" i="22"/>
  <c r="Y32" i="22"/>
  <c r="AA32" i="22"/>
  <c r="W31" i="22"/>
  <c r="X31" i="22"/>
  <c r="Y31" i="22"/>
  <c r="Z31" i="22"/>
  <c r="AA31" i="22"/>
  <c r="W29" i="22"/>
  <c r="X29" i="22"/>
  <c r="X25" i="22" s="1"/>
  <c r="Z29" i="22"/>
  <c r="O114" i="14" s="1"/>
  <c r="O28" i="14" s="1"/>
  <c r="AA29" i="22"/>
  <c r="AA25" i="22" s="1"/>
  <c r="O152" i="21"/>
  <c r="P152" i="21"/>
  <c r="N152" i="21"/>
  <c r="V20" i="22"/>
  <c r="W20" i="22"/>
  <c r="X20" i="22"/>
  <c r="Y20" i="22"/>
  <c r="Z20" i="22"/>
  <c r="AA20" i="22"/>
  <c r="V19" i="22"/>
  <c r="W19" i="22"/>
  <c r="X19" i="22"/>
  <c r="Y19" i="22"/>
  <c r="Z19" i="22"/>
  <c r="AA19" i="22"/>
  <c r="W17" i="22"/>
  <c r="X17" i="22"/>
  <c r="M24" i="14" s="1"/>
  <c r="Y17" i="22"/>
  <c r="Z17" i="22"/>
  <c r="AA17" i="22"/>
  <c r="P24" i="14" s="1"/>
  <c r="V16" i="22"/>
  <c r="W16" i="22"/>
  <c r="L23" i="14" s="1"/>
  <c r="X16" i="22"/>
  <c r="M23" i="14" s="1"/>
  <c r="Y16" i="22"/>
  <c r="N23" i="14" s="1"/>
  <c r="Z16" i="22"/>
  <c r="AA16" i="22"/>
  <c r="V15" i="22"/>
  <c r="W15" i="22"/>
  <c r="L22" i="14" s="1"/>
  <c r="X15" i="22"/>
  <c r="M110" i="14" s="1"/>
  <c r="Y15" i="22"/>
  <c r="N22" i="14" s="1"/>
  <c r="Z15" i="22"/>
  <c r="O110" i="14" s="1"/>
  <c r="AA15" i="22"/>
  <c r="P110" i="14" s="1"/>
  <c r="W12" i="22"/>
  <c r="X12" i="22"/>
  <c r="Y12" i="22"/>
  <c r="Z12" i="22"/>
  <c r="AA12" i="22"/>
  <c r="W10" i="22"/>
  <c r="X10" i="22"/>
  <c r="Y10" i="22"/>
  <c r="Z10" i="22"/>
  <c r="O107" i="14" s="1"/>
  <c r="AA10" i="22"/>
  <c r="P107" i="14" s="1"/>
  <c r="P21" i="14" s="1"/>
  <c r="W5" i="22"/>
  <c r="X5" i="22"/>
  <c r="Y5" i="22"/>
  <c r="Z5" i="22"/>
  <c r="AA5" i="22"/>
  <c r="W3" i="22"/>
  <c r="X3" i="22"/>
  <c r="Y3" i="22"/>
  <c r="Z3" i="22"/>
  <c r="AA3" i="22"/>
  <c r="AJ35" i="25"/>
  <c r="AK35" i="25"/>
  <c r="AL35" i="25"/>
  <c r="AM35" i="25"/>
  <c r="AN35" i="25"/>
  <c r="AO35" i="25"/>
  <c r="AI35" i="25"/>
  <c r="S581" i="21"/>
  <c r="U25" i="41"/>
  <c r="S582" i="21"/>
  <c r="U26" i="41"/>
  <c r="S580" i="21"/>
  <c r="S573" i="21"/>
  <c r="S574" i="21"/>
  <c r="S566" i="21"/>
  <c r="S568" i="21"/>
  <c r="S569" i="21"/>
  <c r="S570" i="21"/>
  <c r="S571" i="21"/>
  <c r="U18" i="41"/>
  <c r="S543" i="21"/>
  <c r="U4" i="41"/>
  <c r="S544" i="21"/>
  <c r="U8" i="41"/>
  <c r="S503" i="21"/>
  <c r="H13" i="41"/>
  <c r="S483" i="21"/>
  <c r="S481" i="21"/>
  <c r="H5" i="41"/>
  <c r="S235" i="21"/>
  <c r="S161" i="21"/>
  <c r="S11" i="21"/>
  <c r="S462" i="21"/>
  <c r="S463" i="21"/>
  <c r="S402" i="21"/>
  <c r="S403" i="21"/>
  <c r="S342" i="21"/>
  <c r="S343" i="21"/>
  <c r="S282" i="21"/>
  <c r="S283" i="21"/>
  <c r="S222" i="21"/>
  <c r="S223" i="21"/>
  <c r="S413" i="21"/>
  <c r="S414" i="21"/>
  <c r="S415" i="21"/>
  <c r="S355" i="21"/>
  <c r="S295" i="21"/>
  <c r="S175" i="21"/>
  <c r="S450" i="21"/>
  <c r="S440" i="21"/>
  <c r="S438" i="21"/>
  <c r="S436" i="21"/>
  <c r="S432" i="21"/>
  <c r="S390" i="21"/>
  <c r="S391" i="21"/>
  <c r="S380" i="21"/>
  <c r="S378" i="21"/>
  <c r="S376" i="21"/>
  <c r="S372" i="21"/>
  <c r="S330" i="21"/>
  <c r="S320" i="21"/>
  <c r="S318" i="21"/>
  <c r="S316" i="21"/>
  <c r="S312" i="21"/>
  <c r="S271" i="21"/>
  <c r="S272" i="21"/>
  <c r="S259" i="21"/>
  <c r="S260" i="21"/>
  <c r="S261" i="21"/>
  <c r="S262" i="21"/>
  <c r="S263" i="21"/>
  <c r="S264" i="21"/>
  <c r="S256" i="21"/>
  <c r="S253" i="21"/>
  <c r="S252" i="21"/>
  <c r="S211" i="21"/>
  <c r="S209" i="21"/>
  <c r="S200" i="21"/>
  <c r="S198" i="21"/>
  <c r="S196" i="21"/>
  <c r="S192" i="21"/>
  <c r="V17" i="22"/>
  <c r="K24" i="14" s="1"/>
  <c r="V273" i="22"/>
  <c r="V220" i="22"/>
  <c r="V167" i="22"/>
  <c r="V61" i="22"/>
  <c r="U273" i="22"/>
  <c r="U220" i="22"/>
  <c r="U167" i="22"/>
  <c r="U61" i="22"/>
  <c r="V218" i="22"/>
  <c r="V216" i="22" s="1"/>
  <c r="V5" i="22"/>
  <c r="V3" i="22"/>
  <c r="V324" i="22"/>
  <c r="V271" i="22"/>
  <c r="V270" i="22" s="1"/>
  <c r="V165" i="22"/>
  <c r="V164" i="22" s="1"/>
  <c r="V59" i="22"/>
  <c r="V58" i="22" s="1"/>
  <c r="V253" i="22"/>
  <c r="AO56" i="25"/>
  <c r="S105" i="21"/>
  <c r="U17" i="41"/>
  <c r="S507" i="21"/>
  <c r="S517" i="21"/>
  <c r="K302" i="14"/>
  <c r="AO84" i="25"/>
  <c r="K297" i="14"/>
  <c r="S541" i="21"/>
  <c r="U5" i="41"/>
  <c r="U7" i="41"/>
  <c r="S563" i="21"/>
  <c r="U13" i="41"/>
  <c r="H11" i="41"/>
  <c r="S518" i="21"/>
  <c r="S428" i="21"/>
  <c r="S276" i="21"/>
  <c r="S498" i="21"/>
  <c r="S216" i="21"/>
  <c r="S456" i="21"/>
  <c r="S389" i="21"/>
  <c r="S369" i="21"/>
  <c r="S431" i="21"/>
  <c r="S371" i="21"/>
  <c r="S258" i="21"/>
  <c r="S248" i="21"/>
  <c r="S396" i="21"/>
  <c r="S336" i="21"/>
  <c r="S189" i="21"/>
  <c r="S311" i="21"/>
  <c r="S269" i="21"/>
  <c r="S197" i="21"/>
  <c r="S251" i="21"/>
  <c r="S308" i="21"/>
  <c r="S331" i="21"/>
  <c r="S329" i="21"/>
  <c r="S309" i="21"/>
  <c r="S451" i="21"/>
  <c r="S449" i="21"/>
  <c r="S191" i="21"/>
  <c r="V534" i="19"/>
  <c r="V495" i="19"/>
  <c r="V494" i="19" s="1"/>
  <c r="K173" i="14" s="1"/>
  <c r="V378" i="19"/>
  <c r="V377" i="19" s="1"/>
  <c r="V339" i="19"/>
  <c r="V338" i="19" s="1"/>
  <c r="K460" i="14" s="1"/>
  <c r="W66" i="19"/>
  <c r="W65" i="19" s="1"/>
  <c r="V222" i="19"/>
  <c r="V221" i="19" s="1"/>
  <c r="K373" i="14" s="1"/>
  <c r="V144" i="19"/>
  <c r="V143" i="19" s="1"/>
  <c r="J62" i="27" s="1"/>
  <c r="V655" i="19"/>
  <c r="V34" i="22"/>
  <c r="V33" i="22"/>
  <c r="V32" i="22"/>
  <c r="V31" i="22"/>
  <c r="V29" i="22"/>
  <c r="V25" i="22" s="1"/>
  <c r="V12" i="22"/>
  <c r="V10" i="22"/>
  <c r="K107" i="14" s="1"/>
  <c r="K21" i="14" s="1"/>
  <c r="U10" i="22"/>
  <c r="J107" i="14" s="1"/>
  <c r="J21" i="14" s="1"/>
  <c r="V326" i="22"/>
  <c r="S150" i="21"/>
  <c r="AH27" i="41"/>
  <c r="S38" i="21"/>
  <c r="S37" i="21"/>
  <c r="S36" i="21"/>
  <c r="S35" i="21"/>
  <c r="S34" i="21"/>
  <c r="S30" i="21"/>
  <c r="S8" i="21"/>
  <c r="S28" i="21"/>
  <c r="R37" i="21"/>
  <c r="S90" i="21"/>
  <c r="S85" i="21"/>
  <c r="S79" i="21"/>
  <c r="S74" i="21"/>
  <c r="R145" i="21"/>
  <c r="R87" i="21"/>
  <c r="S57" i="21"/>
  <c r="S48" i="21"/>
  <c r="S52" i="21"/>
  <c r="S47" i="21"/>
  <c r="S143" i="21"/>
  <c r="S123" i="21"/>
  <c r="S126" i="21"/>
  <c r="AH12" i="41"/>
  <c r="J5" i="19"/>
  <c r="F35" i="25"/>
  <c r="F36" i="25"/>
  <c r="E88" i="24"/>
  <c r="D205" i="14" s="1"/>
  <c r="F88" i="24"/>
  <c r="E205" i="14" s="1"/>
  <c r="G88" i="24"/>
  <c r="F205" i="14" s="1"/>
  <c r="H88" i="24"/>
  <c r="G205" i="14" s="1"/>
  <c r="I88" i="24"/>
  <c r="H205" i="14" s="1"/>
  <c r="J88" i="24"/>
  <c r="I205" i="14" s="1"/>
  <c r="K88" i="24"/>
  <c r="J205" i="14" s="1"/>
  <c r="L88" i="24"/>
  <c r="K205" i="14" s="1"/>
  <c r="M88" i="24"/>
  <c r="L205" i="14" s="1"/>
  <c r="N88" i="24"/>
  <c r="M205" i="14" s="1"/>
  <c r="O88" i="24"/>
  <c r="N205" i="14" s="1"/>
  <c r="P88" i="24"/>
  <c r="O205" i="14" s="1"/>
  <c r="Q88" i="24"/>
  <c r="P205" i="14" s="1"/>
  <c r="F89" i="24"/>
  <c r="E206" i="14" s="1"/>
  <c r="G89" i="24"/>
  <c r="F206" i="14" s="1"/>
  <c r="I89" i="24"/>
  <c r="H206" i="14" s="1"/>
  <c r="J89" i="24"/>
  <c r="I206" i="14" s="1"/>
  <c r="L89" i="24"/>
  <c r="K206" i="14" s="1"/>
  <c r="M89" i="24"/>
  <c r="L206" i="14" s="1"/>
  <c r="Q89" i="24"/>
  <c r="P206" i="14" s="1"/>
  <c r="S206" i="14" s="1"/>
  <c r="E91" i="24"/>
  <c r="D209" i="14" s="1"/>
  <c r="F91" i="24"/>
  <c r="E209" i="14" s="1"/>
  <c r="G91" i="24"/>
  <c r="F209" i="14" s="1"/>
  <c r="H91" i="24"/>
  <c r="G209" i="14" s="1"/>
  <c r="I91" i="24"/>
  <c r="H209" i="14" s="1"/>
  <c r="J91" i="24"/>
  <c r="I209" i="14" s="1"/>
  <c r="K91" i="24"/>
  <c r="J209" i="14" s="1"/>
  <c r="M91" i="24"/>
  <c r="L209" i="14" s="1"/>
  <c r="N91" i="24"/>
  <c r="M209" i="14" s="1"/>
  <c r="O91" i="24"/>
  <c r="N209" i="14" s="1"/>
  <c r="P91" i="24"/>
  <c r="O209" i="14" s="1"/>
  <c r="Q91" i="24"/>
  <c r="P209" i="14" s="1"/>
  <c r="E92" i="24"/>
  <c r="D208" i="14" s="1"/>
  <c r="F92" i="24"/>
  <c r="E208" i="14" s="1"/>
  <c r="G92" i="24"/>
  <c r="F208" i="14" s="1"/>
  <c r="H92" i="24"/>
  <c r="G208" i="14" s="1"/>
  <c r="I92" i="24"/>
  <c r="H208" i="14" s="1"/>
  <c r="J92" i="24"/>
  <c r="I208" i="14" s="1"/>
  <c r="K92" i="24"/>
  <c r="J208" i="14" s="1"/>
  <c r="L92" i="24"/>
  <c r="K208" i="14" s="1"/>
  <c r="M92" i="24"/>
  <c r="L208" i="14" s="1"/>
  <c r="N92" i="24"/>
  <c r="M208" i="14" s="1"/>
  <c r="O92" i="24"/>
  <c r="N208" i="14" s="1"/>
  <c r="P92" i="24"/>
  <c r="O208" i="14" s="1"/>
  <c r="Q92" i="24"/>
  <c r="P208" i="14" s="1"/>
  <c r="S208" i="14" s="1"/>
  <c r="E93" i="24"/>
  <c r="D210" i="14" s="1"/>
  <c r="F93" i="24"/>
  <c r="E210" i="14" s="1"/>
  <c r="G93" i="24"/>
  <c r="F210" i="14" s="1"/>
  <c r="H93" i="24"/>
  <c r="G210" i="14" s="1"/>
  <c r="I93" i="24"/>
  <c r="H210" i="14" s="1"/>
  <c r="J93" i="24"/>
  <c r="I210" i="14" s="1"/>
  <c r="K93" i="24"/>
  <c r="J210" i="14" s="1"/>
  <c r="P93" i="24"/>
  <c r="O210" i="14" s="1"/>
  <c r="Q93" i="24"/>
  <c r="P210" i="14" s="1"/>
  <c r="E94" i="24"/>
  <c r="D211" i="14" s="1"/>
  <c r="F94" i="24"/>
  <c r="E211" i="14" s="1"/>
  <c r="G94" i="24"/>
  <c r="F211" i="14" s="1"/>
  <c r="H94" i="24"/>
  <c r="G211" i="14" s="1"/>
  <c r="I94" i="24"/>
  <c r="H211" i="14" s="1"/>
  <c r="J94" i="24"/>
  <c r="I211" i="14" s="1"/>
  <c r="K94" i="24"/>
  <c r="J211" i="14" s="1"/>
  <c r="L94" i="24"/>
  <c r="K211" i="14" s="1"/>
  <c r="M94" i="24"/>
  <c r="L211" i="14" s="1"/>
  <c r="N94" i="24"/>
  <c r="M211" i="14" s="1"/>
  <c r="O94" i="24"/>
  <c r="N211" i="14" s="1"/>
  <c r="P94" i="24"/>
  <c r="O211" i="14" s="1"/>
  <c r="Q94" i="24"/>
  <c r="P211" i="14" s="1"/>
  <c r="E95" i="24"/>
  <c r="D212" i="14" s="1"/>
  <c r="F95" i="24"/>
  <c r="E212" i="14" s="1"/>
  <c r="G95" i="24"/>
  <c r="F212" i="14" s="1"/>
  <c r="H95" i="24"/>
  <c r="G212" i="14" s="1"/>
  <c r="I95" i="24"/>
  <c r="H212" i="14" s="1"/>
  <c r="J95" i="24"/>
  <c r="I212" i="14" s="1"/>
  <c r="K95" i="24"/>
  <c r="J212" i="14" s="1"/>
  <c r="L95" i="24"/>
  <c r="K212" i="14" s="1"/>
  <c r="M95" i="24"/>
  <c r="L212" i="14" s="1"/>
  <c r="N95" i="24"/>
  <c r="M212" i="14" s="1"/>
  <c r="O95" i="24"/>
  <c r="N212" i="14" s="1"/>
  <c r="P95" i="24"/>
  <c r="O212" i="14" s="1"/>
  <c r="Q95" i="24"/>
  <c r="P212" i="14" s="1"/>
  <c r="E96" i="24"/>
  <c r="D213" i="14" s="1"/>
  <c r="F96" i="24"/>
  <c r="E213" i="14" s="1"/>
  <c r="G96" i="24"/>
  <c r="F213" i="14" s="1"/>
  <c r="H96" i="24"/>
  <c r="G213" i="14" s="1"/>
  <c r="I96" i="24"/>
  <c r="H213" i="14" s="1"/>
  <c r="J96" i="24"/>
  <c r="I213" i="14" s="1"/>
  <c r="K96" i="24"/>
  <c r="J213" i="14" s="1"/>
  <c r="L96" i="24"/>
  <c r="K213" i="14" s="1"/>
  <c r="M96" i="24"/>
  <c r="L213" i="14" s="1"/>
  <c r="N96" i="24"/>
  <c r="M213" i="14" s="1"/>
  <c r="O96" i="24"/>
  <c r="N213" i="14" s="1"/>
  <c r="P96" i="24"/>
  <c r="O213" i="14" s="1"/>
  <c r="Q96" i="24"/>
  <c r="P213" i="14" s="1"/>
  <c r="E97" i="24"/>
  <c r="D214" i="14" s="1"/>
  <c r="F97" i="24"/>
  <c r="E214" i="14" s="1"/>
  <c r="G97" i="24"/>
  <c r="F214" i="14" s="1"/>
  <c r="H97" i="24"/>
  <c r="G214" i="14" s="1"/>
  <c r="I97" i="24"/>
  <c r="H214" i="14" s="1"/>
  <c r="J97" i="24"/>
  <c r="I214" i="14" s="1"/>
  <c r="K97" i="24"/>
  <c r="J214" i="14" s="1"/>
  <c r="L97" i="24"/>
  <c r="K214" i="14" s="1"/>
  <c r="M97" i="24"/>
  <c r="L214" i="14" s="1"/>
  <c r="N97" i="24"/>
  <c r="M214" i="14" s="1"/>
  <c r="O97" i="24"/>
  <c r="N214" i="14" s="1"/>
  <c r="P97" i="24"/>
  <c r="O214" i="14" s="1"/>
  <c r="Q97" i="24"/>
  <c r="P214" i="14" s="1"/>
  <c r="E98" i="24"/>
  <c r="D215" i="14" s="1"/>
  <c r="F98" i="24"/>
  <c r="E215" i="14" s="1"/>
  <c r="G98" i="24"/>
  <c r="F215" i="14" s="1"/>
  <c r="H98" i="24"/>
  <c r="G215" i="14" s="1"/>
  <c r="I98" i="24"/>
  <c r="H215" i="14" s="1"/>
  <c r="J98" i="24"/>
  <c r="I215" i="14" s="1"/>
  <c r="K98" i="24"/>
  <c r="J215" i="14" s="1"/>
  <c r="L98" i="24"/>
  <c r="K215" i="14" s="1"/>
  <c r="M98" i="24"/>
  <c r="L215" i="14" s="1"/>
  <c r="N98" i="24"/>
  <c r="M215" i="14" s="1"/>
  <c r="O98" i="24"/>
  <c r="N215" i="14" s="1"/>
  <c r="P98" i="24"/>
  <c r="O215" i="14" s="1"/>
  <c r="Q98" i="24"/>
  <c r="P215" i="14" s="1"/>
  <c r="S215" i="14" s="1"/>
  <c r="E85" i="24"/>
  <c r="F85" i="24"/>
  <c r="G85" i="24"/>
  <c r="H85" i="24"/>
  <c r="I85" i="24"/>
  <c r="J85" i="24"/>
  <c r="K85" i="24"/>
  <c r="L85" i="24"/>
  <c r="M85" i="24"/>
  <c r="N85" i="24"/>
  <c r="O85" i="24"/>
  <c r="P85" i="24"/>
  <c r="Q85" i="24"/>
  <c r="E86" i="24"/>
  <c r="F86" i="24"/>
  <c r="G86" i="24"/>
  <c r="H86" i="24"/>
  <c r="I86" i="24"/>
  <c r="J86" i="24"/>
  <c r="K86" i="24"/>
  <c r="L86" i="24"/>
  <c r="M86" i="24"/>
  <c r="N86" i="24"/>
  <c r="O86" i="24"/>
  <c r="P86" i="24"/>
  <c r="Q86" i="24"/>
  <c r="E87" i="24"/>
  <c r="F87" i="24"/>
  <c r="G87" i="24"/>
  <c r="H87" i="24"/>
  <c r="I87" i="24"/>
  <c r="J87" i="24"/>
  <c r="K87" i="24"/>
  <c r="L87" i="24"/>
  <c r="M87" i="24"/>
  <c r="N87" i="24"/>
  <c r="O87" i="24"/>
  <c r="P87" i="24"/>
  <c r="Q87" i="24"/>
  <c r="E81" i="24"/>
  <c r="F81" i="24"/>
  <c r="G81" i="24"/>
  <c r="H81" i="24"/>
  <c r="I81" i="24"/>
  <c r="J81" i="24"/>
  <c r="K81" i="24"/>
  <c r="L81" i="24"/>
  <c r="M81" i="24"/>
  <c r="N81" i="24"/>
  <c r="O81" i="24"/>
  <c r="P81" i="24"/>
  <c r="Q81" i="24"/>
  <c r="F82" i="24"/>
  <c r="G82" i="24"/>
  <c r="H82" i="24"/>
  <c r="I82" i="24"/>
  <c r="J82" i="24"/>
  <c r="K82" i="24"/>
  <c r="L82" i="24"/>
  <c r="M82" i="24"/>
  <c r="N82" i="24"/>
  <c r="P82" i="24"/>
  <c r="Q82" i="24"/>
  <c r="E83" i="24"/>
  <c r="F83" i="24"/>
  <c r="G83" i="24"/>
  <c r="H83" i="24"/>
  <c r="I83" i="24"/>
  <c r="J83" i="24"/>
  <c r="K83" i="24"/>
  <c r="L83" i="24"/>
  <c r="M83" i="24"/>
  <c r="N83" i="24"/>
  <c r="Q83" i="24"/>
  <c r="C97" i="24"/>
  <c r="T214" i="14" s="1"/>
  <c r="W214" i="14" s="1"/>
  <c r="C82" i="24"/>
  <c r="C99" i="24"/>
  <c r="C100" i="24"/>
  <c r="E74" i="24"/>
  <c r="F74" i="24"/>
  <c r="G74" i="24"/>
  <c r="H74" i="24"/>
  <c r="I74" i="24"/>
  <c r="J74" i="24"/>
  <c r="K74" i="24"/>
  <c r="L74" i="24"/>
  <c r="M74" i="24"/>
  <c r="N74" i="24"/>
  <c r="P74" i="24"/>
  <c r="E73" i="24"/>
  <c r="D200" i="14" s="1"/>
  <c r="F73" i="24"/>
  <c r="E200" i="14" s="1"/>
  <c r="G73" i="24"/>
  <c r="F200" i="14" s="1"/>
  <c r="H73" i="24"/>
  <c r="G200" i="14" s="1"/>
  <c r="I73" i="24"/>
  <c r="H200" i="14" s="1"/>
  <c r="J73" i="24"/>
  <c r="I200" i="14" s="1"/>
  <c r="K73" i="24"/>
  <c r="J200" i="14" s="1"/>
  <c r="L73" i="24"/>
  <c r="K200" i="14" s="1"/>
  <c r="M73" i="24"/>
  <c r="L200" i="14" s="1"/>
  <c r="N73" i="24"/>
  <c r="M200" i="14" s="1"/>
  <c r="O73" i="24"/>
  <c r="N200" i="14" s="1"/>
  <c r="E72" i="24"/>
  <c r="F72" i="24"/>
  <c r="G72" i="24"/>
  <c r="H72" i="24"/>
  <c r="I72" i="24"/>
  <c r="J72" i="24"/>
  <c r="K72" i="24"/>
  <c r="L72" i="24"/>
  <c r="M72" i="24"/>
  <c r="N72" i="24"/>
  <c r="O72" i="24"/>
  <c r="P72" i="24"/>
  <c r="Q72" i="24"/>
  <c r="E71" i="24"/>
  <c r="F71" i="24"/>
  <c r="G71" i="24"/>
  <c r="H71" i="24"/>
  <c r="I71" i="24"/>
  <c r="J71" i="24"/>
  <c r="K71" i="24"/>
  <c r="L71" i="24"/>
  <c r="M71" i="24"/>
  <c r="N71" i="24"/>
  <c r="O71" i="24"/>
  <c r="P71" i="24"/>
  <c r="Q71" i="24"/>
  <c r="E69" i="24"/>
  <c r="D198" i="14" s="1"/>
  <c r="F69" i="24"/>
  <c r="G69" i="24"/>
  <c r="F198" i="14" s="1"/>
  <c r="H69" i="24"/>
  <c r="I69" i="24"/>
  <c r="H198" i="14" s="1"/>
  <c r="J69" i="24"/>
  <c r="K69" i="24"/>
  <c r="J198" i="14" s="1"/>
  <c r="L69" i="24"/>
  <c r="K198" i="14" s="1"/>
  <c r="M69" i="24"/>
  <c r="L198" i="14" s="1"/>
  <c r="N69" i="24"/>
  <c r="M198" i="14" s="1"/>
  <c r="O69" i="24"/>
  <c r="N198" i="14" s="1"/>
  <c r="P69" i="24"/>
  <c r="Q69" i="24"/>
  <c r="P198" i="14" s="1"/>
  <c r="S198" i="14" s="1"/>
  <c r="E66" i="24"/>
  <c r="D197" i="14" s="1"/>
  <c r="F66" i="24"/>
  <c r="E197" i="14" s="1"/>
  <c r="G66" i="24"/>
  <c r="F197" i="14" s="1"/>
  <c r="H66" i="24"/>
  <c r="G197" i="14" s="1"/>
  <c r="I66" i="24"/>
  <c r="H197" i="14" s="1"/>
  <c r="J66" i="24"/>
  <c r="I197" i="14" s="1"/>
  <c r="K66" i="24"/>
  <c r="J197" i="14" s="1"/>
  <c r="L66" i="24"/>
  <c r="K197" i="14" s="1"/>
  <c r="M66" i="24"/>
  <c r="L197" i="14" s="1"/>
  <c r="N66" i="24"/>
  <c r="O66" i="24"/>
  <c r="N197" i="14" s="1"/>
  <c r="P66" i="24"/>
  <c r="O197" i="14" s="1"/>
  <c r="Q66" i="24"/>
  <c r="P197" i="14" s="1"/>
  <c r="E65" i="24"/>
  <c r="K65" i="24"/>
  <c r="L65" i="24"/>
  <c r="M65" i="24"/>
  <c r="N65" i="24"/>
  <c r="O65" i="24"/>
  <c r="P65" i="24"/>
  <c r="Q65" i="24"/>
  <c r="E64" i="24"/>
  <c r="F64" i="24"/>
  <c r="G64" i="24"/>
  <c r="H64" i="24"/>
  <c r="I64" i="24"/>
  <c r="J64" i="24"/>
  <c r="K64" i="24"/>
  <c r="L64" i="24"/>
  <c r="M64" i="24"/>
  <c r="N64" i="24"/>
  <c r="O64" i="24"/>
  <c r="P64" i="24"/>
  <c r="Q64" i="24"/>
  <c r="M596" i="19"/>
  <c r="M595" i="19"/>
  <c r="M557" i="19"/>
  <c r="M556" i="19"/>
  <c r="E63" i="24"/>
  <c r="F63" i="24"/>
  <c r="G63" i="24"/>
  <c r="H63" i="24"/>
  <c r="I63" i="24"/>
  <c r="J63" i="24"/>
  <c r="K63" i="24"/>
  <c r="L63" i="24"/>
  <c r="M63" i="24"/>
  <c r="N63" i="24"/>
  <c r="O63" i="24"/>
  <c r="P63" i="24"/>
  <c r="Q63" i="24"/>
  <c r="M518" i="19"/>
  <c r="M517" i="19"/>
  <c r="J631" i="19"/>
  <c r="M630" i="19"/>
  <c r="Q530" i="14" s="1"/>
  <c r="J630" i="19"/>
  <c r="J629" i="19"/>
  <c r="M628" i="19"/>
  <c r="Q528" i="14" s="1"/>
  <c r="J628" i="19"/>
  <c r="M627" i="19"/>
  <c r="Q527" i="14" s="1"/>
  <c r="J627" i="19"/>
  <c r="M626" i="19"/>
  <c r="Q526" i="14" s="1"/>
  <c r="J626" i="19"/>
  <c r="J625" i="19"/>
  <c r="M624" i="19"/>
  <c r="J624" i="19"/>
  <c r="M623" i="19"/>
  <c r="Q523" i="14" s="1"/>
  <c r="J623" i="19"/>
  <c r="J622" i="19"/>
  <c r="J621" i="19"/>
  <c r="M620" i="19"/>
  <c r="Q520" i="14" s="1"/>
  <c r="J620" i="19"/>
  <c r="M619" i="19"/>
  <c r="J619" i="19"/>
  <c r="M618" i="19"/>
  <c r="J618" i="19"/>
  <c r="M617" i="19"/>
  <c r="J617" i="19"/>
  <c r="J616" i="19"/>
  <c r="J615" i="19"/>
  <c r="J614" i="19"/>
  <c r="M613" i="19"/>
  <c r="J613" i="19"/>
  <c r="J612" i="19"/>
  <c r="J611" i="19"/>
  <c r="J610" i="19"/>
  <c r="AA609" i="19"/>
  <c r="P535" i="14" s="1"/>
  <c r="Z609" i="19"/>
  <c r="O535" i="14" s="1"/>
  <c r="Y609" i="19"/>
  <c r="N535" i="14" s="1"/>
  <c r="X609" i="19"/>
  <c r="M535" i="14" s="1"/>
  <c r="W609" i="19"/>
  <c r="L535" i="14" s="1"/>
  <c r="V609" i="19"/>
  <c r="K535" i="14" s="1"/>
  <c r="U609" i="19"/>
  <c r="J535" i="14" s="1"/>
  <c r="T609" i="19"/>
  <c r="I535" i="14" s="1"/>
  <c r="S609" i="19"/>
  <c r="H535" i="14" s="1"/>
  <c r="R609" i="19"/>
  <c r="G535" i="14" s="1"/>
  <c r="Q609" i="19"/>
  <c r="F535" i="14" s="1"/>
  <c r="P609" i="19"/>
  <c r="E535" i="14" s="1"/>
  <c r="N609" i="19"/>
  <c r="C535" i="14" s="1"/>
  <c r="J609" i="19"/>
  <c r="J608" i="19"/>
  <c r="J607" i="19"/>
  <c r="J606" i="19"/>
  <c r="J605" i="19"/>
  <c r="J604" i="19"/>
  <c r="J603" i="19"/>
  <c r="AA602" i="19"/>
  <c r="Z602" i="19"/>
  <c r="Y602" i="19"/>
  <c r="X602" i="19"/>
  <c r="W602" i="19"/>
  <c r="V602" i="19"/>
  <c r="T602" i="19"/>
  <c r="S602" i="19"/>
  <c r="Q602" i="19"/>
  <c r="P602" i="19"/>
  <c r="N602" i="19"/>
  <c r="J602" i="19"/>
  <c r="J601" i="19"/>
  <c r="J600" i="19"/>
  <c r="Z599" i="19"/>
  <c r="Y599" i="19"/>
  <c r="X599" i="19"/>
  <c r="W599" i="19"/>
  <c r="V599" i="19"/>
  <c r="U599" i="19"/>
  <c r="T599" i="19"/>
  <c r="S599" i="19"/>
  <c r="R599" i="19"/>
  <c r="Q599" i="19"/>
  <c r="Q600" i="19" s="1"/>
  <c r="P599" i="19"/>
  <c r="P600" i="19" s="1"/>
  <c r="O599" i="19"/>
  <c r="N599" i="19"/>
  <c r="J599" i="19"/>
  <c r="M598" i="19"/>
  <c r="P109" i="24" s="1"/>
  <c r="J598" i="19"/>
  <c r="M597" i="19"/>
  <c r="J597" i="19"/>
  <c r="J596" i="19"/>
  <c r="J595" i="19"/>
  <c r="J594" i="19"/>
  <c r="P145" i="21"/>
  <c r="R149" i="21"/>
  <c r="R215" i="21"/>
  <c r="G453" i="21"/>
  <c r="G121" i="21"/>
  <c r="J106" i="21"/>
  <c r="P306" i="22"/>
  <c r="Q306" i="22"/>
  <c r="R306" i="22"/>
  <c r="S306" i="22"/>
  <c r="T306" i="22"/>
  <c r="U306" i="22"/>
  <c r="N306" i="22"/>
  <c r="M307" i="22"/>
  <c r="M308" i="22"/>
  <c r="M314" i="22"/>
  <c r="M313" i="22"/>
  <c r="M312" i="22"/>
  <c r="M310" i="22"/>
  <c r="M309" i="22"/>
  <c r="V243" i="14"/>
  <c r="U243" i="14"/>
  <c r="V241" i="14"/>
  <c r="U241" i="14"/>
  <c r="V240" i="14"/>
  <c r="U240" i="14"/>
  <c r="V239" i="14"/>
  <c r="U239" i="14"/>
  <c r="V238" i="14"/>
  <c r="U238" i="14"/>
  <c r="V237" i="14"/>
  <c r="U237" i="14"/>
  <c r="V236" i="14"/>
  <c r="U236" i="14"/>
  <c r="V234" i="14"/>
  <c r="U234" i="14"/>
  <c r="AP232" i="14"/>
  <c r="V231" i="14"/>
  <c r="U231" i="14"/>
  <c r="AP228" i="14"/>
  <c r="V226" i="14"/>
  <c r="V225" i="14"/>
  <c r="U225" i="14"/>
  <c r="AP225" i="14"/>
  <c r="AR229" i="14"/>
  <c r="AP271" i="14"/>
  <c r="AP272" i="14"/>
  <c r="AP267" i="14"/>
  <c r="AP268" i="14"/>
  <c r="AP261" i="14"/>
  <c r="AP263" i="14"/>
  <c r="AP264" i="14"/>
  <c r="H16" i="41"/>
  <c r="AP262" i="14"/>
  <c r="S567" i="21"/>
  <c r="H6" i="41"/>
  <c r="S577" i="21"/>
  <c r="U22" i="41"/>
  <c r="H22" i="41"/>
  <c r="S578" i="21"/>
  <c r="U23" i="41"/>
  <c r="H23" i="41"/>
  <c r="K98" i="14"/>
  <c r="S25" i="21"/>
  <c r="AP266" i="14"/>
  <c r="AH11" i="41"/>
  <c r="S125" i="21"/>
  <c r="S6" i="21"/>
  <c r="S516" i="21"/>
  <c r="S496" i="21"/>
  <c r="S257" i="21"/>
  <c r="S250" i="21"/>
  <c r="S287" i="21"/>
  <c r="S377" i="21"/>
  <c r="S368" i="21"/>
  <c r="S249" i="21"/>
  <c r="S429" i="21"/>
  <c r="S437" i="21"/>
  <c r="S430" i="21"/>
  <c r="S467" i="21"/>
  <c r="S31" i="21"/>
  <c r="S559" i="21"/>
  <c r="U12" i="41"/>
  <c r="S560" i="21"/>
  <c r="S190" i="21"/>
  <c r="S227" i="21"/>
  <c r="S188" i="21"/>
  <c r="S317" i="21"/>
  <c r="S310" i="21"/>
  <c r="S347" i="21"/>
  <c r="S26" i="21"/>
  <c r="S78" i="21"/>
  <c r="S76" i="21"/>
  <c r="S97" i="21"/>
  <c r="S75" i="21"/>
  <c r="S51" i="21"/>
  <c r="U16" i="41"/>
  <c r="H21" i="41"/>
  <c r="U21" i="41"/>
  <c r="S27" i="21"/>
  <c r="S43" i="21"/>
  <c r="S44" i="21"/>
  <c r="AP269" i="14"/>
  <c r="S576" i="21"/>
  <c r="S556" i="21"/>
  <c r="AH10" i="41"/>
  <c r="AH28" i="41"/>
  <c r="U11" i="41"/>
  <c r="S370" i="21"/>
  <c r="S407" i="21"/>
  <c r="U6" i="41"/>
  <c r="S558" i="21"/>
  <c r="S49" i="21"/>
  <c r="S71" i="21"/>
  <c r="S29" i="21"/>
  <c r="AE4" i="41"/>
  <c r="AQ271" i="14"/>
  <c r="AQ272" i="14"/>
  <c r="AN272" i="14"/>
  <c r="AR272" i="14"/>
  <c r="AN271" i="14"/>
  <c r="AR271" i="14"/>
  <c r="AM260" i="14"/>
  <c r="AQ260" i="14"/>
  <c r="AL261" i="14"/>
  <c r="AM261" i="14"/>
  <c r="AN261" i="14"/>
  <c r="AR261" i="14"/>
  <c r="AL263" i="14"/>
  <c r="AM263" i="14"/>
  <c r="AN263" i="14"/>
  <c r="AQ263" i="14"/>
  <c r="AL264" i="14"/>
  <c r="AM264" i="14"/>
  <c r="AQ264" i="14"/>
  <c r="AL267" i="14"/>
  <c r="AM267" i="14"/>
  <c r="AN267" i="14"/>
  <c r="AQ267" i="14"/>
  <c r="AL268" i="14"/>
  <c r="AM268" i="14"/>
  <c r="AN268" i="14"/>
  <c r="AQ268" i="14"/>
  <c r="AJ268" i="14"/>
  <c r="AJ267" i="14"/>
  <c r="AJ264" i="14"/>
  <c r="AJ263" i="14"/>
  <c r="AJ261" i="14"/>
  <c r="AQ60" i="14"/>
  <c r="E4" i="41"/>
  <c r="V4" i="23"/>
  <c r="V5" i="23"/>
  <c r="V9" i="23"/>
  <c r="V6" i="23"/>
  <c r="V12" i="28"/>
  <c r="V10" i="28"/>
  <c r="AR264" i="14"/>
  <c r="AR268" i="14"/>
  <c r="AR267" i="14"/>
  <c r="AR263" i="14"/>
  <c r="AL262" i="14"/>
  <c r="AJ262" i="14"/>
  <c r="AN262" i="14"/>
  <c r="AO267" i="14"/>
  <c r="AM262" i="14"/>
  <c r="AQ262" i="14"/>
  <c r="AQ266" i="14"/>
  <c r="AL266" i="14"/>
  <c r="AN266" i="14"/>
  <c r="AM266" i="14"/>
  <c r="AJ266" i="14"/>
  <c r="AO262" i="14"/>
  <c r="AO264" i="14"/>
  <c r="AO263" i="14"/>
  <c r="AO268" i="14"/>
  <c r="AR266" i="14"/>
  <c r="AO266" i="14"/>
  <c r="AR262" i="14"/>
  <c r="AO265" i="14"/>
  <c r="AJ269" i="14"/>
  <c r="AN269" i="14"/>
  <c r="AQ269" i="14"/>
  <c r="AL269" i="14"/>
  <c r="AM269" i="14"/>
  <c r="S4" i="28"/>
  <c r="AR269" i="14"/>
  <c r="AO269" i="14"/>
  <c r="U358" i="22"/>
  <c r="U305" i="22"/>
  <c r="U252" i="22"/>
  <c r="U199" i="22"/>
  <c r="I48" i="27" s="1"/>
  <c r="U93" i="22"/>
  <c r="R455" i="21"/>
  <c r="R395" i="21"/>
  <c r="R335" i="21"/>
  <c r="R275" i="21"/>
  <c r="U348" i="19"/>
  <c r="J463" i="14" s="1"/>
  <c r="U309" i="19"/>
  <c r="J434" i="14" s="1"/>
  <c r="U270" i="19"/>
  <c r="M270" i="19" s="1"/>
  <c r="S123" i="24" s="1"/>
  <c r="U231" i="19"/>
  <c r="J521" i="14"/>
  <c r="U192" i="19"/>
  <c r="U153" i="19"/>
  <c r="I65" i="27" s="1"/>
  <c r="U114" i="19"/>
  <c r="U75" i="19"/>
  <c r="U504" i="19"/>
  <c r="J176" i="14" s="1"/>
  <c r="V261" i="19"/>
  <c r="V260" i="19" s="1"/>
  <c r="U602" i="19"/>
  <c r="U582" i="19"/>
  <c r="U543" i="19"/>
  <c r="D24" i="14"/>
  <c r="E24" i="14"/>
  <c r="F24" i="14"/>
  <c r="G24" i="14"/>
  <c r="H24" i="14"/>
  <c r="C24" i="14"/>
  <c r="V47" i="14"/>
  <c r="U32" i="14"/>
  <c r="AP25" i="14"/>
  <c r="F14" i="14"/>
  <c r="F47" i="14"/>
  <c r="G14" i="14"/>
  <c r="G47" i="14"/>
  <c r="H14" i="14"/>
  <c r="H47" i="14"/>
  <c r="I14" i="14"/>
  <c r="I47" i="14"/>
  <c r="J14" i="14"/>
  <c r="J47" i="14"/>
  <c r="K73" i="14"/>
  <c r="L73" i="14"/>
  <c r="M73" i="14"/>
  <c r="N73" i="14"/>
  <c r="O73" i="14"/>
  <c r="P73" i="14"/>
  <c r="D73" i="14"/>
  <c r="E73" i="14"/>
  <c r="F73" i="14"/>
  <c r="G73" i="14"/>
  <c r="H73" i="14"/>
  <c r="I73" i="14"/>
  <c r="J73" i="14"/>
  <c r="C73" i="14"/>
  <c r="R73" i="14"/>
  <c r="S73" i="14"/>
  <c r="R47" i="14"/>
  <c r="R90" i="21"/>
  <c r="Q90" i="21"/>
  <c r="P90" i="21"/>
  <c r="O90" i="21"/>
  <c r="N90" i="21"/>
  <c r="M90" i="21"/>
  <c r="L90" i="21"/>
  <c r="K90" i="21"/>
  <c r="G96" i="21"/>
  <c r="Q64" i="21"/>
  <c r="P64" i="21"/>
  <c r="O64" i="21"/>
  <c r="N64" i="21"/>
  <c r="M64" i="21"/>
  <c r="L64" i="21"/>
  <c r="K64" i="21"/>
  <c r="J70" i="21"/>
  <c r="G70" i="21"/>
  <c r="J33" i="21"/>
  <c r="J32" i="21"/>
  <c r="J90" i="21"/>
  <c r="G265" i="21"/>
  <c r="G266" i="21"/>
  <c r="G267" i="21"/>
  <c r="G268" i="21"/>
  <c r="G269" i="21"/>
  <c r="G270" i="21"/>
  <c r="G271" i="21"/>
  <c r="G272" i="21"/>
  <c r="G273" i="21"/>
  <c r="G274" i="21"/>
  <c r="G275" i="21"/>
  <c r="G276" i="21"/>
  <c r="G277" i="21"/>
  <c r="G278" i="21"/>
  <c r="G279" i="21"/>
  <c r="G280" i="21"/>
  <c r="G281" i="21"/>
  <c r="G282" i="21"/>
  <c r="G283" i="21"/>
  <c r="G284" i="21"/>
  <c r="G285" i="21"/>
  <c r="G286" i="21"/>
  <c r="G287" i="21"/>
  <c r="J461" i="21"/>
  <c r="U348" i="22"/>
  <c r="N222" i="19"/>
  <c r="N221" i="19" s="1"/>
  <c r="C373" i="14" s="1"/>
  <c r="M228" i="19"/>
  <c r="V147" i="14"/>
  <c r="U147" i="14"/>
  <c r="P103" i="27"/>
  <c r="P102" i="27"/>
  <c r="S142" i="21"/>
  <c r="S132" i="21"/>
  <c r="S515" i="21"/>
  <c r="S575" i="21"/>
  <c r="S122" i="21"/>
  <c r="S131" i="21"/>
  <c r="S124" i="21"/>
  <c r="O163" i="22"/>
  <c r="N163" i="22"/>
  <c r="O162" i="22"/>
  <c r="N162" i="22"/>
  <c r="H20" i="41"/>
  <c r="S505" i="21"/>
  <c r="S595" i="21"/>
  <c r="U20" i="41"/>
  <c r="U15" i="41"/>
  <c r="U14" i="41"/>
  <c r="U10" i="41"/>
  <c r="S565" i="21"/>
  <c r="S166" i="21"/>
  <c r="S167" i="21"/>
  <c r="S7" i="21"/>
  <c r="S5" i="21"/>
  <c r="K7" i="14"/>
  <c r="V148" i="14"/>
  <c r="U148" i="14"/>
  <c r="S495" i="21"/>
  <c r="S504" i="21"/>
  <c r="S497" i="21"/>
  <c r="S555" i="21"/>
  <c r="S564" i="21"/>
  <c r="S557" i="21"/>
  <c r="N20" i="41"/>
  <c r="H15" i="41"/>
  <c r="H14" i="41"/>
  <c r="H10" i="41"/>
  <c r="J98" i="14"/>
  <c r="I98" i="14"/>
  <c r="H98" i="14"/>
  <c r="R42" i="21"/>
  <c r="J296" i="14"/>
  <c r="J297" i="14"/>
  <c r="J298" i="14"/>
  <c r="J299" i="14"/>
  <c r="J303" i="14"/>
  <c r="J305" i="14"/>
  <c r="J306" i="14"/>
  <c r="J307" i="14"/>
  <c r="J309" i="14"/>
  <c r="J310" i="14"/>
  <c r="J311" i="14"/>
  <c r="J312" i="14"/>
  <c r="J313" i="14"/>
  <c r="J315" i="14"/>
  <c r="J316" i="14"/>
  <c r="J317" i="14"/>
  <c r="J318" i="14"/>
  <c r="J319" i="14"/>
  <c r="J320" i="14"/>
  <c r="Q3" i="41"/>
  <c r="O9" i="41"/>
  <c r="P9" i="41"/>
  <c r="Q9" i="41"/>
  <c r="C168" i="14"/>
  <c r="P421" i="21"/>
  <c r="P361" i="21"/>
  <c r="P301" i="21"/>
  <c r="P181" i="21"/>
  <c r="R24" i="21"/>
  <c r="J110" i="21"/>
  <c r="J112" i="21"/>
  <c r="J113" i="21"/>
  <c r="J114" i="21"/>
  <c r="J115" i="21"/>
  <c r="T55" i="14"/>
  <c r="AN55" i="14"/>
  <c r="AR55" i="14"/>
  <c r="R244" i="21"/>
  <c r="P283" i="21"/>
  <c r="P402" i="21"/>
  <c r="P282" i="21"/>
  <c r="P272" i="21"/>
  <c r="P274" i="21"/>
  <c r="P253" i="21"/>
  <c r="Q253" i="21"/>
  <c r="P264" i="21"/>
  <c r="P263" i="21"/>
  <c r="P262" i="21"/>
  <c r="P261" i="21"/>
  <c r="P259" i="21"/>
  <c r="Q264" i="21"/>
  <c r="Q263" i="21"/>
  <c r="Q262" i="21"/>
  <c r="Q261" i="21"/>
  <c r="Q260" i="21"/>
  <c r="Q259" i="21"/>
  <c r="U253" i="22"/>
  <c r="R503" i="21"/>
  <c r="R563" i="21"/>
  <c r="R582" i="21"/>
  <c r="R581" i="21"/>
  <c r="R580" i="21"/>
  <c r="R574" i="21"/>
  <c r="R573" i="21"/>
  <c r="R572" i="21"/>
  <c r="T19" i="41"/>
  <c r="R571" i="21"/>
  <c r="R570" i="21"/>
  <c r="R569" i="21"/>
  <c r="R568" i="21"/>
  <c r="T20" i="41"/>
  <c r="R566" i="21"/>
  <c r="R544" i="21"/>
  <c r="R543" i="21"/>
  <c r="R541" i="21"/>
  <c r="R483" i="21"/>
  <c r="R507" i="21"/>
  <c r="R505" i="21"/>
  <c r="Q483" i="21"/>
  <c r="P483" i="21"/>
  <c r="R481" i="21"/>
  <c r="R132" i="21"/>
  <c r="R517" i="21"/>
  <c r="R577" i="21"/>
  <c r="R498" i="21"/>
  <c r="R567" i="21"/>
  <c r="R565" i="21"/>
  <c r="R595" i="21"/>
  <c r="R40" i="19"/>
  <c r="U359" i="22"/>
  <c r="U333" i="22"/>
  <c r="U280" i="22"/>
  <c r="U227" i="22"/>
  <c r="U174" i="22"/>
  <c r="U68" i="22"/>
  <c r="U329" i="22"/>
  <c r="U276" i="22"/>
  <c r="U223" i="22"/>
  <c r="U170" i="22"/>
  <c r="U64" i="22"/>
  <c r="R421" i="21"/>
  <c r="R361" i="21"/>
  <c r="R301" i="21"/>
  <c r="R241" i="21"/>
  <c r="R181" i="21"/>
  <c r="R424" i="21"/>
  <c r="Q424" i="21"/>
  <c r="P424" i="21"/>
  <c r="O424" i="21"/>
  <c r="N424" i="21"/>
  <c r="M424" i="21"/>
  <c r="R364" i="21"/>
  <c r="Q364" i="21"/>
  <c r="P364" i="21"/>
  <c r="R304" i="21"/>
  <c r="Q304" i="21"/>
  <c r="P304" i="21"/>
  <c r="R184" i="21"/>
  <c r="Q184" i="21"/>
  <c r="P184" i="21"/>
  <c r="Q244" i="21"/>
  <c r="P244" i="21"/>
  <c r="R121" i="21"/>
  <c r="R119" i="21"/>
  <c r="R111" i="21"/>
  <c r="R120" i="21"/>
  <c r="R495" i="21"/>
  <c r="J405" i="21"/>
  <c r="AN89" i="25"/>
  <c r="J302" i="14"/>
  <c r="U323" i="22"/>
  <c r="D463" i="14"/>
  <c r="E463" i="14"/>
  <c r="F463" i="14"/>
  <c r="G463" i="14"/>
  <c r="H463" i="14"/>
  <c r="I463" i="14"/>
  <c r="K463" i="14"/>
  <c r="L463" i="14"/>
  <c r="M463" i="14"/>
  <c r="N463" i="14"/>
  <c r="O463" i="14"/>
  <c r="D465" i="14"/>
  <c r="E465" i="14"/>
  <c r="F465" i="14"/>
  <c r="G465" i="14"/>
  <c r="H465" i="14"/>
  <c r="I465" i="14"/>
  <c r="J465" i="14"/>
  <c r="K465" i="14"/>
  <c r="L465" i="14"/>
  <c r="M465" i="14"/>
  <c r="N465" i="14"/>
  <c r="O465" i="14"/>
  <c r="P465" i="14"/>
  <c r="Q471" i="14"/>
  <c r="E467" i="14"/>
  <c r="F467" i="14"/>
  <c r="H467" i="14"/>
  <c r="I467" i="14"/>
  <c r="J467" i="14"/>
  <c r="K467" i="14"/>
  <c r="L467" i="14"/>
  <c r="M467" i="14"/>
  <c r="N467" i="14"/>
  <c r="O467" i="14"/>
  <c r="P467" i="14"/>
  <c r="D468" i="14"/>
  <c r="E468" i="14"/>
  <c r="F468" i="14"/>
  <c r="G468" i="14"/>
  <c r="H468" i="14"/>
  <c r="I468" i="14"/>
  <c r="J468" i="14"/>
  <c r="K468" i="14"/>
  <c r="L468" i="14"/>
  <c r="M468" i="14"/>
  <c r="N468" i="14"/>
  <c r="O468" i="14"/>
  <c r="P468" i="14"/>
  <c r="D469" i="14"/>
  <c r="E469" i="14"/>
  <c r="F469" i="14"/>
  <c r="G469" i="14"/>
  <c r="H469" i="14"/>
  <c r="I469" i="14"/>
  <c r="J469" i="14"/>
  <c r="K469" i="14"/>
  <c r="L469" i="14"/>
  <c r="M469" i="14"/>
  <c r="N469" i="14"/>
  <c r="O469" i="14"/>
  <c r="P469" i="14"/>
  <c r="D470" i="14"/>
  <c r="E470" i="14"/>
  <c r="F470" i="14"/>
  <c r="G470" i="14"/>
  <c r="H470" i="14"/>
  <c r="I470" i="14"/>
  <c r="J470" i="14"/>
  <c r="K470" i="14"/>
  <c r="L470" i="14"/>
  <c r="M470" i="14"/>
  <c r="N470" i="14"/>
  <c r="O470" i="14"/>
  <c r="P470" i="14"/>
  <c r="D472" i="14"/>
  <c r="E472" i="14"/>
  <c r="F472" i="14"/>
  <c r="G472" i="14"/>
  <c r="H472" i="14"/>
  <c r="I472" i="14"/>
  <c r="J472" i="14"/>
  <c r="K472" i="14"/>
  <c r="L472" i="14"/>
  <c r="M472" i="14"/>
  <c r="N472" i="14"/>
  <c r="O472" i="14"/>
  <c r="P472" i="14"/>
  <c r="D476" i="14"/>
  <c r="E476" i="14"/>
  <c r="F476" i="14"/>
  <c r="C476" i="14"/>
  <c r="D462" i="14"/>
  <c r="E462" i="14"/>
  <c r="F462" i="14"/>
  <c r="G462" i="14"/>
  <c r="H462" i="14"/>
  <c r="I462" i="14"/>
  <c r="J462" i="14"/>
  <c r="K462" i="14"/>
  <c r="L462" i="14"/>
  <c r="M462" i="14"/>
  <c r="N462" i="14"/>
  <c r="O462" i="14"/>
  <c r="P462" i="14"/>
  <c r="E457" i="14"/>
  <c r="F457" i="14"/>
  <c r="H457" i="14"/>
  <c r="I457" i="14"/>
  <c r="J457" i="14"/>
  <c r="Q457" i="14" s="1"/>
  <c r="K457" i="14"/>
  <c r="L457" i="14"/>
  <c r="M457" i="14"/>
  <c r="N457" i="14"/>
  <c r="O457" i="14"/>
  <c r="P457" i="14"/>
  <c r="D458" i="14"/>
  <c r="D454" i="14"/>
  <c r="E454" i="14"/>
  <c r="F454" i="14"/>
  <c r="G454" i="14"/>
  <c r="H454" i="14"/>
  <c r="I454" i="14"/>
  <c r="J454" i="14"/>
  <c r="K454" i="14"/>
  <c r="L454" i="14"/>
  <c r="M454" i="14"/>
  <c r="N454" i="14"/>
  <c r="O454" i="14"/>
  <c r="P454" i="14"/>
  <c r="C467" i="14"/>
  <c r="C468" i="14"/>
  <c r="C469" i="14"/>
  <c r="C470" i="14"/>
  <c r="C472" i="14"/>
  <c r="C465" i="14"/>
  <c r="C463" i="14"/>
  <c r="C462" i="14"/>
  <c r="C458" i="14"/>
  <c r="C457" i="14"/>
  <c r="C454" i="14"/>
  <c r="Q458" i="14"/>
  <c r="Q442" i="14"/>
  <c r="D436" i="14"/>
  <c r="E436" i="14"/>
  <c r="F436" i="14"/>
  <c r="G436" i="14"/>
  <c r="H436" i="14"/>
  <c r="I436" i="14"/>
  <c r="J436" i="14"/>
  <c r="K436" i="14"/>
  <c r="L436" i="14"/>
  <c r="M436" i="14"/>
  <c r="N436" i="14"/>
  <c r="O436" i="14"/>
  <c r="P436" i="14"/>
  <c r="D437" i="14"/>
  <c r="E437" i="14"/>
  <c r="F437" i="14"/>
  <c r="G437" i="14"/>
  <c r="H437" i="14"/>
  <c r="I437" i="14"/>
  <c r="J437" i="14"/>
  <c r="K437" i="14"/>
  <c r="M437" i="14"/>
  <c r="N437" i="14"/>
  <c r="O437" i="14"/>
  <c r="P437" i="14"/>
  <c r="D439" i="14"/>
  <c r="E439" i="14"/>
  <c r="F439" i="14"/>
  <c r="G439" i="14"/>
  <c r="H439" i="14"/>
  <c r="I439" i="14"/>
  <c r="J439" i="14"/>
  <c r="K439" i="14"/>
  <c r="L439" i="14"/>
  <c r="M439" i="14"/>
  <c r="N439" i="14"/>
  <c r="O439" i="14"/>
  <c r="P439" i="14"/>
  <c r="E440" i="14"/>
  <c r="F440" i="14"/>
  <c r="G440" i="14"/>
  <c r="H440" i="14"/>
  <c r="I440" i="14"/>
  <c r="J440" i="14"/>
  <c r="K440" i="14"/>
  <c r="L440" i="14"/>
  <c r="M440" i="14"/>
  <c r="N440" i="14"/>
  <c r="O440" i="14"/>
  <c r="P440" i="14"/>
  <c r="D441" i="14"/>
  <c r="E441" i="14"/>
  <c r="F441" i="14"/>
  <c r="G441" i="14"/>
  <c r="H441" i="14"/>
  <c r="I441" i="14"/>
  <c r="J441" i="14"/>
  <c r="K441" i="14"/>
  <c r="L441" i="14"/>
  <c r="M441" i="14"/>
  <c r="N441" i="14"/>
  <c r="O441" i="14"/>
  <c r="P441" i="14"/>
  <c r="D442" i="14"/>
  <c r="E442" i="14"/>
  <c r="F442" i="14"/>
  <c r="G442" i="14"/>
  <c r="H442" i="14"/>
  <c r="I442" i="14"/>
  <c r="J442" i="14"/>
  <c r="K442" i="14"/>
  <c r="L442" i="14"/>
  <c r="M442" i="14"/>
  <c r="N442" i="14"/>
  <c r="O442" i="14"/>
  <c r="P442" i="14"/>
  <c r="F443" i="14"/>
  <c r="G443" i="14"/>
  <c r="H443" i="14"/>
  <c r="I443" i="14"/>
  <c r="J443" i="14"/>
  <c r="K443" i="14"/>
  <c r="L443" i="14"/>
  <c r="M443" i="14"/>
  <c r="N443" i="14"/>
  <c r="O443" i="14"/>
  <c r="P443" i="14"/>
  <c r="C437" i="14"/>
  <c r="C439" i="14"/>
  <c r="C440" i="14"/>
  <c r="C441" i="14"/>
  <c r="C442" i="14"/>
  <c r="C443" i="14"/>
  <c r="C436" i="14"/>
  <c r="D404" i="14"/>
  <c r="E404" i="14"/>
  <c r="F404" i="14"/>
  <c r="G404" i="14"/>
  <c r="H404" i="14"/>
  <c r="I404" i="14"/>
  <c r="J404" i="14"/>
  <c r="K404" i="14"/>
  <c r="L404" i="14"/>
  <c r="M404" i="14"/>
  <c r="N404" i="14"/>
  <c r="O404" i="14"/>
  <c r="P404" i="14"/>
  <c r="C404" i="14"/>
  <c r="Q413" i="14"/>
  <c r="E407" i="14"/>
  <c r="F407" i="14"/>
  <c r="G407" i="14"/>
  <c r="I407" i="14"/>
  <c r="K407" i="14"/>
  <c r="M407" i="14"/>
  <c r="N407" i="14"/>
  <c r="O407" i="14"/>
  <c r="D410" i="14"/>
  <c r="E410" i="14"/>
  <c r="F410" i="14"/>
  <c r="G410" i="14"/>
  <c r="H410" i="14"/>
  <c r="I410" i="14"/>
  <c r="J410" i="14"/>
  <c r="K410" i="14"/>
  <c r="L410" i="14"/>
  <c r="M410" i="14"/>
  <c r="N410" i="14"/>
  <c r="O410" i="14"/>
  <c r="P410" i="14"/>
  <c r="D411" i="14"/>
  <c r="E411" i="14"/>
  <c r="F411" i="14"/>
  <c r="G411" i="14"/>
  <c r="H411" i="14"/>
  <c r="I411" i="14"/>
  <c r="J411" i="14"/>
  <c r="K411" i="14"/>
  <c r="L411" i="14"/>
  <c r="M411" i="14"/>
  <c r="N411" i="14"/>
  <c r="O411" i="14"/>
  <c r="P411" i="14"/>
  <c r="D412" i="14"/>
  <c r="E412" i="14"/>
  <c r="F412" i="14"/>
  <c r="G412" i="14"/>
  <c r="H412" i="14"/>
  <c r="I412" i="14"/>
  <c r="J412" i="14"/>
  <c r="K412" i="14"/>
  <c r="L412" i="14"/>
  <c r="M412" i="14"/>
  <c r="N412" i="14"/>
  <c r="O412" i="14"/>
  <c r="P412" i="14"/>
  <c r="D414" i="14"/>
  <c r="I414" i="14"/>
  <c r="J414" i="14"/>
  <c r="K414" i="14"/>
  <c r="L414" i="14"/>
  <c r="M414" i="14"/>
  <c r="N414" i="14"/>
  <c r="O414" i="14"/>
  <c r="P414" i="14"/>
  <c r="C407" i="14"/>
  <c r="C410" i="14"/>
  <c r="C411" i="14"/>
  <c r="C412" i="14"/>
  <c r="C414" i="14"/>
  <c r="Q384" i="14"/>
  <c r="D378" i="14"/>
  <c r="E378" i="14"/>
  <c r="F378" i="14"/>
  <c r="G378" i="14"/>
  <c r="H378" i="14"/>
  <c r="I378" i="14"/>
  <c r="J378" i="14"/>
  <c r="K378" i="14"/>
  <c r="L378" i="14"/>
  <c r="M378" i="14"/>
  <c r="N378" i="14"/>
  <c r="O378" i="14"/>
  <c r="P378" i="14"/>
  <c r="D379" i="14"/>
  <c r="E379" i="14"/>
  <c r="F379" i="14"/>
  <c r="G379" i="14"/>
  <c r="H379" i="14"/>
  <c r="I379" i="14"/>
  <c r="J379" i="14"/>
  <c r="K379" i="14"/>
  <c r="L379" i="14"/>
  <c r="M379" i="14"/>
  <c r="N379" i="14"/>
  <c r="O379" i="14"/>
  <c r="P379" i="14"/>
  <c r="L380" i="14"/>
  <c r="M380" i="14"/>
  <c r="N380" i="14"/>
  <c r="D381" i="14"/>
  <c r="E381" i="14"/>
  <c r="F381" i="14"/>
  <c r="G381" i="14"/>
  <c r="H381" i="14"/>
  <c r="I381" i="14"/>
  <c r="J381" i="14"/>
  <c r="K381" i="14"/>
  <c r="L381" i="14"/>
  <c r="M381" i="14"/>
  <c r="N381" i="14"/>
  <c r="O381" i="14"/>
  <c r="P381" i="14"/>
  <c r="K382" i="14"/>
  <c r="L382" i="14"/>
  <c r="M382" i="14"/>
  <c r="N382" i="14"/>
  <c r="D383" i="14"/>
  <c r="E383" i="14"/>
  <c r="F383" i="14"/>
  <c r="G383" i="14"/>
  <c r="H383" i="14"/>
  <c r="I383" i="14"/>
  <c r="J383" i="14"/>
  <c r="K383" i="14"/>
  <c r="L383" i="14"/>
  <c r="M383" i="14"/>
  <c r="N383" i="14"/>
  <c r="O383" i="14"/>
  <c r="P383" i="14"/>
  <c r="D384" i="14"/>
  <c r="E384" i="14"/>
  <c r="F384" i="14"/>
  <c r="G384" i="14"/>
  <c r="H384" i="14"/>
  <c r="I384" i="14"/>
  <c r="J384" i="14"/>
  <c r="K384" i="14"/>
  <c r="L384" i="14"/>
  <c r="M384" i="14"/>
  <c r="N384" i="14"/>
  <c r="O384" i="14"/>
  <c r="P384" i="14"/>
  <c r="D385" i="14"/>
  <c r="E385" i="14"/>
  <c r="F385" i="14"/>
  <c r="G385" i="14"/>
  <c r="H385" i="14"/>
  <c r="I385" i="14"/>
  <c r="J385" i="14"/>
  <c r="K385" i="14"/>
  <c r="L385" i="14"/>
  <c r="M385" i="14"/>
  <c r="N385" i="14"/>
  <c r="O385" i="14"/>
  <c r="P385" i="14"/>
  <c r="C379" i="14"/>
  <c r="C380" i="14"/>
  <c r="C381" i="14"/>
  <c r="C382" i="14"/>
  <c r="C383" i="14"/>
  <c r="C384" i="14"/>
  <c r="C385" i="14"/>
  <c r="C378" i="14"/>
  <c r="R283" i="21"/>
  <c r="R282" i="21"/>
  <c r="R262" i="21"/>
  <c r="R261" i="21"/>
  <c r="R259" i="21"/>
  <c r="R264" i="21"/>
  <c r="R263" i="21"/>
  <c r="R253" i="21"/>
  <c r="R260" i="21"/>
  <c r="R165" i="21"/>
  <c r="R164" i="21"/>
  <c r="R163" i="21"/>
  <c r="R162" i="21"/>
  <c r="R41" i="21"/>
  <c r="R40" i="21"/>
  <c r="R39" i="21"/>
  <c r="R11" i="21"/>
  <c r="R36" i="21"/>
  <c r="R35" i="21"/>
  <c r="R34" i="21"/>
  <c r="R31" i="21"/>
  <c r="U94" i="22"/>
  <c r="R463" i="21"/>
  <c r="R462" i="21"/>
  <c r="P403" i="21"/>
  <c r="R403" i="21"/>
  <c r="Q403" i="21"/>
  <c r="R402" i="21"/>
  <c r="Q402" i="21"/>
  <c r="R343" i="21"/>
  <c r="R342" i="21"/>
  <c r="R223" i="21"/>
  <c r="R222" i="21"/>
  <c r="X23" i="1"/>
  <c r="X20" i="1"/>
  <c r="X17" i="1"/>
  <c r="X14" i="1"/>
  <c r="U222" i="19"/>
  <c r="U221" i="19" s="1"/>
  <c r="J373" i="14" s="1"/>
  <c r="AG25" i="41"/>
  <c r="AE25" i="41"/>
  <c r="AD25" i="41"/>
  <c r="AC25" i="41"/>
  <c r="AB25" i="41"/>
  <c r="AG26" i="41"/>
  <c r="AF26" i="41"/>
  <c r="AE26" i="41"/>
  <c r="AC26" i="41"/>
  <c r="AF24" i="41"/>
  <c r="AE24" i="41"/>
  <c r="AD24" i="41"/>
  <c r="AC24" i="41"/>
  <c r="AG22" i="41"/>
  <c r="AF22" i="41"/>
  <c r="AE22" i="41"/>
  <c r="AD22" i="41"/>
  <c r="AC22" i="41"/>
  <c r="AG18" i="41"/>
  <c r="AF18" i="41"/>
  <c r="AE18" i="41"/>
  <c r="AD18" i="41"/>
  <c r="AC18" i="41"/>
  <c r="AG17" i="41"/>
  <c r="AF17" i="41"/>
  <c r="AE17" i="41"/>
  <c r="AD17" i="41"/>
  <c r="AC17" i="41"/>
  <c r="AG16" i="41"/>
  <c r="AF16" i="41"/>
  <c r="AE16" i="41"/>
  <c r="AD16" i="41"/>
  <c r="AC16" i="41"/>
  <c r="AG13" i="41"/>
  <c r="AF13" i="41"/>
  <c r="AE13" i="41"/>
  <c r="AD13" i="41"/>
  <c r="AC13" i="41"/>
  <c r="AG9" i="41"/>
  <c r="AF9" i="41"/>
  <c r="AE9" i="41"/>
  <c r="AD9" i="41"/>
  <c r="AC9" i="41"/>
  <c r="AG8" i="41"/>
  <c r="AF8" i="41"/>
  <c r="AE8" i="41"/>
  <c r="AD8" i="41"/>
  <c r="AC8" i="41"/>
  <c r="AG4" i="41"/>
  <c r="AF4" i="41"/>
  <c r="AD4" i="41"/>
  <c r="AC4" i="41"/>
  <c r="AB26" i="41"/>
  <c r="AB24" i="41"/>
  <c r="AB22" i="41"/>
  <c r="AN22" i="41"/>
  <c r="AB18" i="41"/>
  <c r="AB17" i="41"/>
  <c r="AB16" i="41"/>
  <c r="AB13" i="41"/>
  <c r="AB9" i="41"/>
  <c r="AB8" i="41"/>
  <c r="AB4" i="41"/>
  <c r="AN4" i="41"/>
  <c r="T26" i="41"/>
  <c r="T25" i="41"/>
  <c r="T24" i="41"/>
  <c r="T22" i="41"/>
  <c r="T18" i="41"/>
  <c r="T17" i="41"/>
  <c r="T16" i="41"/>
  <c r="T13" i="41"/>
  <c r="T9" i="41"/>
  <c r="S9" i="41"/>
  <c r="R9" i="41"/>
  <c r="T8" i="41"/>
  <c r="T5" i="41"/>
  <c r="T4" i="41"/>
  <c r="T3" i="41"/>
  <c r="Q355" i="14"/>
  <c r="G26" i="41"/>
  <c r="F26" i="41"/>
  <c r="E26" i="41"/>
  <c r="C26" i="41"/>
  <c r="G24" i="41"/>
  <c r="F24" i="41"/>
  <c r="E24" i="41"/>
  <c r="D24" i="41"/>
  <c r="C24" i="41"/>
  <c r="G22" i="41"/>
  <c r="G18" i="41"/>
  <c r="F18" i="41"/>
  <c r="E18" i="41"/>
  <c r="D18" i="41"/>
  <c r="C18" i="41"/>
  <c r="G17" i="41"/>
  <c r="F17" i="41"/>
  <c r="E17" i="41"/>
  <c r="D17" i="41"/>
  <c r="C17" i="41"/>
  <c r="G16" i="41"/>
  <c r="G13" i="41"/>
  <c r="F13" i="41"/>
  <c r="E13" i="41"/>
  <c r="D13" i="41"/>
  <c r="C13" i="41"/>
  <c r="G12" i="41"/>
  <c r="G8" i="41"/>
  <c r="F8" i="41"/>
  <c r="E8" i="41"/>
  <c r="D8" i="41"/>
  <c r="C8" i="41"/>
  <c r="G5" i="41"/>
  <c r="G4" i="41"/>
  <c r="F4" i="41"/>
  <c r="D4" i="41"/>
  <c r="C4" i="41"/>
  <c r="G3" i="41"/>
  <c r="F3" i="41"/>
  <c r="E3" i="41"/>
  <c r="D3" i="41"/>
  <c r="C3" i="41"/>
  <c r="B26" i="41"/>
  <c r="B24" i="41"/>
  <c r="F339" i="14"/>
  <c r="G339" i="14"/>
  <c r="H339" i="14"/>
  <c r="I339" i="14"/>
  <c r="J339" i="14"/>
  <c r="K339" i="14"/>
  <c r="L339" i="14"/>
  <c r="M339" i="14"/>
  <c r="N339" i="14"/>
  <c r="O339" i="14"/>
  <c r="P339" i="14"/>
  <c r="C339" i="14"/>
  <c r="B18" i="41"/>
  <c r="B17" i="41"/>
  <c r="B13" i="41"/>
  <c r="B8" i="41"/>
  <c r="Q481" i="21"/>
  <c r="F5" i="41"/>
  <c r="P481" i="21"/>
  <c r="E5" i="41"/>
  <c r="O481" i="21"/>
  <c r="D5" i="41"/>
  <c r="N481" i="21"/>
  <c r="C5" i="41"/>
  <c r="M481" i="21"/>
  <c r="B5" i="41"/>
  <c r="D356" i="14"/>
  <c r="E356" i="14"/>
  <c r="F356" i="14"/>
  <c r="G356" i="14"/>
  <c r="H356" i="14"/>
  <c r="I356" i="14"/>
  <c r="J356" i="14"/>
  <c r="K356" i="14"/>
  <c r="L356" i="14"/>
  <c r="M356" i="14"/>
  <c r="N356" i="14"/>
  <c r="O356" i="14"/>
  <c r="P356" i="14"/>
  <c r="C356" i="14"/>
  <c r="D355" i="14"/>
  <c r="E355" i="14"/>
  <c r="F355" i="14"/>
  <c r="G355" i="14"/>
  <c r="H355" i="14"/>
  <c r="I355" i="14"/>
  <c r="J355" i="14"/>
  <c r="K355" i="14"/>
  <c r="L355" i="14"/>
  <c r="M355" i="14"/>
  <c r="N355" i="14"/>
  <c r="O355" i="14"/>
  <c r="P355" i="14"/>
  <c r="N18" i="41"/>
  <c r="AN24" i="41"/>
  <c r="N24" i="41"/>
  <c r="N13" i="41"/>
  <c r="N17" i="41"/>
  <c r="N5" i="41"/>
  <c r="AN17" i="41"/>
  <c r="AN13" i="41"/>
  <c r="AN16" i="41"/>
  <c r="AN18" i="41"/>
  <c r="J382" i="14"/>
  <c r="G15" i="41"/>
  <c r="AG15" i="41"/>
  <c r="T15" i="41"/>
  <c r="AC15" i="41"/>
  <c r="AD15" i="41"/>
  <c r="G7" i="41"/>
  <c r="T7" i="41"/>
  <c r="F7" i="41"/>
  <c r="E7" i="41"/>
  <c r="C7" i="41"/>
  <c r="D7" i="41"/>
  <c r="G6" i="41"/>
  <c r="G11" i="41"/>
  <c r="T6" i="41"/>
  <c r="AC7" i="41"/>
  <c r="AE6" i="41"/>
  <c r="AF6" i="41"/>
  <c r="AE7" i="41"/>
  <c r="AB7" i="41"/>
  <c r="AG7" i="41"/>
  <c r="AC6" i="41"/>
  <c r="AD6" i="41"/>
  <c r="AF7" i="41"/>
  <c r="AG6" i="41"/>
  <c r="AD7" i="41"/>
  <c r="AN7" i="41"/>
  <c r="C355" i="14"/>
  <c r="D354" i="14"/>
  <c r="E354" i="14"/>
  <c r="F354" i="14"/>
  <c r="G354" i="14"/>
  <c r="H354" i="14"/>
  <c r="I354" i="14"/>
  <c r="J354" i="14"/>
  <c r="K354" i="14"/>
  <c r="L354" i="14"/>
  <c r="M354" i="14"/>
  <c r="N354" i="14"/>
  <c r="O354" i="14"/>
  <c r="P354" i="14"/>
  <c r="C354" i="14"/>
  <c r="D353" i="14"/>
  <c r="E353" i="14"/>
  <c r="F353" i="14"/>
  <c r="G353" i="14"/>
  <c r="H353" i="14"/>
  <c r="I353" i="14"/>
  <c r="J353" i="14"/>
  <c r="K353" i="14"/>
  <c r="L353" i="14"/>
  <c r="M353" i="14"/>
  <c r="N353" i="14"/>
  <c r="O353" i="14"/>
  <c r="P353" i="14"/>
  <c r="C353" i="14"/>
  <c r="D352" i="14"/>
  <c r="E352" i="14"/>
  <c r="F352" i="14"/>
  <c r="G352" i="14"/>
  <c r="H352" i="14"/>
  <c r="I352" i="14"/>
  <c r="J352" i="14"/>
  <c r="K352" i="14"/>
  <c r="L352" i="14"/>
  <c r="M352" i="14"/>
  <c r="N352" i="14"/>
  <c r="O352" i="14"/>
  <c r="P352" i="14"/>
  <c r="C352" i="14"/>
  <c r="D351" i="14"/>
  <c r="E351" i="14"/>
  <c r="F351" i="14"/>
  <c r="G351" i="14"/>
  <c r="H351" i="14"/>
  <c r="I351" i="14"/>
  <c r="J351" i="14"/>
  <c r="K351" i="14"/>
  <c r="L351" i="14"/>
  <c r="M351" i="14"/>
  <c r="N351" i="14"/>
  <c r="O351" i="14"/>
  <c r="P351" i="14"/>
  <c r="C351" i="14"/>
  <c r="F350" i="14"/>
  <c r="K350" i="14"/>
  <c r="L350" i="14"/>
  <c r="M350" i="14"/>
  <c r="N350" i="14"/>
  <c r="O350" i="14"/>
  <c r="P350" i="14"/>
  <c r="D349" i="14"/>
  <c r="E349" i="14"/>
  <c r="F349" i="14"/>
  <c r="G349" i="14"/>
  <c r="H349" i="14"/>
  <c r="I349" i="14"/>
  <c r="J349" i="14"/>
  <c r="K349" i="14"/>
  <c r="L349" i="14"/>
  <c r="M349" i="14"/>
  <c r="N349" i="14"/>
  <c r="O349" i="14"/>
  <c r="P349" i="14"/>
  <c r="C349" i="14"/>
  <c r="B4" i="41"/>
  <c r="N4" i="41"/>
  <c r="B3" i="41"/>
  <c r="U42" i="14"/>
  <c r="U38" i="14"/>
  <c r="U37" i="14"/>
  <c r="U36" i="14"/>
  <c r="U31" i="14"/>
  <c r="Q43" i="14"/>
  <c r="Q42" i="14"/>
  <c r="Q40" i="14"/>
  <c r="Q39" i="14"/>
  <c r="Q38" i="14"/>
  <c r="Q37" i="14"/>
  <c r="Q36" i="14"/>
  <c r="Q31" i="14"/>
  <c r="Q582" i="21"/>
  <c r="S26" i="41"/>
  <c r="P582" i="21"/>
  <c r="R26" i="41"/>
  <c r="P581" i="21"/>
  <c r="R25" i="41"/>
  <c r="Q580" i="21"/>
  <c r="P580" i="21"/>
  <c r="Q579" i="21"/>
  <c r="S24" i="41"/>
  <c r="P579" i="21"/>
  <c r="P574" i="21"/>
  <c r="Q572" i="21"/>
  <c r="S19" i="41"/>
  <c r="P572" i="21"/>
  <c r="R19" i="41"/>
  <c r="Q571" i="21"/>
  <c r="S18" i="41"/>
  <c r="P571" i="21"/>
  <c r="Q570" i="21"/>
  <c r="P570" i="21"/>
  <c r="Q569" i="21"/>
  <c r="P569" i="21"/>
  <c r="Q568" i="21"/>
  <c r="P568" i="21"/>
  <c r="Q566" i="21"/>
  <c r="P566" i="21"/>
  <c r="Q563" i="21"/>
  <c r="S13" i="41"/>
  <c r="P563" i="21"/>
  <c r="Q560" i="21"/>
  <c r="P560" i="21"/>
  <c r="Q544" i="21"/>
  <c r="S8" i="41"/>
  <c r="P544" i="21"/>
  <c r="R8" i="41"/>
  <c r="Q543" i="21"/>
  <c r="P543" i="21"/>
  <c r="R4" i="41"/>
  <c r="S3" i="41"/>
  <c r="R3" i="41"/>
  <c r="Q517" i="21"/>
  <c r="P517" i="21"/>
  <c r="E22" i="41"/>
  <c r="Q507" i="21"/>
  <c r="Q505" i="21"/>
  <c r="P507" i="21"/>
  <c r="P505" i="21"/>
  <c r="Q499" i="21"/>
  <c r="P499" i="21"/>
  <c r="R456" i="21"/>
  <c r="R450" i="21"/>
  <c r="R440" i="21"/>
  <c r="R436" i="21"/>
  <c r="R432" i="21"/>
  <c r="R396" i="21"/>
  <c r="R390" i="21"/>
  <c r="R380" i="21"/>
  <c r="R376" i="21"/>
  <c r="R372" i="21"/>
  <c r="R336" i="21"/>
  <c r="R330" i="21"/>
  <c r="R320" i="21"/>
  <c r="R316" i="21"/>
  <c r="R312" i="21"/>
  <c r="R252" i="21"/>
  <c r="R276" i="21"/>
  <c r="R270" i="21"/>
  <c r="R258" i="21"/>
  <c r="R256" i="21"/>
  <c r="R216" i="21"/>
  <c r="R200" i="21"/>
  <c r="R198" i="21"/>
  <c r="R196" i="21"/>
  <c r="R192" i="21"/>
  <c r="R415" i="21"/>
  <c r="R414" i="21"/>
  <c r="R413" i="21"/>
  <c r="R420" i="21"/>
  <c r="R355" i="21"/>
  <c r="R295" i="21"/>
  <c r="R235" i="21"/>
  <c r="R175" i="21"/>
  <c r="R105" i="21"/>
  <c r="U270" i="22"/>
  <c r="U275" i="22"/>
  <c r="U218" i="22"/>
  <c r="U217" i="22" s="1"/>
  <c r="U164" i="22"/>
  <c r="U59" i="22"/>
  <c r="V215" i="14"/>
  <c r="U215" i="14"/>
  <c r="V212" i="14"/>
  <c r="U212" i="14"/>
  <c r="T179" i="14"/>
  <c r="W179" i="14" s="1"/>
  <c r="T183" i="14"/>
  <c r="V185" i="14"/>
  <c r="U185" i="14"/>
  <c r="V184" i="14"/>
  <c r="U184" i="14"/>
  <c r="U186" i="14"/>
  <c r="V154" i="14"/>
  <c r="U154" i="14"/>
  <c r="V152" i="14"/>
  <c r="U152" i="14"/>
  <c r="V151" i="14"/>
  <c r="U151" i="14"/>
  <c r="V150" i="14"/>
  <c r="U150" i="14"/>
  <c r="V149" i="14"/>
  <c r="U149" i="14"/>
  <c r="AY89" i="36"/>
  <c r="D185" i="14"/>
  <c r="E185" i="14"/>
  <c r="F185" i="14"/>
  <c r="G185" i="14"/>
  <c r="H185" i="14"/>
  <c r="I185" i="14"/>
  <c r="J185" i="14"/>
  <c r="K185" i="14"/>
  <c r="L185" i="14"/>
  <c r="M185" i="14"/>
  <c r="N185" i="14"/>
  <c r="O185" i="14"/>
  <c r="P185" i="14"/>
  <c r="S185" i="14" s="1"/>
  <c r="D183" i="14"/>
  <c r="E183" i="14"/>
  <c r="F183" i="14"/>
  <c r="G183" i="14"/>
  <c r="H183" i="14"/>
  <c r="I183" i="14"/>
  <c r="J183" i="14"/>
  <c r="K183" i="14"/>
  <c r="L183" i="14"/>
  <c r="M183" i="14"/>
  <c r="N183" i="14"/>
  <c r="O183" i="14"/>
  <c r="P183" i="14"/>
  <c r="D182" i="14"/>
  <c r="E182" i="14"/>
  <c r="F182" i="14"/>
  <c r="G182" i="14"/>
  <c r="H182" i="14"/>
  <c r="I182" i="14"/>
  <c r="J182" i="14"/>
  <c r="K182" i="14"/>
  <c r="L182" i="14"/>
  <c r="M182" i="14"/>
  <c r="N182" i="14"/>
  <c r="O182" i="14"/>
  <c r="P182" i="14"/>
  <c r="D184" i="14"/>
  <c r="E184" i="14"/>
  <c r="F184" i="14"/>
  <c r="G184" i="14"/>
  <c r="H184" i="14"/>
  <c r="I184" i="14"/>
  <c r="J184" i="14"/>
  <c r="K184" i="14"/>
  <c r="L184" i="14"/>
  <c r="M184" i="14"/>
  <c r="N184" i="14"/>
  <c r="O184" i="14"/>
  <c r="P184" i="14"/>
  <c r="S184" i="14" s="1"/>
  <c r="D181" i="14"/>
  <c r="E181" i="14"/>
  <c r="F181" i="14"/>
  <c r="G181" i="14"/>
  <c r="H181" i="14"/>
  <c r="I181" i="14"/>
  <c r="J181" i="14"/>
  <c r="K181" i="14"/>
  <c r="L181" i="14"/>
  <c r="M181" i="14"/>
  <c r="N181" i="14"/>
  <c r="O181" i="14"/>
  <c r="P181" i="14"/>
  <c r="D180" i="14"/>
  <c r="E180" i="14"/>
  <c r="F180" i="14"/>
  <c r="H180" i="14"/>
  <c r="I180" i="14"/>
  <c r="J180" i="14"/>
  <c r="K180" i="14"/>
  <c r="L180" i="14"/>
  <c r="M180" i="14"/>
  <c r="N180" i="14"/>
  <c r="O180" i="14"/>
  <c r="P180" i="14"/>
  <c r="S180" i="14" s="1"/>
  <c r="D179" i="14"/>
  <c r="E179" i="14"/>
  <c r="F179" i="14"/>
  <c r="G179" i="14"/>
  <c r="H179" i="14"/>
  <c r="I179" i="14"/>
  <c r="J179" i="14"/>
  <c r="K179" i="14"/>
  <c r="L179" i="14"/>
  <c r="M179" i="14"/>
  <c r="N179" i="14"/>
  <c r="O179" i="14"/>
  <c r="P179" i="14"/>
  <c r="D178" i="14"/>
  <c r="E178" i="14"/>
  <c r="F178" i="14"/>
  <c r="G178" i="14"/>
  <c r="H178" i="14"/>
  <c r="I178" i="14"/>
  <c r="J178" i="14"/>
  <c r="K178" i="14"/>
  <c r="L178" i="14"/>
  <c r="M178" i="14"/>
  <c r="N178" i="14"/>
  <c r="O178" i="14"/>
  <c r="P178" i="14"/>
  <c r="S178" i="14" s="1"/>
  <c r="C179" i="14"/>
  <c r="C180" i="14"/>
  <c r="C181" i="14"/>
  <c r="C184" i="14"/>
  <c r="C182" i="14"/>
  <c r="C183" i="14"/>
  <c r="C185" i="14"/>
  <c r="C178" i="14"/>
  <c r="R150" i="21"/>
  <c r="AG27" i="41"/>
  <c r="R161" i="21"/>
  <c r="J562" i="21"/>
  <c r="J561" i="21"/>
  <c r="J521" i="21"/>
  <c r="J520" i="21"/>
  <c r="J519" i="21"/>
  <c r="J515" i="21"/>
  <c r="J514" i="21"/>
  <c r="J513" i="21"/>
  <c r="J512" i="21"/>
  <c r="N19" i="41"/>
  <c r="J511" i="21"/>
  <c r="J510" i="21"/>
  <c r="J509" i="21"/>
  <c r="J508" i="21"/>
  <c r="J506" i="21"/>
  <c r="J503" i="21"/>
  <c r="J502" i="21"/>
  <c r="J501" i="21"/>
  <c r="J500" i="21"/>
  <c r="O544" i="21"/>
  <c r="Q8" i="41"/>
  <c r="N544" i="21"/>
  <c r="P8" i="41"/>
  <c r="O543" i="21"/>
  <c r="Q4" i="41"/>
  <c r="N543" i="21"/>
  <c r="P4" i="41"/>
  <c r="N582" i="21"/>
  <c r="P26" i="41"/>
  <c r="M582" i="21"/>
  <c r="O26" i="41"/>
  <c r="O581" i="21"/>
  <c r="Q25" i="41"/>
  <c r="N581" i="21"/>
  <c r="P25" i="41"/>
  <c r="M581" i="21"/>
  <c r="O25" i="41"/>
  <c r="O580" i="21"/>
  <c r="N580" i="21"/>
  <c r="M580" i="21"/>
  <c r="O579" i="21"/>
  <c r="Q24" i="41"/>
  <c r="N579" i="21"/>
  <c r="P24" i="41"/>
  <c r="M579" i="21"/>
  <c r="O24" i="41"/>
  <c r="O574" i="21"/>
  <c r="N574" i="21"/>
  <c r="O573" i="21"/>
  <c r="N573" i="21"/>
  <c r="O572" i="21"/>
  <c r="Q19" i="41"/>
  <c r="N572" i="21"/>
  <c r="P19" i="41"/>
  <c r="O571" i="21"/>
  <c r="Q18" i="41"/>
  <c r="N571" i="21"/>
  <c r="P18" i="41"/>
  <c r="O570" i="21"/>
  <c r="N570" i="21"/>
  <c r="O569" i="21"/>
  <c r="N569" i="21"/>
  <c r="O568" i="21"/>
  <c r="N568" i="21"/>
  <c r="O566" i="21"/>
  <c r="N566" i="21"/>
  <c r="M575" i="21"/>
  <c r="M573" i="21"/>
  <c r="M572" i="21"/>
  <c r="O19" i="41"/>
  <c r="M571" i="21"/>
  <c r="O18" i="41"/>
  <c r="M570" i="21"/>
  <c r="M569" i="21"/>
  <c r="M568" i="21"/>
  <c r="M566" i="21"/>
  <c r="O560" i="21"/>
  <c r="N560" i="21"/>
  <c r="M560" i="21"/>
  <c r="O563" i="21"/>
  <c r="Q13" i="41"/>
  <c r="N563" i="21"/>
  <c r="P13" i="41"/>
  <c r="M563" i="21"/>
  <c r="O13" i="41"/>
  <c r="M544" i="21"/>
  <c r="O8" i="41"/>
  <c r="M543" i="21"/>
  <c r="O4" i="41"/>
  <c r="P3" i="41"/>
  <c r="O3" i="41"/>
  <c r="D26" i="41"/>
  <c r="N26" i="41"/>
  <c r="O483" i="21"/>
  <c r="N483" i="21"/>
  <c r="N507" i="21"/>
  <c r="O499" i="21"/>
  <c r="M499" i="21"/>
  <c r="M483" i="21"/>
  <c r="M507" i="21"/>
  <c r="Q20" i="41"/>
  <c r="P20" i="41"/>
  <c r="B16" i="41"/>
  <c r="M505" i="21"/>
  <c r="O17" i="41"/>
  <c r="P17" i="41"/>
  <c r="Q17" i="41"/>
  <c r="C16" i="41"/>
  <c r="C15" i="41"/>
  <c r="N505" i="21"/>
  <c r="R17" i="41"/>
  <c r="S17" i="41"/>
  <c r="N567" i="21"/>
  <c r="P16" i="41"/>
  <c r="P6" i="41"/>
  <c r="B15" i="41"/>
  <c r="O517" i="21"/>
  <c r="D22" i="41"/>
  <c r="O507" i="21"/>
  <c r="M567" i="21"/>
  <c r="O16" i="41"/>
  <c r="Q567" i="21"/>
  <c r="S16" i="41"/>
  <c r="Q20" i="14"/>
  <c r="U28" i="14"/>
  <c r="U65" i="14"/>
  <c r="AP63" i="14"/>
  <c r="AP62" i="14"/>
  <c r="Q65" i="14"/>
  <c r="Q246" i="14"/>
  <c r="U41" i="14"/>
  <c r="Q27" i="14"/>
  <c r="U35" i="14"/>
  <c r="U43" i="14"/>
  <c r="AP26" i="14"/>
  <c r="Q21" i="14"/>
  <c r="U30" i="14"/>
  <c r="U29" i="14"/>
  <c r="AP24" i="14"/>
  <c r="U40" i="14"/>
  <c r="U39" i="14"/>
  <c r="Q28" i="14"/>
  <c r="U34" i="14"/>
  <c r="Q35" i="14"/>
  <c r="U27" i="14"/>
  <c r="Q30" i="14"/>
  <c r="Q29" i="14"/>
  <c r="Q41" i="14"/>
  <c r="U20" i="14"/>
  <c r="AP20" i="14"/>
  <c r="Q34" i="14"/>
  <c r="U21" i="14"/>
  <c r="AP21" i="14"/>
  <c r="Q146" i="14"/>
  <c r="U146" i="14"/>
  <c r="V146" i="14"/>
  <c r="R518" i="21"/>
  <c r="AG23" i="41"/>
  <c r="R391" i="21"/>
  <c r="R389" i="21"/>
  <c r="R369" i="21"/>
  <c r="R331" i="21"/>
  <c r="R329" i="21"/>
  <c r="R309" i="21"/>
  <c r="J522" i="21"/>
  <c r="R271" i="21"/>
  <c r="R269" i="21"/>
  <c r="R257" i="21"/>
  <c r="R211" i="21"/>
  <c r="R209" i="21"/>
  <c r="R189" i="21"/>
  <c r="R451" i="21"/>
  <c r="R449" i="21"/>
  <c r="R318" i="21"/>
  <c r="R308" i="21"/>
  <c r="R438" i="21"/>
  <c r="R428" i="21"/>
  <c r="R378" i="21"/>
  <c r="Q7" i="41"/>
  <c r="O7" i="41"/>
  <c r="P7" i="41"/>
  <c r="B12" i="41"/>
  <c r="M498" i="21"/>
  <c r="C12" i="41"/>
  <c r="C11" i="41"/>
  <c r="N498" i="21"/>
  <c r="D12" i="41"/>
  <c r="O498" i="21"/>
  <c r="B7" i="41"/>
  <c r="N7" i="41"/>
  <c r="Q498" i="21"/>
  <c r="F12" i="41"/>
  <c r="P498" i="21"/>
  <c r="E12" i="41"/>
  <c r="R371" i="21"/>
  <c r="J572" i="21"/>
  <c r="AA19" i="41"/>
  <c r="M517" i="21"/>
  <c r="B22" i="41"/>
  <c r="N517" i="21"/>
  <c r="C22" i="41"/>
  <c r="J575" i="21"/>
  <c r="J580" i="21"/>
  <c r="R311" i="21"/>
  <c r="O541" i="21"/>
  <c r="Q5" i="41"/>
  <c r="Q541" i="21"/>
  <c r="S5" i="41"/>
  <c r="S4" i="41"/>
  <c r="AA4" i="41"/>
  <c r="J569" i="21"/>
  <c r="J570" i="21"/>
  <c r="J579" i="21"/>
  <c r="R24" i="41"/>
  <c r="AA24" i="41"/>
  <c r="J566" i="21"/>
  <c r="E16" i="41"/>
  <c r="F16" i="41"/>
  <c r="F15" i="41"/>
  <c r="P567" i="21"/>
  <c r="R16" i="41"/>
  <c r="J571" i="21"/>
  <c r="R18" i="41"/>
  <c r="AA18" i="41"/>
  <c r="P577" i="21"/>
  <c r="M541" i="21"/>
  <c r="O5" i="41"/>
  <c r="N541" i="21"/>
  <c r="P5" i="41"/>
  <c r="F22" i="41"/>
  <c r="P541" i="21"/>
  <c r="R5" i="41"/>
  <c r="J563" i="21"/>
  <c r="R13" i="41"/>
  <c r="AA13" i="41"/>
  <c r="J568" i="21"/>
  <c r="Q577" i="21"/>
  <c r="V216" i="14"/>
  <c r="U216" i="14"/>
  <c r="V186" i="14"/>
  <c r="J499" i="21"/>
  <c r="R431" i="21"/>
  <c r="R251" i="21"/>
  <c r="R248" i="21"/>
  <c r="R191" i="21"/>
  <c r="R188" i="21"/>
  <c r="Q155" i="14"/>
  <c r="V155" i="14"/>
  <c r="U155" i="14"/>
  <c r="B6" i="41"/>
  <c r="AB6" i="41"/>
  <c r="AN6" i="41"/>
  <c r="C6" i="41"/>
  <c r="N22" i="41"/>
  <c r="J507" i="21"/>
  <c r="O505" i="21"/>
  <c r="O495" i="21"/>
  <c r="N565" i="21"/>
  <c r="AA17" i="41"/>
  <c r="N12" i="41"/>
  <c r="AA5" i="41"/>
  <c r="O6" i="41"/>
  <c r="P15" i="41"/>
  <c r="N495" i="21"/>
  <c r="S6" i="41"/>
  <c r="M495" i="21"/>
  <c r="O577" i="21"/>
  <c r="Q22" i="41"/>
  <c r="D16" i="41"/>
  <c r="N16" i="41"/>
  <c r="O567" i="21"/>
  <c r="D11" i="41"/>
  <c r="AG21" i="41"/>
  <c r="AG14" i="41"/>
  <c r="E15" i="41"/>
  <c r="B11" i="41"/>
  <c r="R197" i="21"/>
  <c r="R190" i="21"/>
  <c r="R227" i="21"/>
  <c r="Q26" i="14"/>
  <c r="U26" i="14"/>
  <c r="AP23" i="14"/>
  <c r="F6" i="41"/>
  <c r="F11" i="41"/>
  <c r="R578" i="21"/>
  <c r="R516" i="21"/>
  <c r="G23" i="41"/>
  <c r="R437" i="21"/>
  <c r="R430" i="21"/>
  <c r="Q495" i="21"/>
  <c r="J498" i="21"/>
  <c r="E11" i="41"/>
  <c r="R249" i="21"/>
  <c r="R377" i="21"/>
  <c r="M577" i="21"/>
  <c r="S7" i="41"/>
  <c r="N577" i="21"/>
  <c r="J517" i="21"/>
  <c r="R429" i="21"/>
  <c r="R317" i="21"/>
  <c r="P495" i="21"/>
  <c r="R22" i="41"/>
  <c r="R6" i="41"/>
  <c r="E6" i="41"/>
  <c r="R7" i="41"/>
  <c r="AA7" i="41"/>
  <c r="S22" i="41"/>
  <c r="R250" i="21"/>
  <c r="N11" i="41"/>
  <c r="J567" i="21"/>
  <c r="O565" i="21"/>
  <c r="J505" i="21"/>
  <c r="D6" i="41"/>
  <c r="N6" i="41"/>
  <c r="D15" i="41"/>
  <c r="N15" i="41"/>
  <c r="Q16" i="41"/>
  <c r="AA16" i="41"/>
  <c r="G21" i="41"/>
  <c r="G14" i="41"/>
  <c r="G10" i="41"/>
  <c r="U25" i="14"/>
  <c r="AP22" i="14"/>
  <c r="R496" i="21"/>
  <c r="R504" i="21"/>
  <c r="R497" i="21"/>
  <c r="R576" i="21"/>
  <c r="T23" i="41"/>
  <c r="T21" i="41"/>
  <c r="R467" i="21"/>
  <c r="R310" i="21"/>
  <c r="R370" i="21"/>
  <c r="R287" i="21"/>
  <c r="O22" i="41"/>
  <c r="P22" i="41"/>
  <c r="J495" i="21"/>
  <c r="R368" i="21"/>
  <c r="J577" i="21"/>
  <c r="P102" i="14"/>
  <c r="O102" i="14"/>
  <c r="N102" i="14"/>
  <c r="M102" i="14"/>
  <c r="L102" i="14"/>
  <c r="K102" i="14"/>
  <c r="P100" i="14"/>
  <c r="O100" i="14"/>
  <c r="N100" i="14"/>
  <c r="M100" i="14"/>
  <c r="L100" i="14"/>
  <c r="K100" i="14"/>
  <c r="P97" i="14"/>
  <c r="O97" i="14"/>
  <c r="N97" i="14"/>
  <c r="M97" i="14"/>
  <c r="L97" i="14"/>
  <c r="K97" i="14"/>
  <c r="P96" i="14"/>
  <c r="O96" i="14"/>
  <c r="N96" i="14"/>
  <c r="M96" i="14"/>
  <c r="K96" i="14"/>
  <c r="P93" i="14"/>
  <c r="O93" i="14"/>
  <c r="N93" i="14"/>
  <c r="M93" i="14"/>
  <c r="L93" i="14"/>
  <c r="K93" i="14"/>
  <c r="P92" i="14"/>
  <c r="O92" i="14"/>
  <c r="N92" i="14"/>
  <c r="M92" i="14"/>
  <c r="L92" i="14"/>
  <c r="K92" i="14"/>
  <c r="P91" i="14"/>
  <c r="O91" i="14"/>
  <c r="N91" i="14"/>
  <c r="M91" i="14"/>
  <c r="L91" i="14"/>
  <c r="K91" i="14"/>
  <c r="P90" i="14"/>
  <c r="O90" i="14"/>
  <c r="N90" i="14"/>
  <c r="M90" i="14"/>
  <c r="L90" i="14"/>
  <c r="K90" i="14"/>
  <c r="P89" i="14"/>
  <c r="O89" i="14"/>
  <c r="N89" i="14"/>
  <c r="M89" i="14"/>
  <c r="L89" i="14"/>
  <c r="K89" i="14"/>
  <c r="P88" i="14"/>
  <c r="O88" i="14"/>
  <c r="N88" i="14"/>
  <c r="M88" i="14"/>
  <c r="L88" i="14"/>
  <c r="K88" i="14"/>
  <c r="O56" i="14"/>
  <c r="AI56" i="14"/>
  <c r="P47" i="14"/>
  <c r="O47" i="14"/>
  <c r="N47" i="14"/>
  <c r="M47" i="14"/>
  <c r="P45" i="14"/>
  <c r="O45" i="14"/>
  <c r="N45" i="14"/>
  <c r="M45" i="14"/>
  <c r="P9" i="14"/>
  <c r="O9" i="14"/>
  <c r="N9" i="14"/>
  <c r="M9" i="14"/>
  <c r="L9" i="14"/>
  <c r="K9" i="14"/>
  <c r="U200" i="22"/>
  <c r="T200" i="22"/>
  <c r="S200" i="22"/>
  <c r="R200" i="22"/>
  <c r="Q200" i="22"/>
  <c r="P200" i="22"/>
  <c r="O200" i="22"/>
  <c r="N200" i="22"/>
  <c r="S89" i="14"/>
  <c r="R89" i="14"/>
  <c r="S93" i="14"/>
  <c r="R93" i="14"/>
  <c r="R100" i="14"/>
  <c r="S100" i="14"/>
  <c r="R88" i="14"/>
  <c r="S88" i="14"/>
  <c r="R92" i="14"/>
  <c r="S92" i="14"/>
  <c r="S97" i="14"/>
  <c r="R97" i="14"/>
  <c r="S91" i="14"/>
  <c r="R91" i="14"/>
  <c r="R96" i="14"/>
  <c r="S96" i="14"/>
  <c r="S90" i="14"/>
  <c r="R90" i="14"/>
  <c r="AA22" i="41"/>
  <c r="S102" i="14"/>
  <c r="R102" i="14"/>
  <c r="R9" i="14"/>
  <c r="Q6" i="41"/>
  <c r="AA6" i="41"/>
  <c r="Q15" i="41"/>
  <c r="L45" i="14"/>
  <c r="L47" i="14"/>
  <c r="K47" i="14"/>
  <c r="K45" i="14"/>
  <c r="R556" i="21"/>
  <c r="R564" i="21"/>
  <c r="R407" i="21"/>
  <c r="R347" i="21"/>
  <c r="M87" i="14"/>
  <c r="N87" i="14"/>
  <c r="K95" i="14"/>
  <c r="O95" i="14"/>
  <c r="P95" i="14"/>
  <c r="O87" i="14"/>
  <c r="K87" i="14"/>
  <c r="M95" i="14"/>
  <c r="P87" i="14"/>
  <c r="L87" i="14"/>
  <c r="N95" i="14"/>
  <c r="R95" i="14"/>
  <c r="R87" i="14"/>
  <c r="T14" i="41"/>
  <c r="M99" i="14"/>
  <c r="K99" i="14"/>
  <c r="O99" i="14"/>
  <c r="P99" i="14"/>
  <c r="N99" i="14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N48" i="27"/>
  <c r="N101" i="27" s="1"/>
  <c r="M48" i="27"/>
  <c r="K48" i="27"/>
  <c r="J48" i="27"/>
  <c r="H48" i="27"/>
  <c r="G48" i="27"/>
  <c r="E48" i="27"/>
  <c r="D48" i="27"/>
  <c r="O47" i="27"/>
  <c r="O100" i="27" s="1"/>
  <c r="N47" i="27"/>
  <c r="N100" i="27" s="1"/>
  <c r="M47" i="27"/>
  <c r="L47" i="27"/>
  <c r="K47" i="27"/>
  <c r="J47" i="27"/>
  <c r="I47" i="27"/>
  <c r="H47" i="27"/>
  <c r="G47" i="27"/>
  <c r="F47" i="27"/>
  <c r="E47" i="27"/>
  <c r="D47" i="27"/>
  <c r="C47" i="27"/>
  <c r="C100" i="27" s="1"/>
  <c r="O46" i="27"/>
  <c r="O99" i="27" s="1"/>
  <c r="N46" i="27"/>
  <c r="N99" i="27" s="1"/>
  <c r="M46" i="27"/>
  <c r="L46" i="27"/>
  <c r="K46" i="27"/>
  <c r="J46" i="27"/>
  <c r="I46" i="27"/>
  <c r="H46" i="27"/>
  <c r="G46" i="27"/>
  <c r="F46" i="27"/>
  <c r="E46" i="27"/>
  <c r="D46" i="27"/>
  <c r="C46" i="27"/>
  <c r="C99" i="27" s="1"/>
  <c r="O45" i="27"/>
  <c r="O97" i="27" s="1"/>
  <c r="N45" i="27"/>
  <c r="N97" i="27" s="1"/>
  <c r="M45" i="27"/>
  <c r="L45" i="27"/>
  <c r="K45" i="27"/>
  <c r="J45" i="27"/>
  <c r="I45" i="27"/>
  <c r="H45" i="27"/>
  <c r="G45" i="27"/>
  <c r="F45" i="27"/>
  <c r="E45" i="27"/>
  <c r="D45" i="27"/>
  <c r="C45" i="27"/>
  <c r="C97" i="27" s="1"/>
  <c r="O43" i="27"/>
  <c r="O96" i="27" s="1"/>
  <c r="N43" i="27"/>
  <c r="N96" i="27" s="1"/>
  <c r="M43" i="27"/>
  <c r="L43" i="27"/>
  <c r="K43" i="27"/>
  <c r="J43" i="27"/>
  <c r="I43" i="27"/>
  <c r="H43" i="27"/>
  <c r="G43" i="27"/>
  <c r="F43" i="27"/>
  <c r="E43" i="27"/>
  <c r="D43" i="27"/>
  <c r="C43" i="27"/>
  <c r="C96" i="27" s="1"/>
  <c r="O42" i="27"/>
  <c r="O95" i="27" s="1"/>
  <c r="N42" i="27"/>
  <c r="N95" i="27" s="1"/>
  <c r="M42" i="27"/>
  <c r="L42" i="27"/>
  <c r="K42" i="27"/>
  <c r="J42" i="27"/>
  <c r="I42" i="27"/>
  <c r="H42" i="27"/>
  <c r="G42" i="27"/>
  <c r="F42" i="27"/>
  <c r="E42" i="27"/>
  <c r="D42" i="27"/>
  <c r="C42" i="27"/>
  <c r="C95" i="27" s="1"/>
  <c r="O41" i="27"/>
  <c r="O94" i="27" s="1"/>
  <c r="N41" i="27"/>
  <c r="M41" i="27"/>
  <c r="L41" i="27"/>
  <c r="K41" i="27"/>
  <c r="J41" i="27"/>
  <c r="I41" i="27"/>
  <c r="H41" i="27"/>
  <c r="G41" i="27"/>
  <c r="F41" i="27"/>
  <c r="E41" i="27"/>
  <c r="D41" i="27"/>
  <c r="C41" i="27"/>
  <c r="C94" i="27" s="1"/>
  <c r="O35" i="27"/>
  <c r="N35" i="27"/>
  <c r="L35" i="27"/>
  <c r="K35" i="27"/>
  <c r="J35" i="27"/>
  <c r="I35" i="27"/>
  <c r="H35" i="27"/>
  <c r="G35" i="27"/>
  <c r="F35" i="27"/>
  <c r="E35" i="27"/>
  <c r="D35" i="27"/>
  <c r="C35" i="27"/>
  <c r="O31" i="27"/>
  <c r="O88" i="27" s="1"/>
  <c r="N31" i="27"/>
  <c r="N88" i="27" s="1"/>
  <c r="M31" i="27"/>
  <c r="P31" i="27" s="1"/>
  <c r="L31" i="27"/>
  <c r="K31" i="27"/>
  <c r="J31" i="27"/>
  <c r="I31" i="27"/>
  <c r="H31" i="27"/>
  <c r="G31" i="27"/>
  <c r="F31" i="27"/>
  <c r="E31" i="27"/>
  <c r="D31" i="27"/>
  <c r="C31" i="27"/>
  <c r="C88" i="27" s="1"/>
  <c r="I30" i="27"/>
  <c r="I86" i="27" s="1"/>
  <c r="H30" i="27"/>
  <c r="H86" i="27" s="1"/>
  <c r="G30" i="27"/>
  <c r="G86" i="27" s="1"/>
  <c r="F30" i="27"/>
  <c r="F86" i="27" s="1"/>
  <c r="E30" i="27"/>
  <c r="E86" i="27" s="1"/>
  <c r="D30" i="27"/>
  <c r="D86" i="27" s="1"/>
  <c r="C30" i="27"/>
  <c r="C86" i="27" s="1"/>
  <c r="B49" i="27"/>
  <c r="T174" i="22"/>
  <c r="T18" i="22" s="1"/>
  <c r="S174" i="22"/>
  <c r="S18" i="22" s="1"/>
  <c r="R174" i="22"/>
  <c r="Q174" i="22"/>
  <c r="E50" i="27" s="1"/>
  <c r="P174" i="22"/>
  <c r="D50" i="27" s="1"/>
  <c r="O174" i="22"/>
  <c r="O18" i="22" s="1"/>
  <c r="N174" i="22"/>
  <c r="N18" i="22" s="1"/>
  <c r="O26" i="27"/>
  <c r="N26" i="27"/>
  <c r="M26" i="27"/>
  <c r="L26" i="27"/>
  <c r="K26" i="27"/>
  <c r="J26" i="27"/>
  <c r="I26" i="27"/>
  <c r="H26" i="27"/>
  <c r="G26" i="27"/>
  <c r="F26" i="27"/>
  <c r="E26" i="27"/>
  <c r="D26" i="27"/>
  <c r="C26" i="27"/>
  <c r="O25" i="27"/>
  <c r="N25" i="27"/>
  <c r="M25" i="27"/>
  <c r="L25" i="27"/>
  <c r="K25" i="27"/>
  <c r="J25" i="27"/>
  <c r="I25" i="27"/>
  <c r="H25" i="27"/>
  <c r="G25" i="27"/>
  <c r="F25" i="27"/>
  <c r="E25" i="27"/>
  <c r="D25" i="27"/>
  <c r="C25" i="27"/>
  <c r="O24" i="27"/>
  <c r="N24" i="27"/>
  <c r="M24" i="27"/>
  <c r="L24" i="27"/>
  <c r="K24" i="27"/>
  <c r="J24" i="27"/>
  <c r="I24" i="27"/>
  <c r="H24" i="27"/>
  <c r="G24" i="27"/>
  <c r="E24" i="27"/>
  <c r="D24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O18" i="27"/>
  <c r="O98" i="27"/>
  <c r="N18" i="27"/>
  <c r="N98" i="27"/>
  <c r="M18" i="27"/>
  <c r="M98" i="27"/>
  <c r="L18" i="27"/>
  <c r="L98" i="27"/>
  <c r="K18" i="27"/>
  <c r="K98" i="27"/>
  <c r="J18" i="27"/>
  <c r="J98" i="27"/>
  <c r="I18" i="27"/>
  <c r="I98" i="27"/>
  <c r="C18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O15" i="27"/>
  <c r="N15" i="27"/>
  <c r="M15" i="27"/>
  <c r="L15" i="27"/>
  <c r="K15" i="27"/>
  <c r="J15" i="27"/>
  <c r="I15" i="27"/>
  <c r="H15" i="27"/>
  <c r="G15" i="27"/>
  <c r="F15" i="27"/>
  <c r="E15" i="27"/>
  <c r="D15" i="27"/>
  <c r="C15" i="27"/>
  <c r="O14" i="27"/>
  <c r="N14" i="27"/>
  <c r="M14" i="27"/>
  <c r="L14" i="27"/>
  <c r="K14" i="27"/>
  <c r="J14" i="27"/>
  <c r="I14" i="27"/>
  <c r="H14" i="27"/>
  <c r="G14" i="27"/>
  <c r="F14" i="27"/>
  <c r="E14" i="27"/>
  <c r="D14" i="27"/>
  <c r="C14" i="27"/>
  <c r="O12" i="27"/>
  <c r="N12" i="27"/>
  <c r="M12" i="27"/>
  <c r="L12" i="27"/>
  <c r="K12" i="27"/>
  <c r="J12" i="27"/>
  <c r="I12" i="27"/>
  <c r="H12" i="27"/>
  <c r="G12" i="27"/>
  <c r="F12" i="27"/>
  <c r="E12" i="27"/>
  <c r="D12" i="27"/>
  <c r="O11" i="27"/>
  <c r="N11" i="27"/>
  <c r="M11" i="27"/>
  <c r="L11" i="27"/>
  <c r="K11" i="27"/>
  <c r="J11" i="27"/>
  <c r="I11" i="27"/>
  <c r="O10" i="27"/>
  <c r="N10" i="27"/>
  <c r="M10" i="27"/>
  <c r="L10" i="27"/>
  <c r="K10" i="27"/>
  <c r="J10" i="27"/>
  <c r="I10" i="27"/>
  <c r="O8" i="27"/>
  <c r="N8" i="27"/>
  <c r="M8" i="27"/>
  <c r="L8" i="27"/>
  <c r="K8" i="27"/>
  <c r="J8" i="27"/>
  <c r="I8" i="27"/>
  <c r="C8" i="27"/>
  <c r="O7" i="27"/>
  <c r="N7" i="27"/>
  <c r="M7" i="27"/>
  <c r="L7" i="27"/>
  <c r="K7" i="27"/>
  <c r="J7" i="27"/>
  <c r="I7" i="27"/>
  <c r="O4" i="27"/>
  <c r="N4" i="27"/>
  <c r="M4" i="27"/>
  <c r="L4" i="27"/>
  <c r="K4" i="27"/>
  <c r="J4" i="27"/>
  <c r="I4" i="27"/>
  <c r="H4" i="27"/>
  <c r="G4" i="27"/>
  <c r="F4" i="27"/>
  <c r="E4" i="27"/>
  <c r="D4" i="27"/>
  <c r="C4" i="27"/>
  <c r="O3" i="27"/>
  <c r="O85" i="27"/>
  <c r="N3" i="27"/>
  <c r="N85" i="27"/>
  <c r="M3" i="27"/>
  <c r="M85" i="27"/>
  <c r="L3" i="27"/>
  <c r="L85" i="27"/>
  <c r="K3" i="27"/>
  <c r="K85" i="27"/>
  <c r="J3" i="27"/>
  <c r="J85" i="27"/>
  <c r="I3" i="27"/>
  <c r="I85" i="27"/>
  <c r="H3" i="27"/>
  <c r="H85" i="27"/>
  <c r="F3" i="27"/>
  <c r="F85" i="27"/>
  <c r="E3" i="27"/>
  <c r="E85" i="27"/>
  <c r="D3" i="27"/>
  <c r="C3" i="27"/>
  <c r="C85" i="27"/>
  <c r="P101" i="14"/>
  <c r="R99" i="14"/>
  <c r="O101" i="14"/>
  <c r="O103" i="14"/>
  <c r="P4" i="27"/>
  <c r="N101" i="14"/>
  <c r="M101" i="14"/>
  <c r="K101" i="14"/>
  <c r="J6" i="27"/>
  <c r="N6" i="27"/>
  <c r="O6" i="27"/>
  <c r="J9" i="27"/>
  <c r="I9" i="27"/>
  <c r="I6" i="27"/>
  <c r="L13" i="27"/>
  <c r="L9" i="27"/>
  <c r="J13" i="27"/>
  <c r="M9" i="27"/>
  <c r="K9" i="27"/>
  <c r="C13" i="27"/>
  <c r="K13" i="27"/>
  <c r="K6" i="27"/>
  <c r="N9" i="27"/>
  <c r="L6" i="27"/>
  <c r="O9" i="27"/>
  <c r="M6" i="27"/>
  <c r="O13" i="27"/>
  <c r="M13" i="27"/>
  <c r="N13" i="27"/>
  <c r="I13" i="27"/>
  <c r="C38" i="24"/>
  <c r="T153" i="14" s="1"/>
  <c r="C5" i="24"/>
  <c r="E39" i="24"/>
  <c r="D154" i="14" s="1"/>
  <c r="F39" i="24"/>
  <c r="E154" i="14" s="1"/>
  <c r="G39" i="24"/>
  <c r="F154" i="14" s="1"/>
  <c r="H39" i="24"/>
  <c r="G154" i="14" s="1"/>
  <c r="I39" i="24"/>
  <c r="H154" i="14" s="1"/>
  <c r="J39" i="24"/>
  <c r="I154" i="14" s="1"/>
  <c r="K39" i="24"/>
  <c r="J154" i="14" s="1"/>
  <c r="L39" i="24"/>
  <c r="K154" i="14" s="1"/>
  <c r="M39" i="24"/>
  <c r="L154" i="14" s="1"/>
  <c r="N39" i="24"/>
  <c r="M154" i="14" s="1"/>
  <c r="O39" i="24"/>
  <c r="N154" i="14" s="1"/>
  <c r="P39" i="24"/>
  <c r="O154" i="14" s="1"/>
  <c r="Q39" i="24"/>
  <c r="P154" i="14" s="1"/>
  <c r="E38" i="24"/>
  <c r="D153" i="14" s="1"/>
  <c r="F38" i="24"/>
  <c r="E153" i="14" s="1"/>
  <c r="G38" i="24"/>
  <c r="F153" i="14" s="1"/>
  <c r="H38" i="24"/>
  <c r="G153" i="14" s="1"/>
  <c r="I38" i="24"/>
  <c r="H153" i="14" s="1"/>
  <c r="J38" i="24"/>
  <c r="I153" i="14" s="1"/>
  <c r="K38" i="24"/>
  <c r="J153" i="14" s="1"/>
  <c r="L38" i="24"/>
  <c r="K153" i="14" s="1"/>
  <c r="M38" i="24"/>
  <c r="L153" i="14" s="1"/>
  <c r="N38" i="24"/>
  <c r="M153" i="14" s="1"/>
  <c r="O38" i="24"/>
  <c r="N153" i="14" s="1"/>
  <c r="P38" i="24"/>
  <c r="O153" i="14" s="1"/>
  <c r="Q38" i="24"/>
  <c r="P153" i="14" s="1"/>
  <c r="E37" i="24"/>
  <c r="D152" i="14" s="1"/>
  <c r="F37" i="24"/>
  <c r="E152" i="14" s="1"/>
  <c r="G37" i="24"/>
  <c r="F152" i="14" s="1"/>
  <c r="H37" i="24"/>
  <c r="G152" i="14" s="1"/>
  <c r="I37" i="24"/>
  <c r="H152" i="14" s="1"/>
  <c r="J37" i="24"/>
  <c r="I152" i="14" s="1"/>
  <c r="K37" i="24"/>
  <c r="J152" i="14" s="1"/>
  <c r="L37" i="24"/>
  <c r="K152" i="14" s="1"/>
  <c r="M37" i="24"/>
  <c r="L152" i="14" s="1"/>
  <c r="N37" i="24"/>
  <c r="M152" i="14" s="1"/>
  <c r="O37" i="24"/>
  <c r="N152" i="14" s="1"/>
  <c r="P37" i="24"/>
  <c r="O152" i="14" s="1"/>
  <c r="Q37" i="24"/>
  <c r="P152" i="14" s="1"/>
  <c r="E36" i="24"/>
  <c r="D151" i="14" s="1"/>
  <c r="F36" i="24"/>
  <c r="E151" i="14" s="1"/>
  <c r="G36" i="24"/>
  <c r="F151" i="14" s="1"/>
  <c r="H36" i="24"/>
  <c r="G151" i="14" s="1"/>
  <c r="I36" i="24"/>
  <c r="H151" i="14" s="1"/>
  <c r="J36" i="24"/>
  <c r="I151" i="14" s="1"/>
  <c r="K36" i="24"/>
  <c r="J151" i="14" s="1"/>
  <c r="L36" i="24"/>
  <c r="K151" i="14" s="1"/>
  <c r="M36" i="24"/>
  <c r="L151" i="14" s="1"/>
  <c r="N36" i="24"/>
  <c r="M151" i="14" s="1"/>
  <c r="O36" i="24"/>
  <c r="N151" i="14" s="1"/>
  <c r="P36" i="24"/>
  <c r="O151" i="14" s="1"/>
  <c r="Q36" i="24"/>
  <c r="P151" i="14" s="1"/>
  <c r="F35" i="24"/>
  <c r="E150" i="14" s="1"/>
  <c r="G35" i="24"/>
  <c r="F150" i="14" s="1"/>
  <c r="H35" i="24"/>
  <c r="G150" i="14" s="1"/>
  <c r="I35" i="24"/>
  <c r="H150" i="14" s="1"/>
  <c r="J35" i="24"/>
  <c r="I150" i="14" s="1"/>
  <c r="K35" i="24"/>
  <c r="J150" i="14" s="1"/>
  <c r="L35" i="24"/>
  <c r="K150" i="14" s="1"/>
  <c r="M35" i="24"/>
  <c r="L150" i="14" s="1"/>
  <c r="N35" i="24"/>
  <c r="M150" i="14" s="1"/>
  <c r="O35" i="24"/>
  <c r="N150" i="14" s="1"/>
  <c r="P35" i="24"/>
  <c r="O150" i="14" s="1"/>
  <c r="Q35" i="24"/>
  <c r="P150" i="14" s="1"/>
  <c r="E34" i="24"/>
  <c r="D149" i="14" s="1"/>
  <c r="F34" i="24"/>
  <c r="E149" i="14" s="1"/>
  <c r="G34" i="24"/>
  <c r="F149" i="14" s="1"/>
  <c r="H34" i="24"/>
  <c r="G149" i="14" s="1"/>
  <c r="I34" i="24"/>
  <c r="H149" i="14" s="1"/>
  <c r="J34" i="24"/>
  <c r="I149" i="14" s="1"/>
  <c r="K34" i="24"/>
  <c r="J149" i="14" s="1"/>
  <c r="L34" i="24"/>
  <c r="K149" i="14" s="1"/>
  <c r="M34" i="24"/>
  <c r="L149" i="14" s="1"/>
  <c r="N34" i="24"/>
  <c r="M149" i="14" s="1"/>
  <c r="O34" i="24"/>
  <c r="N149" i="14" s="1"/>
  <c r="P34" i="24"/>
  <c r="O149" i="14" s="1"/>
  <c r="Q34" i="24"/>
  <c r="P149" i="14" s="1"/>
  <c r="G32" i="24"/>
  <c r="F147" i="14" s="1"/>
  <c r="L32" i="24"/>
  <c r="K147" i="14" s="1"/>
  <c r="E33" i="24"/>
  <c r="D148" i="14" s="1"/>
  <c r="F33" i="24"/>
  <c r="E148" i="14" s="1"/>
  <c r="G33" i="24"/>
  <c r="F148" i="14" s="1"/>
  <c r="H33" i="24"/>
  <c r="G148" i="14" s="1"/>
  <c r="I33" i="24"/>
  <c r="H148" i="14" s="1"/>
  <c r="J33" i="24"/>
  <c r="I148" i="14" s="1"/>
  <c r="K33" i="24"/>
  <c r="J148" i="14" s="1"/>
  <c r="L33" i="24"/>
  <c r="K148" i="14" s="1"/>
  <c r="M33" i="24"/>
  <c r="L148" i="14" s="1"/>
  <c r="N33" i="24"/>
  <c r="M148" i="14" s="1"/>
  <c r="O33" i="24"/>
  <c r="N148" i="14" s="1"/>
  <c r="P33" i="24"/>
  <c r="O148" i="14" s="1"/>
  <c r="Q33" i="24"/>
  <c r="P148" i="14" s="1"/>
  <c r="F30" i="24"/>
  <c r="E145" i="14" s="1"/>
  <c r="G30" i="24"/>
  <c r="F145" i="14" s="1"/>
  <c r="I30" i="24"/>
  <c r="H145" i="14" s="1"/>
  <c r="J30" i="24"/>
  <c r="I145" i="14" s="1"/>
  <c r="L30" i="24"/>
  <c r="K145" i="14" s="1"/>
  <c r="M30" i="24"/>
  <c r="L145" i="14" s="1"/>
  <c r="O30" i="24"/>
  <c r="N145" i="14" s="1"/>
  <c r="P30" i="24"/>
  <c r="O145" i="14" s="1"/>
  <c r="E29" i="24"/>
  <c r="D144" i="14" s="1"/>
  <c r="F29" i="24"/>
  <c r="E144" i="14" s="1"/>
  <c r="G29" i="24"/>
  <c r="F144" i="14" s="1"/>
  <c r="H29" i="24"/>
  <c r="G144" i="14" s="1"/>
  <c r="I29" i="24"/>
  <c r="H144" i="14" s="1"/>
  <c r="J29" i="24"/>
  <c r="I144" i="14" s="1"/>
  <c r="K29" i="24"/>
  <c r="J144" i="14" s="1"/>
  <c r="L29" i="24"/>
  <c r="K144" i="14" s="1"/>
  <c r="M29" i="24"/>
  <c r="L144" i="14" s="1"/>
  <c r="N29" i="24"/>
  <c r="M144" i="14" s="1"/>
  <c r="O29" i="24"/>
  <c r="N144" i="14" s="1"/>
  <c r="P29" i="24"/>
  <c r="O144" i="14" s="1"/>
  <c r="Q29" i="24"/>
  <c r="P144" i="14" s="1"/>
  <c r="E28" i="24"/>
  <c r="F28" i="24"/>
  <c r="G28" i="24"/>
  <c r="H28" i="24"/>
  <c r="I28" i="24"/>
  <c r="J28" i="24"/>
  <c r="K28" i="24"/>
  <c r="L28" i="24"/>
  <c r="M28" i="24"/>
  <c r="N28" i="24"/>
  <c r="O28" i="24"/>
  <c r="P28" i="24"/>
  <c r="Q28" i="24"/>
  <c r="E27" i="24"/>
  <c r="F27" i="24"/>
  <c r="G27" i="24"/>
  <c r="H27" i="24"/>
  <c r="I27" i="24"/>
  <c r="J27" i="24"/>
  <c r="K27" i="24"/>
  <c r="L27" i="24"/>
  <c r="M27" i="24"/>
  <c r="N27" i="24"/>
  <c r="O27" i="24"/>
  <c r="P27" i="24"/>
  <c r="Q27" i="24"/>
  <c r="E26" i="24"/>
  <c r="F26" i="24"/>
  <c r="G26" i="24"/>
  <c r="H26" i="24"/>
  <c r="I26" i="24"/>
  <c r="J26" i="24"/>
  <c r="K26" i="24"/>
  <c r="O26" i="24"/>
  <c r="P26" i="24"/>
  <c r="Q26" i="24"/>
  <c r="E24" i="24"/>
  <c r="F24" i="24"/>
  <c r="G24" i="24"/>
  <c r="H24" i="24"/>
  <c r="I24" i="24"/>
  <c r="J24" i="24"/>
  <c r="K24" i="24"/>
  <c r="L24" i="24"/>
  <c r="M24" i="24"/>
  <c r="N24" i="24"/>
  <c r="O24" i="24"/>
  <c r="P24" i="24"/>
  <c r="Q24" i="24"/>
  <c r="F23" i="24"/>
  <c r="G23" i="24"/>
  <c r="H23" i="24"/>
  <c r="I23" i="24"/>
  <c r="J23" i="24"/>
  <c r="K23" i="24"/>
  <c r="L23" i="24"/>
  <c r="M23" i="24"/>
  <c r="N23" i="24"/>
  <c r="O23" i="24"/>
  <c r="P23" i="24"/>
  <c r="Q23" i="24"/>
  <c r="E22" i="24"/>
  <c r="F22" i="24"/>
  <c r="G22" i="24"/>
  <c r="H22" i="24"/>
  <c r="I22" i="24"/>
  <c r="J22" i="24"/>
  <c r="K22" i="24"/>
  <c r="L22" i="24"/>
  <c r="M22" i="24"/>
  <c r="N22" i="24"/>
  <c r="O22" i="24"/>
  <c r="P22" i="24"/>
  <c r="Q22" i="24"/>
  <c r="E15" i="24"/>
  <c r="F15" i="24"/>
  <c r="G15" i="24"/>
  <c r="H15" i="24"/>
  <c r="I15" i="24"/>
  <c r="J15" i="24"/>
  <c r="K15" i="24"/>
  <c r="L15" i="24"/>
  <c r="M15" i="24"/>
  <c r="N15" i="24"/>
  <c r="O15" i="24"/>
  <c r="P15" i="24"/>
  <c r="Q15" i="24"/>
  <c r="N50" i="24" s="1"/>
  <c r="E13" i="24"/>
  <c r="F13" i="24"/>
  <c r="G13" i="24"/>
  <c r="H13" i="24"/>
  <c r="I13" i="24"/>
  <c r="J13" i="24"/>
  <c r="K13" i="24"/>
  <c r="L13" i="24"/>
  <c r="M13" i="24"/>
  <c r="N13" i="24"/>
  <c r="O13" i="24"/>
  <c r="P13" i="24"/>
  <c r="Q13" i="24"/>
  <c r="E12" i="24"/>
  <c r="F12" i="24"/>
  <c r="G12" i="24"/>
  <c r="H12" i="24"/>
  <c r="I12" i="24"/>
  <c r="J12" i="24"/>
  <c r="K12" i="24"/>
  <c r="L12" i="24"/>
  <c r="M12" i="24"/>
  <c r="N12" i="24"/>
  <c r="O12" i="24"/>
  <c r="P12" i="24"/>
  <c r="Q12" i="24"/>
  <c r="E10" i="24"/>
  <c r="F10" i="24"/>
  <c r="E137" i="14" s="1"/>
  <c r="G10" i="24"/>
  <c r="F137" i="14" s="1"/>
  <c r="H10" i="24"/>
  <c r="I10" i="24"/>
  <c r="J10" i="24"/>
  <c r="I137" i="14" s="1"/>
  <c r="K10" i="24"/>
  <c r="J137" i="14" s="1"/>
  <c r="L10" i="24"/>
  <c r="K137" i="14" s="1"/>
  <c r="M10" i="24"/>
  <c r="L137" i="14" s="1"/>
  <c r="N10" i="24"/>
  <c r="M137" i="14" s="1"/>
  <c r="O10" i="24"/>
  <c r="P10" i="24"/>
  <c r="O137" i="14" s="1"/>
  <c r="Q10" i="24"/>
  <c r="P137" i="14" s="1"/>
  <c r="S137" i="14" s="1"/>
  <c r="E8" i="24"/>
  <c r="F8" i="24"/>
  <c r="G8" i="24"/>
  <c r="H8" i="24"/>
  <c r="I8" i="24"/>
  <c r="J8" i="24"/>
  <c r="K8" i="24"/>
  <c r="L8" i="24"/>
  <c r="M8" i="24"/>
  <c r="N8" i="24"/>
  <c r="O8" i="24"/>
  <c r="P8" i="24"/>
  <c r="Q8" i="24"/>
  <c r="G7" i="24"/>
  <c r="F136" i="14" s="1"/>
  <c r="H7" i="24"/>
  <c r="G136" i="14" s="1"/>
  <c r="I7" i="24"/>
  <c r="H136" i="14" s="1"/>
  <c r="J7" i="24"/>
  <c r="I136" i="14" s="1"/>
  <c r="K7" i="24"/>
  <c r="J136" i="14" s="1"/>
  <c r="L7" i="24"/>
  <c r="K136" i="14" s="1"/>
  <c r="M7" i="24"/>
  <c r="L136" i="14" s="1"/>
  <c r="N7" i="24"/>
  <c r="O7" i="24"/>
  <c r="P7" i="24"/>
  <c r="O136" i="14" s="1"/>
  <c r="Q7" i="24"/>
  <c r="P136" i="14" s="1"/>
  <c r="E6" i="24"/>
  <c r="K6" i="24"/>
  <c r="L6" i="24"/>
  <c r="M6" i="24"/>
  <c r="N6" i="24"/>
  <c r="O6" i="24"/>
  <c r="P6" i="24"/>
  <c r="Q6" i="24"/>
  <c r="E5" i="24"/>
  <c r="F5" i="24"/>
  <c r="G5" i="24"/>
  <c r="H5" i="24"/>
  <c r="I5" i="24"/>
  <c r="J5" i="24"/>
  <c r="K5" i="24"/>
  <c r="L5" i="24"/>
  <c r="M5" i="24"/>
  <c r="N5" i="24"/>
  <c r="O5" i="24"/>
  <c r="P5" i="24"/>
  <c r="Q5" i="24"/>
  <c r="F4" i="24"/>
  <c r="G4" i="24"/>
  <c r="H4" i="24"/>
  <c r="I4" i="24"/>
  <c r="J4" i="24"/>
  <c r="K4" i="24"/>
  <c r="L4" i="24"/>
  <c r="M4" i="24"/>
  <c r="N4" i="24"/>
  <c r="P4" i="24"/>
  <c r="Q4" i="24"/>
  <c r="E4" i="24"/>
  <c r="J518" i="19"/>
  <c r="J479" i="19"/>
  <c r="J362" i="19"/>
  <c r="J323" i="19"/>
  <c r="J284" i="19"/>
  <c r="J245" i="19"/>
  <c r="J206" i="19"/>
  <c r="J167" i="19"/>
  <c r="J128" i="19"/>
  <c r="J89" i="19"/>
  <c r="J50" i="19"/>
  <c r="U560" i="19"/>
  <c r="V560" i="19"/>
  <c r="W560" i="19"/>
  <c r="X560" i="19"/>
  <c r="Y560" i="19"/>
  <c r="AA560" i="19"/>
  <c r="U521" i="19"/>
  <c r="U522" i="19" s="1"/>
  <c r="K68" i="24" s="1"/>
  <c r="V521" i="19"/>
  <c r="V522" i="19" s="1"/>
  <c r="W521" i="19"/>
  <c r="X521" i="19"/>
  <c r="X522" i="19" s="1"/>
  <c r="N68" i="24" s="1"/>
  <c r="Y521" i="19"/>
  <c r="Y522" i="19" s="1"/>
  <c r="O68" i="24" s="1"/>
  <c r="Z521" i="19"/>
  <c r="AA521" i="19"/>
  <c r="U132" i="19"/>
  <c r="P103" i="14"/>
  <c r="R101" i="14"/>
  <c r="N103" i="14"/>
  <c r="M103" i="14"/>
  <c r="J5" i="27"/>
  <c r="K103" i="14"/>
  <c r="N5" i="27"/>
  <c r="M5" i="27"/>
  <c r="O5" i="27"/>
  <c r="K5" i="27"/>
  <c r="I5" i="27"/>
  <c r="L5" i="27"/>
  <c r="U341" i="22"/>
  <c r="U340" i="22" s="1"/>
  <c r="U338" i="22"/>
  <c r="U295" i="22"/>
  <c r="U284" i="22" s="1"/>
  <c r="U287" i="22"/>
  <c r="U286" i="22" s="1"/>
  <c r="U285" i="22"/>
  <c r="U242" i="22"/>
  <c r="U235" i="22"/>
  <c r="U234" i="22" s="1"/>
  <c r="U232" i="22"/>
  <c r="U73" i="22"/>
  <c r="U75" i="22"/>
  <c r="U83" i="22"/>
  <c r="U72" i="22" s="1"/>
  <c r="U40" i="19"/>
  <c r="U189" i="22"/>
  <c r="I37" i="27" s="1"/>
  <c r="I36" i="27" s="1"/>
  <c r="U179" i="22"/>
  <c r="U182" i="22"/>
  <c r="U181" i="22" s="1"/>
  <c r="U49" i="22"/>
  <c r="J123" i="14" s="1"/>
  <c r="J40" i="14" s="1"/>
  <c r="S40" i="14" s="1"/>
  <c r="U48" i="22"/>
  <c r="U47" i="22"/>
  <c r="J121" i="14" s="1"/>
  <c r="J35" i="14" s="1"/>
  <c r="U46" i="22"/>
  <c r="J124" i="14" s="1"/>
  <c r="J41" i="14" s="1"/>
  <c r="S41" i="14" s="1"/>
  <c r="U45" i="22"/>
  <c r="J122" i="14" s="1"/>
  <c r="J39" i="14" s="1"/>
  <c r="S39" i="14" s="1"/>
  <c r="U44" i="22"/>
  <c r="J120" i="14" s="1"/>
  <c r="U43" i="22"/>
  <c r="J126" i="14" s="1"/>
  <c r="J42" i="14" s="1"/>
  <c r="U42" i="22"/>
  <c r="U38" i="22"/>
  <c r="U37" i="22"/>
  <c r="U36" i="22"/>
  <c r="U34" i="22"/>
  <c r="U33" i="22"/>
  <c r="U32" i="22"/>
  <c r="U31" i="22"/>
  <c r="U29" i="22"/>
  <c r="U25" i="22" s="1"/>
  <c r="U20" i="22"/>
  <c r="U19" i="22"/>
  <c r="U17" i="22"/>
  <c r="U16" i="22"/>
  <c r="U15" i="22"/>
  <c r="J110" i="14" s="1"/>
  <c r="U12" i="22"/>
  <c r="U5" i="22"/>
  <c r="U3" i="22"/>
  <c r="U534" i="19"/>
  <c r="U533" i="19" s="1"/>
  <c r="U495" i="19"/>
  <c r="U494" i="19" s="1"/>
  <c r="J173" i="14" s="1"/>
  <c r="U378" i="19"/>
  <c r="U377" i="19" s="1"/>
  <c r="U339" i="19"/>
  <c r="U338" i="19" s="1"/>
  <c r="J460" i="14" s="1"/>
  <c r="V66" i="19"/>
  <c r="V65" i="19" s="1"/>
  <c r="U261" i="19"/>
  <c r="U260" i="19" s="1"/>
  <c r="U144" i="19"/>
  <c r="U143" i="19" s="1"/>
  <c r="I62" i="27" s="1"/>
  <c r="U655" i="19"/>
  <c r="R103" i="14"/>
  <c r="N505" i="19"/>
  <c r="O505" i="19"/>
  <c r="P505" i="19"/>
  <c r="Q505" i="19"/>
  <c r="R505" i="19"/>
  <c r="S505" i="19"/>
  <c r="T505" i="19"/>
  <c r="U505" i="19"/>
  <c r="V505" i="19"/>
  <c r="W505" i="19"/>
  <c r="X505" i="19"/>
  <c r="Y505" i="19"/>
  <c r="Z505" i="19"/>
  <c r="AA505" i="19"/>
  <c r="U572" i="19"/>
  <c r="V572" i="19"/>
  <c r="W572" i="19"/>
  <c r="X572" i="19"/>
  <c r="Y572" i="19"/>
  <c r="Z572" i="19"/>
  <c r="AA572" i="19"/>
  <c r="U569" i="19"/>
  <c r="U570" i="19"/>
  <c r="V569" i="19"/>
  <c r="V570" i="19"/>
  <c r="W569" i="19"/>
  <c r="W570" i="19"/>
  <c r="X569" i="19"/>
  <c r="Y569" i="19"/>
  <c r="Z569" i="19"/>
  <c r="AA569" i="19"/>
  <c r="AA570" i="19"/>
  <c r="Y563" i="19"/>
  <c r="Z563" i="19"/>
  <c r="AA563" i="19"/>
  <c r="U524" i="19"/>
  <c r="V524" i="19"/>
  <c r="W524" i="19"/>
  <c r="X524" i="19"/>
  <c r="Y524" i="19"/>
  <c r="Z524" i="19"/>
  <c r="AA524" i="19"/>
  <c r="V232" i="19"/>
  <c r="W232" i="19"/>
  <c r="X232" i="19"/>
  <c r="U499" i="19"/>
  <c r="J174" i="14" s="1"/>
  <c r="V499" i="19"/>
  <c r="K174" i="14" s="1"/>
  <c r="W499" i="19"/>
  <c r="L174" i="14" s="1"/>
  <c r="X499" i="19"/>
  <c r="M174" i="14" s="1"/>
  <c r="Y499" i="19"/>
  <c r="N174" i="14" s="1"/>
  <c r="Z499" i="19"/>
  <c r="AA499" i="19"/>
  <c r="P174" i="14" s="1"/>
  <c r="S174" i="14" s="1"/>
  <c r="U492" i="19"/>
  <c r="J190" i="14" s="1"/>
  <c r="V492" i="19"/>
  <c r="K190" i="14" s="1"/>
  <c r="Y492" i="19"/>
  <c r="AA492" i="19"/>
  <c r="O52" i="24" s="1"/>
  <c r="U491" i="19"/>
  <c r="J189" i="14" s="1"/>
  <c r="V491" i="19"/>
  <c r="K189" i="14" s="1"/>
  <c r="W491" i="19"/>
  <c r="L189" i="14" s="1"/>
  <c r="X491" i="19"/>
  <c r="M189" i="14" s="1"/>
  <c r="Y491" i="19"/>
  <c r="N189" i="14" s="1"/>
  <c r="Z491" i="19"/>
  <c r="AA491" i="19"/>
  <c r="P189" i="14" s="1"/>
  <c r="U490" i="19"/>
  <c r="J169" i="14" s="1"/>
  <c r="V490" i="19"/>
  <c r="K169" i="14" s="1"/>
  <c r="Y490" i="19"/>
  <c r="N169" i="14" s="1"/>
  <c r="AA490" i="19"/>
  <c r="P169" i="14" s="1"/>
  <c r="U485" i="19"/>
  <c r="V485" i="19"/>
  <c r="W485" i="19"/>
  <c r="X485" i="19"/>
  <c r="Y485" i="19"/>
  <c r="Z485" i="19"/>
  <c r="AA485" i="19"/>
  <c r="U484" i="19"/>
  <c r="J171" i="14" s="1"/>
  <c r="V484" i="19"/>
  <c r="K171" i="14" s="1"/>
  <c r="W484" i="19"/>
  <c r="L171" i="14" s="1"/>
  <c r="X484" i="19"/>
  <c r="M171" i="14" s="1"/>
  <c r="Y484" i="19"/>
  <c r="M484" i="19" s="1"/>
  <c r="Z484" i="19"/>
  <c r="O171" i="14" s="1"/>
  <c r="AA484" i="19"/>
  <c r="P171" i="14" s="1"/>
  <c r="U374" i="19"/>
  <c r="U388" i="19"/>
  <c r="V374" i="19"/>
  <c r="V388" i="19"/>
  <c r="W374" i="19"/>
  <c r="W388" i="19"/>
  <c r="X374" i="19"/>
  <c r="Y374" i="19"/>
  <c r="Z374" i="19"/>
  <c r="AA374" i="19"/>
  <c r="L14" i="24"/>
  <c r="K139" i="14" s="1"/>
  <c r="U366" i="19"/>
  <c r="V366" i="19"/>
  <c r="W366" i="19"/>
  <c r="X366" i="19"/>
  <c r="Y366" i="19"/>
  <c r="Z366" i="19"/>
  <c r="AA366" i="19"/>
  <c r="U343" i="19"/>
  <c r="V343" i="19"/>
  <c r="K461" i="14" s="1"/>
  <c r="W343" i="19"/>
  <c r="L461" i="14" s="1"/>
  <c r="X343" i="19"/>
  <c r="M461" i="14" s="1"/>
  <c r="Y343" i="19"/>
  <c r="N461" i="14" s="1"/>
  <c r="Z343" i="19"/>
  <c r="O461" i="14" s="1"/>
  <c r="AA343" i="19"/>
  <c r="U336" i="19"/>
  <c r="J477" i="14" s="1"/>
  <c r="V336" i="19"/>
  <c r="K477" i="14" s="1"/>
  <c r="W336" i="19"/>
  <c r="L477" i="14" s="1"/>
  <c r="X336" i="19"/>
  <c r="M477" i="14" s="1"/>
  <c r="Y336" i="19"/>
  <c r="N477" i="14" s="1"/>
  <c r="Z336" i="19"/>
  <c r="O477" i="14" s="1"/>
  <c r="AA336" i="19"/>
  <c r="U335" i="19"/>
  <c r="J476" i="14" s="1"/>
  <c r="V335" i="19"/>
  <c r="K476" i="14" s="1"/>
  <c r="W335" i="19"/>
  <c r="L476" i="14" s="1"/>
  <c r="X335" i="19"/>
  <c r="M476" i="14" s="1"/>
  <c r="Y335" i="19"/>
  <c r="N476" i="14" s="1"/>
  <c r="Z335" i="19"/>
  <c r="O476" i="14" s="1"/>
  <c r="AA335" i="19"/>
  <c r="U329" i="19"/>
  <c r="V329" i="19"/>
  <c r="W329" i="19"/>
  <c r="X329" i="19"/>
  <c r="Y329" i="19"/>
  <c r="Z329" i="19"/>
  <c r="AA329" i="19"/>
  <c r="M329" i="19" s="1"/>
  <c r="U304" i="19"/>
  <c r="J432" i="14" s="1"/>
  <c r="U661" i="19"/>
  <c r="V304" i="19"/>
  <c r="K432" i="14" s="1"/>
  <c r="V661" i="19"/>
  <c r="W304" i="19"/>
  <c r="L432" i="14" s="1"/>
  <c r="W661" i="19"/>
  <c r="X304" i="19"/>
  <c r="M432" i="14" s="1"/>
  <c r="Y304" i="19"/>
  <c r="N432" i="14" s="1"/>
  <c r="Z304" i="19"/>
  <c r="O432" i="14" s="1"/>
  <c r="AA304" i="19"/>
  <c r="P432" i="14" s="1"/>
  <c r="U297" i="19"/>
  <c r="J448" i="14" s="1"/>
  <c r="V297" i="19"/>
  <c r="K448" i="14" s="1"/>
  <c r="W297" i="19"/>
  <c r="L448" i="14" s="1"/>
  <c r="X297" i="19"/>
  <c r="M448" i="14" s="1"/>
  <c r="Y297" i="19"/>
  <c r="N448" i="14" s="1"/>
  <c r="Z297" i="19"/>
  <c r="O448" i="14" s="1"/>
  <c r="AA297" i="19"/>
  <c r="U296" i="19"/>
  <c r="J447" i="14" s="1"/>
  <c r="U577" i="19"/>
  <c r="V296" i="19"/>
  <c r="K447" i="14" s="1"/>
  <c r="V577" i="19"/>
  <c r="W296" i="19"/>
  <c r="L447" i="14" s="1"/>
  <c r="W577" i="19"/>
  <c r="X296" i="19"/>
  <c r="M447" i="14" s="1"/>
  <c r="Y296" i="19"/>
  <c r="N447" i="14" s="1"/>
  <c r="Z296" i="19"/>
  <c r="O447" i="14" s="1"/>
  <c r="AA296" i="19"/>
  <c r="U295" i="19"/>
  <c r="J429" i="14" s="1"/>
  <c r="U568" i="19"/>
  <c r="V295" i="19"/>
  <c r="K429" i="14" s="1"/>
  <c r="V568" i="19"/>
  <c r="W295" i="19"/>
  <c r="L429" i="14" s="1"/>
  <c r="X295" i="19"/>
  <c r="M429" i="14" s="1"/>
  <c r="Y295" i="19"/>
  <c r="N429" i="14" s="1"/>
  <c r="Z295" i="19"/>
  <c r="O429" i="14" s="1"/>
  <c r="AA295" i="19"/>
  <c r="P429" i="14" s="1"/>
  <c r="U290" i="19"/>
  <c r="V290" i="19"/>
  <c r="W290" i="19"/>
  <c r="X290" i="19"/>
  <c r="Y290" i="19"/>
  <c r="Z290" i="19"/>
  <c r="AA290" i="19"/>
  <c r="M290" i="19" s="1"/>
  <c r="U288" i="19"/>
  <c r="V288" i="19"/>
  <c r="W288" i="19"/>
  <c r="X288" i="19"/>
  <c r="Y288" i="19"/>
  <c r="Z288" i="19"/>
  <c r="AA288" i="19"/>
  <c r="U258" i="19"/>
  <c r="J419" i="14" s="1"/>
  <c r="V258" i="19"/>
  <c r="K419" i="14" s="1"/>
  <c r="W258" i="19"/>
  <c r="L419" i="14" s="1"/>
  <c r="X258" i="19"/>
  <c r="M419" i="14" s="1"/>
  <c r="Y258" i="19"/>
  <c r="N419" i="14" s="1"/>
  <c r="Z258" i="19"/>
  <c r="O419" i="14" s="1"/>
  <c r="AA258" i="19"/>
  <c r="P419" i="14" s="1"/>
  <c r="U219" i="19"/>
  <c r="J390" i="14" s="1"/>
  <c r="V219" i="19"/>
  <c r="K390" i="14" s="1"/>
  <c r="W219" i="19"/>
  <c r="L390" i="14" s="1"/>
  <c r="X219" i="19"/>
  <c r="M390" i="14" s="1"/>
  <c r="Y219" i="19"/>
  <c r="N390" i="14" s="1"/>
  <c r="Z219" i="19"/>
  <c r="O390" i="14" s="1"/>
  <c r="AA219" i="19"/>
  <c r="P390" i="14" s="1"/>
  <c r="U218" i="19"/>
  <c r="J389" i="14" s="1"/>
  <c r="V218" i="19"/>
  <c r="K389" i="14" s="1"/>
  <c r="W218" i="19"/>
  <c r="L389" i="14" s="1"/>
  <c r="X218" i="19"/>
  <c r="M389" i="14" s="1"/>
  <c r="Y218" i="19"/>
  <c r="N389" i="14" s="1"/>
  <c r="Z218" i="19"/>
  <c r="AA218" i="19"/>
  <c r="P389" i="14" s="1"/>
  <c r="U217" i="19"/>
  <c r="J371" i="14" s="1"/>
  <c r="W217" i="19"/>
  <c r="L371" i="14" s="1"/>
  <c r="X217" i="19"/>
  <c r="M371" i="14" s="1"/>
  <c r="U212" i="19"/>
  <c r="V212" i="19"/>
  <c r="W212" i="19"/>
  <c r="X212" i="19"/>
  <c r="Y212" i="19"/>
  <c r="Z212" i="19"/>
  <c r="AA212" i="19"/>
  <c r="U193" i="19"/>
  <c r="V193" i="19"/>
  <c r="W193" i="19"/>
  <c r="X193" i="19"/>
  <c r="Y193" i="19"/>
  <c r="Z193" i="19"/>
  <c r="AA193" i="19"/>
  <c r="U187" i="19"/>
  <c r="V187" i="19"/>
  <c r="W187" i="19"/>
  <c r="X187" i="19"/>
  <c r="Y187" i="19"/>
  <c r="Z187" i="19"/>
  <c r="AA187" i="19"/>
  <c r="U180" i="19"/>
  <c r="V180" i="19"/>
  <c r="W180" i="19"/>
  <c r="X180" i="19"/>
  <c r="Y180" i="19"/>
  <c r="Z180" i="19"/>
  <c r="AA180" i="19"/>
  <c r="U179" i="19"/>
  <c r="V179" i="19"/>
  <c r="W179" i="19"/>
  <c r="X179" i="19"/>
  <c r="Y179" i="19"/>
  <c r="Z179" i="19"/>
  <c r="AA179" i="19"/>
  <c r="U178" i="19"/>
  <c r="V178" i="19"/>
  <c r="W178" i="19"/>
  <c r="X178" i="19"/>
  <c r="Y178" i="19"/>
  <c r="Z178" i="19"/>
  <c r="AA178" i="19"/>
  <c r="U173" i="19"/>
  <c r="V173" i="19"/>
  <c r="W173" i="19"/>
  <c r="X173" i="19"/>
  <c r="Y173" i="19"/>
  <c r="Z173" i="19"/>
  <c r="AA173" i="19"/>
  <c r="Z655" i="19"/>
  <c r="AA655" i="19"/>
  <c r="U141" i="19"/>
  <c r="I79" i="27" s="1"/>
  <c r="V141" i="19"/>
  <c r="J79" i="27" s="1"/>
  <c r="W141" i="19"/>
  <c r="K79" i="27" s="1"/>
  <c r="X141" i="19"/>
  <c r="L79" i="27" s="1"/>
  <c r="Y141" i="19"/>
  <c r="M79" i="27" s="1"/>
  <c r="Z141" i="19"/>
  <c r="N79" i="27" s="1"/>
  <c r="AA141" i="19"/>
  <c r="U139" i="19"/>
  <c r="I60" i="27" s="1"/>
  <c r="V139" i="19"/>
  <c r="J60" i="27" s="1"/>
  <c r="W139" i="19"/>
  <c r="K60" i="27" s="1"/>
  <c r="X139" i="19"/>
  <c r="L60" i="27" s="1"/>
  <c r="Y139" i="19"/>
  <c r="Z139" i="19"/>
  <c r="N60" i="27" s="1"/>
  <c r="AA139" i="19"/>
  <c r="V132" i="19"/>
  <c r="W132" i="19"/>
  <c r="X132" i="19"/>
  <c r="Y132" i="19"/>
  <c r="Z132" i="19"/>
  <c r="AA132" i="19"/>
  <c r="U115" i="19"/>
  <c r="V115" i="19"/>
  <c r="W115" i="19"/>
  <c r="X115" i="19"/>
  <c r="Y115" i="19"/>
  <c r="Z115" i="19"/>
  <c r="AA115" i="19"/>
  <c r="U102" i="19"/>
  <c r="V102" i="19"/>
  <c r="W102" i="19"/>
  <c r="X102" i="19"/>
  <c r="Y102" i="19"/>
  <c r="Z102" i="19"/>
  <c r="AA102" i="19"/>
  <c r="X101" i="19"/>
  <c r="U56" i="19"/>
  <c r="V56" i="19"/>
  <c r="W56" i="19"/>
  <c r="X56" i="19"/>
  <c r="Y56" i="19"/>
  <c r="Z56" i="19"/>
  <c r="AA56" i="19"/>
  <c r="U95" i="19"/>
  <c r="V95" i="19"/>
  <c r="W95" i="19"/>
  <c r="X95" i="19"/>
  <c r="Y95" i="19"/>
  <c r="Z95" i="19"/>
  <c r="AA95" i="19"/>
  <c r="U93" i="19"/>
  <c r="J413" i="14"/>
  <c r="V93" i="19"/>
  <c r="K413" i="14"/>
  <c r="W93" i="19"/>
  <c r="L413" i="14"/>
  <c r="X93" i="19"/>
  <c r="M413" i="14"/>
  <c r="Y93" i="19"/>
  <c r="Z93" i="19"/>
  <c r="AA93" i="19"/>
  <c r="U100" i="19"/>
  <c r="V100" i="19"/>
  <c r="W100" i="19"/>
  <c r="Y100" i="19"/>
  <c r="Z100" i="19"/>
  <c r="AA100" i="19"/>
  <c r="U54" i="19"/>
  <c r="V54" i="19"/>
  <c r="W54" i="19"/>
  <c r="X54" i="19"/>
  <c r="Y54" i="19"/>
  <c r="Z54" i="19"/>
  <c r="AA54" i="19"/>
  <c r="U70" i="19"/>
  <c r="V70" i="19"/>
  <c r="W70" i="19"/>
  <c r="X70" i="19"/>
  <c r="Y70" i="19"/>
  <c r="Z70" i="19"/>
  <c r="AA70" i="19"/>
  <c r="R143" i="21"/>
  <c r="R123" i="21"/>
  <c r="R126" i="21"/>
  <c r="R559" i="21"/>
  <c r="R38" i="21"/>
  <c r="R30" i="21"/>
  <c r="R8" i="21"/>
  <c r="R28" i="21"/>
  <c r="AA661" i="19"/>
  <c r="AA388" i="19"/>
  <c r="P413" i="14"/>
  <c r="AA568" i="19"/>
  <c r="AA226" i="19"/>
  <c r="P374" i="14" s="1"/>
  <c r="U226" i="19"/>
  <c r="J374" i="14" s="1"/>
  <c r="V639" i="19"/>
  <c r="Z570" i="19"/>
  <c r="O413" i="14"/>
  <c r="Z661" i="19"/>
  <c r="Z568" i="19"/>
  <c r="Z226" i="19"/>
  <c r="O374" i="14" s="1"/>
  <c r="Z622" i="19"/>
  <c r="AA622" i="19"/>
  <c r="U622" i="19"/>
  <c r="Y570" i="19"/>
  <c r="Y388" i="19"/>
  <c r="Y568" i="19"/>
  <c r="Y661" i="19"/>
  <c r="N413" i="14"/>
  <c r="Y226" i="19"/>
  <c r="N374" i="14" s="1"/>
  <c r="AA608" i="19"/>
  <c r="P534" i="14" s="1"/>
  <c r="P471" i="14"/>
  <c r="Z608" i="19"/>
  <c r="O471" i="14"/>
  <c r="Y608" i="19"/>
  <c r="N534" i="14" s="1"/>
  <c r="N471" i="14"/>
  <c r="X608" i="19"/>
  <c r="M534" i="14" s="1"/>
  <c r="M471" i="14"/>
  <c r="W608" i="19"/>
  <c r="L534" i="14" s="1"/>
  <c r="L471" i="14"/>
  <c r="V608" i="19"/>
  <c r="K534" i="14" s="1"/>
  <c r="K471" i="14"/>
  <c r="U608" i="19"/>
  <c r="J534" i="14" s="1"/>
  <c r="J471" i="14"/>
  <c r="AA616" i="19"/>
  <c r="P519" i="14" s="1"/>
  <c r="Z616" i="19"/>
  <c r="Y616" i="19"/>
  <c r="N519" i="14" s="1"/>
  <c r="X616" i="19"/>
  <c r="M519" i="14" s="1"/>
  <c r="W616" i="19"/>
  <c r="L519" i="14" s="1"/>
  <c r="V616" i="19"/>
  <c r="K519" i="14" s="1"/>
  <c r="U616" i="19"/>
  <c r="J519" i="14" s="1"/>
  <c r="P382" i="14"/>
  <c r="O382" i="14"/>
  <c r="X300" i="19"/>
  <c r="X299" i="19" s="1"/>
  <c r="M431" i="14" s="1"/>
  <c r="W300" i="19"/>
  <c r="W299" i="19" s="1"/>
  <c r="V300" i="19"/>
  <c r="V299" i="19" s="1"/>
  <c r="X568" i="19"/>
  <c r="M487" i="14" s="1"/>
  <c r="Q487" i="14" s="1"/>
  <c r="W568" i="19"/>
  <c r="AA577" i="19"/>
  <c r="Z577" i="19"/>
  <c r="Y577" i="19"/>
  <c r="X577" i="19"/>
  <c r="X661" i="19"/>
  <c r="AA232" i="19"/>
  <c r="Z232" i="19"/>
  <c r="Y232" i="19"/>
  <c r="U232" i="19"/>
  <c r="X570" i="19"/>
  <c r="N14" i="24"/>
  <c r="M139" i="14" s="1"/>
  <c r="M14" i="24"/>
  <c r="L139" i="14" s="1"/>
  <c r="R125" i="21"/>
  <c r="R6" i="21"/>
  <c r="R560" i="21"/>
  <c r="AG12" i="41"/>
  <c r="R122" i="21"/>
  <c r="R131" i="21"/>
  <c r="R85" i="21"/>
  <c r="R79" i="21"/>
  <c r="R74" i="21"/>
  <c r="Q87" i="21"/>
  <c r="R57" i="21"/>
  <c r="R52" i="21"/>
  <c r="R47" i="21"/>
  <c r="U183" i="19"/>
  <c r="U182" i="19" s="1"/>
  <c r="V183" i="19"/>
  <c r="V182" i="19" s="1"/>
  <c r="W183" i="19"/>
  <c r="W182" i="19" s="1"/>
  <c r="M455" i="14"/>
  <c r="U349" i="19"/>
  <c r="V529" i="19"/>
  <c r="Z349" i="19"/>
  <c r="L455" i="14"/>
  <c r="N455" i="14"/>
  <c r="P455" i="14"/>
  <c r="V349" i="19"/>
  <c r="W529" i="19"/>
  <c r="O455" i="14"/>
  <c r="W349" i="19"/>
  <c r="U529" i="19"/>
  <c r="Y349" i="19"/>
  <c r="Z249" i="19"/>
  <c r="Z76" i="19"/>
  <c r="AA256" i="19"/>
  <c r="AA249" i="19"/>
  <c r="AA76" i="19"/>
  <c r="U256" i="19"/>
  <c r="J400" i="14" s="1"/>
  <c r="W256" i="19"/>
  <c r="L400" i="14" s="1"/>
  <c r="Z531" i="19"/>
  <c r="Z530" i="19"/>
  <c r="O380" i="14"/>
  <c r="P380" i="14"/>
  <c r="U154" i="19"/>
  <c r="V154" i="19"/>
  <c r="W154" i="19"/>
  <c r="X154" i="19"/>
  <c r="X183" i="19"/>
  <c r="X182" i="19" s="1"/>
  <c r="Y154" i="19"/>
  <c r="Z154" i="19"/>
  <c r="AA154" i="19"/>
  <c r="X256" i="19"/>
  <c r="M400" i="14" s="1"/>
  <c r="AF23" i="41"/>
  <c r="AF21" i="41"/>
  <c r="Q518" i="21"/>
  <c r="Q578" i="21"/>
  <c r="R124" i="21"/>
  <c r="R166" i="21"/>
  <c r="R167" i="21"/>
  <c r="J560" i="21"/>
  <c r="AG11" i="41"/>
  <c r="R25" i="21"/>
  <c r="R48" i="21"/>
  <c r="R26" i="21"/>
  <c r="R78" i="21"/>
  <c r="R76" i="21"/>
  <c r="R97" i="21"/>
  <c r="R75" i="21"/>
  <c r="R51" i="21"/>
  <c r="Z61" i="19"/>
  <c r="Y76" i="19"/>
  <c r="Y249" i="19"/>
  <c r="Y256" i="19"/>
  <c r="N400" i="14" s="1"/>
  <c r="V256" i="19"/>
  <c r="K400" i="14" s="1"/>
  <c r="Z256" i="19"/>
  <c r="O400" i="14" s="1"/>
  <c r="U249" i="19"/>
  <c r="X63" i="19"/>
  <c r="V249" i="19"/>
  <c r="V76" i="19"/>
  <c r="W249" i="19"/>
  <c r="W76" i="19"/>
  <c r="W530" i="19"/>
  <c r="W531" i="19"/>
  <c r="W61" i="19"/>
  <c r="AA531" i="19"/>
  <c r="AA61" i="19"/>
  <c r="AA530" i="19"/>
  <c r="Y530" i="19"/>
  <c r="X530" i="19"/>
  <c r="X531" i="19"/>
  <c r="Z334" i="19"/>
  <c r="P458" i="14" s="1"/>
  <c r="Y62" i="19"/>
  <c r="X62" i="19"/>
  <c r="W62" i="19"/>
  <c r="V62" i="19"/>
  <c r="Y265" i="19"/>
  <c r="N403" i="14" s="1"/>
  <c r="Y251" i="19"/>
  <c r="Z62" i="19"/>
  <c r="AA62" i="19"/>
  <c r="U62" i="19"/>
  <c r="S23" i="41"/>
  <c r="S21" i="41"/>
  <c r="Q576" i="21"/>
  <c r="Q556" i="21"/>
  <c r="Q516" i="21"/>
  <c r="F23" i="41"/>
  <c r="R27" i="21"/>
  <c r="R43" i="21"/>
  <c r="R44" i="21"/>
  <c r="R558" i="21"/>
  <c r="R555" i="21"/>
  <c r="T12" i="41"/>
  <c r="AG10" i="41"/>
  <c r="R49" i="21"/>
  <c r="R71" i="21"/>
  <c r="R29" i="21"/>
  <c r="R7" i="21"/>
  <c r="R5" i="21"/>
  <c r="J7" i="14"/>
  <c r="E298" i="14"/>
  <c r="F298" i="14"/>
  <c r="G298" i="14"/>
  <c r="H298" i="14"/>
  <c r="I298" i="14"/>
  <c r="E299" i="14"/>
  <c r="F299" i="14"/>
  <c r="G299" i="14"/>
  <c r="H299" i="14"/>
  <c r="I299" i="14"/>
  <c r="D298" i="14"/>
  <c r="D299" i="14"/>
  <c r="D9" i="14"/>
  <c r="E9" i="14"/>
  <c r="F9" i="14"/>
  <c r="G9" i="14"/>
  <c r="H9" i="14"/>
  <c r="I9" i="14"/>
  <c r="C9" i="14"/>
  <c r="J55" i="14"/>
  <c r="K55" i="14"/>
  <c r="AE55" i="14"/>
  <c r="L55" i="14"/>
  <c r="AF55" i="14"/>
  <c r="M55" i="14"/>
  <c r="AG55" i="14"/>
  <c r="N55" i="14"/>
  <c r="AH55" i="14"/>
  <c r="O55" i="14"/>
  <c r="AI55" i="14"/>
  <c r="P55" i="14"/>
  <c r="J56" i="14"/>
  <c r="K56" i="14"/>
  <c r="L56" i="14"/>
  <c r="M56" i="14"/>
  <c r="AG56" i="14"/>
  <c r="N56" i="14"/>
  <c r="P56" i="14"/>
  <c r="J59" i="14"/>
  <c r="K59" i="14"/>
  <c r="L59" i="14"/>
  <c r="M59" i="14"/>
  <c r="N59" i="14"/>
  <c r="O59" i="14"/>
  <c r="P59" i="14"/>
  <c r="J60" i="14"/>
  <c r="K60" i="14"/>
  <c r="L60" i="14"/>
  <c r="M60" i="14"/>
  <c r="N60" i="14"/>
  <c r="O60" i="14"/>
  <c r="P60" i="14"/>
  <c r="J62" i="14"/>
  <c r="K62" i="14"/>
  <c r="L62" i="14"/>
  <c r="M62" i="14"/>
  <c r="N62" i="14"/>
  <c r="O62" i="14"/>
  <c r="P62" i="14"/>
  <c r="J63" i="14"/>
  <c r="J31" i="14"/>
  <c r="K63" i="14"/>
  <c r="L63" i="14"/>
  <c r="M63" i="14"/>
  <c r="N63" i="14"/>
  <c r="O63" i="14"/>
  <c r="P63" i="14"/>
  <c r="J64" i="14"/>
  <c r="K64" i="14"/>
  <c r="AE60" i="14"/>
  <c r="L64" i="14"/>
  <c r="AF60" i="14"/>
  <c r="M64" i="14"/>
  <c r="AG60" i="14"/>
  <c r="N64" i="14"/>
  <c r="AH60" i="14"/>
  <c r="O64" i="14"/>
  <c r="AI60" i="14"/>
  <c r="P64" i="14"/>
  <c r="J66" i="14"/>
  <c r="K66" i="14"/>
  <c r="L66" i="14"/>
  <c r="M66" i="14"/>
  <c r="N66" i="14"/>
  <c r="O66" i="14"/>
  <c r="P66" i="14"/>
  <c r="J67" i="14"/>
  <c r="K67" i="14"/>
  <c r="L67" i="14"/>
  <c r="M67" i="14"/>
  <c r="N67" i="14"/>
  <c r="O67" i="14"/>
  <c r="P67" i="14"/>
  <c r="J68" i="14"/>
  <c r="J36" i="14"/>
  <c r="K68" i="14"/>
  <c r="L68" i="14"/>
  <c r="M68" i="14"/>
  <c r="N68" i="14"/>
  <c r="O68" i="14"/>
  <c r="P68" i="14"/>
  <c r="J69" i="14"/>
  <c r="J37" i="14"/>
  <c r="K69" i="14"/>
  <c r="L69" i="14"/>
  <c r="M69" i="14"/>
  <c r="N69" i="14"/>
  <c r="O69" i="14"/>
  <c r="P69" i="14"/>
  <c r="J70" i="14"/>
  <c r="J38" i="14"/>
  <c r="K70" i="14"/>
  <c r="L70" i="14"/>
  <c r="M70" i="14"/>
  <c r="N70" i="14"/>
  <c r="O70" i="14"/>
  <c r="P70" i="14"/>
  <c r="J71" i="14"/>
  <c r="L71" i="14"/>
  <c r="M71" i="14"/>
  <c r="N71" i="14"/>
  <c r="O71" i="14"/>
  <c r="P71" i="14"/>
  <c r="J72" i="14"/>
  <c r="K72" i="14"/>
  <c r="L72" i="14"/>
  <c r="M72" i="14"/>
  <c r="N72" i="14"/>
  <c r="O72" i="14"/>
  <c r="P72" i="14"/>
  <c r="J74" i="14"/>
  <c r="K74" i="14"/>
  <c r="L74" i="14"/>
  <c r="M74" i="14"/>
  <c r="N74" i="14"/>
  <c r="O74" i="14"/>
  <c r="P74" i="14"/>
  <c r="J75" i="14"/>
  <c r="K75" i="14"/>
  <c r="AE61" i="14"/>
  <c r="L75" i="14"/>
  <c r="AF61" i="14"/>
  <c r="M75" i="14"/>
  <c r="AG61" i="14"/>
  <c r="N75" i="14"/>
  <c r="AH61" i="14"/>
  <c r="O75" i="14"/>
  <c r="AI61" i="14"/>
  <c r="P75" i="14"/>
  <c r="J77" i="14"/>
  <c r="L77" i="14"/>
  <c r="M77" i="14"/>
  <c r="N77" i="14"/>
  <c r="O77" i="14"/>
  <c r="P77" i="14"/>
  <c r="J79" i="14"/>
  <c r="K79" i="14"/>
  <c r="L79" i="14"/>
  <c r="M79" i="14"/>
  <c r="N79" i="14"/>
  <c r="O79" i="14"/>
  <c r="P79" i="14"/>
  <c r="J80" i="14"/>
  <c r="L80" i="14"/>
  <c r="M80" i="14"/>
  <c r="N80" i="14"/>
  <c r="O80" i="14"/>
  <c r="P80" i="14"/>
  <c r="J82" i="14"/>
  <c r="K82" i="14"/>
  <c r="L82" i="14"/>
  <c r="M82" i="14"/>
  <c r="N82" i="14"/>
  <c r="O82" i="14"/>
  <c r="P82" i="14"/>
  <c r="J83" i="14"/>
  <c r="K83" i="14"/>
  <c r="L83" i="14"/>
  <c r="M83" i="14"/>
  <c r="N83" i="14"/>
  <c r="O83" i="14"/>
  <c r="P83" i="14"/>
  <c r="E55" i="14"/>
  <c r="F55" i="14"/>
  <c r="G55" i="14"/>
  <c r="H55" i="14"/>
  <c r="I55" i="14"/>
  <c r="D56" i="14"/>
  <c r="E56" i="14"/>
  <c r="F56" i="14"/>
  <c r="G56" i="14"/>
  <c r="H56" i="14"/>
  <c r="I56" i="14"/>
  <c r="D60" i="14"/>
  <c r="E60" i="14"/>
  <c r="F60" i="14"/>
  <c r="G60" i="14"/>
  <c r="H60" i="14"/>
  <c r="I60" i="14"/>
  <c r="E64" i="14"/>
  <c r="E32" i="14"/>
  <c r="F64" i="14"/>
  <c r="F32" i="14"/>
  <c r="G64" i="14"/>
  <c r="G32" i="14"/>
  <c r="H64" i="14"/>
  <c r="H32" i="14"/>
  <c r="D66" i="14"/>
  <c r="E66" i="14"/>
  <c r="F66" i="14"/>
  <c r="G66" i="14"/>
  <c r="H66" i="14"/>
  <c r="I66" i="14"/>
  <c r="D67" i="14"/>
  <c r="E67" i="14"/>
  <c r="F67" i="14"/>
  <c r="G67" i="14"/>
  <c r="H67" i="14"/>
  <c r="I67" i="14"/>
  <c r="D68" i="14"/>
  <c r="D36" i="14"/>
  <c r="E68" i="14"/>
  <c r="E36" i="14"/>
  <c r="F68" i="14"/>
  <c r="F36" i="14"/>
  <c r="G68" i="14"/>
  <c r="G36" i="14"/>
  <c r="H68" i="14"/>
  <c r="H36" i="14"/>
  <c r="I68" i="14"/>
  <c r="I36" i="14"/>
  <c r="D69" i="14"/>
  <c r="D37" i="14"/>
  <c r="E69" i="14"/>
  <c r="E37" i="14"/>
  <c r="F69" i="14"/>
  <c r="F37" i="14"/>
  <c r="G69" i="14"/>
  <c r="G37" i="14"/>
  <c r="H69" i="14"/>
  <c r="H37" i="14"/>
  <c r="I69" i="14"/>
  <c r="I37" i="14"/>
  <c r="D70" i="14"/>
  <c r="D38" i="14"/>
  <c r="E70" i="14"/>
  <c r="E38" i="14"/>
  <c r="F70" i="14"/>
  <c r="F38" i="14"/>
  <c r="G70" i="14"/>
  <c r="G38" i="14"/>
  <c r="H70" i="14"/>
  <c r="H38" i="14"/>
  <c r="I70" i="14"/>
  <c r="I38" i="14"/>
  <c r="D71" i="14"/>
  <c r="E71" i="14"/>
  <c r="F71" i="14"/>
  <c r="G71" i="14"/>
  <c r="H71" i="14"/>
  <c r="I71" i="14"/>
  <c r="D72" i="14"/>
  <c r="E72" i="14"/>
  <c r="F72" i="14"/>
  <c r="G72" i="14"/>
  <c r="H72" i="14"/>
  <c r="I72" i="14"/>
  <c r="D74" i="14"/>
  <c r="E74" i="14"/>
  <c r="F74" i="14"/>
  <c r="G74" i="14"/>
  <c r="H74" i="14"/>
  <c r="I74" i="14"/>
  <c r="E75" i="14"/>
  <c r="F75" i="14"/>
  <c r="H75" i="14"/>
  <c r="I75" i="14"/>
  <c r="C64" i="14"/>
  <c r="C32" i="14"/>
  <c r="S82" i="14"/>
  <c r="R82" i="14"/>
  <c r="S80" i="14"/>
  <c r="R80" i="14"/>
  <c r="R71" i="14"/>
  <c r="S71" i="14"/>
  <c r="P31" i="14"/>
  <c r="R63" i="14"/>
  <c r="S63" i="14"/>
  <c r="S83" i="14"/>
  <c r="R83" i="14"/>
  <c r="S74" i="14"/>
  <c r="R74" i="14"/>
  <c r="S66" i="14"/>
  <c r="R66" i="14"/>
  <c r="S55" i="14"/>
  <c r="AM55" i="14"/>
  <c r="R55" i="14"/>
  <c r="AL55" i="14"/>
  <c r="S75" i="14"/>
  <c r="AM61" i="14"/>
  <c r="R75" i="14"/>
  <c r="AL61" i="14"/>
  <c r="S67" i="14"/>
  <c r="R67" i="14"/>
  <c r="P36" i="14"/>
  <c r="S68" i="14"/>
  <c r="R68" i="14"/>
  <c r="S56" i="14"/>
  <c r="AM56" i="14"/>
  <c r="R56" i="14"/>
  <c r="AL56" i="14"/>
  <c r="T56" i="14"/>
  <c r="AN56" i="14"/>
  <c r="AR56" i="14"/>
  <c r="R72" i="14"/>
  <c r="S72" i="14"/>
  <c r="P32" i="14"/>
  <c r="R64" i="14"/>
  <c r="AL60" i="14"/>
  <c r="S64" i="14"/>
  <c r="R77" i="14"/>
  <c r="S77" i="14"/>
  <c r="P37" i="14"/>
  <c r="R69" i="14"/>
  <c r="S69" i="14"/>
  <c r="R59" i="14"/>
  <c r="S59" i="14"/>
  <c r="R79" i="14"/>
  <c r="S79" i="14"/>
  <c r="P38" i="14"/>
  <c r="S70" i="14"/>
  <c r="R70" i="14"/>
  <c r="S60" i="14"/>
  <c r="R60" i="14"/>
  <c r="S62" i="14"/>
  <c r="R62" i="14"/>
  <c r="AI64" i="14"/>
  <c r="O31" i="14"/>
  <c r="O32" i="14"/>
  <c r="O36" i="14"/>
  <c r="AH56" i="14"/>
  <c r="O37" i="14"/>
  <c r="O38" i="14"/>
  <c r="AH64" i="14"/>
  <c r="Y61" i="19"/>
  <c r="N408" i="14"/>
  <c r="N36" i="14"/>
  <c r="N37" i="14"/>
  <c r="N38" i="14"/>
  <c r="N32" i="14"/>
  <c r="N31" i="14"/>
  <c r="AG64" i="14"/>
  <c r="V530" i="19"/>
  <c r="U530" i="19"/>
  <c r="AA265" i="19"/>
  <c r="AA251" i="19"/>
  <c r="V334" i="19"/>
  <c r="L458" i="14" s="1"/>
  <c r="Y310" i="19"/>
  <c r="Z265" i="19"/>
  <c r="O403" i="14" s="1"/>
  <c r="Z251" i="19"/>
  <c r="U334" i="19"/>
  <c r="K458" i="14" s="1"/>
  <c r="X76" i="19"/>
  <c r="X249" i="19"/>
  <c r="X265" i="19"/>
  <c r="M403" i="14" s="1"/>
  <c r="X251" i="19"/>
  <c r="X61" i="19"/>
  <c r="Y334" i="19"/>
  <c r="O458" i="14" s="1"/>
  <c r="AA334" i="19"/>
  <c r="W334" i="19"/>
  <c r="M458" i="14" s="1"/>
  <c r="W265" i="19"/>
  <c r="L403" i="14" s="1"/>
  <c r="W251" i="19"/>
  <c r="L408" i="14"/>
  <c r="V265" i="19"/>
  <c r="K403" i="14" s="1"/>
  <c r="V251" i="19"/>
  <c r="K408" i="14"/>
  <c r="AA63" i="19"/>
  <c r="Z63" i="19"/>
  <c r="Y63" i="19"/>
  <c r="U265" i="19"/>
  <c r="J403" i="14" s="1"/>
  <c r="U251" i="19"/>
  <c r="J408" i="14"/>
  <c r="F21" i="41"/>
  <c r="F14" i="41"/>
  <c r="F10" i="41"/>
  <c r="M36" i="14"/>
  <c r="M37" i="14"/>
  <c r="M38" i="14"/>
  <c r="M32" i="14"/>
  <c r="M31" i="14"/>
  <c r="AF64" i="14"/>
  <c r="AF56" i="14"/>
  <c r="L36" i="14"/>
  <c r="L37" i="14"/>
  <c r="L38" i="14"/>
  <c r="L31" i="14"/>
  <c r="L32" i="14"/>
  <c r="AE64" i="14"/>
  <c r="AE56" i="14"/>
  <c r="N65" i="14"/>
  <c r="AH63" i="14"/>
  <c r="P65" i="14"/>
  <c r="O65" i="14"/>
  <c r="AI63" i="14"/>
  <c r="M65" i="14"/>
  <c r="AG63" i="14"/>
  <c r="L65" i="14"/>
  <c r="AF63" i="14"/>
  <c r="K31" i="14"/>
  <c r="K37" i="14"/>
  <c r="K32" i="14"/>
  <c r="K38" i="14"/>
  <c r="K36" i="14"/>
  <c r="J65" i="14"/>
  <c r="J32" i="14"/>
  <c r="AE25" i="14"/>
  <c r="S36" i="14"/>
  <c r="R36" i="14"/>
  <c r="R37" i="14"/>
  <c r="S37" i="14"/>
  <c r="S38" i="14"/>
  <c r="R38" i="14"/>
  <c r="S31" i="14"/>
  <c r="Q496" i="21"/>
  <c r="Q504" i="21"/>
  <c r="Q497" i="21"/>
  <c r="T11" i="41"/>
  <c r="R557" i="21"/>
  <c r="AG28" i="41"/>
  <c r="I65" i="14"/>
  <c r="H65" i="14"/>
  <c r="G65" i="14"/>
  <c r="F65" i="14"/>
  <c r="E65" i="14"/>
  <c r="D65" i="14"/>
  <c r="P61" i="14"/>
  <c r="O61" i="14"/>
  <c r="AI59" i="14"/>
  <c r="N61" i="14"/>
  <c r="AH59" i="14"/>
  <c r="M61" i="14"/>
  <c r="AG59" i="14"/>
  <c r="L61" i="14"/>
  <c r="AF59" i="14"/>
  <c r="K61" i="14"/>
  <c r="AE59" i="14"/>
  <c r="P58" i="14"/>
  <c r="O58" i="14"/>
  <c r="AI58" i="14"/>
  <c r="N58" i="14"/>
  <c r="AH58" i="14"/>
  <c r="M58" i="14"/>
  <c r="AG58" i="14"/>
  <c r="L58" i="14"/>
  <c r="AF58" i="14"/>
  <c r="K58" i="14"/>
  <c r="AE58" i="14"/>
  <c r="J58" i="14"/>
  <c r="J61" i="14"/>
  <c r="M342" i="22"/>
  <c r="M343" i="22"/>
  <c r="M344" i="22"/>
  <c r="M345" i="22"/>
  <c r="M347" i="22"/>
  <c r="M349" i="22"/>
  <c r="M350" i="22"/>
  <c r="M351" i="22"/>
  <c r="M352" i="22"/>
  <c r="M354" i="22"/>
  <c r="M355" i="22"/>
  <c r="M357" i="22"/>
  <c r="M360" i="22"/>
  <c r="M362" i="22"/>
  <c r="M363" i="22"/>
  <c r="M364" i="22"/>
  <c r="M365" i="22"/>
  <c r="M367" i="22"/>
  <c r="M288" i="22"/>
  <c r="M289" i="22"/>
  <c r="M290" i="22"/>
  <c r="M291" i="22"/>
  <c r="M292" i="22"/>
  <c r="M293" i="22"/>
  <c r="M294" i="22"/>
  <c r="M296" i="22"/>
  <c r="M297" i="22"/>
  <c r="M298" i="22"/>
  <c r="M299" i="22"/>
  <c r="M301" i="22"/>
  <c r="M302" i="22"/>
  <c r="M304" i="22"/>
  <c r="M311" i="22"/>
  <c r="M236" i="22"/>
  <c r="M237" i="22"/>
  <c r="M238" i="22"/>
  <c r="M239" i="22"/>
  <c r="M241" i="22"/>
  <c r="M243" i="22"/>
  <c r="M244" i="22"/>
  <c r="M245" i="22"/>
  <c r="M246" i="22"/>
  <c r="M248" i="22"/>
  <c r="M249" i="22"/>
  <c r="M251" i="22"/>
  <c r="M254" i="22"/>
  <c r="M255" i="22"/>
  <c r="M256" i="22"/>
  <c r="M257" i="22"/>
  <c r="M258" i="22"/>
  <c r="M259" i="22"/>
  <c r="M260" i="22"/>
  <c r="M261" i="22"/>
  <c r="M183" i="22"/>
  <c r="M184" i="22"/>
  <c r="M185" i="22"/>
  <c r="M186" i="22"/>
  <c r="M190" i="22"/>
  <c r="M191" i="22"/>
  <c r="M192" i="22"/>
  <c r="M193" i="22"/>
  <c r="M195" i="22"/>
  <c r="M196" i="22"/>
  <c r="M198" i="22"/>
  <c r="M201" i="22"/>
  <c r="M202" i="22"/>
  <c r="M203" i="22"/>
  <c r="M204" i="22"/>
  <c r="M205" i="22"/>
  <c r="M206" i="22"/>
  <c r="M207" i="22"/>
  <c r="M208" i="22"/>
  <c r="M77" i="22"/>
  <c r="M78" i="22"/>
  <c r="M79" i="22"/>
  <c r="M80" i="22"/>
  <c r="M82" i="22"/>
  <c r="M84" i="22"/>
  <c r="M85" i="22"/>
  <c r="M86" i="22"/>
  <c r="M87" i="22"/>
  <c r="M89" i="22"/>
  <c r="M92" i="22"/>
  <c r="M95" i="22"/>
  <c r="M96" i="22"/>
  <c r="M97" i="22"/>
  <c r="M98" i="22"/>
  <c r="M99" i="22"/>
  <c r="M100" i="22"/>
  <c r="M101" i="22"/>
  <c r="M102" i="22"/>
  <c r="N56" i="19"/>
  <c r="J433" i="21"/>
  <c r="J434" i="21"/>
  <c r="J439" i="21"/>
  <c r="J441" i="21"/>
  <c r="J442" i="21"/>
  <c r="J443" i="21"/>
  <c r="J444" i="21"/>
  <c r="J445" i="21"/>
  <c r="J446" i="21"/>
  <c r="J448" i="21"/>
  <c r="J452" i="21"/>
  <c r="J453" i="21"/>
  <c r="J454" i="21"/>
  <c r="J457" i="21"/>
  <c r="J458" i="21"/>
  <c r="J459" i="21"/>
  <c r="J460" i="21"/>
  <c r="J464" i="21"/>
  <c r="J465" i="21"/>
  <c r="J466" i="21"/>
  <c r="J373" i="21"/>
  <c r="J374" i="21"/>
  <c r="J379" i="21"/>
  <c r="J381" i="21"/>
  <c r="J382" i="21"/>
  <c r="J383" i="21"/>
  <c r="J384" i="21"/>
  <c r="J385" i="21"/>
  <c r="J386" i="21"/>
  <c r="J388" i="21"/>
  <c r="J392" i="21"/>
  <c r="J393" i="21"/>
  <c r="J394" i="21"/>
  <c r="J395" i="21"/>
  <c r="J397" i="21"/>
  <c r="J398" i="21"/>
  <c r="J399" i="21"/>
  <c r="J400" i="21"/>
  <c r="J401" i="21"/>
  <c r="J403" i="21"/>
  <c r="J404" i="21"/>
  <c r="J406" i="21"/>
  <c r="J313" i="21"/>
  <c r="J314" i="21"/>
  <c r="J319" i="21"/>
  <c r="J321" i="21"/>
  <c r="J322" i="21"/>
  <c r="J323" i="21"/>
  <c r="J324" i="21"/>
  <c r="J325" i="21"/>
  <c r="J326" i="21"/>
  <c r="J328" i="21"/>
  <c r="J332" i="21"/>
  <c r="J333" i="21"/>
  <c r="J334" i="21"/>
  <c r="J337" i="21"/>
  <c r="J338" i="21"/>
  <c r="J339" i="21"/>
  <c r="J340" i="21"/>
  <c r="J341" i="21"/>
  <c r="J344" i="21"/>
  <c r="J345" i="21"/>
  <c r="J346" i="21"/>
  <c r="J253" i="21"/>
  <c r="J254" i="21"/>
  <c r="J259" i="21"/>
  <c r="J261" i="21"/>
  <c r="J262" i="21"/>
  <c r="J263" i="21"/>
  <c r="J264" i="21"/>
  <c r="J265" i="21"/>
  <c r="J266" i="21"/>
  <c r="J268" i="21"/>
  <c r="J272" i="21"/>
  <c r="J273" i="21"/>
  <c r="J274" i="21"/>
  <c r="J277" i="21"/>
  <c r="J278" i="21"/>
  <c r="J279" i="21"/>
  <c r="J280" i="21"/>
  <c r="J281" i="21"/>
  <c r="J284" i="21"/>
  <c r="J285" i="21"/>
  <c r="J286" i="21"/>
  <c r="J193" i="21"/>
  <c r="J194" i="21"/>
  <c r="J199" i="21"/>
  <c r="J201" i="21"/>
  <c r="J202" i="21"/>
  <c r="J203" i="21"/>
  <c r="J204" i="21"/>
  <c r="J205" i="21"/>
  <c r="J206" i="21"/>
  <c r="J208" i="21"/>
  <c r="J212" i="21"/>
  <c r="J213" i="21"/>
  <c r="J214" i="21"/>
  <c r="J217" i="21"/>
  <c r="J218" i="21"/>
  <c r="J219" i="21"/>
  <c r="J220" i="21"/>
  <c r="J221" i="21"/>
  <c r="J224" i="21"/>
  <c r="J225" i="21"/>
  <c r="J226" i="21"/>
  <c r="J127" i="21"/>
  <c r="J130" i="21"/>
  <c r="J133" i="21"/>
  <c r="J134" i="21"/>
  <c r="J135" i="21"/>
  <c r="J136" i="21"/>
  <c r="J137" i="21"/>
  <c r="J138" i="21"/>
  <c r="J139" i="21"/>
  <c r="J142" i="21"/>
  <c r="J144" i="21"/>
  <c r="J146" i="21"/>
  <c r="J147" i="21"/>
  <c r="J151" i="21"/>
  <c r="J152" i="21"/>
  <c r="T9" i="14"/>
  <c r="J153" i="21"/>
  <c r="J155" i="21"/>
  <c r="J156" i="21"/>
  <c r="J157" i="21"/>
  <c r="J158" i="21"/>
  <c r="J159" i="21"/>
  <c r="J160" i="21"/>
  <c r="J77" i="21"/>
  <c r="J80" i="21"/>
  <c r="J81" i="21"/>
  <c r="J82" i="21"/>
  <c r="J83" i="21"/>
  <c r="J84" i="21"/>
  <c r="J86" i="21"/>
  <c r="J88" i="21"/>
  <c r="J89" i="21"/>
  <c r="J91" i="21"/>
  <c r="J92" i="21"/>
  <c r="J93" i="21"/>
  <c r="J94" i="21"/>
  <c r="J95" i="21"/>
  <c r="J50" i="21"/>
  <c r="J53" i="21"/>
  <c r="J54" i="21"/>
  <c r="J55" i="21"/>
  <c r="J56" i="21"/>
  <c r="J58" i="21"/>
  <c r="J59" i="21"/>
  <c r="J61" i="21"/>
  <c r="J62" i="21"/>
  <c r="J63" i="21"/>
  <c r="J65" i="21"/>
  <c r="J66" i="21"/>
  <c r="J67" i="21"/>
  <c r="J68" i="21"/>
  <c r="J69" i="21"/>
  <c r="J37" i="21"/>
  <c r="T98" i="14"/>
  <c r="W98" i="14"/>
  <c r="R61" i="14"/>
  <c r="AL59" i="14"/>
  <c r="R65" i="14"/>
  <c r="S65" i="14"/>
  <c r="R58" i="14"/>
  <c r="AL58" i="14"/>
  <c r="P408" i="14"/>
  <c r="AI62" i="14"/>
  <c r="AI57" i="14"/>
  <c r="O408" i="14"/>
  <c r="AH62" i="14"/>
  <c r="AH57" i="14"/>
  <c r="Y583" i="19"/>
  <c r="AG62" i="14"/>
  <c r="AG57" i="14"/>
  <c r="U310" i="19"/>
  <c r="U583" i="19"/>
  <c r="V310" i="19"/>
  <c r="W583" i="19"/>
  <c r="X334" i="19"/>
  <c r="N458" i="14" s="1"/>
  <c r="M408" i="14"/>
  <c r="X310" i="19"/>
  <c r="Z310" i="19"/>
  <c r="AA310" i="19"/>
  <c r="AF57" i="14"/>
  <c r="AF62" i="14"/>
  <c r="AM64" i="14"/>
  <c r="AL64" i="14"/>
  <c r="AE57" i="14"/>
  <c r="T10" i="41"/>
  <c r="M57" i="14"/>
  <c r="L57" i="14"/>
  <c r="K57" i="14"/>
  <c r="P57" i="14"/>
  <c r="N57" i="14"/>
  <c r="O57" i="14"/>
  <c r="J57" i="14"/>
  <c r="J12" i="21"/>
  <c r="J13" i="21"/>
  <c r="J14" i="21"/>
  <c r="J15" i="21"/>
  <c r="P76" i="14"/>
  <c r="P78" i="14"/>
  <c r="R57" i="14"/>
  <c r="AA583" i="19"/>
  <c r="AK60" i="14"/>
  <c r="AK63" i="14"/>
  <c r="AK64" i="14"/>
  <c r="AK58" i="14"/>
  <c r="AK57" i="14"/>
  <c r="AK62" i="14"/>
  <c r="AK61" i="14"/>
  <c r="AI65" i="14"/>
  <c r="AK65" i="14"/>
  <c r="AK59" i="14"/>
  <c r="O76" i="14"/>
  <c r="Z583" i="19"/>
  <c r="AH65" i="14"/>
  <c r="N76" i="14"/>
  <c r="N78" i="14"/>
  <c r="AG65" i="14"/>
  <c r="X583" i="19"/>
  <c r="M76" i="14"/>
  <c r="M78" i="14"/>
  <c r="AF65" i="14"/>
  <c r="L76" i="14"/>
  <c r="L78" i="14"/>
  <c r="AL57" i="14"/>
  <c r="J76" i="14"/>
  <c r="F95" i="25"/>
  <c r="P84" i="14"/>
  <c r="R76" i="14"/>
  <c r="O78" i="14"/>
  <c r="O84" i="14"/>
  <c r="N84" i="14"/>
  <c r="M84" i="14"/>
  <c r="L84" i="14"/>
  <c r="J78" i="14"/>
  <c r="J84" i="14"/>
  <c r="AI113" i="25"/>
  <c r="AJ113" i="25"/>
  <c r="AK113" i="25"/>
  <c r="AL113" i="25"/>
  <c r="AM113" i="25"/>
  <c r="AN113" i="25"/>
  <c r="I66" i="25"/>
  <c r="AT25" i="25"/>
  <c r="AS25" i="25"/>
  <c r="AR25" i="25"/>
  <c r="AQ25" i="25"/>
  <c r="AP25" i="25"/>
  <c r="AO25" i="25"/>
  <c r="AN25" i="25"/>
  <c r="AM25" i="25"/>
  <c r="AL25" i="25"/>
  <c r="AK25" i="25"/>
  <c r="AJ25" i="25"/>
  <c r="AI25" i="25"/>
  <c r="AG25" i="25"/>
  <c r="AF25" i="25"/>
  <c r="AE25" i="25"/>
  <c r="AD25" i="25"/>
  <c r="AC25" i="25"/>
  <c r="AB25" i="25"/>
  <c r="AA25" i="25"/>
  <c r="Z25" i="25"/>
  <c r="Y25" i="25"/>
  <c r="X25" i="25"/>
  <c r="W25" i="25"/>
  <c r="V25" i="25"/>
  <c r="T25" i="25"/>
  <c r="S25" i="25"/>
  <c r="R25" i="25"/>
  <c r="Q25" i="25"/>
  <c r="P25" i="25"/>
  <c r="O25" i="25"/>
  <c r="N25" i="25"/>
  <c r="M25" i="25"/>
  <c r="L25" i="25"/>
  <c r="K25" i="25"/>
  <c r="J25" i="25"/>
  <c r="I25" i="25"/>
  <c r="AN56" i="25"/>
  <c r="J590" i="19"/>
  <c r="J568" i="19"/>
  <c r="J565" i="19"/>
  <c r="J567" i="19"/>
  <c r="J569" i="19"/>
  <c r="J570" i="19"/>
  <c r="J571" i="19"/>
  <c r="J526" i="19"/>
  <c r="J527" i="19"/>
  <c r="J528" i="19"/>
  <c r="J529" i="19"/>
  <c r="J530" i="19"/>
  <c r="J531" i="19"/>
  <c r="J532" i="19"/>
  <c r="J533" i="19"/>
  <c r="J534" i="19"/>
  <c r="J535" i="19"/>
  <c r="J536" i="19"/>
  <c r="J537" i="19"/>
  <c r="J538" i="19"/>
  <c r="J539" i="19"/>
  <c r="J540" i="19"/>
  <c r="J541" i="19"/>
  <c r="J542" i="19"/>
  <c r="J543" i="19"/>
  <c r="J544" i="19"/>
  <c r="J545" i="19"/>
  <c r="J546" i="19"/>
  <c r="J547" i="19"/>
  <c r="J548" i="19"/>
  <c r="J549" i="19"/>
  <c r="J550" i="19"/>
  <c r="J551" i="19"/>
  <c r="J552" i="19"/>
  <c r="J553" i="19"/>
  <c r="J555" i="19"/>
  <c r="R388" i="19"/>
  <c r="Q388" i="19"/>
  <c r="P388" i="19"/>
  <c r="O388" i="19"/>
  <c r="N388" i="19"/>
  <c r="Q148" i="21"/>
  <c r="R78" i="14"/>
  <c r="R84" i="14"/>
  <c r="AF25" i="41"/>
  <c r="AN25" i="41"/>
  <c r="Q581" i="21"/>
  <c r="I64" i="14"/>
  <c r="J148" i="21"/>
  <c r="J370" i="19"/>
  <c r="J371" i="19"/>
  <c r="J372" i="19"/>
  <c r="J373" i="19"/>
  <c r="J374" i="19"/>
  <c r="J375" i="19"/>
  <c r="J376" i="19"/>
  <c r="J377" i="19"/>
  <c r="J379" i="19"/>
  <c r="J380" i="19"/>
  <c r="J378" i="19"/>
  <c r="J381" i="19"/>
  <c r="J382" i="19"/>
  <c r="J383" i="19"/>
  <c r="J384" i="19"/>
  <c r="J385" i="19"/>
  <c r="J386" i="19"/>
  <c r="J387" i="19"/>
  <c r="J388" i="19"/>
  <c r="J389" i="19"/>
  <c r="J390" i="19"/>
  <c r="J391" i="19"/>
  <c r="J392" i="19"/>
  <c r="J393" i="19"/>
  <c r="J394" i="19"/>
  <c r="J395" i="19"/>
  <c r="J396" i="19"/>
  <c r="J397" i="19"/>
  <c r="J356" i="19"/>
  <c r="J331" i="19"/>
  <c r="J332" i="19"/>
  <c r="J333" i="19"/>
  <c r="J334" i="19"/>
  <c r="J335" i="19"/>
  <c r="J336" i="19"/>
  <c r="J317" i="19"/>
  <c r="J292" i="19"/>
  <c r="J293" i="19"/>
  <c r="J294" i="19"/>
  <c r="J295" i="19"/>
  <c r="J296" i="19"/>
  <c r="J297" i="19"/>
  <c r="J298" i="19"/>
  <c r="J299" i="19"/>
  <c r="J300" i="19"/>
  <c r="J251" i="19"/>
  <c r="J252" i="19"/>
  <c r="J253" i="19"/>
  <c r="J254" i="19"/>
  <c r="J255" i="19"/>
  <c r="J256" i="19"/>
  <c r="J257" i="19"/>
  <c r="J258" i="19"/>
  <c r="J259" i="19"/>
  <c r="J260" i="19"/>
  <c r="J261" i="19"/>
  <c r="J262" i="19"/>
  <c r="J263" i="19"/>
  <c r="J264" i="19"/>
  <c r="J265" i="19"/>
  <c r="J266" i="19"/>
  <c r="J267" i="19"/>
  <c r="J268" i="19"/>
  <c r="J269" i="19"/>
  <c r="J270" i="19"/>
  <c r="J271" i="19"/>
  <c r="J272" i="19"/>
  <c r="J273" i="19"/>
  <c r="J274" i="19"/>
  <c r="J275" i="19"/>
  <c r="J276" i="19"/>
  <c r="J277" i="19"/>
  <c r="J278" i="19"/>
  <c r="J279" i="19"/>
  <c r="J280" i="19"/>
  <c r="J214" i="19"/>
  <c r="J215" i="19"/>
  <c r="J216" i="19"/>
  <c r="J217" i="19"/>
  <c r="J218" i="19"/>
  <c r="J219" i="19"/>
  <c r="J220" i="19"/>
  <c r="J221" i="19"/>
  <c r="J222" i="19"/>
  <c r="J223" i="19"/>
  <c r="J224" i="19"/>
  <c r="J225" i="19"/>
  <c r="J226" i="19"/>
  <c r="J227" i="19"/>
  <c r="J228" i="19"/>
  <c r="J229" i="19"/>
  <c r="J230" i="19"/>
  <c r="J231" i="19"/>
  <c r="J232" i="19"/>
  <c r="J233" i="19"/>
  <c r="J234" i="19"/>
  <c r="J235" i="19"/>
  <c r="J236" i="19"/>
  <c r="J237" i="19"/>
  <c r="J238" i="19"/>
  <c r="J239" i="19"/>
  <c r="J240" i="19"/>
  <c r="J241" i="19"/>
  <c r="T193" i="19"/>
  <c r="N193" i="19"/>
  <c r="J200" i="19"/>
  <c r="J176" i="19"/>
  <c r="J177" i="19"/>
  <c r="J178" i="19"/>
  <c r="J179" i="19"/>
  <c r="J161" i="19"/>
  <c r="J139" i="19"/>
  <c r="J136" i="19"/>
  <c r="J138" i="19"/>
  <c r="J142" i="19"/>
  <c r="J143" i="19"/>
  <c r="J145" i="19"/>
  <c r="J146" i="19"/>
  <c r="J144" i="19"/>
  <c r="J147" i="19"/>
  <c r="J148" i="19"/>
  <c r="J149" i="19"/>
  <c r="J150" i="19"/>
  <c r="J151" i="19"/>
  <c r="J152" i="19"/>
  <c r="J153" i="19"/>
  <c r="J156" i="19"/>
  <c r="J154" i="19"/>
  <c r="J157" i="19"/>
  <c r="J160" i="19"/>
  <c r="J155" i="19"/>
  <c r="J158" i="19"/>
  <c r="J162" i="19"/>
  <c r="J159" i="19"/>
  <c r="J140" i="19"/>
  <c r="J141" i="19"/>
  <c r="T115" i="19"/>
  <c r="S115" i="19"/>
  <c r="R115" i="19"/>
  <c r="Q115" i="19"/>
  <c r="P115" i="19"/>
  <c r="O115" i="19"/>
  <c r="N115" i="19"/>
  <c r="J122" i="19"/>
  <c r="J101" i="19"/>
  <c r="J102" i="19"/>
  <c r="J100" i="19"/>
  <c r="J97" i="19"/>
  <c r="J99" i="19"/>
  <c r="J62" i="19"/>
  <c r="T56" i="19"/>
  <c r="J61" i="19"/>
  <c r="J58" i="19"/>
  <c r="J60" i="19"/>
  <c r="J29" i="19"/>
  <c r="J16" i="19"/>
  <c r="J13" i="19"/>
  <c r="J15" i="19"/>
  <c r="J17" i="19"/>
  <c r="J18" i="19"/>
  <c r="T40" i="19"/>
  <c r="S40" i="19"/>
  <c r="Q40" i="19"/>
  <c r="P40" i="19"/>
  <c r="O40" i="19"/>
  <c r="J40" i="19"/>
  <c r="I32" i="14"/>
  <c r="R32" i="14"/>
  <c r="AL25" i="14"/>
  <c r="J581" i="21"/>
  <c r="S25" i="41"/>
  <c r="AA25" i="41"/>
  <c r="J38" i="19"/>
  <c r="K438" i="21"/>
  <c r="L456" i="21"/>
  <c r="K456" i="21"/>
  <c r="L449" i="21"/>
  <c r="K449" i="21"/>
  <c r="G454" i="21"/>
  <c r="G455" i="21"/>
  <c r="L455" i="21"/>
  <c r="O455" i="21"/>
  <c r="J455" i="21"/>
  <c r="G456" i="21"/>
  <c r="G457" i="21"/>
  <c r="G458" i="21"/>
  <c r="G459" i="21"/>
  <c r="G444" i="21"/>
  <c r="G445" i="21"/>
  <c r="G446" i="21"/>
  <c r="G447" i="21"/>
  <c r="G448" i="21"/>
  <c r="G449" i="21"/>
  <c r="G450" i="21"/>
  <c r="G451" i="21"/>
  <c r="G452" i="21"/>
  <c r="K437" i="21"/>
  <c r="G418" i="21"/>
  <c r="G419" i="21"/>
  <c r="G420" i="21"/>
  <c r="G421" i="21"/>
  <c r="G422" i="21"/>
  <c r="G423" i="21"/>
  <c r="G424" i="21"/>
  <c r="G425" i="21"/>
  <c r="G426" i="21"/>
  <c r="G427" i="21"/>
  <c r="G428" i="21"/>
  <c r="G429" i="21"/>
  <c r="G433" i="21"/>
  <c r="G434" i="21"/>
  <c r="P396" i="21"/>
  <c r="O396" i="21"/>
  <c r="N396" i="21"/>
  <c r="M396" i="21"/>
  <c r="L396" i="21"/>
  <c r="K396" i="21"/>
  <c r="L389" i="21"/>
  <c r="K389" i="21"/>
  <c r="K378" i="21"/>
  <c r="G384" i="21"/>
  <c r="G385" i="21"/>
  <c r="G386" i="21"/>
  <c r="G387" i="21"/>
  <c r="G388" i="21"/>
  <c r="G389" i="21"/>
  <c r="G390" i="21"/>
  <c r="G391" i="21"/>
  <c r="G392" i="21"/>
  <c r="G393" i="21"/>
  <c r="G394" i="21"/>
  <c r="G395" i="21"/>
  <c r="G396" i="21"/>
  <c r="G397" i="21"/>
  <c r="G398" i="21"/>
  <c r="G399" i="21"/>
  <c r="G400" i="21"/>
  <c r="G401" i="21"/>
  <c r="G402" i="21"/>
  <c r="G403" i="21"/>
  <c r="G404" i="21"/>
  <c r="G405" i="21"/>
  <c r="G358" i="21"/>
  <c r="G359" i="21"/>
  <c r="G360" i="21"/>
  <c r="G365" i="21"/>
  <c r="G366" i="21"/>
  <c r="G367" i="21"/>
  <c r="G361" i="21"/>
  <c r="G362" i="21"/>
  <c r="G363" i="21"/>
  <c r="G364" i="21"/>
  <c r="K377" i="21"/>
  <c r="L336" i="21"/>
  <c r="K336" i="21"/>
  <c r="K318" i="21"/>
  <c r="L329" i="21"/>
  <c r="L309" i="21"/>
  <c r="K329" i="21"/>
  <c r="K309" i="21"/>
  <c r="K312" i="21"/>
  <c r="K311" i="21"/>
  <c r="G333" i="21"/>
  <c r="G334" i="21"/>
  <c r="G336" i="21"/>
  <c r="G325" i="21"/>
  <c r="G326" i="21"/>
  <c r="G327" i="21"/>
  <c r="G328" i="21"/>
  <c r="G329" i="21"/>
  <c r="G330" i="21"/>
  <c r="G331" i="21"/>
  <c r="G298" i="21"/>
  <c r="G299" i="21"/>
  <c r="G300" i="21"/>
  <c r="G301" i="21"/>
  <c r="G302" i="21"/>
  <c r="G303" i="21"/>
  <c r="G304" i="21"/>
  <c r="G305" i="21"/>
  <c r="G306" i="21"/>
  <c r="G307" i="21"/>
  <c r="G308" i="21"/>
  <c r="G309" i="21"/>
  <c r="G310" i="21"/>
  <c r="G311" i="21"/>
  <c r="G312" i="21"/>
  <c r="L276" i="21"/>
  <c r="K276" i="21"/>
  <c r="K269" i="21"/>
  <c r="K249" i="21"/>
  <c r="K258" i="21"/>
  <c r="G238" i="21"/>
  <c r="G239" i="21"/>
  <c r="G246" i="21"/>
  <c r="G247" i="21"/>
  <c r="G236" i="21"/>
  <c r="G240" i="21"/>
  <c r="G237" i="21"/>
  <c r="G241" i="21"/>
  <c r="G242" i="21"/>
  <c r="G243" i="21"/>
  <c r="L216" i="21"/>
  <c r="K216" i="21"/>
  <c r="L209" i="21"/>
  <c r="K209" i="21"/>
  <c r="K192" i="21"/>
  <c r="G205" i="21"/>
  <c r="G206" i="21"/>
  <c r="G207" i="21"/>
  <c r="G208" i="21"/>
  <c r="G209" i="21"/>
  <c r="G210" i="21"/>
  <c r="G211" i="21"/>
  <c r="G212" i="21"/>
  <c r="G213" i="21"/>
  <c r="G214" i="21"/>
  <c r="G178" i="21"/>
  <c r="G179" i="21"/>
  <c r="G180" i="21"/>
  <c r="G181" i="21"/>
  <c r="G182" i="21"/>
  <c r="G183" i="21"/>
  <c r="G184" i="21"/>
  <c r="G185" i="21"/>
  <c r="G186" i="21"/>
  <c r="G187" i="21"/>
  <c r="Q150" i="21"/>
  <c r="AF27" i="41"/>
  <c r="P150" i="21"/>
  <c r="AE27" i="41"/>
  <c r="O150" i="21"/>
  <c r="AD27" i="41"/>
  <c r="N150" i="21"/>
  <c r="AC27" i="41"/>
  <c r="M150" i="21"/>
  <c r="AB27" i="41"/>
  <c r="L150" i="21"/>
  <c r="K150" i="21"/>
  <c r="AN27" i="41"/>
  <c r="K189" i="21"/>
  <c r="B11" i="27"/>
  <c r="L189" i="21"/>
  <c r="C11" i="27"/>
  <c r="J150" i="21"/>
  <c r="K347" i="21"/>
  <c r="K317" i="21"/>
  <c r="K310" i="21"/>
  <c r="K308" i="21"/>
  <c r="K257" i="21"/>
  <c r="G161" i="21"/>
  <c r="O132" i="21"/>
  <c r="N132" i="21"/>
  <c r="K132" i="21"/>
  <c r="C62" i="14"/>
  <c r="L148" i="21"/>
  <c r="D64" i="14"/>
  <c r="D32" i="14"/>
  <c r="Q30" i="21"/>
  <c r="P30" i="21"/>
  <c r="O30" i="21"/>
  <c r="N30" i="21"/>
  <c r="M30" i="21"/>
  <c r="L30" i="21"/>
  <c r="K30" i="21"/>
  <c r="Q28" i="21"/>
  <c r="P28" i="21"/>
  <c r="O28" i="21"/>
  <c r="N28" i="21"/>
  <c r="M28" i="21"/>
  <c r="L28" i="21"/>
  <c r="K28" i="21"/>
  <c r="Q79" i="21"/>
  <c r="Q74" i="21"/>
  <c r="P79" i="21"/>
  <c r="P74" i="21"/>
  <c r="O79" i="21"/>
  <c r="N79" i="21"/>
  <c r="N74" i="21"/>
  <c r="M79" i="21"/>
  <c r="L79" i="21"/>
  <c r="K79" i="21"/>
  <c r="G89" i="21"/>
  <c r="G75" i="21"/>
  <c r="Q57" i="21"/>
  <c r="P57" i="21"/>
  <c r="O57" i="21"/>
  <c r="N57" i="21"/>
  <c r="L62" i="21"/>
  <c r="L57" i="21"/>
  <c r="G62" i="21"/>
  <c r="F62" i="14"/>
  <c r="N595" i="21"/>
  <c r="G62" i="14"/>
  <c r="O595" i="21"/>
  <c r="J30" i="21"/>
  <c r="J28" i="21"/>
  <c r="J64" i="21"/>
  <c r="M74" i="21"/>
  <c r="J79" i="21"/>
  <c r="O74" i="21"/>
  <c r="K74" i="21"/>
  <c r="L74" i="21"/>
  <c r="K52" i="21"/>
  <c r="Q52" i="21"/>
  <c r="Q47" i="21"/>
  <c r="P52" i="21"/>
  <c r="P47" i="21"/>
  <c r="O52" i="21"/>
  <c r="O47" i="21"/>
  <c r="N52" i="21"/>
  <c r="N47" i="21"/>
  <c r="M52" i="21"/>
  <c r="G52" i="21"/>
  <c r="G48" i="21"/>
  <c r="G63" i="21"/>
  <c r="G38" i="21"/>
  <c r="P8" i="21"/>
  <c r="O8" i="21"/>
  <c r="N8" i="21"/>
  <c r="M8" i="21"/>
  <c r="L8" i="21"/>
  <c r="K8" i="21"/>
  <c r="G8" i="21"/>
  <c r="Q11" i="21"/>
  <c r="P11" i="21"/>
  <c r="O11" i="21"/>
  <c r="N11" i="21"/>
  <c r="M11" i="21"/>
  <c r="L11" i="21"/>
  <c r="K11" i="21"/>
  <c r="G11" i="21"/>
  <c r="G6" i="21"/>
  <c r="G7" i="21"/>
  <c r="G9" i="21"/>
  <c r="Q165" i="21"/>
  <c r="P165" i="21"/>
  <c r="O165" i="21"/>
  <c r="N165" i="21"/>
  <c r="M165" i="21"/>
  <c r="L165" i="21"/>
  <c r="K165" i="21"/>
  <c r="Q164" i="21"/>
  <c r="P164" i="21"/>
  <c r="O164" i="21"/>
  <c r="N164" i="21"/>
  <c r="M164" i="21"/>
  <c r="L164" i="21"/>
  <c r="K164" i="21"/>
  <c r="Q163" i="21"/>
  <c r="P163" i="21"/>
  <c r="O163" i="21"/>
  <c r="N163" i="21"/>
  <c r="M163" i="21"/>
  <c r="L163" i="21"/>
  <c r="K163" i="21"/>
  <c r="Q162" i="21"/>
  <c r="I77" i="14"/>
  <c r="P162" i="21"/>
  <c r="H77" i="14"/>
  <c r="O162" i="21"/>
  <c r="G77" i="14"/>
  <c r="N162" i="21"/>
  <c r="F77" i="14"/>
  <c r="M162" i="21"/>
  <c r="L162" i="21"/>
  <c r="D77" i="14"/>
  <c r="K162" i="21"/>
  <c r="Q42" i="21"/>
  <c r="P42" i="21"/>
  <c r="O42" i="21"/>
  <c r="N42" i="21"/>
  <c r="M42" i="21"/>
  <c r="L42" i="21"/>
  <c r="K42" i="21"/>
  <c r="Q41" i="21"/>
  <c r="P41" i="21"/>
  <c r="O41" i="21"/>
  <c r="N41" i="21"/>
  <c r="M41" i="21"/>
  <c r="L41" i="21"/>
  <c r="K41" i="21"/>
  <c r="Q40" i="21"/>
  <c r="P40" i="21"/>
  <c r="O40" i="21"/>
  <c r="N40" i="21"/>
  <c r="M40" i="21"/>
  <c r="L40" i="21"/>
  <c r="K40" i="21"/>
  <c r="Q39" i="21"/>
  <c r="P39" i="21"/>
  <c r="O39" i="21"/>
  <c r="N39" i="21"/>
  <c r="M39" i="21"/>
  <c r="L39" i="21"/>
  <c r="K39" i="21"/>
  <c r="P16" i="14"/>
  <c r="O16" i="14"/>
  <c r="N16" i="14"/>
  <c r="M16" i="14"/>
  <c r="L16" i="14"/>
  <c r="K16" i="14"/>
  <c r="J16" i="14"/>
  <c r="I16" i="14"/>
  <c r="H16" i="14"/>
  <c r="G16" i="14"/>
  <c r="F16" i="14"/>
  <c r="P15" i="14"/>
  <c r="O15" i="14"/>
  <c r="N15" i="14"/>
  <c r="M15" i="14"/>
  <c r="L15" i="14"/>
  <c r="K15" i="14"/>
  <c r="J15" i="14"/>
  <c r="I15" i="14"/>
  <c r="H15" i="14"/>
  <c r="G15" i="14"/>
  <c r="F15" i="14"/>
  <c r="E14" i="14"/>
  <c r="E47" i="14"/>
  <c r="D14" i="14"/>
  <c r="D47" i="14"/>
  <c r="C14" i="14"/>
  <c r="C47" i="14"/>
  <c r="J12" i="14"/>
  <c r="I12" i="14"/>
  <c r="I45" i="14"/>
  <c r="H12" i="14"/>
  <c r="H45" i="14"/>
  <c r="G12" i="14"/>
  <c r="G45" i="14"/>
  <c r="F12" i="14"/>
  <c r="F45" i="14"/>
  <c r="E12" i="14"/>
  <c r="E45" i="14"/>
  <c r="D12" i="14"/>
  <c r="D45" i="14"/>
  <c r="C12" i="14"/>
  <c r="C45" i="14"/>
  <c r="G12" i="21"/>
  <c r="T12" i="14"/>
  <c r="T45" i="14"/>
  <c r="G13" i="21"/>
  <c r="G14" i="21"/>
  <c r="G15" i="21"/>
  <c r="G2" i="21"/>
  <c r="G3" i="21"/>
  <c r="G4" i="21"/>
  <c r="G5" i="21"/>
  <c r="G10" i="21"/>
  <c r="G16" i="21"/>
  <c r="G19" i="21"/>
  <c r="N44" i="22"/>
  <c r="C120" i="14" s="1"/>
  <c r="O44" i="22"/>
  <c r="D120" i="14" s="1"/>
  <c r="D34" i="14" s="1"/>
  <c r="P44" i="22"/>
  <c r="E120" i="14" s="1"/>
  <c r="E34" i="14" s="1"/>
  <c r="Q44" i="22"/>
  <c r="F120" i="14" s="1"/>
  <c r="F34" i="14" s="1"/>
  <c r="R44" i="22"/>
  <c r="G120" i="14" s="1"/>
  <c r="S44" i="22"/>
  <c r="H120" i="14" s="1"/>
  <c r="H34" i="14" s="1"/>
  <c r="T44" i="22"/>
  <c r="I120" i="14" s="1"/>
  <c r="I34" i="14" s="1"/>
  <c r="N45" i="22"/>
  <c r="C122" i="14" s="1"/>
  <c r="C39" i="14" s="1"/>
  <c r="O45" i="22"/>
  <c r="D122" i="14" s="1"/>
  <c r="D39" i="14" s="1"/>
  <c r="P45" i="22"/>
  <c r="E122" i="14" s="1"/>
  <c r="E39" i="14" s="1"/>
  <c r="Q45" i="22"/>
  <c r="F122" i="14" s="1"/>
  <c r="F39" i="14" s="1"/>
  <c r="R45" i="22"/>
  <c r="G122" i="14" s="1"/>
  <c r="G39" i="14" s="1"/>
  <c r="S45" i="22"/>
  <c r="H122" i="14" s="1"/>
  <c r="H39" i="14" s="1"/>
  <c r="T45" i="22"/>
  <c r="I122" i="14" s="1"/>
  <c r="I39" i="14" s="1"/>
  <c r="N46" i="22"/>
  <c r="C124" i="14" s="1"/>
  <c r="C41" i="14" s="1"/>
  <c r="O46" i="22"/>
  <c r="D124" i="14" s="1"/>
  <c r="D41" i="14" s="1"/>
  <c r="P46" i="22"/>
  <c r="E124" i="14" s="1"/>
  <c r="E41" i="14" s="1"/>
  <c r="Q46" i="22"/>
  <c r="F124" i="14" s="1"/>
  <c r="F41" i="14" s="1"/>
  <c r="R46" i="22"/>
  <c r="G124" i="14" s="1"/>
  <c r="G41" i="14" s="1"/>
  <c r="S46" i="22"/>
  <c r="H124" i="14" s="1"/>
  <c r="T46" i="22"/>
  <c r="I124" i="14" s="1"/>
  <c r="I41" i="14" s="1"/>
  <c r="N47" i="22"/>
  <c r="C121" i="14" s="1"/>
  <c r="C35" i="14" s="1"/>
  <c r="O47" i="22"/>
  <c r="D121" i="14" s="1"/>
  <c r="D35" i="14" s="1"/>
  <c r="P47" i="22"/>
  <c r="E121" i="14" s="1"/>
  <c r="E35" i="14" s="1"/>
  <c r="Q47" i="22"/>
  <c r="F121" i="14" s="1"/>
  <c r="F35" i="14" s="1"/>
  <c r="R47" i="22"/>
  <c r="G121" i="14" s="1"/>
  <c r="G35" i="14" s="1"/>
  <c r="S47" i="22"/>
  <c r="H121" i="14" s="1"/>
  <c r="H35" i="14" s="1"/>
  <c r="T47" i="22"/>
  <c r="I121" i="14" s="1"/>
  <c r="I35" i="14" s="1"/>
  <c r="N48" i="22"/>
  <c r="O48" i="22"/>
  <c r="P48" i="22"/>
  <c r="Q48" i="22"/>
  <c r="R48" i="22"/>
  <c r="S48" i="22"/>
  <c r="T48" i="22"/>
  <c r="N49" i="22"/>
  <c r="C123" i="14" s="1"/>
  <c r="C40" i="14" s="1"/>
  <c r="O49" i="22"/>
  <c r="D123" i="14" s="1"/>
  <c r="D40" i="14" s="1"/>
  <c r="P49" i="22"/>
  <c r="Q49" i="22"/>
  <c r="F123" i="14" s="1"/>
  <c r="R49" i="22"/>
  <c r="G123" i="14" s="1"/>
  <c r="G40" i="14" s="1"/>
  <c r="S49" i="22"/>
  <c r="H123" i="14" s="1"/>
  <c r="H40" i="14" s="1"/>
  <c r="T49" i="22"/>
  <c r="I123" i="14" s="1"/>
  <c r="I40" i="14" s="1"/>
  <c r="N42" i="22"/>
  <c r="O42" i="22"/>
  <c r="P42" i="22"/>
  <c r="Q42" i="22"/>
  <c r="R42" i="22"/>
  <c r="S42" i="22"/>
  <c r="T42" i="22"/>
  <c r="T31" i="22"/>
  <c r="N31" i="22"/>
  <c r="O31" i="22"/>
  <c r="P31" i="22"/>
  <c r="Q31" i="22"/>
  <c r="R31" i="22"/>
  <c r="S31" i="22"/>
  <c r="N32" i="22"/>
  <c r="O32" i="22"/>
  <c r="P32" i="22"/>
  <c r="Q32" i="22"/>
  <c r="R32" i="22"/>
  <c r="S32" i="22"/>
  <c r="T32" i="22"/>
  <c r="N33" i="22"/>
  <c r="O33" i="22"/>
  <c r="P33" i="22"/>
  <c r="Q33" i="22"/>
  <c r="R33" i="22"/>
  <c r="S33" i="22"/>
  <c r="T33" i="22"/>
  <c r="N34" i="22"/>
  <c r="O34" i="22"/>
  <c r="P34" i="22"/>
  <c r="Q34" i="22"/>
  <c r="R34" i="22"/>
  <c r="S34" i="22"/>
  <c r="T34" i="22"/>
  <c r="N36" i="22"/>
  <c r="O36" i="22"/>
  <c r="P36" i="22"/>
  <c r="Q36" i="22"/>
  <c r="R36" i="22"/>
  <c r="S36" i="22"/>
  <c r="T36" i="22"/>
  <c r="N37" i="22"/>
  <c r="P37" i="22"/>
  <c r="Q37" i="22"/>
  <c r="R37" i="22"/>
  <c r="S37" i="22"/>
  <c r="T37" i="22"/>
  <c r="N38" i="22"/>
  <c r="O38" i="22"/>
  <c r="Q38" i="22"/>
  <c r="R38" i="22"/>
  <c r="S38" i="22"/>
  <c r="T38" i="22"/>
  <c r="N11" i="22"/>
  <c r="S15" i="14"/>
  <c r="R15" i="14"/>
  <c r="S16" i="14"/>
  <c r="R16" i="14"/>
  <c r="J45" i="14"/>
  <c r="AE29" i="14"/>
  <c r="J42" i="21"/>
  <c r="J41" i="21"/>
  <c r="J11" i="21"/>
  <c r="J40" i="21"/>
  <c r="F79" i="14"/>
  <c r="G79" i="14"/>
  <c r="D79" i="14"/>
  <c r="J164" i="21"/>
  <c r="H79" i="14"/>
  <c r="I79" i="14"/>
  <c r="J39" i="21"/>
  <c r="J165" i="21"/>
  <c r="E77" i="14"/>
  <c r="J162" i="21"/>
  <c r="E79" i="14"/>
  <c r="J163" i="21"/>
  <c r="M47" i="21"/>
  <c r="J47" i="21"/>
  <c r="J52" i="21"/>
  <c r="J74" i="21"/>
  <c r="K161" i="21"/>
  <c r="L161" i="21"/>
  <c r="Q161" i="21"/>
  <c r="M161" i="21"/>
  <c r="N161" i="21"/>
  <c r="O161" i="21"/>
  <c r="P161" i="21"/>
  <c r="K47" i="21"/>
  <c r="L52" i="21"/>
  <c r="L47" i="21"/>
  <c r="O38" i="21"/>
  <c r="K38" i="21"/>
  <c r="L38" i="21"/>
  <c r="M38" i="21"/>
  <c r="N38" i="21"/>
  <c r="P38" i="21"/>
  <c r="Q38" i="21"/>
  <c r="T14" i="14"/>
  <c r="T47" i="14"/>
  <c r="AN29" i="14"/>
  <c r="R45" i="14"/>
  <c r="AL29" i="14"/>
  <c r="X47" i="14"/>
  <c r="J38" i="21"/>
  <c r="J161" i="21"/>
  <c r="O11" i="22"/>
  <c r="P11" i="22"/>
  <c r="Q11" i="22"/>
  <c r="R11" i="22"/>
  <c r="S11" i="22"/>
  <c r="T11" i="22"/>
  <c r="N12" i="22"/>
  <c r="O12" i="22"/>
  <c r="P12" i="22"/>
  <c r="Q12" i="22"/>
  <c r="R12" i="22"/>
  <c r="S12" i="22"/>
  <c r="T12" i="22"/>
  <c r="R338" i="22"/>
  <c r="S338" i="22"/>
  <c r="T338" i="22"/>
  <c r="Q338" i="22"/>
  <c r="R359" i="22"/>
  <c r="S359" i="22"/>
  <c r="T359" i="22"/>
  <c r="Q359" i="22"/>
  <c r="R348" i="22"/>
  <c r="S348" i="22"/>
  <c r="T348" i="22"/>
  <c r="Q348" i="22"/>
  <c r="Q337" i="22" s="1"/>
  <c r="T323" i="22"/>
  <c r="O306" i="22"/>
  <c r="O285" i="22"/>
  <c r="P285" i="22"/>
  <c r="Q285" i="22"/>
  <c r="R285" i="22"/>
  <c r="S285" i="22"/>
  <c r="T285" i="22"/>
  <c r="N285" i="22"/>
  <c r="O295" i="22"/>
  <c r="O284" i="22" s="1"/>
  <c r="P295" i="22"/>
  <c r="P284" i="22" s="1"/>
  <c r="Q295" i="22"/>
  <c r="R295" i="22"/>
  <c r="R284" i="22" s="1"/>
  <c r="S295" i="22"/>
  <c r="S284" i="22" s="1"/>
  <c r="T295" i="22"/>
  <c r="T284" i="22" s="1"/>
  <c r="N295" i="22"/>
  <c r="N284" i="22" s="1"/>
  <c r="N287" i="22"/>
  <c r="O232" i="22"/>
  <c r="P232" i="22"/>
  <c r="Q232" i="22"/>
  <c r="R232" i="22"/>
  <c r="S232" i="22"/>
  <c r="T232" i="22"/>
  <c r="N232" i="22"/>
  <c r="N253" i="22"/>
  <c r="O253" i="22"/>
  <c r="P253" i="22"/>
  <c r="Q253" i="22"/>
  <c r="R253" i="22"/>
  <c r="S253" i="22"/>
  <c r="T253" i="22"/>
  <c r="Q235" i="22"/>
  <c r="R235" i="22"/>
  <c r="S235" i="22"/>
  <c r="S234" i="22" s="1"/>
  <c r="T235" i="22"/>
  <c r="N235" i="22"/>
  <c r="N234" i="22" s="1"/>
  <c r="Q242" i="22"/>
  <c r="R242" i="22"/>
  <c r="S242" i="22"/>
  <c r="T242" i="22"/>
  <c r="N242" i="22"/>
  <c r="T179" i="22"/>
  <c r="S179" i="22"/>
  <c r="R179" i="22"/>
  <c r="Q179" i="22"/>
  <c r="P179" i="22"/>
  <c r="O179" i="22"/>
  <c r="N179" i="22"/>
  <c r="T83" i="22"/>
  <c r="T72" i="22" s="1"/>
  <c r="S83" i="22"/>
  <c r="S72" i="22" s="1"/>
  <c r="R83" i="22"/>
  <c r="R72" i="22" s="1"/>
  <c r="Q83" i="22"/>
  <c r="Q72" i="22" s="1"/>
  <c r="N83" i="22"/>
  <c r="T189" i="22"/>
  <c r="H37" i="27" s="1"/>
  <c r="H36" i="27" s="1"/>
  <c r="S189" i="22"/>
  <c r="G37" i="27" s="1"/>
  <c r="G36" i="27" s="1"/>
  <c r="R189" i="22"/>
  <c r="F37" i="27" s="1"/>
  <c r="F36" i="27" s="1"/>
  <c r="Q189" i="22"/>
  <c r="E37" i="27" s="1"/>
  <c r="E36" i="27" s="1"/>
  <c r="N189" i="22"/>
  <c r="B37" i="27" s="1"/>
  <c r="B36" i="27" s="1"/>
  <c r="B91" i="27" s="1"/>
  <c r="T73" i="22"/>
  <c r="S73" i="22"/>
  <c r="R73" i="22"/>
  <c r="Q73" i="22"/>
  <c r="P73" i="22"/>
  <c r="O73" i="22"/>
  <c r="N73" i="22"/>
  <c r="T94" i="22"/>
  <c r="S94" i="22"/>
  <c r="R94" i="22"/>
  <c r="Q94" i="22"/>
  <c r="P94" i="22"/>
  <c r="O94" i="22"/>
  <c r="N94" i="22"/>
  <c r="N75" i="22"/>
  <c r="B8" i="11"/>
  <c r="D8" i="11"/>
  <c r="U94" i="10"/>
  <c r="T94" i="10"/>
  <c r="U21" i="10"/>
  <c r="U19" i="10"/>
  <c r="W13" i="1"/>
  <c r="U5" i="23"/>
  <c r="W51" i="1"/>
  <c r="W24" i="1"/>
  <c r="W22" i="1"/>
  <c r="W21" i="1"/>
  <c r="W18" i="1"/>
  <c r="W15" i="1"/>
  <c r="W11" i="1"/>
  <c r="W16" i="1"/>
  <c r="U6" i="23"/>
  <c r="U12" i="28"/>
  <c r="U10" i="28"/>
  <c r="U6" i="28"/>
  <c r="P331" i="21"/>
  <c r="P391" i="21"/>
  <c r="P451" i="21"/>
  <c r="T333" i="22"/>
  <c r="S333" i="22"/>
  <c r="T280" i="22"/>
  <c r="S280" i="22"/>
  <c r="R280" i="22"/>
  <c r="Q280" i="22"/>
  <c r="T227" i="22"/>
  <c r="S227" i="22"/>
  <c r="R227" i="22"/>
  <c r="Q227" i="22"/>
  <c r="Q141" i="21"/>
  <c r="P140" i="21"/>
  <c r="AE20" i="41"/>
  <c r="AE15" i="41"/>
  <c r="Q129" i="21"/>
  <c r="P128" i="21"/>
  <c r="J128" i="21"/>
  <c r="T78" i="19"/>
  <c r="T76" i="19" s="1"/>
  <c r="T33" i="19"/>
  <c r="Q132" i="21"/>
  <c r="Q574" i="21"/>
  <c r="AF20" i="41"/>
  <c r="AF15" i="41"/>
  <c r="AF14" i="41"/>
  <c r="G3" i="27"/>
  <c r="G85" i="27"/>
  <c r="P211" i="21"/>
  <c r="P236" i="21"/>
  <c r="J236" i="21"/>
  <c r="P573" i="21"/>
  <c r="I350" i="14"/>
  <c r="J32" i="24"/>
  <c r="I147" i="14" s="1"/>
  <c r="P132" i="21"/>
  <c r="J140" i="21"/>
  <c r="Q8" i="21"/>
  <c r="J8" i="21"/>
  <c r="I83" i="14"/>
  <c r="H62" i="14"/>
  <c r="I62" i="14"/>
  <c r="R20" i="41"/>
  <c r="R15" i="41"/>
  <c r="P565" i="21"/>
  <c r="P595" i="21"/>
  <c r="S20" i="41"/>
  <c r="S15" i="41"/>
  <c r="S14" i="41"/>
  <c r="Q565" i="21"/>
  <c r="Q595" i="21"/>
  <c r="P271" i="21"/>
  <c r="P260" i="21"/>
  <c r="J573" i="21"/>
  <c r="T329" i="22"/>
  <c r="T276" i="22"/>
  <c r="T223" i="22"/>
  <c r="T170" i="22"/>
  <c r="T68" i="22"/>
  <c r="T64" i="22"/>
  <c r="Q421" i="21"/>
  <c r="Q361" i="21"/>
  <c r="Q301" i="21"/>
  <c r="Q181" i="21"/>
  <c r="Q241" i="21"/>
  <c r="Q119" i="21"/>
  <c r="I80" i="14"/>
  <c r="Q120" i="21"/>
  <c r="Q121" i="21"/>
  <c r="I82" i="14"/>
  <c r="P119" i="21"/>
  <c r="H80" i="14"/>
  <c r="P121" i="21"/>
  <c r="H82" i="14"/>
  <c r="C56" i="24"/>
  <c r="C55" i="24"/>
  <c r="C54" i="24"/>
  <c r="C53" i="24"/>
  <c r="C51" i="24"/>
  <c r="Q301" i="14"/>
  <c r="Q304" i="14"/>
  <c r="I296" i="14"/>
  <c r="I297" i="14"/>
  <c r="I303" i="14"/>
  <c r="I305" i="14"/>
  <c r="I306" i="14"/>
  <c r="I307" i="14"/>
  <c r="I309" i="14"/>
  <c r="I310" i="14"/>
  <c r="I311" i="14"/>
  <c r="I312" i="14"/>
  <c r="I313" i="14"/>
  <c r="I315" i="14"/>
  <c r="I316" i="14"/>
  <c r="I317" i="14"/>
  <c r="I318" i="14"/>
  <c r="I319" i="14"/>
  <c r="I320" i="14"/>
  <c r="Q264" i="14"/>
  <c r="Q564" i="21"/>
  <c r="Q295" i="14"/>
  <c r="Q294" i="14"/>
  <c r="Q36" i="21"/>
  <c r="AM19" i="25"/>
  <c r="Q321" i="14"/>
  <c r="P252" i="21"/>
  <c r="Q450" i="21"/>
  <c r="Q436" i="21"/>
  <c r="P436" i="21"/>
  <c r="Q440" i="21"/>
  <c r="Q438" i="21"/>
  <c r="Q432" i="21"/>
  <c r="P432" i="21"/>
  <c r="Q390" i="21"/>
  <c r="Q376" i="21"/>
  <c r="P376" i="21"/>
  <c r="Q380" i="21"/>
  <c r="Q378" i="21"/>
  <c r="Q372" i="21"/>
  <c r="P372" i="21"/>
  <c r="Q330" i="21"/>
  <c r="Q316" i="21"/>
  <c r="Q320" i="21"/>
  <c r="Q318" i="21"/>
  <c r="Q312" i="21"/>
  <c r="P312" i="21"/>
  <c r="Q270" i="21"/>
  <c r="P270" i="21"/>
  <c r="Q256" i="21"/>
  <c r="P256" i="21"/>
  <c r="Q258" i="21"/>
  <c r="P258" i="21"/>
  <c r="Q252" i="21"/>
  <c r="Q210" i="21"/>
  <c r="Q196" i="21"/>
  <c r="H8" i="27"/>
  <c r="P196" i="21"/>
  <c r="G8" i="27"/>
  <c r="Q192" i="21"/>
  <c r="H7" i="27"/>
  <c r="P192" i="21"/>
  <c r="G7" i="27"/>
  <c r="Q200" i="21"/>
  <c r="Q198" i="21"/>
  <c r="H10" i="27"/>
  <c r="G6" i="27"/>
  <c r="Q428" i="21"/>
  <c r="H6" i="27"/>
  <c r="Q308" i="21"/>
  <c r="Q248" i="21"/>
  <c r="P248" i="21"/>
  <c r="Q311" i="21"/>
  <c r="Q431" i="21"/>
  <c r="P431" i="21"/>
  <c r="P371" i="21"/>
  <c r="Q251" i="21"/>
  <c r="Q371" i="21"/>
  <c r="P251" i="21"/>
  <c r="Q191" i="21"/>
  <c r="Q188" i="21"/>
  <c r="P191" i="21"/>
  <c r="Q21" i="21"/>
  <c r="Q462" i="21"/>
  <c r="Q463" i="21"/>
  <c r="Q342" i="21"/>
  <c r="Q343" i="21"/>
  <c r="Q283" i="21"/>
  <c r="Q282" i="21"/>
  <c r="Q222" i="21"/>
  <c r="Q223" i="21"/>
  <c r="T62" i="25"/>
  <c r="Q23" i="21"/>
  <c r="R21" i="21"/>
  <c r="S21" i="21"/>
  <c r="H18" i="27"/>
  <c r="Q456" i="21"/>
  <c r="Q336" i="21"/>
  <c r="Q276" i="21"/>
  <c r="Q216" i="21"/>
  <c r="Q415" i="21"/>
  <c r="Q413" i="21"/>
  <c r="T93" i="19"/>
  <c r="I413" i="14"/>
  <c r="Q414" i="21"/>
  <c r="Q355" i="21"/>
  <c r="Q295" i="21"/>
  <c r="Q235" i="21"/>
  <c r="Q175" i="21"/>
  <c r="T54" i="19"/>
  <c r="Q105" i="21"/>
  <c r="Q171" i="21"/>
  <c r="Q291" i="21"/>
  <c r="R291" i="21"/>
  <c r="S291" i="21"/>
  <c r="T291" i="21"/>
  <c r="U291" i="21"/>
  <c r="V291" i="21"/>
  <c r="W291" i="21"/>
  <c r="X291" i="21"/>
  <c r="Q351" i="21"/>
  <c r="R351" i="21"/>
  <c r="S351" i="21"/>
  <c r="T351" i="21"/>
  <c r="U351" i="21"/>
  <c r="V351" i="21"/>
  <c r="W351" i="21"/>
  <c r="X351" i="21"/>
  <c r="Q101" i="21"/>
  <c r="Q35" i="21"/>
  <c r="Q34" i="21"/>
  <c r="X353" i="21"/>
  <c r="X354" i="21"/>
  <c r="X293" i="21"/>
  <c r="X294" i="21"/>
  <c r="W353" i="21"/>
  <c r="W354" i="21"/>
  <c r="W293" i="21"/>
  <c r="W294" i="21"/>
  <c r="H13" i="27"/>
  <c r="H98" i="27"/>
  <c r="V293" i="21"/>
  <c r="V294" i="21"/>
  <c r="V353" i="21"/>
  <c r="V354" i="21"/>
  <c r="U354" i="21"/>
  <c r="U353" i="21"/>
  <c r="U293" i="21"/>
  <c r="U294" i="21"/>
  <c r="S23" i="21"/>
  <c r="T21" i="21"/>
  <c r="T353" i="21"/>
  <c r="T354" i="21"/>
  <c r="T293" i="21"/>
  <c r="T294" i="21"/>
  <c r="S353" i="21"/>
  <c r="S354" i="21"/>
  <c r="S293" i="21"/>
  <c r="S294" i="21"/>
  <c r="L96" i="14"/>
  <c r="R23" i="21"/>
  <c r="Q31" i="21"/>
  <c r="R101" i="21"/>
  <c r="AF3" i="41"/>
  <c r="R171" i="21"/>
  <c r="S171" i="21"/>
  <c r="T171" i="21"/>
  <c r="U171" i="21"/>
  <c r="V171" i="21"/>
  <c r="W171" i="21"/>
  <c r="X171" i="21"/>
  <c r="Q231" i="21"/>
  <c r="Q233" i="21"/>
  <c r="R294" i="21"/>
  <c r="R293" i="21"/>
  <c r="R354" i="21"/>
  <c r="R353" i="21"/>
  <c r="I96" i="14"/>
  <c r="Q103" i="21"/>
  <c r="Q104" i="21"/>
  <c r="AF5" i="41"/>
  <c r="Q353" i="21"/>
  <c r="Q354" i="21"/>
  <c r="Q293" i="21"/>
  <c r="Q294" i="21"/>
  <c r="Q173" i="21"/>
  <c r="Q174" i="21"/>
  <c r="X173" i="21"/>
  <c r="X174" i="21"/>
  <c r="W173" i="21"/>
  <c r="W174" i="21"/>
  <c r="V173" i="21"/>
  <c r="V174" i="21"/>
  <c r="T23" i="21"/>
  <c r="U21" i="21"/>
  <c r="U174" i="21"/>
  <c r="U173" i="21"/>
  <c r="T173" i="21"/>
  <c r="T174" i="21"/>
  <c r="L95" i="14"/>
  <c r="S173" i="21"/>
  <c r="S174" i="21"/>
  <c r="R103" i="21"/>
  <c r="S101" i="21"/>
  <c r="AH3" i="41"/>
  <c r="AG3" i="41"/>
  <c r="R231" i="21"/>
  <c r="R233" i="21"/>
  <c r="R104" i="21"/>
  <c r="AG5" i="41"/>
  <c r="Q234" i="21"/>
  <c r="R173" i="21"/>
  <c r="R174" i="21"/>
  <c r="T17" i="22"/>
  <c r="I24" i="14" s="1"/>
  <c r="T270" i="22"/>
  <c r="T217" i="22"/>
  <c r="T216" i="22"/>
  <c r="T164" i="22"/>
  <c r="T58" i="22"/>
  <c r="U23" i="21"/>
  <c r="V21" i="21"/>
  <c r="L99" i="14"/>
  <c r="T101" i="21"/>
  <c r="S104" i="21"/>
  <c r="AH5" i="41"/>
  <c r="S103" i="21"/>
  <c r="S231" i="21"/>
  <c r="R234" i="21"/>
  <c r="AM89" i="25"/>
  <c r="W23" i="1"/>
  <c r="W20" i="1"/>
  <c r="W17" i="1"/>
  <c r="W14" i="1"/>
  <c r="V23" i="21"/>
  <c r="W21" i="21"/>
  <c r="W23" i="21"/>
  <c r="AI3" i="41"/>
  <c r="U101" i="21"/>
  <c r="T231" i="21"/>
  <c r="T103" i="21"/>
  <c r="T104" i="21"/>
  <c r="AI5" i="41"/>
  <c r="L101" i="14"/>
  <c r="S233" i="21"/>
  <c r="S234" i="21"/>
  <c r="I302" i="14"/>
  <c r="AM88" i="25"/>
  <c r="T558" i="19"/>
  <c r="T519" i="19"/>
  <c r="J65" i="24" s="1"/>
  <c r="T90" i="19"/>
  <c r="T6" i="19" s="1"/>
  <c r="AJ3" i="41"/>
  <c r="V101" i="21"/>
  <c r="W101" i="21"/>
  <c r="X101" i="21"/>
  <c r="AM3" i="41"/>
  <c r="AN3" i="41"/>
  <c r="U231" i="21"/>
  <c r="U104" i="21"/>
  <c r="AJ5" i="41"/>
  <c r="U103" i="21"/>
  <c r="T234" i="21"/>
  <c r="T233" i="21"/>
  <c r="L103" i="14"/>
  <c r="T16" i="22"/>
  <c r="T15" i="22"/>
  <c r="I110" i="14" s="1"/>
  <c r="T20" i="22"/>
  <c r="S20" i="22"/>
  <c r="R20" i="22"/>
  <c r="T19" i="22"/>
  <c r="S19" i="22"/>
  <c r="R19" i="22"/>
  <c r="Q20" i="22"/>
  <c r="Q19" i="22"/>
  <c r="T5" i="22"/>
  <c r="S5" i="22"/>
  <c r="T341" i="22"/>
  <c r="T340" i="22" s="1"/>
  <c r="T287" i="22"/>
  <c r="T182" i="22"/>
  <c r="H34" i="27" s="1"/>
  <c r="T75" i="22"/>
  <c r="Q85" i="21"/>
  <c r="Q143" i="21"/>
  <c r="Q131" i="21"/>
  <c r="P87" i="21"/>
  <c r="Q126" i="21"/>
  <c r="Q559" i="21"/>
  <c r="X231" i="21"/>
  <c r="X103" i="21"/>
  <c r="X104" i="21"/>
  <c r="AM5" i="41"/>
  <c r="W104" i="21"/>
  <c r="AL5" i="41"/>
  <c r="AL3" i="41"/>
  <c r="W231" i="21"/>
  <c r="W103" i="21"/>
  <c r="V231" i="21"/>
  <c r="V233" i="21"/>
  <c r="AK3" i="41"/>
  <c r="V103" i="21"/>
  <c r="V104" i="21"/>
  <c r="AK5" i="41"/>
  <c r="U233" i="21"/>
  <c r="U234" i="21"/>
  <c r="AE23" i="41"/>
  <c r="P518" i="21"/>
  <c r="P578" i="21"/>
  <c r="Q558" i="21"/>
  <c r="Q557" i="21"/>
  <c r="S12" i="41"/>
  <c r="S11" i="41"/>
  <c r="S10" i="41"/>
  <c r="Q555" i="21"/>
  <c r="I59" i="14"/>
  <c r="AF12" i="41"/>
  <c r="AF11" i="41"/>
  <c r="AF10" i="41"/>
  <c r="AF28" i="41"/>
  <c r="I63" i="14"/>
  <c r="I31" i="14"/>
  <c r="Q123" i="21"/>
  <c r="Q125" i="21"/>
  <c r="Q6" i="21"/>
  <c r="Q122" i="21"/>
  <c r="P269" i="21"/>
  <c r="P143" i="21"/>
  <c r="H63" i="14"/>
  <c r="Q75" i="21"/>
  <c r="Q78" i="21"/>
  <c r="Q51" i="21"/>
  <c r="Q48" i="21"/>
  <c r="Q25" i="21"/>
  <c r="Q451" i="21"/>
  <c r="Q391" i="21"/>
  <c r="Q331" i="21"/>
  <c r="Q271" i="21"/>
  <c r="Q211" i="21"/>
  <c r="Q26" i="21"/>
  <c r="X234" i="21"/>
  <c r="X233" i="21"/>
  <c r="W233" i="21"/>
  <c r="W234" i="21"/>
  <c r="V234" i="21"/>
  <c r="AE21" i="41"/>
  <c r="AE14" i="41"/>
  <c r="H61" i="14"/>
  <c r="H31" i="14"/>
  <c r="R31" i="14"/>
  <c r="I58" i="14"/>
  <c r="P576" i="21"/>
  <c r="R23" i="41"/>
  <c r="E23" i="41"/>
  <c r="E21" i="41"/>
  <c r="P516" i="21"/>
  <c r="I61" i="14"/>
  <c r="Q389" i="21"/>
  <c r="Q369" i="21"/>
  <c r="Q269" i="21"/>
  <c r="Q249" i="21"/>
  <c r="Q329" i="21"/>
  <c r="Q317" i="21"/>
  <c r="Q449" i="21"/>
  <c r="Q429" i="21"/>
  <c r="Q76" i="21"/>
  <c r="Q4" i="21"/>
  <c r="P257" i="21"/>
  <c r="P250" i="21"/>
  <c r="P249" i="21"/>
  <c r="Q124" i="21"/>
  <c r="Q209" i="21"/>
  <c r="H11" i="27"/>
  <c r="H9" i="27"/>
  <c r="P131" i="21"/>
  <c r="P123" i="21"/>
  <c r="Q49" i="21"/>
  <c r="Q29" i="21"/>
  <c r="Q27" i="21"/>
  <c r="AM62" i="25"/>
  <c r="AM78" i="25"/>
  <c r="H5" i="27"/>
  <c r="R21" i="41"/>
  <c r="R14" i="41"/>
  <c r="E14" i="41"/>
  <c r="E10" i="41"/>
  <c r="P496" i="21"/>
  <c r="P504" i="21"/>
  <c r="P497" i="21"/>
  <c r="P556" i="21"/>
  <c r="P564" i="21"/>
  <c r="I57" i="14"/>
  <c r="I76" i="14"/>
  <c r="Q257" i="21"/>
  <c r="Q250" i="21"/>
  <c r="Q309" i="21"/>
  <c r="Q166" i="21"/>
  <c r="Q167" i="21"/>
  <c r="Q310" i="21"/>
  <c r="Q347" i="21"/>
  <c r="Q437" i="21"/>
  <c r="Q377" i="21"/>
  <c r="Q97" i="21"/>
  <c r="Q43" i="21"/>
  <c r="Q44" i="21"/>
  <c r="Q7" i="21"/>
  <c r="Q71" i="21"/>
  <c r="Q197" i="21"/>
  <c r="Q189" i="21"/>
  <c r="AM56" i="25"/>
  <c r="T534" i="19"/>
  <c r="T495" i="19"/>
  <c r="T494" i="19" s="1"/>
  <c r="I173" i="14" s="1"/>
  <c r="T261" i="19"/>
  <c r="T260" i="19" s="1"/>
  <c r="T222" i="19"/>
  <c r="T221" i="19" s="1"/>
  <c r="T144" i="19"/>
  <c r="T143" i="19" s="1"/>
  <c r="T655" i="19"/>
  <c r="T45" i="10"/>
  <c r="T82" i="10"/>
  <c r="V58" i="1"/>
  <c r="V51" i="1"/>
  <c r="V20" i="1"/>
  <c r="I382" i="14"/>
  <c r="Q287" i="21"/>
  <c r="Q430" i="21"/>
  <c r="Q190" i="21"/>
  <c r="Q368" i="21"/>
  <c r="Q370" i="21"/>
  <c r="V16" i="1"/>
  <c r="V14" i="1"/>
  <c r="V23" i="1"/>
  <c r="V17" i="1"/>
  <c r="I78" i="14"/>
  <c r="I84" i="14"/>
  <c r="Q227" i="21"/>
  <c r="Q467" i="21"/>
  <c r="C104" i="20"/>
  <c r="D104" i="20"/>
  <c r="E104" i="20"/>
  <c r="F104" i="20"/>
  <c r="G104" i="20"/>
  <c r="H104" i="20"/>
  <c r="I104" i="20"/>
  <c r="J104" i="20"/>
  <c r="K104" i="20"/>
  <c r="L104" i="20"/>
  <c r="M104" i="20"/>
  <c r="N104" i="20"/>
  <c r="O104" i="20"/>
  <c r="P104" i="20"/>
  <c r="Q104" i="20"/>
  <c r="R104" i="20"/>
  <c r="S104" i="20"/>
  <c r="T104" i="20"/>
  <c r="U104" i="20"/>
  <c r="V104" i="20"/>
  <c r="W104" i="20"/>
  <c r="X104" i="20"/>
  <c r="Y104" i="20"/>
  <c r="Z104" i="20"/>
  <c r="AA104" i="20"/>
  <c r="AB104" i="20"/>
  <c r="AC104" i="20"/>
  <c r="AD104" i="20"/>
  <c r="AE104" i="20"/>
  <c r="J360" i="19"/>
  <c r="J361" i="19"/>
  <c r="M361" i="19"/>
  <c r="J363" i="19"/>
  <c r="M363" i="19"/>
  <c r="J364" i="19"/>
  <c r="M364" i="19"/>
  <c r="J365" i="19"/>
  <c r="M365" i="19"/>
  <c r="J366" i="19"/>
  <c r="J367" i="19"/>
  <c r="J368" i="19"/>
  <c r="J369" i="19"/>
  <c r="M369" i="19"/>
  <c r="M379" i="19"/>
  <c r="M380" i="19"/>
  <c r="N378" i="19"/>
  <c r="N377" i="19" s="1"/>
  <c r="O378" i="19"/>
  <c r="O377" i="19" s="1"/>
  <c r="P378" i="19"/>
  <c r="Q378" i="19"/>
  <c r="Q377" i="19" s="1"/>
  <c r="R378" i="19"/>
  <c r="R377" i="19" s="1"/>
  <c r="S378" i="19"/>
  <c r="S377" i="19" s="1"/>
  <c r="T378" i="19"/>
  <c r="T377" i="19" s="1"/>
  <c r="M381" i="19"/>
  <c r="M383" i="19"/>
  <c r="M384" i="19"/>
  <c r="M385" i="19"/>
  <c r="M386" i="19"/>
  <c r="M391" i="19"/>
  <c r="M394" i="19"/>
  <c r="M389" i="19"/>
  <c r="M392" i="19"/>
  <c r="M396" i="19"/>
  <c r="M393" i="19"/>
  <c r="S374" i="19"/>
  <c r="S388" i="19"/>
  <c r="T374" i="19"/>
  <c r="T388" i="19"/>
  <c r="P126" i="21"/>
  <c r="AE12" i="41"/>
  <c r="AE11" i="41"/>
  <c r="AE10" i="41"/>
  <c r="AE28" i="41"/>
  <c r="P559" i="21"/>
  <c r="P122" i="21"/>
  <c r="H59" i="14"/>
  <c r="S273" i="19"/>
  <c r="S271" i="19" s="1"/>
  <c r="T3" i="22"/>
  <c r="AL62" i="25"/>
  <c r="P241" i="21"/>
  <c r="P23" i="21"/>
  <c r="T10" i="28"/>
  <c r="T9" i="23"/>
  <c r="P463" i="21"/>
  <c r="P462" i="21"/>
  <c r="T6" i="23"/>
  <c r="H58" i="14"/>
  <c r="H57" i="14"/>
  <c r="H76" i="14"/>
  <c r="H407" i="14"/>
  <c r="P558" i="21"/>
  <c r="R12" i="41"/>
  <c r="P555" i="21"/>
  <c r="P456" i="21"/>
  <c r="S16" i="22"/>
  <c r="H23" i="14" s="1"/>
  <c r="Q16" i="22"/>
  <c r="F23" i="14" s="1"/>
  <c r="AL38" i="25"/>
  <c r="AL52" i="25"/>
  <c r="H78" i="14"/>
  <c r="H84" i="14"/>
  <c r="R11" i="41"/>
  <c r="P557" i="21"/>
  <c r="H296" i="14"/>
  <c r="H297" i="14"/>
  <c r="H305" i="14"/>
  <c r="H306" i="14"/>
  <c r="H307" i="14"/>
  <c r="H309" i="14"/>
  <c r="H310" i="14"/>
  <c r="H311" i="14"/>
  <c r="H312" i="14"/>
  <c r="H313" i="14"/>
  <c r="H315" i="14"/>
  <c r="H316" i="14"/>
  <c r="H317" i="14"/>
  <c r="H318" i="14"/>
  <c r="H319" i="14"/>
  <c r="H320" i="14"/>
  <c r="S78" i="19"/>
  <c r="N10" i="22"/>
  <c r="C107" i="14" s="1"/>
  <c r="C21" i="14" s="1"/>
  <c r="O10" i="22"/>
  <c r="N9" i="22"/>
  <c r="O9" i="22"/>
  <c r="N29" i="22"/>
  <c r="N25" i="22" s="1"/>
  <c r="O29" i="22"/>
  <c r="O25" i="22" s="1"/>
  <c r="P29" i="22"/>
  <c r="P25" i="22" s="1"/>
  <c r="N40" i="22"/>
  <c r="C127" i="14" s="1"/>
  <c r="C43" i="14" s="1"/>
  <c r="Q40" i="22"/>
  <c r="F127" i="14" s="1"/>
  <c r="F43" i="14" s="1"/>
  <c r="S40" i="22"/>
  <c r="H127" i="14" s="1"/>
  <c r="H43" i="14" s="1"/>
  <c r="T40" i="22"/>
  <c r="I127" i="14" s="1"/>
  <c r="I43" i="14" s="1"/>
  <c r="P40" i="22"/>
  <c r="N43" i="22"/>
  <c r="C126" i="14" s="1"/>
  <c r="C42" i="14" s="1"/>
  <c r="O43" i="22"/>
  <c r="D126" i="14" s="1"/>
  <c r="D42" i="14" s="1"/>
  <c r="Q43" i="22"/>
  <c r="F126" i="14" s="1"/>
  <c r="F42" i="14" s="1"/>
  <c r="R43" i="22"/>
  <c r="G126" i="14" s="1"/>
  <c r="G42" i="14" s="1"/>
  <c r="S43" i="22"/>
  <c r="H126" i="14" s="1"/>
  <c r="H42" i="14" s="1"/>
  <c r="T43" i="22"/>
  <c r="I126" i="14" s="1"/>
  <c r="I42" i="14" s="1"/>
  <c r="P43" i="22"/>
  <c r="E126" i="14" s="1"/>
  <c r="E42" i="14" s="1"/>
  <c r="H83" i="14"/>
  <c r="P111" i="21"/>
  <c r="P120" i="21"/>
  <c r="S15" i="22"/>
  <c r="H110" i="14" s="1"/>
  <c r="S329" i="22"/>
  <c r="S276" i="22"/>
  <c r="S223" i="22"/>
  <c r="S170" i="22"/>
  <c r="S68" i="22"/>
  <c r="S64" i="22"/>
  <c r="R10" i="41"/>
  <c r="P125" i="21"/>
  <c r="P124" i="21"/>
  <c r="P6" i="21"/>
  <c r="P166" i="21"/>
  <c r="P167" i="21"/>
  <c r="B15" i="40"/>
  <c r="AL90" i="25"/>
  <c r="AM22" i="25"/>
  <c r="AN22" i="25"/>
  <c r="AO22" i="25"/>
  <c r="K282" i="14"/>
  <c r="AP22" i="25"/>
  <c r="L282" i="14"/>
  <c r="AQ22" i="25"/>
  <c r="AR22" i="25"/>
  <c r="AS22" i="25"/>
  <c r="AT22" i="25"/>
  <c r="AL22" i="25"/>
  <c r="P316" i="21"/>
  <c r="P105" i="21"/>
  <c r="P235" i="21"/>
  <c r="P173" i="21"/>
  <c r="O173" i="21"/>
  <c r="N173" i="21"/>
  <c r="M173" i="21"/>
  <c r="L173" i="21"/>
  <c r="K173" i="21"/>
  <c r="P234" i="21"/>
  <c r="P233" i="21"/>
  <c r="P293" i="21"/>
  <c r="P353" i="21"/>
  <c r="P413" i="21"/>
  <c r="S270" i="22"/>
  <c r="S217" i="22"/>
  <c r="S164" i="22"/>
  <c r="S58" i="22"/>
  <c r="S216" i="22"/>
  <c r="P222" i="21"/>
  <c r="P223" i="21"/>
  <c r="P342" i="21"/>
  <c r="P343" i="21"/>
  <c r="P101" i="21"/>
  <c r="AE3" i="41"/>
  <c r="G18" i="27"/>
  <c r="P311" i="21"/>
  <c r="P336" i="21"/>
  <c r="P276" i="21"/>
  <c r="P287" i="21"/>
  <c r="P216" i="21"/>
  <c r="P103" i="21"/>
  <c r="P175" i="21"/>
  <c r="P210" i="21"/>
  <c r="P200" i="21"/>
  <c r="P198" i="21"/>
  <c r="G10" i="27"/>
  <c r="P294" i="21"/>
  <c r="P320" i="21"/>
  <c r="P318" i="21"/>
  <c r="P330" i="21"/>
  <c r="P295" i="21"/>
  <c r="P355" i="21"/>
  <c r="P390" i="21"/>
  <c r="P380" i="21"/>
  <c r="P378" i="21"/>
  <c r="P415" i="21"/>
  <c r="P450" i="21"/>
  <c r="P440" i="21"/>
  <c r="P438" i="21"/>
  <c r="P428" i="21"/>
  <c r="H303" i="14"/>
  <c r="AL89" i="25"/>
  <c r="H302" i="14"/>
  <c r="P354" i="21"/>
  <c r="P414" i="21"/>
  <c r="P174" i="21"/>
  <c r="P104" i="21"/>
  <c r="AE5" i="41"/>
  <c r="G13" i="27"/>
  <c r="G98" i="27"/>
  <c r="P449" i="21"/>
  <c r="P389" i="21"/>
  <c r="P308" i="21"/>
  <c r="P209" i="21"/>
  <c r="P188" i="21"/>
  <c r="P377" i="21"/>
  <c r="P370" i="21"/>
  <c r="P407" i="21"/>
  <c r="P369" i="21"/>
  <c r="P437" i="21"/>
  <c r="P430" i="21"/>
  <c r="P467" i="21"/>
  <c r="P429" i="21"/>
  <c r="P189" i="21"/>
  <c r="G11" i="27"/>
  <c r="G9" i="27"/>
  <c r="P197" i="21"/>
  <c r="P190" i="21"/>
  <c r="P227" i="21"/>
  <c r="P329" i="21"/>
  <c r="H262" i="14"/>
  <c r="I262" i="14"/>
  <c r="J262" i="14"/>
  <c r="M262" i="14"/>
  <c r="N262" i="14"/>
  <c r="P262" i="14"/>
  <c r="H263" i="14"/>
  <c r="I263" i="14"/>
  <c r="J263" i="14"/>
  <c r="M263" i="14"/>
  <c r="N263" i="14"/>
  <c r="P263" i="14"/>
  <c r="H265" i="14"/>
  <c r="I265" i="14"/>
  <c r="J265" i="14"/>
  <c r="M265" i="14"/>
  <c r="N265" i="14"/>
  <c r="P265" i="14"/>
  <c r="H266" i="14"/>
  <c r="I266" i="14"/>
  <c r="J266" i="14"/>
  <c r="M266" i="14"/>
  <c r="N266" i="14"/>
  <c r="P266" i="14"/>
  <c r="H268" i="14"/>
  <c r="I268" i="14"/>
  <c r="J268" i="14"/>
  <c r="M268" i="14"/>
  <c r="N268" i="14"/>
  <c r="P268" i="14"/>
  <c r="H269" i="14"/>
  <c r="I269" i="14"/>
  <c r="J269" i="14"/>
  <c r="M269" i="14"/>
  <c r="N269" i="14"/>
  <c r="P269" i="14"/>
  <c r="H270" i="14"/>
  <c r="I270" i="14"/>
  <c r="J270" i="14"/>
  <c r="M270" i="14"/>
  <c r="N270" i="14"/>
  <c r="P270" i="14"/>
  <c r="H274" i="14"/>
  <c r="I274" i="14"/>
  <c r="J274" i="14"/>
  <c r="M274" i="14"/>
  <c r="N274" i="14"/>
  <c r="P274" i="14"/>
  <c r="H282" i="14"/>
  <c r="I282" i="14"/>
  <c r="J282" i="14"/>
  <c r="M282" i="14"/>
  <c r="N282" i="14"/>
  <c r="P282" i="14"/>
  <c r="H286" i="14"/>
  <c r="I286" i="14"/>
  <c r="J286" i="14"/>
  <c r="M286" i="14"/>
  <c r="N286" i="14"/>
  <c r="P286" i="14"/>
  <c r="H287" i="14"/>
  <c r="I287" i="14"/>
  <c r="J287" i="14"/>
  <c r="M287" i="14"/>
  <c r="N287" i="14"/>
  <c r="P287" i="14"/>
  <c r="S274" i="14"/>
  <c r="R274" i="14"/>
  <c r="R266" i="14"/>
  <c r="S266" i="14"/>
  <c r="R268" i="14"/>
  <c r="S268" i="14"/>
  <c r="S262" i="14"/>
  <c r="R262" i="14"/>
  <c r="T262" i="14"/>
  <c r="R282" i="14"/>
  <c r="S282" i="14"/>
  <c r="S269" i="14"/>
  <c r="R269" i="14"/>
  <c r="S263" i="14"/>
  <c r="R263" i="14"/>
  <c r="T263" i="14"/>
  <c r="S286" i="14"/>
  <c r="R286" i="14"/>
  <c r="R270" i="14"/>
  <c r="S270" i="14"/>
  <c r="R265" i="14"/>
  <c r="S265" i="14"/>
  <c r="R287" i="14"/>
  <c r="S287" i="14"/>
  <c r="P261" i="14"/>
  <c r="G5" i="27"/>
  <c r="N261" i="14"/>
  <c r="J261" i="14"/>
  <c r="P368" i="21"/>
  <c r="P309" i="21"/>
  <c r="P317" i="21"/>
  <c r="P310" i="21"/>
  <c r="P347" i="21"/>
  <c r="M264" i="14"/>
  <c r="J285" i="14"/>
  <c r="H261" i="14"/>
  <c r="M261" i="14"/>
  <c r="I261" i="14"/>
  <c r="P285" i="14"/>
  <c r="N285" i="14"/>
  <c r="M285" i="14"/>
  <c r="I285" i="14"/>
  <c r="H285" i="14"/>
  <c r="J267" i="14"/>
  <c r="P267" i="14"/>
  <c r="N267" i="14"/>
  <c r="M267" i="14"/>
  <c r="I267" i="14"/>
  <c r="H267" i="14"/>
  <c r="P264" i="14"/>
  <c r="N264" i="14"/>
  <c r="J264" i="14"/>
  <c r="I264" i="14"/>
  <c r="H264" i="14"/>
  <c r="H250" i="14"/>
  <c r="I250" i="14"/>
  <c r="J250" i="14"/>
  <c r="K250" i="14"/>
  <c r="L250" i="14"/>
  <c r="M250" i="14"/>
  <c r="N250" i="14"/>
  <c r="O250" i="14"/>
  <c r="P250" i="14"/>
  <c r="S250" i="14" s="1"/>
  <c r="H249" i="14"/>
  <c r="J249" i="14"/>
  <c r="L249" i="14"/>
  <c r="M249" i="14"/>
  <c r="N249" i="14"/>
  <c r="O249" i="14"/>
  <c r="P249" i="14"/>
  <c r="J248" i="14"/>
  <c r="L248" i="14"/>
  <c r="P248" i="14"/>
  <c r="H247" i="14"/>
  <c r="I247" i="14"/>
  <c r="J247" i="14"/>
  <c r="L247" i="14"/>
  <c r="M247" i="14"/>
  <c r="O247" i="14"/>
  <c r="P247" i="14"/>
  <c r="R267" i="14"/>
  <c r="S261" i="14"/>
  <c r="R261" i="14"/>
  <c r="R264" i="14"/>
  <c r="S264" i="14"/>
  <c r="R285" i="14"/>
  <c r="N271" i="14"/>
  <c r="J271" i="14"/>
  <c r="P271" i="14"/>
  <c r="M271" i="14"/>
  <c r="H271" i="14"/>
  <c r="I271" i="14"/>
  <c r="R271" i="14"/>
  <c r="H176" i="14"/>
  <c r="I176" i="14"/>
  <c r="K176" i="14"/>
  <c r="L176" i="14"/>
  <c r="N176" i="14"/>
  <c r="O176" i="14"/>
  <c r="P176" i="14"/>
  <c r="S176" i="14" s="1"/>
  <c r="H175" i="14"/>
  <c r="I175" i="14"/>
  <c r="J175" i="14"/>
  <c r="K175" i="14"/>
  <c r="L175" i="14"/>
  <c r="M175" i="14"/>
  <c r="N175" i="14"/>
  <c r="O175" i="14"/>
  <c r="P175" i="14"/>
  <c r="S175" i="14" s="1"/>
  <c r="H170" i="14"/>
  <c r="I170" i="14"/>
  <c r="J170" i="14"/>
  <c r="K170" i="14"/>
  <c r="L170" i="14"/>
  <c r="M170" i="14"/>
  <c r="N170" i="14"/>
  <c r="O170" i="14"/>
  <c r="P170" i="14"/>
  <c r="H168" i="14"/>
  <c r="I168" i="14"/>
  <c r="J168" i="14"/>
  <c r="K168" i="14"/>
  <c r="L168" i="14"/>
  <c r="M168" i="14"/>
  <c r="N168" i="14"/>
  <c r="O168" i="14"/>
  <c r="P168" i="14"/>
  <c r="K166" i="14"/>
  <c r="L166" i="14"/>
  <c r="M166" i="14"/>
  <c r="N166" i="14"/>
  <c r="O166" i="14"/>
  <c r="P166" i="14"/>
  <c r="T166" i="14" s="1"/>
  <c r="H165" i="14"/>
  <c r="I165" i="14"/>
  <c r="J165" i="14"/>
  <c r="K165" i="14"/>
  <c r="L165" i="14"/>
  <c r="M165" i="14"/>
  <c r="N165" i="14"/>
  <c r="O165" i="14"/>
  <c r="P165" i="14"/>
  <c r="AL23" i="25"/>
  <c r="H277" i="14"/>
  <c r="S341" i="22"/>
  <c r="S287" i="22"/>
  <c r="S182" i="22"/>
  <c r="S75" i="22"/>
  <c r="P35" i="21"/>
  <c r="P34" i="21"/>
  <c r="P85" i="21"/>
  <c r="O145" i="21"/>
  <c r="O87" i="21"/>
  <c r="P31" i="21"/>
  <c r="O143" i="21"/>
  <c r="G63" i="14"/>
  <c r="AD23" i="41"/>
  <c r="O518" i="21"/>
  <c r="O578" i="21"/>
  <c r="P78" i="21"/>
  <c r="P76" i="21"/>
  <c r="P97" i="21"/>
  <c r="P75" i="21"/>
  <c r="P51" i="21"/>
  <c r="P48" i="21"/>
  <c r="P25" i="21"/>
  <c r="H96" i="14"/>
  <c r="P26" i="21"/>
  <c r="P4" i="21"/>
  <c r="AD21" i="41"/>
  <c r="AD14" i="41"/>
  <c r="O123" i="21"/>
  <c r="O131" i="21"/>
  <c r="G61" i="14"/>
  <c r="G31" i="14"/>
  <c r="D23" i="41"/>
  <c r="O516" i="21"/>
  <c r="Q23" i="41"/>
  <c r="O576" i="21"/>
  <c r="P49" i="21"/>
  <c r="P71" i="21"/>
  <c r="P29" i="21"/>
  <c r="P7" i="21"/>
  <c r="P27" i="21"/>
  <c r="P43" i="21"/>
  <c r="P44" i="21"/>
  <c r="Q207" i="19"/>
  <c r="Q51" i="19"/>
  <c r="R51" i="19"/>
  <c r="R90" i="19"/>
  <c r="R129" i="19"/>
  <c r="R168" i="19"/>
  <c r="R207" i="19"/>
  <c r="G414" i="14"/>
  <c r="F414" i="14"/>
  <c r="R193" i="19"/>
  <c r="D21" i="41"/>
  <c r="D14" i="41"/>
  <c r="D10" i="41"/>
  <c r="Q21" i="41"/>
  <c r="Q14" i="41"/>
  <c r="O496" i="21"/>
  <c r="O504" i="21"/>
  <c r="O497" i="21"/>
  <c r="O556" i="21"/>
  <c r="O564" i="21"/>
  <c r="S207" i="19"/>
  <c r="S168" i="19"/>
  <c r="S129" i="19"/>
  <c r="S90" i="19"/>
  <c r="S51" i="19"/>
  <c r="S480" i="19"/>
  <c r="S558" i="19"/>
  <c r="S519" i="19"/>
  <c r="I65" i="24" s="1"/>
  <c r="S339" i="19"/>
  <c r="S338" i="19" s="1"/>
  <c r="H460" i="14" s="1"/>
  <c r="S534" i="19"/>
  <c r="S495" i="19"/>
  <c r="S494" i="19" s="1"/>
  <c r="S222" i="19"/>
  <c r="S221" i="19" s="1"/>
  <c r="H373" i="14" s="1"/>
  <c r="S144" i="19"/>
  <c r="S143" i="19" s="1"/>
  <c r="G62" i="27" s="1"/>
  <c r="AL78" i="25"/>
  <c r="AL56" i="25"/>
  <c r="S94" i="10"/>
  <c r="S82" i="10"/>
  <c r="S93" i="10"/>
  <c r="S55" i="10"/>
  <c r="S46" i="10"/>
  <c r="H290" i="14"/>
  <c r="S655" i="19"/>
  <c r="H382" i="14"/>
  <c r="H414" i="14"/>
  <c r="S193" i="19"/>
  <c r="S77" i="10"/>
  <c r="S38" i="10"/>
  <c r="S31" i="10"/>
  <c r="I380" i="14"/>
  <c r="AK62" i="25"/>
  <c r="AK78" i="25"/>
  <c r="D285" i="14"/>
  <c r="C285" i="14"/>
  <c r="D284" i="14"/>
  <c r="C284" i="14"/>
  <c r="P4" i="23"/>
  <c r="F376" i="14"/>
  <c r="H376" i="14"/>
  <c r="I376" i="14"/>
  <c r="J376" i="14"/>
  <c r="K376" i="14"/>
  <c r="L376" i="14"/>
  <c r="N376" i="14"/>
  <c r="O376" i="14"/>
  <c r="D375" i="14"/>
  <c r="E375" i="14"/>
  <c r="F375" i="14"/>
  <c r="G375" i="14"/>
  <c r="H375" i="14"/>
  <c r="I375" i="14"/>
  <c r="J375" i="14"/>
  <c r="K375" i="14"/>
  <c r="L375" i="14"/>
  <c r="M375" i="14"/>
  <c r="N375" i="14"/>
  <c r="O375" i="14"/>
  <c r="P375" i="14"/>
  <c r="C375" i="14"/>
  <c r="D370" i="14"/>
  <c r="E370" i="14"/>
  <c r="F370" i="14"/>
  <c r="G370" i="14"/>
  <c r="H370" i="14"/>
  <c r="I370" i="14"/>
  <c r="J370" i="14"/>
  <c r="Q370" i="14" s="1"/>
  <c r="K370" i="14"/>
  <c r="L370" i="14"/>
  <c r="M370" i="14"/>
  <c r="N370" i="14"/>
  <c r="O370" i="14"/>
  <c r="P370" i="14"/>
  <c r="R192" i="19"/>
  <c r="S6" i="23"/>
  <c r="S10" i="28"/>
  <c r="R78" i="19"/>
  <c r="G350" i="14" s="1"/>
  <c r="R33" i="19"/>
  <c r="O245" i="21"/>
  <c r="R309" i="19"/>
  <c r="R270" i="19"/>
  <c r="G405" i="14" s="1"/>
  <c r="R358" i="22"/>
  <c r="R305" i="22"/>
  <c r="R231" i="19"/>
  <c r="G521" i="14"/>
  <c r="R252" i="22"/>
  <c r="R199" i="22"/>
  <c r="R93" i="22"/>
  <c r="R153" i="19"/>
  <c r="F65" i="27" s="1"/>
  <c r="O335" i="21"/>
  <c r="J335" i="21"/>
  <c r="R114" i="19"/>
  <c r="R75" i="19"/>
  <c r="G347" i="14" s="1"/>
  <c r="O275" i="21"/>
  <c r="J275" i="21"/>
  <c r="O215" i="21"/>
  <c r="O149" i="21"/>
  <c r="R543" i="19"/>
  <c r="R582" i="19"/>
  <c r="R504" i="19"/>
  <c r="M504" i="19" s="1"/>
  <c r="P78" i="19"/>
  <c r="P76" i="19" s="1"/>
  <c r="O78" i="19"/>
  <c r="N78" i="19"/>
  <c r="C350" i="14" s="1"/>
  <c r="N33" i="19"/>
  <c r="V247" i="14"/>
  <c r="U247" i="14"/>
  <c r="DC850" i="36"/>
  <c r="DC849" i="36"/>
  <c r="DH849" i="36"/>
  <c r="DD849" i="36"/>
  <c r="DC848" i="36"/>
  <c r="DH848" i="36"/>
  <c r="DG848" i="36"/>
  <c r="DF848" i="36"/>
  <c r="DD848" i="36"/>
  <c r="DC847" i="36"/>
  <c r="DH847" i="36"/>
  <c r="DG847" i="36"/>
  <c r="DE847" i="36"/>
  <c r="DD847" i="36"/>
  <c r="DH845" i="36"/>
  <c r="DG845" i="36"/>
  <c r="DF845" i="36"/>
  <c r="DE845" i="36"/>
  <c r="DD845" i="36"/>
  <c r="DC845" i="36"/>
  <c r="DH844" i="36"/>
  <c r="DG844" i="36"/>
  <c r="DF844" i="36"/>
  <c r="DE844" i="36"/>
  <c r="DD844" i="36"/>
  <c r="DC844" i="36"/>
  <c r="DH843" i="36"/>
  <c r="DG843" i="36"/>
  <c r="DF843" i="36"/>
  <c r="DE843" i="36"/>
  <c r="DD843" i="36"/>
  <c r="DC843" i="36"/>
  <c r="DC842" i="36"/>
  <c r="DD841" i="36"/>
  <c r="DC841" i="36"/>
  <c r="DE840" i="36"/>
  <c r="DC840" i="36"/>
  <c r="DH840" i="36"/>
  <c r="DG840" i="36"/>
  <c r="DF840" i="36"/>
  <c r="DD840" i="36"/>
  <c r="DC839" i="36"/>
  <c r="DC838" i="36"/>
  <c r="DG838" i="36"/>
  <c r="DF838" i="36"/>
  <c r="DE838" i="36"/>
  <c r="DD838" i="36"/>
  <c r="DC837" i="36"/>
  <c r="DC836" i="36"/>
  <c r="DH836" i="36"/>
  <c r="DE836" i="36"/>
  <c r="DD836" i="36"/>
  <c r="DH835" i="36"/>
  <c r="DG835" i="36"/>
  <c r="DF835" i="36"/>
  <c r="DE835" i="36"/>
  <c r="DD835" i="36"/>
  <c r="DC835" i="36"/>
  <c r="DH834" i="36"/>
  <c r="DG834" i="36"/>
  <c r="DF834" i="36"/>
  <c r="DE834" i="36"/>
  <c r="DD834" i="36"/>
  <c r="DC834" i="36"/>
  <c r="DH833" i="36"/>
  <c r="DG833" i="36"/>
  <c r="DF833" i="36"/>
  <c r="DE833" i="36"/>
  <c r="DD833" i="36"/>
  <c r="DC833" i="36"/>
  <c r="DH832" i="36"/>
  <c r="DG832" i="36"/>
  <c r="DF832" i="36"/>
  <c r="DE832" i="36"/>
  <c r="DD832" i="36"/>
  <c r="DC832" i="36"/>
  <c r="DC831" i="36"/>
  <c r="DD831" i="36"/>
  <c r="DC830" i="36"/>
  <c r="DC829" i="36"/>
  <c r="DC828" i="36"/>
  <c r="DC827" i="36"/>
  <c r="DC826" i="36"/>
  <c r="DC825" i="36"/>
  <c r="DC824" i="36"/>
  <c r="DC823" i="36"/>
  <c r="DD822" i="36"/>
  <c r="DC822" i="36"/>
  <c r="DC821" i="36"/>
  <c r="DC820" i="36"/>
  <c r="DC815" i="36"/>
  <c r="DC814" i="36"/>
  <c r="DH814" i="36"/>
  <c r="DG814" i="36"/>
  <c r="DE814" i="36"/>
  <c r="DD814" i="36"/>
  <c r="DC813" i="36"/>
  <c r="DD813" i="36"/>
  <c r="DC812" i="36"/>
  <c r="DH811" i="36"/>
  <c r="DG811" i="36"/>
  <c r="DF811" i="36"/>
  <c r="DE811" i="36"/>
  <c r="DD811" i="36"/>
  <c r="DH810" i="36"/>
  <c r="DG810" i="36"/>
  <c r="DF810" i="36"/>
  <c r="DE810" i="36"/>
  <c r="DD810" i="36"/>
  <c r="DC810" i="36"/>
  <c r="DH809" i="36"/>
  <c r="DG809" i="36"/>
  <c r="DF809" i="36"/>
  <c r="DE809" i="36"/>
  <c r="DD809" i="36"/>
  <c r="DC809" i="36"/>
  <c r="DH808" i="36"/>
  <c r="DG808" i="36"/>
  <c r="DF808" i="36"/>
  <c r="DE808" i="36"/>
  <c r="DD808" i="36"/>
  <c r="DC808" i="36"/>
  <c r="DC807" i="36"/>
  <c r="DD806" i="36"/>
  <c r="DC806" i="36"/>
  <c r="DC805" i="36"/>
  <c r="DD805" i="36"/>
  <c r="DC804" i="36"/>
  <c r="DC803" i="36"/>
  <c r="DD803" i="36"/>
  <c r="DC802" i="36"/>
  <c r="DD802" i="36"/>
  <c r="DC801" i="36"/>
  <c r="DD801" i="36"/>
  <c r="DH800" i="36"/>
  <c r="DG800" i="36"/>
  <c r="DF800" i="36"/>
  <c r="DE800" i="36"/>
  <c r="DD800" i="36"/>
  <c r="DC800" i="36"/>
  <c r="DH799" i="36"/>
  <c r="DG799" i="36"/>
  <c r="DF799" i="36"/>
  <c r="DE799" i="36"/>
  <c r="DD799" i="36"/>
  <c r="DC799" i="36"/>
  <c r="DH798" i="36"/>
  <c r="DG798" i="36"/>
  <c r="DF798" i="36"/>
  <c r="DE798" i="36"/>
  <c r="DD798" i="36"/>
  <c r="DC798" i="36"/>
  <c r="DH797" i="36"/>
  <c r="DG797" i="36"/>
  <c r="DF797" i="36"/>
  <c r="DE797" i="36"/>
  <c r="DD797" i="36"/>
  <c r="DC797" i="36"/>
  <c r="DD796" i="36"/>
  <c r="DC796" i="36"/>
  <c r="DC795" i="36"/>
  <c r="AS795" i="36"/>
  <c r="DD795" i="36"/>
  <c r="DC794" i="36"/>
  <c r="DC793" i="36"/>
  <c r="DC792" i="36"/>
  <c r="DC791" i="36"/>
  <c r="DC790" i="36"/>
  <c r="DC789" i="36"/>
  <c r="DC788" i="36"/>
  <c r="DD787" i="36"/>
  <c r="DC787" i="36"/>
  <c r="DC786" i="36"/>
  <c r="AS786" i="36"/>
  <c r="DC785" i="36"/>
  <c r="BE785" i="36"/>
  <c r="DD807" i="36"/>
  <c r="DC781" i="36"/>
  <c r="DC780" i="36"/>
  <c r="DH780" i="36"/>
  <c r="DF780" i="36"/>
  <c r="DD780" i="36"/>
  <c r="DC779" i="36"/>
  <c r="DG779" i="36"/>
  <c r="DE779" i="36"/>
  <c r="DD779" i="36"/>
  <c r="DC778" i="36"/>
  <c r="DH776" i="36"/>
  <c r="DG776" i="36"/>
  <c r="DF776" i="36"/>
  <c r="DE776" i="36"/>
  <c r="DD776" i="36"/>
  <c r="DC776" i="36"/>
  <c r="DH775" i="36"/>
  <c r="DG775" i="36"/>
  <c r="DF775" i="36"/>
  <c r="DE775" i="36"/>
  <c r="DD775" i="36"/>
  <c r="DC775" i="36"/>
  <c r="DH774" i="36"/>
  <c r="DG774" i="36"/>
  <c r="DF774" i="36"/>
  <c r="DE774" i="36"/>
  <c r="DD774" i="36"/>
  <c r="DC774" i="36"/>
  <c r="DC773" i="36"/>
  <c r="DC772" i="36"/>
  <c r="DD772" i="36"/>
  <c r="DD771" i="36"/>
  <c r="DC771" i="36"/>
  <c r="DF771" i="36"/>
  <c r="DC770" i="36"/>
  <c r="DC769" i="36"/>
  <c r="DD769" i="36"/>
  <c r="DC768" i="36"/>
  <c r="DD768" i="36"/>
  <c r="DC767" i="36"/>
  <c r="DH767" i="36"/>
  <c r="DF767" i="36"/>
  <c r="DE767" i="36"/>
  <c r="DH766" i="36"/>
  <c r="DG766" i="36"/>
  <c r="DF766" i="36"/>
  <c r="DE766" i="36"/>
  <c r="DD766" i="36"/>
  <c r="DC766" i="36"/>
  <c r="DH765" i="36"/>
  <c r="DG765" i="36"/>
  <c r="DF765" i="36"/>
  <c r="DE765" i="36"/>
  <c r="DD765" i="36"/>
  <c r="DC765" i="36"/>
  <c r="DH764" i="36"/>
  <c r="DG764" i="36"/>
  <c r="DF764" i="36"/>
  <c r="DE764" i="36"/>
  <c r="DD764" i="36"/>
  <c r="DC764" i="36"/>
  <c r="DH763" i="36"/>
  <c r="DG763" i="36"/>
  <c r="DF763" i="36"/>
  <c r="DE763" i="36"/>
  <c r="DD763" i="36"/>
  <c r="DC763" i="36"/>
  <c r="DC762" i="36"/>
  <c r="DD762" i="36"/>
  <c r="DC761" i="36"/>
  <c r="DC760" i="36"/>
  <c r="DC759" i="36"/>
  <c r="DC758" i="36"/>
  <c r="DC757" i="36"/>
  <c r="DC756" i="36"/>
  <c r="DC755" i="36"/>
  <c r="DC754" i="36"/>
  <c r="DD753" i="36"/>
  <c r="DC753" i="36"/>
  <c r="DC752" i="36"/>
  <c r="DC751" i="36"/>
  <c r="BQ751" i="36"/>
  <c r="DC743" i="36"/>
  <c r="DC742" i="36"/>
  <c r="DD741" i="36"/>
  <c r="DC741" i="36"/>
  <c r="DD740" i="36"/>
  <c r="DC740" i="36"/>
  <c r="CO740" i="36"/>
  <c r="CN740" i="36"/>
  <c r="CM740" i="36"/>
  <c r="CL740" i="36"/>
  <c r="CK740" i="36"/>
  <c r="CJ740" i="36"/>
  <c r="CI740" i="36"/>
  <c r="CH740" i="36"/>
  <c r="CG740" i="36"/>
  <c r="CF740" i="36"/>
  <c r="CE740" i="36"/>
  <c r="CD740" i="36"/>
  <c r="CC740" i="36"/>
  <c r="CB740" i="36"/>
  <c r="CA740" i="36"/>
  <c r="BZ740" i="36"/>
  <c r="BY740" i="36"/>
  <c r="BX740" i="36"/>
  <c r="BW740" i="36"/>
  <c r="BV740" i="36"/>
  <c r="BU740" i="36"/>
  <c r="BT740" i="36"/>
  <c r="BS740" i="36"/>
  <c r="BR740" i="36"/>
  <c r="DG740" i="36"/>
  <c r="BQ740" i="36"/>
  <c r="BP740" i="36"/>
  <c r="BO740" i="36"/>
  <c r="BN740" i="36"/>
  <c r="BM740" i="36"/>
  <c r="BL740" i="36"/>
  <c r="BK740" i="36"/>
  <c r="BJ740" i="36"/>
  <c r="BI740" i="36"/>
  <c r="BH740" i="36"/>
  <c r="BG740" i="36"/>
  <c r="BF740" i="36"/>
  <c r="DF740" i="36"/>
  <c r="BE740" i="36"/>
  <c r="BD740" i="36"/>
  <c r="BC740" i="36"/>
  <c r="BB740" i="36"/>
  <c r="BA740" i="36"/>
  <c r="AZ740" i="36"/>
  <c r="AY740" i="36"/>
  <c r="AX740" i="36"/>
  <c r="AW740" i="36"/>
  <c r="AV740" i="36"/>
  <c r="AU740" i="36"/>
  <c r="AT740" i="36"/>
  <c r="DE740" i="36"/>
  <c r="AS740" i="36"/>
  <c r="DC739" i="36"/>
  <c r="CO739" i="36"/>
  <c r="CN739" i="36"/>
  <c r="CM739" i="36"/>
  <c r="CL739" i="36"/>
  <c r="CK739" i="36"/>
  <c r="CJ739" i="36"/>
  <c r="CI739" i="36"/>
  <c r="CH739" i="36"/>
  <c r="CG739" i="36"/>
  <c r="CF739" i="36"/>
  <c r="CE739" i="36"/>
  <c r="CD739" i="36"/>
  <c r="CC739" i="36"/>
  <c r="CB739" i="36"/>
  <c r="CA739" i="36"/>
  <c r="BZ739" i="36"/>
  <c r="BY739" i="36"/>
  <c r="BX739" i="36"/>
  <c r="BW739" i="36"/>
  <c r="BV739" i="36"/>
  <c r="BU739" i="36"/>
  <c r="BT739" i="36"/>
  <c r="BS739" i="36"/>
  <c r="BR739" i="36"/>
  <c r="BQ739" i="36"/>
  <c r="BP739" i="36"/>
  <c r="BO739" i="36"/>
  <c r="BN739" i="36"/>
  <c r="BM739" i="36"/>
  <c r="BL739" i="36"/>
  <c r="BK739" i="36"/>
  <c r="BJ739" i="36"/>
  <c r="BI739" i="36"/>
  <c r="BH739" i="36"/>
  <c r="BG739" i="36"/>
  <c r="BF739" i="36"/>
  <c r="BE739" i="36"/>
  <c r="BD739" i="36"/>
  <c r="BC739" i="36"/>
  <c r="BB739" i="36"/>
  <c r="BA739" i="36"/>
  <c r="AZ739" i="36"/>
  <c r="AY739" i="36"/>
  <c r="AX739" i="36"/>
  <c r="AW739" i="36"/>
  <c r="AV739" i="36"/>
  <c r="AU739" i="36"/>
  <c r="AT739" i="36"/>
  <c r="DE739" i="36"/>
  <c r="AS739" i="36"/>
  <c r="DD739" i="36"/>
  <c r="DC738" i="36"/>
  <c r="CO738" i="36"/>
  <c r="CN738" i="36"/>
  <c r="CM738" i="36"/>
  <c r="CL738" i="36"/>
  <c r="CK738" i="36"/>
  <c r="CJ738" i="36"/>
  <c r="CI738" i="36"/>
  <c r="CH738" i="36"/>
  <c r="CG738" i="36"/>
  <c r="CF738" i="36"/>
  <c r="CE738" i="36"/>
  <c r="CD738" i="36"/>
  <c r="DH738" i="36"/>
  <c r="CC738" i="36"/>
  <c r="CB738" i="36"/>
  <c r="CA738" i="36"/>
  <c r="BZ738" i="36"/>
  <c r="BY738" i="36"/>
  <c r="BX738" i="36"/>
  <c r="BW738" i="36"/>
  <c r="BV738" i="36"/>
  <c r="BU738" i="36"/>
  <c r="BT738" i="36"/>
  <c r="BS738" i="36"/>
  <c r="BR738" i="36"/>
  <c r="BQ738" i="36"/>
  <c r="BP738" i="36"/>
  <c r="BO738" i="36"/>
  <c r="BN738" i="36"/>
  <c r="BM738" i="36"/>
  <c r="BL738" i="36"/>
  <c r="BK738" i="36"/>
  <c r="BJ738" i="36"/>
  <c r="BI738" i="36"/>
  <c r="BH738" i="36"/>
  <c r="BG738" i="36"/>
  <c r="BF738" i="36"/>
  <c r="DF738" i="36"/>
  <c r="BE738" i="36"/>
  <c r="BD738" i="36"/>
  <c r="BC738" i="36"/>
  <c r="BB738" i="36"/>
  <c r="BA738" i="36"/>
  <c r="AZ738" i="36"/>
  <c r="AY738" i="36"/>
  <c r="AX738" i="36"/>
  <c r="AW738" i="36"/>
  <c r="AV738" i="36"/>
  <c r="AU738" i="36"/>
  <c r="AT738" i="36"/>
  <c r="DE738" i="36"/>
  <c r="AS738" i="36"/>
  <c r="DD738" i="36"/>
  <c r="DC737" i="36"/>
  <c r="DD736" i="36"/>
  <c r="DC736" i="36"/>
  <c r="AS736" i="36"/>
  <c r="DC735" i="36"/>
  <c r="CO735" i="36"/>
  <c r="CN735" i="36"/>
  <c r="CM735" i="36"/>
  <c r="CL735" i="36"/>
  <c r="CK735" i="36"/>
  <c r="CJ735" i="36"/>
  <c r="CI735" i="36"/>
  <c r="CH735" i="36"/>
  <c r="CG735" i="36"/>
  <c r="CF735" i="36"/>
  <c r="CE735" i="36"/>
  <c r="CD735" i="36"/>
  <c r="DH735" i="36"/>
  <c r="CC735" i="36"/>
  <c r="CB735" i="36"/>
  <c r="CA735" i="36"/>
  <c r="BZ735" i="36"/>
  <c r="BY735" i="36"/>
  <c r="BX735" i="36"/>
  <c r="BW735" i="36"/>
  <c r="BV735" i="36"/>
  <c r="BU735" i="36"/>
  <c r="BT735" i="36"/>
  <c r="BS735" i="36"/>
  <c r="BR735" i="36"/>
  <c r="BQ735" i="36"/>
  <c r="BP735" i="36"/>
  <c r="BO735" i="36"/>
  <c r="BN735" i="36"/>
  <c r="BM735" i="36"/>
  <c r="BL735" i="36"/>
  <c r="BK735" i="36"/>
  <c r="BJ735" i="36"/>
  <c r="BI735" i="36"/>
  <c r="BH735" i="36"/>
  <c r="BG735" i="36"/>
  <c r="BF735" i="36"/>
  <c r="DF735" i="36"/>
  <c r="BE735" i="36"/>
  <c r="BD735" i="36"/>
  <c r="BC735" i="36"/>
  <c r="BB735" i="36"/>
  <c r="BA735" i="36"/>
  <c r="AZ735" i="36"/>
  <c r="AY735" i="36"/>
  <c r="AX735" i="36"/>
  <c r="AW735" i="36"/>
  <c r="AV735" i="36"/>
  <c r="AU735" i="36"/>
  <c r="AT735" i="36"/>
  <c r="AS735" i="36"/>
  <c r="DD735" i="36"/>
  <c r="DC734" i="36"/>
  <c r="DC733" i="36"/>
  <c r="CO733" i="36"/>
  <c r="CO28" i="36"/>
  <c r="CN733" i="36"/>
  <c r="CM733" i="36"/>
  <c r="CL733" i="36"/>
  <c r="CK733" i="36"/>
  <c r="CJ733" i="36"/>
  <c r="CI733" i="36"/>
  <c r="CH733" i="36"/>
  <c r="CG733" i="36"/>
  <c r="CG28" i="36"/>
  <c r="CF733" i="36"/>
  <c r="CE733" i="36"/>
  <c r="CD733" i="36"/>
  <c r="CC733" i="36"/>
  <c r="CB733" i="36"/>
  <c r="CA733" i="36"/>
  <c r="BZ733" i="36"/>
  <c r="BY733" i="36"/>
  <c r="BX733" i="36"/>
  <c r="BW733" i="36"/>
  <c r="BV733" i="36"/>
  <c r="BU733" i="36"/>
  <c r="BT733" i="36"/>
  <c r="BS733" i="36"/>
  <c r="BR733" i="36"/>
  <c r="BQ733" i="36"/>
  <c r="BQ28" i="36"/>
  <c r="BP733" i="36"/>
  <c r="BO733" i="36"/>
  <c r="BN733" i="36"/>
  <c r="BM733" i="36"/>
  <c r="BL733" i="36"/>
  <c r="BK733" i="36"/>
  <c r="BJ733" i="36"/>
  <c r="BI733" i="36"/>
  <c r="BH733" i="36"/>
  <c r="BG733" i="36"/>
  <c r="BF733" i="36"/>
  <c r="BE733" i="36"/>
  <c r="BD733" i="36"/>
  <c r="BC733" i="36"/>
  <c r="BB733" i="36"/>
  <c r="BA733" i="36"/>
  <c r="AZ733" i="36"/>
  <c r="AY733" i="36"/>
  <c r="AX733" i="36"/>
  <c r="AW733" i="36"/>
  <c r="AV733" i="36"/>
  <c r="AU733" i="36"/>
  <c r="AT733" i="36"/>
  <c r="AS733" i="36"/>
  <c r="DD733" i="36"/>
  <c r="DH732" i="36"/>
  <c r="DG732" i="36"/>
  <c r="DF732" i="36"/>
  <c r="DE732" i="36"/>
  <c r="DD732" i="36"/>
  <c r="DC732" i="36"/>
  <c r="DH729" i="36"/>
  <c r="DG729" i="36"/>
  <c r="DF729" i="36"/>
  <c r="DE729" i="36"/>
  <c r="DD729" i="36"/>
  <c r="DC729" i="36"/>
  <c r="DC728" i="36"/>
  <c r="AS728" i="36"/>
  <c r="DD728" i="36"/>
  <c r="DC727" i="36"/>
  <c r="CO727" i="36"/>
  <c r="CN727" i="36"/>
  <c r="CM727" i="36"/>
  <c r="CL727" i="36"/>
  <c r="CK727" i="36"/>
  <c r="CJ727" i="36"/>
  <c r="CI727" i="36"/>
  <c r="CH727" i="36"/>
  <c r="CG727" i="36"/>
  <c r="CF727" i="36"/>
  <c r="CE727" i="36"/>
  <c r="CD727" i="36"/>
  <c r="CC727" i="36"/>
  <c r="CB727" i="36"/>
  <c r="CA727" i="36"/>
  <c r="BZ727" i="36"/>
  <c r="BY727" i="36"/>
  <c r="BX727" i="36"/>
  <c r="BW727" i="36"/>
  <c r="BV727" i="36"/>
  <c r="BU727" i="36"/>
  <c r="BT727" i="36"/>
  <c r="BS727" i="36"/>
  <c r="BR727" i="36"/>
  <c r="BQ727" i="36"/>
  <c r="BP727" i="36"/>
  <c r="BO727" i="36"/>
  <c r="BN727" i="36"/>
  <c r="BM727" i="36"/>
  <c r="BL727" i="36"/>
  <c r="BK727" i="36"/>
  <c r="BJ727" i="36"/>
  <c r="BI727" i="36"/>
  <c r="BH727" i="36"/>
  <c r="BG727" i="36"/>
  <c r="BF727" i="36"/>
  <c r="BE727" i="36"/>
  <c r="BD727" i="36"/>
  <c r="BC727" i="36"/>
  <c r="BB727" i="36"/>
  <c r="BA727" i="36"/>
  <c r="AZ727" i="36"/>
  <c r="AY727" i="36"/>
  <c r="AX727" i="36"/>
  <c r="AW727" i="36"/>
  <c r="AV727" i="36"/>
  <c r="AU727" i="36"/>
  <c r="AT727" i="36"/>
  <c r="AS727" i="36"/>
  <c r="DD727" i="36"/>
  <c r="DC726" i="36"/>
  <c r="CO726" i="36"/>
  <c r="CN726" i="36"/>
  <c r="CM726" i="36"/>
  <c r="CL726" i="36"/>
  <c r="CK726" i="36"/>
  <c r="CJ726" i="36"/>
  <c r="CI726" i="36"/>
  <c r="CH726" i="36"/>
  <c r="CG726" i="36"/>
  <c r="CF726" i="36"/>
  <c r="CE726" i="36"/>
  <c r="CD726" i="36"/>
  <c r="CC726" i="36"/>
  <c r="CB726" i="36"/>
  <c r="CA726" i="36"/>
  <c r="BZ726" i="36"/>
  <c r="BY726" i="36"/>
  <c r="BX726" i="36"/>
  <c r="BW726" i="36"/>
  <c r="BV726" i="36"/>
  <c r="BU726" i="36"/>
  <c r="BT726" i="36"/>
  <c r="BS726" i="36"/>
  <c r="BR726" i="36"/>
  <c r="DG726" i="36"/>
  <c r="BQ726" i="36"/>
  <c r="BP726" i="36"/>
  <c r="BO726" i="36"/>
  <c r="BN726" i="36"/>
  <c r="BM726" i="36"/>
  <c r="BL726" i="36"/>
  <c r="BK726" i="36"/>
  <c r="BJ726" i="36"/>
  <c r="BI726" i="36"/>
  <c r="BH726" i="36"/>
  <c r="BG726" i="36"/>
  <c r="BF726" i="36"/>
  <c r="BE726" i="36"/>
  <c r="BD726" i="36"/>
  <c r="BC726" i="36"/>
  <c r="BB726" i="36"/>
  <c r="BA726" i="36"/>
  <c r="AZ726" i="36"/>
  <c r="AY726" i="36"/>
  <c r="AX726" i="36"/>
  <c r="AW726" i="36"/>
  <c r="AV726" i="36"/>
  <c r="DE726" i="36"/>
  <c r="AU726" i="36"/>
  <c r="AT726" i="36"/>
  <c r="AS726" i="36"/>
  <c r="DD726" i="36"/>
  <c r="DD725" i="36"/>
  <c r="DC725" i="36"/>
  <c r="CO725" i="36"/>
  <c r="CN725" i="36"/>
  <c r="CM725" i="36"/>
  <c r="CL725" i="36"/>
  <c r="CK725" i="36"/>
  <c r="CJ725" i="36"/>
  <c r="CI725" i="36"/>
  <c r="CH725" i="36"/>
  <c r="CG725" i="36"/>
  <c r="CF725" i="36"/>
  <c r="CE725" i="36"/>
  <c r="CD725" i="36"/>
  <c r="CC725" i="36"/>
  <c r="CB725" i="36"/>
  <c r="CA725" i="36"/>
  <c r="BZ725" i="36"/>
  <c r="BY725" i="36"/>
  <c r="BX725" i="36"/>
  <c r="BW725" i="36"/>
  <c r="BV725" i="36"/>
  <c r="BU725" i="36"/>
  <c r="BT725" i="36"/>
  <c r="BS725" i="36"/>
  <c r="BR725" i="36"/>
  <c r="DG725" i="36"/>
  <c r="BQ725" i="36"/>
  <c r="BP725" i="36"/>
  <c r="BO725" i="36"/>
  <c r="BN725" i="36"/>
  <c r="BM725" i="36"/>
  <c r="BL725" i="36"/>
  <c r="BK725" i="36"/>
  <c r="BJ725" i="36"/>
  <c r="BI725" i="36"/>
  <c r="BH725" i="36"/>
  <c r="BG725" i="36"/>
  <c r="BF725" i="36"/>
  <c r="BE725" i="36"/>
  <c r="BD725" i="36"/>
  <c r="BC725" i="36"/>
  <c r="BB725" i="36"/>
  <c r="BA725" i="36"/>
  <c r="AZ725" i="36"/>
  <c r="AY725" i="36"/>
  <c r="AX725" i="36"/>
  <c r="AW725" i="36"/>
  <c r="AV725" i="36"/>
  <c r="AU725" i="36"/>
  <c r="DE725" i="36"/>
  <c r="AT725" i="36"/>
  <c r="AS725" i="36"/>
  <c r="DD724" i="36"/>
  <c r="DC724" i="36"/>
  <c r="CO724" i="36"/>
  <c r="CN724" i="36"/>
  <c r="CM724" i="36"/>
  <c r="CL724" i="36"/>
  <c r="CK724" i="36"/>
  <c r="CJ724" i="36"/>
  <c r="CI724" i="36"/>
  <c r="CH724" i="36"/>
  <c r="CG724" i="36"/>
  <c r="CF724" i="36"/>
  <c r="CE724" i="36"/>
  <c r="DH724" i="36"/>
  <c r="CD724" i="36"/>
  <c r="CC724" i="36"/>
  <c r="CB724" i="36"/>
  <c r="CA724" i="36"/>
  <c r="BZ724" i="36"/>
  <c r="BY724" i="36"/>
  <c r="BX724" i="36"/>
  <c r="BW724" i="36"/>
  <c r="BV724" i="36"/>
  <c r="BU724" i="36"/>
  <c r="BT724" i="36"/>
  <c r="BS724" i="36"/>
  <c r="BR724" i="36"/>
  <c r="BQ724" i="36"/>
  <c r="BP724" i="36"/>
  <c r="BO724" i="36"/>
  <c r="BN724" i="36"/>
  <c r="BM724" i="36"/>
  <c r="BL724" i="36"/>
  <c r="BK724" i="36"/>
  <c r="BJ724" i="36"/>
  <c r="BI724" i="36"/>
  <c r="BH724" i="36"/>
  <c r="BG724" i="36"/>
  <c r="BF724" i="36"/>
  <c r="BE724" i="36"/>
  <c r="BD724" i="36"/>
  <c r="BC724" i="36"/>
  <c r="BB724" i="36"/>
  <c r="BA724" i="36"/>
  <c r="AZ724" i="36"/>
  <c r="AY724" i="36"/>
  <c r="AX724" i="36"/>
  <c r="AW724" i="36"/>
  <c r="AV724" i="36"/>
  <c r="AU724" i="36"/>
  <c r="AT724" i="36"/>
  <c r="AS724" i="36"/>
  <c r="DG723" i="36"/>
  <c r="DC723" i="36"/>
  <c r="CO723" i="36"/>
  <c r="CN723" i="36"/>
  <c r="CM723" i="36"/>
  <c r="CL723" i="36"/>
  <c r="CK723" i="36"/>
  <c r="CJ723" i="36"/>
  <c r="CI723" i="36"/>
  <c r="CH723" i="36"/>
  <c r="CG723" i="36"/>
  <c r="CF723" i="36"/>
  <c r="CE723" i="36"/>
  <c r="CD723" i="36"/>
  <c r="DH723" i="36"/>
  <c r="CC723" i="36"/>
  <c r="CB723" i="36"/>
  <c r="CA723" i="36"/>
  <c r="BZ723" i="36"/>
  <c r="BY723" i="36"/>
  <c r="BX723" i="36"/>
  <c r="BW723" i="36"/>
  <c r="BV723" i="36"/>
  <c r="BU723" i="36"/>
  <c r="BT723" i="36"/>
  <c r="BS723" i="36"/>
  <c r="BR723" i="36"/>
  <c r="BQ723" i="36"/>
  <c r="BP723" i="36"/>
  <c r="BO723" i="36"/>
  <c r="BN723" i="36"/>
  <c r="BM723" i="36"/>
  <c r="BL723" i="36"/>
  <c r="BK723" i="36"/>
  <c r="BJ723" i="36"/>
  <c r="BI723" i="36"/>
  <c r="BH723" i="36"/>
  <c r="BG723" i="36"/>
  <c r="BF723" i="36"/>
  <c r="BE723" i="36"/>
  <c r="BD723" i="36"/>
  <c r="BC723" i="36"/>
  <c r="BB723" i="36"/>
  <c r="BA723" i="36"/>
  <c r="AZ723" i="36"/>
  <c r="AY723" i="36"/>
  <c r="AX723" i="36"/>
  <c r="AW723" i="36"/>
  <c r="AV723" i="36"/>
  <c r="AU723" i="36"/>
  <c r="AT723" i="36"/>
  <c r="DE723" i="36"/>
  <c r="AS723" i="36"/>
  <c r="DC722" i="36"/>
  <c r="AS722" i="36"/>
  <c r="DD722" i="36"/>
  <c r="DC721" i="36"/>
  <c r="DC720" i="36"/>
  <c r="DC719" i="36"/>
  <c r="DC718" i="36"/>
  <c r="DC717" i="36"/>
  <c r="DC716" i="36"/>
  <c r="DC715" i="36"/>
  <c r="DC714" i="36"/>
  <c r="AS714" i="36"/>
  <c r="DD714" i="36"/>
  <c r="DD713" i="36"/>
  <c r="DC713" i="36"/>
  <c r="AS713" i="36"/>
  <c r="DC712" i="36"/>
  <c r="DC711" i="36"/>
  <c r="AS711" i="36"/>
  <c r="DD711" i="36"/>
  <c r="DD707" i="36"/>
  <c r="DC707" i="36"/>
  <c r="DD706" i="36"/>
  <c r="DC706" i="36"/>
  <c r="DD705" i="36"/>
  <c r="DC705" i="36"/>
  <c r="DD704" i="36"/>
  <c r="DC704" i="36"/>
  <c r="DD703" i="36"/>
  <c r="DC703" i="36"/>
  <c r="DD702" i="36"/>
  <c r="DC702" i="36"/>
  <c r="DH702" i="36"/>
  <c r="DG702" i="36"/>
  <c r="DF702" i="36"/>
  <c r="DE702" i="36"/>
  <c r="DD701" i="36"/>
  <c r="DC701" i="36"/>
  <c r="DD700" i="36"/>
  <c r="DC700" i="36"/>
  <c r="DI700" i="36"/>
  <c r="DH700" i="36"/>
  <c r="DG700" i="36"/>
  <c r="DF700" i="36"/>
  <c r="DE700" i="36"/>
  <c r="DD699" i="36"/>
  <c r="DC699" i="36"/>
  <c r="DE699" i="36"/>
  <c r="DD698" i="36"/>
  <c r="DC698" i="36"/>
  <c r="DD697" i="36"/>
  <c r="DD696" i="36"/>
  <c r="DD695" i="36"/>
  <c r="DC695" i="36"/>
  <c r="DI694" i="36"/>
  <c r="DH694" i="36"/>
  <c r="DG694" i="36"/>
  <c r="DF694" i="36"/>
  <c r="DE694" i="36"/>
  <c r="DD694" i="36"/>
  <c r="DC694" i="36"/>
  <c r="DI693" i="36"/>
  <c r="DH693" i="36"/>
  <c r="DG693" i="36"/>
  <c r="DF693" i="36"/>
  <c r="DE693" i="36"/>
  <c r="DD693" i="36"/>
  <c r="DC693" i="36"/>
  <c r="DD692" i="36"/>
  <c r="DC692" i="36"/>
  <c r="DD691" i="36"/>
  <c r="DC691" i="36"/>
  <c r="DF690" i="36"/>
  <c r="DD690" i="36"/>
  <c r="DC690" i="36"/>
  <c r="DI690" i="36"/>
  <c r="DG690" i="36"/>
  <c r="DE690" i="36"/>
  <c r="DD689" i="36"/>
  <c r="DC689" i="36"/>
  <c r="DD688" i="36"/>
  <c r="DC688" i="36"/>
  <c r="CQ706" i="36"/>
  <c r="CR706" i="36"/>
  <c r="CS706" i="36"/>
  <c r="CT706" i="36"/>
  <c r="CU706" i="36"/>
  <c r="CP706" i="36"/>
  <c r="CE706" i="36"/>
  <c r="CD706" i="36"/>
  <c r="BR706" i="36"/>
  <c r="BS706" i="36"/>
  <c r="BT706" i="36"/>
  <c r="BF706" i="36"/>
  <c r="BG706" i="36"/>
  <c r="AT706" i="36"/>
  <c r="AU706" i="36"/>
  <c r="AV706" i="36"/>
  <c r="DI687" i="36"/>
  <c r="DH687" i="36"/>
  <c r="DG687" i="36"/>
  <c r="DF687" i="36"/>
  <c r="DE687" i="36"/>
  <c r="DD687" i="36"/>
  <c r="DC687" i="36"/>
  <c r="DD686" i="36"/>
  <c r="DC686" i="36"/>
  <c r="DF686" i="36"/>
  <c r="DI685" i="36"/>
  <c r="DH685" i="36"/>
  <c r="DG685" i="36"/>
  <c r="DF685" i="36"/>
  <c r="DE685" i="36"/>
  <c r="DD685" i="36"/>
  <c r="DC685" i="36"/>
  <c r="DI684" i="36"/>
  <c r="DH684" i="36"/>
  <c r="DG684" i="36"/>
  <c r="DF684" i="36"/>
  <c r="DE684" i="36"/>
  <c r="DD684" i="36"/>
  <c r="DC684" i="36"/>
  <c r="DI683" i="36"/>
  <c r="DH683" i="36"/>
  <c r="DG683" i="36"/>
  <c r="DF683" i="36"/>
  <c r="DE683" i="36"/>
  <c r="DD683" i="36"/>
  <c r="DC683" i="36"/>
  <c r="DD682" i="36"/>
  <c r="DC682" i="36"/>
  <c r="DD681" i="36"/>
  <c r="DC681" i="36"/>
  <c r="DD680" i="36"/>
  <c r="DC680" i="36"/>
  <c r="DD679" i="36"/>
  <c r="DC679" i="36"/>
  <c r="DD678" i="36"/>
  <c r="DC678" i="36"/>
  <c r="DD677" i="36"/>
  <c r="DC677" i="36"/>
  <c r="DD676" i="36"/>
  <c r="DC676" i="36"/>
  <c r="DD675" i="36"/>
  <c r="DC675" i="36"/>
  <c r="DD674" i="36"/>
  <c r="DC674" i="36"/>
  <c r="DD673" i="36"/>
  <c r="DC673" i="36"/>
  <c r="DD672" i="36"/>
  <c r="DC672" i="36"/>
  <c r="DD671" i="36"/>
  <c r="DC671" i="36"/>
  <c r="AT671" i="36"/>
  <c r="DD670" i="36"/>
  <c r="DC670" i="36"/>
  <c r="CP670" i="36"/>
  <c r="CG670" i="36"/>
  <c r="CF670" i="36"/>
  <c r="CE670" i="36"/>
  <c r="CD670" i="36"/>
  <c r="BR670" i="36"/>
  <c r="BG670" i="36"/>
  <c r="BF670" i="36"/>
  <c r="AT670" i="36"/>
  <c r="DD667" i="36"/>
  <c r="DC667" i="36"/>
  <c r="DD665" i="36"/>
  <c r="DC665" i="36"/>
  <c r="DD664" i="36"/>
  <c r="DC664" i="36"/>
  <c r="DD663" i="36"/>
  <c r="DC663" i="36"/>
  <c r="DD662" i="36"/>
  <c r="DC662" i="36"/>
  <c r="DG662" i="36"/>
  <c r="DE662" i="36"/>
  <c r="DD661" i="36"/>
  <c r="DC661" i="36"/>
  <c r="DD660" i="36"/>
  <c r="DC660" i="36"/>
  <c r="DG660" i="36"/>
  <c r="DE660" i="36"/>
  <c r="DD659" i="36"/>
  <c r="DC659" i="36"/>
  <c r="DE659" i="36"/>
  <c r="DD658" i="36"/>
  <c r="DC658" i="36"/>
  <c r="DD656" i="36"/>
  <c r="DC656" i="36"/>
  <c r="DH655" i="36"/>
  <c r="DG655" i="36"/>
  <c r="DF655" i="36"/>
  <c r="DE655" i="36"/>
  <c r="DD655" i="36"/>
  <c r="DC655" i="36"/>
  <c r="DH654" i="36"/>
  <c r="DG654" i="36"/>
  <c r="DF654" i="36"/>
  <c r="DE654" i="36"/>
  <c r="DD654" i="36"/>
  <c r="DC654" i="36"/>
  <c r="DD653" i="36"/>
  <c r="DC653" i="36"/>
  <c r="DD652" i="36"/>
  <c r="DC652" i="36"/>
  <c r="DD651" i="36"/>
  <c r="DC651" i="36"/>
  <c r="DD650" i="36"/>
  <c r="DC650" i="36"/>
  <c r="DF649" i="36"/>
  <c r="DD649" i="36"/>
  <c r="DC649" i="36"/>
  <c r="CP666" i="36"/>
  <c r="CE666" i="36"/>
  <c r="CD666" i="36"/>
  <c r="BR666" i="36"/>
  <c r="BF666" i="36"/>
  <c r="BG666" i="36"/>
  <c r="AT666" i="36"/>
  <c r="DH648" i="36"/>
  <c r="DG648" i="36"/>
  <c r="DF648" i="36"/>
  <c r="DE648" i="36"/>
  <c r="DD648" i="36"/>
  <c r="DC648" i="36"/>
  <c r="DF647" i="36"/>
  <c r="DD647" i="36"/>
  <c r="DC647" i="36"/>
  <c r="DH647" i="36"/>
  <c r="DH646" i="36"/>
  <c r="DG646" i="36"/>
  <c r="DF646" i="36"/>
  <c r="DE646" i="36"/>
  <c r="DD646" i="36"/>
  <c r="DC646" i="36"/>
  <c r="DH645" i="36"/>
  <c r="DG645" i="36"/>
  <c r="DF645" i="36"/>
  <c r="DE645" i="36"/>
  <c r="DD645" i="36"/>
  <c r="DC645" i="36"/>
  <c r="DH644" i="36"/>
  <c r="DG644" i="36"/>
  <c r="DF644" i="36"/>
  <c r="DE644" i="36"/>
  <c r="DD644" i="36"/>
  <c r="DC644" i="36"/>
  <c r="DH643" i="36"/>
  <c r="DG643" i="36"/>
  <c r="DF643" i="36"/>
  <c r="DE643" i="36"/>
  <c r="DD643" i="36"/>
  <c r="DC643" i="36"/>
  <c r="DD642" i="36"/>
  <c r="DC642" i="36"/>
  <c r="DD641" i="36"/>
  <c r="DC641" i="36"/>
  <c r="BE641" i="36"/>
  <c r="DD640" i="36"/>
  <c r="DC640" i="36"/>
  <c r="DD639" i="36"/>
  <c r="DC639" i="36"/>
  <c r="DD638" i="36"/>
  <c r="DC638" i="36"/>
  <c r="DD637" i="36"/>
  <c r="DC637" i="36"/>
  <c r="DD636" i="36"/>
  <c r="DC636" i="36"/>
  <c r="DD635" i="36"/>
  <c r="DC635" i="36"/>
  <c r="DD634" i="36"/>
  <c r="DC634" i="36"/>
  <c r="DD633" i="36"/>
  <c r="DC633" i="36"/>
  <c r="BQ641" i="36"/>
  <c r="DD632" i="36"/>
  <c r="DC632" i="36"/>
  <c r="AT632" i="36"/>
  <c r="DD631" i="36"/>
  <c r="DC631" i="36"/>
  <c r="BQ631" i="36"/>
  <c r="CC631" i="36"/>
  <c r="BE631" i="36"/>
  <c r="DD628" i="36"/>
  <c r="DC628" i="36"/>
  <c r="DD627" i="36"/>
  <c r="DC627" i="36"/>
  <c r="DD626" i="36"/>
  <c r="DC626" i="36"/>
  <c r="DD625" i="36"/>
  <c r="DC625" i="36"/>
  <c r="DD624" i="36"/>
  <c r="DC624" i="36"/>
  <c r="DA624" i="36"/>
  <c r="DI624" i="36"/>
  <c r="CZ624" i="36"/>
  <c r="CY624" i="36"/>
  <c r="CX624" i="36"/>
  <c r="CW624" i="36"/>
  <c r="CV624" i="36"/>
  <c r="CU624" i="36"/>
  <c r="CT624" i="36"/>
  <c r="CS624" i="36"/>
  <c r="CR624" i="36"/>
  <c r="CQ624" i="36"/>
  <c r="CP624" i="36"/>
  <c r="CO624" i="36"/>
  <c r="DH624" i="36"/>
  <c r="CN624" i="36"/>
  <c r="CM624" i="36"/>
  <c r="CL624" i="36"/>
  <c r="CK624" i="36"/>
  <c r="CJ624" i="36"/>
  <c r="CI624" i="36"/>
  <c r="CH624" i="36"/>
  <c r="CG624" i="36"/>
  <c r="CF624" i="36"/>
  <c r="CE624" i="36"/>
  <c r="CD624" i="36"/>
  <c r="CC624" i="36"/>
  <c r="CB624" i="36"/>
  <c r="CA624" i="36"/>
  <c r="BZ624" i="36"/>
  <c r="BY624" i="36"/>
  <c r="BX624" i="36"/>
  <c r="BW624" i="36"/>
  <c r="BV624" i="36"/>
  <c r="BU624" i="36"/>
  <c r="BT624" i="36"/>
  <c r="BS624" i="36"/>
  <c r="BR624" i="36"/>
  <c r="BQ624" i="36"/>
  <c r="BP624" i="36"/>
  <c r="BO624" i="36"/>
  <c r="BN624" i="36"/>
  <c r="BM624" i="36"/>
  <c r="BL624" i="36"/>
  <c r="BK624" i="36"/>
  <c r="BJ624" i="36"/>
  <c r="BI624" i="36"/>
  <c r="BH624" i="36"/>
  <c r="BG624" i="36"/>
  <c r="BF624" i="36"/>
  <c r="BE624" i="36"/>
  <c r="BD624" i="36"/>
  <c r="BC624" i="36"/>
  <c r="BB624" i="36"/>
  <c r="BA624" i="36"/>
  <c r="AZ624" i="36"/>
  <c r="AY624" i="36"/>
  <c r="AX624" i="36"/>
  <c r="AW624" i="36"/>
  <c r="AV624" i="36"/>
  <c r="AU624" i="36"/>
  <c r="AT624" i="36"/>
  <c r="DD623" i="36"/>
  <c r="DC623" i="36"/>
  <c r="DA623" i="36"/>
  <c r="DI623" i="36"/>
  <c r="CZ623" i="36"/>
  <c r="CY623" i="36"/>
  <c r="CX623" i="36"/>
  <c r="CW623" i="36"/>
  <c r="CV623" i="36"/>
  <c r="CU623" i="36"/>
  <c r="CT623" i="36"/>
  <c r="CS623" i="36"/>
  <c r="CR623" i="36"/>
  <c r="CQ623" i="36"/>
  <c r="CP623" i="36"/>
  <c r="CO623" i="36"/>
  <c r="CN623" i="36"/>
  <c r="CM623" i="36"/>
  <c r="CL623" i="36"/>
  <c r="CK623" i="36"/>
  <c r="CJ623" i="36"/>
  <c r="CI623" i="36"/>
  <c r="CH623" i="36"/>
  <c r="CG623" i="36"/>
  <c r="CF623" i="36"/>
  <c r="CE623" i="36"/>
  <c r="CD623" i="36"/>
  <c r="CC623" i="36"/>
  <c r="DG623" i="36"/>
  <c r="CB623" i="36"/>
  <c r="CA623" i="36"/>
  <c r="BZ623" i="36"/>
  <c r="BY623" i="36"/>
  <c r="BX623" i="36"/>
  <c r="BW623" i="36"/>
  <c r="BV623" i="36"/>
  <c r="BU623" i="36"/>
  <c r="BT623" i="36"/>
  <c r="BS623" i="36"/>
  <c r="BR623" i="36"/>
  <c r="BQ623" i="36"/>
  <c r="DF623" i="36"/>
  <c r="BP623" i="36"/>
  <c r="BO623" i="36"/>
  <c r="BN623" i="36"/>
  <c r="BM623" i="36"/>
  <c r="BL623" i="36"/>
  <c r="BK623" i="36"/>
  <c r="BJ623" i="36"/>
  <c r="BI623" i="36"/>
  <c r="BH623" i="36"/>
  <c r="BG623" i="36"/>
  <c r="BF623" i="36"/>
  <c r="BE623" i="36"/>
  <c r="DE623" i="36"/>
  <c r="BD623" i="36"/>
  <c r="BC623" i="36"/>
  <c r="BB623" i="36"/>
  <c r="BA623" i="36"/>
  <c r="AZ623" i="36"/>
  <c r="AY623" i="36"/>
  <c r="AX623" i="36"/>
  <c r="AW623" i="36"/>
  <c r="AV623" i="36"/>
  <c r="AU623" i="36"/>
  <c r="AT623" i="36"/>
  <c r="DD622" i="36"/>
  <c r="DC622" i="36"/>
  <c r="DD621" i="36"/>
  <c r="DC621" i="36"/>
  <c r="DD620" i="36"/>
  <c r="DC620" i="36"/>
  <c r="DD619" i="36"/>
  <c r="DD618" i="36"/>
  <c r="DC618" i="36"/>
  <c r="DH617" i="36"/>
  <c r="DD617" i="36"/>
  <c r="DC617" i="36"/>
  <c r="DA617" i="36"/>
  <c r="CZ617" i="36"/>
  <c r="CY617" i="36"/>
  <c r="CX617" i="36"/>
  <c r="CW617" i="36"/>
  <c r="CV617" i="36"/>
  <c r="CU617" i="36"/>
  <c r="CT617" i="36"/>
  <c r="CS617" i="36"/>
  <c r="CR617" i="36"/>
  <c r="CQ617" i="36"/>
  <c r="CP617" i="36"/>
  <c r="DI617" i="36"/>
  <c r="CO617" i="36"/>
  <c r="CN617" i="36"/>
  <c r="CM617" i="36"/>
  <c r="CL617" i="36"/>
  <c r="CK617" i="36"/>
  <c r="CJ617" i="36"/>
  <c r="CI617" i="36"/>
  <c r="CH617" i="36"/>
  <c r="CG617" i="36"/>
  <c r="CF617" i="36"/>
  <c r="CE617" i="36"/>
  <c r="CD617" i="36"/>
  <c r="CC617" i="36"/>
  <c r="CB617" i="36"/>
  <c r="CA617" i="36"/>
  <c r="BZ617" i="36"/>
  <c r="BY617" i="36"/>
  <c r="BX617" i="36"/>
  <c r="BW617" i="36"/>
  <c r="BV617" i="36"/>
  <c r="BU617" i="36"/>
  <c r="BT617" i="36"/>
  <c r="BS617" i="36"/>
  <c r="BR617" i="36"/>
  <c r="DG617" i="36"/>
  <c r="BQ617" i="36"/>
  <c r="BP617" i="36"/>
  <c r="BO617" i="36"/>
  <c r="BN617" i="36"/>
  <c r="BM617" i="36"/>
  <c r="BL617" i="36"/>
  <c r="BK617" i="36"/>
  <c r="BJ617" i="36"/>
  <c r="BI617" i="36"/>
  <c r="BH617" i="36"/>
  <c r="BG617" i="36"/>
  <c r="BF617" i="36"/>
  <c r="BE617" i="36"/>
  <c r="BD617" i="36"/>
  <c r="BC617" i="36"/>
  <c r="BB617" i="36"/>
  <c r="BA617" i="36"/>
  <c r="AZ617" i="36"/>
  <c r="DE617" i="36"/>
  <c r="AY617" i="36"/>
  <c r="AX617" i="36"/>
  <c r="AW617" i="36"/>
  <c r="AV617" i="36"/>
  <c r="AU617" i="36"/>
  <c r="AT617" i="36"/>
  <c r="DD616" i="36"/>
  <c r="DC616" i="36"/>
  <c r="DA616" i="36"/>
  <c r="CZ616" i="36"/>
  <c r="CY616" i="36"/>
  <c r="CX616" i="36"/>
  <c r="CW616" i="36"/>
  <c r="CV616" i="36"/>
  <c r="CU616" i="36"/>
  <c r="CT616" i="36"/>
  <c r="CS616" i="36"/>
  <c r="CR616" i="36"/>
  <c r="DI616" i="36"/>
  <c r="CQ616" i="36"/>
  <c r="CP616" i="36"/>
  <c r="CO616" i="36"/>
  <c r="CN616" i="36"/>
  <c r="CM616" i="36"/>
  <c r="CL616" i="36"/>
  <c r="CK616" i="36"/>
  <c r="CJ616" i="36"/>
  <c r="CI616" i="36"/>
  <c r="CH616" i="36"/>
  <c r="CG616" i="36"/>
  <c r="CF616" i="36"/>
  <c r="CE616" i="36"/>
  <c r="CD616" i="36"/>
  <c r="DH616" i="36"/>
  <c r="CC616" i="36"/>
  <c r="CB616" i="36"/>
  <c r="CA616" i="36"/>
  <c r="BZ616" i="36"/>
  <c r="BY616" i="36"/>
  <c r="BX616" i="36"/>
  <c r="BW616" i="36"/>
  <c r="BV616" i="36"/>
  <c r="BU616" i="36"/>
  <c r="BT616" i="36"/>
  <c r="BS616" i="36"/>
  <c r="BR616" i="36"/>
  <c r="BQ616" i="36"/>
  <c r="BP616" i="36"/>
  <c r="BO616" i="36"/>
  <c r="BN616" i="36"/>
  <c r="BM616" i="36"/>
  <c r="BL616" i="36"/>
  <c r="BK616" i="36"/>
  <c r="BJ616" i="36"/>
  <c r="BI616" i="36"/>
  <c r="BH616" i="36"/>
  <c r="BG616" i="36"/>
  <c r="BF616" i="36"/>
  <c r="BE616" i="36"/>
  <c r="BD616" i="36"/>
  <c r="BC616" i="36"/>
  <c r="BB616" i="36"/>
  <c r="BA616" i="36"/>
  <c r="AZ616" i="36"/>
  <c r="AY616" i="36"/>
  <c r="AX616" i="36"/>
  <c r="AW616" i="36"/>
  <c r="AV616" i="36"/>
  <c r="AU616" i="36"/>
  <c r="AT616" i="36"/>
  <c r="DD615" i="36"/>
  <c r="DC615" i="36"/>
  <c r="DD614" i="36"/>
  <c r="DC614" i="36"/>
  <c r="AT614" i="36"/>
  <c r="DD613" i="36"/>
  <c r="DC613" i="36"/>
  <c r="DA613" i="36"/>
  <c r="CZ613" i="36"/>
  <c r="CX613" i="36"/>
  <c r="CW613" i="36"/>
  <c r="CV613" i="36"/>
  <c r="CU613" i="36"/>
  <c r="CT613" i="36"/>
  <c r="CS613" i="36"/>
  <c r="CR613" i="36"/>
  <c r="CP613" i="36"/>
  <c r="CO613" i="36"/>
  <c r="CN613" i="36"/>
  <c r="CM613" i="36"/>
  <c r="CL613" i="36"/>
  <c r="CK613" i="36"/>
  <c r="CJ613" i="36"/>
  <c r="CH613" i="36"/>
  <c r="CG613" i="36"/>
  <c r="CF613" i="36"/>
  <c r="CE613" i="36"/>
  <c r="CD613" i="36"/>
  <c r="CC613" i="36"/>
  <c r="CB613" i="36"/>
  <c r="BZ613" i="36"/>
  <c r="BY613" i="36"/>
  <c r="BX613" i="36"/>
  <c r="BW613" i="36"/>
  <c r="BV613" i="36"/>
  <c r="BU613" i="36"/>
  <c r="BT613" i="36"/>
  <c r="BR613" i="36"/>
  <c r="BQ613" i="36"/>
  <c r="BP613" i="36"/>
  <c r="BO613" i="36"/>
  <c r="BN613" i="36"/>
  <c r="BM613" i="36"/>
  <c r="BL613" i="36"/>
  <c r="BJ613" i="36"/>
  <c r="BI613" i="36"/>
  <c r="BH613" i="36"/>
  <c r="BG613" i="36"/>
  <c r="BF613" i="36"/>
  <c r="BE613" i="36"/>
  <c r="BD613" i="36"/>
  <c r="BB613" i="36"/>
  <c r="BA613" i="36"/>
  <c r="AZ613" i="36"/>
  <c r="AY613" i="36"/>
  <c r="AX613" i="36"/>
  <c r="AW613" i="36"/>
  <c r="AV613" i="36"/>
  <c r="AT613" i="36"/>
  <c r="DD612" i="36"/>
  <c r="DC612" i="36"/>
  <c r="DD611" i="36"/>
  <c r="DC611" i="36"/>
  <c r="DA611" i="36"/>
  <c r="CZ611" i="36"/>
  <c r="CY611" i="36"/>
  <c r="CX611" i="36"/>
  <c r="CW611" i="36"/>
  <c r="CV611" i="36"/>
  <c r="CU611" i="36"/>
  <c r="CT611" i="36"/>
  <c r="CS611" i="36"/>
  <c r="CR611" i="36"/>
  <c r="CQ611" i="36"/>
  <c r="CP611" i="36"/>
  <c r="CP627" i="36"/>
  <c r="CO611" i="36"/>
  <c r="CN611" i="36"/>
  <c r="CM611" i="36"/>
  <c r="CL611" i="36"/>
  <c r="CK611" i="36"/>
  <c r="CJ611" i="36"/>
  <c r="CI611" i="36"/>
  <c r="CH611" i="36"/>
  <c r="CG611" i="36"/>
  <c r="CF611" i="36"/>
  <c r="CE611" i="36"/>
  <c r="CD611" i="36"/>
  <c r="CD627" i="36"/>
  <c r="CC611" i="36"/>
  <c r="CB611" i="36"/>
  <c r="CA611" i="36"/>
  <c r="BZ611" i="36"/>
  <c r="BY611" i="36"/>
  <c r="BX611" i="36"/>
  <c r="BW611" i="36"/>
  <c r="BV611" i="36"/>
  <c r="BU611" i="36"/>
  <c r="BT611" i="36"/>
  <c r="BS611" i="36"/>
  <c r="BR611" i="36"/>
  <c r="BR627" i="36"/>
  <c r="BQ611" i="36"/>
  <c r="BP611" i="36"/>
  <c r="BO611" i="36"/>
  <c r="BN611" i="36"/>
  <c r="BM611" i="36"/>
  <c r="BL611" i="36"/>
  <c r="BK611" i="36"/>
  <c r="BJ611" i="36"/>
  <c r="BI611" i="36"/>
  <c r="BH611" i="36"/>
  <c r="BG611" i="36"/>
  <c r="BF611" i="36"/>
  <c r="BF627" i="36"/>
  <c r="BE611" i="36"/>
  <c r="BD611" i="36"/>
  <c r="BC611" i="36"/>
  <c r="BB611" i="36"/>
  <c r="BA611" i="36"/>
  <c r="AZ611" i="36"/>
  <c r="AY611" i="36"/>
  <c r="AX611" i="36"/>
  <c r="AW611" i="36"/>
  <c r="AV611" i="36"/>
  <c r="AU611" i="36"/>
  <c r="AT611" i="36"/>
  <c r="DI610" i="36"/>
  <c r="DH610" i="36"/>
  <c r="DG610" i="36"/>
  <c r="DF610" i="36"/>
  <c r="DE610" i="36"/>
  <c r="DD610" i="36"/>
  <c r="DC610" i="36"/>
  <c r="DI609" i="36"/>
  <c r="DI608" i="36"/>
  <c r="DI607" i="36"/>
  <c r="DH607" i="36"/>
  <c r="DG607" i="36"/>
  <c r="DF607" i="36"/>
  <c r="DE607" i="36"/>
  <c r="DD607" i="36"/>
  <c r="DC607" i="36"/>
  <c r="DD606" i="36"/>
  <c r="DC606" i="36"/>
  <c r="DA606" i="36"/>
  <c r="CZ606" i="36"/>
  <c r="CY606" i="36"/>
  <c r="CX606" i="36"/>
  <c r="CW606" i="36"/>
  <c r="CV606" i="36"/>
  <c r="CU606" i="36"/>
  <c r="CT606" i="36"/>
  <c r="CS606" i="36"/>
  <c r="CR606" i="36"/>
  <c r="DI606" i="36"/>
  <c r="CQ606" i="36"/>
  <c r="CP606" i="36"/>
  <c r="CO606" i="36"/>
  <c r="CN606" i="36"/>
  <c r="CM606" i="36"/>
  <c r="CL606" i="36"/>
  <c r="CK606" i="36"/>
  <c r="CJ606" i="36"/>
  <c r="CI606" i="36"/>
  <c r="CH606" i="36"/>
  <c r="CG606" i="36"/>
  <c r="CF606" i="36"/>
  <c r="CE606" i="36"/>
  <c r="CD606" i="36"/>
  <c r="CC606" i="36"/>
  <c r="CB606" i="36"/>
  <c r="CA606" i="36"/>
  <c r="BZ606" i="36"/>
  <c r="BY606" i="36"/>
  <c r="BX606" i="36"/>
  <c r="BW606" i="36"/>
  <c r="BV606" i="36"/>
  <c r="BU606" i="36"/>
  <c r="BT606" i="36"/>
  <c r="BS606" i="36"/>
  <c r="BR606" i="36"/>
  <c r="BQ606" i="36"/>
  <c r="BP606" i="36"/>
  <c r="BO606" i="36"/>
  <c r="BN606" i="36"/>
  <c r="BM606" i="36"/>
  <c r="BL606" i="36"/>
  <c r="BK606" i="36"/>
  <c r="BJ606" i="36"/>
  <c r="BI606" i="36"/>
  <c r="BH606" i="36"/>
  <c r="BG606" i="36"/>
  <c r="BF606" i="36"/>
  <c r="BE606" i="36"/>
  <c r="BD606" i="36"/>
  <c r="BC606" i="36"/>
  <c r="BB606" i="36"/>
  <c r="BA606" i="36"/>
  <c r="AZ606" i="36"/>
  <c r="AY606" i="36"/>
  <c r="AX606" i="36"/>
  <c r="AW606" i="36"/>
  <c r="AV606" i="36"/>
  <c r="AU606" i="36"/>
  <c r="AT606" i="36"/>
  <c r="DE606" i="36"/>
  <c r="DD605" i="36"/>
  <c r="DC605" i="36"/>
  <c r="DA605" i="36"/>
  <c r="CZ605" i="36"/>
  <c r="CY605" i="36"/>
  <c r="CX605" i="36"/>
  <c r="CW605" i="36"/>
  <c r="CV605" i="36"/>
  <c r="CU605" i="36"/>
  <c r="CT605" i="36"/>
  <c r="CS605" i="36"/>
  <c r="CR605" i="36"/>
  <c r="CQ605" i="36"/>
  <c r="CP605" i="36"/>
  <c r="CO605" i="36"/>
  <c r="CO21" i="36"/>
  <c r="CN605" i="36"/>
  <c r="CM605" i="36"/>
  <c r="CL605" i="36"/>
  <c r="CK605" i="36"/>
  <c r="CJ605" i="36"/>
  <c r="CI605" i="36"/>
  <c r="CH605" i="36"/>
  <c r="CG605" i="36"/>
  <c r="CG21" i="36"/>
  <c r="CF605" i="36"/>
  <c r="CE605" i="36"/>
  <c r="CD605" i="36"/>
  <c r="CC605" i="36"/>
  <c r="CB605" i="36"/>
  <c r="CA605" i="36"/>
  <c r="BZ605" i="36"/>
  <c r="BY605" i="36"/>
  <c r="BY21" i="36"/>
  <c r="BX605" i="36"/>
  <c r="BW605" i="36"/>
  <c r="BV605" i="36"/>
  <c r="BU605" i="36"/>
  <c r="BT605" i="36"/>
  <c r="BS605" i="36"/>
  <c r="BR605" i="36"/>
  <c r="BQ605" i="36"/>
  <c r="BP605" i="36"/>
  <c r="BO605" i="36"/>
  <c r="BN605" i="36"/>
  <c r="BM605" i="36"/>
  <c r="BL605" i="36"/>
  <c r="BK605" i="36"/>
  <c r="BJ605" i="36"/>
  <c r="BI605" i="36"/>
  <c r="DF605" i="36"/>
  <c r="BH605" i="36"/>
  <c r="BG605" i="36"/>
  <c r="BF605" i="36"/>
  <c r="BE605" i="36"/>
  <c r="BD605" i="36"/>
  <c r="BC605" i="36"/>
  <c r="BB605" i="36"/>
  <c r="BA605" i="36"/>
  <c r="BA21" i="36"/>
  <c r="AZ605" i="36"/>
  <c r="AY605" i="36"/>
  <c r="AX605" i="36"/>
  <c r="AW605" i="36"/>
  <c r="AV605" i="36"/>
  <c r="AU605" i="36"/>
  <c r="AT605" i="36"/>
  <c r="DD604" i="36"/>
  <c r="DC604" i="36"/>
  <c r="DA604" i="36"/>
  <c r="CZ604" i="36"/>
  <c r="CY604" i="36"/>
  <c r="CX604" i="36"/>
  <c r="CW604" i="36"/>
  <c r="CV604" i="36"/>
  <c r="CU604" i="36"/>
  <c r="CT604" i="36"/>
  <c r="CS604" i="36"/>
  <c r="CR604" i="36"/>
  <c r="CQ604" i="36"/>
  <c r="DI604" i="36"/>
  <c r="CP604" i="36"/>
  <c r="CO604" i="36"/>
  <c r="CN604" i="36"/>
  <c r="CM604" i="36"/>
  <c r="CL604" i="36"/>
  <c r="CK604" i="36"/>
  <c r="CJ604" i="36"/>
  <c r="CI604" i="36"/>
  <c r="CH604" i="36"/>
  <c r="CG604" i="36"/>
  <c r="CF604" i="36"/>
  <c r="CE604" i="36"/>
  <c r="CD604" i="36"/>
  <c r="DH604" i="36"/>
  <c r="CC604" i="36"/>
  <c r="CB604" i="36"/>
  <c r="CA604" i="36"/>
  <c r="BZ604" i="36"/>
  <c r="BY604" i="36"/>
  <c r="BX604" i="36"/>
  <c r="BW604" i="36"/>
  <c r="BV604" i="36"/>
  <c r="BU604" i="36"/>
  <c r="BT604" i="36"/>
  <c r="BS604" i="36"/>
  <c r="DG604" i="36"/>
  <c r="BR604" i="36"/>
  <c r="BQ604" i="36"/>
  <c r="BP604" i="36"/>
  <c r="BO604" i="36"/>
  <c r="BN604" i="36"/>
  <c r="BM604" i="36"/>
  <c r="BL604" i="36"/>
  <c r="BK604" i="36"/>
  <c r="BJ604" i="36"/>
  <c r="BI604" i="36"/>
  <c r="BH604" i="36"/>
  <c r="BG604" i="36"/>
  <c r="BF604" i="36"/>
  <c r="BE604" i="36"/>
  <c r="BD604" i="36"/>
  <c r="BC604" i="36"/>
  <c r="BB604" i="36"/>
  <c r="BA604" i="36"/>
  <c r="AZ604" i="36"/>
  <c r="AY604" i="36"/>
  <c r="AX604" i="36"/>
  <c r="AW604" i="36"/>
  <c r="AV604" i="36"/>
  <c r="AU604" i="36"/>
  <c r="DE604" i="36"/>
  <c r="AT604" i="36"/>
  <c r="DD603" i="36"/>
  <c r="DC603" i="36"/>
  <c r="DA603" i="36"/>
  <c r="CZ603" i="36"/>
  <c r="CY603" i="36"/>
  <c r="CX603" i="36"/>
  <c r="CW603" i="36"/>
  <c r="CV603" i="36"/>
  <c r="CU603" i="36"/>
  <c r="CT603" i="36"/>
  <c r="CS603" i="36"/>
  <c r="CR603" i="36"/>
  <c r="CQ603" i="36"/>
  <c r="CP603" i="36"/>
  <c r="CO603" i="36"/>
  <c r="CN603" i="36"/>
  <c r="CM603" i="36"/>
  <c r="CL603" i="36"/>
  <c r="CK603" i="36"/>
  <c r="CJ603" i="36"/>
  <c r="CI603" i="36"/>
  <c r="CH603" i="36"/>
  <c r="CG603" i="36"/>
  <c r="CF603" i="36"/>
  <c r="CE603" i="36"/>
  <c r="CD603" i="36"/>
  <c r="CC603" i="36"/>
  <c r="CB603" i="36"/>
  <c r="CA603" i="36"/>
  <c r="BZ603" i="36"/>
  <c r="BY603" i="36"/>
  <c r="BX603" i="36"/>
  <c r="BW603" i="36"/>
  <c r="BV603" i="36"/>
  <c r="BU603" i="36"/>
  <c r="BT603" i="36"/>
  <c r="BS603" i="36"/>
  <c r="BR603" i="36"/>
  <c r="BQ603" i="36"/>
  <c r="BP603" i="36"/>
  <c r="BO603" i="36"/>
  <c r="BN603" i="36"/>
  <c r="BM603" i="36"/>
  <c r="BL603" i="36"/>
  <c r="BK603" i="36"/>
  <c r="BJ603" i="36"/>
  <c r="BI603" i="36"/>
  <c r="BH603" i="36"/>
  <c r="BG603" i="36"/>
  <c r="BF603" i="36"/>
  <c r="BE603" i="36"/>
  <c r="BD603" i="36"/>
  <c r="BC603" i="36"/>
  <c r="BB603" i="36"/>
  <c r="BA603" i="36"/>
  <c r="AZ603" i="36"/>
  <c r="AY603" i="36"/>
  <c r="AX603" i="36"/>
  <c r="AW603" i="36"/>
  <c r="AV603" i="36"/>
  <c r="AU603" i="36"/>
  <c r="AT603" i="36"/>
  <c r="DD602" i="36"/>
  <c r="DC602" i="36"/>
  <c r="DA602" i="36"/>
  <c r="CZ602" i="36"/>
  <c r="CY602" i="36"/>
  <c r="CX602" i="36"/>
  <c r="CW602" i="36"/>
  <c r="CV602" i="36"/>
  <c r="CU602" i="36"/>
  <c r="CT602" i="36"/>
  <c r="CS602" i="36"/>
  <c r="CR602" i="36"/>
  <c r="CQ602" i="36"/>
  <c r="CP602" i="36"/>
  <c r="CO602" i="36"/>
  <c r="CN602" i="36"/>
  <c r="CM602" i="36"/>
  <c r="CL602" i="36"/>
  <c r="CK602" i="36"/>
  <c r="CJ602" i="36"/>
  <c r="CI602" i="36"/>
  <c r="CH602" i="36"/>
  <c r="CG602" i="36"/>
  <c r="CF602" i="36"/>
  <c r="CE602" i="36"/>
  <c r="DH602" i="36"/>
  <c r="CD602" i="36"/>
  <c r="CC602" i="36"/>
  <c r="CB602" i="36"/>
  <c r="CA602" i="36"/>
  <c r="BZ602" i="36"/>
  <c r="BY602" i="36"/>
  <c r="BX602" i="36"/>
  <c r="BW602" i="36"/>
  <c r="BV602" i="36"/>
  <c r="BU602" i="36"/>
  <c r="BT602" i="36"/>
  <c r="BS602" i="36"/>
  <c r="BR602" i="36"/>
  <c r="DG602" i="36"/>
  <c r="BQ602" i="36"/>
  <c r="BP602" i="36"/>
  <c r="BO602" i="36"/>
  <c r="BN602" i="36"/>
  <c r="BM602" i="36"/>
  <c r="BL602" i="36"/>
  <c r="BK602" i="36"/>
  <c r="BJ602" i="36"/>
  <c r="BI602" i="36"/>
  <c r="BH602" i="36"/>
  <c r="BG602" i="36"/>
  <c r="DF602" i="36"/>
  <c r="BF602" i="36"/>
  <c r="BE602" i="36"/>
  <c r="BD602" i="36"/>
  <c r="BC602" i="36"/>
  <c r="BB602" i="36"/>
  <c r="BA602" i="36"/>
  <c r="AZ602" i="36"/>
  <c r="AY602" i="36"/>
  <c r="AX602" i="36"/>
  <c r="AW602" i="36"/>
  <c r="AV602" i="36"/>
  <c r="AU602" i="36"/>
  <c r="AT602" i="36"/>
  <c r="DD601" i="36"/>
  <c r="DC601" i="36"/>
  <c r="DD600" i="36"/>
  <c r="DC600" i="36"/>
  <c r="BQ600" i="36"/>
  <c r="DD599" i="36"/>
  <c r="DC599" i="36"/>
  <c r="DD598" i="36"/>
  <c r="DC598" i="36"/>
  <c r="DD597" i="36"/>
  <c r="DC597" i="36"/>
  <c r="DD596" i="36"/>
  <c r="DC596" i="36"/>
  <c r="DD595" i="36"/>
  <c r="DC595" i="36"/>
  <c r="DD594" i="36"/>
  <c r="DC594" i="36"/>
  <c r="DD593" i="36"/>
  <c r="DC593" i="36"/>
  <c r="DD592" i="36"/>
  <c r="DC592" i="36"/>
  <c r="DD591" i="36"/>
  <c r="DC591" i="36"/>
  <c r="BQ591" i="36"/>
  <c r="BE591" i="36"/>
  <c r="DD590" i="36"/>
  <c r="DC590" i="36"/>
  <c r="AT590" i="36"/>
  <c r="DD589" i="36"/>
  <c r="DC589" i="36"/>
  <c r="CC589" i="36"/>
  <c r="BQ589" i="36"/>
  <c r="BE589" i="36"/>
  <c r="AT589" i="36"/>
  <c r="DC584" i="36"/>
  <c r="DC582" i="36"/>
  <c r="DC581" i="36"/>
  <c r="DC580" i="36"/>
  <c r="DI580" i="36"/>
  <c r="DF580" i="36"/>
  <c r="DC579" i="36"/>
  <c r="DH579" i="36"/>
  <c r="DG579" i="36"/>
  <c r="DF579" i="36"/>
  <c r="DE579" i="36"/>
  <c r="DC578" i="36"/>
  <c r="DI577" i="36"/>
  <c r="DH577" i="36"/>
  <c r="DG577" i="36"/>
  <c r="DF577" i="36"/>
  <c r="DE577" i="36"/>
  <c r="DD577" i="36"/>
  <c r="DC577" i="36"/>
  <c r="DI576" i="36"/>
  <c r="DH576" i="36"/>
  <c r="DG576" i="36"/>
  <c r="DF576" i="36"/>
  <c r="DE576" i="36"/>
  <c r="DD576" i="36"/>
  <c r="DC576" i="36"/>
  <c r="DC575" i="36"/>
  <c r="DD574" i="36"/>
  <c r="DC574" i="36"/>
  <c r="DD573" i="36"/>
  <c r="DC572" i="36"/>
  <c r="DI571" i="36"/>
  <c r="DH571" i="36"/>
  <c r="DG571" i="36"/>
  <c r="DF571" i="36"/>
  <c r="DE571" i="36"/>
  <c r="DD571" i="36"/>
  <c r="DC571" i="36"/>
  <c r="DI570" i="36"/>
  <c r="DH570" i="36"/>
  <c r="DG570" i="36"/>
  <c r="DF570" i="36"/>
  <c r="DE570" i="36"/>
  <c r="DD570" i="36"/>
  <c r="DC570" i="36"/>
  <c r="DC569" i="36"/>
  <c r="DD569" i="36"/>
  <c r="DC568" i="36"/>
  <c r="DC567" i="36"/>
  <c r="DC566" i="36"/>
  <c r="DD565" i="36"/>
  <c r="DC565" i="36"/>
  <c r="CQ583" i="36"/>
  <c r="CP583" i="36"/>
  <c r="CD583" i="36"/>
  <c r="BS583" i="36"/>
  <c r="BR583" i="36"/>
  <c r="BF583" i="36"/>
  <c r="AU583" i="36"/>
  <c r="AT583" i="36"/>
  <c r="AS583" i="36"/>
  <c r="DD583" i="36"/>
  <c r="AR583" i="36"/>
  <c r="DC564" i="36"/>
  <c r="DF563" i="36"/>
  <c r="DC563" i="36"/>
  <c r="DD563" i="36"/>
  <c r="DC562" i="36"/>
  <c r="DC561" i="36"/>
  <c r="DI560" i="36"/>
  <c r="DH560" i="36"/>
  <c r="DG560" i="36"/>
  <c r="DF560" i="36"/>
  <c r="DE560" i="36"/>
  <c r="DD560" i="36"/>
  <c r="DC560" i="36"/>
  <c r="DD559" i="36"/>
  <c r="DC559" i="36"/>
  <c r="DH559" i="36"/>
  <c r="DG559" i="36"/>
  <c r="DF559" i="36"/>
  <c r="DE559" i="36"/>
  <c r="DC558" i="36"/>
  <c r="DC557" i="36"/>
  <c r="DI556" i="36"/>
  <c r="DH556" i="36"/>
  <c r="DG556" i="36"/>
  <c r="DF556" i="36"/>
  <c r="DE556" i="36"/>
  <c r="DD556" i="36"/>
  <c r="DC556" i="36"/>
  <c r="DI555" i="36"/>
  <c r="DH555" i="36"/>
  <c r="DG555" i="36"/>
  <c r="DF555" i="36"/>
  <c r="DE555" i="36"/>
  <c r="DD555" i="36"/>
  <c r="DC555" i="36"/>
  <c r="DI554" i="36"/>
  <c r="DH554" i="36"/>
  <c r="DG554" i="36"/>
  <c r="DF554" i="36"/>
  <c r="DE554" i="36"/>
  <c r="DD554" i="36"/>
  <c r="DC554" i="36"/>
  <c r="DC553" i="36"/>
  <c r="DC552" i="36"/>
  <c r="DC551" i="36"/>
  <c r="DC550" i="36"/>
  <c r="DC549" i="36"/>
  <c r="DC548" i="36"/>
  <c r="DC547" i="36"/>
  <c r="DC546" i="36"/>
  <c r="DC545" i="36"/>
  <c r="DC544" i="36"/>
  <c r="DC543" i="36"/>
  <c r="DC542" i="36"/>
  <c r="DC541" i="36"/>
  <c r="DC540" i="36"/>
  <c r="AR540" i="36"/>
  <c r="DD539" i="36"/>
  <c r="DC539" i="36"/>
  <c r="CP539" i="36"/>
  <c r="CE539" i="36"/>
  <c r="CD539" i="36"/>
  <c r="BS539" i="36"/>
  <c r="BR539" i="36"/>
  <c r="BE539" i="36"/>
  <c r="DC535" i="36"/>
  <c r="DC533" i="36"/>
  <c r="DC532" i="36"/>
  <c r="DC531" i="36"/>
  <c r="DF531" i="36"/>
  <c r="DC530" i="36"/>
  <c r="DI530" i="36"/>
  <c r="DH530" i="36"/>
  <c r="DC529" i="36"/>
  <c r="DC528" i="36"/>
  <c r="DH528" i="36"/>
  <c r="DF528" i="36"/>
  <c r="DD528" i="36"/>
  <c r="DH527" i="36"/>
  <c r="DC527" i="36"/>
  <c r="DI527" i="36"/>
  <c r="DG527" i="36"/>
  <c r="DF527" i="36"/>
  <c r="DE527" i="36"/>
  <c r="DD527" i="36"/>
  <c r="DC526" i="36"/>
  <c r="DD525" i="36"/>
  <c r="DC525" i="36"/>
  <c r="DD524" i="36"/>
  <c r="DC523" i="36"/>
  <c r="DI522" i="36"/>
  <c r="DH522" i="36"/>
  <c r="DG522" i="36"/>
  <c r="DF522" i="36"/>
  <c r="DE522" i="36"/>
  <c r="DD522" i="36"/>
  <c r="DC522" i="36"/>
  <c r="DI521" i="36"/>
  <c r="DH521" i="36"/>
  <c r="DG521" i="36"/>
  <c r="DF521" i="36"/>
  <c r="DE521" i="36"/>
  <c r="DD521" i="36"/>
  <c r="DC521" i="36"/>
  <c r="DC520" i="36"/>
  <c r="DD520" i="36"/>
  <c r="DC519" i="36"/>
  <c r="DD518" i="36"/>
  <c r="DC518" i="36"/>
  <c r="DC517" i="36"/>
  <c r="DF516" i="36"/>
  <c r="DC516" i="36"/>
  <c r="CQ534" i="36"/>
  <c r="CR534" i="36"/>
  <c r="CP534" i="36"/>
  <c r="CD534" i="36"/>
  <c r="CE534" i="36"/>
  <c r="BR534" i="36"/>
  <c r="BS534" i="36"/>
  <c r="BF534" i="36"/>
  <c r="BG534" i="36"/>
  <c r="AT534" i="36"/>
  <c r="AU534" i="36"/>
  <c r="AV534" i="36"/>
  <c r="AR534" i="36"/>
  <c r="DC515" i="36"/>
  <c r="DC514" i="36"/>
  <c r="DH514" i="36"/>
  <c r="DE514" i="36"/>
  <c r="DD514" i="36"/>
  <c r="DC513" i="36"/>
  <c r="DC512" i="36"/>
  <c r="DI511" i="36"/>
  <c r="DH511" i="36"/>
  <c r="DG511" i="36"/>
  <c r="DF511" i="36"/>
  <c r="DE511" i="36"/>
  <c r="DD511" i="36"/>
  <c r="DC511" i="36"/>
  <c r="DC510" i="36"/>
  <c r="DH510" i="36"/>
  <c r="DF510" i="36"/>
  <c r="DD510" i="36"/>
  <c r="DC509" i="36"/>
  <c r="DC508" i="36"/>
  <c r="DI507" i="36"/>
  <c r="DH507" i="36"/>
  <c r="DG507" i="36"/>
  <c r="DF507" i="36"/>
  <c r="DE507" i="36"/>
  <c r="DD507" i="36"/>
  <c r="DC507" i="36"/>
  <c r="DI506" i="36"/>
  <c r="DH506" i="36"/>
  <c r="DG506" i="36"/>
  <c r="DF506" i="36"/>
  <c r="DE506" i="36"/>
  <c r="DD506" i="36"/>
  <c r="DC506" i="36"/>
  <c r="DI505" i="36"/>
  <c r="DH505" i="36"/>
  <c r="DG505" i="36"/>
  <c r="DF505" i="36"/>
  <c r="DE505" i="36"/>
  <c r="DD505" i="36"/>
  <c r="DC505" i="36"/>
  <c r="DC504" i="36"/>
  <c r="DC503" i="36"/>
  <c r="DC502" i="36"/>
  <c r="DC501" i="36"/>
  <c r="DC500" i="36"/>
  <c r="DC499" i="36"/>
  <c r="DC498" i="36"/>
  <c r="DC497" i="36"/>
  <c r="DC496" i="36"/>
  <c r="DC495" i="36"/>
  <c r="DC494" i="36"/>
  <c r="DC493" i="36"/>
  <c r="DC492" i="36"/>
  <c r="DD491" i="36"/>
  <c r="DC491" i="36"/>
  <c r="AT491" i="36"/>
  <c r="AS491" i="36"/>
  <c r="AR491" i="36"/>
  <c r="DD490" i="36"/>
  <c r="DC490" i="36"/>
  <c r="CR490" i="36"/>
  <c r="CQ490" i="36"/>
  <c r="CP490" i="36"/>
  <c r="CE490" i="36"/>
  <c r="CD490" i="36"/>
  <c r="BQ490" i="36"/>
  <c r="BF490" i="36"/>
  <c r="AV490" i="36"/>
  <c r="AU490" i="36"/>
  <c r="AT490" i="36"/>
  <c r="DC487" i="36"/>
  <c r="DC486" i="36"/>
  <c r="AM486" i="36"/>
  <c r="AM487" i="36"/>
  <c r="AL486" i="36"/>
  <c r="AL487" i="36"/>
  <c r="AK486" i="36"/>
  <c r="AK487" i="36"/>
  <c r="DC485" i="36"/>
  <c r="DC484" i="36"/>
  <c r="DC483" i="36"/>
  <c r="DH483" i="36"/>
  <c r="DD483" i="36"/>
  <c r="AQ485" i="36"/>
  <c r="AP485" i="36"/>
  <c r="AM485" i="36"/>
  <c r="AL485" i="36"/>
  <c r="AK485" i="36"/>
  <c r="DC482" i="36"/>
  <c r="AQ484" i="36"/>
  <c r="AP484" i="36"/>
  <c r="AM484" i="36"/>
  <c r="AL484" i="36"/>
  <c r="AK484" i="36"/>
  <c r="DC481" i="36"/>
  <c r="DC480" i="36"/>
  <c r="DH480" i="36"/>
  <c r="DF480" i="36"/>
  <c r="DD480" i="36"/>
  <c r="DE479" i="36"/>
  <c r="DC479" i="36"/>
  <c r="DI479" i="36"/>
  <c r="DH479" i="36"/>
  <c r="DG479" i="36"/>
  <c r="DF479" i="36"/>
  <c r="DC478" i="36"/>
  <c r="DD477" i="36"/>
  <c r="DC477" i="36"/>
  <c r="DD476" i="36"/>
  <c r="DC475" i="36"/>
  <c r="DI474" i="36"/>
  <c r="DH474" i="36"/>
  <c r="DG474" i="36"/>
  <c r="DF474" i="36"/>
  <c r="DE474" i="36"/>
  <c r="DD474" i="36"/>
  <c r="DC474" i="36"/>
  <c r="DI473" i="36"/>
  <c r="DH473" i="36"/>
  <c r="DG473" i="36"/>
  <c r="DF473" i="36"/>
  <c r="DE473" i="36"/>
  <c r="DD473" i="36"/>
  <c r="DC473" i="36"/>
  <c r="DC472" i="36"/>
  <c r="DD472" i="36"/>
  <c r="DC471" i="36"/>
  <c r="DC470" i="36"/>
  <c r="DD470" i="36"/>
  <c r="DC469" i="36"/>
  <c r="AP469" i="36"/>
  <c r="AO469" i="36"/>
  <c r="AN469" i="36"/>
  <c r="AM469" i="36"/>
  <c r="AL469" i="36"/>
  <c r="AK469" i="36"/>
  <c r="DC468" i="36"/>
  <c r="CQ486" i="36"/>
  <c r="CP486" i="36"/>
  <c r="AT486" i="36"/>
  <c r="DC467" i="36"/>
  <c r="DC466" i="36"/>
  <c r="DI466" i="36"/>
  <c r="DG466" i="36"/>
  <c r="DE466" i="36"/>
  <c r="DD466" i="36"/>
  <c r="DC465" i="36"/>
  <c r="DC464" i="36"/>
  <c r="DI463" i="36"/>
  <c r="DH463" i="36"/>
  <c r="DG463" i="36"/>
  <c r="DF463" i="36"/>
  <c r="DE463" i="36"/>
  <c r="DD463" i="36"/>
  <c r="DC463" i="36"/>
  <c r="DC462" i="36"/>
  <c r="DI462" i="36"/>
  <c r="DG462" i="36"/>
  <c r="DE462" i="36"/>
  <c r="DD462" i="36"/>
  <c r="DC461" i="36"/>
  <c r="DC460" i="36"/>
  <c r="DI459" i="36"/>
  <c r="DH459" i="36"/>
  <c r="DG459" i="36"/>
  <c r="DF459" i="36"/>
  <c r="DE459" i="36"/>
  <c r="DD459" i="36"/>
  <c r="DC459" i="36"/>
  <c r="DI458" i="36"/>
  <c r="DH458" i="36"/>
  <c r="DG458" i="36"/>
  <c r="DF458" i="36"/>
  <c r="DE458" i="36"/>
  <c r="DD458" i="36"/>
  <c r="DC458" i="36"/>
  <c r="DI457" i="36"/>
  <c r="DH457" i="36"/>
  <c r="DG457" i="36"/>
  <c r="DF457" i="36"/>
  <c r="DE457" i="36"/>
  <c r="DD457" i="36"/>
  <c r="DC457" i="36"/>
  <c r="DC456" i="36"/>
  <c r="AP456" i="36"/>
  <c r="AP450" i="36"/>
  <c r="AO456" i="36"/>
  <c r="AN456" i="36"/>
  <c r="AM456" i="36"/>
  <c r="AL456" i="36"/>
  <c r="AK456" i="36"/>
  <c r="DC455" i="36"/>
  <c r="DC454" i="36"/>
  <c r="DC453" i="36"/>
  <c r="AP453" i="36"/>
  <c r="AP452" i="36"/>
  <c r="AP481" i="36"/>
  <c r="AO453" i="36"/>
  <c r="AN453" i="36"/>
  <c r="AM453" i="36"/>
  <c r="AL453" i="36"/>
  <c r="AK453" i="36"/>
  <c r="DC452" i="36"/>
  <c r="AO452" i="36"/>
  <c r="AO481" i="36"/>
  <c r="AN452" i="36"/>
  <c r="AN481" i="36"/>
  <c r="AM452" i="36"/>
  <c r="AM481" i="36"/>
  <c r="AK452" i="36"/>
  <c r="DC451" i="36"/>
  <c r="AQ451" i="36"/>
  <c r="AP451" i="36"/>
  <c r="AO451" i="36"/>
  <c r="AN451" i="36"/>
  <c r="AM451" i="36"/>
  <c r="AL451" i="36"/>
  <c r="AK451" i="36"/>
  <c r="DC450" i="36"/>
  <c r="AO450" i="36"/>
  <c r="AN450" i="36"/>
  <c r="AM450" i="36"/>
  <c r="AK450" i="36"/>
  <c r="DC449" i="36"/>
  <c r="DC448" i="36"/>
  <c r="DC447" i="36"/>
  <c r="AL447" i="36"/>
  <c r="AK447" i="36"/>
  <c r="DC446" i="36"/>
  <c r="DC445" i="36"/>
  <c r="DC444" i="36"/>
  <c r="DC443" i="36"/>
  <c r="AR443" i="36"/>
  <c r="DD442" i="36"/>
  <c r="DC442" i="36"/>
  <c r="CP442" i="36"/>
  <c r="CE442" i="36"/>
  <c r="CD442" i="36"/>
  <c r="BR442" i="36"/>
  <c r="BG442" i="36"/>
  <c r="BF442" i="36"/>
  <c r="AT442" i="36"/>
  <c r="DC439" i="36"/>
  <c r="DC438" i="36"/>
  <c r="DC437" i="36"/>
  <c r="DC436" i="36"/>
  <c r="DC435" i="36"/>
  <c r="AQ435" i="36"/>
  <c r="AQ437" i="36"/>
  <c r="AP435" i="36"/>
  <c r="AM435" i="36"/>
  <c r="AM48" i="36"/>
  <c r="AM50" i="36"/>
  <c r="AL435" i="36"/>
  <c r="AK435" i="36"/>
  <c r="DC434" i="36"/>
  <c r="AQ434" i="36"/>
  <c r="AP434" i="36"/>
  <c r="AM434" i="36"/>
  <c r="AL434" i="36"/>
  <c r="AK434" i="36"/>
  <c r="AK47" i="36"/>
  <c r="AK49" i="36"/>
  <c r="DC433" i="36"/>
  <c r="AP432" i="36"/>
  <c r="AO432" i="36"/>
  <c r="AN432" i="36"/>
  <c r="AM432" i="36"/>
  <c r="AL432" i="36"/>
  <c r="AK432" i="36"/>
  <c r="DD431" i="36"/>
  <c r="DC431" i="36"/>
  <c r="DD430" i="36"/>
  <c r="DC430" i="36"/>
  <c r="DC429" i="36"/>
  <c r="AQ429" i="36"/>
  <c r="AP429" i="36"/>
  <c r="AO429" i="36"/>
  <c r="AN429" i="36"/>
  <c r="AM429" i="36"/>
  <c r="AL429" i="36"/>
  <c r="AK429" i="36"/>
  <c r="DC428" i="36"/>
  <c r="DA428" i="36"/>
  <c r="CZ428" i="36"/>
  <c r="CY428" i="36"/>
  <c r="CX428" i="36"/>
  <c r="CW428" i="36"/>
  <c r="CV428" i="36"/>
  <c r="CU428" i="36"/>
  <c r="CT428" i="36"/>
  <c r="CS428" i="36"/>
  <c r="CR428" i="36"/>
  <c r="DI428" i="36"/>
  <c r="CQ428" i="36"/>
  <c r="CP428" i="36"/>
  <c r="CO428" i="36"/>
  <c r="CN428" i="36"/>
  <c r="CM428" i="36"/>
  <c r="CL428" i="36"/>
  <c r="CK428" i="36"/>
  <c r="CJ428" i="36"/>
  <c r="DH428" i="36"/>
  <c r="CI428" i="36"/>
  <c r="CH428" i="36"/>
  <c r="CG428" i="36"/>
  <c r="CF428" i="36"/>
  <c r="CE428" i="36"/>
  <c r="CD428" i="36"/>
  <c r="CC428" i="36"/>
  <c r="CB428" i="36"/>
  <c r="CA428" i="36"/>
  <c r="BZ428" i="36"/>
  <c r="BY428" i="36"/>
  <c r="BX428" i="36"/>
  <c r="BW428" i="36"/>
  <c r="BV428" i="36"/>
  <c r="BU428" i="36"/>
  <c r="BT428" i="36"/>
  <c r="BS428" i="36"/>
  <c r="BR428" i="36"/>
  <c r="BQ428" i="36"/>
  <c r="BP428" i="36"/>
  <c r="BO428" i="36"/>
  <c r="BN428" i="36"/>
  <c r="BM428" i="36"/>
  <c r="BL428" i="36"/>
  <c r="BK428" i="36"/>
  <c r="BJ428" i="36"/>
  <c r="BI428" i="36"/>
  <c r="BH428" i="36"/>
  <c r="BG428" i="36"/>
  <c r="BF428" i="36"/>
  <c r="BE428" i="36"/>
  <c r="BD428" i="36"/>
  <c r="BC428" i="36"/>
  <c r="BB428" i="36"/>
  <c r="BA428" i="36"/>
  <c r="AZ428" i="36"/>
  <c r="AY428" i="36"/>
  <c r="AX428" i="36"/>
  <c r="AW428" i="36"/>
  <c r="AV428" i="36"/>
  <c r="AU428" i="36"/>
  <c r="AT428" i="36"/>
  <c r="AS428" i="36"/>
  <c r="AR428" i="36"/>
  <c r="AQ428" i="36"/>
  <c r="AP428" i="36"/>
  <c r="AO428" i="36"/>
  <c r="AN428" i="36"/>
  <c r="AM428" i="36"/>
  <c r="AL428" i="36"/>
  <c r="AK428" i="36"/>
  <c r="DA427" i="36"/>
  <c r="CZ427" i="36"/>
  <c r="CY427" i="36"/>
  <c r="CX427" i="36"/>
  <c r="CW427" i="36"/>
  <c r="CV427" i="36"/>
  <c r="CU427" i="36"/>
  <c r="CT427" i="36"/>
  <c r="CS427" i="36"/>
  <c r="CR427" i="36"/>
  <c r="CQ427" i="36"/>
  <c r="CP427" i="36"/>
  <c r="CO427" i="36"/>
  <c r="CN427" i="36"/>
  <c r="CM427" i="36"/>
  <c r="CL427" i="36"/>
  <c r="CK427" i="36"/>
  <c r="CJ427" i="36"/>
  <c r="CI427" i="36"/>
  <c r="CH427" i="36"/>
  <c r="CG427" i="36"/>
  <c r="CF427" i="36"/>
  <c r="CE427" i="36"/>
  <c r="CD427" i="36"/>
  <c r="CC427" i="36"/>
  <c r="CB427" i="36"/>
  <c r="CA427" i="36"/>
  <c r="BZ427" i="36"/>
  <c r="BY427" i="36"/>
  <c r="BX427" i="36"/>
  <c r="BW427" i="36"/>
  <c r="BV427" i="36"/>
  <c r="BU427" i="36"/>
  <c r="BT427" i="36"/>
  <c r="BS427" i="36"/>
  <c r="BR427" i="36"/>
  <c r="BQ427" i="36"/>
  <c r="BP427" i="36"/>
  <c r="BO427" i="36"/>
  <c r="BN427" i="36"/>
  <c r="BM427" i="36"/>
  <c r="BL427" i="36"/>
  <c r="BK427" i="36"/>
  <c r="BJ427" i="36"/>
  <c r="BI427" i="36"/>
  <c r="BH427" i="36"/>
  <c r="BG427" i="36"/>
  <c r="BF427" i="36"/>
  <c r="BE427" i="36"/>
  <c r="BD427" i="36"/>
  <c r="BC427" i="36"/>
  <c r="BB427" i="36"/>
  <c r="BA427" i="36"/>
  <c r="AZ427" i="36"/>
  <c r="AY427" i="36"/>
  <c r="AX427" i="36"/>
  <c r="DE427" i="36"/>
  <c r="AW427" i="36"/>
  <c r="AV427" i="36"/>
  <c r="AU427" i="36"/>
  <c r="AT427" i="36"/>
  <c r="AS427" i="36"/>
  <c r="AR427" i="36"/>
  <c r="AQ427" i="36"/>
  <c r="AP427" i="36"/>
  <c r="DD427" i="36"/>
  <c r="AO427" i="36"/>
  <c r="AN427" i="36"/>
  <c r="AM427" i="36"/>
  <c r="AL427" i="36"/>
  <c r="AK427" i="36"/>
  <c r="DA426" i="36"/>
  <c r="CO426" i="36"/>
  <c r="CC426" i="36"/>
  <c r="AS426" i="36"/>
  <c r="AR426" i="36"/>
  <c r="AQ426" i="36"/>
  <c r="AP426" i="36"/>
  <c r="AO426" i="36"/>
  <c r="AO423" i="36"/>
  <c r="AN426" i="36"/>
  <c r="AM426" i="36"/>
  <c r="AL426" i="36"/>
  <c r="AK426" i="36"/>
  <c r="AR425" i="36"/>
  <c r="AQ425" i="36"/>
  <c r="AP425" i="36"/>
  <c r="AO425" i="36"/>
  <c r="AN425" i="36"/>
  <c r="AN423" i="36"/>
  <c r="AM425" i="36"/>
  <c r="AL425" i="36"/>
  <c r="AK425" i="36"/>
  <c r="DA424" i="36"/>
  <c r="CO424" i="36"/>
  <c r="CC424" i="36"/>
  <c r="BE424" i="36"/>
  <c r="AS424" i="36"/>
  <c r="AR424" i="36"/>
  <c r="AQ424" i="36"/>
  <c r="AP424" i="36"/>
  <c r="AO424" i="36"/>
  <c r="AN424" i="36"/>
  <c r="AM424" i="36"/>
  <c r="AL424" i="36"/>
  <c r="AL423" i="36"/>
  <c r="AK424" i="36"/>
  <c r="DC423" i="36"/>
  <c r="AP423" i="36"/>
  <c r="AM423" i="36"/>
  <c r="DC422" i="36"/>
  <c r="DA422" i="36"/>
  <c r="CZ422" i="36"/>
  <c r="CY422" i="36"/>
  <c r="CX422" i="36"/>
  <c r="CW422" i="36"/>
  <c r="CV422" i="36"/>
  <c r="CU422" i="36"/>
  <c r="CT422" i="36"/>
  <c r="CS422" i="36"/>
  <c r="CR422" i="36"/>
  <c r="CQ422" i="36"/>
  <c r="CP422" i="36"/>
  <c r="CP438" i="36"/>
  <c r="CO422" i="36"/>
  <c r="CN422" i="36"/>
  <c r="CM422" i="36"/>
  <c r="CL422" i="36"/>
  <c r="CK422" i="36"/>
  <c r="CJ422" i="36"/>
  <c r="CI422" i="36"/>
  <c r="CH422" i="36"/>
  <c r="CH28" i="36"/>
  <c r="CG422" i="36"/>
  <c r="CF422" i="36"/>
  <c r="CE422" i="36"/>
  <c r="CD422" i="36"/>
  <c r="CD438" i="36"/>
  <c r="CC422" i="36"/>
  <c r="CB422" i="36"/>
  <c r="CA422" i="36"/>
  <c r="BZ422" i="36"/>
  <c r="BZ28" i="36"/>
  <c r="BY422" i="36"/>
  <c r="BX422" i="36"/>
  <c r="BW422" i="36"/>
  <c r="BV422" i="36"/>
  <c r="BU422" i="36"/>
  <c r="BT422" i="36"/>
  <c r="BS422" i="36"/>
  <c r="BR422" i="36"/>
  <c r="BR438" i="36"/>
  <c r="BQ422" i="36"/>
  <c r="BP422" i="36"/>
  <c r="BO422" i="36"/>
  <c r="BN422" i="36"/>
  <c r="BM422" i="36"/>
  <c r="BL422" i="36"/>
  <c r="BK422" i="36"/>
  <c r="BJ422" i="36"/>
  <c r="BJ28" i="36"/>
  <c r="BI422" i="36"/>
  <c r="BH422" i="36"/>
  <c r="BG422" i="36"/>
  <c r="BF422" i="36"/>
  <c r="BF438" i="36"/>
  <c r="BE422" i="36"/>
  <c r="BD422" i="36"/>
  <c r="BC422" i="36"/>
  <c r="BB422" i="36"/>
  <c r="BA422" i="36"/>
  <c r="AZ422" i="36"/>
  <c r="AY422" i="36"/>
  <c r="AX422" i="36"/>
  <c r="AW422" i="36"/>
  <c r="AV422" i="36"/>
  <c r="AU422" i="36"/>
  <c r="AT422" i="36"/>
  <c r="AT438" i="36"/>
  <c r="AU438" i="36"/>
  <c r="AS422" i="36"/>
  <c r="AR422" i="36"/>
  <c r="AQ422" i="36"/>
  <c r="AP422" i="36"/>
  <c r="AO422" i="36"/>
  <c r="AN422" i="36"/>
  <c r="AM422" i="36"/>
  <c r="AL422" i="36"/>
  <c r="AK422" i="36"/>
  <c r="AK438" i="36"/>
  <c r="DC421" i="36"/>
  <c r="AP421" i="36"/>
  <c r="AO421" i="36"/>
  <c r="AN421" i="36"/>
  <c r="AM421" i="36"/>
  <c r="AL421" i="36"/>
  <c r="AK421" i="36"/>
  <c r="DA420" i="36"/>
  <c r="CZ420" i="36"/>
  <c r="CY420" i="36"/>
  <c r="CX420" i="36"/>
  <c r="CW420" i="36"/>
  <c r="CV420" i="36"/>
  <c r="CU420" i="36"/>
  <c r="CU25" i="36"/>
  <c r="CT420" i="36"/>
  <c r="CS420" i="36"/>
  <c r="CR420" i="36"/>
  <c r="CQ420" i="36"/>
  <c r="CP420" i="36"/>
  <c r="CO420" i="36"/>
  <c r="CN420" i="36"/>
  <c r="CM420" i="36"/>
  <c r="CM25" i="36"/>
  <c r="CL420" i="36"/>
  <c r="CK420" i="36"/>
  <c r="CJ420" i="36"/>
  <c r="CI420" i="36"/>
  <c r="CH420" i="36"/>
  <c r="CG420" i="36"/>
  <c r="CF420" i="36"/>
  <c r="CE420" i="36"/>
  <c r="CE25" i="36"/>
  <c r="CD420" i="36"/>
  <c r="CC420" i="36"/>
  <c r="CB420" i="36"/>
  <c r="CA420" i="36"/>
  <c r="BZ420" i="36"/>
  <c r="BY420" i="36"/>
  <c r="BX420" i="36"/>
  <c r="BW420" i="36"/>
  <c r="BW25" i="36"/>
  <c r="BV420" i="36"/>
  <c r="BU420" i="36"/>
  <c r="BT420" i="36"/>
  <c r="BS420" i="36"/>
  <c r="BR420" i="36"/>
  <c r="BQ420" i="36"/>
  <c r="BP420" i="36"/>
  <c r="BO420" i="36"/>
  <c r="BO25" i="36"/>
  <c r="BN420" i="36"/>
  <c r="BM420" i="36"/>
  <c r="BL420" i="36"/>
  <c r="BK420" i="36"/>
  <c r="BJ420" i="36"/>
  <c r="BI420" i="36"/>
  <c r="BH420" i="36"/>
  <c r="BG420" i="36"/>
  <c r="BG25" i="36"/>
  <c r="BF420" i="36"/>
  <c r="DF420" i="36"/>
  <c r="BE420" i="36"/>
  <c r="BD420" i="36"/>
  <c r="BC420" i="36"/>
  <c r="BB420" i="36"/>
  <c r="BA420" i="36"/>
  <c r="AZ420" i="36"/>
  <c r="AY420" i="36"/>
  <c r="AY25" i="36"/>
  <c r="DE25" i="36"/>
  <c r="AX420" i="36"/>
  <c r="AW420" i="36"/>
  <c r="AV420" i="36"/>
  <c r="AU420" i="36"/>
  <c r="AT420" i="36"/>
  <c r="AS420" i="36"/>
  <c r="AR420" i="36"/>
  <c r="AQ420" i="36"/>
  <c r="AQ25" i="36"/>
  <c r="AP420" i="36"/>
  <c r="AO420" i="36"/>
  <c r="AN420" i="36"/>
  <c r="AM420" i="36"/>
  <c r="AL420" i="36"/>
  <c r="AK420" i="36"/>
  <c r="AP419" i="36"/>
  <c r="AO419" i="36"/>
  <c r="AN419" i="36"/>
  <c r="AM419" i="36"/>
  <c r="AL419" i="36"/>
  <c r="AK419" i="36"/>
  <c r="DC418" i="36"/>
  <c r="AQ418" i="36"/>
  <c r="AP418" i="36"/>
  <c r="AO418" i="36"/>
  <c r="AN418" i="36"/>
  <c r="AM418" i="36"/>
  <c r="AL418" i="36"/>
  <c r="AK418" i="36"/>
  <c r="DF417" i="36"/>
  <c r="DC417" i="36"/>
  <c r="DA417" i="36"/>
  <c r="CZ417" i="36"/>
  <c r="CY417" i="36"/>
  <c r="CX417" i="36"/>
  <c r="CW417" i="36"/>
  <c r="CV417" i="36"/>
  <c r="CU417" i="36"/>
  <c r="CT417" i="36"/>
  <c r="CS417" i="36"/>
  <c r="CR417" i="36"/>
  <c r="CQ417" i="36"/>
  <c r="CP417" i="36"/>
  <c r="CO417" i="36"/>
  <c r="CN417" i="36"/>
  <c r="CM417" i="36"/>
  <c r="CL417" i="36"/>
  <c r="CK417" i="36"/>
  <c r="CJ417" i="36"/>
  <c r="CI417" i="36"/>
  <c r="CH417" i="36"/>
  <c r="CG417" i="36"/>
  <c r="DH417" i="36"/>
  <c r="CF417" i="36"/>
  <c r="CE417" i="36"/>
  <c r="CD417" i="36"/>
  <c r="CC417" i="36"/>
  <c r="CB417" i="36"/>
  <c r="CA417" i="36"/>
  <c r="BZ417" i="36"/>
  <c r="BY417" i="36"/>
  <c r="BX417" i="36"/>
  <c r="BW417" i="36"/>
  <c r="BV417" i="36"/>
  <c r="BU417" i="36"/>
  <c r="BT417" i="36"/>
  <c r="BS417" i="36"/>
  <c r="BR417" i="36"/>
  <c r="BQ417" i="36"/>
  <c r="BP417" i="36"/>
  <c r="BO417" i="36"/>
  <c r="BN417" i="36"/>
  <c r="BM417" i="36"/>
  <c r="BL417" i="36"/>
  <c r="BK417" i="36"/>
  <c r="BJ417" i="36"/>
  <c r="BI417" i="36"/>
  <c r="BH417" i="36"/>
  <c r="BG417" i="36"/>
  <c r="BF417" i="36"/>
  <c r="BE417" i="36"/>
  <c r="BD417" i="36"/>
  <c r="BC417" i="36"/>
  <c r="BB417" i="36"/>
  <c r="BA417" i="36"/>
  <c r="AZ417" i="36"/>
  <c r="AY417" i="36"/>
  <c r="AX417" i="36"/>
  <c r="AW417" i="36"/>
  <c r="AV417" i="36"/>
  <c r="AU417" i="36"/>
  <c r="AT417" i="36"/>
  <c r="AS417" i="36"/>
  <c r="AR417" i="36"/>
  <c r="AQ417" i="36"/>
  <c r="AP417" i="36"/>
  <c r="AO417" i="36"/>
  <c r="AN417" i="36"/>
  <c r="AM417" i="36"/>
  <c r="AL417" i="36"/>
  <c r="AK417" i="36"/>
  <c r="DD417" i="36"/>
  <c r="DC416" i="36"/>
  <c r="DA416" i="36"/>
  <c r="CZ416" i="36"/>
  <c r="CY416" i="36"/>
  <c r="CX416" i="36"/>
  <c r="CX21" i="36"/>
  <c r="CW416" i="36"/>
  <c r="CV416" i="36"/>
  <c r="CU416" i="36"/>
  <c r="CT416" i="36"/>
  <c r="CS416" i="36"/>
  <c r="CR416" i="36"/>
  <c r="CQ416" i="36"/>
  <c r="CP416" i="36"/>
  <c r="CP21" i="36"/>
  <c r="CO416" i="36"/>
  <c r="CN416" i="36"/>
  <c r="CM416" i="36"/>
  <c r="CL416" i="36"/>
  <c r="CK416" i="36"/>
  <c r="CJ416" i="36"/>
  <c r="CI416" i="36"/>
  <c r="CH416" i="36"/>
  <c r="CH21" i="36"/>
  <c r="CG416" i="36"/>
  <c r="CF416" i="36"/>
  <c r="CE416" i="36"/>
  <c r="CD416" i="36"/>
  <c r="CC416" i="36"/>
  <c r="CB416" i="36"/>
  <c r="CA416" i="36"/>
  <c r="BZ416" i="36"/>
  <c r="BZ21" i="36"/>
  <c r="BY416" i="36"/>
  <c r="BX416" i="36"/>
  <c r="BW416" i="36"/>
  <c r="BV416" i="36"/>
  <c r="BU416" i="36"/>
  <c r="BT416" i="36"/>
  <c r="BS416" i="36"/>
  <c r="BR416" i="36"/>
  <c r="BR21" i="36"/>
  <c r="BQ416" i="36"/>
  <c r="BP416" i="36"/>
  <c r="BO416" i="36"/>
  <c r="BN416" i="36"/>
  <c r="BM416" i="36"/>
  <c r="BL416" i="36"/>
  <c r="BK416" i="36"/>
  <c r="BJ416" i="36"/>
  <c r="BJ21" i="36"/>
  <c r="BI416" i="36"/>
  <c r="BH416" i="36"/>
  <c r="BG416" i="36"/>
  <c r="BF416" i="36"/>
  <c r="BE416" i="36"/>
  <c r="BD416" i="36"/>
  <c r="BC416" i="36"/>
  <c r="BB416" i="36"/>
  <c r="BB21" i="36"/>
  <c r="BA416" i="36"/>
  <c r="AZ416" i="36"/>
  <c r="AY416" i="36"/>
  <c r="AX416" i="36"/>
  <c r="AW416" i="36"/>
  <c r="AV416" i="36"/>
  <c r="AU416" i="36"/>
  <c r="AT416" i="36"/>
  <c r="AT21" i="36"/>
  <c r="AS416" i="36"/>
  <c r="AR416" i="36"/>
  <c r="AQ416" i="36"/>
  <c r="AP416" i="36"/>
  <c r="AO416" i="36"/>
  <c r="DD416" i="36"/>
  <c r="AN416" i="36"/>
  <c r="AM416" i="36"/>
  <c r="AL416" i="36"/>
  <c r="AK416" i="36"/>
  <c r="DC415" i="36"/>
  <c r="AQ415" i="36"/>
  <c r="AP415" i="36"/>
  <c r="AO415" i="36"/>
  <c r="AN415" i="36"/>
  <c r="AM415" i="36"/>
  <c r="AL415" i="36"/>
  <c r="AK415" i="36"/>
  <c r="DC414" i="36"/>
  <c r="AQ414" i="36"/>
  <c r="AP414" i="36"/>
  <c r="AO414" i="36"/>
  <c r="AN414" i="36"/>
  <c r="AM414" i="36"/>
  <c r="AL414" i="36"/>
  <c r="AK414" i="36"/>
  <c r="DH413" i="36"/>
  <c r="DC413" i="36"/>
  <c r="DA413" i="36"/>
  <c r="CZ413" i="36"/>
  <c r="CY413" i="36"/>
  <c r="CX413" i="36"/>
  <c r="CW413" i="36"/>
  <c r="CV413" i="36"/>
  <c r="CU413" i="36"/>
  <c r="CT413" i="36"/>
  <c r="CS413" i="36"/>
  <c r="CR413" i="36"/>
  <c r="CQ413" i="36"/>
  <c r="CP413" i="36"/>
  <c r="CO413" i="36"/>
  <c r="CN413" i="36"/>
  <c r="CM413" i="36"/>
  <c r="CL413" i="36"/>
  <c r="CK413" i="36"/>
  <c r="CJ413" i="36"/>
  <c r="CI413" i="36"/>
  <c r="CH413" i="36"/>
  <c r="CG413" i="36"/>
  <c r="CF413" i="36"/>
  <c r="CE413" i="36"/>
  <c r="CD413" i="36"/>
  <c r="CC413" i="36"/>
  <c r="CB413" i="36"/>
  <c r="CA413" i="36"/>
  <c r="BZ413" i="36"/>
  <c r="BY413" i="36"/>
  <c r="BX413" i="36"/>
  <c r="BW413" i="36"/>
  <c r="BV413" i="36"/>
  <c r="BU413" i="36"/>
  <c r="BT413" i="36"/>
  <c r="BS413" i="36"/>
  <c r="BR413" i="36"/>
  <c r="BQ413" i="36"/>
  <c r="BP413" i="36"/>
  <c r="BO413" i="36"/>
  <c r="BN413" i="36"/>
  <c r="BM413" i="36"/>
  <c r="BL413" i="36"/>
  <c r="BK413" i="36"/>
  <c r="BJ413" i="36"/>
  <c r="BI413" i="36"/>
  <c r="DF413" i="36"/>
  <c r="BH413" i="36"/>
  <c r="BG413" i="36"/>
  <c r="BF413" i="36"/>
  <c r="BE413" i="36"/>
  <c r="BD413" i="36"/>
  <c r="BC413" i="36"/>
  <c r="BB413" i="36"/>
  <c r="BA413" i="36"/>
  <c r="AZ413" i="36"/>
  <c r="AY413" i="36"/>
  <c r="AX413" i="36"/>
  <c r="AW413" i="36"/>
  <c r="AV413" i="36"/>
  <c r="AU413" i="36"/>
  <c r="AT413" i="36"/>
  <c r="AS413" i="36"/>
  <c r="AR413" i="36"/>
  <c r="AQ413" i="36"/>
  <c r="AP413" i="36"/>
  <c r="AO413" i="36"/>
  <c r="AN413" i="36"/>
  <c r="AM413" i="36"/>
  <c r="AL413" i="36"/>
  <c r="AK413" i="36"/>
  <c r="DD413" i="36"/>
  <c r="DC412" i="36"/>
  <c r="DA412" i="36"/>
  <c r="CZ412" i="36"/>
  <c r="CY412" i="36"/>
  <c r="CX412" i="36"/>
  <c r="CW412" i="36"/>
  <c r="CV412" i="36"/>
  <c r="CU412" i="36"/>
  <c r="CT412" i="36"/>
  <c r="CS412" i="36"/>
  <c r="CR412" i="36"/>
  <c r="CQ412" i="36"/>
  <c r="CP412" i="36"/>
  <c r="CO412" i="36"/>
  <c r="CN412" i="36"/>
  <c r="CM412" i="36"/>
  <c r="CL412" i="36"/>
  <c r="CK412" i="36"/>
  <c r="CJ412" i="36"/>
  <c r="CI412" i="36"/>
  <c r="CH412" i="36"/>
  <c r="CG412" i="36"/>
  <c r="CF412" i="36"/>
  <c r="CE412" i="36"/>
  <c r="CD412" i="36"/>
  <c r="CC412" i="36"/>
  <c r="CB412" i="36"/>
  <c r="CA412" i="36"/>
  <c r="BZ412" i="36"/>
  <c r="BY412" i="36"/>
  <c r="BX412" i="36"/>
  <c r="BW412" i="36"/>
  <c r="BV412" i="36"/>
  <c r="BU412" i="36"/>
  <c r="BT412" i="36"/>
  <c r="BS412" i="36"/>
  <c r="BR412" i="36"/>
  <c r="BQ412" i="36"/>
  <c r="BP412" i="36"/>
  <c r="BO412" i="36"/>
  <c r="BN412" i="36"/>
  <c r="BM412" i="36"/>
  <c r="BL412" i="36"/>
  <c r="BK412" i="36"/>
  <c r="BJ412" i="36"/>
  <c r="BI412" i="36"/>
  <c r="BH412" i="36"/>
  <c r="BG412" i="36"/>
  <c r="BF412" i="36"/>
  <c r="BE412" i="36"/>
  <c r="BD412" i="36"/>
  <c r="BC412" i="36"/>
  <c r="BB412" i="36"/>
  <c r="BA412" i="36"/>
  <c r="AZ412" i="36"/>
  <c r="AY412" i="36"/>
  <c r="AX412" i="36"/>
  <c r="AW412" i="36"/>
  <c r="AV412" i="36"/>
  <c r="AU412" i="36"/>
  <c r="AT412" i="36"/>
  <c r="AS412" i="36"/>
  <c r="AR412" i="36"/>
  <c r="AQ412" i="36"/>
  <c r="AP412" i="36"/>
  <c r="AO412" i="36"/>
  <c r="AO410" i="36"/>
  <c r="AN412" i="36"/>
  <c r="AM412" i="36"/>
  <c r="AL412" i="36"/>
  <c r="AK412" i="36"/>
  <c r="DH411" i="36"/>
  <c r="DF411" i="36"/>
  <c r="DC411" i="36"/>
  <c r="DA411" i="36"/>
  <c r="CZ411" i="36"/>
  <c r="CY411" i="36"/>
  <c r="CX411" i="36"/>
  <c r="CW411" i="36"/>
  <c r="CV411" i="36"/>
  <c r="CU411" i="36"/>
  <c r="CT411" i="36"/>
  <c r="CS411" i="36"/>
  <c r="CR411" i="36"/>
  <c r="CQ411" i="36"/>
  <c r="CP411" i="36"/>
  <c r="CO411" i="36"/>
  <c r="CN411" i="36"/>
  <c r="CM411" i="36"/>
  <c r="CL411" i="36"/>
  <c r="CK411" i="36"/>
  <c r="CJ411" i="36"/>
  <c r="CI411" i="36"/>
  <c r="CH411" i="36"/>
  <c r="CG411" i="36"/>
  <c r="CF411" i="36"/>
  <c r="CE411" i="36"/>
  <c r="CD411" i="36"/>
  <c r="CC411" i="36"/>
  <c r="CB411" i="36"/>
  <c r="CA411" i="36"/>
  <c r="BZ411" i="36"/>
  <c r="BY411" i="36"/>
  <c r="BX411" i="36"/>
  <c r="BW411" i="36"/>
  <c r="BV411" i="36"/>
  <c r="BU411" i="36"/>
  <c r="BT411" i="36"/>
  <c r="BS411" i="36"/>
  <c r="BR411" i="36"/>
  <c r="BQ411" i="36"/>
  <c r="BP411" i="36"/>
  <c r="BO411" i="36"/>
  <c r="BN411" i="36"/>
  <c r="BM411" i="36"/>
  <c r="BL411" i="36"/>
  <c r="BK411" i="36"/>
  <c r="BJ411" i="36"/>
  <c r="BI411" i="36"/>
  <c r="BH411" i="36"/>
  <c r="BG411" i="36"/>
  <c r="BF411" i="36"/>
  <c r="BE411" i="36"/>
  <c r="BD411" i="36"/>
  <c r="BC411" i="36"/>
  <c r="BB411" i="36"/>
  <c r="BA411" i="36"/>
  <c r="AZ411" i="36"/>
  <c r="AY411" i="36"/>
  <c r="AX411" i="36"/>
  <c r="AW411" i="36"/>
  <c r="AV411" i="36"/>
  <c r="AU411" i="36"/>
  <c r="AT411" i="36"/>
  <c r="AS411" i="36"/>
  <c r="AR411" i="36"/>
  <c r="AQ411" i="36"/>
  <c r="AP411" i="36"/>
  <c r="AP410" i="36"/>
  <c r="AP404" i="36"/>
  <c r="AO411" i="36"/>
  <c r="AN411" i="36"/>
  <c r="AN410" i="36"/>
  <c r="AN404" i="36"/>
  <c r="AM411" i="36"/>
  <c r="AM410" i="36"/>
  <c r="AM404" i="36"/>
  <c r="AL411" i="36"/>
  <c r="AK411" i="36"/>
  <c r="DC410" i="36"/>
  <c r="AL410" i="36"/>
  <c r="DC409" i="36"/>
  <c r="AQ409" i="36"/>
  <c r="AP409" i="36"/>
  <c r="AO409" i="36"/>
  <c r="AN409" i="36"/>
  <c r="AM409" i="36"/>
  <c r="AM405" i="36"/>
  <c r="AL409" i="36"/>
  <c r="AK409" i="36"/>
  <c r="DC408" i="36"/>
  <c r="AP408" i="36"/>
  <c r="AO408" i="36"/>
  <c r="AN408" i="36"/>
  <c r="AM408" i="36"/>
  <c r="AL408" i="36"/>
  <c r="AL407" i="36"/>
  <c r="AL406" i="36"/>
  <c r="AL433" i="36"/>
  <c r="AK408" i="36"/>
  <c r="DC407" i="36"/>
  <c r="AP407" i="36"/>
  <c r="AP406" i="36"/>
  <c r="AP433" i="36"/>
  <c r="AN407" i="36"/>
  <c r="AN406" i="36"/>
  <c r="AN433" i="36"/>
  <c r="AM407" i="36"/>
  <c r="AM406" i="36"/>
  <c r="AM433" i="36"/>
  <c r="AK407" i="36"/>
  <c r="DC406" i="36"/>
  <c r="DC405" i="36"/>
  <c r="AQ405" i="36"/>
  <c r="AP405" i="36"/>
  <c r="AO405" i="36"/>
  <c r="AN405" i="36"/>
  <c r="AL405" i="36"/>
  <c r="AK405" i="36"/>
  <c r="DC404" i="36"/>
  <c r="AL404" i="36"/>
  <c r="DC403" i="36"/>
  <c r="AQ403" i="36"/>
  <c r="AP403" i="36"/>
  <c r="AO403" i="36"/>
  <c r="AN403" i="36"/>
  <c r="AM403" i="36"/>
  <c r="AM436" i="36"/>
  <c r="AL403" i="36"/>
  <c r="AL436" i="36"/>
  <c r="AK403" i="36"/>
  <c r="DC402" i="36"/>
  <c r="AQ402" i="36"/>
  <c r="AP402" i="36"/>
  <c r="AO402" i="36"/>
  <c r="AN402" i="36"/>
  <c r="AM402" i="36"/>
  <c r="AL402" i="36"/>
  <c r="AK402" i="36"/>
  <c r="DC401" i="36"/>
  <c r="AQ401" i="36"/>
  <c r="AP401" i="36"/>
  <c r="AO401" i="36"/>
  <c r="AN401" i="36"/>
  <c r="AM401" i="36"/>
  <c r="AL401" i="36"/>
  <c r="AK401" i="36"/>
  <c r="DC400" i="36"/>
  <c r="AR400" i="36"/>
  <c r="AQ400" i="36"/>
  <c r="AP400" i="36"/>
  <c r="AO400" i="36"/>
  <c r="AN400" i="36"/>
  <c r="AM400" i="36"/>
  <c r="AL400" i="36"/>
  <c r="AK400" i="36"/>
  <c r="DC399" i="36"/>
  <c r="DA399" i="36"/>
  <c r="CP399" i="36"/>
  <c r="CO399" i="36"/>
  <c r="CD399" i="36"/>
  <c r="CC399" i="36"/>
  <c r="BQ399" i="36"/>
  <c r="BE399" i="36"/>
  <c r="AS399" i="36"/>
  <c r="AR399" i="36"/>
  <c r="AQ399" i="36"/>
  <c r="AP399" i="36"/>
  <c r="AO399" i="36"/>
  <c r="AN399" i="36"/>
  <c r="AM399" i="36"/>
  <c r="AL399" i="36"/>
  <c r="AK399" i="36"/>
  <c r="DD399" i="36"/>
  <c r="DC395" i="36"/>
  <c r="DC394" i="36"/>
  <c r="AH394" i="36"/>
  <c r="DI391" i="36"/>
  <c r="DH391" i="36"/>
  <c r="DG391" i="36"/>
  <c r="DF391" i="36"/>
  <c r="DE391" i="36"/>
  <c r="AQ393" i="36"/>
  <c r="AP393" i="36"/>
  <c r="AO393" i="36"/>
  <c r="AN393" i="36"/>
  <c r="AM393" i="36"/>
  <c r="AL393" i="36"/>
  <c r="AK393" i="36"/>
  <c r="AJ393" i="36"/>
  <c r="DC391" i="36"/>
  <c r="AF393" i="36"/>
  <c r="AE393" i="36"/>
  <c r="AD393" i="36"/>
  <c r="AC393" i="36"/>
  <c r="AB393" i="36"/>
  <c r="AA393" i="36"/>
  <c r="Z393" i="36"/>
  <c r="Y393" i="36"/>
  <c r="X393" i="36"/>
  <c r="W393" i="36"/>
  <c r="V393" i="36"/>
  <c r="DG390" i="36"/>
  <c r="DE390" i="36"/>
  <c r="DD390" i="36"/>
  <c r="AQ392" i="36"/>
  <c r="AP392" i="36"/>
  <c r="AO392" i="36"/>
  <c r="AN392" i="36"/>
  <c r="AM392" i="36"/>
  <c r="AL392" i="36"/>
  <c r="AK392" i="36"/>
  <c r="AJ392" i="36"/>
  <c r="AG392" i="36"/>
  <c r="DC392" i="36"/>
  <c r="AF392" i="36"/>
  <c r="AE392" i="36"/>
  <c r="AD392" i="36"/>
  <c r="AC392" i="36"/>
  <c r="AB392" i="36"/>
  <c r="AA392" i="36"/>
  <c r="Z392" i="36"/>
  <c r="Y392" i="36"/>
  <c r="X392" i="36"/>
  <c r="W392" i="36"/>
  <c r="V392" i="36"/>
  <c r="DI388" i="36"/>
  <c r="DH388" i="36"/>
  <c r="DG388" i="36"/>
  <c r="DF388" i="36"/>
  <c r="DE388" i="36"/>
  <c r="DD388" i="36"/>
  <c r="DC388" i="36"/>
  <c r="DI387" i="36"/>
  <c r="DH387" i="36"/>
  <c r="DG387" i="36"/>
  <c r="DF387" i="36"/>
  <c r="DE387" i="36"/>
  <c r="DD387" i="36"/>
  <c r="DC387" i="36"/>
  <c r="DI386" i="36"/>
  <c r="DH386" i="36"/>
  <c r="DG386" i="36"/>
  <c r="DF386" i="36"/>
  <c r="DE386" i="36"/>
  <c r="DD386" i="36"/>
  <c r="DC386" i="36"/>
  <c r="DI385" i="36"/>
  <c r="DH385" i="36"/>
  <c r="DG385" i="36"/>
  <c r="DF385" i="36"/>
  <c r="DE385" i="36"/>
  <c r="DD385" i="36"/>
  <c r="DC385" i="36"/>
  <c r="DD384" i="36"/>
  <c r="DC384" i="36"/>
  <c r="DC383" i="36"/>
  <c r="DI382" i="36"/>
  <c r="DH382" i="36"/>
  <c r="DG382" i="36"/>
  <c r="DF382" i="36"/>
  <c r="DE382" i="36"/>
  <c r="DD382" i="36"/>
  <c r="DC382" i="36"/>
  <c r="DC381" i="36"/>
  <c r="DC380" i="36"/>
  <c r="DC379" i="36"/>
  <c r="DC378" i="36"/>
  <c r="AQ377" i="36"/>
  <c r="AP377" i="36"/>
  <c r="AO377" i="36"/>
  <c r="AN377" i="36"/>
  <c r="AM377" i="36"/>
  <c r="AL377" i="36"/>
  <c r="AK377" i="36"/>
  <c r="AJ377" i="36"/>
  <c r="AI377" i="36"/>
  <c r="AH377" i="36"/>
  <c r="AG377" i="36"/>
  <c r="AF377" i="36"/>
  <c r="AE377" i="36"/>
  <c r="AD377" i="36"/>
  <c r="AC377" i="36"/>
  <c r="AB377" i="36"/>
  <c r="AA377" i="36"/>
  <c r="Z377" i="36"/>
  <c r="Y377" i="36"/>
  <c r="X377" i="36"/>
  <c r="W377" i="36"/>
  <c r="V377" i="36"/>
  <c r="DI376" i="36"/>
  <c r="DC376" i="36"/>
  <c r="CP394" i="36"/>
  <c r="CD394" i="36"/>
  <c r="BF394" i="36"/>
  <c r="DD376" i="36"/>
  <c r="DI375" i="36"/>
  <c r="DH375" i="36"/>
  <c r="DG375" i="36"/>
  <c r="DF375" i="36"/>
  <c r="DE375" i="36"/>
  <c r="DD375" i="36"/>
  <c r="DC375" i="36"/>
  <c r="DI374" i="36"/>
  <c r="DI373" i="36"/>
  <c r="DI372" i="36"/>
  <c r="DH372" i="36"/>
  <c r="DG372" i="36"/>
  <c r="DF372" i="36"/>
  <c r="DE372" i="36"/>
  <c r="DD372" i="36"/>
  <c r="DC372" i="36"/>
  <c r="DI371" i="36"/>
  <c r="DH371" i="36"/>
  <c r="DG371" i="36"/>
  <c r="DF371" i="36"/>
  <c r="DE371" i="36"/>
  <c r="DD371" i="36"/>
  <c r="DC371" i="36"/>
  <c r="DC370" i="36"/>
  <c r="DI369" i="36"/>
  <c r="DH369" i="36"/>
  <c r="DG369" i="36"/>
  <c r="DF369" i="36"/>
  <c r="DE369" i="36"/>
  <c r="DD369" i="36"/>
  <c r="DC369" i="36"/>
  <c r="DC368" i="36"/>
  <c r="AQ364" i="36"/>
  <c r="AI367" i="36"/>
  <c r="AH367" i="36"/>
  <c r="AG367" i="36"/>
  <c r="DC367" i="36"/>
  <c r="DI366" i="36"/>
  <c r="DH366" i="36"/>
  <c r="DG366" i="36"/>
  <c r="DF366" i="36"/>
  <c r="DE366" i="36"/>
  <c r="DD366" i="36"/>
  <c r="DC366" i="36"/>
  <c r="DI365" i="36"/>
  <c r="DH365" i="36"/>
  <c r="DG365" i="36"/>
  <c r="DF365" i="36"/>
  <c r="DE365" i="36"/>
  <c r="DD365" i="36"/>
  <c r="DC365" i="36"/>
  <c r="AP364" i="36"/>
  <c r="AO364" i="36"/>
  <c r="AN364" i="36"/>
  <c r="AM364" i="36"/>
  <c r="AL364" i="36"/>
  <c r="AL360" i="36"/>
  <c r="AL389" i="36"/>
  <c r="AK364" i="36"/>
  <c r="AJ364" i="36"/>
  <c r="AI364" i="36"/>
  <c r="AG364" i="36"/>
  <c r="AF364" i="36"/>
  <c r="AE364" i="36"/>
  <c r="AD364" i="36"/>
  <c r="AD360" i="36"/>
  <c r="AD389" i="36"/>
  <c r="AC364" i="36"/>
  <c r="AB364" i="36"/>
  <c r="AA364" i="36"/>
  <c r="Z364" i="36"/>
  <c r="Y364" i="36"/>
  <c r="X364" i="36"/>
  <c r="W364" i="36"/>
  <c r="V364" i="36"/>
  <c r="DC363" i="36"/>
  <c r="AI362" i="36"/>
  <c r="AI361" i="36"/>
  <c r="AH362" i="36"/>
  <c r="AG362" i="36"/>
  <c r="AG361" i="36"/>
  <c r="AG360" i="36"/>
  <c r="AG389" i="36"/>
  <c r="AF362" i="36"/>
  <c r="AE362" i="36"/>
  <c r="AD362" i="36"/>
  <c r="AC362" i="36"/>
  <c r="AB362" i="36"/>
  <c r="AA362" i="36"/>
  <c r="AA361" i="36"/>
  <c r="AA360" i="36"/>
  <c r="AA389" i="36"/>
  <c r="Z362" i="36"/>
  <c r="Y362" i="36"/>
  <c r="Y361" i="36"/>
  <c r="Y360" i="36"/>
  <c r="Y389" i="36"/>
  <c r="X362" i="36"/>
  <c r="DC362" i="36"/>
  <c r="AQ361" i="36"/>
  <c r="AP361" i="36"/>
  <c r="AP360" i="36"/>
  <c r="AP389" i="36"/>
  <c r="AO361" i="36"/>
  <c r="AN361" i="36"/>
  <c r="AN360" i="36"/>
  <c r="AN389" i="36"/>
  <c r="AM361" i="36"/>
  <c r="AL361" i="36"/>
  <c r="AK361" i="36"/>
  <c r="AJ361" i="36"/>
  <c r="AJ360" i="36"/>
  <c r="AJ389" i="36"/>
  <c r="AH361" i="36"/>
  <c r="AF361" i="36"/>
  <c r="AD361" i="36"/>
  <c r="AC361" i="36"/>
  <c r="AB361" i="36"/>
  <c r="AB360" i="36"/>
  <c r="AB389" i="36"/>
  <c r="Z361" i="36"/>
  <c r="Z360" i="36"/>
  <c r="Z389" i="36"/>
  <c r="X361" i="36"/>
  <c r="W361" i="36"/>
  <c r="V361" i="36"/>
  <c r="AQ360" i="36"/>
  <c r="AQ389" i="36"/>
  <c r="AO360" i="36"/>
  <c r="AO389" i="36"/>
  <c r="AM360" i="36"/>
  <c r="AM389" i="36"/>
  <c r="AK360" i="36"/>
  <c r="AI360" i="36"/>
  <c r="AI389" i="36"/>
  <c r="AC360" i="36"/>
  <c r="W360" i="36"/>
  <c r="W389" i="36"/>
  <c r="AQ359" i="36"/>
  <c r="AP359" i="36"/>
  <c r="AO359" i="36"/>
  <c r="AN359" i="36"/>
  <c r="AM359" i="36"/>
  <c r="AL359" i="36"/>
  <c r="AK359" i="36"/>
  <c r="AJ359" i="36"/>
  <c r="AI359" i="36"/>
  <c r="AH359" i="36"/>
  <c r="AG359" i="36"/>
  <c r="AF359" i="36"/>
  <c r="AE359" i="36"/>
  <c r="AD359" i="36"/>
  <c r="AC359" i="36"/>
  <c r="AB359" i="36"/>
  <c r="AA359" i="36"/>
  <c r="Z359" i="36"/>
  <c r="Y359" i="36"/>
  <c r="X359" i="36"/>
  <c r="W359" i="36"/>
  <c r="V359" i="36"/>
  <c r="AQ358" i="36"/>
  <c r="AP358" i="36"/>
  <c r="AO358" i="36"/>
  <c r="AN358" i="36"/>
  <c r="AM358" i="36"/>
  <c r="AL358" i="36"/>
  <c r="AK358" i="36"/>
  <c r="AJ358" i="36"/>
  <c r="AI358" i="36"/>
  <c r="AG358" i="36"/>
  <c r="AF358" i="36"/>
  <c r="AD358" i="36"/>
  <c r="AC358" i="36"/>
  <c r="AB358" i="36"/>
  <c r="AA358" i="36"/>
  <c r="Z358" i="36"/>
  <c r="X358" i="36"/>
  <c r="W358" i="36"/>
  <c r="V358" i="36"/>
  <c r="DC357" i="36"/>
  <c r="AO357" i="36"/>
  <c r="AI357" i="36"/>
  <c r="AH357" i="36"/>
  <c r="DC356" i="36"/>
  <c r="AR356" i="36"/>
  <c r="AS356" i="36"/>
  <c r="AI356" i="36"/>
  <c r="AH356" i="36"/>
  <c r="DC355" i="36"/>
  <c r="AI355" i="36"/>
  <c r="AH355" i="36"/>
  <c r="AH392" i="36"/>
  <c r="DC354" i="36"/>
  <c r="AR354" i="36"/>
  <c r="AI354" i="36"/>
  <c r="AH354" i="36"/>
  <c r="DC353" i="36"/>
  <c r="DC352" i="36"/>
  <c r="CQ352" i="36"/>
  <c r="CP352" i="36"/>
  <c r="CD352" i="36"/>
  <c r="CE352" i="36"/>
  <c r="CF352" i="36"/>
  <c r="AU352" i="36"/>
  <c r="DD347" i="36"/>
  <c r="DC347" i="36"/>
  <c r="DD345" i="36"/>
  <c r="DC345" i="36"/>
  <c r="DD344" i="36"/>
  <c r="DC344" i="36"/>
  <c r="DD343" i="36"/>
  <c r="DC343" i="36"/>
  <c r="DD342" i="36"/>
  <c r="DC342" i="36"/>
  <c r="DH342" i="36"/>
  <c r="DG342" i="36"/>
  <c r="DF342" i="36"/>
  <c r="DE342" i="36"/>
  <c r="DD341" i="36"/>
  <c r="DC341" i="36"/>
  <c r="DD340" i="36"/>
  <c r="DC340" i="36"/>
  <c r="DH340" i="36"/>
  <c r="DI339" i="36"/>
  <c r="DD339" i="36"/>
  <c r="DC339" i="36"/>
  <c r="DG339" i="36"/>
  <c r="DE339" i="36"/>
  <c r="DD338" i="36"/>
  <c r="DC338" i="36"/>
  <c r="DD337" i="36"/>
  <c r="DC337" i="36"/>
  <c r="DD336" i="36"/>
  <c r="DC336" i="36"/>
  <c r="DD335" i="36"/>
  <c r="DC335" i="36"/>
  <c r="DH335" i="36"/>
  <c r="DG335" i="36"/>
  <c r="DF335" i="36"/>
  <c r="DE335" i="36"/>
  <c r="DI334" i="36"/>
  <c r="DH334" i="36"/>
  <c r="DG334" i="36"/>
  <c r="DF334" i="36"/>
  <c r="DE334" i="36"/>
  <c r="DD334" i="36"/>
  <c r="DC334" i="36"/>
  <c r="DD333" i="36"/>
  <c r="DC333" i="36"/>
  <c r="DD332" i="36"/>
  <c r="DC332" i="36"/>
  <c r="DD331" i="36"/>
  <c r="DC331" i="36"/>
  <c r="DD330" i="36"/>
  <c r="DC330" i="36"/>
  <c r="DD329" i="36"/>
  <c r="DC329" i="36"/>
  <c r="DD328" i="36"/>
  <c r="DC328" i="36"/>
  <c r="DA249" i="36"/>
  <c r="CS249" i="36"/>
  <c r="CP346" i="36"/>
  <c r="CK249" i="36"/>
  <c r="CD346" i="36"/>
  <c r="CC249" i="36"/>
  <c r="BU249" i="36"/>
  <c r="BR346" i="36"/>
  <c r="BM249" i="36"/>
  <c r="BF346" i="36"/>
  <c r="BE249" i="36"/>
  <c r="AT346" i="36"/>
  <c r="AU346" i="36"/>
  <c r="DI327" i="36"/>
  <c r="DH327" i="36"/>
  <c r="DG327" i="36"/>
  <c r="DF327" i="36"/>
  <c r="DE327" i="36"/>
  <c r="DD327" i="36"/>
  <c r="DC327" i="36"/>
  <c r="DD326" i="36"/>
  <c r="DC326" i="36"/>
  <c r="DI325" i="36"/>
  <c r="DH325" i="36"/>
  <c r="DG325" i="36"/>
  <c r="DF325" i="36"/>
  <c r="DE325" i="36"/>
  <c r="DD325" i="36"/>
  <c r="DC325" i="36"/>
  <c r="DI324" i="36"/>
  <c r="DH324" i="36"/>
  <c r="DG324" i="36"/>
  <c r="DF324" i="36"/>
  <c r="DE324" i="36"/>
  <c r="DD324" i="36"/>
  <c r="DC324" i="36"/>
  <c r="DI323" i="36"/>
  <c r="DH323" i="36"/>
  <c r="DG323" i="36"/>
  <c r="DF323" i="36"/>
  <c r="DE323" i="36"/>
  <c r="DD323" i="36"/>
  <c r="DC323" i="36"/>
  <c r="DI322" i="36"/>
  <c r="DH322" i="36"/>
  <c r="DG322" i="36"/>
  <c r="DF322" i="36"/>
  <c r="DE322" i="36"/>
  <c r="DD322" i="36"/>
  <c r="DC322" i="36"/>
  <c r="DD321" i="36"/>
  <c r="DC321" i="36"/>
  <c r="DD320" i="36"/>
  <c r="DC320" i="36"/>
  <c r="DD319" i="36"/>
  <c r="DC319" i="36"/>
  <c r="DD318" i="36"/>
  <c r="DC318" i="36"/>
  <c r="DD317" i="36"/>
  <c r="DC317" i="36"/>
  <c r="DD316" i="36"/>
  <c r="DC316" i="36"/>
  <c r="DD315" i="36"/>
  <c r="DC315" i="36"/>
  <c r="DD314" i="36"/>
  <c r="DC314" i="36"/>
  <c r="DD313" i="36"/>
  <c r="DC313" i="36"/>
  <c r="DD312" i="36"/>
  <c r="DC312" i="36"/>
  <c r="DA320" i="36"/>
  <c r="CC320" i="36"/>
  <c r="BE320" i="36"/>
  <c r="DD311" i="36"/>
  <c r="DC311" i="36"/>
  <c r="DD310" i="36"/>
  <c r="DC310" i="36"/>
  <c r="DA310" i="36"/>
  <c r="CQ310" i="36"/>
  <c r="CP310" i="36"/>
  <c r="CD310" i="36"/>
  <c r="BR310" i="36"/>
  <c r="BF310" i="36"/>
  <c r="AU310" i="36"/>
  <c r="AT310" i="36"/>
  <c r="AH306" i="36"/>
  <c r="Z306" i="36"/>
  <c r="AI305" i="36"/>
  <c r="AH305" i="36"/>
  <c r="AA305" i="36"/>
  <c r="Z305" i="36"/>
  <c r="DI302" i="36"/>
  <c r="AP304" i="36"/>
  <c r="AN304" i="36"/>
  <c r="AM304" i="36"/>
  <c r="AL304" i="36"/>
  <c r="AK304" i="36"/>
  <c r="AJ304" i="36"/>
  <c r="AH304" i="36"/>
  <c r="AF304" i="36"/>
  <c r="AE304" i="36"/>
  <c r="AD304" i="36"/>
  <c r="AC304" i="36"/>
  <c r="AB304" i="36"/>
  <c r="Z304" i="36"/>
  <c r="DH301" i="36"/>
  <c r="DG301" i="36"/>
  <c r="DF301" i="36"/>
  <c r="DE301" i="36"/>
  <c r="AQ303" i="36"/>
  <c r="AP303" i="36"/>
  <c r="AO303" i="36"/>
  <c r="AN303" i="36"/>
  <c r="AL303" i="36"/>
  <c r="AK303" i="36"/>
  <c r="AJ303" i="36"/>
  <c r="AI303" i="36"/>
  <c r="AH303" i="36"/>
  <c r="AF303" i="36"/>
  <c r="AD303" i="36"/>
  <c r="AC303" i="36"/>
  <c r="AB303" i="36"/>
  <c r="AA303" i="36"/>
  <c r="Z303" i="36"/>
  <c r="DF299" i="36"/>
  <c r="DC299" i="36"/>
  <c r="DI299" i="36"/>
  <c r="DH299" i="36"/>
  <c r="DG299" i="36"/>
  <c r="DE299" i="36"/>
  <c r="DD299" i="36"/>
  <c r="DI298" i="36"/>
  <c r="DG298" i="36"/>
  <c r="DF298" i="36"/>
  <c r="DE298" i="36"/>
  <c r="DD298" i="36"/>
  <c r="AF298" i="36"/>
  <c r="AE298" i="36"/>
  <c r="AD298" i="36"/>
  <c r="DC298" i="36"/>
  <c r="DC297" i="36"/>
  <c r="DD296" i="36"/>
  <c r="DC296" i="36"/>
  <c r="DD295" i="36"/>
  <c r="DC295" i="36"/>
  <c r="DI294" i="36"/>
  <c r="DG294" i="36"/>
  <c r="DE294" i="36"/>
  <c r="DD294" i="36"/>
  <c r="AF294" i="36"/>
  <c r="AE294" i="36"/>
  <c r="AD294" i="36"/>
  <c r="AD288" i="36"/>
  <c r="AC294" i="36"/>
  <c r="AB294" i="36"/>
  <c r="DI293" i="36"/>
  <c r="DH293" i="36"/>
  <c r="DG293" i="36"/>
  <c r="DF293" i="36"/>
  <c r="DE293" i="36"/>
  <c r="DD293" i="36"/>
  <c r="AF293" i="36"/>
  <c r="AE293" i="36"/>
  <c r="AD293" i="36"/>
  <c r="AC293" i="36"/>
  <c r="AB293" i="36"/>
  <c r="DI292" i="36"/>
  <c r="DH292" i="36"/>
  <c r="DG292" i="36"/>
  <c r="DF292" i="36"/>
  <c r="DE292" i="36"/>
  <c r="DD292" i="36"/>
  <c r="DC292" i="36"/>
  <c r="DC291" i="36"/>
  <c r="DC290" i="36"/>
  <c r="DC289" i="36"/>
  <c r="AP288" i="36"/>
  <c r="AO288" i="36"/>
  <c r="AN288" i="36"/>
  <c r="AM288" i="36"/>
  <c r="AL288" i="36"/>
  <c r="AK288" i="36"/>
  <c r="AJ288" i="36"/>
  <c r="AI288" i="36"/>
  <c r="AH288" i="36"/>
  <c r="AG288" i="36"/>
  <c r="AF288" i="36"/>
  <c r="AE288" i="36"/>
  <c r="AC288" i="36"/>
  <c r="AA288" i="36"/>
  <c r="Z288" i="36"/>
  <c r="DC287" i="36"/>
  <c r="CY249" i="36"/>
  <c r="CQ249" i="36"/>
  <c r="CP305" i="36"/>
  <c r="CI249" i="36"/>
  <c r="CD305" i="36"/>
  <c r="CE305" i="36"/>
  <c r="CA249" i="36"/>
  <c r="CA28" i="36"/>
  <c r="BR305" i="36"/>
  <c r="BF305" i="36"/>
  <c r="BG305" i="36"/>
  <c r="AU249" i="36"/>
  <c r="DD287" i="36"/>
  <c r="DI286" i="36"/>
  <c r="DH286" i="36"/>
  <c r="DG286" i="36"/>
  <c r="DF286" i="36"/>
  <c r="DE286" i="36"/>
  <c r="DD286" i="36"/>
  <c r="DC286" i="36"/>
  <c r="DC285" i="36"/>
  <c r="DH285" i="36"/>
  <c r="DF285" i="36"/>
  <c r="DE285" i="36"/>
  <c r="AP279" i="36"/>
  <c r="DD285" i="36"/>
  <c r="DI284" i="36"/>
  <c r="DH284" i="36"/>
  <c r="DG284" i="36"/>
  <c r="DF284" i="36"/>
  <c r="DE284" i="36"/>
  <c r="DD284" i="36"/>
  <c r="DC284" i="36"/>
  <c r="DI283" i="36"/>
  <c r="DH283" i="36"/>
  <c r="DG283" i="36"/>
  <c r="DF283" i="36"/>
  <c r="DE283" i="36"/>
  <c r="DD283" i="36"/>
  <c r="DC283" i="36"/>
  <c r="DI282" i="36"/>
  <c r="DH282" i="36"/>
  <c r="DG282" i="36"/>
  <c r="DF282" i="36"/>
  <c r="DE282" i="36"/>
  <c r="DD282" i="36"/>
  <c r="DC282" i="36"/>
  <c r="DI281" i="36"/>
  <c r="DH281" i="36"/>
  <c r="DG281" i="36"/>
  <c r="DF281" i="36"/>
  <c r="DE281" i="36"/>
  <c r="DD281" i="36"/>
  <c r="DC281" i="36"/>
  <c r="DD280" i="36"/>
  <c r="AF280" i="36"/>
  <c r="DC280" i="36"/>
  <c r="AE280" i="36"/>
  <c r="AS279" i="36"/>
  <c r="AR279" i="36"/>
  <c r="AQ279" i="36"/>
  <c r="AO279" i="36"/>
  <c r="AO273" i="36"/>
  <c r="AO231" i="36"/>
  <c r="AN279" i="36"/>
  <c r="AM279" i="36"/>
  <c r="AL279" i="36"/>
  <c r="AK279" i="36"/>
  <c r="AJ279" i="36"/>
  <c r="AI279" i="36"/>
  <c r="AH279" i="36"/>
  <c r="AG279" i="36"/>
  <c r="AG273" i="36"/>
  <c r="AG231" i="36"/>
  <c r="AF279" i="36"/>
  <c r="AE279" i="36"/>
  <c r="AD279" i="36"/>
  <c r="AC279" i="36"/>
  <c r="AB279" i="36"/>
  <c r="AA279" i="36"/>
  <c r="Z279" i="36"/>
  <c r="Z273" i="36"/>
  <c r="DC278" i="36"/>
  <c r="DC277" i="36"/>
  <c r="AQ276" i="36"/>
  <c r="AQ275" i="36"/>
  <c r="AP276" i="36"/>
  <c r="AO276" i="36"/>
  <c r="AN276" i="36"/>
  <c r="AM276" i="36"/>
  <c r="AL276" i="36"/>
  <c r="AK276" i="36"/>
  <c r="AJ276" i="36"/>
  <c r="AJ275" i="36"/>
  <c r="AI276" i="36"/>
  <c r="AI275" i="36"/>
  <c r="AH276" i="36"/>
  <c r="AG276" i="36"/>
  <c r="AF276" i="36"/>
  <c r="AE276" i="36"/>
  <c r="AD276" i="36"/>
  <c r="AC276" i="36"/>
  <c r="AB276" i="36"/>
  <c r="AB275" i="36"/>
  <c r="AA276" i="36"/>
  <c r="AA275" i="36"/>
  <c r="Z276" i="36"/>
  <c r="AO275" i="36"/>
  <c r="AM275" i="36"/>
  <c r="AK275" i="36"/>
  <c r="AK300" i="36"/>
  <c r="AG275" i="36"/>
  <c r="AE275" i="36"/>
  <c r="AC275" i="36"/>
  <c r="AC300" i="36"/>
  <c r="AQ274" i="36"/>
  <c r="AP274" i="36"/>
  <c r="AO274" i="36"/>
  <c r="AN274" i="36"/>
  <c r="AN232" i="36"/>
  <c r="AM274" i="36"/>
  <c r="AL274" i="36"/>
  <c r="AL232" i="36"/>
  <c r="AK274" i="36"/>
  <c r="AJ274" i="36"/>
  <c r="AI274" i="36"/>
  <c r="AH274" i="36"/>
  <c r="AG274" i="36"/>
  <c r="AF274" i="36"/>
  <c r="AF232" i="36"/>
  <c r="AE274" i="36"/>
  <c r="AD274" i="36"/>
  <c r="AD232" i="36"/>
  <c r="AC274" i="36"/>
  <c r="AB274" i="36"/>
  <c r="AA274" i="36"/>
  <c r="Z274" i="36"/>
  <c r="AQ273" i="36"/>
  <c r="AQ231" i="36"/>
  <c r="AM273" i="36"/>
  <c r="AM231" i="36"/>
  <c r="AK273" i="36"/>
  <c r="AK231" i="36"/>
  <c r="AJ273" i="36"/>
  <c r="AI273" i="36"/>
  <c r="AE273" i="36"/>
  <c r="AE231" i="36"/>
  <c r="AC273" i="36"/>
  <c r="AC231" i="36"/>
  <c r="AB273" i="36"/>
  <c r="AA273" i="36"/>
  <c r="DC272" i="36"/>
  <c r="DD271" i="36"/>
  <c r="DC271" i="36"/>
  <c r="DC270" i="36"/>
  <c r="AR228" i="36"/>
  <c r="DD269" i="36"/>
  <c r="DC269" i="36"/>
  <c r="BE269" i="36"/>
  <c r="CY262" i="36"/>
  <c r="CX262" i="36"/>
  <c r="CW262" i="36"/>
  <c r="CV262" i="36"/>
  <c r="CT262" i="36"/>
  <c r="CQ262" i="36"/>
  <c r="CP262" i="36"/>
  <c r="CO262" i="36"/>
  <c r="DH262" i="36"/>
  <c r="CN262" i="36"/>
  <c r="CL262" i="36"/>
  <c r="CI262" i="36"/>
  <c r="CH262" i="36"/>
  <c r="CG262" i="36"/>
  <c r="CF262" i="36"/>
  <c r="CD262" i="36"/>
  <c r="CA262" i="36"/>
  <c r="BZ262" i="36"/>
  <c r="BY262" i="36"/>
  <c r="BX262" i="36"/>
  <c r="BV262" i="36"/>
  <c r="BS262" i="36"/>
  <c r="BR262" i="36"/>
  <c r="BQ262" i="36"/>
  <c r="DF262" i="36"/>
  <c r="BP262" i="36"/>
  <c r="BN262" i="36"/>
  <c r="BK262" i="36"/>
  <c r="BJ262" i="36"/>
  <c r="BI262" i="36"/>
  <c r="BH262" i="36"/>
  <c r="BF262" i="36"/>
  <c r="BC262" i="36"/>
  <c r="BB262" i="36"/>
  <c r="BA262" i="36"/>
  <c r="AZ262" i="36"/>
  <c r="AX262" i="36"/>
  <c r="AU262" i="36"/>
  <c r="AT262" i="36"/>
  <c r="AS262" i="36"/>
  <c r="AR262" i="36"/>
  <c r="AP262" i="36"/>
  <c r="AP264" i="36"/>
  <c r="AN262" i="36"/>
  <c r="AM262" i="36"/>
  <c r="AL262" i="36"/>
  <c r="AL264" i="36"/>
  <c r="AK262" i="36"/>
  <c r="AK264" i="36"/>
  <c r="AJ262" i="36"/>
  <c r="AJ264" i="36"/>
  <c r="AH262" i="36"/>
  <c r="AH264" i="36"/>
  <c r="AF262" i="36"/>
  <c r="AF48" i="36"/>
  <c r="AF50" i="36"/>
  <c r="AE262" i="36"/>
  <c r="AD262" i="36"/>
  <c r="AD264" i="36"/>
  <c r="AC262" i="36"/>
  <c r="AC264" i="36"/>
  <c r="AB262" i="36"/>
  <c r="AB264" i="36"/>
  <c r="Z262" i="36"/>
  <c r="Z264" i="36"/>
  <c r="DA261" i="36"/>
  <c r="CZ261" i="36"/>
  <c r="CX261" i="36"/>
  <c r="CW261" i="36"/>
  <c r="CV261" i="36"/>
  <c r="CU261" i="36"/>
  <c r="CT261" i="36"/>
  <c r="CS261" i="36"/>
  <c r="CR261" i="36"/>
  <c r="CP261" i="36"/>
  <c r="CO261" i="36"/>
  <c r="DH261" i="36"/>
  <c r="CN261" i="36"/>
  <c r="CM261" i="36"/>
  <c r="CL261" i="36"/>
  <c r="CK261" i="36"/>
  <c r="CJ261" i="36"/>
  <c r="CH261" i="36"/>
  <c r="CG261" i="36"/>
  <c r="CF261" i="36"/>
  <c r="CE261" i="36"/>
  <c r="CD261" i="36"/>
  <c r="CC261" i="36"/>
  <c r="CB261" i="36"/>
  <c r="BZ261" i="36"/>
  <c r="BY261" i="36"/>
  <c r="BX261" i="36"/>
  <c r="BW261" i="36"/>
  <c r="BV261" i="36"/>
  <c r="BU261" i="36"/>
  <c r="BT261" i="36"/>
  <c r="BR261" i="36"/>
  <c r="BQ261" i="36"/>
  <c r="DF261" i="36"/>
  <c r="BP261" i="36"/>
  <c r="BO261" i="36"/>
  <c r="BN261" i="36"/>
  <c r="BM261" i="36"/>
  <c r="BL261" i="36"/>
  <c r="BJ261" i="36"/>
  <c r="BI261" i="36"/>
  <c r="BH261" i="36"/>
  <c r="BG261" i="36"/>
  <c r="BF261" i="36"/>
  <c r="BE261" i="36"/>
  <c r="BD261" i="36"/>
  <c r="BB261" i="36"/>
  <c r="BA261" i="36"/>
  <c r="AZ261" i="36"/>
  <c r="AY261" i="36"/>
  <c r="AX261" i="36"/>
  <c r="AW261" i="36"/>
  <c r="AV261" i="36"/>
  <c r="AT261" i="36"/>
  <c r="AS261" i="36"/>
  <c r="DD261" i="36"/>
  <c r="AR261" i="36"/>
  <c r="AQ261" i="36"/>
  <c r="AQ263" i="36"/>
  <c r="AP261" i="36"/>
  <c r="AP263" i="36"/>
  <c r="AO261" i="36"/>
  <c r="AN261" i="36"/>
  <c r="AN263" i="36"/>
  <c r="AL261" i="36"/>
  <c r="AK261" i="36"/>
  <c r="AK263" i="36"/>
  <c r="AJ261" i="36"/>
  <c r="AJ263" i="36"/>
  <c r="AI261" i="36"/>
  <c r="AI263" i="36"/>
  <c r="AH261" i="36"/>
  <c r="AH263" i="36"/>
  <c r="AG261" i="36"/>
  <c r="AF261" i="36"/>
  <c r="AF263" i="36"/>
  <c r="AD261" i="36"/>
  <c r="AC261" i="36"/>
  <c r="AC263" i="36"/>
  <c r="AB261" i="36"/>
  <c r="AB263" i="36"/>
  <c r="AA261" i="36"/>
  <c r="AA263" i="36"/>
  <c r="Z261" i="36"/>
  <c r="Z263" i="36"/>
  <c r="AP259" i="36"/>
  <c r="AO259" i="36"/>
  <c r="AN259" i="36"/>
  <c r="AM259" i="36"/>
  <c r="AL259" i="36"/>
  <c r="AK259" i="36"/>
  <c r="AJ259" i="36"/>
  <c r="AI259" i="36"/>
  <c r="AH259" i="36"/>
  <c r="AG259" i="36"/>
  <c r="AF259" i="36"/>
  <c r="AE259" i="36"/>
  <c r="AD259" i="36"/>
  <c r="AC259" i="36"/>
  <c r="AB259" i="36"/>
  <c r="AA259" i="36"/>
  <c r="Z259" i="36"/>
  <c r="DC259" i="36"/>
  <c r="DD258" i="36"/>
  <c r="DC258" i="36"/>
  <c r="DD257" i="36"/>
  <c r="DC257" i="36"/>
  <c r="DA256" i="36"/>
  <c r="CZ256" i="36"/>
  <c r="CY256" i="36"/>
  <c r="CX256" i="36"/>
  <c r="CW256" i="36"/>
  <c r="CV256" i="36"/>
  <c r="CU256" i="36"/>
  <c r="CT256" i="36"/>
  <c r="CS256" i="36"/>
  <c r="CR256" i="36"/>
  <c r="CQ256" i="36"/>
  <c r="CP256" i="36"/>
  <c r="CO256" i="36"/>
  <c r="CN256" i="36"/>
  <c r="CM256" i="36"/>
  <c r="CL256" i="36"/>
  <c r="CK256" i="36"/>
  <c r="CJ256" i="36"/>
  <c r="CI256" i="36"/>
  <c r="CH256" i="36"/>
  <c r="CG256" i="36"/>
  <c r="CF256" i="36"/>
  <c r="DH256" i="36"/>
  <c r="CE256" i="36"/>
  <c r="CD256" i="36"/>
  <c r="CC256" i="36"/>
  <c r="CB256" i="36"/>
  <c r="CA256" i="36"/>
  <c r="BZ256" i="36"/>
  <c r="BY256" i="36"/>
  <c r="BX256" i="36"/>
  <c r="BW256" i="36"/>
  <c r="BV256" i="36"/>
  <c r="BU256" i="36"/>
  <c r="BT256" i="36"/>
  <c r="BS256" i="36"/>
  <c r="BR256" i="36"/>
  <c r="DG256" i="36"/>
  <c r="BQ256" i="36"/>
  <c r="BP256" i="36"/>
  <c r="BO256" i="36"/>
  <c r="BN256" i="36"/>
  <c r="BM256" i="36"/>
  <c r="BL256" i="36"/>
  <c r="BK256" i="36"/>
  <c r="BJ256" i="36"/>
  <c r="BI256" i="36"/>
  <c r="BH256" i="36"/>
  <c r="BG256" i="36"/>
  <c r="BF256" i="36"/>
  <c r="BE256" i="36"/>
  <c r="BD256" i="36"/>
  <c r="BC256" i="36"/>
  <c r="BB256" i="36"/>
  <c r="BA256" i="36"/>
  <c r="AZ256" i="36"/>
  <c r="AY256" i="36"/>
  <c r="AX256" i="36"/>
  <c r="AW256" i="36"/>
  <c r="AV256" i="36"/>
  <c r="AU256" i="36"/>
  <c r="AT256" i="36"/>
  <c r="AS256" i="36"/>
  <c r="AR256" i="36"/>
  <c r="AQ256" i="36"/>
  <c r="AP256" i="36"/>
  <c r="AO256" i="36"/>
  <c r="AN256" i="36"/>
  <c r="AM256" i="36"/>
  <c r="AL256" i="36"/>
  <c r="AK256" i="36"/>
  <c r="AJ256" i="36"/>
  <c r="AI256" i="36"/>
  <c r="AH256" i="36"/>
  <c r="AG256" i="36"/>
  <c r="AF256" i="36"/>
  <c r="AE256" i="36"/>
  <c r="AD256" i="36"/>
  <c r="AC256" i="36"/>
  <c r="AB256" i="36"/>
  <c r="AA256" i="36"/>
  <c r="Z256" i="36"/>
  <c r="DC256" i="36"/>
  <c r="DA255" i="36"/>
  <c r="CZ255" i="36"/>
  <c r="CY255" i="36"/>
  <c r="CX255" i="36"/>
  <c r="CW255" i="36"/>
  <c r="CV255" i="36"/>
  <c r="CU255" i="36"/>
  <c r="CT255" i="36"/>
  <c r="CS255" i="36"/>
  <c r="CR255" i="36"/>
  <c r="CQ255" i="36"/>
  <c r="CP255" i="36"/>
  <c r="CO255" i="36"/>
  <c r="CN255" i="36"/>
  <c r="CM255" i="36"/>
  <c r="CL255" i="36"/>
  <c r="CK255" i="36"/>
  <c r="CJ255" i="36"/>
  <c r="CI255" i="36"/>
  <c r="CH255" i="36"/>
  <c r="CG255" i="36"/>
  <c r="CF255" i="36"/>
  <c r="CE255" i="36"/>
  <c r="CD255" i="36"/>
  <c r="CC255" i="36"/>
  <c r="CB255" i="36"/>
  <c r="CA255" i="36"/>
  <c r="BZ255" i="36"/>
  <c r="BY255" i="36"/>
  <c r="BX255" i="36"/>
  <c r="BW255" i="36"/>
  <c r="BV255" i="36"/>
  <c r="BU255" i="36"/>
  <c r="BT255" i="36"/>
  <c r="BS255" i="36"/>
  <c r="BR255" i="36"/>
  <c r="BQ255" i="36"/>
  <c r="BP255" i="36"/>
  <c r="BO255" i="36"/>
  <c r="BN255" i="36"/>
  <c r="BM255" i="36"/>
  <c r="BL255" i="36"/>
  <c r="BK255" i="36"/>
  <c r="BJ255" i="36"/>
  <c r="BI255" i="36"/>
  <c r="BH255" i="36"/>
  <c r="BG255" i="36"/>
  <c r="DF255" i="36"/>
  <c r="BF255" i="36"/>
  <c r="BE255" i="36"/>
  <c r="BD255" i="36"/>
  <c r="BC255" i="36"/>
  <c r="BB255" i="36"/>
  <c r="BA255" i="36"/>
  <c r="AZ255" i="36"/>
  <c r="AY255" i="36"/>
  <c r="AX255" i="36"/>
  <c r="AW255" i="36"/>
  <c r="AV255" i="36"/>
  <c r="AU255" i="36"/>
  <c r="AT255" i="36"/>
  <c r="AS255" i="36"/>
  <c r="AR255" i="36"/>
  <c r="AQ255" i="36"/>
  <c r="AP255" i="36"/>
  <c r="AO255" i="36"/>
  <c r="AN255" i="36"/>
  <c r="AM255" i="36"/>
  <c r="AL255" i="36"/>
  <c r="AK255" i="36"/>
  <c r="AJ255" i="36"/>
  <c r="AI255" i="36"/>
  <c r="AH255" i="36"/>
  <c r="AG255" i="36"/>
  <c r="AF255" i="36"/>
  <c r="AE255" i="36"/>
  <c r="AD255" i="36"/>
  <c r="AC255" i="36"/>
  <c r="AB255" i="36"/>
  <c r="AA255" i="36"/>
  <c r="Z255" i="36"/>
  <c r="DA254" i="36"/>
  <c r="CO254" i="36"/>
  <c r="CC254" i="36"/>
  <c r="BQ254" i="36"/>
  <c r="BE254" i="36"/>
  <c r="AS254" i="36"/>
  <c r="AR254" i="36"/>
  <c r="AQ254" i="36"/>
  <c r="AP254" i="36"/>
  <c r="AO254" i="36"/>
  <c r="AN254" i="36"/>
  <c r="AM254" i="36"/>
  <c r="AL254" i="36"/>
  <c r="AK254" i="36"/>
  <c r="AJ254" i="36"/>
  <c r="AI254" i="36"/>
  <c r="AH254" i="36"/>
  <c r="AG254" i="36"/>
  <c r="AF254" i="36"/>
  <c r="AE254" i="36"/>
  <c r="AD254" i="36"/>
  <c r="AC254" i="36"/>
  <c r="AB254" i="36"/>
  <c r="DC254" i="36"/>
  <c r="AA254" i="36"/>
  <c r="Z254" i="36"/>
  <c r="AQ253" i="36"/>
  <c r="AP253" i="36"/>
  <c r="AO253" i="36"/>
  <c r="AN253" i="36"/>
  <c r="AM253" i="36"/>
  <c r="AL253" i="36"/>
  <c r="AK253" i="36"/>
  <c r="AJ253" i="36"/>
  <c r="AI253" i="36"/>
  <c r="AH253" i="36"/>
  <c r="AG253" i="36"/>
  <c r="AF253" i="36"/>
  <c r="AE253" i="36"/>
  <c r="AD253" i="36"/>
  <c r="AC253" i="36"/>
  <c r="AB253" i="36"/>
  <c r="AA253" i="36"/>
  <c r="Z253" i="36"/>
  <c r="DC253" i="36"/>
  <c r="DC252" i="36"/>
  <c r="AQ252" i="36"/>
  <c r="AP252" i="36"/>
  <c r="AO252" i="36"/>
  <c r="AN252" i="36"/>
  <c r="AM252" i="36"/>
  <c r="AL252" i="36"/>
  <c r="AK252" i="36"/>
  <c r="AJ252" i="36"/>
  <c r="AI252" i="36"/>
  <c r="AH252" i="36"/>
  <c r="AG252" i="36"/>
  <c r="AF252" i="36"/>
  <c r="AE252" i="36"/>
  <c r="AD252" i="36"/>
  <c r="AC252" i="36"/>
  <c r="AB252" i="36"/>
  <c r="AA252" i="36"/>
  <c r="Z252" i="36"/>
  <c r="AQ251" i="36"/>
  <c r="AP251" i="36"/>
  <c r="AO251" i="36"/>
  <c r="AN251" i="36"/>
  <c r="AM251" i="36"/>
  <c r="AM250" i="36"/>
  <c r="AL251" i="36"/>
  <c r="AK251" i="36"/>
  <c r="AJ251" i="36"/>
  <c r="AI251" i="36"/>
  <c r="AH251" i="36"/>
  <c r="AG251" i="36"/>
  <c r="AF251" i="36"/>
  <c r="AE251" i="36"/>
  <c r="AE250" i="36"/>
  <c r="AD251" i="36"/>
  <c r="AC251" i="36"/>
  <c r="AB251" i="36"/>
  <c r="AA251" i="36"/>
  <c r="Z251" i="36"/>
  <c r="AN250" i="36"/>
  <c r="AL250" i="36"/>
  <c r="AF250" i="36"/>
  <c r="AD250" i="36"/>
  <c r="CZ249" i="36"/>
  <c r="CX249" i="36"/>
  <c r="CX28" i="36"/>
  <c r="CW249" i="36"/>
  <c r="CV249" i="36"/>
  <c r="CU249" i="36"/>
  <c r="CT249" i="36"/>
  <c r="CR249" i="36"/>
  <c r="CP249" i="36"/>
  <c r="CP265" i="36"/>
  <c r="CQ265" i="36"/>
  <c r="CO249" i="36"/>
  <c r="CN249" i="36"/>
  <c r="CN28" i="36"/>
  <c r="CM249" i="36"/>
  <c r="CL249" i="36"/>
  <c r="CJ249" i="36"/>
  <c r="CH249" i="36"/>
  <c r="CG249" i="36"/>
  <c r="CF249" i="36"/>
  <c r="CE249" i="36"/>
  <c r="CD249" i="36"/>
  <c r="CD265" i="36"/>
  <c r="CB249" i="36"/>
  <c r="BZ249" i="36"/>
  <c r="BY249" i="36"/>
  <c r="BX249" i="36"/>
  <c r="BW249" i="36"/>
  <c r="BV249" i="36"/>
  <c r="BT249" i="36"/>
  <c r="BS249" i="36"/>
  <c r="BS265" i="36"/>
  <c r="BR249" i="36"/>
  <c r="BR265" i="36"/>
  <c r="BQ249" i="36"/>
  <c r="BP249" i="36"/>
  <c r="BO249" i="36"/>
  <c r="BN249" i="36"/>
  <c r="BL249" i="36"/>
  <c r="BJ249" i="36"/>
  <c r="BI249" i="36"/>
  <c r="BI28" i="36"/>
  <c r="BH249" i="36"/>
  <c r="BG249" i="36"/>
  <c r="BF249" i="36"/>
  <c r="BF265" i="36"/>
  <c r="BD249" i="36"/>
  <c r="BC249" i="36"/>
  <c r="BB249" i="36"/>
  <c r="BA249" i="36"/>
  <c r="AZ249" i="36"/>
  <c r="AZ28" i="36"/>
  <c r="AY249" i="36"/>
  <c r="AX249" i="36"/>
  <c r="AV249" i="36"/>
  <c r="AT249" i="36"/>
  <c r="AS249" i="36"/>
  <c r="AR249" i="36"/>
  <c r="AQ249" i="36"/>
  <c r="AP249" i="36"/>
  <c r="AO249" i="36"/>
  <c r="AN249" i="36"/>
  <c r="AM249" i="36"/>
  <c r="AL249" i="36"/>
  <c r="AK249" i="36"/>
  <c r="AJ249" i="36"/>
  <c r="AI249" i="36"/>
  <c r="AH249" i="36"/>
  <c r="AG249" i="36"/>
  <c r="AF249" i="36"/>
  <c r="AE249" i="36"/>
  <c r="AD249" i="36"/>
  <c r="AC249" i="36"/>
  <c r="AB249" i="36"/>
  <c r="AA249" i="36"/>
  <c r="Z249" i="36"/>
  <c r="Z265" i="36"/>
  <c r="DI248" i="36"/>
  <c r="DH248" i="36"/>
  <c r="DG248" i="36"/>
  <c r="DF248" i="36"/>
  <c r="DE248" i="36"/>
  <c r="DD248" i="36"/>
  <c r="DC248" i="36"/>
  <c r="DI247" i="36"/>
  <c r="DI246" i="36"/>
  <c r="DI245" i="36"/>
  <c r="DH245" i="36"/>
  <c r="DG245" i="36"/>
  <c r="DF245" i="36"/>
  <c r="DE245" i="36"/>
  <c r="DD245" i="36"/>
  <c r="DC245" i="36"/>
  <c r="DI244" i="36"/>
  <c r="DH244" i="36"/>
  <c r="DG244" i="36"/>
  <c r="DF244" i="36"/>
  <c r="DE244" i="36"/>
  <c r="DD244" i="36"/>
  <c r="DC244" i="36"/>
  <c r="DA243" i="36"/>
  <c r="DA21" i="36"/>
  <c r="CZ243" i="36"/>
  <c r="CY243" i="36"/>
  <c r="CX243" i="36"/>
  <c r="CW243" i="36"/>
  <c r="CV243" i="36"/>
  <c r="CU243" i="36"/>
  <c r="CT243" i="36"/>
  <c r="CS243" i="36"/>
  <c r="CS21" i="36"/>
  <c r="CR243" i="36"/>
  <c r="CQ243" i="36"/>
  <c r="CP243" i="36"/>
  <c r="CO243" i="36"/>
  <c r="CN243" i="36"/>
  <c r="CM243" i="36"/>
  <c r="CL243" i="36"/>
  <c r="CK243" i="36"/>
  <c r="CJ243" i="36"/>
  <c r="CI243" i="36"/>
  <c r="CH243" i="36"/>
  <c r="CG243" i="36"/>
  <c r="CF243" i="36"/>
  <c r="CE243" i="36"/>
  <c r="CD243" i="36"/>
  <c r="CC243" i="36"/>
  <c r="CC21" i="36"/>
  <c r="CB243" i="36"/>
  <c r="CA243" i="36"/>
  <c r="BZ243" i="36"/>
  <c r="BY243" i="36"/>
  <c r="BX243" i="36"/>
  <c r="BW243" i="36"/>
  <c r="BV243" i="36"/>
  <c r="BU243" i="36"/>
  <c r="BU21" i="36"/>
  <c r="BT243" i="36"/>
  <c r="BS243" i="36"/>
  <c r="BR243" i="36"/>
  <c r="BQ243" i="36"/>
  <c r="BP243" i="36"/>
  <c r="BO243" i="36"/>
  <c r="BN243" i="36"/>
  <c r="BM243" i="36"/>
  <c r="BM21" i="36"/>
  <c r="BL243" i="36"/>
  <c r="BK243" i="36"/>
  <c r="BJ243" i="36"/>
  <c r="BI243" i="36"/>
  <c r="BH243" i="36"/>
  <c r="BG243" i="36"/>
  <c r="BF243" i="36"/>
  <c r="BE243" i="36"/>
  <c r="BD243" i="36"/>
  <c r="BC243" i="36"/>
  <c r="BB243" i="36"/>
  <c r="BA243" i="36"/>
  <c r="AZ243" i="36"/>
  <c r="AY243" i="36"/>
  <c r="AX243" i="36"/>
  <c r="AW243" i="36"/>
  <c r="AW21" i="36"/>
  <c r="AV243" i="36"/>
  <c r="AU243" i="36"/>
  <c r="AT243" i="36"/>
  <c r="AS243" i="36"/>
  <c r="AR243" i="36"/>
  <c r="AQ243" i="36"/>
  <c r="AP243" i="36"/>
  <c r="AO243" i="36"/>
  <c r="AO21" i="36"/>
  <c r="AN243" i="36"/>
  <c r="AM243" i="36"/>
  <c r="AL243" i="36"/>
  <c r="AK243" i="36"/>
  <c r="AJ243" i="36"/>
  <c r="AI243" i="36"/>
  <c r="AH243" i="36"/>
  <c r="AG243" i="36"/>
  <c r="AF243" i="36"/>
  <c r="AE243" i="36"/>
  <c r="AD243" i="36"/>
  <c r="AC243" i="36"/>
  <c r="AB243" i="36"/>
  <c r="AA243" i="36"/>
  <c r="Z243" i="36"/>
  <c r="DI242" i="36"/>
  <c r="DH242" i="36"/>
  <c r="DG242" i="36"/>
  <c r="DF242" i="36"/>
  <c r="DE242" i="36"/>
  <c r="DD242" i="36"/>
  <c r="DC242" i="36"/>
  <c r="DI241" i="36"/>
  <c r="DH241" i="36"/>
  <c r="DG241" i="36"/>
  <c r="DF241" i="36"/>
  <c r="DE241" i="36"/>
  <c r="DD241" i="36"/>
  <c r="DC241" i="36"/>
  <c r="DI240" i="36"/>
  <c r="DH240" i="36"/>
  <c r="DG240" i="36"/>
  <c r="DF240" i="36"/>
  <c r="DE240" i="36"/>
  <c r="DD240" i="36"/>
  <c r="DC240" i="36"/>
  <c r="DA239" i="36"/>
  <c r="CZ239" i="36"/>
  <c r="CY239" i="36"/>
  <c r="CX239" i="36"/>
  <c r="CW239" i="36"/>
  <c r="CV239" i="36"/>
  <c r="CU239" i="36"/>
  <c r="CT239" i="36"/>
  <c r="CS239" i="36"/>
  <c r="CR239" i="36"/>
  <c r="CQ239" i="36"/>
  <c r="DI239" i="36"/>
  <c r="CP239" i="36"/>
  <c r="CO239" i="36"/>
  <c r="CN239" i="36"/>
  <c r="CM239" i="36"/>
  <c r="CL239" i="36"/>
  <c r="CK239" i="36"/>
  <c r="CJ239" i="36"/>
  <c r="CI239" i="36"/>
  <c r="DH239" i="36"/>
  <c r="CH239" i="36"/>
  <c r="CG239" i="36"/>
  <c r="CF239" i="36"/>
  <c r="CE239" i="36"/>
  <c r="CD239" i="36"/>
  <c r="CC239" i="36"/>
  <c r="CB239" i="36"/>
  <c r="CA239" i="36"/>
  <c r="BZ239" i="36"/>
  <c r="BY239" i="36"/>
  <c r="BX239" i="36"/>
  <c r="BW239" i="36"/>
  <c r="BV239" i="36"/>
  <c r="BU239" i="36"/>
  <c r="BT239" i="36"/>
  <c r="BS239" i="36"/>
  <c r="BR239" i="36"/>
  <c r="BQ239" i="36"/>
  <c r="BP239" i="36"/>
  <c r="BO239" i="36"/>
  <c r="BN239" i="36"/>
  <c r="BM239" i="36"/>
  <c r="BL239" i="36"/>
  <c r="BK239" i="36"/>
  <c r="BJ239" i="36"/>
  <c r="BI239" i="36"/>
  <c r="BH239" i="36"/>
  <c r="BG239" i="36"/>
  <c r="BF239" i="36"/>
  <c r="BE239" i="36"/>
  <c r="BD239" i="36"/>
  <c r="BC239" i="36"/>
  <c r="BB239" i="36"/>
  <c r="BA239" i="36"/>
  <c r="AZ239" i="36"/>
  <c r="AY239" i="36"/>
  <c r="AX239" i="36"/>
  <c r="AW239" i="36"/>
  <c r="AV239" i="36"/>
  <c r="AU239" i="36"/>
  <c r="AT239" i="36"/>
  <c r="AS239" i="36"/>
  <c r="AR239" i="36"/>
  <c r="AQ239" i="36"/>
  <c r="AP239" i="36"/>
  <c r="AO239" i="36"/>
  <c r="AN239" i="36"/>
  <c r="AM239" i="36"/>
  <c r="AL239" i="36"/>
  <c r="AK239" i="36"/>
  <c r="AJ239" i="36"/>
  <c r="AI239" i="36"/>
  <c r="AH239" i="36"/>
  <c r="AG239" i="36"/>
  <c r="AF239" i="36"/>
  <c r="AE239" i="36"/>
  <c r="AD239" i="36"/>
  <c r="AC239" i="36"/>
  <c r="AB239" i="36"/>
  <c r="AA239" i="36"/>
  <c r="Z239" i="36"/>
  <c r="AS238" i="36"/>
  <c r="AR238" i="36"/>
  <c r="AQ238" i="36"/>
  <c r="AP238" i="36"/>
  <c r="AO238" i="36"/>
  <c r="AN238" i="36"/>
  <c r="AM238" i="36"/>
  <c r="AL238" i="36"/>
  <c r="AK238" i="36"/>
  <c r="AJ238" i="36"/>
  <c r="AI238" i="36"/>
  <c r="AH238" i="36"/>
  <c r="DD238" i="36"/>
  <c r="AG238" i="36"/>
  <c r="AF238" i="36"/>
  <c r="AE238" i="36"/>
  <c r="AD238" i="36"/>
  <c r="AC238" i="36"/>
  <c r="AB238" i="36"/>
  <c r="AA238" i="36"/>
  <c r="Z238" i="36"/>
  <c r="DC238" i="36"/>
  <c r="AS237" i="36"/>
  <c r="AR237" i="36"/>
  <c r="AQ237" i="36"/>
  <c r="AO237" i="36"/>
  <c r="AM237" i="36"/>
  <c r="AK237" i="36"/>
  <c r="AJ237" i="36"/>
  <c r="AI237" i="36"/>
  <c r="AH237" i="36"/>
  <c r="AG237" i="36"/>
  <c r="AE237" i="36"/>
  <c r="AC237" i="36"/>
  <c r="AB237" i="36"/>
  <c r="AA237" i="36"/>
  <c r="Z237" i="36"/>
  <c r="AQ236" i="36"/>
  <c r="AQ14" i="36"/>
  <c r="AP236" i="36"/>
  <c r="AO236" i="36"/>
  <c r="AN236" i="36"/>
  <c r="AM236" i="36"/>
  <c r="AL236" i="36"/>
  <c r="AK236" i="36"/>
  <c r="AJ236" i="36"/>
  <c r="AI236" i="36"/>
  <c r="AH236" i="36"/>
  <c r="AG236" i="36"/>
  <c r="AF236" i="36"/>
  <c r="AE236" i="36"/>
  <c r="AD236" i="36"/>
  <c r="AC236" i="36"/>
  <c r="AB236" i="36"/>
  <c r="AA236" i="36"/>
  <c r="Z236" i="36"/>
  <c r="AQ235" i="36"/>
  <c r="AP235" i="36"/>
  <c r="AO235" i="36"/>
  <c r="AN235" i="36"/>
  <c r="AM235" i="36"/>
  <c r="AL235" i="36"/>
  <c r="AK235" i="36"/>
  <c r="AJ235" i="36"/>
  <c r="AI235" i="36"/>
  <c r="AH235" i="36"/>
  <c r="AG235" i="36"/>
  <c r="AF235" i="36"/>
  <c r="AE235" i="36"/>
  <c r="AD235" i="36"/>
  <c r="AC235" i="36"/>
  <c r="AB235" i="36"/>
  <c r="AA235" i="36"/>
  <c r="Z235" i="36"/>
  <c r="DC235" i="36"/>
  <c r="AQ234" i="36"/>
  <c r="AO234" i="36"/>
  <c r="AM234" i="36"/>
  <c r="AL234" i="36"/>
  <c r="AK234" i="36"/>
  <c r="AJ234" i="36"/>
  <c r="AI234" i="36"/>
  <c r="AG234" i="36"/>
  <c r="AE234" i="36"/>
  <c r="AD234" i="36"/>
  <c r="AC234" i="36"/>
  <c r="AB234" i="36"/>
  <c r="AA234" i="36"/>
  <c r="U234" i="36"/>
  <c r="T234" i="36"/>
  <c r="S234" i="36"/>
  <c r="S233" i="36"/>
  <c r="R234" i="36"/>
  <c r="Q234" i="36"/>
  <c r="Q233" i="36"/>
  <c r="P234" i="36"/>
  <c r="O234" i="36"/>
  <c r="O233" i="36"/>
  <c r="N234" i="36"/>
  <c r="M234" i="36"/>
  <c r="L234" i="36"/>
  <c r="K234" i="36"/>
  <c r="K233" i="36"/>
  <c r="J234" i="36"/>
  <c r="AK233" i="36"/>
  <c r="AC233" i="36"/>
  <c r="U233" i="36"/>
  <c r="T233" i="36"/>
  <c r="R233" i="36"/>
  <c r="P233" i="36"/>
  <c r="N233" i="36"/>
  <c r="M233" i="36"/>
  <c r="L233" i="36"/>
  <c r="J233" i="36"/>
  <c r="AQ232" i="36"/>
  <c r="AP232" i="36"/>
  <c r="AO232" i="36"/>
  <c r="AM232" i="36"/>
  <c r="AK232" i="36"/>
  <c r="AJ232" i="36"/>
  <c r="AI232" i="36"/>
  <c r="AH232" i="36"/>
  <c r="AG232" i="36"/>
  <c r="AE232" i="36"/>
  <c r="AC232" i="36"/>
  <c r="AB232" i="36"/>
  <c r="AA232" i="36"/>
  <c r="Z232" i="36"/>
  <c r="DC232" i="36"/>
  <c r="AJ231" i="36"/>
  <c r="AI231" i="36"/>
  <c r="AB231" i="36"/>
  <c r="AA231" i="36"/>
  <c r="Z231" i="36"/>
  <c r="AQ230" i="36"/>
  <c r="AP230" i="36"/>
  <c r="AO230" i="36"/>
  <c r="AN230" i="36"/>
  <c r="AN264" i="36"/>
  <c r="AM230" i="36"/>
  <c r="AM264" i="36"/>
  <c r="AL230" i="36"/>
  <c r="AL263" i="36"/>
  <c r="AK230" i="36"/>
  <c r="AJ230" i="36"/>
  <c r="AI230" i="36"/>
  <c r="AH230" i="36"/>
  <c r="AG230" i="36"/>
  <c r="DC230" i="36"/>
  <c r="AF230" i="36"/>
  <c r="AE230" i="36"/>
  <c r="AE264" i="36"/>
  <c r="AD230" i="36"/>
  <c r="AD263" i="36"/>
  <c r="AC230" i="36"/>
  <c r="AB230" i="36"/>
  <c r="AA230" i="36"/>
  <c r="Z230" i="36"/>
  <c r="AS229" i="36"/>
  <c r="AR229" i="36"/>
  <c r="AQ229" i="36"/>
  <c r="AP229" i="36"/>
  <c r="AO229" i="36"/>
  <c r="AN229" i="36"/>
  <c r="AM229" i="36"/>
  <c r="AL229" i="36"/>
  <c r="AK229" i="36"/>
  <c r="AJ229" i="36"/>
  <c r="AI229" i="36"/>
  <c r="AH229" i="36"/>
  <c r="AG229" i="36"/>
  <c r="AF229" i="36"/>
  <c r="AE229" i="36"/>
  <c r="AD229" i="36"/>
  <c r="AC229" i="36"/>
  <c r="AB229" i="36"/>
  <c r="AA229" i="36"/>
  <c r="Z229" i="36"/>
  <c r="AQ228" i="36"/>
  <c r="AP228" i="36"/>
  <c r="AO228" i="36"/>
  <c r="AN228" i="36"/>
  <c r="AM228" i="36"/>
  <c r="AL228" i="36"/>
  <c r="AK228" i="36"/>
  <c r="AJ228" i="36"/>
  <c r="AI228" i="36"/>
  <c r="AH228" i="36"/>
  <c r="AG228" i="36"/>
  <c r="DC228" i="36"/>
  <c r="AF228" i="36"/>
  <c r="AE228" i="36"/>
  <c r="AD228" i="36"/>
  <c r="AC228" i="36"/>
  <c r="AB228" i="36"/>
  <c r="AA228" i="36"/>
  <c r="Z228" i="36"/>
  <c r="AS227" i="36"/>
  <c r="AR227" i="36"/>
  <c r="AQ227" i="36"/>
  <c r="AP227" i="36"/>
  <c r="AO227" i="36"/>
  <c r="AN227" i="36"/>
  <c r="AM227" i="36"/>
  <c r="AL227" i="36"/>
  <c r="AK227" i="36"/>
  <c r="AJ227" i="36"/>
  <c r="AI227" i="36"/>
  <c r="AH227" i="36"/>
  <c r="AG227" i="36"/>
  <c r="AF227" i="36"/>
  <c r="AF5" i="36"/>
  <c r="AE227" i="36"/>
  <c r="AD227" i="36"/>
  <c r="AC227" i="36"/>
  <c r="AB227" i="36"/>
  <c r="AA227" i="36"/>
  <c r="Z227" i="36"/>
  <c r="DC221" i="36"/>
  <c r="AM220" i="36"/>
  <c r="DC219" i="36"/>
  <c r="DC218" i="36"/>
  <c r="DC217" i="36"/>
  <c r="DI217" i="36"/>
  <c r="DH217" i="36"/>
  <c r="DE217" i="36"/>
  <c r="AQ219" i="36"/>
  <c r="AP219" i="36"/>
  <c r="AO219" i="36"/>
  <c r="AN219" i="36"/>
  <c r="AM219" i="36"/>
  <c r="DC216" i="36"/>
  <c r="DH216" i="36"/>
  <c r="DF216" i="36"/>
  <c r="DE216" i="36"/>
  <c r="DD216" i="36"/>
  <c r="AQ218" i="36"/>
  <c r="AP218" i="36"/>
  <c r="AO218" i="36"/>
  <c r="AN218" i="36"/>
  <c r="AM218" i="36"/>
  <c r="DC215" i="36"/>
  <c r="DC214" i="36"/>
  <c r="DI214" i="36"/>
  <c r="DG214" i="36"/>
  <c r="DE214" i="36"/>
  <c r="DD214" i="36"/>
  <c r="DC213" i="36"/>
  <c r="DA90" i="36"/>
  <c r="CS90" i="36"/>
  <c r="CK90" i="36"/>
  <c r="CC90" i="36"/>
  <c r="BU90" i="36"/>
  <c r="BM90" i="36"/>
  <c r="BE90" i="36"/>
  <c r="AW90" i="36"/>
  <c r="DD213" i="36"/>
  <c r="DC212" i="36"/>
  <c r="DI211" i="36"/>
  <c r="DH211" i="36"/>
  <c r="DG211" i="36"/>
  <c r="DF211" i="36"/>
  <c r="DE211" i="36"/>
  <c r="DD211" i="36"/>
  <c r="DC211" i="36"/>
  <c r="DD210" i="36"/>
  <c r="DC210" i="36"/>
  <c r="DC209" i="36"/>
  <c r="DI208" i="36"/>
  <c r="DH208" i="36"/>
  <c r="DG208" i="36"/>
  <c r="DF208" i="36"/>
  <c r="DE208" i="36"/>
  <c r="DD208" i="36"/>
  <c r="DC208" i="36"/>
  <c r="DC207" i="36"/>
  <c r="DC206" i="36"/>
  <c r="DC205" i="36"/>
  <c r="DC204" i="36"/>
  <c r="DC203" i="36"/>
  <c r="AP203" i="36"/>
  <c r="AO203" i="36"/>
  <c r="AN203" i="36"/>
  <c r="AM203" i="36"/>
  <c r="DC202" i="36"/>
  <c r="DH202" i="36"/>
  <c r="CD220" i="36"/>
  <c r="BR220" i="36"/>
  <c r="BF220" i="36"/>
  <c r="DI201" i="36"/>
  <c r="DH201" i="36"/>
  <c r="DG201" i="36"/>
  <c r="DF201" i="36"/>
  <c r="DE201" i="36"/>
  <c r="DD201" i="36"/>
  <c r="DC201" i="36"/>
  <c r="DI200" i="36"/>
  <c r="DH200" i="36"/>
  <c r="DG200" i="36"/>
  <c r="DF200" i="36"/>
  <c r="DE200" i="36"/>
  <c r="DD200" i="36"/>
  <c r="DC200" i="36"/>
  <c r="DC199" i="36"/>
  <c r="DI199" i="36"/>
  <c r="DG199" i="36"/>
  <c r="AQ193" i="36"/>
  <c r="AO193" i="36"/>
  <c r="AO187" i="36"/>
  <c r="AO61" i="36"/>
  <c r="DI198" i="36"/>
  <c r="DH198" i="36"/>
  <c r="DG198" i="36"/>
  <c r="DF198" i="36"/>
  <c r="DE198" i="36"/>
  <c r="DD198" i="36"/>
  <c r="DC198" i="36"/>
  <c r="DI197" i="36"/>
  <c r="DH197" i="36"/>
  <c r="DG197" i="36"/>
  <c r="DF197" i="36"/>
  <c r="DE197" i="36"/>
  <c r="DD197" i="36"/>
  <c r="DC197" i="36"/>
  <c r="DI196" i="36"/>
  <c r="DH196" i="36"/>
  <c r="DG196" i="36"/>
  <c r="DF196" i="36"/>
  <c r="DE196" i="36"/>
  <c r="DD196" i="36"/>
  <c r="DC196" i="36"/>
  <c r="DC195" i="36"/>
  <c r="DD195" i="36"/>
  <c r="DC194" i="36"/>
  <c r="AT193" i="36"/>
  <c r="DD194" i="36"/>
  <c r="DC193" i="36"/>
  <c r="AS193" i="36"/>
  <c r="AR193" i="36"/>
  <c r="AP193" i="36"/>
  <c r="AP187" i="36"/>
  <c r="AN193" i="36"/>
  <c r="AM193" i="36"/>
  <c r="DC192" i="36"/>
  <c r="DC191" i="36"/>
  <c r="DC190" i="36"/>
  <c r="AP190" i="36"/>
  <c r="AP189" i="36"/>
  <c r="AP215" i="36"/>
  <c r="AO190" i="36"/>
  <c r="AN190" i="36"/>
  <c r="AM190" i="36"/>
  <c r="DC189" i="36"/>
  <c r="AN189" i="36"/>
  <c r="AN215" i="36"/>
  <c r="DC188" i="36"/>
  <c r="AQ188" i="36"/>
  <c r="AP188" i="36"/>
  <c r="AO188" i="36"/>
  <c r="AN188" i="36"/>
  <c r="AM188" i="36"/>
  <c r="DC187" i="36"/>
  <c r="AN187" i="36"/>
  <c r="AM187" i="36"/>
  <c r="DC186" i="36"/>
  <c r="DD185" i="36"/>
  <c r="DC185" i="36"/>
  <c r="DC184" i="36"/>
  <c r="AR184" i="36"/>
  <c r="DC183" i="36"/>
  <c r="CP183" i="36"/>
  <c r="CD183" i="36"/>
  <c r="BR183" i="36"/>
  <c r="AY183" i="36"/>
  <c r="AX183" i="36"/>
  <c r="AW183" i="36"/>
  <c r="DC180" i="36"/>
  <c r="AK179" i="36"/>
  <c r="DC178" i="36"/>
  <c r="DC177" i="36"/>
  <c r="DC176" i="36"/>
  <c r="DI176" i="36"/>
  <c r="DH176" i="36"/>
  <c r="DG176" i="36"/>
  <c r="DE176" i="36"/>
  <c r="AP178" i="36"/>
  <c r="AO178" i="36"/>
  <c r="AN178" i="36"/>
  <c r="AL178" i="36"/>
  <c r="AK178" i="36"/>
  <c r="DC175" i="36"/>
  <c r="DI175" i="36"/>
  <c r="DH175" i="36"/>
  <c r="DF175" i="36"/>
  <c r="DD175" i="36"/>
  <c r="AQ177" i="36"/>
  <c r="AP177" i="36"/>
  <c r="AO177" i="36"/>
  <c r="AN177" i="36"/>
  <c r="AM177" i="36"/>
  <c r="AL177" i="36"/>
  <c r="AK177" i="36"/>
  <c r="DC174" i="36"/>
  <c r="DF173" i="36"/>
  <c r="DC173" i="36"/>
  <c r="DH173" i="36"/>
  <c r="DD173" i="36"/>
  <c r="DC172" i="36"/>
  <c r="CZ90" i="36"/>
  <c r="CJ90" i="36"/>
  <c r="CB90" i="36"/>
  <c r="BL90" i="36"/>
  <c r="BD90" i="36"/>
  <c r="AV90" i="36"/>
  <c r="AO172" i="36"/>
  <c r="AN172" i="36"/>
  <c r="DC171" i="36"/>
  <c r="AO171" i="36"/>
  <c r="AN171" i="36"/>
  <c r="AM171" i="36"/>
  <c r="AL171" i="36"/>
  <c r="AL162" i="36"/>
  <c r="AK171" i="36"/>
  <c r="DD170" i="36"/>
  <c r="DC170" i="36"/>
  <c r="DD169" i="36"/>
  <c r="DC169" i="36"/>
  <c r="DC168" i="36"/>
  <c r="AO168" i="36"/>
  <c r="DI167" i="36"/>
  <c r="DH167" i="36"/>
  <c r="DG167" i="36"/>
  <c r="DF167" i="36"/>
  <c r="DE167" i="36"/>
  <c r="DD167" i="36"/>
  <c r="DC167" i="36"/>
  <c r="DI166" i="36"/>
  <c r="DH166" i="36"/>
  <c r="DG166" i="36"/>
  <c r="DF166" i="36"/>
  <c r="DE166" i="36"/>
  <c r="DD166" i="36"/>
  <c r="DC166" i="36"/>
  <c r="DC165" i="36"/>
  <c r="AO165" i="36"/>
  <c r="DC164" i="36"/>
  <c r="AR82" i="36"/>
  <c r="DC163" i="36"/>
  <c r="DI163" i="36"/>
  <c r="DG163" i="36"/>
  <c r="DE163" i="36"/>
  <c r="DC162" i="36"/>
  <c r="AP162" i="36"/>
  <c r="AN162" i="36"/>
  <c r="AM162" i="36"/>
  <c r="AK162" i="36"/>
  <c r="DC161" i="36"/>
  <c r="CD179" i="36"/>
  <c r="CE179" i="36"/>
  <c r="DG161" i="36"/>
  <c r="BR179" i="36"/>
  <c r="DF161" i="36"/>
  <c r="BF179" i="36"/>
  <c r="DE161" i="36"/>
  <c r="AT179" i="36"/>
  <c r="AO161" i="36"/>
  <c r="DI160" i="36"/>
  <c r="DH160" i="36"/>
  <c r="DG160" i="36"/>
  <c r="DF160" i="36"/>
  <c r="DE160" i="36"/>
  <c r="DD160" i="36"/>
  <c r="DC160" i="36"/>
  <c r="DI159" i="36"/>
  <c r="DH159" i="36"/>
  <c r="DG159" i="36"/>
  <c r="DF159" i="36"/>
  <c r="DE159" i="36"/>
  <c r="DD159" i="36"/>
  <c r="DC159" i="36"/>
  <c r="DC158" i="36"/>
  <c r="AO152" i="36"/>
  <c r="DI157" i="36"/>
  <c r="DH157" i="36"/>
  <c r="DG157" i="36"/>
  <c r="DF157" i="36"/>
  <c r="DE157" i="36"/>
  <c r="DD157" i="36"/>
  <c r="DC157" i="36"/>
  <c r="DI156" i="36"/>
  <c r="DH156" i="36"/>
  <c r="DG156" i="36"/>
  <c r="DF156" i="36"/>
  <c r="DE156" i="36"/>
  <c r="DD156" i="36"/>
  <c r="DC156" i="36"/>
  <c r="DI155" i="36"/>
  <c r="DH155" i="36"/>
  <c r="DG155" i="36"/>
  <c r="DF155" i="36"/>
  <c r="DE155" i="36"/>
  <c r="DD155" i="36"/>
  <c r="DC155" i="36"/>
  <c r="DC154" i="36"/>
  <c r="DD154" i="36"/>
  <c r="DC153" i="36"/>
  <c r="AT152" i="36"/>
  <c r="AR152" i="36"/>
  <c r="AO153" i="36"/>
  <c r="DC152" i="36"/>
  <c r="AS152" i="36"/>
  <c r="AQ152" i="36"/>
  <c r="AQ146" i="36"/>
  <c r="AP152" i="36"/>
  <c r="AN152" i="36"/>
  <c r="AM152" i="36"/>
  <c r="AL152" i="36"/>
  <c r="AK152" i="36"/>
  <c r="AK146" i="36"/>
  <c r="DC151" i="36"/>
  <c r="DC150" i="36"/>
  <c r="AO150" i="36"/>
  <c r="DC149" i="36"/>
  <c r="AQ149" i="36"/>
  <c r="AP149" i="36"/>
  <c r="AO149" i="36"/>
  <c r="AN149" i="36"/>
  <c r="AM149" i="36"/>
  <c r="AL149" i="36"/>
  <c r="AK149" i="36"/>
  <c r="AK148" i="36"/>
  <c r="DC148" i="36"/>
  <c r="AP148" i="36"/>
  <c r="AP174" i="36"/>
  <c r="AO148" i="36"/>
  <c r="AN148" i="36"/>
  <c r="AN174" i="36"/>
  <c r="AM148" i="36"/>
  <c r="AM174" i="36"/>
  <c r="AL148" i="36"/>
  <c r="AL174" i="36"/>
  <c r="DC147" i="36"/>
  <c r="AQ147" i="36"/>
  <c r="AP147" i="36"/>
  <c r="AO147" i="36"/>
  <c r="AN147" i="36"/>
  <c r="AM147" i="36"/>
  <c r="AL147" i="36"/>
  <c r="AK147" i="36"/>
  <c r="DC146" i="36"/>
  <c r="AP146" i="36"/>
  <c r="AO146" i="36"/>
  <c r="AN146" i="36"/>
  <c r="AM146" i="36"/>
  <c r="AL146" i="36"/>
  <c r="DC145" i="36"/>
  <c r="AM145" i="36"/>
  <c r="DD144" i="36"/>
  <c r="DC144" i="36"/>
  <c r="AV152" i="36"/>
  <c r="DC143" i="36"/>
  <c r="AR143" i="36"/>
  <c r="DD142" i="36"/>
  <c r="DC142" i="36"/>
  <c r="CP142" i="36"/>
  <c r="CD142" i="36"/>
  <c r="BR142" i="36"/>
  <c r="BF142" i="36"/>
  <c r="BG142" i="36"/>
  <c r="AW142" i="36"/>
  <c r="DC139" i="36"/>
  <c r="DC138" i="36"/>
  <c r="AH138" i="36"/>
  <c r="AI138" i="36"/>
  <c r="DC137" i="36"/>
  <c r="DC136" i="36"/>
  <c r="DC135" i="36"/>
  <c r="AQ137" i="36"/>
  <c r="AP137" i="36"/>
  <c r="AO137" i="36"/>
  <c r="AN137" i="36"/>
  <c r="AM137" i="36"/>
  <c r="AJ137" i="36"/>
  <c r="AI137" i="36"/>
  <c r="AH137" i="36"/>
  <c r="DC134" i="36"/>
  <c r="DH134" i="36"/>
  <c r="DF134" i="36"/>
  <c r="DD134" i="36"/>
  <c r="AQ136" i="36"/>
  <c r="AP136" i="36"/>
  <c r="AO136" i="36"/>
  <c r="AN136" i="36"/>
  <c r="AM136" i="36"/>
  <c r="AL136" i="36"/>
  <c r="AK136" i="36"/>
  <c r="AJ136" i="36"/>
  <c r="AI136" i="36"/>
  <c r="AH136" i="36"/>
  <c r="AP133" i="36"/>
  <c r="DC132" i="36"/>
  <c r="CZ91" i="36"/>
  <c r="CJ91" i="36"/>
  <c r="CB91" i="36"/>
  <c r="BL91" i="36"/>
  <c r="BD91" i="36"/>
  <c r="AV91" i="36"/>
  <c r="DD132" i="36"/>
  <c r="DC131" i="36"/>
  <c r="DI131" i="36"/>
  <c r="DH131" i="36"/>
  <c r="DG131" i="36"/>
  <c r="DF131" i="36"/>
  <c r="DE131" i="36"/>
  <c r="DD131" i="36"/>
  <c r="DC130" i="36"/>
  <c r="DD129" i="36"/>
  <c r="DC129" i="36"/>
  <c r="DI128" i="36"/>
  <c r="DC127" i="36"/>
  <c r="DI126" i="36"/>
  <c r="DH126" i="36"/>
  <c r="DG126" i="36"/>
  <c r="DF126" i="36"/>
  <c r="DE126" i="36"/>
  <c r="DD126" i="36"/>
  <c r="DC126" i="36"/>
  <c r="DI125" i="36"/>
  <c r="DH125" i="36"/>
  <c r="DG125" i="36"/>
  <c r="DF125" i="36"/>
  <c r="DE125" i="36"/>
  <c r="DD125" i="36"/>
  <c r="DC125" i="36"/>
  <c r="DC124" i="36"/>
  <c r="DC123" i="36"/>
  <c r="DC122" i="36"/>
  <c r="DC121" i="36"/>
  <c r="AP121" i="36"/>
  <c r="AO121" i="36"/>
  <c r="AN121" i="36"/>
  <c r="AM121" i="36"/>
  <c r="AL121" i="36"/>
  <c r="AK121" i="36"/>
  <c r="AJ121" i="36"/>
  <c r="AI121" i="36"/>
  <c r="AI133" i="36"/>
  <c r="AH121" i="36"/>
  <c r="AG121" i="36"/>
  <c r="AF121" i="36"/>
  <c r="AE121" i="36"/>
  <c r="AD121" i="36"/>
  <c r="AC121" i="36"/>
  <c r="AB121" i="36"/>
  <c r="AA121" i="36"/>
  <c r="DC120" i="36"/>
  <c r="DI120" i="36"/>
  <c r="CP138" i="36"/>
  <c r="CQ138" i="36"/>
  <c r="DD120" i="36"/>
  <c r="DI119" i="36"/>
  <c r="DH119" i="36"/>
  <c r="DG119" i="36"/>
  <c r="DF119" i="36"/>
  <c r="DE119" i="36"/>
  <c r="DD119" i="36"/>
  <c r="DC119" i="36"/>
  <c r="DI118" i="36"/>
  <c r="DH118" i="36"/>
  <c r="DG118" i="36"/>
  <c r="DF118" i="36"/>
  <c r="DE118" i="36"/>
  <c r="DD118" i="36"/>
  <c r="DC118" i="36"/>
  <c r="DD117" i="36"/>
  <c r="DC117" i="36"/>
  <c r="DG117" i="36"/>
  <c r="DE117" i="36"/>
  <c r="DI116" i="36"/>
  <c r="DH116" i="36"/>
  <c r="DG116" i="36"/>
  <c r="DF116" i="36"/>
  <c r="DE116" i="36"/>
  <c r="DD116" i="36"/>
  <c r="DC116" i="36"/>
  <c r="DI115" i="36"/>
  <c r="DH115" i="36"/>
  <c r="DG115" i="36"/>
  <c r="DF115" i="36"/>
  <c r="DE115" i="36"/>
  <c r="DD115" i="36"/>
  <c r="DC115" i="36"/>
  <c r="DI114" i="36"/>
  <c r="DH114" i="36"/>
  <c r="DG114" i="36"/>
  <c r="DF114" i="36"/>
  <c r="DE114" i="36"/>
  <c r="DD114" i="36"/>
  <c r="DC114" i="36"/>
  <c r="DC113" i="36"/>
  <c r="DD113" i="36"/>
  <c r="DC112" i="36"/>
  <c r="DD112" i="36"/>
  <c r="AS111" i="36"/>
  <c r="AQ111" i="36"/>
  <c r="AP111" i="36"/>
  <c r="AP105" i="36"/>
  <c r="AO111" i="36"/>
  <c r="AN111" i="36"/>
  <c r="AM111" i="36"/>
  <c r="AL111" i="36"/>
  <c r="AK111" i="36"/>
  <c r="AJ111" i="36"/>
  <c r="AI111" i="36"/>
  <c r="AH111" i="36"/>
  <c r="AG111" i="36"/>
  <c r="AF111" i="36"/>
  <c r="AE111" i="36"/>
  <c r="AD111" i="36"/>
  <c r="AC111" i="36"/>
  <c r="AB111" i="36"/>
  <c r="DC110" i="36"/>
  <c r="DC109" i="36"/>
  <c r="AQ108" i="36"/>
  <c r="AQ107" i="36"/>
  <c r="DC108" i="36"/>
  <c r="AP108" i="36"/>
  <c r="AP107" i="36"/>
  <c r="AO108" i="36"/>
  <c r="AO107" i="36"/>
  <c r="AO133" i="36"/>
  <c r="AN108" i="36"/>
  <c r="AM108" i="36"/>
  <c r="AL108" i="36"/>
  <c r="AK108" i="36"/>
  <c r="AJ108" i="36"/>
  <c r="AI108" i="36"/>
  <c r="AH108" i="36"/>
  <c r="AG108" i="36"/>
  <c r="AG107" i="36"/>
  <c r="AG133" i="36"/>
  <c r="AF108" i="36"/>
  <c r="AE108" i="36"/>
  <c r="AD108" i="36"/>
  <c r="AC108" i="36"/>
  <c r="AB108" i="36"/>
  <c r="AA108" i="36"/>
  <c r="AM107" i="36"/>
  <c r="AM133" i="36"/>
  <c r="AL107" i="36"/>
  <c r="AL133" i="36"/>
  <c r="AK107" i="36"/>
  <c r="AK133" i="36"/>
  <c r="AJ107" i="36"/>
  <c r="AJ133" i="36"/>
  <c r="AE107" i="36"/>
  <c r="AE133" i="36"/>
  <c r="AD107" i="36"/>
  <c r="AD133" i="36"/>
  <c r="AC107" i="36"/>
  <c r="AC133" i="36"/>
  <c r="AB107" i="36"/>
  <c r="AB133" i="36"/>
  <c r="AA107" i="36"/>
  <c r="AQ106" i="36"/>
  <c r="AQ62" i="36"/>
  <c r="AQ10" i="36"/>
  <c r="AP106" i="36"/>
  <c r="AO106" i="36"/>
  <c r="AN106" i="36"/>
  <c r="AM106" i="36"/>
  <c r="AL106" i="36"/>
  <c r="AK106" i="36"/>
  <c r="AJ106" i="36"/>
  <c r="AI106" i="36"/>
  <c r="AH106" i="36"/>
  <c r="AG106" i="36"/>
  <c r="AF106" i="36"/>
  <c r="AE106" i="36"/>
  <c r="AD106" i="36"/>
  <c r="AC106" i="36"/>
  <c r="AB106" i="36"/>
  <c r="AA106" i="36"/>
  <c r="AQ105" i="36"/>
  <c r="AO105" i="36"/>
  <c r="AM105" i="36"/>
  <c r="AL105" i="36"/>
  <c r="AK105" i="36"/>
  <c r="AJ105" i="36"/>
  <c r="AI105" i="36"/>
  <c r="AG105" i="36"/>
  <c r="AE105" i="36"/>
  <c r="AD105" i="36"/>
  <c r="AC105" i="36"/>
  <c r="AB105" i="36"/>
  <c r="AA105" i="36"/>
  <c r="DC104" i="36"/>
  <c r="DD103" i="36"/>
  <c r="DC103" i="36"/>
  <c r="DC102" i="36"/>
  <c r="DC101" i="36"/>
  <c r="AX101" i="36"/>
  <c r="AR102" i="36"/>
  <c r="DC98" i="36"/>
  <c r="DC97" i="36"/>
  <c r="DA94" i="36"/>
  <c r="CZ94" i="36"/>
  <c r="CY94" i="36"/>
  <c r="CV94" i="36"/>
  <c r="CU94" i="36"/>
  <c r="CT94" i="36"/>
  <c r="CQ94" i="36"/>
  <c r="CN94" i="36"/>
  <c r="CL94" i="36"/>
  <c r="CK94" i="36"/>
  <c r="CJ94" i="36"/>
  <c r="CI94" i="36"/>
  <c r="CF94" i="36"/>
  <c r="CE94" i="36"/>
  <c r="CD94" i="36"/>
  <c r="CA94" i="36"/>
  <c r="BX94" i="36"/>
  <c r="BV94" i="36"/>
  <c r="BU94" i="36"/>
  <c r="BT94" i="36"/>
  <c r="BS94" i="36"/>
  <c r="BP94" i="36"/>
  <c r="BO94" i="36"/>
  <c r="BN94" i="36"/>
  <c r="BK94" i="36"/>
  <c r="BH94" i="36"/>
  <c r="BF94" i="36"/>
  <c r="BE94" i="36"/>
  <c r="BD94" i="36"/>
  <c r="BC94" i="36"/>
  <c r="AZ94" i="36"/>
  <c r="AY94" i="36"/>
  <c r="AX94" i="36"/>
  <c r="AW94" i="36"/>
  <c r="AU94" i="36"/>
  <c r="AR94" i="36"/>
  <c r="AP94" i="36"/>
  <c r="AO94" i="36"/>
  <c r="AN94" i="36"/>
  <c r="AM94" i="36"/>
  <c r="AJ94" i="36"/>
  <c r="AI94" i="36"/>
  <c r="AH94" i="36"/>
  <c r="AG94" i="36"/>
  <c r="DC94" i="36"/>
  <c r="AF94" i="36"/>
  <c r="AE94" i="36"/>
  <c r="AD94" i="36"/>
  <c r="AC94" i="36"/>
  <c r="AB94" i="36"/>
  <c r="DA93" i="36"/>
  <c r="DI93" i="36"/>
  <c r="CZ93" i="36"/>
  <c r="CY93" i="36"/>
  <c r="CX93" i="36"/>
  <c r="CW93" i="36"/>
  <c r="CV93" i="36"/>
  <c r="CU93" i="36"/>
  <c r="CR93" i="36"/>
  <c r="CQ93" i="36"/>
  <c r="CP93" i="36"/>
  <c r="CO93" i="36"/>
  <c r="DH93" i="36"/>
  <c r="CN93" i="36"/>
  <c r="CM93" i="36"/>
  <c r="CL93" i="36"/>
  <c r="CK93" i="36"/>
  <c r="CJ93" i="36"/>
  <c r="CH93" i="36"/>
  <c r="CG93" i="36"/>
  <c r="CF93" i="36"/>
  <c r="CE93" i="36"/>
  <c r="CB93" i="36"/>
  <c r="CA93" i="36"/>
  <c r="BZ93" i="36"/>
  <c r="BY93" i="36"/>
  <c r="BX93" i="36"/>
  <c r="BW93" i="36"/>
  <c r="BV93" i="36"/>
  <c r="BU93" i="36"/>
  <c r="BT93" i="36"/>
  <c r="BR93" i="36"/>
  <c r="BQ93" i="36"/>
  <c r="DF93" i="36"/>
  <c r="BP93" i="36"/>
  <c r="BO93" i="36"/>
  <c r="BL93" i="36"/>
  <c r="BK93" i="36"/>
  <c r="BJ93" i="36"/>
  <c r="BI93" i="36"/>
  <c r="BH93" i="36"/>
  <c r="BG93" i="36"/>
  <c r="BF93" i="36"/>
  <c r="BE93" i="36"/>
  <c r="DE93" i="36"/>
  <c r="BD93" i="36"/>
  <c r="BB93" i="36"/>
  <c r="BA93" i="36"/>
  <c r="AZ93" i="36"/>
  <c r="AY93" i="36"/>
  <c r="AV93" i="36"/>
  <c r="AU93" i="36"/>
  <c r="AT93" i="36"/>
  <c r="AS93" i="36"/>
  <c r="DD93" i="36"/>
  <c r="AR93" i="36"/>
  <c r="AQ93" i="36"/>
  <c r="AP93" i="36"/>
  <c r="AO93" i="36"/>
  <c r="AN93" i="36"/>
  <c r="AM93" i="36"/>
  <c r="AM95" i="36"/>
  <c r="AL93" i="36"/>
  <c r="AL95" i="36"/>
  <c r="AK93" i="36"/>
  <c r="AK95" i="36"/>
  <c r="AJ93" i="36"/>
  <c r="AJ95" i="36"/>
  <c r="AI93" i="36"/>
  <c r="AH93" i="36"/>
  <c r="AG93" i="36"/>
  <c r="DC93" i="36"/>
  <c r="AF93" i="36"/>
  <c r="AE93" i="36"/>
  <c r="AE95" i="36"/>
  <c r="AD93" i="36"/>
  <c r="AD95" i="36"/>
  <c r="AC93" i="36"/>
  <c r="AB93" i="36"/>
  <c r="DA91" i="36"/>
  <c r="CY91" i="36"/>
  <c r="CX91" i="36"/>
  <c r="CW91" i="36"/>
  <c r="CV91" i="36"/>
  <c r="CU91" i="36"/>
  <c r="CT91" i="36"/>
  <c r="CS91" i="36"/>
  <c r="CQ91" i="36"/>
  <c r="CP91" i="36"/>
  <c r="CO91" i="36"/>
  <c r="CN91" i="36"/>
  <c r="CM91" i="36"/>
  <c r="CL91" i="36"/>
  <c r="CK91" i="36"/>
  <c r="CI91" i="36"/>
  <c r="CH91" i="36"/>
  <c r="CG91" i="36"/>
  <c r="CF91" i="36"/>
  <c r="CE91" i="36"/>
  <c r="CD91" i="36"/>
  <c r="CC91" i="36"/>
  <c r="CA91" i="36"/>
  <c r="BZ91" i="36"/>
  <c r="BY91" i="36"/>
  <c r="BX91" i="36"/>
  <c r="BW91" i="36"/>
  <c r="BV91" i="36"/>
  <c r="BU91" i="36"/>
  <c r="BS91" i="36"/>
  <c r="BR91" i="36"/>
  <c r="BQ91" i="36"/>
  <c r="BP91" i="36"/>
  <c r="BO91" i="36"/>
  <c r="BN91" i="36"/>
  <c r="BM91" i="36"/>
  <c r="BK91" i="36"/>
  <c r="BJ91" i="36"/>
  <c r="BI91" i="36"/>
  <c r="BH91" i="36"/>
  <c r="BG91" i="36"/>
  <c r="BF91" i="36"/>
  <c r="BE91" i="36"/>
  <c r="BC91" i="36"/>
  <c r="BB91" i="36"/>
  <c r="BA91" i="36"/>
  <c r="AZ91" i="36"/>
  <c r="AY91" i="36"/>
  <c r="AX91" i="36"/>
  <c r="AW91" i="36"/>
  <c r="AU91" i="36"/>
  <c r="AT91" i="36"/>
  <c r="AS91" i="36"/>
  <c r="AR91" i="36"/>
  <c r="AQ91" i="36"/>
  <c r="AP91" i="36"/>
  <c r="AO91" i="36"/>
  <c r="AN91" i="36"/>
  <c r="AM91" i="36"/>
  <c r="AL91" i="36"/>
  <c r="AK91" i="36"/>
  <c r="AJ91" i="36"/>
  <c r="AI91" i="36"/>
  <c r="AH91" i="36"/>
  <c r="AG91" i="36"/>
  <c r="AF91" i="36"/>
  <c r="AE91" i="36"/>
  <c r="AD91" i="36"/>
  <c r="AC91" i="36"/>
  <c r="AB91" i="36"/>
  <c r="AA91" i="36"/>
  <c r="Z91" i="36"/>
  <c r="Y91" i="36"/>
  <c r="X91" i="36"/>
  <c r="DC91" i="36"/>
  <c r="W91" i="36"/>
  <c r="V91" i="36"/>
  <c r="CY90" i="36"/>
  <c r="CX90" i="36"/>
  <c r="CW90" i="36"/>
  <c r="CV90" i="36"/>
  <c r="CU90" i="36"/>
  <c r="CT90" i="36"/>
  <c r="CQ90" i="36"/>
  <c r="CP90" i="36"/>
  <c r="CO90" i="36"/>
  <c r="CN90" i="36"/>
  <c r="CM90" i="36"/>
  <c r="CL90" i="36"/>
  <c r="CI90" i="36"/>
  <c r="CH90" i="36"/>
  <c r="CG90" i="36"/>
  <c r="CF90" i="36"/>
  <c r="CE90" i="36"/>
  <c r="CD90" i="36"/>
  <c r="CA90" i="36"/>
  <c r="BZ90" i="36"/>
  <c r="BY90" i="36"/>
  <c r="BX90" i="36"/>
  <c r="BW90" i="36"/>
  <c r="BV90" i="36"/>
  <c r="BS90" i="36"/>
  <c r="BR90" i="36"/>
  <c r="BQ90" i="36"/>
  <c r="BP90" i="36"/>
  <c r="BO90" i="36"/>
  <c r="BN90" i="36"/>
  <c r="BK90" i="36"/>
  <c r="BJ90" i="36"/>
  <c r="BI90" i="36"/>
  <c r="BH90" i="36"/>
  <c r="BG90" i="36"/>
  <c r="BF90" i="36"/>
  <c r="DF90" i="36"/>
  <c r="BC90" i="36"/>
  <c r="BB90" i="36"/>
  <c r="BA90" i="36"/>
  <c r="AZ90" i="36"/>
  <c r="AY90" i="36"/>
  <c r="AX90" i="36"/>
  <c r="AU90" i="36"/>
  <c r="AT90" i="36"/>
  <c r="AS90" i="36"/>
  <c r="AR90" i="36"/>
  <c r="AQ90" i="36"/>
  <c r="AP90" i="36"/>
  <c r="AO90" i="36"/>
  <c r="AM90" i="36"/>
  <c r="AL90" i="36"/>
  <c r="AK90" i="36"/>
  <c r="AJ90" i="36"/>
  <c r="AI90" i="36"/>
  <c r="AH90" i="36"/>
  <c r="AG90" i="36"/>
  <c r="AF90" i="36"/>
  <c r="AE90" i="36"/>
  <c r="AD90" i="36"/>
  <c r="AC90" i="36"/>
  <c r="AB90" i="36"/>
  <c r="AA90" i="36"/>
  <c r="Z90" i="36"/>
  <c r="Y90" i="36"/>
  <c r="X90" i="36"/>
  <c r="W90" i="36"/>
  <c r="V90" i="36"/>
  <c r="AP89" i="36"/>
  <c r="AO89" i="36"/>
  <c r="AN89" i="36"/>
  <c r="AM89" i="36"/>
  <c r="AL89" i="36"/>
  <c r="AK89" i="36"/>
  <c r="AJ89" i="36"/>
  <c r="AI89" i="36"/>
  <c r="AH89" i="36"/>
  <c r="AG89" i="36"/>
  <c r="AF89" i="36"/>
  <c r="AE89" i="36"/>
  <c r="AD89" i="36"/>
  <c r="AC89" i="36"/>
  <c r="AB89" i="36"/>
  <c r="AA89" i="36"/>
  <c r="Z89" i="36"/>
  <c r="Y89" i="36"/>
  <c r="X89" i="36"/>
  <c r="W89" i="36"/>
  <c r="V89" i="36"/>
  <c r="DD88" i="36"/>
  <c r="DC88" i="36"/>
  <c r="DD87" i="36"/>
  <c r="DC87" i="36"/>
  <c r="AQ86" i="36"/>
  <c r="AP86" i="36"/>
  <c r="AO86" i="36"/>
  <c r="AN86" i="36"/>
  <c r="AM86" i="36"/>
  <c r="AL86" i="36"/>
  <c r="AK86" i="36"/>
  <c r="AJ86" i="36"/>
  <c r="AI86" i="36"/>
  <c r="AH86" i="36"/>
  <c r="AG86" i="36"/>
  <c r="AF86" i="36"/>
  <c r="AE86" i="36"/>
  <c r="AD86" i="36"/>
  <c r="AC86" i="36"/>
  <c r="AB86" i="36"/>
  <c r="AA86" i="36"/>
  <c r="Z86" i="36"/>
  <c r="Y86" i="36"/>
  <c r="X86" i="36"/>
  <c r="W86" i="36"/>
  <c r="V86" i="36"/>
  <c r="DC86" i="36"/>
  <c r="DD85" i="36"/>
  <c r="DA85" i="36"/>
  <c r="CZ85" i="36"/>
  <c r="CY85" i="36"/>
  <c r="CX85" i="36"/>
  <c r="CW85" i="36"/>
  <c r="CV85" i="36"/>
  <c r="CU85" i="36"/>
  <c r="CU34" i="36"/>
  <c r="CT85" i="36"/>
  <c r="CS85" i="36"/>
  <c r="CR85" i="36"/>
  <c r="CQ85" i="36"/>
  <c r="CP85" i="36"/>
  <c r="CO85" i="36"/>
  <c r="CN85" i="36"/>
  <c r="CM85" i="36"/>
  <c r="CM34" i="36"/>
  <c r="CL85" i="36"/>
  <c r="CK85" i="36"/>
  <c r="CJ85" i="36"/>
  <c r="CI85" i="36"/>
  <c r="CH85" i="36"/>
  <c r="CG85" i="36"/>
  <c r="CF85" i="36"/>
  <c r="CE85" i="36"/>
  <c r="CE34" i="36"/>
  <c r="CD85" i="36"/>
  <c r="CC85" i="36"/>
  <c r="CB85" i="36"/>
  <c r="CA85" i="36"/>
  <c r="BZ85" i="36"/>
  <c r="BY85" i="36"/>
  <c r="BX85" i="36"/>
  <c r="BW85" i="36"/>
  <c r="BW34" i="36"/>
  <c r="BV85" i="36"/>
  <c r="BU85" i="36"/>
  <c r="BT85" i="36"/>
  <c r="BS85" i="36"/>
  <c r="BR85" i="36"/>
  <c r="BQ85" i="36"/>
  <c r="BP85" i="36"/>
  <c r="BO85" i="36"/>
  <c r="BO34" i="36"/>
  <c r="BN85" i="36"/>
  <c r="BM85" i="36"/>
  <c r="BL85" i="36"/>
  <c r="BK85" i="36"/>
  <c r="BJ85" i="36"/>
  <c r="BI85" i="36"/>
  <c r="BH85" i="36"/>
  <c r="BG85" i="36"/>
  <c r="BG34" i="36"/>
  <c r="DF34" i="36"/>
  <c r="BF85" i="36"/>
  <c r="BE85" i="36"/>
  <c r="BD85" i="36"/>
  <c r="BC85" i="36"/>
  <c r="BB85" i="36"/>
  <c r="BA85" i="36"/>
  <c r="AZ85" i="36"/>
  <c r="AY85" i="36"/>
  <c r="AX85" i="36"/>
  <c r="AW85" i="36"/>
  <c r="AV85" i="36"/>
  <c r="AU85" i="36"/>
  <c r="AT85" i="36"/>
  <c r="AS85" i="36"/>
  <c r="AR85" i="36"/>
  <c r="AQ85" i="36"/>
  <c r="AQ34" i="36"/>
  <c r="AP85" i="36"/>
  <c r="AO85" i="36"/>
  <c r="AN85" i="36"/>
  <c r="AM85" i="36"/>
  <c r="AL85" i="36"/>
  <c r="AK85" i="36"/>
  <c r="AJ85" i="36"/>
  <c r="AI85" i="36"/>
  <c r="AI34" i="36"/>
  <c r="AH85" i="36"/>
  <c r="AG85" i="36"/>
  <c r="AF85" i="36"/>
  <c r="AE85" i="36"/>
  <c r="AD85" i="36"/>
  <c r="AC85" i="36"/>
  <c r="AB85" i="36"/>
  <c r="AA85" i="36"/>
  <c r="Z85" i="36"/>
  <c r="DC85" i="36"/>
  <c r="Y85" i="36"/>
  <c r="X85" i="36"/>
  <c r="W85" i="36"/>
  <c r="V85" i="36"/>
  <c r="DA84" i="36"/>
  <c r="CO84" i="36"/>
  <c r="CO33" i="36"/>
  <c r="CC84" i="36"/>
  <c r="BQ84" i="36"/>
  <c r="AX84" i="36"/>
  <c r="AV84" i="36"/>
  <c r="AU84" i="36"/>
  <c r="AT84" i="36"/>
  <c r="AQ84" i="36"/>
  <c r="AP84" i="36"/>
  <c r="AO84" i="36"/>
  <c r="AN84" i="36"/>
  <c r="AM84" i="36"/>
  <c r="AL84" i="36"/>
  <c r="AK84" i="36"/>
  <c r="AJ84" i="36"/>
  <c r="AI84" i="36"/>
  <c r="AH84" i="36"/>
  <c r="AG84" i="36"/>
  <c r="AF84" i="36"/>
  <c r="AE84" i="36"/>
  <c r="AD84" i="36"/>
  <c r="AC84" i="36"/>
  <c r="AB84" i="36"/>
  <c r="AA84" i="36"/>
  <c r="Z84" i="36"/>
  <c r="Y84" i="36"/>
  <c r="X84" i="36"/>
  <c r="W84" i="36"/>
  <c r="V84" i="36"/>
  <c r="DC84" i="36"/>
  <c r="AV83" i="36"/>
  <c r="AU83" i="36"/>
  <c r="AT83" i="36"/>
  <c r="AQ83" i="36"/>
  <c r="AQ32" i="36"/>
  <c r="AP83" i="36"/>
  <c r="AP80" i="36"/>
  <c r="AO83" i="36"/>
  <c r="AN83" i="36"/>
  <c r="AM83" i="36"/>
  <c r="AL83" i="36"/>
  <c r="AK83" i="36"/>
  <c r="AJ83" i="36"/>
  <c r="AI83" i="36"/>
  <c r="AH83" i="36"/>
  <c r="AG83" i="36"/>
  <c r="AF83" i="36"/>
  <c r="AE83" i="36"/>
  <c r="AD83" i="36"/>
  <c r="AC83" i="36"/>
  <c r="AB83" i="36"/>
  <c r="AA83" i="36"/>
  <c r="Z83" i="36"/>
  <c r="Z80" i="36"/>
  <c r="Y83" i="36"/>
  <c r="X83" i="36"/>
  <c r="W83" i="36"/>
  <c r="V83" i="36"/>
  <c r="AQ82" i="36"/>
  <c r="AP82" i="36"/>
  <c r="AO82" i="36"/>
  <c r="AN82" i="36"/>
  <c r="AM82" i="36"/>
  <c r="AL82" i="36"/>
  <c r="AK82" i="36"/>
  <c r="AK80" i="36"/>
  <c r="AJ82" i="36"/>
  <c r="AI82" i="36"/>
  <c r="AH82" i="36"/>
  <c r="AG82" i="36"/>
  <c r="AF82" i="36"/>
  <c r="AE82" i="36"/>
  <c r="AD82" i="36"/>
  <c r="AC82" i="36"/>
  <c r="AC80" i="36"/>
  <c r="AB82" i="36"/>
  <c r="AB80" i="36"/>
  <c r="AA82" i="36"/>
  <c r="Z82" i="36"/>
  <c r="Y82" i="36"/>
  <c r="X82" i="36"/>
  <c r="W82" i="36"/>
  <c r="V82" i="36"/>
  <c r="AV81" i="36"/>
  <c r="AU81" i="36"/>
  <c r="AT81" i="36"/>
  <c r="AQ81" i="36"/>
  <c r="AP81" i="36"/>
  <c r="AO81" i="36"/>
  <c r="AN81" i="36"/>
  <c r="AN80" i="36"/>
  <c r="AM81" i="36"/>
  <c r="AL81" i="36"/>
  <c r="AL80" i="36"/>
  <c r="AK81" i="36"/>
  <c r="AJ81" i="36"/>
  <c r="AI81" i="36"/>
  <c r="AH81" i="36"/>
  <c r="AG81" i="36"/>
  <c r="AF81" i="36"/>
  <c r="AF80" i="36"/>
  <c r="AE81" i="36"/>
  <c r="AD81" i="36"/>
  <c r="AD80" i="36"/>
  <c r="AC81" i="36"/>
  <c r="AB81" i="36"/>
  <c r="AA81" i="36"/>
  <c r="Z81" i="36"/>
  <c r="Y81" i="36"/>
  <c r="X81" i="36"/>
  <c r="X80" i="36"/>
  <c r="W81" i="36"/>
  <c r="V81" i="36"/>
  <c r="W80" i="36"/>
  <c r="V80" i="36"/>
  <c r="DA79" i="36"/>
  <c r="CZ79" i="36"/>
  <c r="CZ28" i="36"/>
  <c r="CY79" i="36"/>
  <c r="CX79" i="36"/>
  <c r="CW79" i="36"/>
  <c r="CV79" i="36"/>
  <c r="CU79" i="36"/>
  <c r="CT79" i="36"/>
  <c r="CT28" i="36"/>
  <c r="CS79" i="36"/>
  <c r="CR79" i="36"/>
  <c r="CR28" i="36"/>
  <c r="CQ79" i="36"/>
  <c r="CP79" i="36"/>
  <c r="CP97" i="36"/>
  <c r="CO79" i="36"/>
  <c r="CN79" i="36"/>
  <c r="CM79" i="36"/>
  <c r="CL79" i="36"/>
  <c r="CL28" i="36"/>
  <c r="CK79" i="36"/>
  <c r="CJ79" i="36"/>
  <c r="CJ28" i="36"/>
  <c r="CI79" i="36"/>
  <c r="CH79" i="36"/>
  <c r="CG79" i="36"/>
  <c r="CF79" i="36"/>
  <c r="CE79" i="36"/>
  <c r="CD79" i="36"/>
  <c r="CD97" i="36"/>
  <c r="CE97" i="36"/>
  <c r="CC79" i="36"/>
  <c r="CB79" i="36"/>
  <c r="CB28" i="36"/>
  <c r="CA79" i="36"/>
  <c r="BZ79" i="36"/>
  <c r="BY79" i="36"/>
  <c r="BX79" i="36"/>
  <c r="BW79" i="36"/>
  <c r="BV79" i="36"/>
  <c r="BV28" i="36"/>
  <c r="BU79" i="36"/>
  <c r="BT79" i="36"/>
  <c r="BT28" i="36"/>
  <c r="BS79" i="36"/>
  <c r="BR79" i="36"/>
  <c r="BR97" i="36"/>
  <c r="BQ79" i="36"/>
  <c r="BP79" i="36"/>
  <c r="BO79" i="36"/>
  <c r="BN79" i="36"/>
  <c r="BN28" i="36"/>
  <c r="BM79" i="36"/>
  <c r="BL79" i="36"/>
  <c r="BL28" i="36"/>
  <c r="BK79" i="36"/>
  <c r="BJ79" i="36"/>
  <c r="BI79" i="36"/>
  <c r="BH79" i="36"/>
  <c r="BG79" i="36"/>
  <c r="BF79" i="36"/>
  <c r="BF97" i="36"/>
  <c r="BG97" i="36"/>
  <c r="BE79" i="36"/>
  <c r="BD79" i="36"/>
  <c r="BD28" i="36"/>
  <c r="BC79" i="36"/>
  <c r="BB79" i="36"/>
  <c r="BA79" i="36"/>
  <c r="AZ79" i="36"/>
  <c r="AY79" i="36"/>
  <c r="AX79" i="36"/>
  <c r="AW79" i="36"/>
  <c r="AV79" i="36"/>
  <c r="AV28" i="36"/>
  <c r="AU79" i="36"/>
  <c r="AT79" i="36"/>
  <c r="AS79" i="36"/>
  <c r="AR79" i="36"/>
  <c r="AQ79" i="36"/>
  <c r="AP79" i="36"/>
  <c r="AP28" i="36"/>
  <c r="AO79" i="36"/>
  <c r="AO28" i="36"/>
  <c r="AN79" i="36"/>
  <c r="AM79" i="36"/>
  <c r="AL79" i="36"/>
  <c r="AK79" i="36"/>
  <c r="AJ79" i="36"/>
  <c r="AI79" i="36"/>
  <c r="AH79" i="36"/>
  <c r="AH97" i="36"/>
  <c r="AI97" i="36"/>
  <c r="AG79" i="36"/>
  <c r="AG28" i="36"/>
  <c r="AF79" i="36"/>
  <c r="AE79" i="36"/>
  <c r="AD79" i="36"/>
  <c r="AC79" i="36"/>
  <c r="AB79" i="36"/>
  <c r="AA79" i="36"/>
  <c r="Z79" i="36"/>
  <c r="Z28" i="36"/>
  <c r="Y79" i="36"/>
  <c r="X79" i="36"/>
  <c r="W79" i="36"/>
  <c r="V79" i="36"/>
  <c r="DI78" i="36"/>
  <c r="DH78" i="36"/>
  <c r="DG78" i="36"/>
  <c r="DF78" i="36"/>
  <c r="DE78" i="36"/>
  <c r="DD78" i="36"/>
  <c r="DC78" i="36"/>
  <c r="DI77" i="36"/>
  <c r="DI76" i="36"/>
  <c r="DA75" i="36"/>
  <c r="CZ75" i="36"/>
  <c r="CY75" i="36"/>
  <c r="CX75" i="36"/>
  <c r="CW75" i="36"/>
  <c r="CV75" i="36"/>
  <c r="CU75" i="36"/>
  <c r="CT75" i="36"/>
  <c r="CS75" i="36"/>
  <c r="CR75" i="36"/>
  <c r="CQ75" i="36"/>
  <c r="CP75" i="36"/>
  <c r="CO75" i="36"/>
  <c r="CN75" i="36"/>
  <c r="CM75" i="36"/>
  <c r="CL75" i="36"/>
  <c r="CK75" i="36"/>
  <c r="CJ75" i="36"/>
  <c r="CI75" i="36"/>
  <c r="CH75" i="36"/>
  <c r="CG75" i="36"/>
  <c r="CF75" i="36"/>
  <c r="CE75" i="36"/>
  <c r="CD75" i="36"/>
  <c r="CC75" i="36"/>
  <c r="CB75" i="36"/>
  <c r="CA75" i="36"/>
  <c r="BZ75" i="36"/>
  <c r="BY75" i="36"/>
  <c r="BX75" i="36"/>
  <c r="BW75" i="36"/>
  <c r="BV75" i="36"/>
  <c r="BU75" i="36"/>
  <c r="BT75" i="36"/>
  <c r="BS75" i="36"/>
  <c r="BR75" i="36"/>
  <c r="BQ75" i="36"/>
  <c r="BP75" i="36"/>
  <c r="BO75" i="36"/>
  <c r="BN75" i="36"/>
  <c r="BM75" i="36"/>
  <c r="BL75" i="36"/>
  <c r="BK75" i="36"/>
  <c r="BJ75" i="36"/>
  <c r="BI75" i="36"/>
  <c r="BH75" i="36"/>
  <c r="BG75" i="36"/>
  <c r="BF75" i="36"/>
  <c r="BE75" i="36"/>
  <c r="BD75" i="36"/>
  <c r="BC75" i="36"/>
  <c r="BB75" i="36"/>
  <c r="BA75" i="36"/>
  <c r="AZ75" i="36"/>
  <c r="AY75" i="36"/>
  <c r="AX75" i="36"/>
  <c r="AW75" i="36"/>
  <c r="AV75" i="36"/>
  <c r="AU75" i="36"/>
  <c r="AT75" i="36"/>
  <c r="AS75" i="36"/>
  <c r="AR75" i="36"/>
  <c r="AQ75" i="36"/>
  <c r="AP75" i="36"/>
  <c r="AO75" i="36"/>
  <c r="AN75" i="36"/>
  <c r="AM75" i="36"/>
  <c r="AL75" i="36"/>
  <c r="AL23" i="36"/>
  <c r="AK75" i="36"/>
  <c r="AK23" i="36"/>
  <c r="AJ75" i="36"/>
  <c r="AI75" i="36"/>
  <c r="AH75" i="36"/>
  <c r="AG75" i="36"/>
  <c r="AF75" i="36"/>
  <c r="AE75" i="36"/>
  <c r="AD75" i="36"/>
  <c r="AD23" i="36"/>
  <c r="AC75" i="36"/>
  <c r="AC23" i="36"/>
  <c r="AB75" i="36"/>
  <c r="AA75" i="36"/>
  <c r="Z75" i="36"/>
  <c r="Y75" i="36"/>
  <c r="X75" i="36"/>
  <c r="W75" i="36"/>
  <c r="V75" i="36"/>
  <c r="DI74" i="36"/>
  <c r="DA74" i="36"/>
  <c r="DA22" i="36"/>
  <c r="CZ74" i="36"/>
  <c r="CZ22" i="36"/>
  <c r="CY74" i="36"/>
  <c r="CX74" i="36"/>
  <c r="CW74" i="36"/>
  <c r="CV74" i="36"/>
  <c r="CU74" i="36"/>
  <c r="CT74" i="36"/>
  <c r="CS74" i="36"/>
  <c r="CS22" i="36"/>
  <c r="CR74" i="36"/>
  <c r="CR22" i="36"/>
  <c r="CQ74" i="36"/>
  <c r="CP74" i="36"/>
  <c r="CO74" i="36"/>
  <c r="CN74" i="36"/>
  <c r="CM74" i="36"/>
  <c r="CL74" i="36"/>
  <c r="CK74" i="36"/>
  <c r="CJ74" i="36"/>
  <c r="CI74" i="36"/>
  <c r="CH74" i="36"/>
  <c r="CG74" i="36"/>
  <c r="CF74" i="36"/>
  <c r="CE74" i="36"/>
  <c r="CD74" i="36"/>
  <c r="DH74" i="36"/>
  <c r="CC74" i="36"/>
  <c r="CB74" i="36"/>
  <c r="CA74" i="36"/>
  <c r="BZ74" i="36"/>
  <c r="BY74" i="36"/>
  <c r="BX74" i="36"/>
  <c r="BW74" i="36"/>
  <c r="BV74" i="36"/>
  <c r="BU74" i="36"/>
  <c r="BT74" i="36"/>
  <c r="BS74" i="36"/>
  <c r="BR74" i="36"/>
  <c r="BQ74" i="36"/>
  <c r="BP74" i="36"/>
  <c r="BO74" i="36"/>
  <c r="BN74" i="36"/>
  <c r="BM74" i="36"/>
  <c r="BL74" i="36"/>
  <c r="BK74" i="36"/>
  <c r="BJ74" i="36"/>
  <c r="BI74" i="36"/>
  <c r="BH74" i="36"/>
  <c r="BG74" i="36"/>
  <c r="BF74" i="36"/>
  <c r="DF74" i="36"/>
  <c r="BE74" i="36"/>
  <c r="BD74" i="36"/>
  <c r="BC74" i="36"/>
  <c r="BB74" i="36"/>
  <c r="BA74" i="36"/>
  <c r="AZ74" i="36"/>
  <c r="AY74" i="36"/>
  <c r="AX74" i="36"/>
  <c r="AW74" i="36"/>
  <c r="AV74" i="36"/>
  <c r="AU74" i="36"/>
  <c r="AT74" i="36"/>
  <c r="AS74" i="36"/>
  <c r="AR74" i="36"/>
  <c r="AQ74" i="36"/>
  <c r="AP74" i="36"/>
  <c r="AO74" i="36"/>
  <c r="AO22" i="36"/>
  <c r="AN74" i="36"/>
  <c r="AN22" i="36"/>
  <c r="AM74" i="36"/>
  <c r="AL74" i="36"/>
  <c r="AK74" i="36"/>
  <c r="AJ74" i="36"/>
  <c r="AI74" i="36"/>
  <c r="AH74" i="36"/>
  <c r="DD74" i="36"/>
  <c r="AG74" i="36"/>
  <c r="AG22" i="36"/>
  <c r="AF74" i="36"/>
  <c r="AF22" i="36"/>
  <c r="AE74" i="36"/>
  <c r="AD74" i="36"/>
  <c r="AC74" i="36"/>
  <c r="AB74" i="36"/>
  <c r="AA74" i="36"/>
  <c r="Z74" i="36"/>
  <c r="Y74" i="36"/>
  <c r="Y22" i="36"/>
  <c r="X74" i="36"/>
  <c r="W74" i="36"/>
  <c r="V74" i="36"/>
  <c r="DA73" i="36"/>
  <c r="CZ73" i="36"/>
  <c r="CY73" i="36"/>
  <c r="CY21" i="36"/>
  <c r="CX73" i="36"/>
  <c r="CW73" i="36"/>
  <c r="CV73" i="36"/>
  <c r="CV21" i="36"/>
  <c r="CU73" i="36"/>
  <c r="CU21" i="36"/>
  <c r="CT73" i="36"/>
  <c r="CS73" i="36"/>
  <c r="CR73" i="36"/>
  <c r="CQ73" i="36"/>
  <c r="CQ21" i="36"/>
  <c r="CP73" i="36"/>
  <c r="CO73" i="36"/>
  <c r="CN73" i="36"/>
  <c r="CN21" i="36"/>
  <c r="CM73" i="36"/>
  <c r="CM21" i="36"/>
  <c r="CL73" i="36"/>
  <c r="CK73" i="36"/>
  <c r="CJ73" i="36"/>
  <c r="CI73" i="36"/>
  <c r="CI21" i="36"/>
  <c r="CH73" i="36"/>
  <c r="CG73" i="36"/>
  <c r="CF73" i="36"/>
  <c r="CF21" i="36"/>
  <c r="CE73" i="36"/>
  <c r="CD73" i="36"/>
  <c r="CC73" i="36"/>
  <c r="CB73" i="36"/>
  <c r="CA73" i="36"/>
  <c r="BZ73" i="36"/>
  <c r="BY73" i="36"/>
  <c r="BX73" i="36"/>
  <c r="BX21" i="36"/>
  <c r="BW73" i="36"/>
  <c r="BW21" i="36"/>
  <c r="BV73" i="36"/>
  <c r="BU73" i="36"/>
  <c r="BT73" i="36"/>
  <c r="BS73" i="36"/>
  <c r="BS21" i="36"/>
  <c r="BR73" i="36"/>
  <c r="BQ73" i="36"/>
  <c r="BP73" i="36"/>
  <c r="BP21" i="36"/>
  <c r="BO73" i="36"/>
  <c r="BO21" i="36"/>
  <c r="BN73" i="36"/>
  <c r="BM73" i="36"/>
  <c r="BL73" i="36"/>
  <c r="BK73" i="36"/>
  <c r="BK21" i="36"/>
  <c r="BJ73" i="36"/>
  <c r="BI73" i="36"/>
  <c r="BH73" i="36"/>
  <c r="BH21" i="36"/>
  <c r="BG73" i="36"/>
  <c r="BF73" i="36"/>
  <c r="BE73" i="36"/>
  <c r="BD73" i="36"/>
  <c r="BC73" i="36"/>
  <c r="BC21" i="36"/>
  <c r="BB73" i="36"/>
  <c r="BA73" i="36"/>
  <c r="AZ73" i="36"/>
  <c r="AZ21" i="36"/>
  <c r="AY73" i="36"/>
  <c r="AX73" i="36"/>
  <c r="AW73" i="36"/>
  <c r="AV73" i="36"/>
  <c r="AU73" i="36"/>
  <c r="AT73" i="36"/>
  <c r="AS73" i="36"/>
  <c r="AR73" i="36"/>
  <c r="AR21" i="36"/>
  <c r="AQ73" i="36"/>
  <c r="AQ21" i="36"/>
  <c r="AP73" i="36"/>
  <c r="AO73" i="36"/>
  <c r="DD73" i="36"/>
  <c r="AN73" i="36"/>
  <c r="AM73" i="36"/>
  <c r="AL73" i="36"/>
  <c r="AK73" i="36"/>
  <c r="AJ73" i="36"/>
  <c r="AJ21" i="36"/>
  <c r="AI73" i="36"/>
  <c r="AI21" i="36"/>
  <c r="AH73" i="36"/>
  <c r="AG73" i="36"/>
  <c r="AF73" i="36"/>
  <c r="AE73" i="36"/>
  <c r="AD73" i="36"/>
  <c r="AC73" i="36"/>
  <c r="AB73" i="36"/>
  <c r="AB21" i="36"/>
  <c r="AA73" i="36"/>
  <c r="AA21" i="36"/>
  <c r="Z73" i="36"/>
  <c r="Y73" i="36"/>
  <c r="X73" i="36"/>
  <c r="W73" i="36"/>
  <c r="V73" i="36"/>
  <c r="DC73" i="36"/>
  <c r="DA72" i="36"/>
  <c r="CZ72" i="36"/>
  <c r="CY72" i="36"/>
  <c r="CX72" i="36"/>
  <c r="CW72" i="36"/>
  <c r="CV72" i="36"/>
  <c r="CU72" i="36"/>
  <c r="CT72" i="36"/>
  <c r="CS72" i="36"/>
  <c r="CR72" i="36"/>
  <c r="CQ72" i="36"/>
  <c r="CP72" i="36"/>
  <c r="CO72" i="36"/>
  <c r="CN72" i="36"/>
  <c r="CM72" i="36"/>
  <c r="CL72" i="36"/>
  <c r="CK72" i="36"/>
  <c r="CJ72" i="36"/>
  <c r="CI72" i="36"/>
  <c r="CH72" i="36"/>
  <c r="CG72" i="36"/>
  <c r="CF72" i="36"/>
  <c r="CE72" i="36"/>
  <c r="CD72" i="36"/>
  <c r="CC72" i="36"/>
  <c r="CB72" i="36"/>
  <c r="CA72" i="36"/>
  <c r="BZ72" i="36"/>
  <c r="BY72" i="36"/>
  <c r="BX72" i="36"/>
  <c r="BW72" i="36"/>
  <c r="BV72" i="36"/>
  <c r="BU72" i="36"/>
  <c r="BT72" i="36"/>
  <c r="BS72" i="36"/>
  <c r="BR72" i="36"/>
  <c r="BQ72" i="36"/>
  <c r="BP72" i="36"/>
  <c r="BO72" i="36"/>
  <c r="BN72" i="36"/>
  <c r="BM72" i="36"/>
  <c r="BL72" i="36"/>
  <c r="BK72" i="36"/>
  <c r="BJ72" i="36"/>
  <c r="BI72" i="36"/>
  <c r="BH72" i="36"/>
  <c r="BG72" i="36"/>
  <c r="BF72" i="36"/>
  <c r="BE72" i="36"/>
  <c r="BD72" i="36"/>
  <c r="BC72" i="36"/>
  <c r="BB72" i="36"/>
  <c r="BA72" i="36"/>
  <c r="AZ72" i="36"/>
  <c r="AY72" i="36"/>
  <c r="AX72" i="36"/>
  <c r="AW72" i="36"/>
  <c r="AV72" i="36"/>
  <c r="AU72" i="36"/>
  <c r="AT72" i="36"/>
  <c r="AS72" i="36"/>
  <c r="AR72" i="36"/>
  <c r="AQ72" i="36"/>
  <c r="AP72" i="36"/>
  <c r="AO72" i="36"/>
  <c r="AN72" i="36"/>
  <c r="AM72" i="36"/>
  <c r="AM20" i="36"/>
  <c r="AL72" i="36"/>
  <c r="AL20" i="36"/>
  <c r="AK72" i="36"/>
  <c r="AJ72" i="36"/>
  <c r="AI72" i="36"/>
  <c r="AH72" i="36"/>
  <c r="AG72" i="36"/>
  <c r="AF72" i="36"/>
  <c r="AE72" i="36"/>
  <c r="AE20" i="36"/>
  <c r="AD72" i="36"/>
  <c r="AD20" i="36"/>
  <c r="AC72" i="36"/>
  <c r="AB72" i="36"/>
  <c r="AA72" i="36"/>
  <c r="Z72" i="36"/>
  <c r="Y72" i="36"/>
  <c r="X72" i="36"/>
  <c r="W72" i="36"/>
  <c r="W20" i="36"/>
  <c r="V72" i="36"/>
  <c r="DA71" i="36"/>
  <c r="CZ71" i="36"/>
  <c r="CY71" i="36"/>
  <c r="CX71" i="36"/>
  <c r="CW71" i="36"/>
  <c r="CV71" i="36"/>
  <c r="CU71" i="36"/>
  <c r="CT71" i="36"/>
  <c r="CS71" i="36"/>
  <c r="CR71" i="36"/>
  <c r="CQ71" i="36"/>
  <c r="CP71" i="36"/>
  <c r="DI71" i="36"/>
  <c r="CO71" i="36"/>
  <c r="CN71" i="36"/>
  <c r="CM71" i="36"/>
  <c r="CL71" i="36"/>
  <c r="CK71" i="36"/>
  <c r="CJ71" i="36"/>
  <c r="CI71" i="36"/>
  <c r="CH71" i="36"/>
  <c r="CG71" i="36"/>
  <c r="CF71" i="36"/>
  <c r="CE71" i="36"/>
  <c r="CD71" i="36"/>
  <c r="DH71" i="36"/>
  <c r="CC71" i="36"/>
  <c r="CB71" i="36"/>
  <c r="CA71" i="36"/>
  <c r="BZ71" i="36"/>
  <c r="BY71" i="36"/>
  <c r="BX71" i="36"/>
  <c r="BW71" i="36"/>
  <c r="BV71" i="36"/>
  <c r="BU71" i="36"/>
  <c r="BT71" i="36"/>
  <c r="BS71" i="36"/>
  <c r="BR71" i="36"/>
  <c r="DG71" i="36"/>
  <c r="BQ71" i="36"/>
  <c r="BP71" i="36"/>
  <c r="BO71" i="36"/>
  <c r="BN71" i="36"/>
  <c r="BM71" i="36"/>
  <c r="BL71" i="36"/>
  <c r="BK71" i="36"/>
  <c r="BJ71" i="36"/>
  <c r="BI71" i="36"/>
  <c r="BH71" i="36"/>
  <c r="BG71" i="36"/>
  <c r="BF71" i="36"/>
  <c r="DF71" i="36"/>
  <c r="BE71" i="36"/>
  <c r="BD71" i="36"/>
  <c r="BC71" i="36"/>
  <c r="BB71" i="36"/>
  <c r="BA71" i="36"/>
  <c r="AZ71" i="36"/>
  <c r="AY71" i="36"/>
  <c r="AX71" i="36"/>
  <c r="AW71" i="36"/>
  <c r="AV71" i="36"/>
  <c r="AU71" i="36"/>
  <c r="DE71" i="36"/>
  <c r="AT71" i="36"/>
  <c r="AS71" i="36"/>
  <c r="AR71" i="36"/>
  <c r="AQ71" i="36"/>
  <c r="AP71" i="36"/>
  <c r="AP19" i="36"/>
  <c r="AO71" i="36"/>
  <c r="AO19" i="36"/>
  <c r="AN71" i="36"/>
  <c r="AM71" i="36"/>
  <c r="AL71" i="36"/>
  <c r="AK71" i="36"/>
  <c r="AJ71" i="36"/>
  <c r="AI71" i="36"/>
  <c r="AH71" i="36"/>
  <c r="AH19" i="36"/>
  <c r="AG71" i="36"/>
  <c r="AG19" i="36"/>
  <c r="AF71" i="36"/>
  <c r="AE71" i="36"/>
  <c r="AD71" i="36"/>
  <c r="AC71" i="36"/>
  <c r="AB71" i="36"/>
  <c r="AA71" i="36"/>
  <c r="Z71" i="36"/>
  <c r="Z19" i="36"/>
  <c r="Y71" i="36"/>
  <c r="X71" i="36"/>
  <c r="W71" i="36"/>
  <c r="V71" i="36"/>
  <c r="DA70" i="36"/>
  <c r="CZ70" i="36"/>
  <c r="CY70" i="36"/>
  <c r="CX70" i="36"/>
  <c r="CW70" i="36"/>
  <c r="CV70" i="36"/>
  <c r="CU70" i="36"/>
  <c r="CT70" i="36"/>
  <c r="CS70" i="36"/>
  <c r="CR70" i="36"/>
  <c r="CQ70" i="36"/>
  <c r="CP70" i="36"/>
  <c r="CO70" i="36"/>
  <c r="CO18" i="36"/>
  <c r="CN70" i="36"/>
  <c r="CM70" i="36"/>
  <c r="CL70" i="36"/>
  <c r="CK70" i="36"/>
  <c r="CJ70" i="36"/>
  <c r="CI70" i="36"/>
  <c r="CH70" i="36"/>
  <c r="CG70" i="36"/>
  <c r="CF70" i="36"/>
  <c r="CE70" i="36"/>
  <c r="CD70" i="36"/>
  <c r="CC70" i="36"/>
  <c r="CB70" i="36"/>
  <c r="CA70" i="36"/>
  <c r="BZ70" i="36"/>
  <c r="BY70" i="36"/>
  <c r="BX70" i="36"/>
  <c r="BW70" i="36"/>
  <c r="BV70" i="36"/>
  <c r="BU70" i="36"/>
  <c r="BT70" i="36"/>
  <c r="BS70" i="36"/>
  <c r="BR70" i="36"/>
  <c r="BQ70" i="36"/>
  <c r="BP70" i="36"/>
  <c r="BO70" i="36"/>
  <c r="BN70" i="36"/>
  <c r="BM70" i="36"/>
  <c r="BL70" i="36"/>
  <c r="BK70" i="36"/>
  <c r="BJ70" i="36"/>
  <c r="BI70" i="36"/>
  <c r="BH70" i="36"/>
  <c r="BG70" i="36"/>
  <c r="BF70" i="36"/>
  <c r="BE70" i="36"/>
  <c r="BD70" i="36"/>
  <c r="BC70" i="36"/>
  <c r="BB70" i="36"/>
  <c r="BA70" i="36"/>
  <c r="AZ70" i="36"/>
  <c r="AY70" i="36"/>
  <c r="AX70" i="36"/>
  <c r="AW70" i="36"/>
  <c r="AV70" i="36"/>
  <c r="AU70" i="36"/>
  <c r="AT70" i="36"/>
  <c r="AS70" i="36"/>
  <c r="AS18" i="36"/>
  <c r="AR70" i="36"/>
  <c r="AQ70" i="36"/>
  <c r="AP70" i="36"/>
  <c r="AO70" i="36"/>
  <c r="AN70" i="36"/>
  <c r="AM70" i="36"/>
  <c r="AL70" i="36"/>
  <c r="AK70" i="36"/>
  <c r="AK18" i="36"/>
  <c r="AJ70" i="36"/>
  <c r="AJ18" i="36"/>
  <c r="AI70" i="36"/>
  <c r="AH70" i="36"/>
  <c r="AG70" i="36"/>
  <c r="AF70" i="36"/>
  <c r="AE70" i="36"/>
  <c r="AD70" i="36"/>
  <c r="AC70" i="36"/>
  <c r="AC18" i="36"/>
  <c r="AB70" i="36"/>
  <c r="AB18" i="36"/>
  <c r="AA70" i="36"/>
  <c r="Z70" i="36"/>
  <c r="Y70" i="36"/>
  <c r="X70" i="36"/>
  <c r="W70" i="36"/>
  <c r="V70" i="36"/>
  <c r="AS69" i="36"/>
  <c r="AR69" i="36"/>
  <c r="AQ69" i="36"/>
  <c r="AQ17" i="36"/>
  <c r="AP69" i="36"/>
  <c r="AO69" i="36"/>
  <c r="AN69" i="36"/>
  <c r="AN17" i="36"/>
  <c r="AM69" i="36"/>
  <c r="AM17" i="36"/>
  <c r="AL69" i="36"/>
  <c r="AK69" i="36"/>
  <c r="AJ69" i="36"/>
  <c r="AI69" i="36"/>
  <c r="AH69" i="36"/>
  <c r="AG69" i="36"/>
  <c r="AF69" i="36"/>
  <c r="AF17" i="36"/>
  <c r="AE69" i="36"/>
  <c r="AE17" i="36"/>
  <c r="AD69" i="36"/>
  <c r="AC69" i="36"/>
  <c r="AB69" i="36"/>
  <c r="AA69" i="36"/>
  <c r="Z69" i="36"/>
  <c r="Y69" i="36"/>
  <c r="X69" i="36"/>
  <c r="X17" i="36"/>
  <c r="W69" i="36"/>
  <c r="W17" i="36"/>
  <c r="V69" i="36"/>
  <c r="DC69" i="36"/>
  <c r="DC68" i="36"/>
  <c r="AV68" i="36"/>
  <c r="AT68" i="36"/>
  <c r="AS68" i="36"/>
  <c r="AR68" i="36"/>
  <c r="AQ68" i="36"/>
  <c r="AQ16" i="36"/>
  <c r="AP68" i="36"/>
  <c r="AP16" i="36"/>
  <c r="AO68" i="36"/>
  <c r="AN68" i="36"/>
  <c r="AM68" i="36"/>
  <c r="AL68" i="36"/>
  <c r="AK68" i="36"/>
  <c r="AJ68" i="36"/>
  <c r="AI68" i="36"/>
  <c r="AI16" i="36"/>
  <c r="AH68" i="36"/>
  <c r="AG68" i="36"/>
  <c r="AF68" i="36"/>
  <c r="AE68" i="36"/>
  <c r="AD68" i="36"/>
  <c r="AC68" i="36"/>
  <c r="AB68" i="36"/>
  <c r="AA68" i="36"/>
  <c r="AA16" i="36"/>
  <c r="Z68" i="36"/>
  <c r="Z16" i="36"/>
  <c r="Y68" i="36"/>
  <c r="X68" i="36"/>
  <c r="W68" i="36"/>
  <c r="V68" i="36"/>
  <c r="AS67" i="36"/>
  <c r="AQ67" i="36"/>
  <c r="AP67" i="36"/>
  <c r="AM67" i="36"/>
  <c r="AL67" i="36"/>
  <c r="AK67" i="36"/>
  <c r="AJ67" i="36"/>
  <c r="AI67" i="36"/>
  <c r="AH67" i="36"/>
  <c r="AG67" i="36"/>
  <c r="AE67" i="36"/>
  <c r="AD67" i="36"/>
  <c r="AC67" i="36"/>
  <c r="AC15" i="36"/>
  <c r="AB67" i="36"/>
  <c r="AA67" i="36"/>
  <c r="Z67" i="36"/>
  <c r="Y67" i="36"/>
  <c r="X67" i="36"/>
  <c r="W67" i="36"/>
  <c r="V67" i="36"/>
  <c r="AQ66" i="36"/>
  <c r="AP66" i="36"/>
  <c r="AP64" i="36"/>
  <c r="AO66" i="36"/>
  <c r="AO14" i="36"/>
  <c r="AN66" i="36"/>
  <c r="AM66" i="36"/>
  <c r="AL66" i="36"/>
  <c r="AL64" i="36"/>
  <c r="AL12" i="36"/>
  <c r="AK66" i="36"/>
  <c r="AJ66" i="36"/>
  <c r="AI66" i="36"/>
  <c r="AH66" i="36"/>
  <c r="AG66" i="36"/>
  <c r="AG14" i="36"/>
  <c r="AF66" i="36"/>
  <c r="AE66" i="36"/>
  <c r="AD66" i="36"/>
  <c r="AD64" i="36"/>
  <c r="AD12" i="36"/>
  <c r="AC66" i="36"/>
  <c r="AB66" i="36"/>
  <c r="AA66" i="36"/>
  <c r="Z66" i="36"/>
  <c r="Z64" i="36"/>
  <c r="Z63" i="36"/>
  <c r="Y66" i="36"/>
  <c r="Y14" i="36"/>
  <c r="X66" i="36"/>
  <c r="W66" i="36"/>
  <c r="V66" i="36"/>
  <c r="V64" i="36"/>
  <c r="AQ65" i="36"/>
  <c r="AP65" i="36"/>
  <c r="AO65" i="36"/>
  <c r="AN65" i="36"/>
  <c r="AM65" i="36"/>
  <c r="AL65" i="36"/>
  <c r="AK65" i="36"/>
  <c r="AK64" i="36"/>
  <c r="AJ65" i="36"/>
  <c r="AJ64" i="36"/>
  <c r="AI65" i="36"/>
  <c r="AH65" i="36"/>
  <c r="AG65" i="36"/>
  <c r="AF65" i="36"/>
  <c r="AE65" i="36"/>
  <c r="AD65" i="36"/>
  <c r="AC65" i="36"/>
  <c r="AC64" i="36"/>
  <c r="AB65" i="36"/>
  <c r="AB64" i="36"/>
  <c r="AA65" i="36"/>
  <c r="Z65" i="36"/>
  <c r="Y65" i="36"/>
  <c r="X65" i="36"/>
  <c r="W65" i="36"/>
  <c r="V65" i="36"/>
  <c r="AM64" i="36"/>
  <c r="AE64" i="36"/>
  <c r="W64" i="36"/>
  <c r="U64" i="36"/>
  <c r="U63" i="36"/>
  <c r="U11" i="36"/>
  <c r="T64" i="36"/>
  <c r="S64" i="36"/>
  <c r="R64" i="36"/>
  <c r="Q64" i="36"/>
  <c r="Q63" i="36"/>
  <c r="P64" i="36"/>
  <c r="P12" i="36"/>
  <c r="O64" i="36"/>
  <c r="N64" i="36"/>
  <c r="M64" i="36"/>
  <c r="M63" i="36"/>
  <c r="M11" i="36"/>
  <c r="L64" i="36"/>
  <c r="K64" i="36"/>
  <c r="J64" i="36"/>
  <c r="AL63" i="36"/>
  <c r="V63" i="36"/>
  <c r="T63" i="36"/>
  <c r="S63" i="36"/>
  <c r="R63" i="36"/>
  <c r="N63" i="36"/>
  <c r="N11" i="36"/>
  <c r="L63" i="36"/>
  <c r="K63" i="36"/>
  <c r="J63" i="36"/>
  <c r="AP62" i="36"/>
  <c r="AO62" i="36"/>
  <c r="AN62" i="36"/>
  <c r="AM62" i="36"/>
  <c r="AL62" i="36"/>
  <c r="AL10" i="36"/>
  <c r="AK62" i="36"/>
  <c r="AK10" i="36"/>
  <c r="AJ62" i="36"/>
  <c r="AH62" i="36"/>
  <c r="AG62" i="36"/>
  <c r="AF62" i="36"/>
  <c r="AE62" i="36"/>
  <c r="AD62" i="36"/>
  <c r="AD10" i="36"/>
  <c r="AC62" i="36"/>
  <c r="AC10" i="36"/>
  <c r="AB62" i="36"/>
  <c r="Z62" i="36"/>
  <c r="Y62" i="36"/>
  <c r="X62" i="36"/>
  <c r="W62" i="36"/>
  <c r="V62" i="36"/>
  <c r="V10" i="36"/>
  <c r="AP61" i="36"/>
  <c r="AM61" i="36"/>
  <c r="AL61" i="36"/>
  <c r="AK61" i="36"/>
  <c r="AJ61" i="36"/>
  <c r="AI61" i="36"/>
  <c r="AG61" i="36"/>
  <c r="AG9" i="36"/>
  <c r="AE61" i="36"/>
  <c r="AD61" i="36"/>
  <c r="AC61" i="36"/>
  <c r="AB61" i="36"/>
  <c r="AB9" i="36"/>
  <c r="AA61" i="36"/>
  <c r="Z61" i="36"/>
  <c r="Y61" i="36"/>
  <c r="X61" i="36"/>
  <c r="W61" i="36"/>
  <c r="V61" i="36"/>
  <c r="AR60" i="36"/>
  <c r="AR96" i="36"/>
  <c r="AQ60" i="36"/>
  <c r="AQ8" i="36"/>
  <c r="AP60" i="36"/>
  <c r="AP95" i="36"/>
  <c r="AO60" i="36"/>
  <c r="AO95" i="36"/>
  <c r="AN60" i="36"/>
  <c r="AN96" i="36"/>
  <c r="AM60" i="36"/>
  <c r="AM96" i="36"/>
  <c r="AL60" i="36"/>
  <c r="AK60" i="36"/>
  <c r="AJ60" i="36"/>
  <c r="AJ96" i="36"/>
  <c r="AI60" i="36"/>
  <c r="AI8" i="36"/>
  <c r="AH60" i="36"/>
  <c r="AH95" i="36"/>
  <c r="AG60" i="36"/>
  <c r="AG95" i="36"/>
  <c r="DC95" i="36"/>
  <c r="AF60" i="36"/>
  <c r="AF96" i="36"/>
  <c r="AE60" i="36"/>
  <c r="AE96" i="36"/>
  <c r="AD60" i="36"/>
  <c r="AC60" i="36"/>
  <c r="AC96" i="36"/>
  <c r="AB60" i="36"/>
  <c r="AB96" i="36"/>
  <c r="AA60" i="36"/>
  <c r="AA8" i="36"/>
  <c r="Z60" i="36"/>
  <c r="Y60" i="36"/>
  <c r="X60" i="36"/>
  <c r="W60" i="36"/>
  <c r="V60" i="36"/>
  <c r="AV59" i="36"/>
  <c r="AU59" i="36"/>
  <c r="AT59" i="36"/>
  <c r="AS59" i="36"/>
  <c r="AR59" i="36"/>
  <c r="AQ59" i="36"/>
  <c r="AP59" i="36"/>
  <c r="AO59" i="36"/>
  <c r="AN59" i="36"/>
  <c r="AM59" i="36"/>
  <c r="AM7" i="36"/>
  <c r="AL59" i="36"/>
  <c r="AL7" i="36"/>
  <c r="AK59" i="36"/>
  <c r="AJ59" i="36"/>
  <c r="AI59" i="36"/>
  <c r="AH59" i="36"/>
  <c r="DD59" i="36"/>
  <c r="AG59" i="36"/>
  <c r="AF59" i="36"/>
  <c r="AE59" i="36"/>
  <c r="AE7" i="36"/>
  <c r="AD59" i="36"/>
  <c r="AD7" i="36"/>
  <c r="AC59" i="36"/>
  <c r="AB59" i="36"/>
  <c r="AA59" i="36"/>
  <c r="Z59" i="36"/>
  <c r="Y59" i="36"/>
  <c r="X59" i="36"/>
  <c r="W59" i="36"/>
  <c r="W7" i="36"/>
  <c r="V59" i="36"/>
  <c r="AQ58" i="36"/>
  <c r="AP58" i="36"/>
  <c r="AP6" i="36"/>
  <c r="AO58" i="36"/>
  <c r="AO6" i="36"/>
  <c r="AN58" i="36"/>
  <c r="AM58" i="36"/>
  <c r="AL58" i="36"/>
  <c r="AK58" i="36"/>
  <c r="AJ58" i="36"/>
  <c r="AI58" i="36"/>
  <c r="AH58" i="36"/>
  <c r="AH6" i="36"/>
  <c r="AG58" i="36"/>
  <c r="AF58" i="36"/>
  <c r="AE58" i="36"/>
  <c r="AD58" i="36"/>
  <c r="AC58" i="36"/>
  <c r="AB58" i="36"/>
  <c r="AA58" i="36"/>
  <c r="Z58" i="36"/>
  <c r="Z6" i="36"/>
  <c r="Y58" i="36"/>
  <c r="Y6" i="36"/>
  <c r="X58" i="36"/>
  <c r="W58" i="36"/>
  <c r="V58" i="36"/>
  <c r="AW57" i="36"/>
  <c r="AV57" i="36"/>
  <c r="AU57" i="36"/>
  <c r="AT57" i="36"/>
  <c r="AS57" i="36"/>
  <c r="AS5" i="36"/>
  <c r="AR57" i="36"/>
  <c r="AQ57" i="36"/>
  <c r="AP57" i="36"/>
  <c r="AO57" i="36"/>
  <c r="AN57" i="36"/>
  <c r="AM57" i="36"/>
  <c r="AL57" i="36"/>
  <c r="AK57" i="36"/>
  <c r="AK5" i="36"/>
  <c r="AJ57" i="36"/>
  <c r="AJ5" i="36"/>
  <c r="AI57" i="36"/>
  <c r="AH57" i="36"/>
  <c r="DD57" i="36"/>
  <c r="AG57" i="36"/>
  <c r="AF57" i="36"/>
  <c r="AE57" i="36"/>
  <c r="AD57" i="36"/>
  <c r="AC57" i="36"/>
  <c r="AC5" i="36"/>
  <c r="AB57" i="36"/>
  <c r="AB5" i="36"/>
  <c r="AA57" i="36"/>
  <c r="Z57" i="36"/>
  <c r="Y57" i="36"/>
  <c r="X57" i="36"/>
  <c r="W57" i="36"/>
  <c r="V57" i="36"/>
  <c r="AP48" i="36"/>
  <c r="AP50" i="36"/>
  <c r="AJ48" i="36"/>
  <c r="AH48" i="36"/>
  <c r="AE48" i="36"/>
  <c r="AE50" i="36"/>
  <c r="AD48" i="36"/>
  <c r="AD50" i="36"/>
  <c r="AC48" i="36"/>
  <c r="AC50" i="36"/>
  <c r="AB48" i="36"/>
  <c r="Z48" i="36"/>
  <c r="Y48" i="36"/>
  <c r="X48" i="36"/>
  <c r="X50" i="36"/>
  <c r="W48" i="36"/>
  <c r="W50" i="36"/>
  <c r="V48" i="36"/>
  <c r="V50" i="36"/>
  <c r="AQ47" i="36"/>
  <c r="AP47" i="36"/>
  <c r="AJ47" i="36"/>
  <c r="AI47" i="36"/>
  <c r="AI49" i="36"/>
  <c r="AH47" i="36"/>
  <c r="AG47" i="36"/>
  <c r="DC47" i="36"/>
  <c r="AF47" i="36"/>
  <c r="AF49" i="36"/>
  <c r="AD47" i="36"/>
  <c r="AD49" i="36"/>
  <c r="AB47" i="36"/>
  <c r="AA47" i="36"/>
  <c r="AA49" i="36"/>
  <c r="Z47" i="36"/>
  <c r="Y47" i="36"/>
  <c r="X47" i="36"/>
  <c r="X49" i="36"/>
  <c r="W47" i="36"/>
  <c r="W49" i="36"/>
  <c r="V47" i="36"/>
  <c r="V49" i="36"/>
  <c r="DC43" i="36"/>
  <c r="DI43" i="36"/>
  <c r="DH43" i="36"/>
  <c r="DG43" i="36"/>
  <c r="DE43" i="36"/>
  <c r="V250" i="14"/>
  <c r="U250" i="14"/>
  <c r="AP43" i="36"/>
  <c r="AQ43" i="36"/>
  <c r="AR43" i="36"/>
  <c r="AS43" i="36"/>
  <c r="AO43" i="36"/>
  <c r="DC42" i="36"/>
  <c r="DH42" i="36"/>
  <c r="DG42" i="36"/>
  <c r="AO42" i="36"/>
  <c r="CX39" i="36"/>
  <c r="CH39" i="36"/>
  <c r="BZ39" i="36"/>
  <c r="BR39" i="36"/>
  <c r="BJ39" i="36"/>
  <c r="BB39" i="36"/>
  <c r="AO41" i="36"/>
  <c r="AG41" i="36"/>
  <c r="AF41" i="36"/>
  <c r="DC41" i="36"/>
  <c r="CZ39" i="36"/>
  <c r="CS39" i="36"/>
  <c r="CR39" i="36"/>
  <c r="CJ39" i="36"/>
  <c r="CC39" i="36"/>
  <c r="CB39" i="36"/>
  <c r="BU39" i="36"/>
  <c r="BT39" i="36"/>
  <c r="DG40" i="36"/>
  <c r="BM39" i="36"/>
  <c r="BL39" i="36"/>
  <c r="BE39" i="36"/>
  <c r="BD39" i="36"/>
  <c r="AV39" i="36"/>
  <c r="DE40" i="36"/>
  <c r="AG40" i="36"/>
  <c r="AF40" i="36"/>
  <c r="DA39" i="36"/>
  <c r="CW39" i="36"/>
  <c r="CV39" i="36"/>
  <c r="CU39" i="36"/>
  <c r="CT39" i="36"/>
  <c r="CO39" i="36"/>
  <c r="CN39" i="36"/>
  <c r="CM39" i="36"/>
  <c r="CL39" i="36"/>
  <c r="CK39" i="36"/>
  <c r="CG39" i="36"/>
  <c r="CF39" i="36"/>
  <c r="CE39" i="36"/>
  <c r="CD39" i="36"/>
  <c r="BY39" i="36"/>
  <c r="BX39" i="36"/>
  <c r="BW39" i="36"/>
  <c r="BV39" i="36"/>
  <c r="BQ39" i="36"/>
  <c r="BP39" i="36"/>
  <c r="BO39" i="36"/>
  <c r="BN39" i="36"/>
  <c r="BI39" i="36"/>
  <c r="BH39" i="36"/>
  <c r="BG39" i="36"/>
  <c r="BF39" i="36"/>
  <c r="BA39" i="36"/>
  <c r="AZ39" i="36"/>
  <c r="AY39" i="36"/>
  <c r="AX39" i="36"/>
  <c r="AW39" i="36"/>
  <c r="AO39" i="36"/>
  <c r="AN39" i="36"/>
  <c r="AM39" i="36"/>
  <c r="AL39" i="36"/>
  <c r="AK39" i="36"/>
  <c r="AJ39" i="36"/>
  <c r="AI39" i="36"/>
  <c r="AH39" i="36"/>
  <c r="AG39" i="36"/>
  <c r="AE39" i="36"/>
  <c r="AD39" i="36"/>
  <c r="AC39" i="36"/>
  <c r="AB39" i="36"/>
  <c r="AA39" i="36"/>
  <c r="Z39" i="36"/>
  <c r="Y39" i="36"/>
  <c r="X39" i="36"/>
  <c r="W39" i="36"/>
  <c r="V39" i="36"/>
  <c r="U39" i="36"/>
  <c r="T39" i="36"/>
  <c r="S39" i="36"/>
  <c r="R39" i="36"/>
  <c r="Q39" i="36"/>
  <c r="P39" i="36"/>
  <c r="O39" i="36"/>
  <c r="N39" i="36"/>
  <c r="M39" i="36"/>
  <c r="L39" i="36"/>
  <c r="K39" i="36"/>
  <c r="J39" i="36"/>
  <c r="AP38" i="36"/>
  <c r="AO38" i="36"/>
  <c r="AN38" i="36"/>
  <c r="AN29" i="36"/>
  <c r="AM38" i="36"/>
  <c r="AL38" i="36"/>
  <c r="AK38" i="36"/>
  <c r="AJ38" i="36"/>
  <c r="AI38" i="36"/>
  <c r="AH38" i="36"/>
  <c r="AG38" i="36"/>
  <c r="AF38" i="36"/>
  <c r="AE38" i="36"/>
  <c r="AD38" i="36"/>
  <c r="AC38" i="36"/>
  <c r="AB38" i="36"/>
  <c r="AA38" i="36"/>
  <c r="Z38" i="36"/>
  <c r="Y38" i="36"/>
  <c r="X38" i="36"/>
  <c r="X29" i="36"/>
  <c r="W38" i="36"/>
  <c r="V38" i="36"/>
  <c r="U38" i="36"/>
  <c r="T38" i="36"/>
  <c r="S38" i="36"/>
  <c r="R38" i="36"/>
  <c r="Q38" i="36"/>
  <c r="P38" i="36"/>
  <c r="O38" i="36"/>
  <c r="N38" i="36"/>
  <c r="M38" i="36"/>
  <c r="L38" i="36"/>
  <c r="K38" i="36"/>
  <c r="J38" i="36"/>
  <c r="DD37" i="36"/>
  <c r="DC37" i="36"/>
  <c r="DI37" i="36"/>
  <c r="DH37" i="36"/>
  <c r="DD36" i="36"/>
  <c r="DC36" i="36"/>
  <c r="DC35" i="36"/>
  <c r="AQ35" i="36"/>
  <c r="AP35" i="36"/>
  <c r="AO35" i="36"/>
  <c r="AN35" i="36"/>
  <c r="AM35" i="36"/>
  <c r="AL35" i="36"/>
  <c r="AL29" i="36"/>
  <c r="AK35" i="36"/>
  <c r="AJ35" i="36"/>
  <c r="AI35" i="36"/>
  <c r="AH35" i="36"/>
  <c r="DC34" i="36"/>
  <c r="DA34" i="36"/>
  <c r="CZ34" i="36"/>
  <c r="CY34" i="36"/>
  <c r="CX34" i="36"/>
  <c r="CW34" i="36"/>
  <c r="CV34" i="36"/>
  <c r="CT34" i="36"/>
  <c r="CS34" i="36"/>
  <c r="CR34" i="36"/>
  <c r="CQ34" i="36"/>
  <c r="CP34" i="36"/>
  <c r="CO34" i="36"/>
  <c r="CN34" i="36"/>
  <c r="CL34" i="36"/>
  <c r="CK34" i="36"/>
  <c r="CJ34" i="36"/>
  <c r="CI34" i="36"/>
  <c r="CH34" i="36"/>
  <c r="CG34" i="36"/>
  <c r="CF34" i="36"/>
  <c r="CD34" i="36"/>
  <c r="CC34" i="36"/>
  <c r="CB34" i="36"/>
  <c r="CA34" i="36"/>
  <c r="BZ34" i="36"/>
  <c r="BY34" i="36"/>
  <c r="BX34" i="36"/>
  <c r="BV34" i="36"/>
  <c r="BU34" i="36"/>
  <c r="BT34" i="36"/>
  <c r="BS34" i="36"/>
  <c r="BR34" i="36"/>
  <c r="DG34" i="36"/>
  <c r="BQ34" i="36"/>
  <c r="BP34" i="36"/>
  <c r="BN34" i="36"/>
  <c r="BM34" i="36"/>
  <c r="BL34" i="36"/>
  <c r="BK34" i="36"/>
  <c r="BJ34" i="36"/>
  <c r="BI34" i="36"/>
  <c r="BH34" i="36"/>
  <c r="BF34" i="36"/>
  <c r="BE34" i="36"/>
  <c r="BD34" i="36"/>
  <c r="BC34" i="36"/>
  <c r="BB34" i="36"/>
  <c r="BA34" i="36"/>
  <c r="AZ34" i="36"/>
  <c r="AX34" i="36"/>
  <c r="AW34" i="36"/>
  <c r="AV34" i="36"/>
  <c r="AU34" i="36"/>
  <c r="AT34" i="36"/>
  <c r="AS34" i="36"/>
  <c r="AR34" i="36"/>
  <c r="AP34" i="36"/>
  <c r="AO34" i="36"/>
  <c r="AN34" i="36"/>
  <c r="AM34" i="36"/>
  <c r="AL34" i="36"/>
  <c r="AK34" i="36"/>
  <c r="AK29" i="36"/>
  <c r="AJ34" i="36"/>
  <c r="AH34" i="36"/>
  <c r="DA33" i="36"/>
  <c r="CC33" i="36"/>
  <c r="AQ33" i="36"/>
  <c r="AP33" i="36"/>
  <c r="AO33" i="36"/>
  <c r="AN33" i="36"/>
  <c r="AM33" i="36"/>
  <c r="AL33" i="36"/>
  <c r="AK33" i="36"/>
  <c r="AJ33" i="36"/>
  <c r="AJ29" i="36"/>
  <c r="AI33" i="36"/>
  <c r="AH33" i="36"/>
  <c r="AG33" i="36"/>
  <c r="AF33" i="36"/>
  <c r="AE33" i="36"/>
  <c r="AD33" i="36"/>
  <c r="AC33" i="36"/>
  <c r="AB33" i="36"/>
  <c r="AB29" i="36"/>
  <c r="AA33" i="36"/>
  <c r="Z33" i="36"/>
  <c r="Y33" i="36"/>
  <c r="X33" i="36"/>
  <c r="W33" i="36"/>
  <c r="V33" i="36"/>
  <c r="DC33" i="36"/>
  <c r="U33" i="36"/>
  <c r="T33" i="36"/>
  <c r="T29" i="36"/>
  <c r="S33" i="36"/>
  <c r="R33" i="36"/>
  <c r="Q33" i="36"/>
  <c r="P33" i="36"/>
  <c r="O33" i="36"/>
  <c r="N33" i="36"/>
  <c r="M33" i="36"/>
  <c r="L33" i="36"/>
  <c r="L29" i="36"/>
  <c r="K33" i="36"/>
  <c r="J33" i="36"/>
  <c r="AP32" i="36"/>
  <c r="AN32" i="36"/>
  <c r="AM32" i="36"/>
  <c r="AL32" i="36"/>
  <c r="AK32" i="36"/>
  <c r="AJ32" i="36"/>
  <c r="AI32" i="36"/>
  <c r="AH32" i="36"/>
  <c r="AF32" i="36"/>
  <c r="AE32" i="36"/>
  <c r="AD32" i="36"/>
  <c r="AC32" i="36"/>
  <c r="AB32" i="36"/>
  <c r="AA32" i="36"/>
  <c r="AA29" i="36"/>
  <c r="Z32" i="36"/>
  <c r="X32" i="36"/>
  <c r="W32" i="36"/>
  <c r="V32" i="36"/>
  <c r="U32" i="36"/>
  <c r="T32" i="36"/>
  <c r="S32" i="36"/>
  <c r="S29" i="36"/>
  <c r="R32" i="36"/>
  <c r="Q32" i="36"/>
  <c r="P32" i="36"/>
  <c r="O32" i="36"/>
  <c r="N32" i="36"/>
  <c r="M32" i="36"/>
  <c r="L32" i="36"/>
  <c r="K32" i="36"/>
  <c r="K29" i="36"/>
  <c r="J32" i="36"/>
  <c r="AQ31" i="36"/>
  <c r="AP31" i="36"/>
  <c r="AP29" i="36"/>
  <c r="AO31" i="36"/>
  <c r="AN31" i="36"/>
  <c r="AM31" i="36"/>
  <c r="AL31" i="36"/>
  <c r="AK31" i="36"/>
  <c r="AJ31" i="36"/>
  <c r="AI31" i="36"/>
  <c r="AH31" i="36"/>
  <c r="AG31" i="36"/>
  <c r="AF31" i="36"/>
  <c r="AE31" i="36"/>
  <c r="AD31" i="36"/>
  <c r="AC31" i="36"/>
  <c r="AB31" i="36"/>
  <c r="AA31" i="36"/>
  <c r="Z31" i="36"/>
  <c r="Z29" i="36"/>
  <c r="Y31" i="36"/>
  <c r="X31" i="36"/>
  <c r="W31" i="36"/>
  <c r="V31" i="36"/>
  <c r="U31" i="36"/>
  <c r="T31" i="36"/>
  <c r="S31" i="36"/>
  <c r="R31" i="36"/>
  <c r="R29" i="36"/>
  <c r="R46" i="36"/>
  <c r="Q31" i="36"/>
  <c r="P31" i="36"/>
  <c r="O31" i="36"/>
  <c r="N31" i="36"/>
  <c r="M31" i="36"/>
  <c r="L31" i="36"/>
  <c r="K31" i="36"/>
  <c r="J31" i="36"/>
  <c r="J29" i="36"/>
  <c r="J46" i="36"/>
  <c r="AQ30" i="36"/>
  <c r="AP30" i="36"/>
  <c r="AO30" i="36"/>
  <c r="AN30" i="36"/>
  <c r="AM30" i="36"/>
  <c r="AL30" i="36"/>
  <c r="AK30" i="36"/>
  <c r="AJ30" i="36"/>
  <c r="AI30" i="36"/>
  <c r="AH30" i="36"/>
  <c r="AG30" i="36"/>
  <c r="AF30" i="36"/>
  <c r="AE30" i="36"/>
  <c r="AD30" i="36"/>
  <c r="AC30" i="36"/>
  <c r="AB30" i="36"/>
  <c r="AA30" i="36"/>
  <c r="Z30" i="36"/>
  <c r="Y30" i="36"/>
  <c r="X30" i="36"/>
  <c r="W30" i="36"/>
  <c r="V30" i="36"/>
  <c r="DC30" i="36"/>
  <c r="U30" i="36"/>
  <c r="T30" i="36"/>
  <c r="S30" i="36"/>
  <c r="R30" i="36"/>
  <c r="Q30" i="36"/>
  <c r="Q29" i="36"/>
  <c r="P30" i="36"/>
  <c r="O30" i="36"/>
  <c r="N30" i="36"/>
  <c r="M30" i="36"/>
  <c r="L30" i="36"/>
  <c r="K30" i="36"/>
  <c r="J30" i="36"/>
  <c r="AM29" i="36"/>
  <c r="AF29" i="36"/>
  <c r="AE29" i="36"/>
  <c r="AD29" i="36"/>
  <c r="AC29" i="36"/>
  <c r="W29" i="36"/>
  <c r="V29" i="36"/>
  <c r="U29" i="36"/>
  <c r="P29" i="36"/>
  <c r="O29" i="36"/>
  <c r="N29" i="36"/>
  <c r="M29" i="36"/>
  <c r="CY28" i="36"/>
  <c r="CW28" i="36"/>
  <c r="CV28" i="36"/>
  <c r="CU28" i="36"/>
  <c r="CQ28" i="36"/>
  <c r="CM28" i="36"/>
  <c r="CI28" i="36"/>
  <c r="CF28" i="36"/>
  <c r="CE28" i="36"/>
  <c r="BY28" i="36"/>
  <c r="BX28" i="36"/>
  <c r="BW28" i="36"/>
  <c r="BP28" i="36"/>
  <c r="BO28" i="36"/>
  <c r="BH28" i="36"/>
  <c r="BG28" i="36"/>
  <c r="BC28" i="36"/>
  <c r="BB28" i="36"/>
  <c r="AY28" i="36"/>
  <c r="AU28" i="36"/>
  <c r="AR28" i="36"/>
  <c r="AQ28" i="36"/>
  <c r="AN28" i="36"/>
  <c r="AM28" i="36"/>
  <c r="AL28" i="36"/>
  <c r="AK28" i="36"/>
  <c r="AJ28" i="36"/>
  <c r="AI28" i="36"/>
  <c r="AF28" i="36"/>
  <c r="AE28" i="36"/>
  <c r="AD28" i="36"/>
  <c r="AC28" i="36"/>
  <c r="AB28" i="36"/>
  <c r="AA28" i="36"/>
  <c r="X28" i="36"/>
  <c r="W28" i="36"/>
  <c r="V28" i="36"/>
  <c r="U28" i="36"/>
  <c r="T28" i="36"/>
  <c r="S28" i="36"/>
  <c r="R28" i="36"/>
  <c r="Q28" i="36"/>
  <c r="P28" i="36"/>
  <c r="O28" i="36"/>
  <c r="N28" i="36"/>
  <c r="M28" i="36"/>
  <c r="L28" i="36"/>
  <c r="K28" i="36"/>
  <c r="J28" i="36"/>
  <c r="DI27" i="36"/>
  <c r="DH27" i="36"/>
  <c r="DG27" i="36"/>
  <c r="DF27" i="36"/>
  <c r="DE27" i="36"/>
  <c r="DD27" i="36"/>
  <c r="DC27" i="36"/>
  <c r="AP26" i="36"/>
  <c r="AO26" i="36"/>
  <c r="AN26" i="36"/>
  <c r="AM26" i="36"/>
  <c r="AL26" i="36"/>
  <c r="AK26" i="36"/>
  <c r="AJ26" i="36"/>
  <c r="AI26" i="36"/>
  <c r="AH26" i="36"/>
  <c r="AG26" i="36"/>
  <c r="AF26" i="36"/>
  <c r="AE26" i="36"/>
  <c r="AD26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DC25" i="36"/>
  <c r="DA25" i="36"/>
  <c r="CZ25" i="36"/>
  <c r="CY25" i="36"/>
  <c r="CX25" i="36"/>
  <c r="CW25" i="36"/>
  <c r="CV25" i="36"/>
  <c r="CT25" i="36"/>
  <c r="CS25" i="36"/>
  <c r="CR25" i="36"/>
  <c r="CQ25" i="36"/>
  <c r="CP25" i="36"/>
  <c r="CO25" i="36"/>
  <c r="CN25" i="36"/>
  <c r="CL25" i="36"/>
  <c r="CK25" i="36"/>
  <c r="CJ25" i="36"/>
  <c r="CI25" i="36"/>
  <c r="CH25" i="36"/>
  <c r="CG25" i="36"/>
  <c r="CF25" i="36"/>
  <c r="CD25" i="36"/>
  <c r="CC25" i="36"/>
  <c r="CB25" i="36"/>
  <c r="CA25" i="36"/>
  <c r="BZ25" i="36"/>
  <c r="BY25" i="36"/>
  <c r="BX25" i="36"/>
  <c r="BV25" i="36"/>
  <c r="BU25" i="36"/>
  <c r="BT25" i="36"/>
  <c r="BS25" i="36"/>
  <c r="BR25" i="36"/>
  <c r="BQ25" i="36"/>
  <c r="BP25" i="36"/>
  <c r="BN25" i="36"/>
  <c r="BM25" i="36"/>
  <c r="BL25" i="36"/>
  <c r="BK25" i="36"/>
  <c r="BJ25" i="36"/>
  <c r="BI25" i="36"/>
  <c r="BH25" i="36"/>
  <c r="BF25" i="36"/>
  <c r="BE25" i="36"/>
  <c r="BD25" i="36"/>
  <c r="BC25" i="36"/>
  <c r="BB25" i="36"/>
  <c r="BA25" i="36"/>
  <c r="AZ25" i="36"/>
  <c r="AX25" i="36"/>
  <c r="AW25" i="36"/>
  <c r="AV25" i="36"/>
  <c r="AU25" i="36"/>
  <c r="AT25" i="36"/>
  <c r="AS25" i="36"/>
  <c r="AR25" i="36"/>
  <c r="AP25" i="36"/>
  <c r="AO25" i="36"/>
  <c r="AN25" i="36"/>
  <c r="AM25" i="36"/>
  <c r="AL25" i="36"/>
  <c r="AK25" i="36"/>
  <c r="AJ25" i="36"/>
  <c r="AI25" i="36"/>
  <c r="AH25" i="36"/>
  <c r="AG25" i="36"/>
  <c r="DC24" i="36"/>
  <c r="AP24" i="36"/>
  <c r="AO24" i="36"/>
  <c r="AN24" i="36"/>
  <c r="AM24" i="36"/>
  <c r="AL24" i="36"/>
  <c r="AK24" i="36"/>
  <c r="AJ24" i="36"/>
  <c r="AI24" i="36"/>
  <c r="AH24" i="36"/>
  <c r="AG24" i="36"/>
  <c r="AQ23" i="36"/>
  <c r="AP23" i="36"/>
  <c r="AO23" i="36"/>
  <c r="AN23" i="36"/>
  <c r="AM23" i="36"/>
  <c r="AJ23" i="36"/>
  <c r="AI23" i="36"/>
  <c r="AH23" i="36"/>
  <c r="AG23" i="36"/>
  <c r="AF23" i="36"/>
  <c r="AE23" i="36"/>
  <c r="AB23" i="36"/>
  <c r="AA23" i="36"/>
  <c r="Z23" i="36"/>
  <c r="Y23" i="36"/>
  <c r="X23" i="36"/>
  <c r="W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CY22" i="36"/>
  <c r="CX22" i="36"/>
  <c r="CW22" i="36"/>
  <c r="CV22" i="36"/>
  <c r="CU22" i="36"/>
  <c r="CT22" i="36"/>
  <c r="CQ22" i="36"/>
  <c r="CP22" i="36"/>
  <c r="AS22" i="36"/>
  <c r="AR22" i="36"/>
  <c r="AQ22" i="36"/>
  <c r="AP22" i="36"/>
  <c r="AM22" i="36"/>
  <c r="AL22" i="36"/>
  <c r="AK22" i="36"/>
  <c r="AJ22" i="36"/>
  <c r="AI22" i="36"/>
  <c r="AH22" i="36"/>
  <c r="AE22" i="36"/>
  <c r="AD22" i="36"/>
  <c r="AC22" i="36"/>
  <c r="AB22" i="36"/>
  <c r="AA22" i="36"/>
  <c r="Z22" i="36"/>
  <c r="W22" i="36"/>
  <c r="V22" i="36"/>
  <c r="U22" i="36"/>
  <c r="T22" i="36"/>
  <c r="S22" i="36"/>
  <c r="R22" i="36"/>
  <c r="Q22" i="36"/>
  <c r="P22" i="36"/>
  <c r="O22" i="36"/>
  <c r="N22" i="36"/>
  <c r="M22" i="36"/>
  <c r="L22" i="36"/>
  <c r="K22" i="36"/>
  <c r="J22" i="36"/>
  <c r="CZ21" i="36"/>
  <c r="CW21" i="36"/>
  <c r="CT21" i="36"/>
  <c r="CR21" i="36"/>
  <c r="CL21" i="36"/>
  <c r="CK21" i="36"/>
  <c r="CJ21" i="36"/>
  <c r="CD21" i="36"/>
  <c r="CB21" i="36"/>
  <c r="CA21" i="36"/>
  <c r="BV21" i="36"/>
  <c r="BT21" i="36"/>
  <c r="BQ21" i="36"/>
  <c r="BN21" i="36"/>
  <c r="BL21" i="36"/>
  <c r="BF21" i="36"/>
  <c r="BE21" i="36"/>
  <c r="BD21" i="36"/>
  <c r="AX21" i="36"/>
  <c r="AV21" i="36"/>
  <c r="AU21" i="36"/>
  <c r="AP21" i="36"/>
  <c r="AN21" i="36"/>
  <c r="AM21" i="36"/>
  <c r="AL21" i="36"/>
  <c r="AK21" i="36"/>
  <c r="AH21" i="36"/>
  <c r="AG21" i="36"/>
  <c r="AF21" i="36"/>
  <c r="AE21" i="36"/>
  <c r="AD21" i="36"/>
  <c r="AC21" i="36"/>
  <c r="Z21" i="36"/>
  <c r="Y21" i="36"/>
  <c r="DC21" i="36"/>
  <c r="X21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K21" i="36"/>
  <c r="J21" i="36"/>
  <c r="AQ20" i="36"/>
  <c r="AP20" i="36"/>
  <c r="AO20" i="36"/>
  <c r="AN20" i="36"/>
  <c r="AK20" i="36"/>
  <c r="AJ20" i="36"/>
  <c r="AI20" i="36"/>
  <c r="AH20" i="36"/>
  <c r="AG20" i="36"/>
  <c r="AF20" i="36"/>
  <c r="AC20" i="36"/>
  <c r="AB20" i="36"/>
  <c r="AA20" i="36"/>
  <c r="Z20" i="36"/>
  <c r="Y20" i="36"/>
  <c r="X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AQ19" i="36"/>
  <c r="AN19" i="36"/>
  <c r="AM19" i="36"/>
  <c r="AL19" i="36"/>
  <c r="AK19" i="36"/>
  <c r="AJ19" i="36"/>
  <c r="AI19" i="36"/>
  <c r="AF19" i="36"/>
  <c r="AE19" i="36"/>
  <c r="AD19" i="36"/>
  <c r="AC19" i="36"/>
  <c r="AB19" i="36"/>
  <c r="AA19" i="36"/>
  <c r="X19" i="36"/>
  <c r="W19" i="36"/>
  <c r="V19" i="36"/>
  <c r="U19" i="36"/>
  <c r="T19" i="36"/>
  <c r="S19" i="36"/>
  <c r="R19" i="36"/>
  <c r="Q19" i="36"/>
  <c r="P19" i="36"/>
  <c r="O19" i="36"/>
  <c r="N19" i="36"/>
  <c r="M19" i="36"/>
  <c r="L19" i="36"/>
  <c r="K19" i="36"/>
  <c r="J19" i="36"/>
  <c r="DA18" i="36"/>
  <c r="CE18" i="36"/>
  <c r="CC18" i="36"/>
  <c r="AU18" i="36"/>
  <c r="AT18" i="36"/>
  <c r="AQ18" i="36"/>
  <c r="AP18" i="36"/>
  <c r="AO18" i="36"/>
  <c r="AN18" i="36"/>
  <c r="AM18" i="36"/>
  <c r="AL18" i="36"/>
  <c r="AI18" i="36"/>
  <c r="AH18" i="36"/>
  <c r="AG18" i="36"/>
  <c r="AF18" i="36"/>
  <c r="AE18" i="36"/>
  <c r="AD18" i="36"/>
  <c r="AA18" i="36"/>
  <c r="Z18" i="36"/>
  <c r="Y18" i="36"/>
  <c r="X18" i="36"/>
  <c r="W18" i="36"/>
  <c r="V18" i="36"/>
  <c r="DC18" i="36"/>
  <c r="U18" i="36"/>
  <c r="T18" i="36"/>
  <c r="S18" i="36"/>
  <c r="R18" i="36"/>
  <c r="Q18" i="36"/>
  <c r="P18" i="36"/>
  <c r="O18" i="36"/>
  <c r="N18" i="36"/>
  <c r="M18" i="36"/>
  <c r="L18" i="36"/>
  <c r="K18" i="36"/>
  <c r="J18" i="36"/>
  <c r="AS17" i="36"/>
  <c r="AR17" i="36"/>
  <c r="AP17" i="36"/>
  <c r="AO17" i="36"/>
  <c r="AL17" i="36"/>
  <c r="AK17" i="36"/>
  <c r="AJ17" i="36"/>
  <c r="AI17" i="36"/>
  <c r="AH17" i="36"/>
  <c r="AG17" i="36"/>
  <c r="AD17" i="36"/>
  <c r="AC17" i="36"/>
  <c r="AB17" i="36"/>
  <c r="AA17" i="36"/>
  <c r="Z17" i="36"/>
  <c r="Y17" i="36"/>
  <c r="V17" i="36"/>
  <c r="DC17" i="36"/>
  <c r="U17" i="36"/>
  <c r="T17" i="36"/>
  <c r="S17" i="36"/>
  <c r="R17" i="36"/>
  <c r="Q17" i="36"/>
  <c r="P17" i="36"/>
  <c r="O17" i="36"/>
  <c r="N17" i="36"/>
  <c r="M17" i="36"/>
  <c r="L17" i="36"/>
  <c r="K17" i="36"/>
  <c r="J17" i="36"/>
  <c r="AS16" i="36"/>
  <c r="AR16" i="36"/>
  <c r="AO16" i="36"/>
  <c r="AN16" i="36"/>
  <c r="AM16" i="36"/>
  <c r="AL16" i="36"/>
  <c r="AK16" i="36"/>
  <c r="AJ16" i="36"/>
  <c r="AG16" i="36"/>
  <c r="AF16" i="36"/>
  <c r="AE16" i="36"/>
  <c r="AD16" i="36"/>
  <c r="AC16" i="36"/>
  <c r="AB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AM15" i="36"/>
  <c r="AJ15" i="36"/>
  <c r="AI15" i="36"/>
  <c r="AG15" i="36"/>
  <c r="AE15" i="36"/>
  <c r="AB15" i="36"/>
  <c r="AA15" i="36"/>
  <c r="Z15" i="36"/>
  <c r="Y15" i="36"/>
  <c r="X15" i="36"/>
  <c r="W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AP14" i="36"/>
  <c r="AM14" i="36"/>
  <c r="AL14" i="36"/>
  <c r="AK14" i="36"/>
  <c r="AJ14" i="36"/>
  <c r="AI14" i="36"/>
  <c r="AH14" i="36"/>
  <c r="AE14" i="36"/>
  <c r="AD14" i="36"/>
  <c r="AC14" i="36"/>
  <c r="AB14" i="36"/>
  <c r="AA14" i="36"/>
  <c r="Z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AP13" i="36"/>
  <c r="AO13" i="36"/>
  <c r="AN13" i="36"/>
  <c r="AM13" i="36"/>
  <c r="AL13" i="36"/>
  <c r="AK13" i="36"/>
  <c r="AH13" i="36"/>
  <c r="AG13" i="36"/>
  <c r="AF13" i="36"/>
  <c r="AE13" i="36"/>
  <c r="AD13" i="36"/>
  <c r="AC13" i="36"/>
  <c r="Z13" i="36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J13" i="36"/>
  <c r="U12" i="36"/>
  <c r="T12" i="36"/>
  <c r="S12" i="36"/>
  <c r="R12" i="36"/>
  <c r="Q12" i="36"/>
  <c r="N12" i="36"/>
  <c r="M12" i="36"/>
  <c r="L12" i="36"/>
  <c r="K12" i="36"/>
  <c r="J12" i="36"/>
  <c r="T11" i="36"/>
  <c r="T44" i="36"/>
  <c r="T45" i="36"/>
  <c r="S11" i="36"/>
  <c r="S44" i="36"/>
  <c r="S45" i="36"/>
  <c r="R11" i="36"/>
  <c r="R44" i="36"/>
  <c r="R45" i="36"/>
  <c r="Q11" i="36"/>
  <c r="Q44" i="36"/>
  <c r="Q45" i="36"/>
  <c r="L11" i="36"/>
  <c r="L44" i="36"/>
  <c r="L45" i="36"/>
  <c r="K11" i="36"/>
  <c r="K44" i="36"/>
  <c r="K45" i="36"/>
  <c r="J11" i="36"/>
  <c r="AP10" i="36"/>
  <c r="AO10" i="36"/>
  <c r="AN10" i="36"/>
  <c r="AM10" i="36"/>
  <c r="AJ10" i="36"/>
  <c r="AH10" i="36"/>
  <c r="AG10" i="36"/>
  <c r="AF10" i="36"/>
  <c r="AE10" i="36"/>
  <c r="AB10" i="36"/>
  <c r="Z10" i="36"/>
  <c r="Y10" i="36"/>
  <c r="X10" i="36"/>
  <c r="W10" i="36"/>
  <c r="U10" i="36"/>
  <c r="T10" i="36"/>
  <c r="S10" i="36"/>
  <c r="R10" i="36"/>
  <c r="Q10" i="36"/>
  <c r="P10" i="36"/>
  <c r="O10" i="36"/>
  <c r="N10" i="36"/>
  <c r="M10" i="36"/>
  <c r="L10" i="36"/>
  <c r="K10" i="36"/>
  <c r="J10" i="36"/>
  <c r="AM9" i="36"/>
  <c r="AJ9" i="36"/>
  <c r="AI9" i="36"/>
  <c r="AC9" i="36"/>
  <c r="AA9" i="36"/>
  <c r="Z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AP8" i="36"/>
  <c r="AO8" i="36"/>
  <c r="AN8" i="36"/>
  <c r="AM8" i="36"/>
  <c r="AL8" i="36"/>
  <c r="AK8" i="36"/>
  <c r="AH8" i="36"/>
  <c r="AG8" i="36"/>
  <c r="AF8" i="36"/>
  <c r="AE8" i="36"/>
  <c r="AD8" i="36"/>
  <c r="AC8" i="36"/>
  <c r="Z8" i="36"/>
  <c r="Y8" i="36"/>
  <c r="Y49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AQ7" i="36"/>
  <c r="AP7" i="36"/>
  <c r="AO7" i="36"/>
  <c r="AN7" i="36"/>
  <c r="AK7" i="36"/>
  <c r="AJ7" i="36"/>
  <c r="AI7" i="36"/>
  <c r="AH7" i="36"/>
  <c r="AG7" i="36"/>
  <c r="AF7" i="36"/>
  <c r="AC7" i="36"/>
  <c r="AB7" i="36"/>
  <c r="AA7" i="36"/>
  <c r="Z7" i="36"/>
  <c r="Y7" i="36"/>
  <c r="X7" i="36"/>
  <c r="U7" i="36"/>
  <c r="T7" i="36"/>
  <c r="S7" i="36"/>
  <c r="R7" i="36"/>
  <c r="Q7" i="36"/>
  <c r="P7" i="36"/>
  <c r="O7" i="36"/>
  <c r="N7" i="36"/>
  <c r="M7" i="36"/>
  <c r="L7" i="36"/>
  <c r="K7" i="36"/>
  <c r="J7" i="36"/>
  <c r="AQ6" i="36"/>
  <c r="AN6" i="36"/>
  <c r="AM6" i="36"/>
  <c r="AL6" i="36"/>
  <c r="AK6" i="36"/>
  <c r="AJ6" i="36"/>
  <c r="AI6" i="36"/>
  <c r="AF6" i="36"/>
  <c r="AE6" i="36"/>
  <c r="AD6" i="36"/>
  <c r="AC6" i="36"/>
  <c r="AB6" i="36"/>
  <c r="AA6" i="36"/>
  <c r="X6" i="36"/>
  <c r="W6" i="36"/>
  <c r="V6" i="36"/>
  <c r="U6" i="36"/>
  <c r="T6" i="36"/>
  <c r="S6" i="36"/>
  <c r="R6" i="36"/>
  <c r="Q6" i="36"/>
  <c r="P6" i="36"/>
  <c r="O6" i="36"/>
  <c r="N6" i="36"/>
  <c r="M6" i="36"/>
  <c r="L6" i="36"/>
  <c r="K6" i="36"/>
  <c r="J6" i="36"/>
  <c r="AQ5" i="36"/>
  <c r="AP5" i="36"/>
  <c r="AO5" i="36"/>
  <c r="AN5" i="36"/>
  <c r="AM5" i="36"/>
  <c r="AL5" i="36"/>
  <c r="AI5" i="36"/>
  <c r="AH5" i="36"/>
  <c r="AG5" i="36"/>
  <c r="AE5" i="36"/>
  <c r="AD5" i="36"/>
  <c r="AA5" i="36"/>
  <c r="Z5" i="36"/>
  <c r="Y5" i="36"/>
  <c r="X5" i="36"/>
  <c r="W5" i="36"/>
  <c r="V5" i="36"/>
  <c r="U5" i="36"/>
  <c r="T5" i="36"/>
  <c r="S5" i="36"/>
  <c r="R5" i="36"/>
  <c r="Q5" i="36"/>
  <c r="P5" i="36"/>
  <c r="O5" i="36"/>
  <c r="N5" i="36"/>
  <c r="M5" i="36"/>
  <c r="L5" i="36"/>
  <c r="K5" i="36"/>
  <c r="J5" i="36"/>
  <c r="DD3" i="36"/>
  <c r="DE3" i="36"/>
  <c r="DF3" i="36"/>
  <c r="V71" i="14"/>
  <c r="V32" i="14"/>
  <c r="V73" i="14"/>
  <c r="AR50" i="29"/>
  <c r="AS50" i="29"/>
  <c r="AT50" i="29"/>
  <c r="AU50" i="29"/>
  <c r="AV50" i="29"/>
  <c r="AW50" i="29"/>
  <c r="AX50" i="29"/>
  <c r="AY50" i="29"/>
  <c r="AZ50" i="29"/>
  <c r="BA50" i="29"/>
  <c r="BB50" i="29"/>
  <c r="BC50" i="29"/>
  <c r="AR45" i="29"/>
  <c r="AS45" i="29"/>
  <c r="AT45" i="29"/>
  <c r="AU45" i="29"/>
  <c r="AV45" i="29"/>
  <c r="AW45" i="29"/>
  <c r="AX45" i="29"/>
  <c r="AY45" i="29"/>
  <c r="AZ45" i="29"/>
  <c r="BA45" i="29"/>
  <c r="BB45" i="29"/>
  <c r="BC45" i="29"/>
  <c r="S261" i="19"/>
  <c r="S260" i="19" s="1"/>
  <c r="H402" i="14" s="1"/>
  <c r="E376" i="14"/>
  <c r="G180" i="14"/>
  <c r="G467" i="14"/>
  <c r="R602" i="19"/>
  <c r="G457" i="14"/>
  <c r="AD26" i="41"/>
  <c r="AN26" i="41"/>
  <c r="O582" i="21"/>
  <c r="J215" i="21"/>
  <c r="F24" i="27"/>
  <c r="G75" i="14"/>
  <c r="J149" i="21"/>
  <c r="AG49" i="36"/>
  <c r="DC49" i="36"/>
  <c r="DD22" i="36"/>
  <c r="AP63" i="36"/>
  <c r="BE28" i="36"/>
  <c r="BM28" i="36"/>
  <c r="BU28" i="36"/>
  <c r="CC28" i="36"/>
  <c r="CK28" i="36"/>
  <c r="CS28" i="36"/>
  <c r="DA28" i="36"/>
  <c r="DE90" i="36"/>
  <c r="BA28" i="36"/>
  <c r="BI21" i="36"/>
  <c r="AS28" i="36"/>
  <c r="AX28" i="36"/>
  <c r="AF264" i="36"/>
  <c r="DD243" i="36"/>
  <c r="DF243" i="36"/>
  <c r="BG627" i="36"/>
  <c r="CE627" i="36"/>
  <c r="AT28" i="36"/>
  <c r="BR28" i="36"/>
  <c r="BR51" i="36"/>
  <c r="AO189" i="36"/>
  <c r="AO215" i="36"/>
  <c r="DH249" i="36"/>
  <c r="DD17" i="36"/>
  <c r="BS28" i="36"/>
  <c r="AO67" i="36"/>
  <c r="AO15" i="36"/>
  <c r="DH416" i="36"/>
  <c r="DE735" i="36"/>
  <c r="DG735" i="36"/>
  <c r="DD25" i="36"/>
  <c r="CP28" i="36"/>
  <c r="DI28" i="36"/>
  <c r="AC47" i="36"/>
  <c r="AC49" i="36"/>
  <c r="AL47" i="36"/>
  <c r="AL49" i="36"/>
  <c r="DH422" i="36"/>
  <c r="DF422" i="36"/>
  <c r="AS21" i="36"/>
  <c r="DD21" i="36"/>
  <c r="AT97" i="36"/>
  <c r="DD256" i="36"/>
  <c r="DE256" i="36"/>
  <c r="DH605" i="36"/>
  <c r="DG611" i="36"/>
  <c r="CQ627" i="36"/>
  <c r="CR627" i="36"/>
  <c r="CS627" i="36"/>
  <c r="CT627" i="36"/>
  <c r="BS627" i="36"/>
  <c r="BT627" i="36"/>
  <c r="BU627" i="36"/>
  <c r="BV627" i="36"/>
  <c r="DG73" i="36"/>
  <c r="DI73" i="36"/>
  <c r="DE79" i="36"/>
  <c r="V145" i="14"/>
  <c r="U145" i="14"/>
  <c r="DF256" i="36"/>
  <c r="DD420" i="36"/>
  <c r="DG420" i="36"/>
  <c r="DH420" i="36"/>
  <c r="DH611" i="36"/>
  <c r="DE733" i="36"/>
  <c r="DG767" i="36"/>
  <c r="DF779" i="36"/>
  <c r="DE780" i="36"/>
  <c r="DG780" i="36"/>
  <c r="DF801" i="36"/>
  <c r="DH803" i="36"/>
  <c r="DH838" i="36"/>
  <c r="DE848" i="36"/>
  <c r="AR136" i="36"/>
  <c r="AR137" i="36"/>
  <c r="AR177" i="36"/>
  <c r="AR178" i="36"/>
  <c r="AR218" i="36"/>
  <c r="BS93" i="36"/>
  <c r="CI93" i="36"/>
  <c r="BM94" i="36"/>
  <c r="CC94" i="36"/>
  <c r="DC301" i="36"/>
  <c r="AG303" i="36"/>
  <c r="DC303" i="36"/>
  <c r="AV262" i="36"/>
  <c r="AR484" i="36"/>
  <c r="AR485" i="36"/>
  <c r="AR535" i="36"/>
  <c r="DF727" i="36"/>
  <c r="DG836" i="36"/>
  <c r="DE41" i="36"/>
  <c r="V248" i="14"/>
  <c r="U248" i="14"/>
  <c r="U246" i="14"/>
  <c r="AP235" i="14"/>
  <c r="AT39" i="36"/>
  <c r="DE39" i="36"/>
  <c r="U44" i="36"/>
  <c r="U45" i="36"/>
  <c r="U46" i="36"/>
  <c r="AU39" i="36"/>
  <c r="CQ39" i="36"/>
  <c r="DC5" i="36"/>
  <c r="DG21" i="36"/>
  <c r="AT51" i="36"/>
  <c r="DC38" i="36"/>
  <c r="AD63" i="36"/>
  <c r="O12" i="36"/>
  <c r="O63" i="36"/>
  <c r="O11" i="36"/>
  <c r="AE63" i="36"/>
  <c r="AA64" i="36"/>
  <c r="AA13" i="36"/>
  <c r="AI64" i="36"/>
  <c r="AI13" i="36"/>
  <c r="AQ64" i="36"/>
  <c r="DC67" i="36"/>
  <c r="DC70" i="36"/>
  <c r="DG70" i="36"/>
  <c r="DI70" i="36"/>
  <c r="Y19" i="36"/>
  <c r="DC19" i="36"/>
  <c r="DC71" i="36"/>
  <c r="DC75" i="36"/>
  <c r="DE75" i="36"/>
  <c r="DG75" i="36"/>
  <c r="DI75" i="36"/>
  <c r="Y32" i="36"/>
  <c r="DC32" i="36"/>
  <c r="DC83" i="36"/>
  <c r="Y80" i="36"/>
  <c r="AG32" i="36"/>
  <c r="AG80" i="36"/>
  <c r="AO32" i="36"/>
  <c r="AO80" i="36"/>
  <c r="AS102" i="36"/>
  <c r="AR58" i="36"/>
  <c r="V51" i="36"/>
  <c r="AT210" i="36"/>
  <c r="AT169" i="36"/>
  <c r="BS39" i="36"/>
  <c r="DG39" i="36"/>
  <c r="AI62" i="36"/>
  <c r="DF42" i="36"/>
  <c r="X9" i="36"/>
  <c r="AL92" i="36"/>
  <c r="AM12" i="36"/>
  <c r="AM63" i="36"/>
  <c r="AB63" i="36"/>
  <c r="AB12" i="36"/>
  <c r="AJ63" i="36"/>
  <c r="AJ12" i="36"/>
  <c r="V12" i="36"/>
  <c r="DD68" i="36"/>
  <c r="AH16" i="36"/>
  <c r="DD16" i="36"/>
  <c r="V20" i="36"/>
  <c r="DC20" i="36"/>
  <c r="DC72" i="36"/>
  <c r="DE72" i="36"/>
  <c r="DH72" i="36"/>
  <c r="DI72" i="36"/>
  <c r="Y28" i="36"/>
  <c r="DC28" i="36"/>
  <c r="DC79" i="36"/>
  <c r="AA80" i="36"/>
  <c r="DC80" i="36"/>
  <c r="AI96" i="36"/>
  <c r="DI22" i="36"/>
  <c r="BK39" i="36"/>
  <c r="DF39" i="36"/>
  <c r="DG25" i="36"/>
  <c r="DC31" i="36"/>
  <c r="AI29" i="36"/>
  <c r="DF619" i="36"/>
  <c r="DF36" i="36"/>
  <c r="CD573" i="36"/>
  <c r="DH36" i="36"/>
  <c r="DF40" i="36"/>
  <c r="DH40" i="36"/>
  <c r="DI40" i="36"/>
  <c r="DF41" i="36"/>
  <c r="DG41" i="36"/>
  <c r="DF43" i="36"/>
  <c r="Y50" i="36"/>
  <c r="AH50" i="36"/>
  <c r="DC58" i="36"/>
  <c r="AG6" i="36"/>
  <c r="AC63" i="36"/>
  <c r="AC12" i="36"/>
  <c r="AK63" i="36"/>
  <c r="AK12" i="36"/>
  <c r="AL137" i="36"/>
  <c r="AL94" i="36"/>
  <c r="AT94" i="36"/>
  <c r="BB94" i="36"/>
  <c r="BJ94" i="36"/>
  <c r="BR94" i="36"/>
  <c r="BZ94" i="36"/>
  <c r="CH94" i="36"/>
  <c r="CP94" i="36"/>
  <c r="CX94" i="36"/>
  <c r="M44" i="36"/>
  <c r="M45" i="36"/>
  <c r="M46" i="36"/>
  <c r="DF70" i="36"/>
  <c r="BC39" i="36"/>
  <c r="CA39" i="36"/>
  <c r="DC16" i="36"/>
  <c r="DI25" i="36"/>
  <c r="AH29" i="36"/>
  <c r="DH34" i="36"/>
  <c r="Q46" i="36"/>
  <c r="CP51" i="36"/>
  <c r="DI34" i="36"/>
  <c r="AF39" i="36"/>
  <c r="DC39" i="36"/>
  <c r="DC40" i="36"/>
  <c r="DH41" i="36"/>
  <c r="AP49" i="36"/>
  <c r="Z50" i="36"/>
  <c r="DC57" i="36"/>
  <c r="N44" i="36"/>
  <c r="N45" i="36"/>
  <c r="N46" i="36"/>
  <c r="DC65" i="36"/>
  <c r="X14" i="36"/>
  <c r="X64" i="36"/>
  <c r="AF14" i="36"/>
  <c r="AF64" i="36"/>
  <c r="AN64" i="36"/>
  <c r="AN14" i="36"/>
  <c r="DE73" i="36"/>
  <c r="V144" i="14"/>
  <c r="U144" i="14"/>
  <c r="AY21" i="36"/>
  <c r="DE21" i="36"/>
  <c r="V233" i="14"/>
  <c r="U233" i="14"/>
  <c r="AP231" i="14"/>
  <c r="DF73" i="36"/>
  <c r="BG21" i="36"/>
  <c r="DF21" i="36"/>
  <c r="DH73" i="36"/>
  <c r="CE21" i="36"/>
  <c r="DH21" i="36"/>
  <c r="DE74" i="36"/>
  <c r="DG74" i="36"/>
  <c r="DG94" i="36"/>
  <c r="CP39" i="36"/>
  <c r="DI39" i="36"/>
  <c r="DI41" i="36"/>
  <c r="CI39" i="36"/>
  <c r="DH39" i="36"/>
  <c r="AJ49" i="36"/>
  <c r="W12" i="36"/>
  <c r="W63" i="36"/>
  <c r="W11" i="36"/>
  <c r="DH75" i="36"/>
  <c r="AY34" i="36"/>
  <c r="DE34" i="36"/>
  <c r="DE85" i="36"/>
  <c r="DC106" i="36"/>
  <c r="AA62" i="36"/>
  <c r="AA10" i="36"/>
  <c r="DC10" i="36"/>
  <c r="BS51" i="36"/>
  <c r="J44" i="36"/>
  <c r="J45" i="36"/>
  <c r="DI21" i="36"/>
  <c r="DC26" i="36"/>
  <c r="DG28" i="36"/>
  <c r="DE37" i="36"/>
  <c r="DD42" i="36"/>
  <c r="DD43" i="36"/>
  <c r="AQ49" i="36"/>
  <c r="DD69" i="36"/>
  <c r="DD70" i="36"/>
  <c r="DH70" i="36"/>
  <c r="DE70" i="36"/>
  <c r="DF75" i="36"/>
  <c r="AI80" i="36"/>
  <c r="AF105" i="36"/>
  <c r="AF61" i="36"/>
  <c r="DC61" i="36"/>
  <c r="DC111" i="36"/>
  <c r="AF67" i="36"/>
  <c r="AN105" i="36"/>
  <c r="AN61" i="36"/>
  <c r="AN107" i="36"/>
  <c r="AN133" i="36"/>
  <c r="AN67" i="36"/>
  <c r="BH142" i="36"/>
  <c r="CR265" i="36"/>
  <c r="DD34" i="36"/>
  <c r="CY39" i="36"/>
  <c r="AB49" i="36"/>
  <c r="V11" i="36"/>
  <c r="AM300" i="36"/>
  <c r="AM233" i="36"/>
  <c r="AM260" i="36"/>
  <c r="DF25" i="36"/>
  <c r="DH25" i="36"/>
  <c r="Y29" i="36"/>
  <c r="DC29" i="36"/>
  <c r="AG29" i="36"/>
  <c r="BQ210" i="36"/>
  <c r="BQ169" i="36"/>
  <c r="DE42" i="36"/>
  <c r="V249" i="14"/>
  <c r="U249" i="14"/>
  <c r="DI42" i="36"/>
  <c r="Z49" i="36"/>
  <c r="AH49" i="36"/>
  <c r="AB50" i="36"/>
  <c r="V7" i="36"/>
  <c r="DC7" i="36"/>
  <c r="DC59" i="36"/>
  <c r="AP92" i="36"/>
  <c r="DD72" i="36"/>
  <c r="DF72" i="36"/>
  <c r="DG72" i="36"/>
  <c r="X22" i="36"/>
  <c r="DC22" i="36"/>
  <c r="DC74" i="36"/>
  <c r="DD75" i="36"/>
  <c r="AJ97" i="36"/>
  <c r="AI98" i="36"/>
  <c r="BM93" i="36"/>
  <c r="AQ178" i="36"/>
  <c r="AQ94" i="36"/>
  <c r="BW94" i="36"/>
  <c r="DE36" i="36"/>
  <c r="K46" i="36"/>
  <c r="S46" i="36"/>
  <c r="P63" i="36"/>
  <c r="P11" i="36"/>
  <c r="Y64" i="36"/>
  <c r="DC64" i="36"/>
  <c r="AG64" i="36"/>
  <c r="AO64" i="36"/>
  <c r="DC66" i="36"/>
  <c r="DD71" i="36"/>
  <c r="DD79" i="36"/>
  <c r="DH91" i="36"/>
  <c r="AF95" i="36"/>
  <c r="AN95" i="36"/>
  <c r="AR95" i="36"/>
  <c r="BF138" i="36"/>
  <c r="DF120" i="36"/>
  <c r="DH120" i="36"/>
  <c r="CD138" i="36"/>
  <c r="BT91" i="36"/>
  <c r="DG91" i="36"/>
  <c r="DG132" i="36"/>
  <c r="CR91" i="36"/>
  <c r="DI91" i="36"/>
  <c r="DI132" i="36"/>
  <c r="AJ138" i="36"/>
  <c r="AI139" i="36"/>
  <c r="AX93" i="36"/>
  <c r="BN93" i="36"/>
  <c r="CD93" i="36"/>
  <c r="CT93" i="36"/>
  <c r="CC193" i="36"/>
  <c r="AR108" i="36"/>
  <c r="CS93" i="36"/>
  <c r="BL94" i="36"/>
  <c r="CM94" i="36"/>
  <c r="CR94" i="36"/>
  <c r="AB8" i="36"/>
  <c r="AJ8" i="36"/>
  <c r="AJ50" i="36"/>
  <c r="AB13" i="36"/>
  <c r="AJ13" i="36"/>
  <c r="V15" i="36"/>
  <c r="V23" i="36"/>
  <c r="DC23" i="36"/>
  <c r="BQ476" i="36"/>
  <c r="CO476" i="36"/>
  <c r="AQ40" i="36"/>
  <c r="L46" i="36"/>
  <c r="T46" i="36"/>
  <c r="AH64" i="36"/>
  <c r="AJ80" i="36"/>
  <c r="DG85" i="36"/>
  <c r="DE91" i="36"/>
  <c r="AD96" i="36"/>
  <c r="DD172" i="36"/>
  <c r="AN90" i="36"/>
  <c r="DD90" i="36"/>
  <c r="DG172" i="36"/>
  <c r="BT90" i="36"/>
  <c r="DG90" i="36"/>
  <c r="DI172" i="36"/>
  <c r="CR90" i="36"/>
  <c r="DI90" i="36"/>
  <c r="AM178" i="36"/>
  <c r="BH97" i="36"/>
  <c r="AS143" i="36"/>
  <c r="AH28" i="36"/>
  <c r="BF28" i="36"/>
  <c r="CD28" i="36"/>
  <c r="DG36" i="36"/>
  <c r="AP41" i="36"/>
  <c r="AP42" i="36"/>
  <c r="AQ42" i="36"/>
  <c r="AR42" i="36"/>
  <c r="AS42" i="36"/>
  <c r="DF79" i="36"/>
  <c r="DC81" i="36"/>
  <c r="AO96" i="36"/>
  <c r="DI94" i="36"/>
  <c r="CF179" i="36"/>
  <c r="DG175" i="36"/>
  <c r="CC93" i="36"/>
  <c r="BG94" i="36"/>
  <c r="DE87" i="36"/>
  <c r="DF88" i="36"/>
  <c r="AU97" i="36"/>
  <c r="BS97" i="36"/>
  <c r="CQ97" i="36"/>
  <c r="DG79" i="36"/>
  <c r="AE80" i="36"/>
  <c r="AM80" i="36"/>
  <c r="DC82" i="36"/>
  <c r="DI85" i="36"/>
  <c r="DC89" i="36"/>
  <c r="DC90" i="36"/>
  <c r="DF91" i="36"/>
  <c r="AI95" i="36"/>
  <c r="AQ95" i="36"/>
  <c r="AP96" i="36"/>
  <c r="AO174" i="36"/>
  <c r="DD101" i="36"/>
  <c r="AW93" i="36"/>
  <c r="AV94" i="36"/>
  <c r="DF176" i="36"/>
  <c r="DI36" i="36"/>
  <c r="DF37" i="36"/>
  <c r="DH79" i="36"/>
  <c r="DH90" i="36"/>
  <c r="AG96" i="36"/>
  <c r="DC96" i="36"/>
  <c r="DE94" i="36"/>
  <c r="CS94" i="36"/>
  <c r="AB95" i="36"/>
  <c r="AH98" i="36"/>
  <c r="AV111" i="36"/>
  <c r="CR138" i="36"/>
  <c r="BR210" i="36"/>
  <c r="BS183" i="36"/>
  <c r="DA193" i="36"/>
  <c r="CF97" i="36"/>
  <c r="CB94" i="36"/>
  <c r="DG217" i="36"/>
  <c r="AW210" i="36"/>
  <c r="BE696" i="36"/>
  <c r="BE476" i="36"/>
  <c r="BE295" i="36"/>
  <c r="DG87" i="36"/>
  <c r="CC696" i="36"/>
  <c r="CC476" i="36"/>
  <c r="DA476" i="36"/>
  <c r="DG37" i="36"/>
  <c r="DC60" i="36"/>
  <c r="DI79" i="36"/>
  <c r="AH80" i="36"/>
  <c r="DF85" i="36"/>
  <c r="DH85" i="36"/>
  <c r="DD91" i="36"/>
  <c r="BC93" i="36"/>
  <c r="AH96" i="36"/>
  <c r="AC95" i="36"/>
  <c r="AK137" i="36"/>
  <c r="AK94" i="36"/>
  <c r="DD135" i="36"/>
  <c r="AS94" i="36"/>
  <c r="BA94" i="36"/>
  <c r="BI94" i="36"/>
  <c r="DF135" i="36"/>
  <c r="BQ94" i="36"/>
  <c r="BY94" i="36"/>
  <c r="CG94" i="36"/>
  <c r="DH135" i="36"/>
  <c r="CO94" i="36"/>
  <c r="CW94" i="36"/>
  <c r="AL179" i="36"/>
  <c r="AK180" i="36"/>
  <c r="AH105" i="36"/>
  <c r="DD123" i="36"/>
  <c r="DD127" i="36"/>
  <c r="DE134" i="36"/>
  <c r="DG134" i="36"/>
  <c r="DI134" i="36"/>
  <c r="AR147" i="36"/>
  <c r="AQ148" i="36"/>
  <c r="DD152" i="36"/>
  <c r="DE158" i="36"/>
  <c r="DG158" i="36"/>
  <c r="DI158" i="36"/>
  <c r="AU179" i="36"/>
  <c r="BS179" i="36"/>
  <c r="DI161" i="36"/>
  <c r="CP179" i="36"/>
  <c r="AT220" i="36"/>
  <c r="DE202" i="36"/>
  <c r="CP220" i="36"/>
  <c r="DI202" i="36"/>
  <c r="AM221" i="36"/>
  <c r="AN220" i="36"/>
  <c r="DG261" i="36"/>
  <c r="AY101" i="36"/>
  <c r="AF107" i="36"/>
  <c r="AF133" i="36"/>
  <c r="DI117" i="36"/>
  <c r="DD122" i="36"/>
  <c r="DF132" i="36"/>
  <c r="DH132" i="36"/>
  <c r="BR169" i="36"/>
  <c r="BS142" i="36"/>
  <c r="AS147" i="36"/>
  <c r="DD145" i="36"/>
  <c r="DD165" i="36"/>
  <c r="AO162" i="36"/>
  <c r="DF172" i="36"/>
  <c r="AT177" i="36"/>
  <c r="AS177" i="36"/>
  <c r="DD177" i="36"/>
  <c r="AY84" i="36"/>
  <c r="AZ183" i="36"/>
  <c r="DD255" i="36"/>
  <c r="DH255" i="36"/>
  <c r="AR273" i="36"/>
  <c r="AR231" i="36"/>
  <c r="AR235" i="36"/>
  <c r="DH287" i="36"/>
  <c r="DE120" i="36"/>
  <c r="DG120" i="36"/>
  <c r="DG135" i="36"/>
  <c r="DI135" i="36"/>
  <c r="AU152" i="36"/>
  <c r="AK174" i="36"/>
  <c r="DD153" i="36"/>
  <c r="DE173" i="36"/>
  <c r="DG173" i="36"/>
  <c r="DI173" i="36"/>
  <c r="DE175" i="36"/>
  <c r="AS178" i="36"/>
  <c r="DD178" i="36"/>
  <c r="DD176" i="36"/>
  <c r="DD205" i="36"/>
  <c r="AS184" i="36"/>
  <c r="BS220" i="36"/>
  <c r="AR106" i="36"/>
  <c r="AH107" i="36"/>
  <c r="AX142" i="36"/>
  <c r="AW83" i="36"/>
  <c r="DD150" i="36"/>
  <c r="DF163" i="36"/>
  <c r="DH163" i="36"/>
  <c r="DF287" i="36"/>
  <c r="BK249" i="36"/>
  <c r="BK28" i="36"/>
  <c r="DI249" i="36"/>
  <c r="DE135" i="36"/>
  <c r="DF158" i="36"/>
  <c r="DH158" i="36"/>
  <c r="DD161" i="36"/>
  <c r="BG179" i="36"/>
  <c r="CP210" i="36"/>
  <c r="CQ183" i="36"/>
  <c r="DD193" i="36"/>
  <c r="DF217" i="36"/>
  <c r="AT111" i="36"/>
  <c r="AR111" i="36"/>
  <c r="AR67" i="36"/>
  <c r="DF117" i="36"/>
  <c r="DH117" i="36"/>
  <c r="DD124" i="36"/>
  <c r="DE132" i="36"/>
  <c r="AR146" i="36"/>
  <c r="AR149" i="36"/>
  <c r="AR148" i="36"/>
  <c r="DD158" i="36"/>
  <c r="DD164" i="36"/>
  <c r="DE172" i="36"/>
  <c r="DH172" i="36"/>
  <c r="DG202" i="36"/>
  <c r="DH213" i="36"/>
  <c r="BT265" i="36"/>
  <c r="DC274" i="36"/>
  <c r="AG300" i="36"/>
  <c r="AG233" i="36"/>
  <c r="AT138" i="36"/>
  <c r="BR138" i="36"/>
  <c r="BQ152" i="36"/>
  <c r="CO152" i="36"/>
  <c r="DD163" i="36"/>
  <c r="CP169" i="36"/>
  <c r="AX210" i="36"/>
  <c r="CD210" i="36"/>
  <c r="DE243" i="36"/>
  <c r="V205" i="14"/>
  <c r="U205" i="14"/>
  <c r="DG243" i="36"/>
  <c r="DI243" i="36"/>
  <c r="CE265" i="36"/>
  <c r="BE252" i="36"/>
  <c r="BE336" i="36"/>
  <c r="BE253" i="36"/>
  <c r="BE227" i="36"/>
  <c r="BQ269" i="36"/>
  <c r="BF269" i="36"/>
  <c r="BF336" i="36"/>
  <c r="AD275" i="36"/>
  <c r="AD273" i="36"/>
  <c r="AD231" i="36"/>
  <c r="AD237" i="36"/>
  <c r="DC237" i="36"/>
  <c r="AL275" i="36"/>
  <c r="AL273" i="36"/>
  <c r="AL231" i="36"/>
  <c r="AL9" i="36"/>
  <c r="AL237" i="36"/>
  <c r="AL15" i="36"/>
  <c r="DC302" i="36"/>
  <c r="AG304" i="36"/>
  <c r="DC304" i="36"/>
  <c r="AG262" i="36"/>
  <c r="AO304" i="36"/>
  <c r="AO262" i="36"/>
  <c r="AW262" i="36"/>
  <c r="DE302" i="36"/>
  <c r="BE262" i="36"/>
  <c r="BM262" i="36"/>
  <c r="BU262" i="36"/>
  <c r="CC262" i="36"/>
  <c r="DG302" i="36"/>
  <c r="CK262" i="36"/>
  <c r="CS262" i="36"/>
  <c r="DA262" i="36"/>
  <c r="BR320" i="36"/>
  <c r="DF326" i="36"/>
  <c r="AA133" i="36"/>
  <c r="DC133" i="36"/>
  <c r="DH161" i="36"/>
  <c r="DF213" i="36"/>
  <c r="AR219" i="36"/>
  <c r="DE239" i="36"/>
  <c r="DG239" i="36"/>
  <c r="AB250" i="36"/>
  <c r="AJ250" i="36"/>
  <c r="DE255" i="36"/>
  <c r="DG255" i="36"/>
  <c r="DI255" i="36"/>
  <c r="DE261" i="36"/>
  <c r="AO300" i="36"/>
  <c r="AO233" i="36"/>
  <c r="AO260" i="36"/>
  <c r="AF234" i="36"/>
  <c r="AF275" i="36"/>
  <c r="AN234" i="36"/>
  <c r="AN275" i="36"/>
  <c r="AF273" i="36"/>
  <c r="AF231" i="36"/>
  <c r="AF237" i="36"/>
  <c r="AN273" i="36"/>
  <c r="AN231" i="36"/>
  <c r="AN237" i="36"/>
  <c r="AB288" i="36"/>
  <c r="DC294" i="36"/>
  <c r="AE261" i="36"/>
  <c r="AE303" i="36"/>
  <c r="AM261" i="36"/>
  <c r="AM303" i="36"/>
  <c r="AU261" i="36"/>
  <c r="BC261" i="36"/>
  <c r="BK261" i="36"/>
  <c r="BS261" i="36"/>
  <c r="CA261" i="36"/>
  <c r="CI261" i="36"/>
  <c r="CQ261" i="36"/>
  <c r="CY261" i="36"/>
  <c r="AA304" i="36"/>
  <c r="AA262" i="36"/>
  <c r="AI304" i="36"/>
  <c r="AI262" i="36"/>
  <c r="AQ304" i="36"/>
  <c r="AQ262" i="36"/>
  <c r="AQ264" i="36"/>
  <c r="AY262" i="36"/>
  <c r="BG262" i="36"/>
  <c r="BO262" i="36"/>
  <c r="BW262" i="36"/>
  <c r="CE262" i="36"/>
  <c r="CM262" i="36"/>
  <c r="CU262" i="36"/>
  <c r="AH139" i="36"/>
  <c r="CE142" i="36"/>
  <c r="DD206" i="36"/>
  <c r="DD183" i="36"/>
  <c r="AQ187" i="36"/>
  <c r="AQ61" i="36"/>
  <c r="AQ190" i="36"/>
  <c r="AQ189" i="36"/>
  <c r="DF214" i="36"/>
  <c r="DH214" i="36"/>
  <c r="DD217" i="36"/>
  <c r="AS219" i="36"/>
  <c r="DD219" i="36"/>
  <c r="BG265" i="36"/>
  <c r="AR276" i="36"/>
  <c r="AR230" i="36"/>
  <c r="AR264" i="36"/>
  <c r="DE328" i="36"/>
  <c r="AW249" i="36"/>
  <c r="AW28" i="36"/>
  <c r="BD262" i="36"/>
  <c r="BL262" i="36"/>
  <c r="BT262" i="36"/>
  <c r="CB262" i="36"/>
  <c r="CJ262" i="36"/>
  <c r="CR262" i="36"/>
  <c r="CZ262" i="36"/>
  <c r="DD356" i="36"/>
  <c r="AT356" i="36"/>
  <c r="AU356" i="36"/>
  <c r="AV356" i="36"/>
  <c r="AW356" i="36"/>
  <c r="AX356" i="36"/>
  <c r="AY356" i="36"/>
  <c r="AZ356" i="36"/>
  <c r="BA356" i="36"/>
  <c r="BB356" i="36"/>
  <c r="BC356" i="36"/>
  <c r="BD356" i="36"/>
  <c r="BE356" i="36"/>
  <c r="CD169" i="36"/>
  <c r="AS84" i="36"/>
  <c r="AS33" i="36"/>
  <c r="DE199" i="36"/>
  <c r="DD209" i="36"/>
  <c r="DC227" i="36"/>
  <c r="DD227" i="36"/>
  <c r="DC236" i="36"/>
  <c r="DC243" i="36"/>
  <c r="AG250" i="36"/>
  <c r="AO250" i="36"/>
  <c r="DI256" i="36"/>
  <c r="AO263" i="36"/>
  <c r="DI261" i="36"/>
  <c r="Z234" i="36"/>
  <c r="Z275" i="36"/>
  <c r="AH234" i="36"/>
  <c r="AH275" i="36"/>
  <c r="AP234" i="36"/>
  <c r="AP12" i="36"/>
  <c r="AP275" i="36"/>
  <c r="CF305" i="36"/>
  <c r="AJ305" i="36"/>
  <c r="AI306" i="36"/>
  <c r="CQ320" i="36"/>
  <c r="CE183" i="36"/>
  <c r="BQ193" i="36"/>
  <c r="CO193" i="36"/>
  <c r="AV193" i="36"/>
  <c r="DF199" i="36"/>
  <c r="DH199" i="36"/>
  <c r="DD202" i="36"/>
  <c r="BG220" i="36"/>
  <c r="CE220" i="36"/>
  <c r="DD204" i="36"/>
  <c r="AR84" i="36"/>
  <c r="DC229" i="36"/>
  <c r="DD229" i="36"/>
  <c r="DH243" i="36"/>
  <c r="AA265" i="36"/>
  <c r="Z266" i="36"/>
  <c r="DD249" i="36"/>
  <c r="Z250" i="36"/>
  <c r="AP250" i="36"/>
  <c r="DD254" i="36"/>
  <c r="AG263" i="36"/>
  <c r="DC263" i="36"/>
  <c r="DC261" i="36"/>
  <c r="AA300" i="36"/>
  <c r="AA233" i="36"/>
  <c r="AI300" i="36"/>
  <c r="AI233" i="36"/>
  <c r="AI260" i="36"/>
  <c r="AQ233" i="36"/>
  <c r="DC276" i="36"/>
  <c r="AP273" i="36"/>
  <c r="AP231" i="36"/>
  <c r="AP9" i="36"/>
  <c r="AP237" i="36"/>
  <c r="AP15" i="36"/>
  <c r="BH305" i="36"/>
  <c r="CQ142" i="36"/>
  <c r="AM189" i="36"/>
  <c r="DD199" i="36"/>
  <c r="AR203" i="36"/>
  <c r="DE213" i="36"/>
  <c r="DG213" i="36"/>
  <c r="DI213" i="36"/>
  <c r="DC239" i="36"/>
  <c r="DD239" i="36"/>
  <c r="DF239" i="36"/>
  <c r="AA250" i="36"/>
  <c r="AI250" i="36"/>
  <c r="AC250" i="36"/>
  <c r="AC260" i="36"/>
  <c r="AK250" i="36"/>
  <c r="AK260" i="36"/>
  <c r="DC255" i="36"/>
  <c r="AE300" i="36"/>
  <c r="AE233" i="36"/>
  <c r="AE260" i="36"/>
  <c r="AB233" i="36"/>
  <c r="AB300" i="36"/>
  <c r="AJ233" i="36"/>
  <c r="AJ260" i="36"/>
  <c r="AJ300" i="36"/>
  <c r="DF202" i="36"/>
  <c r="AQ203" i="36"/>
  <c r="DG249" i="36"/>
  <c r="DD262" i="36"/>
  <c r="AT265" i="36"/>
  <c r="BQ320" i="36"/>
  <c r="CO320" i="36"/>
  <c r="DE326" i="36"/>
  <c r="DG326" i="36"/>
  <c r="DI326" i="36"/>
  <c r="DI328" i="36"/>
  <c r="AT394" i="36"/>
  <c r="DE376" i="36"/>
  <c r="V176" i="14"/>
  <c r="U176" i="14"/>
  <c r="BR394" i="36"/>
  <c r="DG376" i="36"/>
  <c r="CQ394" i="36"/>
  <c r="DC251" i="36"/>
  <c r="AR252" i="36"/>
  <c r="AR31" i="36"/>
  <c r="AR304" i="36"/>
  <c r="AU320" i="36"/>
  <c r="BQ573" i="36"/>
  <c r="DG216" i="36"/>
  <c r="AH250" i="36"/>
  <c r="AS252" i="36"/>
  <c r="AS253" i="36"/>
  <c r="DD279" i="36"/>
  <c r="DC279" i="36"/>
  <c r="AR303" i="36"/>
  <c r="AS304" i="36"/>
  <c r="DD304" i="36"/>
  <c r="DD302" i="36"/>
  <c r="DF302" i="36"/>
  <c r="DH302" i="36"/>
  <c r="AU254" i="36"/>
  <c r="AU33" i="36"/>
  <c r="AV310" i="36"/>
  <c r="DF328" i="36"/>
  <c r="DC249" i="36"/>
  <c r="AR251" i="36"/>
  <c r="AH265" i="36"/>
  <c r="AT269" i="36"/>
  <c r="AH273" i="36"/>
  <c r="AR253" i="36"/>
  <c r="DD253" i="36"/>
  <c r="CE310" i="36"/>
  <c r="DF340" i="36"/>
  <c r="X360" i="36"/>
  <c r="X389" i="36"/>
  <c r="DC361" i="36"/>
  <c r="DI216" i="36"/>
  <c r="DC288" i="36"/>
  <c r="DF294" i="36"/>
  <c r="DH294" i="36"/>
  <c r="DH298" i="36"/>
  <c r="AS303" i="36"/>
  <c r="DD303" i="36"/>
  <c r="DH326" i="36"/>
  <c r="DC364" i="36"/>
  <c r="V360" i="36"/>
  <c r="DG285" i="36"/>
  <c r="DI285" i="36"/>
  <c r="DE287" i="36"/>
  <c r="BS305" i="36"/>
  <c r="CQ305" i="36"/>
  <c r="DC293" i="36"/>
  <c r="AB305" i="36"/>
  <c r="AA306" i="36"/>
  <c r="BG310" i="36"/>
  <c r="CF18" i="36"/>
  <c r="CG352" i="36"/>
  <c r="DD370" i="36"/>
  <c r="DF370" i="36"/>
  <c r="DG287" i="36"/>
  <c r="DE340" i="36"/>
  <c r="DG340" i="36"/>
  <c r="DI340" i="36"/>
  <c r="AK389" i="36"/>
  <c r="DE370" i="36"/>
  <c r="V175" i="14"/>
  <c r="U175" i="14"/>
  <c r="DG370" i="36"/>
  <c r="DI370" i="36"/>
  <c r="DC377" i="36"/>
  <c r="AI392" i="36"/>
  <c r="AI393" i="36"/>
  <c r="DD424" i="36"/>
  <c r="AK423" i="36"/>
  <c r="AU442" i="36"/>
  <c r="DI287" i="36"/>
  <c r="DI301" i="36"/>
  <c r="DI342" i="36"/>
  <c r="CE346" i="36"/>
  <c r="CQ254" i="36"/>
  <c r="DI335" i="36"/>
  <c r="DE343" i="36"/>
  <c r="CR352" i="36"/>
  <c r="Y358" i="36"/>
  <c r="Y9" i="36"/>
  <c r="CO573" i="36"/>
  <c r="CO524" i="36"/>
  <c r="AT305" i="36"/>
  <c r="CR310" i="36"/>
  <c r="AV346" i="36"/>
  <c r="BS346" i="36"/>
  <c r="CQ346" i="36"/>
  <c r="DG328" i="36"/>
  <c r="DF343" i="36"/>
  <c r="DH343" i="36"/>
  <c r="DG343" i="36"/>
  <c r="BG346" i="36"/>
  <c r="AS354" i="36"/>
  <c r="AR5" i="36"/>
  <c r="DD5" i="36"/>
  <c r="DC359" i="36"/>
  <c r="AF360" i="36"/>
  <c r="AF389" i="36"/>
  <c r="AH364" i="36"/>
  <c r="AH358" i="36"/>
  <c r="DF412" i="36"/>
  <c r="DD412" i="36"/>
  <c r="DD301" i="36"/>
  <c r="BS310" i="36"/>
  <c r="DH328" i="36"/>
  <c r="DF339" i="36"/>
  <c r="DH339" i="36"/>
  <c r="DI343" i="36"/>
  <c r="AH360" i="36"/>
  <c r="DH370" i="36"/>
  <c r="BG394" i="36"/>
  <c r="CE394" i="36"/>
  <c r="AR392" i="36"/>
  <c r="AO407" i="36"/>
  <c r="AO406" i="36"/>
  <c r="AO433" i="36"/>
  <c r="AO404" i="36"/>
  <c r="AO9" i="36"/>
  <c r="AT336" i="36"/>
  <c r="AC389" i="36"/>
  <c r="AE361" i="36"/>
  <c r="AE360" i="36"/>
  <c r="AE389" i="36"/>
  <c r="AE358" i="36"/>
  <c r="AE9" i="36"/>
  <c r="DH376" i="36"/>
  <c r="AI394" i="36"/>
  <c r="AH395" i="36"/>
  <c r="DH412" i="36"/>
  <c r="DD422" i="36"/>
  <c r="DF416" i="36"/>
  <c r="AK439" i="36"/>
  <c r="AL438" i="36"/>
  <c r="DD411" i="36"/>
  <c r="AK410" i="36"/>
  <c r="AK15" i="36"/>
  <c r="DE413" i="36"/>
  <c r="DG413" i="36"/>
  <c r="AV438" i="36"/>
  <c r="DD426" i="36"/>
  <c r="AV352" i="36"/>
  <c r="AG393" i="36"/>
  <c r="DC393" i="36"/>
  <c r="DE411" i="36"/>
  <c r="DG411" i="36"/>
  <c r="DE412" i="36"/>
  <c r="DG412" i="36"/>
  <c r="DI412" i="36"/>
  <c r="DI413" i="36"/>
  <c r="DE417" i="36"/>
  <c r="DG417" i="36"/>
  <c r="DE420" i="36"/>
  <c r="DI420" i="36"/>
  <c r="DG428" i="36"/>
  <c r="AR453" i="36"/>
  <c r="AR408" i="36"/>
  <c r="AN485" i="36"/>
  <c r="AN435" i="36"/>
  <c r="AH393" i="36"/>
  <c r="AR393" i="36"/>
  <c r="DI411" i="36"/>
  <c r="DE416" i="36"/>
  <c r="DG416" i="36"/>
  <c r="DI416" i="36"/>
  <c r="DI417" i="36"/>
  <c r="AM437" i="36"/>
  <c r="DF376" i="36"/>
  <c r="DD391" i="36"/>
  <c r="CF442" i="36"/>
  <c r="CE399" i="36"/>
  <c r="DF390" i="36"/>
  <c r="DE422" i="36"/>
  <c r="DG427" i="36"/>
  <c r="DI427" i="36"/>
  <c r="DD428" i="36"/>
  <c r="DE428" i="36"/>
  <c r="AK436" i="36"/>
  <c r="DH390" i="36"/>
  <c r="BS438" i="36"/>
  <c r="CQ438" i="36"/>
  <c r="DG422" i="36"/>
  <c r="BG486" i="36"/>
  <c r="AN484" i="36"/>
  <c r="AN434" i="36"/>
  <c r="AO485" i="36"/>
  <c r="AO435" i="36"/>
  <c r="AO437" i="36"/>
  <c r="DI390" i="36"/>
  <c r="BE524" i="36"/>
  <c r="CC524" i="36"/>
  <c r="CC573" i="36"/>
  <c r="DF428" i="36"/>
  <c r="AP436" i="36"/>
  <c r="AO484" i="36"/>
  <c r="AO434" i="36"/>
  <c r="DE482" i="36"/>
  <c r="DI482" i="36"/>
  <c r="DI422" i="36"/>
  <c r="DF427" i="36"/>
  <c r="DH427" i="36"/>
  <c r="AQ436" i="36"/>
  <c r="DC390" i="36"/>
  <c r="BG438" i="36"/>
  <c r="CE438" i="36"/>
  <c r="AL437" i="36"/>
  <c r="AK437" i="36"/>
  <c r="BF486" i="36"/>
  <c r="DF468" i="36"/>
  <c r="CD486" i="36"/>
  <c r="CE486" i="36"/>
  <c r="DH468" i="36"/>
  <c r="BS442" i="36"/>
  <c r="DD449" i="36"/>
  <c r="DF462" i="36"/>
  <c r="DH462" i="36"/>
  <c r="DD479" i="36"/>
  <c r="DI483" i="36"/>
  <c r="CE524" i="36"/>
  <c r="DG468" i="36"/>
  <c r="DH482" i="36"/>
  <c r="AP437" i="36"/>
  <c r="AS443" i="36"/>
  <c r="AR451" i="36"/>
  <c r="AK481" i="36"/>
  <c r="DF466" i="36"/>
  <c r="DH466" i="36"/>
  <c r="DG480" i="36"/>
  <c r="DE483" i="36"/>
  <c r="AU486" i="36"/>
  <c r="AV486" i="36"/>
  <c r="AW486" i="36"/>
  <c r="DD446" i="36"/>
  <c r="AT484" i="36"/>
  <c r="CR486" i="36"/>
  <c r="CS486" i="36"/>
  <c r="DE480" i="36"/>
  <c r="DI480" i="36"/>
  <c r="AS484" i="36"/>
  <c r="DD484" i="36"/>
  <c r="DD482" i="36"/>
  <c r="DF482" i="36"/>
  <c r="DG482" i="36"/>
  <c r="AL450" i="36"/>
  <c r="AL452" i="36"/>
  <c r="AL481" i="36"/>
  <c r="DD468" i="36"/>
  <c r="DD492" i="36"/>
  <c r="AR533" i="36"/>
  <c r="DE531" i="36"/>
  <c r="DH531" i="36"/>
  <c r="BT539" i="36"/>
  <c r="DE468" i="36"/>
  <c r="DF483" i="36"/>
  <c r="BR486" i="36"/>
  <c r="AW490" i="36"/>
  <c r="DG483" i="36"/>
  <c r="CF490" i="36"/>
  <c r="AN486" i="36"/>
  <c r="BG490" i="36"/>
  <c r="DI468" i="36"/>
  <c r="AS485" i="36"/>
  <c r="DD485" i="36"/>
  <c r="BH442" i="36"/>
  <c r="CQ442" i="36"/>
  <c r="AR499" i="36"/>
  <c r="DG514" i="36"/>
  <c r="DI514" i="36"/>
  <c r="DI531" i="36"/>
  <c r="CP524" i="36"/>
  <c r="AW534" i="36"/>
  <c r="AX534" i="36"/>
  <c r="AY534" i="36"/>
  <c r="AZ534" i="36"/>
  <c r="BA534" i="36"/>
  <c r="CS534" i="36"/>
  <c r="DD531" i="36"/>
  <c r="AS533" i="36"/>
  <c r="DD533" i="36"/>
  <c r="DF530" i="36"/>
  <c r="DG530" i="36"/>
  <c r="BQ426" i="36"/>
  <c r="BQ524" i="36"/>
  <c r="AU491" i="36"/>
  <c r="AR501" i="36"/>
  <c r="DE528" i="36"/>
  <c r="DG528" i="36"/>
  <c r="DE530" i="36"/>
  <c r="BR490" i="36"/>
  <c r="CS490" i="36"/>
  <c r="DE510" i="36"/>
  <c r="DG510" i="36"/>
  <c r="DI510" i="36"/>
  <c r="DF514" i="36"/>
  <c r="AS532" i="36"/>
  <c r="DD532" i="36"/>
  <c r="DD530" i="36"/>
  <c r="DD494" i="36"/>
  <c r="AS534" i="36"/>
  <c r="AS535" i="36"/>
  <c r="DD535" i="36"/>
  <c r="DD516" i="36"/>
  <c r="CG534" i="36"/>
  <c r="CH534" i="36"/>
  <c r="DI528" i="36"/>
  <c r="AT532" i="36"/>
  <c r="BT534" i="36"/>
  <c r="BU534" i="36"/>
  <c r="AT535" i="36"/>
  <c r="DG516" i="36"/>
  <c r="DD579" i="36"/>
  <c r="DH516" i="36"/>
  <c r="DG531" i="36"/>
  <c r="BE426" i="36"/>
  <c r="BF539" i="36"/>
  <c r="BG583" i="36"/>
  <c r="BH583" i="36"/>
  <c r="DF565" i="36"/>
  <c r="CE583" i="36"/>
  <c r="DH565" i="36"/>
  <c r="DI516" i="36"/>
  <c r="DI559" i="36"/>
  <c r="DE563" i="36"/>
  <c r="DG563" i="36"/>
  <c r="DI563" i="36"/>
  <c r="AT539" i="36"/>
  <c r="CT534" i="36"/>
  <c r="CU534" i="36"/>
  <c r="AR532" i="36"/>
  <c r="BE573" i="36"/>
  <c r="AS540" i="36"/>
  <c r="BH534" i="36"/>
  <c r="BI534" i="36"/>
  <c r="CF534" i="36"/>
  <c r="DE516" i="36"/>
  <c r="CE573" i="36"/>
  <c r="CF539" i="36"/>
  <c r="DH563" i="36"/>
  <c r="DH580" i="36"/>
  <c r="DE565" i="36"/>
  <c r="DE602" i="36"/>
  <c r="DD567" i="36"/>
  <c r="DI579" i="36"/>
  <c r="DG580" i="36"/>
  <c r="DI602" i="36"/>
  <c r="CQ539" i="36"/>
  <c r="DG565" i="36"/>
  <c r="DE580" i="36"/>
  <c r="DE605" i="36"/>
  <c r="DG605" i="36"/>
  <c r="DD580" i="36"/>
  <c r="AV583" i="36"/>
  <c r="AW583" i="36"/>
  <c r="AX583" i="36"/>
  <c r="BT583" i="36"/>
  <c r="BU583" i="36"/>
  <c r="BV583" i="36"/>
  <c r="BW583" i="36"/>
  <c r="CR583" i="36"/>
  <c r="DI565" i="36"/>
  <c r="CP573" i="36"/>
  <c r="DF603" i="36"/>
  <c r="DH603" i="36"/>
  <c r="BH627" i="36"/>
  <c r="BI627" i="36"/>
  <c r="BJ627" i="36"/>
  <c r="DE603" i="36"/>
  <c r="DI605" i="36"/>
  <c r="CF627" i="36"/>
  <c r="DF616" i="36"/>
  <c r="AU613" i="36"/>
  <c r="BC613" i="36"/>
  <c r="BK613" i="36"/>
  <c r="BS613" i="36"/>
  <c r="DG613" i="36"/>
  <c r="CA613" i="36"/>
  <c r="CI613" i="36"/>
  <c r="CQ613" i="36"/>
  <c r="CY613" i="36"/>
  <c r="BQ696" i="36"/>
  <c r="DF604" i="36"/>
  <c r="DG606" i="36"/>
  <c r="AT627" i="36"/>
  <c r="AU627" i="36"/>
  <c r="DE611" i="36"/>
  <c r="DI611" i="36"/>
  <c r="DE613" i="36"/>
  <c r="DF617" i="36"/>
  <c r="CC615" i="36"/>
  <c r="CO631" i="36"/>
  <c r="DG603" i="36"/>
  <c r="DI603" i="36"/>
  <c r="DE616" i="36"/>
  <c r="DG616" i="36"/>
  <c r="DF606" i="36"/>
  <c r="DH606" i="36"/>
  <c r="DH623" i="36"/>
  <c r="DE624" i="36"/>
  <c r="DG659" i="36"/>
  <c r="CE601" i="36"/>
  <c r="CE680" i="36"/>
  <c r="DF624" i="36"/>
  <c r="DE647" i="36"/>
  <c r="DG647" i="36"/>
  <c r="DG624" i="36"/>
  <c r="CG627" i="36"/>
  <c r="CH627" i="36"/>
  <c r="CI627" i="36"/>
  <c r="CJ627" i="36"/>
  <c r="CK627" i="36"/>
  <c r="DF611" i="36"/>
  <c r="BQ615" i="36"/>
  <c r="BR631" i="36"/>
  <c r="AT664" i="36"/>
  <c r="BE615" i="36"/>
  <c r="AU631" i="36"/>
  <c r="BF631" i="36"/>
  <c r="AT667" i="36"/>
  <c r="DE651" i="36"/>
  <c r="DG651" i="36"/>
  <c r="DH651" i="36"/>
  <c r="BG601" i="36"/>
  <c r="DG649" i="36"/>
  <c r="DF651" i="36"/>
  <c r="DF662" i="36"/>
  <c r="DH662" i="36"/>
  <c r="DF663" i="36"/>
  <c r="DH663" i="36"/>
  <c r="AU666" i="36"/>
  <c r="BS666" i="36"/>
  <c r="BT666" i="36"/>
  <c r="CQ666" i="36"/>
  <c r="DH649" i="36"/>
  <c r="AT665" i="36"/>
  <c r="AV666" i="36"/>
  <c r="AW666" i="36"/>
  <c r="AX666" i="36"/>
  <c r="CF601" i="36"/>
  <c r="AU671" i="36"/>
  <c r="DF659" i="36"/>
  <c r="DH659" i="36"/>
  <c r="DF660" i="36"/>
  <c r="DH660" i="36"/>
  <c r="CG680" i="36"/>
  <c r="CG601" i="36"/>
  <c r="DI703" i="36"/>
  <c r="DE663" i="36"/>
  <c r="DG663" i="36"/>
  <c r="BH666" i="36"/>
  <c r="BI666" i="36"/>
  <c r="CF666" i="36"/>
  <c r="CG666" i="36"/>
  <c r="CH666" i="36"/>
  <c r="DE649" i="36"/>
  <c r="AU614" i="36"/>
  <c r="BS670" i="36"/>
  <c r="DE686" i="36"/>
  <c r="DG686" i="36"/>
  <c r="DI699" i="36"/>
  <c r="DH703" i="36"/>
  <c r="AT696" i="36"/>
  <c r="DG703" i="36"/>
  <c r="AU670" i="36"/>
  <c r="DI686" i="36"/>
  <c r="DF699" i="36"/>
  <c r="DH699" i="36"/>
  <c r="DF703" i="36"/>
  <c r="BQ601" i="36"/>
  <c r="DH690" i="36"/>
  <c r="DH686" i="36"/>
  <c r="BE601" i="36"/>
  <c r="CC601" i="36"/>
  <c r="CC680" i="36"/>
  <c r="DA601" i="36"/>
  <c r="DA680" i="36"/>
  <c r="DE703" i="36"/>
  <c r="BH670" i="36"/>
  <c r="CH670" i="36"/>
  <c r="CQ670" i="36"/>
  <c r="CO601" i="36"/>
  <c r="DG699" i="36"/>
  <c r="BH706" i="36"/>
  <c r="CF706" i="36"/>
  <c r="CG706" i="36"/>
  <c r="CV706" i="36"/>
  <c r="CW706" i="36"/>
  <c r="DE688" i="36"/>
  <c r="DI702" i="36"/>
  <c r="BI706" i="36"/>
  <c r="DF688" i="36"/>
  <c r="DG688" i="36"/>
  <c r="DH688" i="36"/>
  <c r="DI688" i="36"/>
  <c r="AW706" i="36"/>
  <c r="AX706" i="36"/>
  <c r="BU706" i="36"/>
  <c r="BV706" i="36"/>
  <c r="DF724" i="36"/>
  <c r="DG733" i="36"/>
  <c r="DH727" i="36"/>
  <c r="DH740" i="36"/>
  <c r="DF723" i="36"/>
  <c r="DE724" i="36"/>
  <c r="DG724" i="36"/>
  <c r="DG738" i="36"/>
  <c r="DF725" i="36"/>
  <c r="DH725" i="36"/>
  <c r="DF733" i="36"/>
  <c r="DH733" i="36"/>
  <c r="DE727" i="36"/>
  <c r="DG727" i="36"/>
  <c r="DD723" i="36"/>
  <c r="AS721" i="36"/>
  <c r="DD721" i="36"/>
  <c r="DF726" i="36"/>
  <c r="DH726" i="36"/>
  <c r="DF739" i="36"/>
  <c r="DG739" i="36"/>
  <c r="DH739" i="36"/>
  <c r="DD767" i="36"/>
  <c r="AS761" i="36"/>
  <c r="DD761" i="36"/>
  <c r="DH769" i="36"/>
  <c r="DF769" i="36"/>
  <c r="DE769" i="36"/>
  <c r="DG769" i="36"/>
  <c r="DD751" i="36"/>
  <c r="AT751" i="36"/>
  <c r="AS752" i="36"/>
  <c r="BF751" i="36"/>
  <c r="CC751" i="36"/>
  <c r="DE771" i="36"/>
  <c r="DH771" i="36"/>
  <c r="BQ785" i="36"/>
  <c r="DH801" i="36"/>
  <c r="DD754" i="36"/>
  <c r="BF785" i="36"/>
  <c r="DH779" i="36"/>
  <c r="DD786" i="36"/>
  <c r="DG771" i="36"/>
  <c r="DD788" i="36"/>
  <c r="DE801" i="36"/>
  <c r="DE805" i="36"/>
  <c r="DG805" i="36"/>
  <c r="AT785" i="36"/>
  <c r="DD785" i="36"/>
  <c r="DG801" i="36"/>
  <c r="DE803" i="36"/>
  <c r="DG813" i="36"/>
  <c r="DH813" i="36"/>
  <c r="DF803" i="36"/>
  <c r="DG803" i="36"/>
  <c r="DE813" i="36"/>
  <c r="DF814" i="36"/>
  <c r="DF805" i="36"/>
  <c r="DH805" i="36"/>
  <c r="DD820" i="36"/>
  <c r="AS821" i="36"/>
  <c r="BE820" i="36"/>
  <c r="DF813" i="36"/>
  <c r="AT820" i="36"/>
  <c r="DF836" i="36"/>
  <c r="DE849" i="36"/>
  <c r="DD823" i="36"/>
  <c r="DF849" i="36"/>
  <c r="DF847" i="36"/>
  <c r="AS830" i="36"/>
  <c r="DD830" i="36"/>
  <c r="DD837" i="36"/>
  <c r="DG849" i="36"/>
  <c r="V246" i="14"/>
  <c r="Q26" i="41"/>
  <c r="AA26" i="41"/>
  <c r="J582" i="21"/>
  <c r="DD252" i="36"/>
  <c r="DE249" i="36"/>
  <c r="V206" i="14"/>
  <c r="U206" i="14"/>
  <c r="DD237" i="36"/>
  <c r="DC62" i="36"/>
  <c r="DE28" i="36"/>
  <c r="AS499" i="36"/>
  <c r="DD503" i="36"/>
  <c r="AT178" i="36"/>
  <c r="AT180" i="36"/>
  <c r="DD147" i="36"/>
  <c r="AS453" i="36"/>
  <c r="BJ666" i="36"/>
  <c r="CV534" i="36"/>
  <c r="BJ534" i="36"/>
  <c r="CX706" i="36"/>
  <c r="AY666" i="36"/>
  <c r="BB534" i="36"/>
  <c r="AY583" i="36"/>
  <c r="CI666" i="36"/>
  <c r="BI583" i="36"/>
  <c r="AY706" i="36"/>
  <c r="BU666" i="36"/>
  <c r="CU627" i="36"/>
  <c r="BV534" i="36"/>
  <c r="CT486" i="36"/>
  <c r="BX583" i="36"/>
  <c r="BG785" i="36"/>
  <c r="AX490" i="36"/>
  <c r="AW84" i="36"/>
  <c r="CD84" i="36"/>
  <c r="AO264" i="36"/>
  <c r="AO48" i="36"/>
  <c r="AO50" i="36"/>
  <c r="CS138" i="36"/>
  <c r="DF28" i="36"/>
  <c r="BF51" i="36"/>
  <c r="AQ63" i="36"/>
  <c r="DD752" i="36"/>
  <c r="AS712" i="36"/>
  <c r="DD712" i="36"/>
  <c r="CR142" i="36"/>
  <c r="CQ169" i="36"/>
  <c r="Z300" i="36"/>
  <c r="Z233" i="36"/>
  <c r="DC275" i="36"/>
  <c r="DD207" i="36"/>
  <c r="CE169" i="36"/>
  <c r="CF142" i="36"/>
  <c r="AU138" i="36"/>
  <c r="DD151" i="36"/>
  <c r="P46" i="36"/>
  <c r="P44" i="36"/>
  <c r="P45" i="36"/>
  <c r="BT51" i="36"/>
  <c r="DH619" i="36"/>
  <c r="BQ820" i="36"/>
  <c r="BE711" i="36"/>
  <c r="AT752" i="36"/>
  <c r="AU751" i="36"/>
  <c r="AT711" i="36"/>
  <c r="CD601" i="36"/>
  <c r="CF680" i="36"/>
  <c r="CP680" i="36"/>
  <c r="DF613" i="36"/>
  <c r="CC591" i="36"/>
  <c r="DD499" i="36"/>
  <c r="CR442" i="36"/>
  <c r="CQ399" i="36"/>
  <c r="CQ476" i="36"/>
  <c r="AK406" i="36"/>
  <c r="AH15" i="36"/>
  <c r="BH346" i="36"/>
  <c r="AC305" i="36"/>
  <c r="AB306" i="36"/>
  <c r="AU269" i="36"/>
  <c r="AU295" i="36"/>
  <c r="AT227" i="36"/>
  <c r="AB260" i="36"/>
  <c r="AQ288" i="36"/>
  <c r="AQ259" i="36"/>
  <c r="DC250" i="36"/>
  <c r="DD104" i="36"/>
  <c r="AS60" i="36"/>
  <c r="AS96" i="36"/>
  <c r="DD96" i="36"/>
  <c r="DC234" i="36"/>
  <c r="Z12" i="36"/>
  <c r="AE263" i="36"/>
  <c r="AE47" i="36"/>
  <c r="AE49" i="36"/>
  <c r="AG264" i="36"/>
  <c r="DC264" i="36"/>
  <c r="DC262" i="36"/>
  <c r="AG48" i="36"/>
  <c r="AD300" i="36"/>
  <c r="AD233" i="36"/>
  <c r="AD260" i="36"/>
  <c r="BU265" i="36"/>
  <c r="CC152" i="36"/>
  <c r="DA152" i="36"/>
  <c r="BT220" i="36"/>
  <c r="DD168" i="36"/>
  <c r="BS169" i="36"/>
  <c r="BT142" i="36"/>
  <c r="AV179" i="36"/>
  <c r="DD111" i="36"/>
  <c r="AM179" i="36"/>
  <c r="AL180" i="36"/>
  <c r="DG88" i="36"/>
  <c r="AT525" i="36"/>
  <c r="DE431" i="36"/>
  <c r="AU69" i="36"/>
  <c r="CR97" i="36"/>
  <c r="AQ41" i="36"/>
  <c r="AP39" i="36"/>
  <c r="DG619" i="36"/>
  <c r="DH741" i="36"/>
  <c r="BE152" i="36"/>
  <c r="AS83" i="36"/>
  <c r="BE296" i="36"/>
  <c r="BE337" i="36"/>
  <c r="BI142" i="36"/>
  <c r="X12" i="36"/>
  <c r="X63" i="36"/>
  <c r="AV170" i="36"/>
  <c r="AV129" i="36"/>
  <c r="AB11" i="36"/>
  <c r="AB92" i="36"/>
  <c r="DD102" i="36"/>
  <c r="AT102" i="36"/>
  <c r="AS58" i="36"/>
  <c r="AI63" i="36"/>
  <c r="AI12" i="36"/>
  <c r="CO615" i="36"/>
  <c r="CP631" i="36"/>
  <c r="DA631" i="36"/>
  <c r="CO589" i="36"/>
  <c r="CO696" i="36"/>
  <c r="CG539" i="36"/>
  <c r="BR524" i="36"/>
  <c r="BR424" i="36"/>
  <c r="BS490" i="36"/>
  <c r="BR399" i="36"/>
  <c r="CR346" i="36"/>
  <c r="AU265" i="36"/>
  <c r="AM263" i="36"/>
  <c r="AM47" i="36"/>
  <c r="AM49" i="36"/>
  <c r="BT179" i="36"/>
  <c r="DG384" i="36"/>
  <c r="AF9" i="36"/>
  <c r="BG295" i="36"/>
  <c r="BG631" i="36"/>
  <c r="BF589" i="36"/>
  <c r="CD631" i="36"/>
  <c r="BU539" i="36"/>
  <c r="CF438" i="36"/>
  <c r="CE426" i="36"/>
  <c r="CF394" i="36"/>
  <c r="AW193" i="36"/>
  <c r="AS81" i="36"/>
  <c r="BW706" i="36"/>
  <c r="CS583" i="36"/>
  <c r="BQ424" i="36"/>
  <c r="BI442" i="36"/>
  <c r="BH490" i="36"/>
  <c r="CF486" i="36"/>
  <c r="AS451" i="36"/>
  <c r="DD451" i="36"/>
  <c r="AT487" i="36"/>
  <c r="BH438" i="36"/>
  <c r="DA573" i="36"/>
  <c r="AT485" i="36"/>
  <c r="AW438" i="36"/>
  <c r="BH394" i="36"/>
  <c r="AW346" i="36"/>
  <c r="BF254" i="36"/>
  <c r="V389" i="36"/>
  <c r="DC389" i="36"/>
  <c r="DC360" i="36"/>
  <c r="AI265" i="36"/>
  <c r="AH266" i="36"/>
  <c r="AS251" i="36"/>
  <c r="AU394" i="36"/>
  <c r="BH220" i="36"/>
  <c r="DC273" i="36"/>
  <c r="BE229" i="36"/>
  <c r="AV69" i="36"/>
  <c r="AF300" i="36"/>
  <c r="AF233" i="36"/>
  <c r="AF260" i="36"/>
  <c r="DE262" i="36"/>
  <c r="BF227" i="36"/>
  <c r="BG269" i="36"/>
  <c r="AG260" i="36"/>
  <c r="DF249" i="36"/>
  <c r="AT67" i="36"/>
  <c r="AW59" i="36"/>
  <c r="DD186" i="36"/>
  <c r="AS188" i="36"/>
  <c r="AS218" i="36"/>
  <c r="DD218" i="36"/>
  <c r="AR275" i="36"/>
  <c r="AR234" i="36"/>
  <c r="AR263" i="36"/>
  <c r="CQ220" i="36"/>
  <c r="AS136" i="36"/>
  <c r="DD136" i="36"/>
  <c r="DC107" i="36"/>
  <c r="DD94" i="36"/>
  <c r="DI88" i="36"/>
  <c r="BR574" i="36"/>
  <c r="BR525" i="36"/>
  <c r="BR477" i="36"/>
  <c r="DG431" i="36"/>
  <c r="AT697" i="36"/>
  <c r="DE620" i="36"/>
  <c r="BS210" i="36"/>
  <c r="BS84" i="36"/>
  <c r="BT183" i="36"/>
  <c r="BQ574" i="36"/>
  <c r="BQ525" i="36"/>
  <c r="BQ477" i="36"/>
  <c r="AR86" i="36"/>
  <c r="AU111" i="36"/>
  <c r="AU68" i="36"/>
  <c r="DI87" i="36"/>
  <c r="CE574" i="36"/>
  <c r="CE525" i="36"/>
  <c r="CE477" i="36"/>
  <c r="DI257" i="36"/>
  <c r="AT295" i="36"/>
  <c r="DE257" i="36"/>
  <c r="DD143" i="36"/>
  <c r="AT143" i="36"/>
  <c r="BI97" i="36"/>
  <c r="DF258" i="36"/>
  <c r="BF296" i="36"/>
  <c r="BF337" i="36"/>
  <c r="BQ295" i="36"/>
  <c r="BE574" i="36"/>
  <c r="BE525" i="36"/>
  <c r="BE477" i="36"/>
  <c r="AO29" i="36"/>
  <c r="AN15" i="36"/>
  <c r="DD67" i="36"/>
  <c r="DC14" i="36"/>
  <c r="CE476" i="36"/>
  <c r="AM92" i="36"/>
  <c r="AM11" i="36"/>
  <c r="AS86" i="36"/>
  <c r="DC13" i="36"/>
  <c r="AU785" i="36"/>
  <c r="AT786" i="36"/>
  <c r="AJ394" i="36"/>
  <c r="AI395" i="36"/>
  <c r="AM215" i="36"/>
  <c r="AT129" i="36"/>
  <c r="AT170" i="36"/>
  <c r="DE88" i="36"/>
  <c r="CC697" i="36"/>
  <c r="CP601" i="36"/>
  <c r="AH231" i="36"/>
  <c r="BS394" i="36"/>
  <c r="AQ215" i="36"/>
  <c r="AQ121" i="36"/>
  <c r="AH61" i="36"/>
  <c r="CD751" i="36"/>
  <c r="CO751" i="36"/>
  <c r="BR751" i="36"/>
  <c r="DD829" i="36"/>
  <c r="AS825" i="36"/>
  <c r="DD825" i="36"/>
  <c r="CC785" i="36"/>
  <c r="BQ711" i="36"/>
  <c r="BG751" i="36"/>
  <c r="AT618" i="36"/>
  <c r="BQ680" i="36"/>
  <c r="BQ599" i="36"/>
  <c r="BT670" i="36"/>
  <c r="BG680" i="36"/>
  <c r="AV631" i="36"/>
  <c r="AU632" i="36"/>
  <c r="AU589" i="36"/>
  <c r="AU539" i="36"/>
  <c r="DA524" i="36"/>
  <c r="CP18" i="36"/>
  <c r="AN437" i="36"/>
  <c r="AN48" i="36"/>
  <c r="AN50" i="36"/>
  <c r="CS352" i="36"/>
  <c r="AT399" i="36"/>
  <c r="AT573" i="36"/>
  <c r="BG254" i="36"/>
  <c r="BG336" i="36"/>
  <c r="BH310" i="36"/>
  <c r="BI305" i="36"/>
  <c r="AP300" i="36"/>
  <c r="AP233" i="36"/>
  <c r="DD272" i="36"/>
  <c r="AS230" i="36"/>
  <c r="BH265" i="36"/>
  <c r="AI264" i="36"/>
  <c r="AI48" i="36"/>
  <c r="AI50" i="36"/>
  <c r="DD289" i="36"/>
  <c r="BQ336" i="36"/>
  <c r="BQ252" i="36"/>
  <c r="BQ253" i="36"/>
  <c r="BQ227" i="36"/>
  <c r="BQ296" i="36"/>
  <c r="BQ337" i="36"/>
  <c r="CC269" i="36"/>
  <c r="CC295" i="36"/>
  <c r="AU193" i="36"/>
  <c r="BH179" i="36"/>
  <c r="AR187" i="36"/>
  <c r="AR190" i="36"/>
  <c r="AR189" i="36"/>
  <c r="AR65" i="36"/>
  <c r="AW169" i="36"/>
  <c r="DC105" i="36"/>
  <c r="AN221" i="36"/>
  <c r="AO220" i="36"/>
  <c r="AW69" i="36"/>
  <c r="DF94" i="36"/>
  <c r="DI258" i="36"/>
  <c r="DG620" i="36"/>
  <c r="DE741" i="36"/>
  <c r="CC210" i="36"/>
  <c r="CC169" i="36"/>
  <c r="CO574" i="36"/>
  <c r="CO525" i="36"/>
  <c r="CO477" i="36"/>
  <c r="BQ697" i="36"/>
  <c r="AV210" i="36"/>
  <c r="AV169" i="36"/>
  <c r="AR81" i="36"/>
  <c r="BT97" i="36"/>
  <c r="DI384" i="36"/>
  <c r="DE384" i="36"/>
  <c r="AH63" i="36"/>
  <c r="AH12" i="36"/>
  <c r="DF431" i="36"/>
  <c r="AJ139" i="36"/>
  <c r="AK138" i="36"/>
  <c r="BE697" i="36"/>
  <c r="AU129" i="36"/>
  <c r="AU170" i="36"/>
  <c r="CQ51" i="36"/>
  <c r="AK92" i="36"/>
  <c r="AK11" i="36"/>
  <c r="AS82" i="36"/>
  <c r="AD15" i="36"/>
  <c r="AA63" i="36"/>
  <c r="AA12" i="36"/>
  <c r="AU820" i="36"/>
  <c r="AT821" i="36"/>
  <c r="DD773" i="36"/>
  <c r="AS737" i="36"/>
  <c r="AN487" i="36"/>
  <c r="AO486" i="36"/>
  <c r="BR426" i="36"/>
  <c r="CE254" i="36"/>
  <c r="CF310" i="36"/>
  <c r="CD574" i="36"/>
  <c r="CD525" i="36"/>
  <c r="CD477" i="36"/>
  <c r="DH431" i="36"/>
  <c r="DD84" i="36"/>
  <c r="V44" i="36"/>
  <c r="V46" i="36"/>
  <c r="CD476" i="36"/>
  <c r="DH430" i="36"/>
  <c r="AJ11" i="36"/>
  <c r="AJ92" i="36"/>
  <c r="V52" i="36"/>
  <c r="W51" i="36"/>
  <c r="CD680" i="36"/>
  <c r="DI613" i="36"/>
  <c r="BT438" i="36"/>
  <c r="CG305" i="36"/>
  <c r="AN300" i="36"/>
  <c r="AN233" i="36"/>
  <c r="AN260" i="36"/>
  <c r="DC231" i="36"/>
  <c r="AD9" i="36"/>
  <c r="DC9" i="36"/>
  <c r="CP84" i="36"/>
  <c r="DG258" i="36"/>
  <c r="DD28" i="36"/>
  <c r="AH51" i="36"/>
  <c r="AD92" i="36"/>
  <c r="AD11" i="36"/>
  <c r="DD794" i="36"/>
  <c r="AS790" i="36"/>
  <c r="DD790" i="36"/>
  <c r="CO680" i="36"/>
  <c r="AS839" i="36"/>
  <c r="DD839" i="36"/>
  <c r="DD842" i="36"/>
  <c r="BE795" i="36"/>
  <c r="BE713" i="36"/>
  <c r="BE761" i="36"/>
  <c r="BJ706" i="36"/>
  <c r="CR670" i="36"/>
  <c r="BE680" i="36"/>
  <c r="BE599" i="36"/>
  <c r="BE600" i="36"/>
  <c r="AV627" i="36"/>
  <c r="DH613" i="36"/>
  <c r="BW627" i="36"/>
  <c r="DD512" i="36"/>
  <c r="CD426" i="36"/>
  <c r="CP426" i="36"/>
  <c r="BS486" i="36"/>
  <c r="DD455" i="36"/>
  <c r="AR419" i="36"/>
  <c r="AR24" i="36"/>
  <c r="AO436" i="36"/>
  <c r="AO47" i="36"/>
  <c r="AO49" i="36"/>
  <c r="AN436" i="36"/>
  <c r="AN47" i="36"/>
  <c r="AN49" i="36"/>
  <c r="CD18" i="36"/>
  <c r="CQ18" i="36"/>
  <c r="CP254" i="36"/>
  <c r="CR254" i="36"/>
  <c r="CS310" i="36"/>
  <c r="DD354" i="36"/>
  <c r="AT426" i="36"/>
  <c r="DC358" i="36"/>
  <c r="CR305" i="36"/>
  <c r="DD290" i="36"/>
  <c r="AB265" i="36"/>
  <c r="AA266" i="36"/>
  <c r="CE210" i="36"/>
  <c r="CE84" i="36"/>
  <c r="CE33" i="36"/>
  <c r="CF183" i="36"/>
  <c r="DG262" i="36"/>
  <c r="CQ210" i="36"/>
  <c r="CQ84" i="36"/>
  <c r="CQ33" i="36"/>
  <c r="CR183" i="36"/>
  <c r="DD192" i="36"/>
  <c r="AR188" i="36"/>
  <c r="DD188" i="36"/>
  <c r="AR66" i="36"/>
  <c r="AY142" i="36"/>
  <c r="AY57" i="36"/>
  <c r="AY129" i="36"/>
  <c r="AX169" i="36"/>
  <c r="AX83" i="36"/>
  <c r="AX57" i="36"/>
  <c r="AT184" i="36"/>
  <c r="DD184" i="36"/>
  <c r="AZ84" i="36"/>
  <c r="BA183" i="36"/>
  <c r="AZ101" i="36"/>
  <c r="CQ179" i="36"/>
  <c r="AW111" i="36"/>
  <c r="AW68" i="36"/>
  <c r="DH94" i="36"/>
  <c r="AS137" i="36"/>
  <c r="DD137" i="36"/>
  <c r="CP574" i="36"/>
  <c r="CP525" i="36"/>
  <c r="CP477" i="36"/>
  <c r="DI431" i="36"/>
  <c r="DG741" i="36"/>
  <c r="DA210" i="36"/>
  <c r="DA169" i="36"/>
  <c r="CG97" i="36"/>
  <c r="CO697" i="36"/>
  <c r="AR83" i="36"/>
  <c r="AU210" i="36"/>
  <c r="AU169" i="36"/>
  <c r="CG179" i="36"/>
  <c r="CP476" i="36"/>
  <c r="DI430" i="36"/>
  <c r="AT476" i="36"/>
  <c r="DE430" i="36"/>
  <c r="BF697" i="36"/>
  <c r="DF620" i="36"/>
  <c r="CE138" i="36"/>
  <c r="DA574" i="36"/>
  <c r="DA525" i="36"/>
  <c r="DA477" i="36"/>
  <c r="CF476" i="36"/>
  <c r="AK97" i="36"/>
  <c r="AJ98" i="36"/>
  <c r="AN9" i="36"/>
  <c r="DH87" i="36"/>
  <c r="DF87" i="36"/>
  <c r="AE92" i="36"/>
  <c r="AE11" i="36"/>
  <c r="DH88" i="36"/>
  <c r="BS631" i="36"/>
  <c r="BR589" i="36"/>
  <c r="BR697" i="36"/>
  <c r="AR401" i="36"/>
  <c r="AR6" i="36"/>
  <c r="AW352" i="36"/>
  <c r="BS254" i="36"/>
  <c r="BT310" i="36"/>
  <c r="AT424" i="36"/>
  <c r="BF356" i="36"/>
  <c r="BG356" i="36"/>
  <c r="BH356" i="36"/>
  <c r="BI356" i="36"/>
  <c r="BJ356" i="36"/>
  <c r="BK356" i="36"/>
  <c r="BL356" i="36"/>
  <c r="BM356" i="36"/>
  <c r="BN356" i="36"/>
  <c r="BO356" i="36"/>
  <c r="BP356" i="36"/>
  <c r="BQ356" i="36"/>
  <c r="DE356" i="36"/>
  <c r="BS138" i="36"/>
  <c r="AR105" i="36"/>
  <c r="AR61" i="36"/>
  <c r="BG138" i="36"/>
  <c r="Y63" i="36"/>
  <c r="Y11" i="36"/>
  <c r="Y12" i="36"/>
  <c r="AF12" i="36"/>
  <c r="AF63" i="36"/>
  <c r="DF430" i="36"/>
  <c r="AS756" i="36"/>
  <c r="DD756" i="36"/>
  <c r="DD760" i="36"/>
  <c r="AS720" i="36"/>
  <c r="BK627" i="36"/>
  <c r="CI534" i="36"/>
  <c r="CP424" i="36"/>
  <c r="AL439" i="36"/>
  <c r="AM438" i="36"/>
  <c r="BT346" i="36"/>
  <c r="CF220" i="36"/>
  <c r="CF265" i="36"/>
  <c r="AT296" i="36"/>
  <c r="DE258" i="36"/>
  <c r="BR476" i="36"/>
  <c r="DG430" i="36"/>
  <c r="DH620" i="36"/>
  <c r="AR107" i="36"/>
  <c r="CQ525" i="36"/>
  <c r="DD821" i="36"/>
  <c r="AU696" i="36"/>
  <c r="AV670" i="36"/>
  <c r="DD828" i="36"/>
  <c r="AS827" i="36"/>
  <c r="AS824" i="36"/>
  <c r="DD824" i="36"/>
  <c r="CH706" i="36"/>
  <c r="CI670" i="36"/>
  <c r="AT615" i="36"/>
  <c r="AU667" i="36"/>
  <c r="BG539" i="36"/>
  <c r="BG399" i="36"/>
  <c r="BF399" i="36"/>
  <c r="DD497" i="36"/>
  <c r="AV491" i="36"/>
  <c r="DD523" i="36"/>
  <c r="AU535" i="36"/>
  <c r="CD424" i="36"/>
  <c r="BH486" i="36"/>
  <c r="DD443" i="36"/>
  <c r="AT443" i="36"/>
  <c r="AS400" i="36"/>
  <c r="DD400" i="36"/>
  <c r="DD454" i="36"/>
  <c r="AQ453" i="36"/>
  <c r="AQ408" i="36"/>
  <c r="CE424" i="36"/>
  <c r="AH389" i="36"/>
  <c r="AR357" i="36"/>
  <c r="BR254" i="36"/>
  <c r="CF346" i="36"/>
  <c r="AT254" i="36"/>
  <c r="AV442" i="36"/>
  <c r="CH352" i="36"/>
  <c r="CD254" i="36"/>
  <c r="AV254" i="36"/>
  <c r="AV33" i="36"/>
  <c r="AW310" i="36"/>
  <c r="DD291" i="36"/>
  <c r="AA260" i="36"/>
  <c r="AH300" i="36"/>
  <c r="AH233" i="36"/>
  <c r="DD278" i="36"/>
  <c r="AR274" i="36"/>
  <c r="AR236" i="36"/>
  <c r="AA264" i="36"/>
  <c r="AA48" i="36"/>
  <c r="AA50" i="36"/>
  <c r="CD193" i="36"/>
  <c r="DI262" i="36"/>
  <c r="BE251" i="36"/>
  <c r="AT69" i="36"/>
  <c r="AY193" i="36"/>
  <c r="AS146" i="36"/>
  <c r="DD146" i="36"/>
  <c r="AS149" i="36"/>
  <c r="AS148" i="36"/>
  <c r="AT221" i="36"/>
  <c r="AU220" i="36"/>
  <c r="AX59" i="36"/>
  <c r="AK96" i="36"/>
  <c r="AK48" i="36"/>
  <c r="AK50" i="36"/>
  <c r="DI620" i="36"/>
  <c r="BR84" i="36"/>
  <c r="AV97" i="36"/>
  <c r="DI619" i="36"/>
  <c r="DE619" i="36"/>
  <c r="CO210" i="36"/>
  <c r="CO169" i="36"/>
  <c r="DF741" i="36"/>
  <c r="AO63" i="36"/>
  <c r="AO12" i="36"/>
  <c r="AQ96" i="36"/>
  <c r="AQ48" i="36"/>
  <c r="AQ50" i="36"/>
  <c r="CS265" i="36"/>
  <c r="AF15" i="36"/>
  <c r="DC15" i="36"/>
  <c r="W46" i="36"/>
  <c r="W44" i="36"/>
  <c r="W45" i="36"/>
  <c r="AC92" i="36"/>
  <c r="AC11" i="36"/>
  <c r="DH257" i="36"/>
  <c r="BF295" i="36"/>
  <c r="DF257" i="36"/>
  <c r="AE12" i="36"/>
  <c r="DC12" i="36"/>
  <c r="AU51" i="36"/>
  <c r="AS792" i="36"/>
  <c r="AS789" i="36"/>
  <c r="DD789" i="36"/>
  <c r="DD793" i="36"/>
  <c r="DD759" i="36"/>
  <c r="AS755" i="36"/>
  <c r="DD755" i="36"/>
  <c r="AS758" i="36"/>
  <c r="AS719" i="36"/>
  <c r="BE737" i="36"/>
  <c r="BI670" i="36"/>
  <c r="AT600" i="36"/>
  <c r="AT591" i="36"/>
  <c r="AV671" i="36"/>
  <c r="CR666" i="36"/>
  <c r="AT641" i="36"/>
  <c r="CL627" i="36"/>
  <c r="CR539" i="36"/>
  <c r="CF583" i="36"/>
  <c r="DD561" i="36"/>
  <c r="DD540" i="36"/>
  <c r="AT540" i="36"/>
  <c r="CT490" i="36"/>
  <c r="DD513" i="36"/>
  <c r="CG490" i="36"/>
  <c r="CD524" i="36"/>
  <c r="BF424" i="36"/>
  <c r="AT533" i="36"/>
  <c r="DD464" i="36"/>
  <c r="AR418" i="36"/>
  <c r="BT442" i="36"/>
  <c r="BS399" i="36"/>
  <c r="BS573" i="36"/>
  <c r="AX486" i="36"/>
  <c r="DD465" i="36"/>
  <c r="AQ456" i="36"/>
  <c r="AQ450" i="36"/>
  <c r="AQ419" i="36"/>
  <c r="CR438" i="36"/>
  <c r="CG442" i="36"/>
  <c r="CF399" i="36"/>
  <c r="CF574" i="36"/>
  <c r="AK404" i="36"/>
  <c r="DD380" i="36"/>
  <c r="DD352" i="36"/>
  <c r="DD381" i="36"/>
  <c r="AU305" i="36"/>
  <c r="BT305" i="36"/>
  <c r="CR394" i="36"/>
  <c r="CP320" i="36"/>
  <c r="AW81" i="36"/>
  <c r="AK305" i="36"/>
  <c r="AJ306" i="36"/>
  <c r="AS203" i="36"/>
  <c r="DD203" i="36"/>
  <c r="AX193" i="36"/>
  <c r="AL300" i="36"/>
  <c r="AL233" i="36"/>
  <c r="AR162" i="36"/>
  <c r="AR174" i="36"/>
  <c r="AH133" i="36"/>
  <c r="DD148" i="36"/>
  <c r="AU180" i="36"/>
  <c r="AX81" i="36"/>
  <c r="AV67" i="36"/>
  <c r="AX129" i="36"/>
  <c r="AX170" i="36"/>
  <c r="AW170" i="36"/>
  <c r="AW129" i="36"/>
  <c r="DG93" i="36"/>
  <c r="DG257" i="36"/>
  <c r="DH28" i="36"/>
  <c r="CD51" i="36"/>
  <c r="AR40" i="36"/>
  <c r="DH258" i="36"/>
  <c r="AG63" i="36"/>
  <c r="AG12" i="36"/>
  <c r="CC574" i="36"/>
  <c r="CC525" i="36"/>
  <c r="CC477" i="36"/>
  <c r="AU697" i="36"/>
  <c r="BG152" i="36"/>
  <c r="AN12" i="36"/>
  <c r="AN63" i="36"/>
  <c r="AL96" i="36"/>
  <c r="AL48" i="36"/>
  <c r="AL50" i="36"/>
  <c r="DH384" i="36"/>
  <c r="DF384" i="36"/>
  <c r="AI10" i="36"/>
  <c r="O46" i="36"/>
  <c r="O44" i="36"/>
  <c r="O45" i="36"/>
  <c r="V285" i="14"/>
  <c r="Q285" i="14"/>
  <c r="S285" i="14"/>
  <c r="F287" i="14"/>
  <c r="G287" i="14"/>
  <c r="E287" i="14"/>
  <c r="T287" i="14"/>
  <c r="K252" i="21"/>
  <c r="K248" i="21"/>
  <c r="O252" i="21"/>
  <c r="O192" i="21"/>
  <c r="F7" i="27"/>
  <c r="W287" i="14"/>
  <c r="AU315" i="36"/>
  <c r="AU344" i="36"/>
  <c r="AU345" i="36"/>
  <c r="BG477" i="36"/>
  <c r="BG524" i="36"/>
  <c r="BG476" i="36"/>
  <c r="BG574" i="36"/>
  <c r="BG525" i="36"/>
  <c r="AS40" i="36"/>
  <c r="DD40" i="36"/>
  <c r="AU532" i="36"/>
  <c r="AU485" i="36"/>
  <c r="AU533" i="36"/>
  <c r="AU484" i="36"/>
  <c r="AW671" i="36"/>
  <c r="AV320" i="36"/>
  <c r="AT638" i="36"/>
  <c r="AT635" i="36"/>
  <c r="CE320" i="36"/>
  <c r="AV785" i="36"/>
  <c r="AU786" i="36"/>
  <c r="AT60" i="36"/>
  <c r="AT137" i="36"/>
  <c r="AT136" i="36"/>
  <c r="CE51" i="36"/>
  <c r="AL305" i="36"/>
  <c r="AK306" i="36"/>
  <c r="AT320" i="36"/>
  <c r="AK9" i="36"/>
  <c r="BU442" i="36"/>
  <c r="CH490" i="36"/>
  <c r="AU540" i="36"/>
  <c r="BH601" i="36"/>
  <c r="BH680" i="36"/>
  <c r="DD758" i="36"/>
  <c r="AS757" i="36"/>
  <c r="AH260" i="36"/>
  <c r="BI486" i="36"/>
  <c r="AW670" i="36"/>
  <c r="AS716" i="36"/>
  <c r="DD716" i="36"/>
  <c r="DD720" i="36"/>
  <c r="AR447" i="36"/>
  <c r="AR402" i="36"/>
  <c r="BS615" i="36"/>
  <c r="BT631" i="36"/>
  <c r="BS589" i="36"/>
  <c r="BA84" i="36"/>
  <c r="BB183" i="36"/>
  <c r="AB266" i="36"/>
  <c r="AC265" i="36"/>
  <c r="BR680" i="36"/>
  <c r="BK706" i="36"/>
  <c r="AJ44" i="36"/>
  <c r="AJ45" i="36"/>
  <c r="AJ46" i="36"/>
  <c r="AO487" i="36"/>
  <c r="AP486" i="36"/>
  <c r="DD737" i="36"/>
  <c r="AK44" i="36"/>
  <c r="AK45" i="36"/>
  <c r="AK46" i="36"/>
  <c r="AR64" i="36"/>
  <c r="AR13" i="36"/>
  <c r="BG320" i="36"/>
  <c r="BS601" i="36"/>
  <c r="CO785" i="36"/>
  <c r="AT218" i="36"/>
  <c r="AT219" i="36"/>
  <c r="BF251" i="36"/>
  <c r="BI220" i="36"/>
  <c r="BJ442" i="36"/>
  <c r="AT501" i="36"/>
  <c r="BF696" i="36"/>
  <c r="CS346" i="36"/>
  <c r="DA615" i="36"/>
  <c r="DA589" i="36"/>
  <c r="DD58" i="36"/>
  <c r="AB44" i="36"/>
  <c r="AB45" i="36"/>
  <c r="AB46" i="36"/>
  <c r="BH152" i="36"/>
  <c r="AT574" i="36"/>
  <c r="BU220" i="36"/>
  <c r="AU252" i="36"/>
  <c r="AU253" i="36"/>
  <c r="AV269" i="36"/>
  <c r="AU227" i="36"/>
  <c r="AU336" i="36"/>
  <c r="AD305" i="36"/>
  <c r="AC306" i="36"/>
  <c r="CS442" i="36"/>
  <c r="CR399" i="36"/>
  <c r="CR573" i="36"/>
  <c r="CC641" i="36"/>
  <c r="CC599" i="36"/>
  <c r="CC600" i="36"/>
  <c r="BE830" i="36"/>
  <c r="BE728" i="36"/>
  <c r="BE22" i="36"/>
  <c r="AT139" i="36"/>
  <c r="DC233" i="36"/>
  <c r="Z260" i="36"/>
  <c r="DC260" i="36"/>
  <c r="Z11" i="36"/>
  <c r="BY583" i="36"/>
  <c r="CU486" i="36"/>
  <c r="BC534" i="36"/>
  <c r="AU184" i="36"/>
  <c r="BR601" i="36"/>
  <c r="AN92" i="36"/>
  <c r="AN11" i="36"/>
  <c r="DD367" i="36"/>
  <c r="AR18" i="36"/>
  <c r="DD18" i="36"/>
  <c r="CS438" i="36"/>
  <c r="DD541" i="36"/>
  <c r="CM627" i="36"/>
  <c r="AC44" i="36"/>
  <c r="AC45" i="36"/>
  <c r="AC46" i="36"/>
  <c r="AW97" i="36"/>
  <c r="BR152" i="36"/>
  <c r="AT33" i="36"/>
  <c r="AS501" i="36"/>
  <c r="DD502" i="36"/>
  <c r="AT636" i="36"/>
  <c r="CJ670" i="36"/>
  <c r="BQ761" i="36"/>
  <c r="AU601" i="36"/>
  <c r="AV18" i="36"/>
  <c r="AS425" i="36"/>
  <c r="AS31" i="36"/>
  <c r="DD31" i="36"/>
  <c r="DD471" i="36"/>
  <c r="BR615" i="36"/>
  <c r="BR193" i="36"/>
  <c r="CR179" i="36"/>
  <c r="CQ193" i="36"/>
  <c r="CG183" i="36"/>
  <c r="CF210" i="36"/>
  <c r="BT486" i="36"/>
  <c r="DD568" i="36"/>
  <c r="BE722" i="36"/>
  <c r="BE721" i="36"/>
  <c r="BU438" i="36"/>
  <c r="CR51" i="36"/>
  <c r="AK139" i="36"/>
  <c r="AL138" i="36"/>
  <c r="AR215" i="36"/>
  <c r="BQ229" i="36"/>
  <c r="AV618" i="36"/>
  <c r="AV632" i="36"/>
  <c r="AU590" i="36"/>
  <c r="AT453" i="36"/>
  <c r="AU67" i="36"/>
  <c r="BI394" i="36"/>
  <c r="BI438" i="36"/>
  <c r="CG438" i="36"/>
  <c r="BH631" i="36"/>
  <c r="BG615" i="36"/>
  <c r="BG589" i="36"/>
  <c r="BU179" i="36"/>
  <c r="CG573" i="36"/>
  <c r="CH539" i="36"/>
  <c r="CQ631" i="36"/>
  <c r="CP615" i="36"/>
  <c r="CP589" i="36"/>
  <c r="AU102" i="36"/>
  <c r="AT58" i="36"/>
  <c r="AW179" i="36"/>
  <c r="AQ250" i="36"/>
  <c r="AT253" i="36"/>
  <c r="AK433" i="36"/>
  <c r="CQ426" i="36"/>
  <c r="AU737" i="36"/>
  <c r="AV751" i="36"/>
  <c r="AU752" i="36"/>
  <c r="AU711" i="36"/>
  <c r="BQ737" i="36"/>
  <c r="CC820" i="36"/>
  <c r="BR820" i="36"/>
  <c r="BU51" i="36"/>
  <c r="AV138" i="36"/>
  <c r="AU139" i="36"/>
  <c r="DC300" i="36"/>
  <c r="BG51" i="36"/>
  <c r="BH785" i="36"/>
  <c r="AT147" i="36"/>
  <c r="CH442" i="36"/>
  <c r="CG426" i="36"/>
  <c r="CG399" i="36"/>
  <c r="CG524" i="36"/>
  <c r="CS539" i="36"/>
  <c r="AS715" i="36"/>
  <c r="DD715" i="36"/>
  <c r="DD719" i="36"/>
  <c r="AS718" i="36"/>
  <c r="BH539" i="36"/>
  <c r="BG573" i="36"/>
  <c r="DD572" i="36"/>
  <c r="BH254" i="36"/>
  <c r="BI310" i="36"/>
  <c r="CP193" i="36"/>
  <c r="BF152" i="36"/>
  <c r="AR377" i="36"/>
  <c r="DD378" i="36"/>
  <c r="AQ24" i="36"/>
  <c r="CF524" i="36"/>
  <c r="CQ573" i="36"/>
  <c r="CG18" i="36"/>
  <c r="AR359" i="36"/>
  <c r="CG220" i="36"/>
  <c r="AR456" i="36"/>
  <c r="AR414" i="36"/>
  <c r="CR210" i="36"/>
  <c r="CR84" i="36"/>
  <c r="CR33" i="36"/>
  <c r="CS183" i="36"/>
  <c r="AU487" i="36"/>
  <c r="BF426" i="36"/>
  <c r="DD557" i="36"/>
  <c r="AW627" i="36"/>
  <c r="AO221" i="36"/>
  <c r="AP220" i="36"/>
  <c r="BR269" i="36"/>
  <c r="AU591" i="36"/>
  <c r="BR785" i="36"/>
  <c r="CF477" i="36"/>
  <c r="DD86" i="36"/>
  <c r="BF252" i="36"/>
  <c r="AV394" i="36"/>
  <c r="BI490" i="36"/>
  <c r="AT82" i="36"/>
  <c r="AS32" i="36"/>
  <c r="BT169" i="36"/>
  <c r="BU142" i="36"/>
  <c r="AT252" i="36"/>
  <c r="CQ424" i="36"/>
  <c r="BF820" i="36"/>
  <c r="CE152" i="36"/>
  <c r="BW534" i="36"/>
  <c r="AZ666" i="36"/>
  <c r="CW534" i="36"/>
  <c r="CT352" i="36"/>
  <c r="CR220" i="36"/>
  <c r="BF601" i="36"/>
  <c r="AI11" i="36"/>
  <c r="AI92" i="36"/>
  <c r="BV265" i="36"/>
  <c r="BS477" i="36"/>
  <c r="AL260" i="36"/>
  <c r="AL11" i="36"/>
  <c r="BU305" i="36"/>
  <c r="AR23" i="36"/>
  <c r="CU490" i="36"/>
  <c r="AT599" i="36"/>
  <c r="AO92" i="36"/>
  <c r="AO11" i="36"/>
  <c r="AS162" i="36"/>
  <c r="AS174" i="36"/>
  <c r="AR232" i="36"/>
  <c r="CG346" i="36"/>
  <c r="AR361" i="36"/>
  <c r="AR358" i="36"/>
  <c r="AU443" i="36"/>
  <c r="AT400" i="36"/>
  <c r="BF524" i="36"/>
  <c r="AR429" i="36"/>
  <c r="AR35" i="36"/>
  <c r="CH179" i="36"/>
  <c r="BA101" i="36"/>
  <c r="AZ193" i="36"/>
  <c r="CS305" i="36"/>
  <c r="AV487" i="36"/>
  <c r="AD44" i="36"/>
  <c r="AD45" i="36"/>
  <c r="AD46" i="36"/>
  <c r="X51" i="36"/>
  <c r="W52" i="36"/>
  <c r="CG310" i="36"/>
  <c r="AA11" i="36"/>
  <c r="AA92" i="36"/>
  <c r="BI179" i="36"/>
  <c r="BI265" i="36"/>
  <c r="AT499" i="36"/>
  <c r="AV615" i="36"/>
  <c r="AW631" i="36"/>
  <c r="AV589" i="36"/>
  <c r="AV697" i="36"/>
  <c r="BH751" i="36"/>
  <c r="AH9" i="36"/>
  <c r="BT394" i="36"/>
  <c r="CF525" i="36"/>
  <c r="AS190" i="36"/>
  <c r="AS187" i="36"/>
  <c r="DD187" i="36"/>
  <c r="DD191" i="36"/>
  <c r="BF253" i="36"/>
  <c r="DD251" i="36"/>
  <c r="AX438" i="36"/>
  <c r="AS30" i="36"/>
  <c r="BV539" i="36"/>
  <c r="BF591" i="36"/>
  <c r="BR573" i="36"/>
  <c r="CF573" i="36"/>
  <c r="AT86" i="36"/>
  <c r="X11" i="36"/>
  <c r="DC63" i="36"/>
  <c r="DC48" i="36"/>
  <c r="AG50" i="36"/>
  <c r="DC50" i="36"/>
  <c r="AS95" i="36"/>
  <c r="DD95" i="36"/>
  <c r="DD60" i="36"/>
  <c r="AT98" i="36"/>
  <c r="AQ300" i="36"/>
  <c r="AT251" i="36"/>
  <c r="AT712" i="36"/>
  <c r="CF169" i="36"/>
  <c r="CG142" i="36"/>
  <c r="CR169" i="36"/>
  <c r="CS142" i="36"/>
  <c r="AG92" i="36"/>
  <c r="AG11" i="36"/>
  <c r="BJ670" i="36"/>
  <c r="BL627" i="36"/>
  <c r="AV539" i="36"/>
  <c r="AU573" i="36"/>
  <c r="BS751" i="36"/>
  <c r="CE631" i="36"/>
  <c r="CD589" i="36"/>
  <c r="AT229" i="36"/>
  <c r="BS574" i="36"/>
  <c r="DD171" i="36"/>
  <c r="AQ162" i="36"/>
  <c r="DD383" i="36"/>
  <c r="AQ421" i="36"/>
  <c r="AQ410" i="36"/>
  <c r="DD493" i="36"/>
  <c r="DD509" i="36"/>
  <c r="AT597" i="36"/>
  <c r="AT705" i="36"/>
  <c r="AT704" i="36"/>
  <c r="AT707" i="36"/>
  <c r="AU707" i="36"/>
  <c r="AV51" i="36"/>
  <c r="AX111" i="36"/>
  <c r="AX68" i="36"/>
  <c r="AS418" i="36"/>
  <c r="AS23" i="36"/>
  <c r="AW491" i="36"/>
  <c r="AU618" i="36"/>
  <c r="AT839" i="36"/>
  <c r="CJ534" i="36"/>
  <c r="BF476" i="36"/>
  <c r="DF356" i="36"/>
  <c r="BR356" i="36"/>
  <c r="BS356" i="36"/>
  <c r="BT356" i="36"/>
  <c r="BU356" i="36"/>
  <c r="BV356" i="36"/>
  <c r="BW356" i="36"/>
  <c r="BX356" i="36"/>
  <c r="BY356" i="36"/>
  <c r="BZ356" i="36"/>
  <c r="CA356" i="36"/>
  <c r="CB356" i="36"/>
  <c r="CC356" i="36"/>
  <c r="AX352" i="36"/>
  <c r="AL97" i="36"/>
  <c r="AK98" i="36"/>
  <c r="AR32" i="36"/>
  <c r="DD32" i="36"/>
  <c r="DD83" i="36"/>
  <c r="CH97" i="36"/>
  <c r="CS670" i="36"/>
  <c r="CP33" i="36"/>
  <c r="AS504" i="36"/>
  <c r="AS498" i="36"/>
  <c r="AT504" i="36"/>
  <c r="BF477" i="36"/>
  <c r="BU97" i="36"/>
  <c r="AS274" i="36"/>
  <c r="AS236" i="36"/>
  <c r="DD236" i="36"/>
  <c r="AP260" i="36"/>
  <c r="AP11" i="36"/>
  <c r="AT524" i="36"/>
  <c r="BT210" i="36"/>
  <c r="BU183" i="36"/>
  <c r="AR233" i="36"/>
  <c r="BX706" i="36"/>
  <c r="BF615" i="36"/>
  <c r="CS97" i="36"/>
  <c r="AS106" i="36"/>
  <c r="AS66" i="36"/>
  <c r="DD110" i="36"/>
  <c r="BI346" i="36"/>
  <c r="AT737" i="36"/>
  <c r="AY490" i="36"/>
  <c r="CV627" i="36"/>
  <c r="BV666" i="36"/>
  <c r="BJ583" i="36"/>
  <c r="CY706" i="36"/>
  <c r="BK666" i="36"/>
  <c r="AT345" i="36"/>
  <c r="AT347" i="36"/>
  <c r="AT344" i="36"/>
  <c r="AU347" i="36"/>
  <c r="AS359" i="36"/>
  <c r="AT395" i="36"/>
  <c r="AS357" i="36"/>
  <c r="DD357" i="36"/>
  <c r="DD355" i="36"/>
  <c r="AS392" i="36"/>
  <c r="DD392" i="36"/>
  <c r="AS393" i="36"/>
  <c r="DD393" i="36"/>
  <c r="AN438" i="36"/>
  <c r="AM439" i="36"/>
  <c r="AH52" i="36"/>
  <c r="AI51" i="36"/>
  <c r="DD230" i="36"/>
  <c r="AS263" i="36"/>
  <c r="DD263" i="36"/>
  <c r="AS264" i="36"/>
  <c r="DD264" i="36"/>
  <c r="BU670" i="36"/>
  <c r="AM46" i="36"/>
  <c r="AM44" i="36"/>
  <c r="AM45" i="36"/>
  <c r="CO591" i="36"/>
  <c r="CQ524" i="36"/>
  <c r="CT138" i="36"/>
  <c r="BS525" i="36"/>
  <c r="AT146" i="36"/>
  <c r="AT149" i="36"/>
  <c r="CF426" i="36"/>
  <c r="AT451" i="36"/>
  <c r="DD508" i="36"/>
  <c r="AR504" i="36"/>
  <c r="DD515" i="36"/>
  <c r="AT601" i="36"/>
  <c r="AT17" i="36"/>
  <c r="DD792" i="36"/>
  <c r="AS791" i="36"/>
  <c r="AX69" i="36"/>
  <c r="CD152" i="36"/>
  <c r="AU399" i="36"/>
  <c r="AQ407" i="36"/>
  <c r="AQ13" i="36"/>
  <c r="AS429" i="36"/>
  <c r="AS35" i="36"/>
  <c r="DD444" i="36"/>
  <c r="AS401" i="36"/>
  <c r="DD401" i="36"/>
  <c r="AT592" i="36"/>
  <c r="CI706" i="36"/>
  <c r="AS826" i="36"/>
  <c r="DD827" i="36"/>
  <c r="CQ477" i="36"/>
  <c r="CG265" i="36"/>
  <c r="Y44" i="36"/>
  <c r="Y45" i="36"/>
  <c r="Y46" i="36"/>
  <c r="BT254" i="36"/>
  <c r="BU310" i="36"/>
  <c r="BR696" i="36"/>
  <c r="CF138" i="36"/>
  <c r="AT203" i="36"/>
  <c r="AY169" i="36"/>
  <c r="AY83" i="36"/>
  <c r="AZ142" i="36"/>
  <c r="AZ57" i="36"/>
  <c r="AY210" i="36"/>
  <c r="BX627" i="36"/>
  <c r="CH305" i="36"/>
  <c r="V45" i="36"/>
  <c r="DD82" i="36"/>
  <c r="BF525" i="36"/>
  <c r="BQ251" i="36"/>
  <c r="DD270" i="36"/>
  <c r="AS228" i="36"/>
  <c r="DD228" i="36"/>
  <c r="AU499" i="36"/>
  <c r="AU615" i="36"/>
  <c r="CE751" i="36"/>
  <c r="AQ89" i="36"/>
  <c r="BJ97" i="36"/>
  <c r="BG253" i="36"/>
  <c r="BG252" i="36"/>
  <c r="BG227" i="36"/>
  <c r="BG296" i="36"/>
  <c r="BG337" i="36"/>
  <c r="BH269" i="36"/>
  <c r="BE279" i="36"/>
  <c r="BE237" i="36"/>
  <c r="BE238" i="36"/>
  <c r="AV347" i="36"/>
  <c r="BG426" i="36"/>
  <c r="CT583" i="36"/>
  <c r="BS524" i="36"/>
  <c r="BT490" i="36"/>
  <c r="BT399" i="36"/>
  <c r="AN179" i="36"/>
  <c r="AM180" i="36"/>
  <c r="AS108" i="36"/>
  <c r="AS105" i="36"/>
  <c r="AS61" i="36"/>
  <c r="DD61" i="36"/>
  <c r="AS65" i="36"/>
  <c r="DD65" i="36"/>
  <c r="DD109" i="36"/>
  <c r="AT5" i="36"/>
  <c r="AT713" i="36"/>
  <c r="CQ152" i="36"/>
  <c r="AT736" i="36"/>
  <c r="CI352" i="36"/>
  <c r="BH138" i="36"/>
  <c r="AR30" i="36"/>
  <c r="DD81" i="36"/>
  <c r="CC252" i="36"/>
  <c r="CC253" i="36"/>
  <c r="CC336" i="36"/>
  <c r="CC227" i="36"/>
  <c r="CC296" i="36"/>
  <c r="CC337" i="36"/>
  <c r="CO269" i="36"/>
  <c r="CD269" i="36"/>
  <c r="BJ305" i="36"/>
  <c r="AK394" i="36"/>
  <c r="AJ395" i="36"/>
  <c r="BJ142" i="36"/>
  <c r="AR41" i="36"/>
  <c r="AS41" i="36"/>
  <c r="DD41" i="36"/>
  <c r="AQ39" i="36"/>
  <c r="AU147" i="36"/>
  <c r="AU177" i="36"/>
  <c r="AU178" i="36"/>
  <c r="CS394" i="36"/>
  <c r="AV305" i="36"/>
  <c r="CF424" i="36"/>
  <c r="AY486" i="36"/>
  <c r="DD519" i="36"/>
  <c r="CG583" i="36"/>
  <c r="CS666" i="36"/>
  <c r="AT680" i="36"/>
  <c r="CT265" i="36"/>
  <c r="AU221" i="36"/>
  <c r="AV220" i="36"/>
  <c r="CP152" i="36"/>
  <c r="AW254" i="36"/>
  <c r="AX310" i="36"/>
  <c r="AW442" i="36"/>
  <c r="AQ452" i="36"/>
  <c r="DD453" i="36"/>
  <c r="BF573" i="36"/>
  <c r="AU592" i="36"/>
  <c r="AU664" i="36"/>
  <c r="AU665" i="36"/>
  <c r="CQ574" i="36"/>
  <c r="AT337" i="36"/>
  <c r="BU346" i="36"/>
  <c r="AF92" i="36"/>
  <c r="AF11" i="36"/>
  <c r="BT138" i="36"/>
  <c r="BR591" i="36"/>
  <c r="AE46" i="36"/>
  <c r="AE44" i="36"/>
  <c r="AE45" i="36"/>
  <c r="AY81" i="36"/>
  <c r="DD66" i="36"/>
  <c r="AR33" i="36"/>
  <c r="DD33" i="36"/>
  <c r="BF320" i="36"/>
  <c r="CS254" i="36"/>
  <c r="CT310" i="36"/>
  <c r="AR62" i="36"/>
  <c r="AU821" i="36"/>
  <c r="AV820" i="36"/>
  <c r="BF574" i="36"/>
  <c r="AH92" i="36"/>
  <c r="AH11" i="36"/>
  <c r="DD149" i="36"/>
  <c r="AS276" i="36"/>
  <c r="AS235" i="36"/>
  <c r="DD235" i="36"/>
  <c r="AS273" i="36"/>
  <c r="DD277" i="36"/>
  <c r="CR18" i="36"/>
  <c r="BS476" i="36"/>
  <c r="AQ133" i="36"/>
  <c r="AU143" i="36"/>
  <c r="AY170" i="36"/>
  <c r="AW152" i="36"/>
  <c r="BF229" i="36"/>
  <c r="AJ265" i="36"/>
  <c r="AI266" i="36"/>
  <c r="AX346" i="36"/>
  <c r="CG486" i="36"/>
  <c r="BF680" i="36"/>
  <c r="CG394" i="36"/>
  <c r="AV265" i="36"/>
  <c r="AU17" i="36"/>
  <c r="AT477" i="36"/>
  <c r="CD320" i="36"/>
  <c r="CD33" i="36"/>
  <c r="AZ706" i="36"/>
  <c r="CJ666" i="36"/>
  <c r="AZ583" i="36"/>
  <c r="BK534" i="36"/>
  <c r="DD23" i="36"/>
  <c r="DD359" i="36"/>
  <c r="AS232" i="36"/>
  <c r="DD274" i="36"/>
  <c r="BI399" i="36"/>
  <c r="AT498" i="36"/>
  <c r="BQ722" i="36"/>
  <c r="AQ15" i="36"/>
  <c r="AQ404" i="36"/>
  <c r="CD227" i="36"/>
  <c r="CE269" i="36"/>
  <c r="CD336" i="36"/>
  <c r="CD295" i="36"/>
  <c r="BT573" i="36"/>
  <c r="BT574" i="36"/>
  <c r="BT476" i="36"/>
  <c r="BT525" i="36"/>
  <c r="BT477" i="36"/>
  <c r="AT593" i="36"/>
  <c r="BF279" i="36"/>
  <c r="BF238" i="36"/>
  <c r="AO179" i="36"/>
  <c r="AN180" i="36"/>
  <c r="AT830" i="36"/>
  <c r="AP44" i="36"/>
  <c r="AP45" i="36"/>
  <c r="AP46" i="36"/>
  <c r="CR320" i="36"/>
  <c r="AW539" i="36"/>
  <c r="AZ129" i="36"/>
  <c r="AZ170" i="36"/>
  <c r="AW394" i="36"/>
  <c r="AR450" i="36"/>
  <c r="AR452" i="36"/>
  <c r="BG424" i="36"/>
  <c r="CP591" i="36"/>
  <c r="BL534" i="36"/>
  <c r="AS231" i="36"/>
  <c r="DD231" i="36"/>
  <c r="DD273" i="36"/>
  <c r="AV636" i="36"/>
  <c r="CC251" i="36"/>
  <c r="BG229" i="36"/>
  <c r="CF751" i="36"/>
  <c r="BV310" i="36"/>
  <c r="AS402" i="36"/>
  <c r="AS7" i="36"/>
  <c r="DD353" i="36"/>
  <c r="BW666" i="36"/>
  <c r="CT97" i="36"/>
  <c r="BU210" i="36"/>
  <c r="BU84" i="36"/>
  <c r="BV183" i="36"/>
  <c r="AY352" i="36"/>
  <c r="AX491" i="36"/>
  <c r="AU736" i="36"/>
  <c r="BJ265" i="36"/>
  <c r="CH346" i="36"/>
  <c r="CS220" i="36"/>
  <c r="AU426" i="36"/>
  <c r="AR553" i="36"/>
  <c r="CS210" i="36"/>
  <c r="CS84" i="36"/>
  <c r="CS33" i="36"/>
  <c r="CT183" i="36"/>
  <c r="CH680" i="36"/>
  <c r="AW138" i="36"/>
  <c r="AT32" i="36"/>
  <c r="AU82" i="36"/>
  <c r="CH438" i="36"/>
  <c r="CS179" i="36"/>
  <c r="DD425" i="36"/>
  <c r="DD368" i="36"/>
  <c r="AR19" i="36"/>
  <c r="AX97" i="36"/>
  <c r="BS426" i="36"/>
  <c r="CV486" i="36"/>
  <c r="AW33" i="36"/>
  <c r="AE305" i="36"/>
  <c r="AD306" i="36"/>
  <c r="BV220" i="36"/>
  <c r="AS6" i="36"/>
  <c r="AC266" i="36"/>
  <c r="AD265" i="36"/>
  <c r="BS591" i="36"/>
  <c r="AT106" i="36"/>
  <c r="AT66" i="36"/>
  <c r="AV143" i="36"/>
  <c r="AF46" i="36"/>
  <c r="AF44" i="36"/>
  <c r="AF45" i="36"/>
  <c r="AW220" i="36"/>
  <c r="BK305" i="36"/>
  <c r="AY69" i="36"/>
  <c r="AR259" i="36"/>
  <c r="AR288" i="36"/>
  <c r="CD696" i="36"/>
  <c r="CD697" i="36"/>
  <c r="CC761" i="36"/>
  <c r="BS820" i="36"/>
  <c r="BV179" i="36"/>
  <c r="AY346" i="36"/>
  <c r="CT254" i="36"/>
  <c r="CU310" i="36"/>
  <c r="AZ486" i="36"/>
  <c r="CQ601" i="36"/>
  <c r="AV664" i="36"/>
  <c r="AV665" i="36"/>
  <c r="BQ795" i="36"/>
  <c r="BI138" i="36"/>
  <c r="BS152" i="36"/>
  <c r="BH252" i="36"/>
  <c r="BI269" i="36"/>
  <c r="BH253" i="36"/>
  <c r="BH227" i="36"/>
  <c r="BH296" i="36"/>
  <c r="BH337" i="36"/>
  <c r="BH295" i="36"/>
  <c r="BK97" i="36"/>
  <c r="CI305" i="36"/>
  <c r="AY59" i="36"/>
  <c r="CH265" i="36"/>
  <c r="AT625" i="36"/>
  <c r="AT626" i="36"/>
  <c r="AT657" i="36"/>
  <c r="AU628" i="36"/>
  <c r="AT628" i="36"/>
  <c r="AT425" i="36"/>
  <c r="AT31" i="36"/>
  <c r="AU524" i="36"/>
  <c r="AU476" i="36"/>
  <c r="AU477" i="36"/>
  <c r="AU525" i="36"/>
  <c r="AU574" i="36"/>
  <c r="AT315" i="36"/>
  <c r="CK534" i="36"/>
  <c r="AT238" i="36"/>
  <c r="AT279" i="36"/>
  <c r="BS193" i="36"/>
  <c r="CI179" i="36"/>
  <c r="AV443" i="36"/>
  <c r="AU400" i="36"/>
  <c r="AO44" i="36"/>
  <c r="AO45" i="36"/>
  <c r="AO46" i="36"/>
  <c r="DD418" i="36"/>
  <c r="CR476" i="36"/>
  <c r="AU636" i="36"/>
  <c r="CG424" i="36"/>
  <c r="AU712" i="36"/>
  <c r="AU86" i="36"/>
  <c r="BU486" i="36"/>
  <c r="Z44" i="36"/>
  <c r="Z45" i="36"/>
  <c r="Z46" i="36"/>
  <c r="DA696" i="36"/>
  <c r="DA697" i="36"/>
  <c r="AT500" i="36"/>
  <c r="BJ220" i="36"/>
  <c r="AT188" i="36"/>
  <c r="CC795" i="36"/>
  <c r="BT615" i="36"/>
  <c r="BU631" i="36"/>
  <c r="BT589" i="36"/>
  <c r="AV696" i="36"/>
  <c r="AM305" i="36"/>
  <c r="AL306" i="36"/>
  <c r="AT108" i="36"/>
  <c r="AT105" i="36"/>
  <c r="AT65" i="36"/>
  <c r="AU451" i="36"/>
  <c r="AU149" i="36"/>
  <c r="AU148" i="36"/>
  <c r="AU146" i="36"/>
  <c r="BA583" i="36"/>
  <c r="AJ266" i="36"/>
  <c r="AK265" i="36"/>
  <c r="AS275" i="36"/>
  <c r="AS234" i="36"/>
  <c r="DD234" i="36"/>
  <c r="DD276" i="36"/>
  <c r="AV839" i="36"/>
  <c r="AV821" i="36"/>
  <c r="AW820" i="36"/>
  <c r="CQ680" i="36"/>
  <c r="BU138" i="36"/>
  <c r="AV635" i="36"/>
  <c r="AV638" i="36"/>
  <c r="AX254" i="36"/>
  <c r="AY310" i="36"/>
  <c r="CT666" i="36"/>
  <c r="CU583" i="36"/>
  <c r="AZ169" i="36"/>
  <c r="BA142" i="36"/>
  <c r="AZ210" i="36"/>
  <c r="AY111" i="36"/>
  <c r="AY68" i="36"/>
  <c r="BT320" i="36"/>
  <c r="AS414" i="36"/>
  <c r="AO438" i="36"/>
  <c r="AN439" i="36"/>
  <c r="AS361" i="36"/>
  <c r="DD361" i="36"/>
  <c r="AS358" i="36"/>
  <c r="BL666" i="36"/>
  <c r="CW627" i="36"/>
  <c r="AU839" i="36"/>
  <c r="AQ174" i="36"/>
  <c r="DD174" i="36"/>
  <c r="DD162" i="36"/>
  <c r="BR711" i="36"/>
  <c r="CR152" i="36"/>
  <c r="AT30" i="36"/>
  <c r="AX631" i="36"/>
  <c r="AW589" i="36"/>
  <c r="AW697" i="36"/>
  <c r="BJ179" i="36"/>
  <c r="AV667" i="36"/>
  <c r="DD475" i="36"/>
  <c r="AT418" i="36"/>
  <c r="CS18" i="36"/>
  <c r="CX534" i="36"/>
  <c r="DD35" i="36"/>
  <c r="AU641" i="36"/>
  <c r="AU600" i="36"/>
  <c r="DD414" i="36"/>
  <c r="BS320" i="36"/>
  <c r="DD363" i="36"/>
  <c r="CT539" i="36"/>
  <c r="CI442" i="36"/>
  <c r="CH399" i="36"/>
  <c r="CH476" i="36"/>
  <c r="BH51" i="36"/>
  <c r="BV51" i="36"/>
  <c r="AV752" i="36"/>
  <c r="AW751" i="36"/>
  <c r="AV711" i="36"/>
  <c r="CP696" i="36"/>
  <c r="CP697" i="36"/>
  <c r="BJ438" i="36"/>
  <c r="CS51" i="36"/>
  <c r="DD379" i="36"/>
  <c r="AS377" i="36"/>
  <c r="CT438" i="36"/>
  <c r="AV184" i="36"/>
  <c r="BZ583" i="36"/>
  <c r="AU5" i="36"/>
  <c r="AU296" i="36"/>
  <c r="DA591" i="36"/>
  <c r="AV221" i="36"/>
  <c r="AU188" i="36"/>
  <c r="AU219" i="36"/>
  <c r="AU218" i="36"/>
  <c r="AP487" i="36"/>
  <c r="AQ486" i="36"/>
  <c r="AR582" i="36"/>
  <c r="AR434" i="36"/>
  <c r="AR544" i="36"/>
  <c r="AS584" i="36"/>
  <c r="AR403" i="36"/>
  <c r="AR8" i="36"/>
  <c r="AR584" i="36"/>
  <c r="AR435" i="36"/>
  <c r="AR581" i="36"/>
  <c r="AU635" i="36"/>
  <c r="AU638" i="36"/>
  <c r="AU637" i="36"/>
  <c r="AU597" i="36"/>
  <c r="AV540" i="36"/>
  <c r="BV442" i="36"/>
  <c r="AV532" i="36"/>
  <c r="AV485" i="36"/>
  <c r="AV484" i="36"/>
  <c r="AV533" i="36"/>
  <c r="AU317" i="36"/>
  <c r="AU316" i="36"/>
  <c r="AU314" i="36"/>
  <c r="BQ279" i="36"/>
  <c r="BQ237" i="36"/>
  <c r="BQ238" i="36"/>
  <c r="AV399" i="36"/>
  <c r="AV573" i="36"/>
  <c r="CH583" i="36"/>
  <c r="AV147" i="36"/>
  <c r="AV178" i="36"/>
  <c r="AV177" i="36"/>
  <c r="CC229" i="36"/>
  <c r="CJ352" i="36"/>
  <c r="BT524" i="36"/>
  <c r="BT424" i="36"/>
  <c r="BU490" i="36"/>
  <c r="BG251" i="36"/>
  <c r="AV499" i="36"/>
  <c r="AV535" i="36"/>
  <c r="CZ706" i="36"/>
  <c r="AZ490" i="36"/>
  <c r="BF761" i="36"/>
  <c r="AW51" i="36"/>
  <c r="CF631" i="36"/>
  <c r="CE615" i="36"/>
  <c r="CE589" i="36"/>
  <c r="CH142" i="36"/>
  <c r="CG169" i="36"/>
  <c r="AV591" i="36"/>
  <c r="DC92" i="36"/>
  <c r="CF254" i="36"/>
  <c r="AZ81" i="36"/>
  <c r="DD429" i="36"/>
  <c r="DD232" i="36"/>
  <c r="BV305" i="36"/>
  <c r="CU352" i="36"/>
  <c r="BA666" i="36"/>
  <c r="BG820" i="36"/>
  <c r="BF711" i="36"/>
  <c r="AU395" i="36"/>
  <c r="BS269" i="36"/>
  <c r="BR227" i="36"/>
  <c r="BR336" i="36"/>
  <c r="BR295" i="36"/>
  <c r="DD460" i="36"/>
  <c r="CH220" i="36"/>
  <c r="BI336" i="36"/>
  <c r="BJ310" i="36"/>
  <c r="CC737" i="36"/>
  <c r="CO820" i="36"/>
  <c r="CD820" i="36"/>
  <c r="CC711" i="36"/>
  <c r="AU713" i="36"/>
  <c r="AV180" i="36"/>
  <c r="BG696" i="36"/>
  <c r="BG697" i="36"/>
  <c r="CG210" i="36"/>
  <c r="CG84" i="36"/>
  <c r="CH183" i="36"/>
  <c r="DD545" i="36"/>
  <c r="AU203" i="36"/>
  <c r="CR424" i="36"/>
  <c r="AV227" i="36"/>
  <c r="AW269" i="36"/>
  <c r="AV295" i="36"/>
  <c r="AV336" i="36"/>
  <c r="DD542" i="36"/>
  <c r="CE193" i="36"/>
  <c r="DD445" i="36"/>
  <c r="DD757" i="36"/>
  <c r="CI490" i="36"/>
  <c r="AT637" i="36"/>
  <c r="BK142" i="36"/>
  <c r="AT148" i="36"/>
  <c r="BJ346" i="36"/>
  <c r="AT677" i="36"/>
  <c r="AT674" i="36"/>
  <c r="AG44" i="36"/>
  <c r="AG45" i="36"/>
  <c r="AG46" i="36"/>
  <c r="CK670" i="36"/>
  <c r="AU229" i="36"/>
  <c r="AR89" i="36"/>
  <c r="AR121" i="36"/>
  <c r="BT426" i="36"/>
  <c r="AW265" i="36"/>
  <c r="CH486" i="36"/>
  <c r="AV424" i="36"/>
  <c r="AW305" i="36"/>
  <c r="DD30" i="36"/>
  <c r="AT728" i="36"/>
  <c r="AS64" i="36"/>
  <c r="DD64" i="36"/>
  <c r="AQ80" i="36"/>
  <c r="CG138" i="36"/>
  <c r="AS850" i="36"/>
  <c r="DD850" i="36"/>
  <c r="DD826" i="36"/>
  <c r="BY706" i="36"/>
  <c r="CT670" i="36"/>
  <c r="AM97" i="36"/>
  <c r="AL98" i="36"/>
  <c r="AU705" i="36"/>
  <c r="AU704" i="36"/>
  <c r="CD591" i="36"/>
  <c r="BM627" i="36"/>
  <c r="BU394" i="36"/>
  <c r="AA44" i="36"/>
  <c r="AA45" i="36"/>
  <c r="AA46" i="36"/>
  <c r="CT305" i="36"/>
  <c r="AZ59" i="36"/>
  <c r="DD362" i="36"/>
  <c r="AI44" i="36"/>
  <c r="AI45" i="36"/>
  <c r="AI46" i="36"/>
  <c r="BH424" i="36"/>
  <c r="AR421" i="36"/>
  <c r="AR26" i="36"/>
  <c r="BS424" i="36"/>
  <c r="BH573" i="36"/>
  <c r="BI539" i="36"/>
  <c r="BH399" i="36"/>
  <c r="BQ830" i="36"/>
  <c r="BQ728" i="36"/>
  <c r="BQ22" i="36"/>
  <c r="AX179" i="36"/>
  <c r="AW180" i="36"/>
  <c r="CQ615" i="36"/>
  <c r="CR631" i="36"/>
  <c r="CQ589" i="36"/>
  <c r="BG591" i="36"/>
  <c r="BJ394" i="36"/>
  <c r="AT795" i="36"/>
  <c r="AW632" i="36"/>
  <c r="AV590" i="36"/>
  <c r="BV438" i="36"/>
  <c r="CI680" i="36"/>
  <c r="CI601" i="36"/>
  <c r="AS500" i="36"/>
  <c r="DD501" i="36"/>
  <c r="CN627" i="36"/>
  <c r="AR364" i="36"/>
  <c r="CT442" i="36"/>
  <c r="CS399" i="36"/>
  <c r="CS476" i="36"/>
  <c r="AU32" i="36"/>
  <c r="BK442" i="36"/>
  <c r="BS680" i="36"/>
  <c r="AR63" i="36"/>
  <c r="AR415" i="36"/>
  <c r="BJ486" i="36"/>
  <c r="AV786" i="36"/>
  <c r="AW785" i="36"/>
  <c r="AR39" i="36"/>
  <c r="CG476" i="36"/>
  <c r="BY627" i="36"/>
  <c r="CO641" i="36"/>
  <c r="CO599" i="36"/>
  <c r="CO600" i="36"/>
  <c r="AT401" i="36"/>
  <c r="BW265" i="36"/>
  <c r="BU169" i="36"/>
  <c r="BV142" i="36"/>
  <c r="AQ260" i="36"/>
  <c r="CF51" i="36"/>
  <c r="CK666" i="36"/>
  <c r="AH44" i="36"/>
  <c r="AH46" i="36"/>
  <c r="CS320" i="36"/>
  <c r="BR641" i="36"/>
  <c r="BR600" i="36"/>
  <c r="BV346" i="36"/>
  <c r="AV426" i="36"/>
  <c r="CU265" i="36"/>
  <c r="CT394" i="36"/>
  <c r="CO336" i="36"/>
  <c r="CO252" i="36"/>
  <c r="CO253" i="36"/>
  <c r="CO227" i="36"/>
  <c r="CO296" i="36"/>
  <c r="CO337" i="36"/>
  <c r="DA269" i="36"/>
  <c r="CP269" i="36"/>
  <c r="CO295" i="36"/>
  <c r="CH18" i="36"/>
  <c r="AT714" i="36"/>
  <c r="CJ706" i="36"/>
  <c r="DD791" i="36"/>
  <c r="BV670" i="36"/>
  <c r="AI52" i="36"/>
  <c r="AJ51" i="36"/>
  <c r="BK583" i="36"/>
  <c r="CR601" i="36"/>
  <c r="CR680" i="36"/>
  <c r="AW18" i="36"/>
  <c r="CD356" i="36"/>
  <c r="CE356" i="36"/>
  <c r="CF356" i="36"/>
  <c r="CG356" i="36"/>
  <c r="CH356" i="36"/>
  <c r="CI356" i="36"/>
  <c r="CJ356" i="36"/>
  <c r="CK356" i="36"/>
  <c r="CL356" i="36"/>
  <c r="CM356" i="36"/>
  <c r="CN356" i="36"/>
  <c r="CO356" i="36"/>
  <c r="DG356" i="36"/>
  <c r="AT675" i="36"/>
  <c r="AQ26" i="36"/>
  <c r="CD615" i="36"/>
  <c r="X46" i="36"/>
  <c r="DC46" i="36"/>
  <c r="X44" i="36"/>
  <c r="DC11" i="36"/>
  <c r="BF641" i="36"/>
  <c r="BF600" i="36"/>
  <c r="Y51" i="36"/>
  <c r="X52" i="36"/>
  <c r="BB101" i="36"/>
  <c r="BA57" i="36"/>
  <c r="DD358" i="36"/>
  <c r="CV490" i="36"/>
  <c r="AL44" i="36"/>
  <c r="AL45" i="36"/>
  <c r="AL46" i="36"/>
  <c r="BX534" i="36"/>
  <c r="BT152" i="36"/>
  <c r="AP221" i="36"/>
  <c r="AQ220" i="36"/>
  <c r="AX627" i="36"/>
  <c r="BI785" i="36"/>
  <c r="CI539" i="36"/>
  <c r="AV614" i="36"/>
  <c r="AU453" i="36"/>
  <c r="AN46" i="36"/>
  <c r="AN44" i="36"/>
  <c r="AN45" i="36"/>
  <c r="BD534" i="36"/>
  <c r="BF795" i="36"/>
  <c r="CR426" i="36"/>
  <c r="CT346" i="36"/>
  <c r="BL706" i="36"/>
  <c r="BC183" i="36"/>
  <c r="AW696" i="36"/>
  <c r="AX670" i="36"/>
  <c r="AT95" i="36"/>
  <c r="AT96" i="36"/>
  <c r="AV315" i="36"/>
  <c r="AV345" i="36"/>
  <c r="AV344" i="36"/>
  <c r="AS39" i="36"/>
  <c r="BQ713" i="36"/>
  <c r="DD504" i="36"/>
  <c r="AR498" i="36"/>
  <c r="DD498" i="36"/>
  <c r="AR500" i="36"/>
  <c r="BT84" i="36"/>
  <c r="AR495" i="36"/>
  <c r="DD377" i="36"/>
  <c r="CR524" i="36"/>
  <c r="CR574" i="36"/>
  <c r="CR525" i="36"/>
  <c r="CR477" i="36"/>
  <c r="AT190" i="36"/>
  <c r="AT187" i="36"/>
  <c r="AR7" i="36"/>
  <c r="AU504" i="36"/>
  <c r="AU498" i="36"/>
  <c r="BA706" i="36"/>
  <c r="CH394" i="36"/>
  <c r="AU625" i="36"/>
  <c r="AU626" i="36"/>
  <c r="AU657" i="36"/>
  <c r="AX442" i="36"/>
  <c r="AL394" i="36"/>
  <c r="AK395" i="36"/>
  <c r="AW67" i="36"/>
  <c r="AT761" i="36"/>
  <c r="AT722" i="36"/>
  <c r="AS107" i="36"/>
  <c r="DD108" i="36"/>
  <c r="AQ406" i="36"/>
  <c r="AQ12" i="36"/>
  <c r="CU138" i="36"/>
  <c r="BT680" i="36"/>
  <c r="AT357" i="36"/>
  <c r="AT393" i="36"/>
  <c r="AT392" i="36"/>
  <c r="AT314" i="36"/>
  <c r="AT317" i="36"/>
  <c r="AS62" i="36"/>
  <c r="DD106" i="36"/>
  <c r="DD105" i="36"/>
  <c r="AU501" i="36"/>
  <c r="BV97" i="36"/>
  <c r="CI97" i="36"/>
  <c r="AU675" i="36"/>
  <c r="AT230" i="36"/>
  <c r="AT304" i="36"/>
  <c r="AT303" i="36"/>
  <c r="AT306" i="36"/>
  <c r="BT751" i="36"/>
  <c r="BK670" i="36"/>
  <c r="CS169" i="36"/>
  <c r="CT142" i="36"/>
  <c r="BW539" i="36"/>
  <c r="AY438" i="36"/>
  <c r="AS189" i="36"/>
  <c r="DD190" i="36"/>
  <c r="BI751" i="36"/>
  <c r="CG254" i="36"/>
  <c r="CH310" i="36"/>
  <c r="AZ83" i="36"/>
  <c r="AR360" i="36"/>
  <c r="BI524" i="36"/>
  <c r="BJ490" i="36"/>
  <c r="BR737" i="36"/>
  <c r="BS785" i="36"/>
  <c r="BS711" i="36"/>
  <c r="CR193" i="36"/>
  <c r="AX152" i="36"/>
  <c r="AX67" i="36"/>
  <c r="CH601" i="36"/>
  <c r="BH336" i="36"/>
  <c r="DD718" i="36"/>
  <c r="AS717" i="36"/>
  <c r="CG477" i="36"/>
  <c r="CG574" i="36"/>
  <c r="CG525" i="36"/>
  <c r="AV102" i="36"/>
  <c r="AU58" i="36"/>
  <c r="BI631" i="36"/>
  <c r="BH589" i="36"/>
  <c r="AL139" i="36"/>
  <c r="AM138" i="36"/>
  <c r="CF84" i="36"/>
  <c r="AU680" i="36"/>
  <c r="AU674" i="36"/>
  <c r="AT598" i="36"/>
  <c r="AT596" i="36"/>
  <c r="AU251" i="36"/>
  <c r="CD785" i="36"/>
  <c r="BS696" i="36"/>
  <c r="BS697" i="36"/>
  <c r="AU424" i="36"/>
  <c r="AU60" i="36"/>
  <c r="AU98" i="36"/>
  <c r="AU136" i="36"/>
  <c r="AU137" i="36"/>
  <c r="O126" i="21"/>
  <c r="R480" i="19"/>
  <c r="AD12" i="41"/>
  <c r="AD11" i="41"/>
  <c r="AD10" i="41"/>
  <c r="AD28" i="41"/>
  <c r="O559" i="21"/>
  <c r="O122" i="21"/>
  <c r="G59" i="14"/>
  <c r="CG33" i="36"/>
  <c r="AU790" i="36"/>
  <c r="AU758" i="36"/>
  <c r="AU755" i="36"/>
  <c r="AT595" i="36"/>
  <c r="AR547" i="36"/>
  <c r="AV395" i="36"/>
  <c r="DD584" i="36"/>
  <c r="AS435" i="36"/>
  <c r="BW670" i="36"/>
  <c r="BW305" i="36"/>
  <c r="DD546" i="36"/>
  <c r="AP438" i="36"/>
  <c r="AO439" i="36"/>
  <c r="AV736" i="36"/>
  <c r="AW143" i="36"/>
  <c r="CI438" i="36"/>
  <c r="AX18" i="36"/>
  <c r="BJ751" i="36"/>
  <c r="DD500" i="36"/>
  <c r="CQ269" i="36"/>
  <c r="CP227" i="36"/>
  <c r="CP336" i="36"/>
  <c r="CP295" i="36"/>
  <c r="BW438" i="36"/>
  <c r="BK346" i="36"/>
  <c r="AU728" i="36"/>
  <c r="AU22" i="36"/>
  <c r="AX751" i="36"/>
  <c r="AW752" i="36"/>
  <c r="AW711" i="36"/>
  <c r="AT107" i="36"/>
  <c r="AU401" i="36"/>
  <c r="BW179" i="36"/>
  <c r="AF305" i="36"/>
  <c r="AE306" i="36"/>
  <c r="CI346" i="36"/>
  <c r="AY491" i="36"/>
  <c r="BM534" i="36"/>
  <c r="AX394" i="36"/>
  <c r="AX539" i="36"/>
  <c r="BH591" i="36"/>
  <c r="CT169" i="36"/>
  <c r="CU142" i="36"/>
  <c r="AW426" i="36"/>
  <c r="AT429" i="36"/>
  <c r="AZ111" i="36"/>
  <c r="DD778" i="36"/>
  <c r="AS742" i="36"/>
  <c r="AS770" i="36"/>
  <c r="BG279" i="36"/>
  <c r="BG237" i="36"/>
  <c r="BG238" i="36"/>
  <c r="AQ9" i="36"/>
  <c r="AT228" i="36"/>
  <c r="AT6" i="36"/>
  <c r="CV265" i="36"/>
  <c r="BK486" i="36"/>
  <c r="AW707" i="36"/>
  <c r="AV704" i="36"/>
  <c r="AV705" i="36"/>
  <c r="AV253" i="36"/>
  <c r="BI254" i="36"/>
  <c r="CF615" i="36"/>
  <c r="CG631" i="36"/>
  <c r="CF589" i="36"/>
  <c r="AR436" i="36"/>
  <c r="AR47" i="36"/>
  <c r="AR49" i="36"/>
  <c r="CX627" i="36"/>
  <c r="AV680" i="36"/>
  <c r="CE785" i="36"/>
  <c r="CD711" i="36"/>
  <c r="CF33" i="36"/>
  <c r="BG795" i="36"/>
  <c r="CI310" i="36"/>
  <c r="AT274" i="36"/>
  <c r="AT236" i="36"/>
  <c r="CJ97" i="36"/>
  <c r="BT193" i="36"/>
  <c r="AT361" i="36"/>
  <c r="DD107" i="36"/>
  <c r="AU795" i="36"/>
  <c r="AT189" i="36"/>
  <c r="CJ539" i="36"/>
  <c r="DD39" i="36"/>
  <c r="CU442" i="36"/>
  <c r="CT399" i="36"/>
  <c r="CT476" i="36"/>
  <c r="CU305" i="36"/>
  <c r="AR80" i="36"/>
  <c r="AR92" i="36"/>
  <c r="AV252" i="36"/>
  <c r="AU761" i="36"/>
  <c r="AU722" i="36"/>
  <c r="AU721" i="36"/>
  <c r="BR253" i="36"/>
  <c r="AX487" i="36"/>
  <c r="AW485" i="36"/>
  <c r="AW484" i="36"/>
  <c r="AW532" i="36"/>
  <c r="AW533" i="36"/>
  <c r="AW487" i="36"/>
  <c r="BU426" i="36"/>
  <c r="AQ487" i="36"/>
  <c r="AR486" i="36"/>
  <c r="AV203" i="36"/>
  <c r="BK438" i="36"/>
  <c r="AV712" i="36"/>
  <c r="CJ442" i="36"/>
  <c r="CI399" i="36"/>
  <c r="CI476" i="36"/>
  <c r="BK179" i="36"/>
  <c r="BV138" i="36"/>
  <c r="AU162" i="36"/>
  <c r="AU174" i="36"/>
  <c r="AW443" i="36"/>
  <c r="AV400" i="36"/>
  <c r="AT237" i="36"/>
  <c r="BI253" i="36"/>
  <c r="BJ269" i="36"/>
  <c r="BI227" i="36"/>
  <c r="BI295" i="36"/>
  <c r="BL305" i="36"/>
  <c r="DD448" i="36"/>
  <c r="AS447" i="36"/>
  <c r="DD447" i="36"/>
  <c r="BU254" i="36"/>
  <c r="CE253" i="36"/>
  <c r="CE252" i="36"/>
  <c r="CE227" i="36"/>
  <c r="CE296" i="36"/>
  <c r="CE337" i="36"/>
  <c r="CF269" i="36"/>
  <c r="CE336" i="36"/>
  <c r="CE295" i="36"/>
  <c r="AR220" i="36"/>
  <c r="AQ221" i="36"/>
  <c r="X45" i="36"/>
  <c r="DC45" i="36"/>
  <c r="DC44" i="36"/>
  <c r="BG761" i="36"/>
  <c r="BW442" i="36"/>
  <c r="BV399" i="36"/>
  <c r="BV476" i="36"/>
  <c r="CF320" i="36"/>
  <c r="AT61" i="36"/>
  <c r="BX666" i="36"/>
  <c r="BQ721" i="36"/>
  <c r="BC84" i="36"/>
  <c r="BD183" i="36"/>
  <c r="BK394" i="36"/>
  <c r="BR761" i="36"/>
  <c r="AU830" i="36"/>
  <c r="BU424" i="36"/>
  <c r="CH574" i="36"/>
  <c r="CH525" i="36"/>
  <c r="CH477" i="36"/>
  <c r="AX320" i="36"/>
  <c r="BV486" i="36"/>
  <c r="AS415" i="36"/>
  <c r="AS20" i="36"/>
  <c r="AU96" i="36"/>
  <c r="AU95" i="36"/>
  <c r="AV601" i="36"/>
  <c r="AN138" i="36"/>
  <c r="AM139" i="36"/>
  <c r="BX539" i="36"/>
  <c r="AT276" i="36"/>
  <c r="AT235" i="36"/>
  <c r="AT273" i="36"/>
  <c r="CV138" i="36"/>
  <c r="AT721" i="36"/>
  <c r="CF152" i="36"/>
  <c r="BB193" i="36"/>
  <c r="BE534" i="36"/>
  <c r="BA129" i="36"/>
  <c r="BA170" i="36"/>
  <c r="BX265" i="36"/>
  <c r="AR20" i="36"/>
  <c r="CS424" i="36"/>
  <c r="AX632" i="36"/>
  <c r="AW590" i="36"/>
  <c r="BG641" i="36"/>
  <c r="BG599" i="36"/>
  <c r="BG600" i="36"/>
  <c r="BH320" i="36"/>
  <c r="CH138" i="36"/>
  <c r="AS63" i="36"/>
  <c r="DD63" i="36"/>
  <c r="AX265" i="36"/>
  <c r="AW344" i="36"/>
  <c r="AW315" i="36"/>
  <c r="AW345" i="36"/>
  <c r="AW347" i="36"/>
  <c r="CI524" i="36"/>
  <c r="CJ490" i="36"/>
  <c r="AU677" i="36"/>
  <c r="AU676" i="36"/>
  <c r="AV149" i="36"/>
  <c r="AV146" i="36"/>
  <c r="AW540" i="36"/>
  <c r="AR437" i="36"/>
  <c r="AR48" i="36"/>
  <c r="AR50" i="36"/>
  <c r="AW184" i="36"/>
  <c r="AV737" i="36"/>
  <c r="CH426" i="36"/>
  <c r="AT23" i="36"/>
  <c r="BM666" i="36"/>
  <c r="BA169" i="36"/>
  <c r="BB142" i="36"/>
  <c r="BA210" i="36"/>
  <c r="AX33" i="36"/>
  <c r="AS233" i="36"/>
  <c r="DD275" i="36"/>
  <c r="AN305" i="36"/>
  <c r="AM306" i="36"/>
  <c r="BT697" i="36"/>
  <c r="BT696" i="36"/>
  <c r="AU418" i="36"/>
  <c r="AU23" i="36"/>
  <c r="AT16" i="36"/>
  <c r="CI265" i="36"/>
  <c r="AQ469" i="36"/>
  <c r="AQ432" i="36"/>
  <c r="AX220" i="36"/>
  <c r="CW486" i="36"/>
  <c r="AS364" i="36"/>
  <c r="AS19" i="36"/>
  <c r="DD19" i="36"/>
  <c r="AT825" i="36"/>
  <c r="CD251" i="36"/>
  <c r="CO229" i="36"/>
  <c r="BH426" i="36"/>
  <c r="BB666" i="36"/>
  <c r="CJ305" i="36"/>
  <c r="BS737" i="36"/>
  <c r="BT785" i="36"/>
  <c r="AU106" i="36"/>
  <c r="AU62" i="36"/>
  <c r="AU66" i="36"/>
  <c r="BI424" i="36"/>
  <c r="BL670" i="36"/>
  <c r="AT263" i="36"/>
  <c r="AT264" i="36"/>
  <c r="AT266" i="36"/>
  <c r="BW97" i="36"/>
  <c r="AU359" i="36"/>
  <c r="AU357" i="36"/>
  <c r="AU393" i="36"/>
  <c r="AU392" i="36"/>
  <c r="AM394" i="36"/>
  <c r="AL395" i="36"/>
  <c r="CI394" i="36"/>
  <c r="DD402" i="36"/>
  <c r="AY670" i="36"/>
  <c r="BB84" i="36"/>
  <c r="CH573" i="36"/>
  <c r="BL583" i="36"/>
  <c r="CO251" i="36"/>
  <c r="CL666" i="36"/>
  <c r="AW786" i="36"/>
  <c r="AX785" i="36"/>
  <c r="DD461" i="36"/>
  <c r="BL442" i="36"/>
  <c r="CS426" i="36"/>
  <c r="AW614" i="36"/>
  <c r="CQ696" i="36"/>
  <c r="CQ697" i="36"/>
  <c r="BH574" i="36"/>
  <c r="BH525" i="36"/>
  <c r="BH477" i="36"/>
  <c r="BH476" i="36"/>
  <c r="BH524" i="36"/>
  <c r="BZ706" i="36"/>
  <c r="AT22" i="36"/>
  <c r="AU230" i="36"/>
  <c r="AU303" i="36"/>
  <c r="AU304" i="36"/>
  <c r="AW320" i="36"/>
  <c r="CO737" i="36"/>
  <c r="CO711" i="36"/>
  <c r="BR229" i="36"/>
  <c r="CG152" i="36"/>
  <c r="CI18" i="36"/>
  <c r="CC279" i="36"/>
  <c r="CC237" i="36"/>
  <c r="CC238" i="36"/>
  <c r="AW178" i="36"/>
  <c r="AW177" i="36"/>
  <c r="DA641" i="36"/>
  <c r="DA599" i="36"/>
  <c r="DA600" i="36"/>
  <c r="CT51" i="36"/>
  <c r="BW51" i="36"/>
  <c r="CH424" i="36"/>
  <c r="AU599" i="36"/>
  <c r="AY631" i="36"/>
  <c r="AX589" i="36"/>
  <c r="AS456" i="36"/>
  <c r="AZ69" i="36"/>
  <c r="AZ68" i="36"/>
  <c r="CD761" i="36"/>
  <c r="AK266" i="36"/>
  <c r="AL265" i="36"/>
  <c r="BV631" i="36"/>
  <c r="BU589" i="36"/>
  <c r="AU598" i="36"/>
  <c r="AU594" i="36"/>
  <c r="BL97" i="36"/>
  <c r="BH251" i="36"/>
  <c r="CV310" i="36"/>
  <c r="AZ346" i="36"/>
  <c r="AX671" i="36"/>
  <c r="BK265" i="36"/>
  <c r="AT377" i="36"/>
  <c r="AT827" i="36"/>
  <c r="AT824" i="36"/>
  <c r="CG751" i="36"/>
  <c r="CP641" i="36"/>
  <c r="CP599" i="36"/>
  <c r="CP600" i="36"/>
  <c r="AP179" i="36"/>
  <c r="AO180" i="36"/>
  <c r="CD229" i="36"/>
  <c r="AT755" i="36"/>
  <c r="AT758" i="36"/>
  <c r="AT719" i="36"/>
  <c r="AU187" i="36"/>
  <c r="AU190" i="36"/>
  <c r="AU189" i="36"/>
  <c r="BV210" i="36"/>
  <c r="BW183" i="36"/>
  <c r="BH615" i="36"/>
  <c r="AY442" i="36"/>
  <c r="AX399" i="36"/>
  <c r="AX476" i="36"/>
  <c r="AU756" i="36"/>
  <c r="CS524" i="36"/>
  <c r="CS574" i="36"/>
  <c r="CS525" i="36"/>
  <c r="CS477" i="36"/>
  <c r="AX180" i="36"/>
  <c r="AY179" i="36"/>
  <c r="BV394" i="36"/>
  <c r="AX305" i="36"/>
  <c r="AV60" i="36"/>
  <c r="AV98" i="36"/>
  <c r="AV136" i="36"/>
  <c r="AV137" i="36"/>
  <c r="AR389" i="36"/>
  <c r="AT358" i="36"/>
  <c r="DD7" i="36"/>
  <c r="AY152" i="36"/>
  <c r="AY67" i="36"/>
  <c r="AW601" i="36"/>
  <c r="AW17" i="36"/>
  <c r="AW680" i="36"/>
  <c r="CW490" i="36"/>
  <c r="BC101" i="36"/>
  <c r="BB57" i="36"/>
  <c r="AT720" i="36"/>
  <c r="AT756" i="36"/>
  <c r="DD62" i="36"/>
  <c r="AT447" i="36"/>
  <c r="AT402" i="36"/>
  <c r="DD364" i="36"/>
  <c r="AW618" i="36"/>
  <c r="CQ591" i="36"/>
  <c r="BI426" i="36"/>
  <c r="BI573" i="36"/>
  <c r="BJ539" i="36"/>
  <c r="BN627" i="36"/>
  <c r="CD641" i="36"/>
  <c r="CD600" i="36"/>
  <c r="AM98" i="36"/>
  <c r="AN97" i="36"/>
  <c r="AU279" i="36"/>
  <c r="AU237" i="36"/>
  <c r="AU238" i="36"/>
  <c r="AU16" i="36"/>
  <c r="CH524" i="36"/>
  <c r="AW252" i="36"/>
  <c r="AW253" i="36"/>
  <c r="AW227" i="36"/>
  <c r="AX269" i="36"/>
  <c r="AW295" i="36"/>
  <c r="AW336" i="36"/>
  <c r="CH210" i="36"/>
  <c r="CH84" i="36"/>
  <c r="CI183" i="36"/>
  <c r="BI320" i="36"/>
  <c r="CI220" i="36"/>
  <c r="BS252" i="36"/>
  <c r="BS253" i="36"/>
  <c r="BT269" i="36"/>
  <c r="BS227" i="36"/>
  <c r="BS296" i="36"/>
  <c r="BS337" i="36"/>
  <c r="BS295" i="36"/>
  <c r="BS336" i="36"/>
  <c r="BG737" i="36"/>
  <c r="BH820" i="36"/>
  <c r="BG711" i="36"/>
  <c r="CT18" i="36"/>
  <c r="AV641" i="36"/>
  <c r="AV599" i="36"/>
  <c r="AV600" i="36"/>
  <c r="CH169" i="36"/>
  <c r="CI142" i="36"/>
  <c r="AX51" i="36"/>
  <c r="BA490" i="36"/>
  <c r="AW535" i="36"/>
  <c r="CI583" i="36"/>
  <c r="DD543" i="36"/>
  <c r="DD552" i="36"/>
  <c r="AS544" i="36"/>
  <c r="DD544" i="36"/>
  <c r="AS403" i="36"/>
  <c r="AS582" i="36"/>
  <c r="AS581" i="36"/>
  <c r="DD581" i="36"/>
  <c r="AT789" i="36"/>
  <c r="AT792" i="36"/>
  <c r="CS573" i="36"/>
  <c r="AW591" i="36"/>
  <c r="CU666" i="36"/>
  <c r="BK220" i="36"/>
  <c r="CJ179" i="36"/>
  <c r="CL534" i="36"/>
  <c r="AV592" i="36"/>
  <c r="AX347" i="36"/>
  <c r="BT820" i="36"/>
  <c r="BT711" i="36"/>
  <c r="AR300" i="36"/>
  <c r="BS641" i="36"/>
  <c r="BS599" i="36"/>
  <c r="BS600" i="36"/>
  <c r="DD6" i="36"/>
  <c r="DC6" i="36"/>
  <c r="CS193" i="36"/>
  <c r="BV254" i="36"/>
  <c r="BW310" i="36"/>
  <c r="CD252" i="36"/>
  <c r="AZ438" i="36"/>
  <c r="BR728" i="36"/>
  <c r="DA706" i="36"/>
  <c r="AZ310" i="36"/>
  <c r="BI574" i="36"/>
  <c r="BI525" i="36"/>
  <c r="BI477" i="36"/>
  <c r="BI476" i="36"/>
  <c r="BR599" i="36"/>
  <c r="AS517" i="36"/>
  <c r="AS529" i="36"/>
  <c r="AR133" i="36"/>
  <c r="BR296" i="36"/>
  <c r="BH229" i="36"/>
  <c r="AW86" i="36"/>
  <c r="AW102" i="36"/>
  <c r="AV58" i="36"/>
  <c r="BJ680" i="36"/>
  <c r="BJ601" i="36"/>
  <c r="AT316" i="36"/>
  <c r="DD496" i="36"/>
  <c r="AS495" i="36"/>
  <c r="DD495" i="36"/>
  <c r="DH356" i="36"/>
  <c r="CP356" i="36"/>
  <c r="CQ356" i="36"/>
  <c r="CR356" i="36"/>
  <c r="CS356" i="36"/>
  <c r="CT356" i="36"/>
  <c r="CU356" i="36"/>
  <c r="CV356" i="36"/>
  <c r="CW356" i="36"/>
  <c r="CX356" i="36"/>
  <c r="CY356" i="36"/>
  <c r="CZ356" i="36"/>
  <c r="DA356" i="36"/>
  <c r="DI356" i="36"/>
  <c r="AU108" i="36"/>
  <c r="AU107" i="36"/>
  <c r="AU105" i="36"/>
  <c r="AU61" i="36"/>
  <c r="AU65" i="36"/>
  <c r="AT594" i="36"/>
  <c r="BH697" i="36"/>
  <c r="BH696" i="36"/>
  <c r="AV82" i="36"/>
  <c r="DD717" i="36"/>
  <c r="BK490" i="36"/>
  <c r="AV707" i="36"/>
  <c r="AU500" i="36"/>
  <c r="AT359" i="36"/>
  <c r="AQ11" i="36"/>
  <c r="AW399" i="36"/>
  <c r="BB706" i="36"/>
  <c r="CU346" i="36"/>
  <c r="AY627" i="36"/>
  <c r="BA81" i="36"/>
  <c r="BF599" i="36"/>
  <c r="AJ52" i="36"/>
  <c r="AK51" i="36"/>
  <c r="DA252" i="36"/>
  <c r="DA253" i="36"/>
  <c r="DA227" i="36"/>
  <c r="DA296" i="36"/>
  <c r="DA337" i="36"/>
  <c r="DA336" i="36"/>
  <c r="DA295" i="36"/>
  <c r="CU394" i="36"/>
  <c r="CG51" i="36"/>
  <c r="AU425" i="36"/>
  <c r="BZ627" i="36"/>
  <c r="CO627" i="36"/>
  <c r="CF193" i="36"/>
  <c r="CR615" i="36"/>
  <c r="CS631" i="36"/>
  <c r="CR589" i="36"/>
  <c r="CU670" i="36"/>
  <c r="AQ92" i="36"/>
  <c r="CL670" i="36"/>
  <c r="AT676" i="36"/>
  <c r="AV501" i="36"/>
  <c r="AV251" i="36"/>
  <c r="CG193" i="36"/>
  <c r="CC830" i="36"/>
  <c r="CC728" i="36"/>
  <c r="CC22" i="36"/>
  <c r="CC713" i="36"/>
  <c r="BR252" i="36"/>
  <c r="BF737" i="36"/>
  <c r="CV352" i="36"/>
  <c r="CE696" i="36"/>
  <c r="CE697" i="36"/>
  <c r="CK352" i="36"/>
  <c r="BI152" i="36"/>
  <c r="AR548" i="36"/>
  <c r="AR409" i="36"/>
  <c r="AR550" i="36"/>
  <c r="AU337" i="36"/>
  <c r="CU438" i="36"/>
  <c r="AT790" i="36"/>
  <c r="BI51" i="36"/>
  <c r="CU539" i="36"/>
  <c r="CT573" i="36"/>
  <c r="AW615" i="36"/>
  <c r="AS360" i="36"/>
  <c r="AS389" i="36"/>
  <c r="CV583" i="36"/>
  <c r="AX820" i="36"/>
  <c r="AW821" i="36"/>
  <c r="AT64" i="36"/>
  <c r="BT591" i="36"/>
  <c r="DD564" i="36"/>
  <c r="BJ138" i="36"/>
  <c r="BA486" i="36"/>
  <c r="CT320" i="36"/>
  <c r="BW220" i="36"/>
  <c r="AV139" i="36"/>
  <c r="CT210" i="36"/>
  <c r="CU183" i="36"/>
  <c r="CT84" i="36"/>
  <c r="CT33" i="36"/>
  <c r="BI601" i="36"/>
  <c r="AZ352" i="36"/>
  <c r="CU97" i="36"/>
  <c r="AU825" i="36"/>
  <c r="BF237" i="36"/>
  <c r="CD296" i="36"/>
  <c r="CK706" i="36"/>
  <c r="CI486" i="36"/>
  <c r="AV229" i="36"/>
  <c r="CA583" i="36"/>
  <c r="AY97" i="36"/>
  <c r="CD253" i="36"/>
  <c r="CG320" i="36"/>
  <c r="BU751" i="36"/>
  <c r="BT601" i="36"/>
  <c r="BJ785" i="36"/>
  <c r="Y52" i="36"/>
  <c r="Z51" i="36"/>
  <c r="BU601" i="36"/>
  <c r="AH45" i="36"/>
  <c r="AV451" i="36"/>
  <c r="BA193" i="36"/>
  <c r="AU30" i="36"/>
  <c r="BI615" i="36"/>
  <c r="BJ631" i="36"/>
  <c r="BI589" i="36"/>
  <c r="AV86" i="36"/>
  <c r="AS215" i="36"/>
  <c r="DD215" i="36"/>
  <c r="DD212" i="36"/>
  <c r="DD189" i="36"/>
  <c r="AW424" i="36"/>
  <c r="DD558" i="36"/>
  <c r="AV314" i="36"/>
  <c r="AV317" i="36"/>
  <c r="AV316" i="36"/>
  <c r="BM706" i="36"/>
  <c r="BY534" i="36"/>
  <c r="BA83" i="36"/>
  <c r="DD812" i="36"/>
  <c r="AS804" i="36"/>
  <c r="AU714" i="36"/>
  <c r="BW346" i="36"/>
  <c r="BV169" i="36"/>
  <c r="BW142" i="36"/>
  <c r="AT456" i="36"/>
  <c r="AT414" i="36"/>
  <c r="BR713" i="36"/>
  <c r="CS601" i="36"/>
  <c r="CS680" i="36"/>
  <c r="CJ680" i="36"/>
  <c r="BL142" i="36"/>
  <c r="AT650" i="36"/>
  <c r="AT661" i="36"/>
  <c r="CO761" i="36"/>
  <c r="AV5" i="36"/>
  <c r="AV296" i="36"/>
  <c r="AV337" i="36"/>
  <c r="CE820" i="36"/>
  <c r="BJ336" i="36"/>
  <c r="BK310" i="36"/>
  <c r="BJ254" i="36"/>
  <c r="BR251" i="36"/>
  <c r="BF713" i="36"/>
  <c r="CE591" i="36"/>
  <c r="BU524" i="36"/>
  <c r="BV490" i="36"/>
  <c r="AV524" i="36"/>
  <c r="AV477" i="36"/>
  <c r="AV525" i="36"/>
  <c r="AV476" i="36"/>
  <c r="AV574" i="36"/>
  <c r="BU399" i="36"/>
  <c r="AV188" i="36"/>
  <c r="AW221" i="36"/>
  <c r="AV219" i="36"/>
  <c r="AV218" i="36"/>
  <c r="AV713" i="36"/>
  <c r="AR410" i="36"/>
  <c r="CY534" i="36"/>
  <c r="AW839" i="36"/>
  <c r="BB583" i="36"/>
  <c r="AV453" i="36"/>
  <c r="AR250" i="36"/>
  <c r="AT62" i="36"/>
  <c r="AD266" i="36"/>
  <c r="AE265" i="36"/>
  <c r="CT179" i="36"/>
  <c r="AX138" i="36"/>
  <c r="AW139" i="36"/>
  <c r="CT220" i="36"/>
  <c r="BI680" i="36"/>
  <c r="M101" i="21"/>
  <c r="N101" i="21"/>
  <c r="AC3" i="41"/>
  <c r="O101" i="21"/>
  <c r="AD3" i="41"/>
  <c r="Q168" i="19"/>
  <c r="Q129" i="19"/>
  <c r="Q90" i="19"/>
  <c r="Q480" i="19"/>
  <c r="Q650" i="19"/>
  <c r="P519" i="19"/>
  <c r="F65" i="24" s="1"/>
  <c r="P207" i="19"/>
  <c r="P168" i="19"/>
  <c r="P129" i="19"/>
  <c r="P90" i="19"/>
  <c r="P51" i="19"/>
  <c r="P480" i="19"/>
  <c r="P650" i="19"/>
  <c r="Q558" i="19"/>
  <c r="G65" i="24" s="1"/>
  <c r="Q519" i="19"/>
  <c r="R519" i="19"/>
  <c r="R558" i="19"/>
  <c r="W530" i="21"/>
  <c r="W590" i="21"/>
  <c r="W529" i="21"/>
  <c r="W589" i="21"/>
  <c r="W531" i="21"/>
  <c r="W591" i="21"/>
  <c r="W532" i="21"/>
  <c r="W592" i="21"/>
  <c r="W524" i="21"/>
  <c r="W584" i="21"/>
  <c r="W525" i="21"/>
  <c r="W585" i="21"/>
  <c r="E414" i="14"/>
  <c r="W527" i="21"/>
  <c r="W587" i="21"/>
  <c r="W533" i="21"/>
  <c r="W593" i="21"/>
  <c r="W588" i="21"/>
  <c r="W526" i="21"/>
  <c r="V527" i="21"/>
  <c r="V587" i="21"/>
  <c r="V531" i="21"/>
  <c r="V591" i="21"/>
  <c r="V533" i="21"/>
  <c r="V593" i="21"/>
  <c r="V528" i="21"/>
  <c r="V588" i="21"/>
  <c r="V529" i="21"/>
  <c r="V589" i="21"/>
  <c r="V530" i="21"/>
  <c r="V590" i="21"/>
  <c r="V532" i="21"/>
  <c r="V592" i="21"/>
  <c r="V526" i="21"/>
  <c r="V586" i="21"/>
  <c r="U524" i="21"/>
  <c r="U584" i="21"/>
  <c r="V524" i="21"/>
  <c r="V584" i="21"/>
  <c r="V525" i="21"/>
  <c r="U528" i="21"/>
  <c r="U588" i="21"/>
  <c r="U527" i="21"/>
  <c r="U587" i="21"/>
  <c r="U533" i="21"/>
  <c r="U593" i="21"/>
  <c r="U531" i="21"/>
  <c r="U591" i="21"/>
  <c r="U526" i="21"/>
  <c r="U586" i="21"/>
  <c r="U532" i="21"/>
  <c r="U592" i="21"/>
  <c r="U530" i="21"/>
  <c r="U590" i="21"/>
  <c r="U529" i="21"/>
  <c r="U589" i="21"/>
  <c r="U525" i="21"/>
  <c r="T524" i="21"/>
  <c r="T525" i="21"/>
  <c r="T585" i="21"/>
  <c r="T529" i="21"/>
  <c r="T589" i="21"/>
  <c r="T526" i="21"/>
  <c r="T586" i="21"/>
  <c r="T530" i="21"/>
  <c r="T590" i="21"/>
  <c r="T532" i="21"/>
  <c r="T592" i="21"/>
  <c r="T533" i="21"/>
  <c r="T593" i="21"/>
  <c r="T527" i="21"/>
  <c r="T587" i="21"/>
  <c r="T528" i="21"/>
  <c r="T588" i="21"/>
  <c r="T531" i="21"/>
  <c r="T591" i="21"/>
  <c r="S533" i="21"/>
  <c r="S593" i="21"/>
  <c r="S530" i="21"/>
  <c r="S590" i="21"/>
  <c r="S531" i="21"/>
  <c r="S591" i="21"/>
  <c r="S532" i="21"/>
  <c r="S592" i="21"/>
  <c r="S524" i="21"/>
  <c r="S528" i="21"/>
  <c r="S588" i="21"/>
  <c r="S526" i="21"/>
  <c r="S586" i="21"/>
  <c r="S527" i="21"/>
  <c r="S587" i="21"/>
  <c r="S529" i="21"/>
  <c r="S589" i="21"/>
  <c r="S525" i="21"/>
  <c r="S585" i="21"/>
  <c r="G58" i="14"/>
  <c r="G57" i="14"/>
  <c r="G76" i="14"/>
  <c r="G78" i="14"/>
  <c r="P533" i="21"/>
  <c r="P593" i="21"/>
  <c r="Q530" i="21"/>
  <c r="Q590" i="21"/>
  <c r="R527" i="21"/>
  <c r="R587" i="21"/>
  <c r="P525" i="21"/>
  <c r="P585" i="21"/>
  <c r="P530" i="21"/>
  <c r="P590" i="21"/>
  <c r="Q527" i="21"/>
  <c r="Q587" i="21"/>
  <c r="R524" i="21"/>
  <c r="R529" i="21"/>
  <c r="R589" i="21"/>
  <c r="P527" i="21"/>
  <c r="P587" i="21"/>
  <c r="Q524" i="21"/>
  <c r="Q529" i="21"/>
  <c r="Q589" i="21"/>
  <c r="R526" i="21"/>
  <c r="R586" i="21"/>
  <c r="P524" i="21"/>
  <c r="R533" i="21"/>
  <c r="R593" i="21"/>
  <c r="R525" i="21"/>
  <c r="R585" i="21"/>
  <c r="Q533" i="21"/>
  <c r="Q593" i="21"/>
  <c r="P528" i="21"/>
  <c r="P588" i="21"/>
  <c r="R532" i="21"/>
  <c r="R592" i="21"/>
  <c r="Q532" i="21"/>
  <c r="Q592" i="21"/>
  <c r="P532" i="21"/>
  <c r="P592" i="21"/>
  <c r="R531" i="21"/>
  <c r="R591" i="21"/>
  <c r="P529" i="21"/>
  <c r="P589" i="21"/>
  <c r="Q526" i="21"/>
  <c r="Q586" i="21"/>
  <c r="Q531" i="21"/>
  <c r="Q591" i="21"/>
  <c r="R528" i="21"/>
  <c r="R588" i="21"/>
  <c r="P526" i="21"/>
  <c r="P586" i="21"/>
  <c r="P531" i="21"/>
  <c r="P591" i="21"/>
  <c r="Q528" i="21"/>
  <c r="Q588" i="21"/>
  <c r="R530" i="21"/>
  <c r="R590" i="21"/>
  <c r="Q525" i="21"/>
  <c r="Q585" i="21"/>
  <c r="AB3" i="41"/>
  <c r="N532" i="21"/>
  <c r="N592" i="21"/>
  <c r="N528" i="21"/>
  <c r="N588" i="21"/>
  <c r="N524" i="21"/>
  <c r="M528" i="21"/>
  <c r="O528" i="21"/>
  <c r="O588" i="21"/>
  <c r="O531" i="21"/>
  <c r="O591" i="21"/>
  <c r="O527" i="21"/>
  <c r="O587" i="21"/>
  <c r="M525" i="21"/>
  <c r="M527" i="21"/>
  <c r="N531" i="21"/>
  <c r="N591" i="21"/>
  <c r="N527" i="21"/>
  <c r="N587" i="21"/>
  <c r="M524" i="21"/>
  <c r="M526" i="21"/>
  <c r="O530" i="21"/>
  <c r="O590" i="21"/>
  <c r="O526" i="21"/>
  <c r="O586" i="21"/>
  <c r="M533" i="21"/>
  <c r="N530" i="21"/>
  <c r="N590" i="21"/>
  <c r="N526" i="21"/>
  <c r="N586" i="21"/>
  <c r="M532" i="21"/>
  <c r="M529" i="21"/>
  <c r="O532" i="21"/>
  <c r="O592" i="21"/>
  <c r="O533" i="21"/>
  <c r="O593" i="21"/>
  <c r="O529" i="21"/>
  <c r="O589" i="21"/>
  <c r="O525" i="21"/>
  <c r="O585" i="21"/>
  <c r="M531" i="21"/>
  <c r="N533" i="21"/>
  <c r="N593" i="21"/>
  <c r="N529" i="21"/>
  <c r="N589" i="21"/>
  <c r="N525" i="21"/>
  <c r="N585" i="21"/>
  <c r="M530" i="21"/>
  <c r="O524" i="21"/>
  <c r="Q12" i="41"/>
  <c r="O555" i="21"/>
  <c r="AV637" i="36"/>
  <c r="AU596" i="36"/>
  <c r="CO795" i="36"/>
  <c r="AU719" i="36"/>
  <c r="AU715" i="36"/>
  <c r="AU228" i="36"/>
  <c r="AU6" i="36"/>
  <c r="AU306" i="36"/>
  <c r="AS553" i="36"/>
  <c r="DD553" i="36"/>
  <c r="AV790" i="36"/>
  <c r="AS450" i="36"/>
  <c r="DD450" i="36"/>
  <c r="AS452" i="36"/>
  <c r="DD456" i="36"/>
  <c r="CV254" i="36"/>
  <c r="CW310" i="36"/>
  <c r="CO238" i="36"/>
  <c r="CO279" i="36"/>
  <c r="CO237" i="36"/>
  <c r="AS259" i="36"/>
  <c r="AS288" i="36"/>
  <c r="DD297" i="36"/>
  <c r="AU689" i="36"/>
  <c r="AU701" i="36"/>
  <c r="AX344" i="36"/>
  <c r="AX345" i="36"/>
  <c r="AV675" i="36"/>
  <c r="AV598" i="36"/>
  <c r="CH320" i="36"/>
  <c r="BX438" i="36"/>
  <c r="AX143" i="36"/>
  <c r="AV728" i="36"/>
  <c r="AT450" i="36"/>
  <c r="AT452" i="36"/>
  <c r="AV95" i="36"/>
  <c r="AV96" i="36"/>
  <c r="BV193" i="36"/>
  <c r="AT826" i="36"/>
  <c r="BU591" i="36"/>
  <c r="AY265" i="36"/>
  <c r="AT231" i="36"/>
  <c r="BY666" i="36"/>
  <c r="CE229" i="36"/>
  <c r="AW736" i="36"/>
  <c r="AT232" i="36"/>
  <c r="DD770" i="36"/>
  <c r="AS781" i="36"/>
  <c r="DD781" i="36"/>
  <c r="AW713" i="36"/>
  <c r="CP252" i="36"/>
  <c r="AS550" i="36"/>
  <c r="AS549" i="36"/>
  <c r="AS547" i="36"/>
  <c r="DD551" i="36"/>
  <c r="AS408" i="36"/>
  <c r="BU193" i="36"/>
  <c r="AR260" i="36"/>
  <c r="CZ534" i="36"/>
  <c r="AV761" i="36"/>
  <c r="AV722" i="36"/>
  <c r="AU621" i="36"/>
  <c r="AU612" i="36"/>
  <c r="BV524" i="36"/>
  <c r="BV424" i="36"/>
  <c r="BW490" i="36"/>
  <c r="CJ601" i="36"/>
  <c r="BI697" i="36"/>
  <c r="BI696" i="36"/>
  <c r="CB583" i="36"/>
  <c r="AY18" i="36"/>
  <c r="BB486" i="36"/>
  <c r="AT517" i="36"/>
  <c r="AT63" i="36"/>
  <c r="AR405" i="36"/>
  <c r="AR407" i="36"/>
  <c r="AR14" i="36"/>
  <c r="CV670" i="36"/>
  <c r="CS615" i="36"/>
  <c r="CT631" i="36"/>
  <c r="CS589" i="36"/>
  <c r="CH51" i="36"/>
  <c r="DA251" i="36"/>
  <c r="BC706" i="36"/>
  <c r="AU517" i="36"/>
  <c r="AU529" i="36"/>
  <c r="BH795" i="36"/>
  <c r="BW254" i="36"/>
  <c r="BX310" i="36"/>
  <c r="AV625" i="36"/>
  <c r="AV626" i="36"/>
  <c r="AV657" i="36"/>
  <c r="AV628" i="36"/>
  <c r="CK179" i="36"/>
  <c r="AV830" i="36"/>
  <c r="BI820" i="36"/>
  <c r="BH711" i="36"/>
  <c r="AW5" i="36"/>
  <c r="AW296" i="36"/>
  <c r="AW337" i="36"/>
  <c r="CQ641" i="36"/>
  <c r="CQ599" i="36"/>
  <c r="CQ600" i="36"/>
  <c r="AU377" i="36"/>
  <c r="AW60" i="36"/>
  <c r="AW136" i="36"/>
  <c r="AW137" i="36"/>
  <c r="AX499" i="36"/>
  <c r="AX535" i="36"/>
  <c r="BW210" i="36"/>
  <c r="BW84" i="36"/>
  <c r="BX183" i="36"/>
  <c r="AT757" i="36"/>
  <c r="CD279" i="36"/>
  <c r="CD238" i="36"/>
  <c r="BV615" i="36"/>
  <c r="BW631" i="36"/>
  <c r="BV589" i="36"/>
  <c r="AW501" i="36"/>
  <c r="CA706" i="36"/>
  <c r="BM442" i="36"/>
  <c r="AU361" i="36"/>
  <c r="BC666" i="36"/>
  <c r="DD415" i="36"/>
  <c r="CG269" i="36"/>
  <c r="CF227" i="36"/>
  <c r="CF295" i="36"/>
  <c r="CF336" i="36"/>
  <c r="CE761" i="36"/>
  <c r="BL179" i="36"/>
  <c r="BL438" i="36"/>
  <c r="AT215" i="36"/>
  <c r="CI254" i="36"/>
  <c r="CJ310" i="36"/>
  <c r="CD737" i="36"/>
  <c r="AW675" i="36"/>
  <c r="DD742" i="36"/>
  <c r="AS734" i="36"/>
  <c r="CU169" i="36"/>
  <c r="CV142" i="36"/>
  <c r="BN534" i="36"/>
  <c r="AV425" i="36"/>
  <c r="AW712" i="36"/>
  <c r="CP251" i="36"/>
  <c r="BJ399" i="36"/>
  <c r="BU320" i="36"/>
  <c r="AW229" i="36"/>
  <c r="BV84" i="36"/>
  <c r="AY220" i="36"/>
  <c r="AS89" i="36"/>
  <c r="AS121" i="36"/>
  <c r="DD130" i="36"/>
  <c r="CY627" i="36"/>
  <c r="BX346" i="36"/>
  <c r="AX253" i="36"/>
  <c r="AX227" i="36"/>
  <c r="AX252" i="36"/>
  <c r="AY269" i="36"/>
  <c r="AX295" i="36"/>
  <c r="AX336" i="36"/>
  <c r="AT7" i="36"/>
  <c r="AT715" i="36"/>
  <c r="AT718" i="36"/>
  <c r="AY671" i="36"/>
  <c r="AS421" i="36"/>
  <c r="DD467" i="36"/>
  <c r="CK305" i="36"/>
  <c r="BV477" i="36"/>
  <c r="BV574" i="36"/>
  <c r="BV525" i="36"/>
  <c r="BV573" i="36"/>
  <c r="BI251" i="36"/>
  <c r="CV305" i="36"/>
  <c r="AY394" i="36"/>
  <c r="AU447" i="36"/>
  <c r="AU402" i="36"/>
  <c r="AU7" i="36"/>
  <c r="CU179" i="36"/>
  <c r="AU792" i="36"/>
  <c r="AU791" i="36"/>
  <c r="AU789" i="36"/>
  <c r="BU477" i="36"/>
  <c r="BU525" i="36"/>
  <c r="BU574" i="36"/>
  <c r="BU573" i="36"/>
  <c r="BU476" i="36"/>
  <c r="BL310" i="36"/>
  <c r="BZ534" i="36"/>
  <c r="BI591" i="36"/>
  <c r="CL706" i="36"/>
  <c r="AW830" i="36"/>
  <c r="CL352" i="36"/>
  <c r="CM670" i="36"/>
  <c r="CT601" i="36"/>
  <c r="AU64" i="36"/>
  <c r="AZ254" i="36"/>
  <c r="BA310" i="36"/>
  <c r="BL220" i="36"/>
  <c r="CV666" i="36"/>
  <c r="BS251" i="36"/>
  <c r="AW251" i="36"/>
  <c r="AN98" i="36"/>
  <c r="AO97" i="36"/>
  <c r="AT415" i="36"/>
  <c r="AT364" i="36"/>
  <c r="AT19" i="36"/>
  <c r="AV106" i="36"/>
  <c r="AV66" i="36"/>
  <c r="AY305" i="36"/>
  <c r="CH751" i="36"/>
  <c r="BU615" i="36"/>
  <c r="AV504" i="36"/>
  <c r="AW147" i="36"/>
  <c r="BR279" i="36"/>
  <c r="BR238" i="36"/>
  <c r="CM666" i="36"/>
  <c r="BA59" i="36"/>
  <c r="AZ670" i="36"/>
  <c r="CJ394" i="36"/>
  <c r="AU266" i="36"/>
  <c r="CX486" i="36"/>
  <c r="AQ423" i="36"/>
  <c r="AQ38" i="36"/>
  <c r="BN666" i="36"/>
  <c r="DD20" i="36"/>
  <c r="AT275" i="36"/>
  <c r="AT234" i="36"/>
  <c r="BE183" i="36"/>
  <c r="DE183" i="36"/>
  <c r="BX442" i="36"/>
  <c r="BW399" i="36"/>
  <c r="BW476" i="36"/>
  <c r="AU31" i="36"/>
  <c r="AW451" i="36"/>
  <c r="BJ152" i="36"/>
  <c r="CJ573" i="36"/>
  <c r="CK539" i="36"/>
  <c r="AT360" i="36"/>
  <c r="AV32" i="36"/>
  <c r="BL486" i="36"/>
  <c r="CJ346" i="36"/>
  <c r="AU456" i="36"/>
  <c r="AU414" i="36"/>
  <c r="AY751" i="36"/>
  <c r="AX752" i="36"/>
  <c r="AX711" i="36"/>
  <c r="BX305" i="36"/>
  <c r="AU757" i="36"/>
  <c r="AV190" i="36"/>
  <c r="AV189" i="36"/>
  <c r="AV187" i="36"/>
  <c r="BA352" i="36"/>
  <c r="CV346" i="36"/>
  <c r="AW453" i="36"/>
  <c r="BR795" i="36"/>
  <c r="CE641" i="36"/>
  <c r="CE599" i="36"/>
  <c r="CE600" i="36"/>
  <c r="AR404" i="36"/>
  <c r="AV714" i="36"/>
  <c r="BJ615" i="36"/>
  <c r="BK631" i="36"/>
  <c r="BJ589" i="36"/>
  <c r="CU210" i="36"/>
  <c r="CV183" i="36"/>
  <c r="BK138" i="36"/>
  <c r="CK601" i="36"/>
  <c r="CR591" i="36"/>
  <c r="CA627" i="36"/>
  <c r="AZ627" i="36"/>
  <c r="AW574" i="36"/>
  <c r="AW524" i="36"/>
  <c r="AW525" i="36"/>
  <c r="AW477" i="36"/>
  <c r="AW476" i="36"/>
  <c r="AT495" i="36"/>
  <c r="DI706" i="36"/>
  <c r="BV320" i="36"/>
  <c r="BU820" i="36"/>
  <c r="AT791" i="36"/>
  <c r="AT544" i="36"/>
  <c r="AT582" i="36"/>
  <c r="AT434" i="36"/>
  <c r="AT581" i="36"/>
  <c r="AT403" i="36"/>
  <c r="AT439" i="36"/>
  <c r="CJ220" i="36"/>
  <c r="BB129" i="36"/>
  <c r="BB170" i="36"/>
  <c r="AV105" i="36"/>
  <c r="AV61" i="36"/>
  <c r="AV108" i="36"/>
  <c r="AV107" i="36"/>
  <c r="AV65" i="36"/>
  <c r="AZ442" i="36"/>
  <c r="AY399" i="36"/>
  <c r="BR830" i="36"/>
  <c r="CU320" i="36"/>
  <c r="AX697" i="36"/>
  <c r="AW149" i="36"/>
  <c r="AW148" i="36"/>
  <c r="AW146" i="36"/>
  <c r="AU236" i="36"/>
  <c r="AU274" i="36"/>
  <c r="AU232" i="36"/>
  <c r="BA69" i="36"/>
  <c r="AX601" i="36"/>
  <c r="AX17" i="36"/>
  <c r="AX680" i="36"/>
  <c r="AV357" i="36"/>
  <c r="AV393" i="36"/>
  <c r="AV392" i="36"/>
  <c r="AQ481" i="36"/>
  <c r="AN306" i="36"/>
  <c r="AO305" i="36"/>
  <c r="AX540" i="36"/>
  <c r="BS713" i="36"/>
  <c r="BR722" i="36"/>
  <c r="BV426" i="36"/>
  <c r="BI296" i="36"/>
  <c r="CI574" i="36"/>
  <c r="CI477" i="36"/>
  <c r="CI525" i="36"/>
  <c r="AY487" i="36"/>
  <c r="AX484" i="36"/>
  <c r="AX485" i="36"/>
  <c r="AX532" i="36"/>
  <c r="AX533" i="36"/>
  <c r="CF696" i="36"/>
  <c r="CF697" i="36"/>
  <c r="AW573" i="36"/>
  <c r="AU429" i="36"/>
  <c r="AU35" i="36"/>
  <c r="AW737" i="36"/>
  <c r="AW32" i="36"/>
  <c r="CP296" i="36"/>
  <c r="DD526" i="36"/>
  <c r="AR517" i="36"/>
  <c r="BJ51" i="36"/>
  <c r="BT253" i="36"/>
  <c r="BT227" i="36"/>
  <c r="BU269" i="36"/>
  <c r="BT295" i="36"/>
  <c r="BT336" i="36"/>
  <c r="BM97" i="36"/>
  <c r="BL394" i="36"/>
  <c r="BI252" i="36"/>
  <c r="AW705" i="36"/>
  <c r="AW704" i="36"/>
  <c r="AS437" i="36"/>
  <c r="DD437" i="36"/>
  <c r="DD435" i="36"/>
  <c r="AS48" i="36"/>
  <c r="AY138" i="36"/>
  <c r="AX139" i="36"/>
  <c r="CJ18" i="36"/>
  <c r="CR697" i="36"/>
  <c r="CR696" i="36"/>
  <c r="AW499" i="36"/>
  <c r="AW98" i="36"/>
  <c r="BW169" i="36"/>
  <c r="BX142" i="36"/>
  <c r="BK785" i="36"/>
  <c r="BV751" i="36"/>
  <c r="AX839" i="36"/>
  <c r="AY820" i="36"/>
  <c r="AX821" i="36"/>
  <c r="CV438" i="36"/>
  <c r="AU593" i="36"/>
  <c r="CU18" i="36"/>
  <c r="AV30" i="36"/>
  <c r="CV394" i="36"/>
  <c r="AK52" i="36"/>
  <c r="AL51" i="36"/>
  <c r="BL490" i="36"/>
  <c r="AY320" i="36"/>
  <c r="DD582" i="36"/>
  <c r="AS434" i="36"/>
  <c r="CJ583" i="36"/>
  <c r="AY51" i="36"/>
  <c r="BJ426" i="36"/>
  <c r="BJ573" i="36"/>
  <c r="BK539" i="36"/>
  <c r="AR15" i="36"/>
  <c r="BB81" i="36"/>
  <c r="DD360" i="36"/>
  <c r="BW394" i="36"/>
  <c r="AU720" i="36"/>
  <c r="AU716" i="36"/>
  <c r="BA346" i="36"/>
  <c r="CU254" i="36"/>
  <c r="AZ631" i="36"/>
  <c r="AY615" i="36"/>
  <c r="AY589" i="36"/>
  <c r="AY697" i="36"/>
  <c r="BX51" i="36"/>
  <c r="AX147" i="36"/>
  <c r="AX178" i="36"/>
  <c r="AX177" i="36"/>
  <c r="CO728" i="36"/>
  <c r="CO22" i="36"/>
  <c r="CO713" i="36"/>
  <c r="AU264" i="36"/>
  <c r="AU263" i="36"/>
  <c r="BA111" i="36"/>
  <c r="BA68" i="36"/>
  <c r="AM395" i="36"/>
  <c r="AN394" i="36"/>
  <c r="AV31" i="36"/>
  <c r="CK490" i="36"/>
  <c r="AW317" i="36"/>
  <c r="AW314" i="36"/>
  <c r="CI138" i="36"/>
  <c r="AX614" i="36"/>
  <c r="BY265" i="36"/>
  <c r="AO138" i="36"/>
  <c r="AN139" i="36"/>
  <c r="AS220" i="36"/>
  <c r="AS221" i="36"/>
  <c r="DD221" i="36"/>
  <c r="AR221" i="36"/>
  <c r="CE251" i="36"/>
  <c r="BI229" i="36"/>
  <c r="BW138" i="36"/>
  <c r="CK442" i="36"/>
  <c r="CJ399" i="36"/>
  <c r="CJ524" i="36"/>
  <c r="CT574" i="36"/>
  <c r="CT525" i="36"/>
  <c r="CT477" i="36"/>
  <c r="CT524" i="36"/>
  <c r="AU650" i="36"/>
  <c r="AU661" i="36"/>
  <c r="BH761" i="36"/>
  <c r="CH631" i="36"/>
  <c r="CG589" i="36"/>
  <c r="AF306" i="36"/>
  <c r="AG305" i="36"/>
  <c r="CP253" i="36"/>
  <c r="CJ438" i="36"/>
  <c r="BX670" i="36"/>
  <c r="AU329" i="36"/>
  <c r="AU341" i="36"/>
  <c r="CI210" i="36"/>
  <c r="CJ183" i="36"/>
  <c r="CF785" i="36"/>
  <c r="CE711" i="36"/>
  <c r="AT621" i="36"/>
  <c r="CJ486" i="36"/>
  <c r="AR549" i="36"/>
  <c r="CS152" i="36"/>
  <c r="AV825" i="36"/>
  <c r="BB490" i="36"/>
  <c r="AT162" i="36"/>
  <c r="BC583" i="36"/>
  <c r="BV152" i="36"/>
  <c r="AR469" i="36"/>
  <c r="AR481" i="36"/>
  <c r="AF265" i="36"/>
  <c r="AE266" i="36"/>
  <c r="AU827" i="36"/>
  <c r="AU826" i="36"/>
  <c r="AU850" i="36"/>
  <c r="AU824" i="36"/>
  <c r="CU220" i="36"/>
  <c r="AW188" i="36"/>
  <c r="AW218" i="36"/>
  <c r="AW219" i="36"/>
  <c r="BM142" i="36"/>
  <c r="CD337" i="36"/>
  <c r="CV97" i="36"/>
  <c r="BT641" i="36"/>
  <c r="BT599" i="36"/>
  <c r="BT600" i="36"/>
  <c r="AU595" i="36"/>
  <c r="CW352" i="36"/>
  <c r="AX707" i="36"/>
  <c r="AX102" i="36"/>
  <c r="AW58" i="36"/>
  <c r="BH279" i="36"/>
  <c r="BH238" i="36"/>
  <c r="BA438" i="36"/>
  <c r="BS728" i="36"/>
  <c r="AT584" i="36"/>
  <c r="AT435" i="36"/>
  <c r="DD389" i="36"/>
  <c r="AU215" i="36"/>
  <c r="BL265" i="36"/>
  <c r="AY347" i="36"/>
  <c r="AX591" i="36"/>
  <c r="AX696" i="36"/>
  <c r="BT713" i="36"/>
  <c r="BU785" i="36"/>
  <c r="BU711" i="36"/>
  <c r="CJ265" i="36"/>
  <c r="DD233" i="36"/>
  <c r="AX203" i="36"/>
  <c r="AX184" i="36"/>
  <c r="AX618" i="36"/>
  <c r="BS761" i="36"/>
  <c r="BS722" i="36"/>
  <c r="BW486" i="36"/>
  <c r="BJ252" i="36"/>
  <c r="BK269" i="36"/>
  <c r="BK336" i="36"/>
  <c r="BJ227" i="36"/>
  <c r="BJ296" i="36"/>
  <c r="BJ337" i="36"/>
  <c r="BJ295" i="36"/>
  <c r="AV401" i="36"/>
  <c r="CI426" i="36"/>
  <c r="CT424" i="36"/>
  <c r="CI573" i="36"/>
  <c r="CK97" i="36"/>
  <c r="CF591" i="36"/>
  <c r="CW265" i="36"/>
  <c r="AT35" i="36"/>
  <c r="AX426" i="36"/>
  <c r="AY539" i="36"/>
  <c r="AX573" i="36"/>
  <c r="AZ491" i="36"/>
  <c r="BX179" i="36"/>
  <c r="CP229" i="36"/>
  <c r="AP439" i="36"/>
  <c r="AQ438" i="36"/>
  <c r="BV601" i="36"/>
  <c r="BV680" i="36"/>
  <c r="AW592" i="36"/>
  <c r="AW628" i="36"/>
  <c r="AW664" i="36"/>
  <c r="AW665" i="36"/>
  <c r="AW667" i="36"/>
  <c r="AX667" i="36"/>
  <c r="BF830" i="36"/>
  <c r="BF722" i="36"/>
  <c r="AV238" i="36"/>
  <c r="AV16" i="36"/>
  <c r="AV279" i="36"/>
  <c r="AV237" i="36"/>
  <c r="AW641" i="36"/>
  <c r="AW600" i="36"/>
  <c r="BG728" i="36"/>
  <c r="BG22" i="36"/>
  <c r="BG713" i="36"/>
  <c r="BO627" i="36"/>
  <c r="BU697" i="36"/>
  <c r="BU696" i="36"/>
  <c r="AV418" i="36"/>
  <c r="CT426" i="36"/>
  <c r="DD562" i="36"/>
  <c r="AS419" i="36"/>
  <c r="AS410" i="36"/>
  <c r="DD547" i="36"/>
  <c r="AV329" i="36"/>
  <c r="AV341" i="36"/>
  <c r="Z52" i="36"/>
  <c r="AA51" i="36"/>
  <c r="BX220" i="36"/>
  <c r="BU152" i="36"/>
  <c r="AS548" i="36"/>
  <c r="DD548" i="36"/>
  <c r="AS409" i="36"/>
  <c r="CX490" i="36"/>
  <c r="AX574" i="36"/>
  <c r="AX525" i="36"/>
  <c r="AX477" i="36"/>
  <c r="AX524" i="36"/>
  <c r="BX97" i="36"/>
  <c r="BF728" i="36"/>
  <c r="CF820" i="36"/>
  <c r="DD804" i="36"/>
  <c r="AS815" i="36"/>
  <c r="DD815" i="36"/>
  <c r="BN706" i="36"/>
  <c r="BU680" i="36"/>
  <c r="BT737" i="36"/>
  <c r="AZ97" i="36"/>
  <c r="AV230" i="36"/>
  <c r="AV303" i="36"/>
  <c r="AV304" i="36"/>
  <c r="CW583" i="36"/>
  <c r="CV539" i="36"/>
  <c r="AV500" i="36"/>
  <c r="DH627" i="36"/>
  <c r="DA229" i="36"/>
  <c r="AV795" i="36"/>
  <c r="AW82" i="36"/>
  <c r="BR337" i="36"/>
  <c r="AY254" i="36"/>
  <c r="BR22" i="36"/>
  <c r="CM534" i="36"/>
  <c r="DD403" i="36"/>
  <c r="AS8" i="36"/>
  <c r="CJ142" i="36"/>
  <c r="CI169" i="36"/>
  <c r="BS229" i="36"/>
  <c r="CD599" i="36"/>
  <c r="AT716" i="36"/>
  <c r="BD101" i="36"/>
  <c r="AY180" i="36"/>
  <c r="AZ179" i="36"/>
  <c r="AP180" i="36"/>
  <c r="AQ179" i="36"/>
  <c r="AM265" i="36"/>
  <c r="AL266" i="36"/>
  <c r="AZ152" i="36"/>
  <c r="AZ67" i="36"/>
  <c r="AX615" i="36"/>
  <c r="CU51" i="36"/>
  <c r="AU276" i="36"/>
  <c r="AU235" i="36"/>
  <c r="AU273" i="36"/>
  <c r="AU231" i="36"/>
  <c r="AY785" i="36"/>
  <c r="AX786" i="36"/>
  <c r="BM583" i="36"/>
  <c r="BM670" i="36"/>
  <c r="AW504" i="36"/>
  <c r="AW498" i="36"/>
  <c r="BB59" i="36"/>
  <c r="BC142" i="36"/>
  <c r="BC57" i="36"/>
  <c r="BB169" i="36"/>
  <c r="BB83" i="36"/>
  <c r="BB210" i="36"/>
  <c r="AW203" i="36"/>
  <c r="AV148" i="36"/>
  <c r="AV677" i="36"/>
  <c r="AV676" i="36"/>
  <c r="AV674" i="36"/>
  <c r="AV597" i="36"/>
  <c r="AY632" i="36"/>
  <c r="AX590" i="36"/>
  <c r="CW138" i="36"/>
  <c r="BY539" i="36"/>
  <c r="AV17" i="36"/>
  <c r="BM305" i="36"/>
  <c r="AW418" i="36"/>
  <c r="AW23" i="36"/>
  <c r="AX443" i="36"/>
  <c r="AW400" i="36"/>
  <c r="CI424" i="36"/>
  <c r="AR487" i="36"/>
  <c r="AS486" i="36"/>
  <c r="AV306" i="36"/>
  <c r="CU426" i="36"/>
  <c r="CV442" i="36"/>
  <c r="CU399" i="36"/>
  <c r="CU476" i="36"/>
  <c r="CH254" i="36"/>
  <c r="CD713" i="36"/>
  <c r="CC722" i="36"/>
  <c r="CC721" i="36"/>
  <c r="BH641" i="36"/>
  <c r="BH600" i="36"/>
  <c r="BL346" i="36"/>
  <c r="CQ252" i="36"/>
  <c r="CQ253" i="36"/>
  <c r="CR269" i="36"/>
  <c r="CQ227" i="36"/>
  <c r="CQ296" i="36"/>
  <c r="CQ337" i="36"/>
  <c r="CQ336" i="36"/>
  <c r="CQ295" i="36"/>
  <c r="BK751" i="36"/>
  <c r="R30" i="27"/>
  <c r="R3" i="27"/>
  <c r="R84" i="27"/>
  <c r="AV499" i="29"/>
  <c r="AW499" i="29"/>
  <c r="AX499" i="29"/>
  <c r="AY499" i="29"/>
  <c r="AZ499" i="29"/>
  <c r="BA499" i="29"/>
  <c r="BB499" i="29"/>
  <c r="BC499" i="29"/>
  <c r="AU499" i="29"/>
  <c r="AT499" i="29"/>
  <c r="W586" i="21"/>
  <c r="W583" i="21"/>
  <c r="W523" i="21"/>
  <c r="S584" i="21"/>
  <c r="S583" i="21"/>
  <c r="S523" i="21"/>
  <c r="V523" i="21"/>
  <c r="V585" i="21"/>
  <c r="V583" i="21"/>
  <c r="U523" i="21"/>
  <c r="U585" i="21"/>
  <c r="U583" i="21"/>
  <c r="T584" i="21"/>
  <c r="T583" i="21"/>
  <c r="T523" i="21"/>
  <c r="Q11" i="41"/>
  <c r="J533" i="21"/>
  <c r="M593" i="21"/>
  <c r="J593" i="21"/>
  <c r="J525" i="21"/>
  <c r="M585" i="21"/>
  <c r="R584" i="21"/>
  <c r="R583" i="21"/>
  <c r="R523" i="21"/>
  <c r="M591" i="21"/>
  <c r="J591" i="21"/>
  <c r="J531" i="21"/>
  <c r="M587" i="21"/>
  <c r="J587" i="21"/>
  <c r="J527" i="21"/>
  <c r="O584" i="21"/>
  <c r="O583" i="21"/>
  <c r="Q27" i="41"/>
  <c r="O523" i="21"/>
  <c r="P523" i="21"/>
  <c r="P584" i="21"/>
  <c r="P583" i="21"/>
  <c r="M590" i="21"/>
  <c r="J590" i="21"/>
  <c r="J530" i="21"/>
  <c r="M586" i="21"/>
  <c r="J526" i="21"/>
  <c r="M589" i="21"/>
  <c r="J589" i="21"/>
  <c r="J529" i="21"/>
  <c r="M584" i="21"/>
  <c r="M523" i="21"/>
  <c r="J524" i="21"/>
  <c r="M588" i="21"/>
  <c r="J588" i="21"/>
  <c r="J528" i="21"/>
  <c r="J532" i="21"/>
  <c r="M592" i="21"/>
  <c r="J592" i="21"/>
  <c r="N584" i="21"/>
  <c r="N583" i="21"/>
  <c r="P27" i="41"/>
  <c r="N523" i="21"/>
  <c r="C27" i="41"/>
  <c r="Q523" i="21"/>
  <c r="Q584" i="21"/>
  <c r="Q583" i="21"/>
  <c r="AW825" i="36"/>
  <c r="AS15" i="36"/>
  <c r="DD410" i="36"/>
  <c r="BC129" i="36"/>
  <c r="BC170" i="36"/>
  <c r="AU450" i="36"/>
  <c r="AU452" i="36"/>
  <c r="AW789" i="36"/>
  <c r="AW756" i="36"/>
  <c r="BS22" i="36"/>
  <c r="BK424" i="36"/>
  <c r="DD8" i="36"/>
  <c r="DC8" i="36"/>
  <c r="AV517" i="36"/>
  <c r="AV529" i="36"/>
  <c r="AZ820" i="36"/>
  <c r="AY821" i="36"/>
  <c r="AV361" i="36"/>
  <c r="AY574" i="36"/>
  <c r="AY525" i="36"/>
  <c r="AY477" i="36"/>
  <c r="AY524" i="36"/>
  <c r="CT680" i="36"/>
  <c r="AS566" i="36"/>
  <c r="AS578" i="36"/>
  <c r="AX315" i="36"/>
  <c r="CR252" i="36"/>
  <c r="CR253" i="36"/>
  <c r="CR227" i="36"/>
  <c r="CS269" i="36"/>
  <c r="CR295" i="36"/>
  <c r="CR336" i="36"/>
  <c r="AW401" i="36"/>
  <c r="AZ632" i="36"/>
  <c r="AY590" i="36"/>
  <c r="BN583" i="36"/>
  <c r="BA179" i="36"/>
  <c r="BS279" i="36"/>
  <c r="BS237" i="36"/>
  <c r="BS238" i="36"/>
  <c r="AV827" i="36"/>
  <c r="AV826" i="36"/>
  <c r="AV850" i="36"/>
  <c r="AV824" i="36"/>
  <c r="CG820" i="36"/>
  <c r="AS405" i="36"/>
  <c r="AS10" i="36"/>
  <c r="AS14" i="36"/>
  <c r="BP627" i="36"/>
  <c r="AW638" i="36"/>
  <c r="AW635" i="36"/>
  <c r="AW597" i="36"/>
  <c r="AW625" i="36"/>
  <c r="AW626" i="36"/>
  <c r="AW657" i="36"/>
  <c r="BY179" i="36"/>
  <c r="AW425" i="36"/>
  <c r="CW97" i="36"/>
  <c r="DD550" i="36"/>
  <c r="CG785" i="36"/>
  <c r="CF711" i="36"/>
  <c r="CK438" i="36"/>
  <c r="BX138" i="36"/>
  <c r="CL490" i="36"/>
  <c r="CO830" i="36"/>
  <c r="CO722" i="36"/>
  <c r="CO721" i="36"/>
  <c r="BX169" i="36"/>
  <c r="BY142" i="36"/>
  <c r="AZ138" i="36"/>
  <c r="BT229" i="36"/>
  <c r="AX451" i="36"/>
  <c r="BA442" i="36"/>
  <c r="BI795" i="36"/>
  <c r="BY305" i="36"/>
  <c r="AX712" i="36"/>
  <c r="CK346" i="36"/>
  <c r="AT389" i="36"/>
  <c r="CY486" i="36"/>
  <c r="AY696" i="36"/>
  <c r="AV62" i="36"/>
  <c r="AW30" i="36"/>
  <c r="CT193" i="36"/>
  <c r="BI641" i="36"/>
  <c r="BI599" i="36"/>
  <c r="BI600" i="36"/>
  <c r="BI761" i="36"/>
  <c r="AW279" i="36"/>
  <c r="AW237" i="36"/>
  <c r="AW238" i="36"/>
  <c r="BV697" i="36"/>
  <c r="BV696" i="36"/>
  <c r="AV650" i="36"/>
  <c r="BD706" i="36"/>
  <c r="CT615" i="36"/>
  <c r="CU631" i="36"/>
  <c r="CT589" i="36"/>
  <c r="BY438" i="36"/>
  <c r="CQ229" i="36"/>
  <c r="AV235" i="36"/>
  <c r="AV273" i="36"/>
  <c r="AV231" i="36"/>
  <c r="AV276" i="36"/>
  <c r="AQ433" i="36"/>
  <c r="CW666" i="36"/>
  <c r="CF251" i="36"/>
  <c r="CS697" i="36"/>
  <c r="CS696" i="36"/>
  <c r="BH599" i="36"/>
  <c r="DD486" i="36"/>
  <c r="AS487" i="36"/>
  <c r="DD487" i="36"/>
  <c r="BA97" i="36"/>
  <c r="AX638" i="36"/>
  <c r="AX635" i="36"/>
  <c r="AX597" i="36"/>
  <c r="AZ539" i="36"/>
  <c r="AY573" i="36"/>
  <c r="CF641" i="36"/>
  <c r="CF600" i="36"/>
  <c r="AV266" i="36"/>
  <c r="CK265" i="36"/>
  <c r="BM265" i="36"/>
  <c r="AT437" i="36"/>
  <c r="AT48" i="36"/>
  <c r="BH237" i="36"/>
  <c r="AU622" i="36"/>
  <c r="BC490" i="36"/>
  <c r="CK486" i="36"/>
  <c r="CE713" i="36"/>
  <c r="CI84" i="36"/>
  <c r="AV377" i="36"/>
  <c r="AL52" i="36"/>
  <c r="AM51" i="36"/>
  <c r="AX830" i="36"/>
  <c r="BL785" i="36"/>
  <c r="AS50" i="36"/>
  <c r="DD50" i="36"/>
  <c r="DD48" i="36"/>
  <c r="BN97" i="36"/>
  <c r="BT251" i="36"/>
  <c r="BR721" i="36"/>
  <c r="AW357" i="36"/>
  <c r="AW393" i="36"/>
  <c r="AW359" i="36"/>
  <c r="AW392" i="36"/>
  <c r="AW395" i="36"/>
  <c r="AY424" i="36"/>
  <c r="AT436" i="36"/>
  <c r="AT47" i="36"/>
  <c r="BV820" i="36"/>
  <c r="CB627" i="36"/>
  <c r="CW183" i="36"/>
  <c r="CV210" i="36"/>
  <c r="CV84" i="36"/>
  <c r="CV33" i="36"/>
  <c r="AV215" i="36"/>
  <c r="AY752" i="36"/>
  <c r="AZ751" i="36"/>
  <c r="AY711" i="36"/>
  <c r="BM486" i="36"/>
  <c r="BM220" i="36"/>
  <c r="CN670" i="36"/>
  <c r="CA534" i="36"/>
  <c r="AU415" i="36"/>
  <c r="AU20" i="36"/>
  <c r="CL305" i="36"/>
  <c r="AY253" i="36"/>
  <c r="AY227" i="36"/>
  <c r="AZ269" i="36"/>
  <c r="AY295" i="36"/>
  <c r="AY336" i="36"/>
  <c r="BO534" i="36"/>
  <c r="CK310" i="36"/>
  <c r="CB706" i="36"/>
  <c r="BX631" i="36"/>
  <c r="BW589" i="36"/>
  <c r="AX424" i="36"/>
  <c r="BI737" i="36"/>
  <c r="BJ820" i="36"/>
  <c r="BI711" i="36"/>
  <c r="BW320" i="36"/>
  <c r="CS591" i="36"/>
  <c r="AT689" i="36"/>
  <c r="CC583" i="36"/>
  <c r="AV721" i="36"/>
  <c r="AU718" i="36"/>
  <c r="AU717" i="36"/>
  <c r="BU641" i="36"/>
  <c r="BU600" i="36"/>
  <c r="AX317" i="36"/>
  <c r="AX316" i="36"/>
  <c r="AX314" i="36"/>
  <c r="BZ265" i="36"/>
  <c r="BT296" i="36"/>
  <c r="BR237" i="36"/>
  <c r="BB310" i="36"/>
  <c r="AW228" i="36"/>
  <c r="AW230" i="36"/>
  <c r="AW303" i="36"/>
  <c r="AW304" i="36"/>
  <c r="AY443" i="36"/>
  <c r="AX400" i="36"/>
  <c r="AY614" i="36"/>
  <c r="AU234" i="36"/>
  <c r="AU275" i="36"/>
  <c r="AN265" i="36"/>
  <c r="AM266" i="36"/>
  <c r="AY618" i="36"/>
  <c r="AX592" i="36"/>
  <c r="AX628" i="36"/>
  <c r="AX664" i="36"/>
  <c r="AX665" i="36"/>
  <c r="BA491" i="36"/>
  <c r="BX486" i="36"/>
  <c r="AY203" i="36"/>
  <c r="AY184" i="36"/>
  <c r="AW6" i="36"/>
  <c r="AX219" i="36"/>
  <c r="AX218" i="36"/>
  <c r="CE737" i="36"/>
  <c r="CG696" i="36"/>
  <c r="CG697" i="36"/>
  <c r="CJ476" i="36"/>
  <c r="AU19" i="36"/>
  <c r="AU364" i="36"/>
  <c r="AU360" i="36"/>
  <c r="BB346" i="36"/>
  <c r="BM490" i="36"/>
  <c r="BI337" i="36"/>
  <c r="AW31" i="36"/>
  <c r="AV358" i="36"/>
  <c r="CF761" i="36"/>
  <c r="AY426" i="36"/>
  <c r="AU544" i="36"/>
  <c r="AU582" i="36"/>
  <c r="AU434" i="36"/>
  <c r="AU581" i="36"/>
  <c r="AU403" i="36"/>
  <c r="CU84" i="36"/>
  <c r="BJ697" i="36"/>
  <c r="BJ696" i="36"/>
  <c r="BB352" i="36"/>
  <c r="AX713" i="36"/>
  <c r="BW574" i="36"/>
  <c r="BW525" i="36"/>
  <c r="BW477" i="36"/>
  <c r="BW573" i="36"/>
  <c r="BD193" i="36"/>
  <c r="BO666" i="36"/>
  <c r="CH33" i="36"/>
  <c r="CL601" i="36"/>
  <c r="CM706" i="36"/>
  <c r="BK254" i="36"/>
  <c r="AT717" i="36"/>
  <c r="AX251" i="36"/>
  <c r="CZ627" i="36"/>
  <c r="AZ220" i="36"/>
  <c r="AY221" i="36"/>
  <c r="BM438" i="36"/>
  <c r="CF296" i="36"/>
  <c r="BV591" i="36"/>
  <c r="BY183" i="36"/>
  <c r="BX210" i="36"/>
  <c r="BH713" i="36"/>
  <c r="AT529" i="36"/>
  <c r="AW677" i="36"/>
  <c r="AW676" i="36"/>
  <c r="AW674" i="36"/>
  <c r="AZ265" i="36"/>
  <c r="AT850" i="36"/>
  <c r="BW152" i="36"/>
  <c r="AW162" i="36"/>
  <c r="AW174" i="36"/>
  <c r="CQ251" i="36"/>
  <c r="BN305" i="36"/>
  <c r="BN670" i="36"/>
  <c r="AX795" i="36"/>
  <c r="AX501" i="36"/>
  <c r="DA279" i="36"/>
  <c r="DA237" i="36"/>
  <c r="DA238" i="36"/>
  <c r="CW539" i="36"/>
  <c r="CY490" i="36"/>
  <c r="BG830" i="36"/>
  <c r="BG722" i="36"/>
  <c r="BG721" i="36"/>
  <c r="AX636" i="36"/>
  <c r="AX598" i="36"/>
  <c r="AX594" i="36"/>
  <c r="CP279" i="36"/>
  <c r="CP238" i="36"/>
  <c r="BJ253" i="36"/>
  <c r="BB111" i="36"/>
  <c r="AY102" i="36"/>
  <c r="AX58" i="36"/>
  <c r="CX352" i="36"/>
  <c r="BN142" i="36"/>
  <c r="AW187" i="36"/>
  <c r="AW190" i="36"/>
  <c r="AW189" i="36"/>
  <c r="BD583" i="36"/>
  <c r="BW680" i="36"/>
  <c r="AG306" i="36"/>
  <c r="DC306" i="36"/>
  <c r="DC305" i="36"/>
  <c r="CG591" i="36"/>
  <c r="CJ574" i="36"/>
  <c r="CJ525" i="36"/>
  <c r="CJ477" i="36"/>
  <c r="BI279" i="36"/>
  <c r="BI237" i="36"/>
  <c r="BI238" i="36"/>
  <c r="AY147" i="36"/>
  <c r="AZ180" i="36"/>
  <c r="AY177" i="36"/>
  <c r="AY178" i="36"/>
  <c r="AZ51" i="36"/>
  <c r="AY315" i="36"/>
  <c r="AY344" i="36"/>
  <c r="AY345" i="36"/>
  <c r="BT252" i="36"/>
  <c r="AY485" i="36"/>
  <c r="AY532" i="36"/>
  <c r="AY484" i="36"/>
  <c r="AY533" i="36"/>
  <c r="AZ487" i="36"/>
  <c r="AO306" i="36"/>
  <c r="AP305" i="36"/>
  <c r="BS795" i="36"/>
  <c r="AV359" i="36"/>
  <c r="AV64" i="36"/>
  <c r="CK220" i="36"/>
  <c r="AU495" i="36"/>
  <c r="BJ591" i="36"/>
  <c r="AZ18" i="36"/>
  <c r="AX737" i="36"/>
  <c r="BE210" i="36"/>
  <c r="BE84" i="36"/>
  <c r="DE206" i="36"/>
  <c r="BF183" i="36"/>
  <c r="BE169" i="36"/>
  <c r="AT233" i="36"/>
  <c r="CN666" i="36"/>
  <c r="AZ33" i="36"/>
  <c r="AU804" i="36"/>
  <c r="AU815" i="36"/>
  <c r="AZ394" i="36"/>
  <c r="AX229" i="36"/>
  <c r="BY346" i="36"/>
  <c r="AX221" i="36"/>
  <c r="CF229" i="36"/>
  <c r="BC193" i="36"/>
  <c r="BD666" i="36"/>
  <c r="AW500" i="36"/>
  <c r="AW96" i="36"/>
  <c r="AW95" i="36"/>
  <c r="DD14" i="36"/>
  <c r="BX490" i="36"/>
  <c r="BW524" i="36"/>
  <c r="DA534" i="36"/>
  <c r="AW728" i="36"/>
  <c r="AW22" i="36"/>
  <c r="BA152" i="36"/>
  <c r="AV22" i="36"/>
  <c r="AV594" i="36"/>
  <c r="CX310" i="36"/>
  <c r="DD452" i="36"/>
  <c r="BJ251" i="36"/>
  <c r="AT174" i="36"/>
  <c r="BY51" i="36"/>
  <c r="BX394" i="36"/>
  <c r="AX790" i="36"/>
  <c r="CD795" i="36"/>
  <c r="CD722" i="36"/>
  <c r="CW442" i="36"/>
  <c r="CV399" i="36"/>
  <c r="CV476" i="36"/>
  <c r="CV426" i="36"/>
  <c r="BL601" i="36"/>
  <c r="AY786" i="36"/>
  <c r="AZ785" i="36"/>
  <c r="CV51" i="36"/>
  <c r="CJ169" i="36"/>
  <c r="CK142" i="36"/>
  <c r="AT329" i="36"/>
  <c r="AV264" i="36"/>
  <c r="AV263" i="36"/>
  <c r="BJ320" i="36"/>
  <c r="CD830" i="36"/>
  <c r="AV23" i="36"/>
  <c r="AW636" i="36"/>
  <c r="AW598" i="36"/>
  <c r="AW594" i="36"/>
  <c r="CL97" i="36"/>
  <c r="BJ229" i="36"/>
  <c r="BS830" i="36"/>
  <c r="AX82" i="36"/>
  <c r="BL152" i="36"/>
  <c r="AG265" i="36"/>
  <c r="AF266" i="36"/>
  <c r="CH615" i="36"/>
  <c r="CI631" i="36"/>
  <c r="CH589" i="36"/>
  <c r="CL442" i="36"/>
  <c r="CK399" i="36"/>
  <c r="AN395" i="36"/>
  <c r="AO394" i="36"/>
  <c r="AY591" i="36"/>
  <c r="CW394" i="36"/>
  <c r="CW438" i="36"/>
  <c r="BM394" i="36"/>
  <c r="DD517" i="36"/>
  <c r="AR529" i="36"/>
  <c r="DD529" i="36"/>
  <c r="AT548" i="36"/>
  <c r="AT409" i="36"/>
  <c r="CR641" i="36"/>
  <c r="CR599" i="36"/>
  <c r="CR600" i="36"/>
  <c r="BL631" i="36"/>
  <c r="BK589" i="36"/>
  <c r="AR9" i="36"/>
  <c r="BK601" i="36"/>
  <c r="CL539" i="36"/>
  <c r="BY442" i="36"/>
  <c r="BX399" i="36"/>
  <c r="CK394" i="36"/>
  <c r="AT20" i="36"/>
  <c r="AV792" i="36"/>
  <c r="AV789" i="36"/>
  <c r="AU63" i="36"/>
  <c r="CV179" i="36"/>
  <c r="CV169" i="36"/>
  <c r="CW142" i="36"/>
  <c r="BM179" i="36"/>
  <c r="CG252" i="36"/>
  <c r="CG253" i="36"/>
  <c r="CH269" i="36"/>
  <c r="CG227" i="36"/>
  <c r="CG296" i="36"/>
  <c r="CG337" i="36"/>
  <c r="CG295" i="36"/>
  <c r="CG336" i="36"/>
  <c r="BL399" i="36"/>
  <c r="AY139" i="36"/>
  <c r="AX60" i="36"/>
  <c r="AX136" i="36"/>
  <c r="AX137" i="36"/>
  <c r="BH737" i="36"/>
  <c r="CI51" i="36"/>
  <c r="AR406" i="36"/>
  <c r="AR12" i="36"/>
  <c r="BC486" i="36"/>
  <c r="AS404" i="36"/>
  <c r="AS9" i="36"/>
  <c r="AS407" i="36"/>
  <c r="DD407" i="36"/>
  <c r="DD408" i="36"/>
  <c r="AS13" i="36"/>
  <c r="DD13" i="36"/>
  <c r="AW761" i="36"/>
  <c r="AW722" i="36"/>
  <c r="AW721" i="36"/>
  <c r="CE279" i="36"/>
  <c r="CE237" i="36"/>
  <c r="CE238" i="36"/>
  <c r="BC81" i="36"/>
  <c r="CX583" i="36"/>
  <c r="AR438" i="36"/>
  <c r="AQ439" i="36"/>
  <c r="AV447" i="36"/>
  <c r="AV402" i="36"/>
  <c r="AV7" i="36"/>
  <c r="AV755" i="36"/>
  <c r="AV719" i="36"/>
  <c r="AV758" i="36"/>
  <c r="DD549" i="36"/>
  <c r="BA67" i="36"/>
  <c r="AS436" i="36"/>
  <c r="DD436" i="36"/>
  <c r="DD434" i="36"/>
  <c r="AS47" i="36"/>
  <c r="AX677" i="36"/>
  <c r="AX676" i="36"/>
  <c r="AX674" i="36"/>
  <c r="AY540" i="36"/>
  <c r="AT8" i="36"/>
  <c r="BA627" i="36"/>
  <c r="CW305" i="36"/>
  <c r="BL751" i="36"/>
  <c r="CU574" i="36"/>
  <c r="CU525" i="36"/>
  <c r="CU477" i="36"/>
  <c r="CU524" i="36"/>
  <c r="AV596" i="36"/>
  <c r="AV593" i="36"/>
  <c r="BM346" i="36"/>
  <c r="CU424" i="36"/>
  <c r="BD142" i="36"/>
  <c r="BD57" i="36"/>
  <c r="BC83" i="36"/>
  <c r="BC169" i="36"/>
  <c r="BC210" i="36"/>
  <c r="BE101" i="36"/>
  <c r="AY33" i="36"/>
  <c r="CU573" i="36"/>
  <c r="AV236" i="36"/>
  <c r="AV274" i="36"/>
  <c r="AV232" i="36"/>
  <c r="BO706" i="36"/>
  <c r="BK152" i="36"/>
  <c r="BF22" i="36"/>
  <c r="BY97" i="36"/>
  <c r="BY220" i="36"/>
  <c r="BF721" i="36"/>
  <c r="AT89" i="36"/>
  <c r="AT121" i="36"/>
  <c r="AV414" i="36"/>
  <c r="BK252" i="36"/>
  <c r="BK253" i="36"/>
  <c r="BL269" i="36"/>
  <c r="BK227" i="36"/>
  <c r="BK296" i="36"/>
  <c r="BK337" i="36"/>
  <c r="BK295" i="36"/>
  <c r="BS721" i="36"/>
  <c r="BU737" i="36"/>
  <c r="BU713" i="36"/>
  <c r="BV785" i="36"/>
  <c r="AX641" i="36"/>
  <c r="AX599" i="36"/>
  <c r="AX600" i="36"/>
  <c r="BB438" i="36"/>
  <c r="AX86" i="36"/>
  <c r="AT612" i="36"/>
  <c r="BY670" i="36"/>
  <c r="CG615" i="36"/>
  <c r="CJ424" i="36"/>
  <c r="AP138" i="36"/>
  <c r="AO139" i="36"/>
  <c r="CJ138" i="36"/>
  <c r="AX149" i="36"/>
  <c r="AX146" i="36"/>
  <c r="BA631" i="36"/>
  <c r="AZ589" i="36"/>
  <c r="AZ697" i="36"/>
  <c r="DD15" i="36"/>
  <c r="CK583" i="36"/>
  <c r="BK51" i="36"/>
  <c r="CK680" i="36"/>
  <c r="BL138" i="36"/>
  <c r="BK680" i="36"/>
  <c r="AW827" i="36"/>
  <c r="AW826" i="36"/>
  <c r="AW850" i="36"/>
  <c r="AW824" i="36"/>
  <c r="BW426" i="36"/>
  <c r="BD84" i="36"/>
  <c r="DE207" i="36"/>
  <c r="AQ29" i="36"/>
  <c r="AV498" i="36"/>
  <c r="CI751" i="36"/>
  <c r="AZ305" i="36"/>
  <c r="AT419" i="36"/>
  <c r="CK18" i="36"/>
  <c r="BL336" i="36"/>
  <c r="BL254" i="36"/>
  <c r="BM310" i="36"/>
  <c r="CT152" i="36"/>
  <c r="AX296" i="36"/>
  <c r="AX5" i="36"/>
  <c r="DD121" i="36"/>
  <c r="AS133" i="36"/>
  <c r="DD133" i="36"/>
  <c r="BJ574" i="36"/>
  <c r="BJ525" i="36"/>
  <c r="BJ477" i="36"/>
  <c r="BJ476" i="36"/>
  <c r="BJ524" i="36"/>
  <c r="CF252" i="36"/>
  <c r="BN442" i="36"/>
  <c r="AZ535" i="36"/>
  <c r="AY535" i="36"/>
  <c r="AW106" i="36"/>
  <c r="AW62" i="36"/>
  <c r="AW66" i="36"/>
  <c r="CL179" i="36"/>
  <c r="BY310" i="36"/>
  <c r="CW670" i="36"/>
  <c r="DD409" i="36"/>
  <c r="BZ666" i="36"/>
  <c r="AY143" i="36"/>
  <c r="AS300" i="36"/>
  <c r="DD300" i="36"/>
  <c r="DD288" i="36"/>
  <c r="AU584" i="36"/>
  <c r="AU435" i="36"/>
  <c r="BZ539" i="36"/>
  <c r="CJ210" i="36"/>
  <c r="CJ84" i="36"/>
  <c r="CK183" i="36"/>
  <c r="AW316" i="36"/>
  <c r="AU89" i="36"/>
  <c r="AU121" i="36"/>
  <c r="AU133" i="36"/>
  <c r="AW714" i="36"/>
  <c r="BA670" i="36"/>
  <c r="CM352" i="36"/>
  <c r="AZ671" i="36"/>
  <c r="DD734" i="36"/>
  <c r="AS743" i="36"/>
  <c r="DD743" i="36"/>
  <c r="CX138" i="36"/>
  <c r="CD728" i="36"/>
  <c r="AV689" i="36"/>
  <c r="AV701" i="36"/>
  <c r="BB69" i="36"/>
  <c r="BB152" i="36"/>
  <c r="AQ180" i="36"/>
  <c r="AR179" i="36"/>
  <c r="BC59" i="36"/>
  <c r="CN534" i="36"/>
  <c r="AV228" i="36"/>
  <c r="AV6" i="36"/>
  <c r="AW306" i="36"/>
  <c r="AA52" i="36"/>
  <c r="AB51" i="36"/>
  <c r="AS24" i="36"/>
  <c r="DD24" i="36"/>
  <c r="DD419" i="36"/>
  <c r="AW599" i="36"/>
  <c r="CX265" i="36"/>
  <c r="AV429" i="36"/>
  <c r="AV35" i="36"/>
  <c r="BT728" i="36"/>
  <c r="BT22" i="36"/>
  <c r="BT795" i="36"/>
  <c r="CV18" i="36"/>
  <c r="CV220" i="36"/>
  <c r="CI193" i="36"/>
  <c r="CJ426" i="36"/>
  <c r="BL539" i="36"/>
  <c r="BK573" i="36"/>
  <c r="BK426" i="36"/>
  <c r="BK399" i="36"/>
  <c r="AY839" i="36"/>
  <c r="BW751" i="36"/>
  <c r="BV711" i="36"/>
  <c r="AV756" i="36"/>
  <c r="AV720" i="36"/>
  <c r="AY675" i="36"/>
  <c r="AX704" i="36"/>
  <c r="AX705" i="36"/>
  <c r="BU252" i="36"/>
  <c r="BU253" i="36"/>
  <c r="BU227" i="36"/>
  <c r="BU296" i="36"/>
  <c r="BU337" i="36"/>
  <c r="BV269" i="36"/>
  <c r="BU295" i="36"/>
  <c r="BU336" i="36"/>
  <c r="CP337" i="36"/>
  <c r="AY476" i="36"/>
  <c r="AW795" i="36"/>
  <c r="CW346" i="36"/>
  <c r="AP97" i="36"/>
  <c r="AO98" i="36"/>
  <c r="AT550" i="36"/>
  <c r="AT408" i="36"/>
  <c r="BT761" i="36"/>
  <c r="BT722" i="36"/>
  <c r="BK320" i="36"/>
  <c r="AS26" i="36"/>
  <c r="DD26" i="36"/>
  <c r="DD421" i="36"/>
  <c r="AS80" i="36"/>
  <c r="DD89" i="36"/>
  <c r="AX736" i="36"/>
  <c r="CF253" i="36"/>
  <c r="AU358" i="36"/>
  <c r="CD237" i="36"/>
  <c r="AW108" i="36"/>
  <c r="AW65" i="36"/>
  <c r="AW105" i="36"/>
  <c r="CH193" i="36"/>
  <c r="CH152" i="36"/>
  <c r="BJ424" i="36"/>
  <c r="DD405" i="36"/>
  <c r="AR10" i="36"/>
  <c r="DD10" i="36"/>
  <c r="AX504" i="36"/>
  <c r="AX453" i="36"/>
  <c r="AS250" i="36"/>
  <c r="DD259" i="36"/>
  <c r="CV320" i="36"/>
  <c r="G98" i="14"/>
  <c r="J586" i="21"/>
  <c r="W534" i="21"/>
  <c r="L27" i="41"/>
  <c r="L28" i="41"/>
  <c r="W594" i="21"/>
  <c r="Y27" i="41"/>
  <c r="Y28" i="41"/>
  <c r="V27" i="41"/>
  <c r="V28" i="41"/>
  <c r="T594" i="21"/>
  <c r="W27" i="41"/>
  <c r="U594" i="21"/>
  <c r="J585" i="21"/>
  <c r="J27" i="41"/>
  <c r="U534" i="21"/>
  <c r="I27" i="41"/>
  <c r="I28" i="41"/>
  <c r="T534" i="21"/>
  <c r="X27" i="41"/>
  <c r="X28" i="41"/>
  <c r="V594" i="21"/>
  <c r="K27" i="41"/>
  <c r="K28" i="41"/>
  <c r="V534" i="21"/>
  <c r="H27" i="41"/>
  <c r="H28" i="41"/>
  <c r="S534" i="21"/>
  <c r="U27" i="41"/>
  <c r="U28" i="41"/>
  <c r="S594" i="21"/>
  <c r="Q10" i="41"/>
  <c r="Q28" i="41"/>
  <c r="T27" i="41"/>
  <c r="R594" i="21"/>
  <c r="D27" i="41"/>
  <c r="D28" i="41"/>
  <c r="O534" i="21"/>
  <c r="G27" i="41"/>
  <c r="G28" i="41"/>
  <c r="R534" i="21"/>
  <c r="E27" i="41"/>
  <c r="E28" i="41"/>
  <c r="P534" i="21"/>
  <c r="S27" i="41"/>
  <c r="S28" i="41"/>
  <c r="Q594" i="21"/>
  <c r="J584" i="21"/>
  <c r="M583" i="21"/>
  <c r="F27" i="41"/>
  <c r="F28" i="41"/>
  <c r="Q534" i="21"/>
  <c r="B27" i="41"/>
  <c r="N27" i="41"/>
  <c r="J523" i="21"/>
  <c r="R27" i="41"/>
  <c r="R28" i="41"/>
  <c r="P594" i="21"/>
  <c r="BJ795" i="36"/>
  <c r="AT52" i="36"/>
  <c r="AU8" i="36"/>
  <c r="AU52" i="36"/>
  <c r="AU439" i="36"/>
  <c r="AU389" i="36"/>
  <c r="AX498" i="36"/>
  <c r="AV456" i="36"/>
  <c r="BL426" i="36"/>
  <c r="BM138" i="36"/>
  <c r="AX689" i="36"/>
  <c r="AX701" i="36"/>
  <c r="BL574" i="36"/>
  <c r="BL525" i="36"/>
  <c r="BL477" i="36"/>
  <c r="BL476" i="36"/>
  <c r="CY352" i="36"/>
  <c r="BB254" i="36"/>
  <c r="BC310" i="36"/>
  <c r="AY252" i="36"/>
  <c r="AZ752" i="36"/>
  <c r="AZ711" i="36"/>
  <c r="BA751" i="36"/>
  <c r="CL265" i="36"/>
  <c r="AW790" i="36"/>
  <c r="AW414" i="36"/>
  <c r="CR296" i="36"/>
  <c r="AW64" i="36"/>
  <c r="AT407" i="36"/>
  <c r="AT13" i="36"/>
  <c r="BU229" i="36"/>
  <c r="BX751" i="36"/>
  <c r="BL573" i="36"/>
  <c r="BM539" i="36"/>
  <c r="BC111" i="36"/>
  <c r="BC68" i="36"/>
  <c r="CD22" i="36"/>
  <c r="BA671" i="36"/>
  <c r="CN352" i="36"/>
  <c r="CV601" i="36"/>
  <c r="BM254" i="36"/>
  <c r="BN310" i="36"/>
  <c r="BL51" i="36"/>
  <c r="BB631" i="36"/>
  <c r="BA589" i="36"/>
  <c r="BA697" i="36"/>
  <c r="AQ138" i="36"/>
  <c r="AP139" i="36"/>
  <c r="BZ220" i="36"/>
  <c r="BQ101" i="36"/>
  <c r="BF101" i="36"/>
  <c r="BE57" i="36"/>
  <c r="DE101" i="36"/>
  <c r="BD169" i="36"/>
  <c r="DE165" i="36"/>
  <c r="DE142" i="36"/>
  <c r="BD210" i="36"/>
  <c r="AS49" i="36"/>
  <c r="DD49" i="36"/>
  <c r="DD47" i="36"/>
  <c r="AR439" i="36"/>
  <c r="AS438" i="36"/>
  <c r="AR11" i="36"/>
  <c r="CG251" i="36"/>
  <c r="BL615" i="36"/>
  <c r="BM631" i="36"/>
  <c r="BL589" i="36"/>
  <c r="CK424" i="36"/>
  <c r="CJ152" i="36"/>
  <c r="BL680" i="36"/>
  <c r="CX442" i="36"/>
  <c r="CW426" i="36"/>
  <c r="CW399" i="36"/>
  <c r="CW476" i="36"/>
  <c r="CW320" i="36"/>
  <c r="CU680" i="36"/>
  <c r="DE204" i="36"/>
  <c r="BJ641" i="36"/>
  <c r="BJ600" i="36"/>
  <c r="AV63" i="36"/>
  <c r="CG641" i="36"/>
  <c r="CG599" i="36"/>
  <c r="CG600" i="36"/>
  <c r="AW215" i="36"/>
  <c r="AY86" i="36"/>
  <c r="BA265" i="36"/>
  <c r="BY210" i="36"/>
  <c r="BY84" i="36"/>
  <c r="BZ183" i="36"/>
  <c r="AX30" i="36"/>
  <c r="CN706" i="36"/>
  <c r="AX761" i="36"/>
  <c r="AX722" i="36"/>
  <c r="BJ761" i="36"/>
  <c r="AW236" i="36"/>
  <c r="AW274" i="36"/>
  <c r="BK820" i="36"/>
  <c r="BJ711" i="36"/>
  <c r="BW697" i="36"/>
  <c r="BW696" i="36"/>
  <c r="AY251" i="36"/>
  <c r="AY713" i="36"/>
  <c r="BU830" i="36"/>
  <c r="BM785" i="36"/>
  <c r="AX596" i="36"/>
  <c r="AX595" i="36"/>
  <c r="AX593" i="36"/>
  <c r="BE706" i="36"/>
  <c r="AZ320" i="36"/>
  <c r="CL346" i="36"/>
  <c r="CU193" i="36"/>
  <c r="BB442" i="36"/>
  <c r="BT279" i="36"/>
  <c r="BT237" i="36"/>
  <c r="BT238" i="36"/>
  <c r="BY138" i="36"/>
  <c r="CF737" i="36"/>
  <c r="AW637" i="36"/>
  <c r="AW429" i="36"/>
  <c r="CR251" i="36"/>
  <c r="AS260" i="36"/>
  <c r="DD260" i="36"/>
  <c r="DD250" i="36"/>
  <c r="BB627" i="36"/>
  <c r="AV791" i="36"/>
  <c r="DI534" i="36"/>
  <c r="CA265" i="36"/>
  <c r="AX357" i="36"/>
  <c r="AX392" i="36"/>
  <c r="AX393" i="36"/>
  <c r="CL486" i="36"/>
  <c r="BB97" i="36"/>
  <c r="AZ675" i="36"/>
  <c r="AY705" i="36"/>
  <c r="AY704" i="36"/>
  <c r="AY707" i="36"/>
  <c r="AR180" i="36"/>
  <c r="AS179" i="36"/>
  <c r="AS180" i="36"/>
  <c r="DD180" i="36"/>
  <c r="CJ193" i="36"/>
  <c r="CX670" i="36"/>
  <c r="BL320" i="36"/>
  <c r="BA305" i="36"/>
  <c r="AZ591" i="36"/>
  <c r="AT622" i="36"/>
  <c r="BV737" i="36"/>
  <c r="BW785" i="36"/>
  <c r="BK229" i="36"/>
  <c r="BD83" i="36"/>
  <c r="BC69" i="36"/>
  <c r="AV757" i="36"/>
  <c r="CY583" i="36"/>
  <c r="CJ51" i="36"/>
  <c r="CW179" i="36"/>
  <c r="BK615" i="36"/>
  <c r="AV89" i="36"/>
  <c r="AV121" i="36"/>
  <c r="AV133" i="36"/>
  <c r="CM442" i="36"/>
  <c r="CL399" i="36"/>
  <c r="CL476" i="36"/>
  <c r="CD721" i="36"/>
  <c r="CX254" i="36"/>
  <c r="CY310" i="36"/>
  <c r="CU601" i="36"/>
  <c r="BE666" i="36"/>
  <c r="AU742" i="36"/>
  <c r="AU734" i="36"/>
  <c r="AU743" i="36"/>
  <c r="AU770" i="36"/>
  <c r="AU781" i="36"/>
  <c r="AY451" i="36"/>
  <c r="CV573" i="36"/>
  <c r="BO670" i="36"/>
  <c r="BX193" i="36"/>
  <c r="BN438" i="36"/>
  <c r="BN490" i="36"/>
  <c r="AX187" i="36"/>
  <c r="AX190" i="36"/>
  <c r="BY486" i="36"/>
  <c r="AX418" i="36"/>
  <c r="BA254" i="36"/>
  <c r="BA33" i="36"/>
  <c r="BU599" i="36"/>
  <c r="AT701" i="36"/>
  <c r="BI728" i="36"/>
  <c r="BI22" i="36"/>
  <c r="BI713" i="36"/>
  <c r="BW591" i="36"/>
  <c r="CJ320" i="36"/>
  <c r="CM680" i="36"/>
  <c r="AY712" i="36"/>
  <c r="BO97" i="36"/>
  <c r="BD490" i="36"/>
  <c r="CZ486" i="36"/>
  <c r="AZ424" i="36"/>
  <c r="AX675" i="36"/>
  <c r="BQ627" i="36"/>
  <c r="BB179" i="36"/>
  <c r="BA618" i="36"/>
  <c r="BA632" i="36"/>
  <c r="AZ590" i="36"/>
  <c r="AW415" i="36"/>
  <c r="AW20" i="36"/>
  <c r="AW447" i="36"/>
  <c r="AW402" i="36"/>
  <c r="CR229" i="36"/>
  <c r="AW61" i="36"/>
  <c r="AU437" i="36"/>
  <c r="AU48" i="36"/>
  <c r="BK591" i="36"/>
  <c r="CM97" i="36"/>
  <c r="CF279" i="36"/>
  <c r="CF238" i="36"/>
  <c r="CF337" i="36"/>
  <c r="AX728" i="36"/>
  <c r="AX22" i="36"/>
  <c r="CB534" i="36"/>
  <c r="CX666" i="36"/>
  <c r="AZ315" i="36"/>
  <c r="AZ345" i="36"/>
  <c r="AZ344" i="36"/>
  <c r="AZ347" i="36"/>
  <c r="BZ179" i="36"/>
  <c r="CF830" i="36"/>
  <c r="AW107" i="36"/>
  <c r="BV253" i="36"/>
  <c r="BV227" i="36"/>
  <c r="BV296" i="36"/>
  <c r="BV337" i="36"/>
  <c r="BW269" i="36"/>
  <c r="BV252" i="36"/>
  <c r="BV295" i="36"/>
  <c r="BV336" i="36"/>
  <c r="AY680" i="36"/>
  <c r="AT804" i="36"/>
  <c r="CW220" i="36"/>
  <c r="AX714" i="36"/>
  <c r="CK210" i="36"/>
  <c r="CK84" i="36"/>
  <c r="CL183" i="36"/>
  <c r="CA539" i="36"/>
  <c r="BX254" i="36"/>
  <c r="BO442" i="36"/>
  <c r="AQ46" i="36"/>
  <c r="AQ44" i="36"/>
  <c r="AU419" i="36"/>
  <c r="AU421" i="36"/>
  <c r="AU26" i="36"/>
  <c r="AZ615" i="36"/>
  <c r="BU728" i="36"/>
  <c r="BU722" i="36"/>
  <c r="BL252" i="36"/>
  <c r="BL253" i="36"/>
  <c r="BL227" i="36"/>
  <c r="BL296" i="36"/>
  <c r="BL337" i="36"/>
  <c r="BM269" i="36"/>
  <c r="BM336" i="36"/>
  <c r="BL295" i="36"/>
  <c r="AT133" i="36"/>
  <c r="BZ97" i="36"/>
  <c r="BD59" i="36"/>
  <c r="AV595" i="36"/>
  <c r="BM751" i="36"/>
  <c r="AV715" i="36"/>
  <c r="AV718" i="36"/>
  <c r="AV717" i="36"/>
  <c r="AS406" i="36"/>
  <c r="DD406" i="36"/>
  <c r="AS12" i="36"/>
  <c r="DD12" i="36"/>
  <c r="AX105" i="36"/>
  <c r="AX108" i="36"/>
  <c r="AX107" i="36"/>
  <c r="AX65" i="36"/>
  <c r="BN179" i="36"/>
  <c r="CL394" i="36"/>
  <c r="BZ442" i="36"/>
  <c r="BY399" i="36"/>
  <c r="BU761" i="36"/>
  <c r="AY641" i="36"/>
  <c r="AY600" i="36"/>
  <c r="CK426" i="36"/>
  <c r="DC265" i="36"/>
  <c r="AG266" i="36"/>
  <c r="DC266" i="36"/>
  <c r="CW51" i="36"/>
  <c r="BX426" i="36"/>
  <c r="BX524" i="36"/>
  <c r="BY490" i="36"/>
  <c r="CU152" i="36"/>
  <c r="AX304" i="36"/>
  <c r="AX306" i="36"/>
  <c r="AX230" i="36"/>
  <c r="AX303" i="36"/>
  <c r="DE210" i="36"/>
  <c r="AV495" i="36"/>
  <c r="AZ485" i="36"/>
  <c r="AZ532" i="36"/>
  <c r="AZ484" i="36"/>
  <c r="AZ533" i="36"/>
  <c r="BM152" i="36"/>
  <c r="CW18" i="36"/>
  <c r="BB68" i="36"/>
  <c r="CZ490" i="36"/>
  <c r="AW689" i="36"/>
  <c r="BH830" i="36"/>
  <c r="BH722" i="36"/>
  <c r="AU436" i="36"/>
  <c r="AU47" i="36"/>
  <c r="AY453" i="36"/>
  <c r="AY188" i="36"/>
  <c r="AZ221" i="36"/>
  <c r="AY219" i="36"/>
  <c r="AY218" i="36"/>
  <c r="AX401" i="36"/>
  <c r="AW235" i="36"/>
  <c r="AW273" i="36"/>
  <c r="AW231" i="36"/>
  <c r="AW276" i="36"/>
  <c r="BW615" i="36"/>
  <c r="CJ254" i="36"/>
  <c r="CJ33" i="36"/>
  <c r="CM305" i="36"/>
  <c r="DH692" i="36"/>
  <c r="DH670" i="36"/>
  <c r="AY737" i="36"/>
  <c r="AY32" i="36"/>
  <c r="BW820" i="36"/>
  <c r="AT50" i="36"/>
  <c r="AX637" i="36"/>
  <c r="CQ279" i="36"/>
  <c r="CQ237" i="36"/>
  <c r="CQ238" i="36"/>
  <c r="AV661" i="36"/>
  <c r="AY736" i="36"/>
  <c r="CL438" i="36"/>
  <c r="AZ614" i="36"/>
  <c r="AU553" i="36"/>
  <c r="AU547" i="36"/>
  <c r="AW792" i="36"/>
  <c r="AW791" i="36"/>
  <c r="BN346" i="36"/>
  <c r="CK574" i="36"/>
  <c r="CK525" i="36"/>
  <c r="CK477" i="36"/>
  <c r="CW573" i="36"/>
  <c r="CX539" i="36"/>
  <c r="AY601" i="36"/>
  <c r="CX346" i="36"/>
  <c r="BU251" i="36"/>
  <c r="CO534" i="36"/>
  <c r="CY138" i="36"/>
  <c r="AX756" i="36"/>
  <c r="AZ499" i="36"/>
  <c r="AX337" i="36"/>
  <c r="AU550" i="36"/>
  <c r="AU549" i="36"/>
  <c r="AU408" i="36"/>
  <c r="AT80" i="36"/>
  <c r="BD81" i="36"/>
  <c r="AZ540" i="36"/>
  <c r="AX96" i="36"/>
  <c r="AX95" i="36"/>
  <c r="AX98" i="36"/>
  <c r="CK573" i="36"/>
  <c r="DD404" i="36"/>
  <c r="CX438" i="36"/>
  <c r="AO395" i="36"/>
  <c r="AP394" i="36"/>
  <c r="AT341" i="36"/>
  <c r="AX279" i="36"/>
  <c r="AX237" i="36"/>
  <c r="AX238" i="36"/>
  <c r="AT259" i="36"/>
  <c r="AT288" i="36"/>
  <c r="AY317" i="36"/>
  <c r="AY314" i="36"/>
  <c r="BB67" i="36"/>
  <c r="CP237" i="36"/>
  <c r="BH728" i="36"/>
  <c r="CL680" i="36"/>
  <c r="BP666" i="36"/>
  <c r="BC352" i="36"/>
  <c r="BL524" i="36"/>
  <c r="AX188" i="36"/>
  <c r="AX626" i="36"/>
  <c r="AX625" i="36"/>
  <c r="AX657" i="36"/>
  <c r="AO265" i="36"/>
  <c r="AN266" i="36"/>
  <c r="AY418" i="36"/>
  <c r="AY23" i="36"/>
  <c r="AZ443" i="36"/>
  <c r="AY400" i="36"/>
  <c r="BX615" i="36"/>
  <c r="BY631" i="36"/>
  <c r="BX589" i="36"/>
  <c r="CW210" i="36"/>
  <c r="CW84" i="36"/>
  <c r="CX183" i="36"/>
  <c r="CI33" i="36"/>
  <c r="CF599" i="36"/>
  <c r="AW16" i="36"/>
  <c r="BT830" i="36"/>
  <c r="BA138" i="36"/>
  <c r="CX97" i="36"/>
  <c r="BO583" i="36"/>
  <c r="AZ618" i="36"/>
  <c r="CG761" i="36"/>
  <c r="BD170" i="36"/>
  <c r="BD129" i="36"/>
  <c r="CV424" i="36"/>
  <c r="BZ346" i="36"/>
  <c r="AY82" i="36"/>
  <c r="DD80" i="36"/>
  <c r="AS92" i="36"/>
  <c r="DD92" i="36"/>
  <c r="BT721" i="36"/>
  <c r="AV716" i="36"/>
  <c r="BK574" i="36"/>
  <c r="BK525" i="36"/>
  <c r="BK477" i="36"/>
  <c r="BK476" i="36"/>
  <c r="BK524" i="36"/>
  <c r="AB52" i="36"/>
  <c r="AC51" i="36"/>
  <c r="BB670" i="36"/>
  <c r="AX758" i="36"/>
  <c r="AX755" i="36"/>
  <c r="AZ143" i="36"/>
  <c r="CM179" i="36"/>
  <c r="AT421" i="36"/>
  <c r="DE84" i="36"/>
  <c r="CL583" i="36"/>
  <c r="AX148" i="36"/>
  <c r="BC438" i="36"/>
  <c r="BD486" i="36"/>
  <c r="AZ139" i="36"/>
  <c r="AY136" i="36"/>
  <c r="AY60" i="36"/>
  <c r="AY98" i="36"/>
  <c r="AY137" i="36"/>
  <c r="CG229" i="36"/>
  <c r="DD9" i="36"/>
  <c r="CH697" i="36"/>
  <c r="CH696" i="36"/>
  <c r="BJ279" i="36"/>
  <c r="BJ237" i="36"/>
  <c r="BJ238" i="36"/>
  <c r="AZ786" i="36"/>
  <c r="BA785" i="36"/>
  <c r="BY394" i="36"/>
  <c r="BE193" i="36"/>
  <c r="DE193" i="36"/>
  <c r="DE195" i="36"/>
  <c r="DE185" i="36"/>
  <c r="BW424" i="36"/>
  <c r="AZ147" i="36"/>
  <c r="BA180" i="36"/>
  <c r="AZ177" i="36"/>
  <c r="AZ178" i="36"/>
  <c r="BV641" i="36"/>
  <c r="BV599" i="36"/>
  <c r="BV600" i="36"/>
  <c r="BA220" i="36"/>
  <c r="CU33" i="36"/>
  <c r="AV19" i="36"/>
  <c r="AV364" i="36"/>
  <c r="BB491" i="36"/>
  <c r="AY592" i="36"/>
  <c r="AY628" i="36"/>
  <c r="AY664" i="36"/>
  <c r="AY665" i="36"/>
  <c r="AY667" i="36"/>
  <c r="AU233" i="36"/>
  <c r="CS641" i="36"/>
  <c r="CS599" i="36"/>
  <c r="CS600" i="36"/>
  <c r="CC706" i="36"/>
  <c r="CK254" i="36"/>
  <c r="CL310" i="36"/>
  <c r="AY229" i="36"/>
  <c r="BN486" i="36"/>
  <c r="AT49" i="36"/>
  <c r="AN51" i="36"/>
  <c r="AM52" i="36"/>
  <c r="BZ438" i="36"/>
  <c r="CT697" i="36"/>
  <c r="CT696" i="36"/>
  <c r="AY501" i="36"/>
  <c r="BZ305" i="36"/>
  <c r="CL524" i="36"/>
  <c r="CM490" i="36"/>
  <c r="AW720" i="36"/>
  <c r="AW716" i="36"/>
  <c r="BW193" i="36"/>
  <c r="BA394" i="36"/>
  <c r="AQ305" i="36"/>
  <c r="AP306" i="36"/>
  <c r="CI320" i="36"/>
  <c r="AX32" i="36"/>
  <c r="AQ97" i="36"/>
  <c r="AP98" i="36"/>
  <c r="CY265" i="36"/>
  <c r="CL18" i="36"/>
  <c r="AZ601" i="36"/>
  <c r="AZ17" i="36"/>
  <c r="BY254" i="36"/>
  <c r="BZ310" i="36"/>
  <c r="AY499" i="36"/>
  <c r="AT553" i="36"/>
  <c r="BX601" i="36"/>
  <c r="BK251" i="36"/>
  <c r="AX106" i="36"/>
  <c r="AX66" i="36"/>
  <c r="CH252" i="36"/>
  <c r="CI269" i="36"/>
  <c r="CH227" i="36"/>
  <c r="CH296" i="36"/>
  <c r="CH337" i="36"/>
  <c r="CH295" i="36"/>
  <c r="CH336" i="36"/>
  <c r="CX142" i="36"/>
  <c r="CW169" i="36"/>
  <c r="AT405" i="36"/>
  <c r="AT14" i="36"/>
  <c r="CH591" i="36"/>
  <c r="CK169" i="36"/>
  <c r="CL142" i="36"/>
  <c r="AX719" i="36"/>
  <c r="BZ51" i="36"/>
  <c r="AS432" i="36"/>
  <c r="AS469" i="36"/>
  <c r="DD478" i="36"/>
  <c r="CW254" i="36"/>
  <c r="DE169" i="36"/>
  <c r="AX720" i="36"/>
  <c r="AX716" i="36"/>
  <c r="CL220" i="36"/>
  <c r="BW601" i="36"/>
  <c r="BO142" i="36"/>
  <c r="AX500" i="36"/>
  <c r="BO305" i="36"/>
  <c r="DA627" i="36"/>
  <c r="AX395" i="36"/>
  <c r="BA18" i="36"/>
  <c r="AU548" i="36"/>
  <c r="AU409" i="36"/>
  <c r="AW377" i="36"/>
  <c r="BC346" i="36"/>
  <c r="BA320" i="36"/>
  <c r="BT337" i="36"/>
  <c r="AZ253" i="36"/>
  <c r="AZ252" i="36"/>
  <c r="BA269" i="36"/>
  <c r="AZ227" i="36"/>
  <c r="AZ295" i="36"/>
  <c r="AZ336" i="36"/>
  <c r="BN220" i="36"/>
  <c r="CC627" i="36"/>
  <c r="AW361" i="36"/>
  <c r="AW358" i="36"/>
  <c r="CE728" i="36"/>
  <c r="CE22" i="36"/>
  <c r="BN265" i="36"/>
  <c r="AV621" i="36"/>
  <c r="AV234" i="36"/>
  <c r="AV275" i="36"/>
  <c r="CV631" i="36"/>
  <c r="CU615" i="36"/>
  <c r="CU589" i="36"/>
  <c r="CF713" i="36"/>
  <c r="AZ839" i="36"/>
  <c r="AZ821" i="36"/>
  <c r="BA820" i="36"/>
  <c r="BX574" i="36"/>
  <c r="BX525" i="36"/>
  <c r="BX477" i="36"/>
  <c r="BX573" i="36"/>
  <c r="AW263" i="36"/>
  <c r="AW264" i="36"/>
  <c r="DG583" i="36"/>
  <c r="CE830" i="36"/>
  <c r="AZ696" i="36"/>
  <c r="AU80" i="36"/>
  <c r="AU92" i="36"/>
  <c r="CA666" i="36"/>
  <c r="AT24" i="36"/>
  <c r="AT410" i="36"/>
  <c r="AT404" i="36"/>
  <c r="CJ751" i="36"/>
  <c r="CK138" i="36"/>
  <c r="BZ670" i="36"/>
  <c r="BP706" i="36"/>
  <c r="CI152" i="36"/>
  <c r="CX305" i="36"/>
  <c r="DD575" i="36"/>
  <c r="AR566" i="36"/>
  <c r="AR432" i="36"/>
  <c r="AV415" i="36"/>
  <c r="BX476" i="36"/>
  <c r="CL573" i="36"/>
  <c r="CM539" i="36"/>
  <c r="BK697" i="36"/>
  <c r="BK696" i="36"/>
  <c r="BN394" i="36"/>
  <c r="CX394" i="36"/>
  <c r="CK476" i="36"/>
  <c r="CI615" i="36"/>
  <c r="CJ631" i="36"/>
  <c r="CI589" i="36"/>
  <c r="AW266" i="36"/>
  <c r="CV574" i="36"/>
  <c r="CV525" i="36"/>
  <c r="CV477" i="36"/>
  <c r="CV524" i="36"/>
  <c r="AY395" i="36"/>
  <c r="CO666" i="36"/>
  <c r="BF210" i="36"/>
  <c r="BG183" i="36"/>
  <c r="BF169" i="36"/>
  <c r="AX827" i="36"/>
  <c r="AX826" i="36"/>
  <c r="AX850" i="36"/>
  <c r="AX824" i="36"/>
  <c r="BA51" i="36"/>
  <c r="AY146" i="36"/>
  <c r="AY149" i="36"/>
  <c r="AY148" i="36"/>
  <c r="BE583" i="36"/>
  <c r="AZ102" i="36"/>
  <c r="AY58" i="36"/>
  <c r="AY504" i="36"/>
  <c r="BX84" i="36"/>
  <c r="AV544" i="36"/>
  <c r="AV582" i="36"/>
  <c r="AV434" i="36"/>
  <c r="AV581" i="36"/>
  <c r="AV403" i="36"/>
  <c r="AW35" i="36"/>
  <c r="BA347" i="36"/>
  <c r="AZ184" i="36"/>
  <c r="AY636" i="36"/>
  <c r="AY598" i="36"/>
  <c r="AY594" i="36"/>
  <c r="AT742" i="36"/>
  <c r="AT770" i="36"/>
  <c r="BP534" i="36"/>
  <c r="AY296" i="36"/>
  <c r="AY337" i="36"/>
  <c r="AY5" i="36"/>
  <c r="AW755" i="36"/>
  <c r="AW758" i="36"/>
  <c r="AW757" i="36"/>
  <c r="AW719" i="36"/>
  <c r="CE795" i="36"/>
  <c r="CE722" i="36"/>
  <c r="AZ426" i="36"/>
  <c r="BA539" i="36"/>
  <c r="AT469" i="36"/>
  <c r="CT591" i="36"/>
  <c r="AZ399" i="36"/>
  <c r="AZ573" i="36"/>
  <c r="BY169" i="36"/>
  <c r="BZ142" i="36"/>
  <c r="CK524" i="36"/>
  <c r="CH785" i="36"/>
  <c r="CG711" i="36"/>
  <c r="AW596" i="36"/>
  <c r="AW595" i="36"/>
  <c r="AW593" i="36"/>
  <c r="CH820" i="36"/>
  <c r="AV162" i="36"/>
  <c r="AX425" i="36"/>
  <c r="CS227" i="36"/>
  <c r="CS296" i="36"/>
  <c r="CS337" i="36"/>
  <c r="CT269" i="36"/>
  <c r="CS295" i="36"/>
  <c r="CS336" i="36"/>
  <c r="AV584" i="36"/>
  <c r="AV435" i="36"/>
  <c r="S3" i="22"/>
  <c r="J28" i="41"/>
  <c r="W28" i="41"/>
  <c r="T28" i="41"/>
  <c r="O27" i="41"/>
  <c r="AA27" i="41"/>
  <c r="J583" i="21"/>
  <c r="CE721" i="36"/>
  <c r="AU49" i="36"/>
  <c r="AX266" i="36"/>
  <c r="AU50" i="36"/>
  <c r="AX62" i="36"/>
  <c r="AX757" i="36"/>
  <c r="AX61" i="36"/>
  <c r="AY795" i="36"/>
  <c r="AX721" i="36"/>
  <c r="AY825" i="36"/>
  <c r="AY755" i="36"/>
  <c r="AY719" i="36"/>
  <c r="BU721" i="36"/>
  <c r="BU22" i="36"/>
  <c r="AT9" i="36"/>
  <c r="BG101" i="36"/>
  <c r="BF57" i="36"/>
  <c r="AY498" i="36"/>
  <c r="AX718" i="36"/>
  <c r="AX717" i="36"/>
  <c r="AX715" i="36"/>
  <c r="BA424" i="36"/>
  <c r="BB539" i="36"/>
  <c r="BC491" i="36"/>
  <c r="BD352" i="36"/>
  <c r="CN601" i="36"/>
  <c r="DH672" i="36"/>
  <c r="BY525" i="36"/>
  <c r="BY574" i="36"/>
  <c r="BY477" i="36"/>
  <c r="BY573" i="36"/>
  <c r="BO438" i="36"/>
  <c r="BA426" i="36"/>
  <c r="BK737" i="36"/>
  <c r="BL820" i="36"/>
  <c r="BK711" i="36"/>
  <c r="BL697" i="36"/>
  <c r="BL696" i="36"/>
  <c r="BE59" i="36"/>
  <c r="DE103" i="36"/>
  <c r="CM265" i="36"/>
  <c r="AZ453" i="36"/>
  <c r="CS229" i="36"/>
  <c r="CT641" i="36"/>
  <c r="CT599" i="36"/>
  <c r="CT600" i="36"/>
  <c r="AT781" i="36"/>
  <c r="BB51" i="36"/>
  <c r="BO394" i="36"/>
  <c r="CA670" i="36"/>
  <c r="CB666" i="36"/>
  <c r="AU469" i="36"/>
  <c r="AU481" i="36"/>
  <c r="AZ229" i="36"/>
  <c r="BA344" i="36"/>
  <c r="BA345" i="36"/>
  <c r="BP305" i="36"/>
  <c r="BP142" i="36"/>
  <c r="CH641" i="36"/>
  <c r="CH600" i="36"/>
  <c r="CW152" i="36"/>
  <c r="CI252" i="36"/>
  <c r="CI253" i="36"/>
  <c r="CJ269" i="36"/>
  <c r="CI227" i="36"/>
  <c r="CI295" i="36"/>
  <c r="CI336" i="36"/>
  <c r="BZ254" i="36"/>
  <c r="CA310" i="36"/>
  <c r="AZ680" i="36"/>
  <c r="AZ667" i="36"/>
  <c r="AZ137" i="36"/>
  <c r="AZ60" i="36"/>
  <c r="AZ136" i="36"/>
  <c r="AT26" i="36"/>
  <c r="BC670" i="36"/>
  <c r="CX210" i="36"/>
  <c r="CX84" i="36"/>
  <c r="CY183" i="36"/>
  <c r="BZ631" i="36"/>
  <c r="BY589" i="36"/>
  <c r="AY401" i="36"/>
  <c r="AT250" i="36"/>
  <c r="AT92" i="36"/>
  <c r="AX447" i="36"/>
  <c r="AX402" i="36"/>
  <c r="AX7" i="36"/>
  <c r="AW701" i="36"/>
  <c r="AY599" i="36"/>
  <c r="CA442" i="36"/>
  <c r="BZ399" i="36"/>
  <c r="BD111" i="36"/>
  <c r="BL251" i="36"/>
  <c r="BV761" i="36"/>
  <c r="CC534" i="36"/>
  <c r="CF237" i="36"/>
  <c r="CR279" i="36"/>
  <c r="CR238" i="36"/>
  <c r="CV193" i="36"/>
  <c r="BI830" i="36"/>
  <c r="BI722" i="36"/>
  <c r="BI721" i="36"/>
  <c r="AX23" i="36"/>
  <c r="AV80" i="36"/>
  <c r="BC152" i="36"/>
  <c r="BC67" i="36"/>
  <c r="BX785" i="36"/>
  <c r="BB305" i="36"/>
  <c r="CW680" i="36"/>
  <c r="CW601" i="36"/>
  <c r="AX359" i="36"/>
  <c r="BZ138" i="36"/>
  <c r="BJ737" i="36"/>
  <c r="CW424" i="36"/>
  <c r="BN631" i="36"/>
  <c r="BM589" i="36"/>
  <c r="BE83" i="36"/>
  <c r="DE124" i="36"/>
  <c r="BC631" i="36"/>
  <c r="BB589" i="36"/>
  <c r="BB697" i="36"/>
  <c r="BY751" i="36"/>
  <c r="BC254" i="36"/>
  <c r="BD310" i="36"/>
  <c r="CZ352" i="36"/>
  <c r="CH229" i="36"/>
  <c r="AY827" i="36"/>
  <c r="AY824" i="36"/>
  <c r="BA443" i="36"/>
  <c r="AZ400" i="36"/>
  <c r="CX320" i="36"/>
  <c r="CT253" i="36"/>
  <c r="CT227" i="36"/>
  <c r="CT296" i="36"/>
  <c r="CT337" i="36"/>
  <c r="CU269" i="36"/>
  <c r="CT252" i="36"/>
  <c r="CT295" i="36"/>
  <c r="CT336" i="36"/>
  <c r="AT481" i="36"/>
  <c r="AT734" i="36"/>
  <c r="CI697" i="36"/>
  <c r="CI696" i="36"/>
  <c r="BY680" i="36"/>
  <c r="DG627" i="36"/>
  <c r="BA252" i="36"/>
  <c r="BA253" i="36"/>
  <c r="BB269" i="36"/>
  <c r="BA227" i="36"/>
  <c r="BA295" i="36"/>
  <c r="BA336" i="36"/>
  <c r="CY142" i="36"/>
  <c r="CX169" i="36"/>
  <c r="AR305" i="36"/>
  <c r="AQ306" i="36"/>
  <c r="CN490" i="36"/>
  <c r="AY230" i="36"/>
  <c r="AY266" i="36"/>
  <c r="AY303" i="36"/>
  <c r="AY304" i="36"/>
  <c r="AZ146" i="36"/>
  <c r="AZ149" i="36"/>
  <c r="AY106" i="36"/>
  <c r="AY66" i="36"/>
  <c r="BK761" i="36"/>
  <c r="CM583" i="36"/>
  <c r="BA143" i="36"/>
  <c r="BA601" i="36"/>
  <c r="BA17" i="36"/>
  <c r="BB18" i="36"/>
  <c r="AX16" i="36"/>
  <c r="BA540" i="36"/>
  <c r="AY17" i="36"/>
  <c r="AX621" i="36"/>
  <c r="AX612" i="36"/>
  <c r="AX622" i="36"/>
  <c r="AY425" i="36"/>
  <c r="BM680" i="36"/>
  <c r="BY524" i="36"/>
  <c r="BZ490" i="36"/>
  <c r="CX51" i="36"/>
  <c r="BY426" i="36"/>
  <c r="BN751" i="36"/>
  <c r="BL229" i="36"/>
  <c r="AU24" i="36"/>
  <c r="AU410" i="36"/>
  <c r="AU15" i="36"/>
  <c r="CB539" i="36"/>
  <c r="CK33" i="36"/>
  <c r="CX220" i="36"/>
  <c r="AZ317" i="36"/>
  <c r="AZ316" i="36"/>
  <c r="AZ314" i="36"/>
  <c r="AW7" i="36"/>
  <c r="BC179" i="36"/>
  <c r="DE520" i="36"/>
  <c r="DE490" i="36"/>
  <c r="BZ486" i="36"/>
  <c r="CY254" i="36"/>
  <c r="CZ310" i="36"/>
  <c r="CY670" i="36"/>
  <c r="BC97" i="36"/>
  <c r="AX358" i="36"/>
  <c r="AX361" i="36"/>
  <c r="AW232" i="36"/>
  <c r="CO706" i="36"/>
  <c r="BJ599" i="36"/>
  <c r="CY442" i="36"/>
  <c r="CX399" i="36"/>
  <c r="CX476" i="36"/>
  <c r="BE81" i="36"/>
  <c r="DE122" i="36"/>
  <c r="BA615" i="36"/>
  <c r="AW329" i="36"/>
  <c r="BB671" i="36"/>
  <c r="BM426" i="36"/>
  <c r="BN539" i="36"/>
  <c r="BM573" i="36"/>
  <c r="BM399" i="36"/>
  <c r="AT406" i="36"/>
  <c r="AT12" i="36"/>
  <c r="BB751" i="36"/>
  <c r="BA752" i="36"/>
  <c r="BA711" i="36"/>
  <c r="BB320" i="36"/>
  <c r="BN138" i="36"/>
  <c r="AV450" i="36"/>
  <c r="AV452" i="36"/>
  <c r="AV233" i="36"/>
  <c r="AX31" i="36"/>
  <c r="AU566" i="36"/>
  <c r="AU578" i="36"/>
  <c r="DE706" i="36"/>
  <c r="AW517" i="36"/>
  <c r="AV174" i="36"/>
  <c r="BZ169" i="36"/>
  <c r="CA142" i="36"/>
  <c r="AW718" i="36"/>
  <c r="AW717" i="36"/>
  <c r="AW715" i="36"/>
  <c r="BA203" i="36"/>
  <c r="BA184" i="36"/>
  <c r="AV8" i="36"/>
  <c r="AV439" i="36"/>
  <c r="BA102" i="36"/>
  <c r="AZ58" i="36"/>
  <c r="CY305" i="36"/>
  <c r="CK751" i="36"/>
  <c r="CH761" i="36"/>
  <c r="CI820" i="36"/>
  <c r="AZ203" i="36"/>
  <c r="AZ86" i="36"/>
  <c r="BF84" i="36"/>
  <c r="CI591" i="36"/>
  <c r="BA821" i="36"/>
  <c r="BB820" i="36"/>
  <c r="CF728" i="36"/>
  <c r="CF22" i="36"/>
  <c r="AV612" i="36"/>
  <c r="AY638" i="36"/>
  <c r="AY635" i="36"/>
  <c r="AY597" i="36"/>
  <c r="AX517" i="36"/>
  <c r="AX529" i="36"/>
  <c r="CL169" i="36"/>
  <c r="CM142" i="36"/>
  <c r="AT10" i="36"/>
  <c r="CH251" i="36"/>
  <c r="AT547" i="36"/>
  <c r="AR97" i="36"/>
  <c r="AQ98" i="36"/>
  <c r="AY500" i="36"/>
  <c r="AY279" i="36"/>
  <c r="AY238" i="36"/>
  <c r="BB220" i="36"/>
  <c r="BA147" i="36"/>
  <c r="BA178" i="36"/>
  <c r="BA177" i="36"/>
  <c r="BB785" i="36"/>
  <c r="BA786" i="36"/>
  <c r="BE486" i="36"/>
  <c r="BA696" i="36"/>
  <c r="AY830" i="36"/>
  <c r="CY97" i="36"/>
  <c r="BX591" i="36"/>
  <c r="BH22" i="36"/>
  <c r="AQ394" i="36"/>
  <c r="AP395" i="36"/>
  <c r="AX329" i="36"/>
  <c r="AX341" i="36"/>
  <c r="CX573" i="36"/>
  <c r="CY539" i="36"/>
  <c r="BO346" i="36"/>
  <c r="CN305" i="36"/>
  <c r="AX414" i="36"/>
  <c r="BM601" i="36"/>
  <c r="BB487" i="36"/>
  <c r="BA532" i="36"/>
  <c r="BA484" i="36"/>
  <c r="BA485" i="36"/>
  <c r="BA533" i="36"/>
  <c r="BA487" i="36"/>
  <c r="AX235" i="36"/>
  <c r="AX273" i="36"/>
  <c r="AX231" i="36"/>
  <c r="AX276" i="36"/>
  <c r="BY424" i="36"/>
  <c r="CA97" i="36"/>
  <c r="AQ45" i="36"/>
  <c r="DA486" i="36"/>
  <c r="CL574" i="36"/>
  <c r="CL525" i="36"/>
  <c r="CL477" i="36"/>
  <c r="CK51" i="36"/>
  <c r="CM486" i="36"/>
  <c r="BL591" i="36"/>
  <c r="AS439" i="36"/>
  <c r="DD439" i="36"/>
  <c r="DD438" i="36"/>
  <c r="BD68" i="36"/>
  <c r="DE154" i="36"/>
  <c r="DE144" i="36"/>
  <c r="AW456" i="36"/>
  <c r="CX18" i="36"/>
  <c r="BD69" i="36"/>
  <c r="CR337" i="36"/>
  <c r="AV436" i="36"/>
  <c r="AV47" i="36"/>
  <c r="AV49" i="36"/>
  <c r="AZ82" i="36"/>
  <c r="CJ615" i="36"/>
  <c r="CK631" i="36"/>
  <c r="CJ589" i="36"/>
  <c r="AZ830" i="36"/>
  <c r="CF795" i="36"/>
  <c r="CF722" i="36"/>
  <c r="CU697" i="36"/>
  <c r="CU696" i="36"/>
  <c r="BO220" i="36"/>
  <c r="AS481" i="36"/>
  <c r="DD481" i="36"/>
  <c r="DD469" i="36"/>
  <c r="BB394" i="36"/>
  <c r="AO51" i="36"/>
  <c r="AN52" i="36"/>
  <c r="DG706" i="36"/>
  <c r="AY625" i="36"/>
  <c r="AY626" i="36"/>
  <c r="AY657" i="36"/>
  <c r="CG279" i="36"/>
  <c r="CG237" i="36"/>
  <c r="CG238" i="36"/>
  <c r="BA139" i="36"/>
  <c r="BB138" i="36"/>
  <c r="CW33" i="36"/>
  <c r="AP265" i="36"/>
  <c r="AO266" i="36"/>
  <c r="AY316" i="36"/>
  <c r="DE194" i="36"/>
  <c r="BA535" i="36"/>
  <c r="BW737" i="36"/>
  <c r="BX820" i="36"/>
  <c r="AX429" i="36"/>
  <c r="AX35" i="36"/>
  <c r="DI520" i="36"/>
  <c r="DI490" i="36"/>
  <c r="AX263" i="36"/>
  <c r="AX264" i="36"/>
  <c r="AS11" i="36"/>
  <c r="BP442" i="36"/>
  <c r="AY677" i="36"/>
  <c r="AY674" i="36"/>
  <c r="AT549" i="36"/>
  <c r="CN97" i="36"/>
  <c r="DF627" i="36"/>
  <c r="AZ736" i="36"/>
  <c r="BP670" i="36"/>
  <c r="CM426" i="36"/>
  <c r="CN442" i="36"/>
  <c r="CM399" i="36"/>
  <c r="CM524" i="36"/>
  <c r="CM476" i="36"/>
  <c r="BX424" i="36"/>
  <c r="CZ583" i="36"/>
  <c r="BB265" i="36"/>
  <c r="CA220" i="36"/>
  <c r="BM51" i="36"/>
  <c r="DH380" i="36"/>
  <c r="DH381" i="36"/>
  <c r="DH354" i="36"/>
  <c r="DH352" i="36"/>
  <c r="BL424" i="36"/>
  <c r="AZ728" i="36"/>
  <c r="AZ22" i="36"/>
  <c r="AZ713" i="36"/>
  <c r="AY792" i="36"/>
  <c r="AY791" i="36"/>
  <c r="AY789" i="36"/>
  <c r="BV722" i="36"/>
  <c r="CG728" i="36"/>
  <c r="CG22" i="36"/>
  <c r="CG713" i="36"/>
  <c r="CS253" i="36"/>
  <c r="AZ525" i="36"/>
  <c r="AZ477" i="36"/>
  <c r="AZ574" i="36"/>
  <c r="AZ524" i="36"/>
  <c r="AZ476" i="36"/>
  <c r="AW544" i="36"/>
  <c r="AW581" i="36"/>
  <c r="AW582" i="36"/>
  <c r="AW434" i="36"/>
  <c r="AW403" i="36"/>
  <c r="DE583" i="36"/>
  <c r="AV20" i="36"/>
  <c r="BQ706" i="36"/>
  <c r="AT15" i="36"/>
  <c r="BA839" i="36"/>
  <c r="CU591" i="36"/>
  <c r="BO265" i="36"/>
  <c r="AZ251" i="36"/>
  <c r="BD346" i="36"/>
  <c r="DI627" i="36"/>
  <c r="CM220" i="36"/>
  <c r="AS423" i="36"/>
  <c r="AS433" i="36"/>
  <c r="AS38" i="36"/>
  <c r="AS29" i="36"/>
  <c r="AZ665" i="36"/>
  <c r="BA667" i="36"/>
  <c r="AZ592" i="36"/>
  <c r="AZ628" i="36"/>
  <c r="AZ664" i="36"/>
  <c r="BD438" i="36"/>
  <c r="AC52" i="36"/>
  <c r="AD51" i="36"/>
  <c r="AX650" i="36"/>
  <c r="AX661" i="36"/>
  <c r="AV419" i="36"/>
  <c r="BQ666" i="36"/>
  <c r="CY438" i="36"/>
  <c r="AW804" i="36"/>
  <c r="AW815" i="36"/>
  <c r="BV728" i="36"/>
  <c r="AW234" i="36"/>
  <c r="AW275" i="36"/>
  <c r="AX236" i="36"/>
  <c r="AX274" i="36"/>
  <c r="AX232" i="36"/>
  <c r="CM394" i="36"/>
  <c r="BU795" i="36"/>
  <c r="AY758" i="36"/>
  <c r="BV251" i="36"/>
  <c r="CA179" i="36"/>
  <c r="CY666" i="36"/>
  <c r="AX189" i="36"/>
  <c r="BN601" i="36"/>
  <c r="BN680" i="36"/>
  <c r="CL424" i="36"/>
  <c r="CB265" i="36"/>
  <c r="CM346" i="36"/>
  <c r="BN785" i="36"/>
  <c r="AY728" i="36"/>
  <c r="AY22" i="36"/>
  <c r="BE170" i="36"/>
  <c r="DE170" i="36"/>
  <c r="BE129" i="36"/>
  <c r="DE129" i="36"/>
  <c r="DE57" i="36"/>
  <c r="BN254" i="36"/>
  <c r="BO310" i="36"/>
  <c r="BU279" i="36"/>
  <c r="BU238" i="36"/>
  <c r="AZ712" i="36"/>
  <c r="CY394" i="36"/>
  <c r="AZ296" i="36"/>
  <c r="AZ337" i="36"/>
  <c r="AZ5" i="36"/>
  <c r="BY320" i="36"/>
  <c r="CS251" i="36"/>
  <c r="BY152" i="36"/>
  <c r="AV437" i="36"/>
  <c r="AV48" i="36"/>
  <c r="AV50" i="36"/>
  <c r="CS252" i="36"/>
  <c r="CH737" i="36"/>
  <c r="CI785" i="36"/>
  <c r="CH711" i="36"/>
  <c r="BK795" i="36"/>
  <c r="CM573" i="36"/>
  <c r="CN539" i="36"/>
  <c r="AR423" i="36"/>
  <c r="AR38" i="36"/>
  <c r="DD432" i="36"/>
  <c r="CL138" i="36"/>
  <c r="CA51" i="36"/>
  <c r="BX680" i="36"/>
  <c r="CZ265" i="36"/>
  <c r="BO486" i="36"/>
  <c r="CL254" i="36"/>
  <c r="CM310" i="36"/>
  <c r="AZ636" i="36"/>
  <c r="AZ598" i="36"/>
  <c r="AZ594" i="36"/>
  <c r="BZ394" i="36"/>
  <c r="AY96" i="36"/>
  <c r="AY95" i="36"/>
  <c r="AY31" i="36"/>
  <c r="AV550" i="36"/>
  <c r="AV408" i="36"/>
  <c r="CM438" i="36"/>
  <c r="AW19" i="36"/>
  <c r="AW364" i="36"/>
  <c r="BH721" i="36"/>
  <c r="AZ451" i="36"/>
  <c r="AX228" i="36"/>
  <c r="AX6" i="36"/>
  <c r="AY306" i="36"/>
  <c r="AV622" i="36"/>
  <c r="CK193" i="36"/>
  <c r="AT815" i="36"/>
  <c r="BW227" i="36"/>
  <c r="BW296" i="36"/>
  <c r="BW337" i="36"/>
  <c r="BX269" i="36"/>
  <c r="BW295" i="36"/>
  <c r="BW336" i="36"/>
  <c r="AV360" i="36"/>
  <c r="BB618" i="36"/>
  <c r="BB632" i="36"/>
  <c r="BA590" i="36"/>
  <c r="BW641" i="36"/>
  <c r="BW599" i="36"/>
  <c r="BW600" i="36"/>
  <c r="CL426" i="36"/>
  <c r="CX179" i="36"/>
  <c r="BK279" i="36"/>
  <c r="BK237" i="36"/>
  <c r="BK238" i="36"/>
  <c r="AZ704" i="36"/>
  <c r="AZ705" i="36"/>
  <c r="AZ707" i="36"/>
  <c r="AY357" i="36"/>
  <c r="AY359" i="36"/>
  <c r="AY393" i="36"/>
  <c r="AY392" i="36"/>
  <c r="BC627" i="36"/>
  <c r="BA399" i="36"/>
  <c r="BA573" i="36"/>
  <c r="AY722" i="36"/>
  <c r="AY761" i="36"/>
  <c r="BZ210" i="36"/>
  <c r="CA183" i="36"/>
  <c r="AV92" i="36"/>
  <c r="AR138" i="36"/>
  <c r="AQ139" i="36"/>
  <c r="BX320" i="36"/>
  <c r="CM18" i="36"/>
  <c r="BW711" i="36"/>
  <c r="AW63" i="36"/>
  <c r="AZ737" i="36"/>
  <c r="AZ32" i="36"/>
  <c r="BB33" i="36"/>
  <c r="AW584" i="36"/>
  <c r="AW435" i="36"/>
  <c r="AX792" i="36"/>
  <c r="AX791" i="36"/>
  <c r="AX789" i="36"/>
  <c r="AY108" i="36"/>
  <c r="AY105" i="36"/>
  <c r="AY65" i="36"/>
  <c r="BX697" i="36"/>
  <c r="BX696" i="36"/>
  <c r="CZ138" i="36"/>
  <c r="AZ219" i="36"/>
  <c r="AZ218" i="36"/>
  <c r="AX64" i="36"/>
  <c r="BO490" i="36"/>
  <c r="CG737" i="36"/>
  <c r="BQ534" i="36"/>
  <c r="AV548" i="36"/>
  <c r="AV409" i="36"/>
  <c r="AY162" i="36"/>
  <c r="AY174" i="36"/>
  <c r="BG210" i="36"/>
  <c r="BG84" i="36"/>
  <c r="BH183" i="36"/>
  <c r="BG169" i="36"/>
  <c r="DD566" i="36"/>
  <c r="AR578" i="36"/>
  <c r="DD578" i="36"/>
  <c r="BX152" i="36"/>
  <c r="CV615" i="36"/>
  <c r="CW631" i="36"/>
  <c r="CV589" i="36"/>
  <c r="AU405" i="36"/>
  <c r="AU10" i="36"/>
  <c r="AU14" i="36"/>
  <c r="AX825" i="36"/>
  <c r="CH253" i="36"/>
  <c r="CA305" i="36"/>
  <c r="CA438" i="36"/>
  <c r="AU259" i="36"/>
  <c r="AU288" i="36"/>
  <c r="AU300" i="36"/>
  <c r="AZ635" i="36"/>
  <c r="AZ638" i="36"/>
  <c r="AY790" i="36"/>
  <c r="CV152" i="36"/>
  <c r="CN179" i="36"/>
  <c r="CA346" i="36"/>
  <c r="BP583" i="36"/>
  <c r="AT300" i="36"/>
  <c r="AU404" i="36"/>
  <c r="AU9" i="36"/>
  <c r="AU407" i="36"/>
  <c r="AU13" i="36"/>
  <c r="CY346" i="36"/>
  <c r="AX377" i="36"/>
  <c r="AY187" i="36"/>
  <c r="AY190" i="36"/>
  <c r="AY189" i="36"/>
  <c r="AW495" i="36"/>
  <c r="BY476" i="36"/>
  <c r="BO179" i="36"/>
  <c r="BM252" i="36"/>
  <c r="BM253" i="36"/>
  <c r="BM227" i="36"/>
  <c r="BM296" i="36"/>
  <c r="BM337" i="36"/>
  <c r="BN269" i="36"/>
  <c r="BN336" i="36"/>
  <c r="BM295" i="36"/>
  <c r="AZ501" i="36"/>
  <c r="CL84" i="36"/>
  <c r="CM183" i="36"/>
  <c r="CL210" i="36"/>
  <c r="AY714" i="36"/>
  <c r="BV713" i="36"/>
  <c r="BV229" i="36"/>
  <c r="BK641" i="36"/>
  <c r="BK599" i="36"/>
  <c r="BK600" i="36"/>
  <c r="BA614" i="36"/>
  <c r="BP97" i="36"/>
  <c r="CM601" i="36"/>
  <c r="DH682" i="36"/>
  <c r="AZ641" i="36"/>
  <c r="AZ599" i="36"/>
  <c r="AZ600" i="36"/>
  <c r="BM424" i="36"/>
  <c r="AZ597" i="36"/>
  <c r="BC442" i="36"/>
  <c r="BB399" i="36"/>
  <c r="BB476" i="36"/>
  <c r="AY30" i="36"/>
  <c r="BJ728" i="36"/>
  <c r="BJ22" i="36"/>
  <c r="BJ713" i="36"/>
  <c r="BY193" i="36"/>
  <c r="CW574" i="36"/>
  <c r="CW525" i="36"/>
  <c r="CW477" i="36"/>
  <c r="CW524" i="36"/>
  <c r="BQ83" i="36"/>
  <c r="BR101" i="36"/>
  <c r="BQ57" i="36"/>
  <c r="CC101" i="36"/>
  <c r="BA591" i="36"/>
  <c r="CV680" i="36"/>
  <c r="BW713" i="36"/>
  <c r="AY721" i="36"/>
  <c r="AZ795" i="36"/>
  <c r="AZ790" i="36"/>
  <c r="BA707" i="36"/>
  <c r="BA675" i="36"/>
  <c r="AZ825" i="36"/>
  <c r="AY826" i="36"/>
  <c r="BV22" i="36"/>
  <c r="AY757" i="36"/>
  <c r="BV721" i="36"/>
  <c r="AX456" i="36"/>
  <c r="DH569" i="36"/>
  <c r="DH539" i="36"/>
  <c r="DH378" i="36"/>
  <c r="AW450" i="36"/>
  <c r="AW452" i="36"/>
  <c r="CJ820" i="36"/>
  <c r="BC671" i="36"/>
  <c r="CY320" i="36"/>
  <c r="BL279" i="36"/>
  <c r="BL237" i="36"/>
  <c r="BL238" i="36"/>
  <c r="AW419" i="36"/>
  <c r="AW553" i="36"/>
  <c r="AW547" i="36"/>
  <c r="AY402" i="36"/>
  <c r="AY7" i="36"/>
  <c r="AY447" i="36"/>
  <c r="BB601" i="36"/>
  <c r="BB17" i="36"/>
  <c r="CN680" i="36"/>
  <c r="DH680" i="36"/>
  <c r="DH681" i="36"/>
  <c r="BM251" i="36"/>
  <c r="AX495" i="36"/>
  <c r="CZ346" i="36"/>
  <c r="BG193" i="36"/>
  <c r="AV405" i="36"/>
  <c r="AV10" i="36"/>
  <c r="AV14" i="36"/>
  <c r="AZ188" i="36"/>
  <c r="AW437" i="36"/>
  <c r="AW48" i="36"/>
  <c r="BP265" i="36"/>
  <c r="BF193" i="36"/>
  <c r="AZ761" i="36"/>
  <c r="AZ722" i="36"/>
  <c r="AZ721" i="36"/>
  <c r="CN18" i="36"/>
  <c r="DH18" i="36"/>
  <c r="DH367" i="36"/>
  <c r="AS44" i="36"/>
  <c r="AS45" i="36"/>
  <c r="AS46" i="36"/>
  <c r="DI518" i="36"/>
  <c r="BA499" i="36"/>
  <c r="CL51" i="36"/>
  <c r="CB97" i="36"/>
  <c r="DE486" i="36"/>
  <c r="BA146" i="36"/>
  <c r="BA149" i="36"/>
  <c r="BA148" i="36"/>
  <c r="AY596" i="36"/>
  <c r="AY595" i="36"/>
  <c r="AY593" i="36"/>
  <c r="BA830" i="36"/>
  <c r="BB102" i="36"/>
  <c r="BA58" i="36"/>
  <c r="BA713" i="36"/>
  <c r="BD97" i="36"/>
  <c r="CY51" i="36"/>
  <c r="BA680" i="36"/>
  <c r="BA251" i="36"/>
  <c r="AT743" i="36"/>
  <c r="CT229" i="36"/>
  <c r="BM697" i="36"/>
  <c r="BM696" i="36"/>
  <c r="CB442" i="36"/>
  <c r="AZ425" i="36"/>
  <c r="BB696" i="36"/>
  <c r="CI251" i="36"/>
  <c r="BA315" i="36"/>
  <c r="AU432" i="36"/>
  <c r="AU423" i="36"/>
  <c r="CS279" i="36"/>
  <c r="CS237" i="36"/>
  <c r="CS238" i="36"/>
  <c r="BM320" i="36"/>
  <c r="AW89" i="36"/>
  <c r="AW121" i="36"/>
  <c r="DH601" i="36"/>
  <c r="BF83" i="36"/>
  <c r="CV591" i="36"/>
  <c r="BC265" i="36"/>
  <c r="BB532" i="36"/>
  <c r="BB484" i="36"/>
  <c r="BB485" i="36"/>
  <c r="BB533" i="36"/>
  <c r="AV259" i="36"/>
  <c r="AV288" i="36"/>
  <c r="AV300" i="36"/>
  <c r="CA486" i="36"/>
  <c r="BY785" i="36"/>
  <c r="CR237" i="36"/>
  <c r="AX415" i="36"/>
  <c r="BA641" i="36"/>
  <c r="BA599" i="36"/>
  <c r="BA600" i="36"/>
  <c r="BD442" i="36"/>
  <c r="BJ830" i="36"/>
  <c r="BJ722" i="36"/>
  <c r="AZ596" i="36"/>
  <c r="AZ595" i="36"/>
  <c r="AZ593" i="36"/>
  <c r="CB305" i="36"/>
  <c r="AZ187" i="36"/>
  <c r="AZ190" i="36"/>
  <c r="AZ189" i="36"/>
  <c r="AY64" i="36"/>
  <c r="CA394" i="36"/>
  <c r="BP486" i="36"/>
  <c r="CZ394" i="36"/>
  <c r="CB179" i="36"/>
  <c r="AW548" i="36"/>
  <c r="AW409" i="36"/>
  <c r="AX770" i="36"/>
  <c r="AX781" i="36"/>
  <c r="CM525" i="36"/>
  <c r="CM574" i="36"/>
  <c r="CM477" i="36"/>
  <c r="BC138" i="36"/>
  <c r="CJ591" i="36"/>
  <c r="BX641" i="36"/>
  <c r="BX599" i="36"/>
  <c r="BX600" i="36"/>
  <c r="BB147" i="36"/>
  <c r="BB177" i="36"/>
  <c r="BB178" i="36"/>
  <c r="AS97" i="36"/>
  <c r="AR98" i="36"/>
  <c r="CL152" i="36"/>
  <c r="CL751" i="36"/>
  <c r="BA86" i="36"/>
  <c r="BZ152" i="36"/>
  <c r="BA712" i="36"/>
  <c r="BM477" i="36"/>
  <c r="BM525" i="36"/>
  <c r="BM574" i="36"/>
  <c r="BM476" i="36"/>
  <c r="BM524" i="36"/>
  <c r="CX574" i="36"/>
  <c r="CX525" i="36"/>
  <c r="CX477" i="36"/>
  <c r="CX524" i="36"/>
  <c r="DH706" i="36"/>
  <c r="CX680" i="36"/>
  <c r="CX601" i="36"/>
  <c r="DI332" i="36"/>
  <c r="DI330" i="36"/>
  <c r="DI331" i="36"/>
  <c r="DI310" i="36"/>
  <c r="DG569" i="36"/>
  <c r="DG539" i="36"/>
  <c r="BB143" i="36"/>
  <c r="AY62" i="36"/>
  <c r="BL761" i="36"/>
  <c r="BN615" i="36"/>
  <c r="BO631" i="36"/>
  <c r="BN589" i="36"/>
  <c r="AY456" i="36"/>
  <c r="AY414" i="36"/>
  <c r="CX193" i="36"/>
  <c r="AZ96" i="36"/>
  <c r="AZ95" i="36"/>
  <c r="AZ98" i="36"/>
  <c r="DF165" i="36"/>
  <c r="DF142" i="36"/>
  <c r="AZ230" i="36"/>
  <c r="AZ228" i="36"/>
  <c r="AZ304" i="36"/>
  <c r="AZ303" i="36"/>
  <c r="AZ504" i="36"/>
  <c r="AX19" i="36"/>
  <c r="AX364" i="36"/>
  <c r="BC18" i="36"/>
  <c r="BD491" i="36"/>
  <c r="BF59" i="36"/>
  <c r="AZ714" i="36"/>
  <c r="AO52" i="36"/>
  <c r="AP51" i="36"/>
  <c r="BL641" i="36"/>
  <c r="BL599" i="36"/>
  <c r="BL600" i="36"/>
  <c r="BB839" i="36"/>
  <c r="BC820" i="36"/>
  <c r="BB821" i="36"/>
  <c r="BD179" i="36"/>
  <c r="BC180" i="36"/>
  <c r="CZ142" i="36"/>
  <c r="CY169" i="36"/>
  <c r="CU227" i="36"/>
  <c r="CV269" i="36"/>
  <c r="CU295" i="36"/>
  <c r="CU336" i="36"/>
  <c r="AY850" i="36"/>
  <c r="BZ574" i="36"/>
  <c r="BZ525" i="36"/>
  <c r="BZ477" i="36"/>
  <c r="BZ573" i="36"/>
  <c r="CY210" i="36"/>
  <c r="CY84" i="36"/>
  <c r="CY33" i="36"/>
  <c r="CZ183" i="36"/>
  <c r="CC83" i="36"/>
  <c r="CC32" i="36"/>
  <c r="CO101" i="36"/>
  <c r="CD101" i="36"/>
  <c r="CC57" i="36"/>
  <c r="BQ97" i="36"/>
  <c r="BQ129" i="36"/>
  <c r="BQ170" i="36"/>
  <c r="AU406" i="36"/>
  <c r="AU12" i="36"/>
  <c r="CB346" i="36"/>
  <c r="AZ637" i="36"/>
  <c r="BA188" i="36"/>
  <c r="BA218" i="36"/>
  <c r="BA219" i="36"/>
  <c r="AY61" i="36"/>
  <c r="BC618" i="36"/>
  <c r="BC632" i="36"/>
  <c r="BB590" i="36"/>
  <c r="BW229" i="36"/>
  <c r="CB51" i="36"/>
  <c r="CJ785" i="36"/>
  <c r="CI711" i="36"/>
  <c r="BO785" i="36"/>
  <c r="AV804" i="36"/>
  <c r="AX215" i="36"/>
  <c r="AW233" i="36"/>
  <c r="CZ438" i="36"/>
  <c r="AD52" i="36"/>
  <c r="AE51" i="36"/>
  <c r="CU641" i="36"/>
  <c r="CU599" i="36"/>
  <c r="CU600" i="36"/>
  <c r="AX584" i="36"/>
  <c r="AX435" i="36"/>
  <c r="CM424" i="36"/>
  <c r="CO97" i="36"/>
  <c r="DF470" i="36"/>
  <c r="DF442" i="36"/>
  <c r="BP220" i="36"/>
  <c r="BA451" i="36"/>
  <c r="CO305" i="36"/>
  <c r="BA501" i="36"/>
  <c r="AR394" i="36"/>
  <c r="AQ395" i="36"/>
  <c r="CM169" i="36"/>
  <c r="CN142" i="36"/>
  <c r="AY637" i="36"/>
  <c r="BA82" i="36"/>
  <c r="BB184" i="36"/>
  <c r="BA737" i="36"/>
  <c r="AW341" i="36"/>
  <c r="CX426" i="36"/>
  <c r="CZ670" i="36"/>
  <c r="BZ426" i="36"/>
  <c r="BZ524" i="36"/>
  <c r="CA490" i="36"/>
  <c r="AY273" i="36"/>
  <c r="AY276" i="36"/>
  <c r="AY235" i="36"/>
  <c r="CT251" i="36"/>
  <c r="BC320" i="36"/>
  <c r="BZ751" i="36"/>
  <c r="BB591" i="36"/>
  <c r="BM591" i="36"/>
  <c r="BZ424" i="36"/>
  <c r="AY429" i="36"/>
  <c r="AY35" i="36"/>
  <c r="CX33" i="36"/>
  <c r="BZ320" i="36"/>
  <c r="BP394" i="36"/>
  <c r="DE59" i="36"/>
  <c r="V136" i="14"/>
  <c r="U136" i="14"/>
  <c r="AY377" i="36"/>
  <c r="BF81" i="36"/>
  <c r="AY715" i="36"/>
  <c r="CL33" i="36"/>
  <c r="BH84" i="36"/>
  <c r="BH210" i="36"/>
  <c r="BI183" i="36"/>
  <c r="BH169" i="36"/>
  <c r="BD627" i="36"/>
  <c r="BU237" i="36"/>
  <c r="BQ69" i="36"/>
  <c r="BQ17" i="36"/>
  <c r="BQ59" i="36"/>
  <c r="AY215" i="36"/>
  <c r="CO179" i="36"/>
  <c r="AY107" i="36"/>
  <c r="CA210" i="36"/>
  <c r="CA84" i="36"/>
  <c r="CB183" i="36"/>
  <c r="BL795" i="36"/>
  <c r="BB614" i="36"/>
  <c r="BX253" i="36"/>
  <c r="BY269" i="36"/>
  <c r="BX252" i="36"/>
  <c r="BX227" i="36"/>
  <c r="BX296" i="36"/>
  <c r="BX295" i="36"/>
  <c r="BX336" i="36"/>
  <c r="CM254" i="36"/>
  <c r="CN310" i="36"/>
  <c r="CM138" i="36"/>
  <c r="CH713" i="36"/>
  <c r="BO254" i="36"/>
  <c r="BP310" i="36"/>
  <c r="BE346" i="36"/>
  <c r="AW8" i="36"/>
  <c r="AW52" i="36"/>
  <c r="AW439" i="36"/>
  <c r="CN399" i="36"/>
  <c r="CN476" i="36"/>
  <c r="DH476" i="36"/>
  <c r="DH442" i="36"/>
  <c r="BC394" i="36"/>
  <c r="BD152" i="36"/>
  <c r="DE152" i="36"/>
  <c r="DE153" i="36"/>
  <c r="BN424" i="36"/>
  <c r="BP346" i="36"/>
  <c r="BA221" i="36"/>
  <c r="BB737" i="36"/>
  <c r="BB752" i="36"/>
  <c r="BC751" i="36"/>
  <c r="BB711" i="36"/>
  <c r="CX424" i="36"/>
  <c r="DE518" i="36"/>
  <c r="AZ329" i="36"/>
  <c r="AZ341" i="36"/>
  <c r="BB540" i="36"/>
  <c r="CW193" i="36"/>
  <c r="AY263" i="36"/>
  <c r="AY264" i="36"/>
  <c r="AS305" i="36"/>
  <c r="AR306" i="36"/>
  <c r="BA296" i="36"/>
  <c r="BA337" i="36"/>
  <c r="BA5" i="36"/>
  <c r="BY601" i="36"/>
  <c r="BA418" i="36"/>
  <c r="BA23" i="36"/>
  <c r="BB443" i="36"/>
  <c r="BA400" i="36"/>
  <c r="CH238" i="36"/>
  <c r="CH279" i="36"/>
  <c r="CH237" i="36"/>
  <c r="CY18" i="36"/>
  <c r="DE332" i="36"/>
  <c r="DE331" i="36"/>
  <c r="DE310" i="36"/>
  <c r="BX711" i="36"/>
  <c r="BB615" i="36"/>
  <c r="BM615" i="36"/>
  <c r="BY697" i="36"/>
  <c r="BY696" i="36"/>
  <c r="AZ108" i="36"/>
  <c r="AZ107" i="36"/>
  <c r="AZ105" i="36"/>
  <c r="AZ61" i="36"/>
  <c r="AZ65" i="36"/>
  <c r="CI296" i="36"/>
  <c r="BQ305" i="36"/>
  <c r="AZ279" i="36"/>
  <c r="AZ237" i="36"/>
  <c r="AZ238" i="36"/>
  <c r="CC666" i="36"/>
  <c r="BE69" i="36"/>
  <c r="DE113" i="36"/>
  <c r="BE352" i="36"/>
  <c r="BB573" i="36"/>
  <c r="BB424" i="36"/>
  <c r="BC539" i="36"/>
  <c r="BC399" i="36"/>
  <c r="BQ583" i="36"/>
  <c r="AV24" i="36"/>
  <c r="BX713" i="36"/>
  <c r="BY820" i="36"/>
  <c r="CK615" i="36"/>
  <c r="CL631" i="36"/>
  <c r="CK589" i="36"/>
  <c r="CK320" i="36"/>
  <c r="BS101" i="36"/>
  <c r="BR57" i="36"/>
  <c r="AW621" i="36"/>
  <c r="AW650" i="36"/>
  <c r="DA138" i="36"/>
  <c r="AZ31" i="36"/>
  <c r="CY179" i="36"/>
  <c r="AZ827" i="36"/>
  <c r="AZ826" i="36"/>
  <c r="AZ850" i="36"/>
  <c r="AZ824" i="36"/>
  <c r="CL320" i="36"/>
  <c r="BA736" i="36"/>
  <c r="BN320" i="36"/>
  <c r="CC265" i="36"/>
  <c r="CN394" i="36"/>
  <c r="AZ625" i="36"/>
  <c r="AZ626" i="36"/>
  <c r="AZ657" i="36"/>
  <c r="AW436" i="36"/>
  <c r="AW47" i="36"/>
  <c r="CG795" i="36"/>
  <c r="CG722" i="36"/>
  <c r="CG721" i="36"/>
  <c r="AY804" i="36"/>
  <c r="AY815" i="36"/>
  <c r="BN51" i="36"/>
  <c r="CN486" i="36"/>
  <c r="CZ97" i="36"/>
  <c r="BC785" i="36"/>
  <c r="BB786" i="36"/>
  <c r="BB221" i="36"/>
  <c r="BC220" i="36"/>
  <c r="AW742" i="36"/>
  <c r="AW734" i="36"/>
  <c r="AW770" i="36"/>
  <c r="AW781" i="36"/>
  <c r="AW529" i="36"/>
  <c r="BO138" i="36"/>
  <c r="AW421" i="36"/>
  <c r="AW26" i="36"/>
  <c r="BN426" i="36"/>
  <c r="BO539" i="36"/>
  <c r="BN573" i="36"/>
  <c r="CY426" i="36"/>
  <c r="CZ442" i="36"/>
  <c r="CY399" i="36"/>
  <c r="CY476" i="36"/>
  <c r="BO751" i="36"/>
  <c r="CN583" i="36"/>
  <c r="AY236" i="36"/>
  <c r="AY274" i="36"/>
  <c r="AY232" i="36"/>
  <c r="BA229" i="36"/>
  <c r="AZ418" i="36"/>
  <c r="BC615" i="36"/>
  <c r="BD631" i="36"/>
  <c r="BC589" i="36"/>
  <c r="BC697" i="36"/>
  <c r="AX89" i="36"/>
  <c r="AX121" i="36"/>
  <c r="AX133" i="36"/>
  <c r="AT260" i="36"/>
  <c r="BY591" i="36"/>
  <c r="BA60" i="36"/>
  <c r="BA136" i="36"/>
  <c r="BA137" i="36"/>
  <c r="CA254" i="36"/>
  <c r="CB310" i="36"/>
  <c r="CI229" i="36"/>
  <c r="BC51" i="36"/>
  <c r="BE111" i="36"/>
  <c r="BE68" i="36"/>
  <c r="DE112" i="36"/>
  <c r="BP438" i="36"/>
  <c r="BB426" i="36"/>
  <c r="DF692" i="36"/>
  <c r="DF670" i="36"/>
  <c r="AV742" i="36"/>
  <c r="AV770" i="36"/>
  <c r="BV279" i="36"/>
  <c r="BV237" i="36"/>
  <c r="BV238" i="36"/>
  <c r="BM229" i="36"/>
  <c r="BP179" i="36"/>
  <c r="AU250" i="36"/>
  <c r="AU260" i="36"/>
  <c r="AU38" i="36"/>
  <c r="AU29" i="36"/>
  <c r="CV697" i="36"/>
  <c r="CV696" i="36"/>
  <c r="BB675" i="36"/>
  <c r="BA704" i="36"/>
  <c r="BA705" i="36"/>
  <c r="AV389" i="36"/>
  <c r="BN152" i="36"/>
  <c r="AV421" i="36"/>
  <c r="AV410" i="36"/>
  <c r="AY756" i="36"/>
  <c r="AY720" i="36"/>
  <c r="BE438" i="36"/>
  <c r="BB667" i="36"/>
  <c r="BA592" i="36"/>
  <c r="BA665" i="36"/>
  <c r="BA664" i="36"/>
  <c r="AZ30" i="36"/>
  <c r="BV795" i="36"/>
  <c r="CB220" i="36"/>
  <c r="DA583" i="36"/>
  <c r="BO601" i="36"/>
  <c r="BO680" i="36"/>
  <c r="BA453" i="36"/>
  <c r="BW728" i="36"/>
  <c r="BW22" i="36"/>
  <c r="BW830" i="36"/>
  <c r="CI761" i="36"/>
  <c r="AX234" i="36"/>
  <c r="AX275" i="36"/>
  <c r="CY573" i="36"/>
  <c r="CZ539" i="36"/>
  <c r="AY16" i="36"/>
  <c r="CK152" i="36"/>
  <c r="CZ305" i="36"/>
  <c r="AW743" i="36"/>
  <c r="BB315" i="36"/>
  <c r="BB345" i="36"/>
  <c r="BB344" i="36"/>
  <c r="BB347" i="36"/>
  <c r="AX360" i="36"/>
  <c r="AX389" i="36"/>
  <c r="AY228" i="36"/>
  <c r="AY6" i="36"/>
  <c r="AZ306" i="36"/>
  <c r="BB252" i="36"/>
  <c r="BC269" i="36"/>
  <c r="BB253" i="36"/>
  <c r="BB227" i="36"/>
  <c r="BB295" i="36"/>
  <c r="BB336" i="36"/>
  <c r="AZ401" i="36"/>
  <c r="DI381" i="36"/>
  <c r="DI354" i="36"/>
  <c r="DI380" i="36"/>
  <c r="DI352" i="36"/>
  <c r="CA138" i="36"/>
  <c r="BZ615" i="36"/>
  <c r="CA631" i="36"/>
  <c r="BZ589" i="36"/>
  <c r="AZ106" i="36"/>
  <c r="AZ62" i="36"/>
  <c r="AZ66" i="36"/>
  <c r="CJ252" i="36"/>
  <c r="CJ227" i="36"/>
  <c r="CJ296" i="36"/>
  <c r="CJ337" i="36"/>
  <c r="CK269" i="36"/>
  <c r="CJ295" i="36"/>
  <c r="CJ336" i="36"/>
  <c r="CH599" i="36"/>
  <c r="AW360" i="36"/>
  <c r="AW389" i="36"/>
  <c r="CB670" i="36"/>
  <c r="CN265" i="36"/>
  <c r="DD11" i="36"/>
  <c r="BL737" i="36"/>
  <c r="BM820" i="36"/>
  <c r="BL711" i="36"/>
  <c r="BF129" i="36"/>
  <c r="BF170" i="36"/>
  <c r="AV553" i="36"/>
  <c r="BP490" i="36"/>
  <c r="BW253" i="36"/>
  <c r="AY584" i="36"/>
  <c r="AY435" i="36"/>
  <c r="AX544" i="36"/>
  <c r="AX581" i="36"/>
  <c r="AX582" i="36"/>
  <c r="AX434" i="36"/>
  <c r="AX403" i="36"/>
  <c r="CG830" i="36"/>
  <c r="DI486" i="36"/>
  <c r="BW761" i="36"/>
  <c r="BQ81" i="36"/>
  <c r="AX63" i="36"/>
  <c r="BZ193" i="36"/>
  <c r="AZ357" i="36"/>
  <c r="AZ393" i="36"/>
  <c r="AZ392" i="36"/>
  <c r="AZ395" i="36"/>
  <c r="BW252" i="36"/>
  <c r="AV407" i="36"/>
  <c r="AV13" i="36"/>
  <c r="AR29" i="36"/>
  <c r="DD38" i="36"/>
  <c r="BB574" i="36"/>
  <c r="BB525" i="36"/>
  <c r="BB477" i="36"/>
  <c r="BB524" i="36"/>
  <c r="AZ674" i="36"/>
  <c r="AZ677" i="36"/>
  <c r="AZ676" i="36"/>
  <c r="CM210" i="36"/>
  <c r="CM84" i="36"/>
  <c r="CN183" i="36"/>
  <c r="BN253" i="36"/>
  <c r="BN227" i="36"/>
  <c r="BN296" i="36"/>
  <c r="BN337" i="36"/>
  <c r="BN252" i="36"/>
  <c r="BO269" i="36"/>
  <c r="BO336" i="36"/>
  <c r="BN295" i="36"/>
  <c r="CB438" i="36"/>
  <c r="CW615" i="36"/>
  <c r="CX631" i="36"/>
  <c r="CW589" i="36"/>
  <c r="AX804" i="36"/>
  <c r="AX815" i="36"/>
  <c r="AR139" i="36"/>
  <c r="AS138" i="36"/>
  <c r="BZ84" i="36"/>
  <c r="BA574" i="36"/>
  <c r="BA477" i="36"/>
  <c r="BA525" i="36"/>
  <c r="BA524" i="36"/>
  <c r="BA476" i="36"/>
  <c r="AY361" i="36"/>
  <c r="AY358" i="36"/>
  <c r="BW251" i="36"/>
  <c r="CN438" i="36"/>
  <c r="DA265" i="36"/>
  <c r="DD423" i="36"/>
  <c r="AR433" i="36"/>
  <c r="DD433" i="36"/>
  <c r="CN346" i="36"/>
  <c r="CZ666" i="36"/>
  <c r="BV830" i="36"/>
  <c r="CN220" i="36"/>
  <c r="DF706" i="36"/>
  <c r="AX419" i="36"/>
  <c r="AX24" i="36"/>
  <c r="AY676" i="36"/>
  <c r="BB499" i="36"/>
  <c r="BB535" i="36"/>
  <c r="AQ265" i="36"/>
  <c r="AP266" i="36"/>
  <c r="CF721" i="36"/>
  <c r="CJ697" i="36"/>
  <c r="CJ696" i="36"/>
  <c r="AY237" i="36"/>
  <c r="CI641" i="36"/>
  <c r="CI599" i="36"/>
  <c r="CI600" i="36"/>
  <c r="CH830" i="36"/>
  <c r="AV52" i="36"/>
  <c r="CA169" i="36"/>
  <c r="CB142" i="36"/>
  <c r="AT11" i="36"/>
  <c r="DE81" i="36"/>
  <c r="BB180" i="36"/>
  <c r="CY220" i="36"/>
  <c r="AZ148" i="36"/>
  <c r="DH520" i="36"/>
  <c r="CN524" i="36"/>
  <c r="DH524" i="36"/>
  <c r="DH490" i="36"/>
  <c r="BA32" i="36"/>
  <c r="AW550" i="36"/>
  <c r="AW408" i="36"/>
  <c r="BC33" i="36"/>
  <c r="BX737" i="36"/>
  <c r="DE83" i="36"/>
  <c r="BC305" i="36"/>
  <c r="BZ476" i="36"/>
  <c r="BY615" i="36"/>
  <c r="BD670" i="36"/>
  <c r="AX162" i="36"/>
  <c r="BO152" i="36"/>
  <c r="BA317" i="36"/>
  <c r="BA314" i="36"/>
  <c r="BZ680" i="36"/>
  <c r="BZ601" i="36"/>
  <c r="BK728" i="36"/>
  <c r="BK22" i="36"/>
  <c r="BK713" i="36"/>
  <c r="BG83" i="36"/>
  <c r="BH101" i="36"/>
  <c r="BG57" i="36"/>
  <c r="BN399" i="36"/>
  <c r="G83" i="14"/>
  <c r="AZ16" i="36"/>
  <c r="CM33" i="36"/>
  <c r="AW49" i="36"/>
  <c r="BW795" i="36"/>
  <c r="AY48" i="36"/>
  <c r="AZ498" i="36"/>
  <c r="AZ500" i="36"/>
  <c r="AY450" i="36"/>
  <c r="AY452" i="36"/>
  <c r="BO426" i="36"/>
  <c r="BC477" i="36"/>
  <c r="BC525" i="36"/>
  <c r="BC574" i="36"/>
  <c r="BC524" i="36"/>
  <c r="BC476" i="36"/>
  <c r="AV15" i="36"/>
  <c r="AV404" i="36"/>
  <c r="CE101" i="36"/>
  <c r="CD57" i="36"/>
  <c r="DE692" i="36"/>
  <c r="DE670" i="36"/>
  <c r="CY601" i="36"/>
  <c r="BA755" i="36"/>
  <c r="AS98" i="36"/>
  <c r="DD98" i="36"/>
  <c r="DD97" i="36"/>
  <c r="BD138" i="36"/>
  <c r="CB394" i="36"/>
  <c r="BC532" i="36"/>
  <c r="BC484" i="36"/>
  <c r="BC533" i="36"/>
  <c r="BC485" i="36"/>
  <c r="AW133" i="36"/>
  <c r="BB86" i="36"/>
  <c r="BB453" i="36"/>
  <c r="DA346" i="36"/>
  <c r="BN477" i="36"/>
  <c r="BN525" i="36"/>
  <c r="BN574" i="36"/>
  <c r="BN476" i="36"/>
  <c r="BN524" i="36"/>
  <c r="AZ792" i="36"/>
  <c r="AZ789" i="36"/>
  <c r="AW407" i="36"/>
  <c r="AW13" i="36"/>
  <c r="DH518" i="36"/>
  <c r="DH206" i="36"/>
  <c r="CN210" i="36"/>
  <c r="DH210" i="36"/>
  <c r="DH183" i="36"/>
  <c r="AV406" i="36"/>
  <c r="AV12" i="36"/>
  <c r="BA359" i="36"/>
  <c r="BA357" i="36"/>
  <c r="BA392" i="36"/>
  <c r="BA393" i="36"/>
  <c r="AX548" i="36"/>
  <c r="AX409" i="36"/>
  <c r="CJ251" i="36"/>
  <c r="BZ697" i="36"/>
  <c r="BZ696" i="36"/>
  <c r="BA425" i="36"/>
  <c r="BC252" i="36"/>
  <c r="BC253" i="36"/>
  <c r="BD269" i="36"/>
  <c r="BC227" i="36"/>
  <c r="BC295" i="36"/>
  <c r="BC336" i="36"/>
  <c r="CC220" i="36"/>
  <c r="BA625" i="36"/>
  <c r="BA626" i="36"/>
  <c r="BA657" i="36"/>
  <c r="BA628" i="36"/>
  <c r="BP539" i="36"/>
  <c r="BO424" i="36"/>
  <c r="BD785" i="36"/>
  <c r="BC786" i="36"/>
  <c r="DI138" i="36"/>
  <c r="BR59" i="36"/>
  <c r="CK591" i="36"/>
  <c r="DF305" i="36"/>
  <c r="CN477" i="36"/>
  <c r="DH477" i="36"/>
  <c r="CN574" i="36"/>
  <c r="DH574" i="36"/>
  <c r="CN525" i="36"/>
  <c r="DH525" i="36"/>
  <c r="DH399" i="36"/>
  <c r="BO320" i="36"/>
  <c r="DH332" i="36"/>
  <c r="DH331" i="36"/>
  <c r="DH310" i="36"/>
  <c r="BM641" i="36"/>
  <c r="BM600" i="36"/>
  <c r="BC315" i="36"/>
  <c r="BC345" i="36"/>
  <c r="BC344" i="36"/>
  <c r="CM152" i="36"/>
  <c r="AS394" i="36"/>
  <c r="AR395" i="36"/>
  <c r="AF51" i="36"/>
  <c r="AE52" i="36"/>
  <c r="CY193" i="36"/>
  <c r="CU296" i="36"/>
  <c r="CZ254" i="36"/>
  <c r="DI254" i="36"/>
  <c r="DI333" i="36"/>
  <c r="AV469" i="36"/>
  <c r="CM751" i="36"/>
  <c r="AX742" i="36"/>
  <c r="AX734" i="36"/>
  <c r="AX743" i="36"/>
  <c r="CC179" i="36"/>
  <c r="AV250" i="36"/>
  <c r="AV260" i="36"/>
  <c r="AW80" i="36"/>
  <c r="CC97" i="36"/>
  <c r="AY495" i="36"/>
  <c r="AW24" i="36"/>
  <c r="AW410" i="36"/>
  <c r="BC347" i="36"/>
  <c r="AX550" i="36"/>
  <c r="AX408" i="36"/>
  <c r="AV547" i="36"/>
  <c r="CK252" i="36"/>
  <c r="CK253" i="36"/>
  <c r="CK227" i="36"/>
  <c r="CK296" i="36"/>
  <c r="CK337" i="36"/>
  <c r="CL269" i="36"/>
  <c r="CK295" i="36"/>
  <c r="CK336" i="36"/>
  <c r="AZ447" i="36"/>
  <c r="AZ402" i="36"/>
  <c r="AX233" i="36"/>
  <c r="AY716" i="36"/>
  <c r="AV734" i="36"/>
  <c r="CK697" i="36"/>
  <c r="CK696" i="36"/>
  <c r="CN138" i="36"/>
  <c r="AY231" i="36"/>
  <c r="BC614" i="36"/>
  <c r="CV641" i="36"/>
  <c r="CV599" i="36"/>
  <c r="CV600" i="36"/>
  <c r="AW549" i="36"/>
  <c r="CO220" i="36"/>
  <c r="BO253" i="36"/>
  <c r="BO252" i="36"/>
  <c r="BO227" i="36"/>
  <c r="BO296" i="36"/>
  <c r="BO337" i="36"/>
  <c r="BP269" i="36"/>
  <c r="BP336" i="36"/>
  <c r="DF336" i="36"/>
  <c r="BO295" i="36"/>
  <c r="BZ591" i="36"/>
  <c r="AZ456" i="36"/>
  <c r="AZ414" i="36"/>
  <c r="BM279" i="36"/>
  <c r="BM237" i="36"/>
  <c r="BM238" i="36"/>
  <c r="BD51" i="36"/>
  <c r="DG331" i="36"/>
  <c r="DG332" i="36"/>
  <c r="DG310" i="36"/>
  <c r="BA95" i="36"/>
  <c r="BA96" i="36"/>
  <c r="BA98" i="36"/>
  <c r="BX761" i="36"/>
  <c r="BA279" i="36"/>
  <c r="BA237" i="36"/>
  <c r="BA238" i="36"/>
  <c r="BR81" i="36"/>
  <c r="CL615" i="36"/>
  <c r="CM631" i="36"/>
  <c r="CL589" i="36"/>
  <c r="BE17" i="36"/>
  <c r="DE69" i="36"/>
  <c r="BM761" i="36"/>
  <c r="CN426" i="36"/>
  <c r="DH426" i="36"/>
  <c r="DH472" i="36"/>
  <c r="BX251" i="36"/>
  <c r="BE627" i="36"/>
  <c r="BQ394" i="36"/>
  <c r="CA426" i="36"/>
  <c r="CA524" i="36"/>
  <c r="CB490" i="36"/>
  <c r="BC184" i="36"/>
  <c r="CN169" i="36"/>
  <c r="DH169" i="36"/>
  <c r="DH165" i="36"/>
  <c r="DH142" i="36"/>
  <c r="DH97" i="36"/>
  <c r="CI713" i="36"/>
  <c r="BA719" i="36"/>
  <c r="CC5" i="36"/>
  <c r="CC170" i="36"/>
  <c r="CC129" i="36"/>
  <c r="CU252" i="36"/>
  <c r="BE179" i="36"/>
  <c r="AP52" i="36"/>
  <c r="AQ51" i="36"/>
  <c r="AZ273" i="36"/>
  <c r="AZ231" i="36"/>
  <c r="AZ276" i="36"/>
  <c r="AZ235" i="36"/>
  <c r="CC305" i="36"/>
  <c r="BB504" i="36"/>
  <c r="BB498" i="36"/>
  <c r="AZ6" i="36"/>
  <c r="BB451" i="36"/>
  <c r="BA761" i="36"/>
  <c r="BA722" i="36"/>
  <c r="CK820" i="36"/>
  <c r="AX553" i="36"/>
  <c r="BA395" i="36"/>
  <c r="CZ220" i="36"/>
  <c r="DA666" i="36"/>
  <c r="AY544" i="36"/>
  <c r="AY582" i="36"/>
  <c r="AY434" i="36"/>
  <c r="AY581" i="36"/>
  <c r="AY403" i="36"/>
  <c r="AY437" i="36"/>
  <c r="CB138" i="36"/>
  <c r="BE67" i="36"/>
  <c r="DE111" i="36"/>
  <c r="BA230" i="36"/>
  <c r="BA266" i="36"/>
  <c r="BA303" i="36"/>
  <c r="BA304" i="36"/>
  <c r="BA401" i="36"/>
  <c r="DF332" i="36"/>
  <c r="DF331" i="36"/>
  <c r="DF310" i="36"/>
  <c r="BP785" i="36"/>
  <c r="CZ210" i="36"/>
  <c r="DI210" i="36"/>
  <c r="DI206" i="36"/>
  <c r="DI183" i="36"/>
  <c r="CW269" i="36"/>
  <c r="CV253" i="36"/>
  <c r="CV252" i="36"/>
  <c r="CV227" i="36"/>
  <c r="CV296" i="36"/>
  <c r="CV337" i="36"/>
  <c r="CV295" i="36"/>
  <c r="CV336" i="36"/>
  <c r="BY737" i="36"/>
  <c r="BZ785" i="36"/>
  <c r="BK830" i="36"/>
  <c r="BK722" i="36"/>
  <c r="BK721" i="36"/>
  <c r="CO346" i="36"/>
  <c r="BA677" i="36"/>
  <c r="BA676" i="36"/>
  <c r="BA674" i="36"/>
  <c r="BG170" i="36"/>
  <c r="BG129" i="36"/>
  <c r="AX174" i="36"/>
  <c r="CB169" i="36"/>
  <c r="DG169" i="36"/>
  <c r="DG165" i="36"/>
  <c r="DG142" i="36"/>
  <c r="BA635" i="36"/>
  <c r="BA638" i="36"/>
  <c r="BA597" i="36"/>
  <c r="DI265" i="36"/>
  <c r="CW697" i="36"/>
  <c r="CW696" i="36"/>
  <c r="AZ359" i="36"/>
  <c r="AX8" i="36"/>
  <c r="AX439" i="36"/>
  <c r="CJ229" i="36"/>
  <c r="CA615" i="36"/>
  <c r="CB631" i="36"/>
  <c r="CA589" i="36"/>
  <c r="CZ18" i="36"/>
  <c r="DI18" i="36"/>
  <c r="DI367" i="36"/>
  <c r="AZ429" i="36"/>
  <c r="BB251" i="36"/>
  <c r="DF672" i="36"/>
  <c r="BA106" i="36"/>
  <c r="BA62" i="36"/>
  <c r="BA66" i="36"/>
  <c r="AX80" i="36"/>
  <c r="AX92" i="36"/>
  <c r="CY525" i="36"/>
  <c r="CY574" i="36"/>
  <c r="CY477" i="36"/>
  <c r="CY524" i="36"/>
  <c r="CZ179" i="36"/>
  <c r="BS83" i="36"/>
  <c r="BS57" i="36"/>
  <c r="BT101" i="36"/>
  <c r="BD18" i="36"/>
  <c r="CI337" i="36"/>
  <c r="BC540" i="36"/>
  <c r="BD751" i="36"/>
  <c r="BC752" i="36"/>
  <c r="BC711" i="36"/>
  <c r="BQ346" i="36"/>
  <c r="BB395" i="36"/>
  <c r="AT566" i="36"/>
  <c r="AT432" i="36"/>
  <c r="CN424" i="36"/>
  <c r="DH470" i="36"/>
  <c r="BM795" i="36"/>
  <c r="CL193" i="36"/>
  <c r="BB641" i="36"/>
  <c r="BB599" i="36"/>
  <c r="BB600" i="36"/>
  <c r="BB203" i="36"/>
  <c r="BQ220" i="36"/>
  <c r="CC346" i="36"/>
  <c r="CU251" i="36"/>
  <c r="BC839" i="36"/>
  <c r="BF111" i="36"/>
  <c r="BF68" i="36"/>
  <c r="AZ264" i="36"/>
  <c r="AZ263" i="36"/>
  <c r="AZ266" i="36"/>
  <c r="DI312" i="36"/>
  <c r="BB146" i="36"/>
  <c r="BB149" i="36"/>
  <c r="AW405" i="36"/>
  <c r="AW14" i="36"/>
  <c r="DA394" i="36"/>
  <c r="AY63" i="36"/>
  <c r="BD399" i="36"/>
  <c r="DE442" i="36"/>
  <c r="BC487" i="36"/>
  <c r="CA399" i="36"/>
  <c r="BA30" i="36"/>
  <c r="BA728" i="36"/>
  <c r="BA22" i="36"/>
  <c r="CJ761" i="36"/>
  <c r="BA162" i="36"/>
  <c r="BA174" i="36"/>
  <c r="CM51" i="36"/>
  <c r="BB680" i="36"/>
  <c r="CI830" i="36"/>
  <c r="BO399" i="36"/>
  <c r="CA152" i="36"/>
  <c r="CC438" i="36"/>
  <c r="BM737" i="36"/>
  <c r="BN820" i="36"/>
  <c r="BM711" i="36"/>
  <c r="BB229" i="36"/>
  <c r="BY253" i="36"/>
  <c r="BZ269" i="36"/>
  <c r="BY227" i="36"/>
  <c r="BY296" i="36"/>
  <c r="BY337" i="36"/>
  <c r="BY295" i="36"/>
  <c r="BY336" i="36"/>
  <c r="CZ51" i="36"/>
  <c r="BH83" i="36"/>
  <c r="BI101" i="36"/>
  <c r="BH57" i="36"/>
  <c r="BD305" i="36"/>
  <c r="AV549" i="36"/>
  <c r="AS139" i="36"/>
  <c r="DD139" i="36"/>
  <c r="DD138" i="36"/>
  <c r="CW591" i="36"/>
  <c r="BN229" i="36"/>
  <c r="AZ361" i="36"/>
  <c r="AZ358" i="36"/>
  <c r="AX436" i="36"/>
  <c r="AX47" i="36"/>
  <c r="AX49" i="36"/>
  <c r="CJ253" i="36"/>
  <c r="BB592" i="36"/>
  <c r="BB665" i="36"/>
  <c r="BB664" i="36"/>
  <c r="AV26" i="36"/>
  <c r="BA108" i="36"/>
  <c r="BA105" i="36"/>
  <c r="BA65" i="36"/>
  <c r="CZ399" i="36"/>
  <c r="CZ476" i="36"/>
  <c r="DI476" i="36"/>
  <c r="DI442" i="36"/>
  <c r="DA97" i="36"/>
  <c r="BO51" i="36"/>
  <c r="CO394" i="36"/>
  <c r="AY19" i="36"/>
  <c r="AY364" i="36"/>
  <c r="AY360" i="36"/>
  <c r="AW661" i="36"/>
  <c r="BR83" i="36"/>
  <c r="BZ820" i="36"/>
  <c r="DF583" i="36"/>
  <c r="BD67" i="36"/>
  <c r="DE312" i="36"/>
  <c r="BB712" i="36"/>
  <c r="BD394" i="36"/>
  <c r="BY711" i="36"/>
  <c r="DA438" i="36"/>
  <c r="AV815" i="36"/>
  <c r="CJ737" i="36"/>
  <c r="CK785" i="36"/>
  <c r="CJ711" i="36"/>
  <c r="BB188" i="36"/>
  <c r="BB218" i="36"/>
  <c r="BB219" i="36"/>
  <c r="CC69" i="36"/>
  <c r="CC17" i="36"/>
  <c r="CC59" i="36"/>
  <c r="CU253" i="36"/>
  <c r="BB830" i="36"/>
  <c r="BF69" i="36"/>
  <c r="AZ274" i="36"/>
  <c r="AZ236" i="36"/>
  <c r="BN697" i="36"/>
  <c r="BN696" i="36"/>
  <c r="BD180" i="36"/>
  <c r="BC147" i="36"/>
  <c r="BC178" i="36"/>
  <c r="BC177" i="36"/>
  <c r="AZ215" i="36"/>
  <c r="AX20" i="36"/>
  <c r="BA790" i="36"/>
  <c r="CB399" i="36"/>
  <c r="CB476" i="36"/>
  <c r="DG442" i="36"/>
  <c r="DH567" i="36"/>
  <c r="BQ438" i="36"/>
  <c r="BB60" i="36"/>
  <c r="BB98" i="36"/>
  <c r="BC139" i="36"/>
  <c r="BB136" i="36"/>
  <c r="BB137" i="36"/>
  <c r="BP751" i="36"/>
  <c r="AZ377" i="36"/>
  <c r="BF352" i="36"/>
  <c r="BQ352" i="36"/>
  <c r="DE352" i="36"/>
  <c r="BE5" i="36"/>
  <c r="BB728" i="36"/>
  <c r="BB22" i="36"/>
  <c r="BB713" i="36"/>
  <c r="CH728" i="36"/>
  <c r="CM320" i="36"/>
  <c r="BX337" i="36"/>
  <c r="BI210" i="36"/>
  <c r="BI84" i="36"/>
  <c r="BJ183" i="36"/>
  <c r="BI169" i="36"/>
  <c r="CA751" i="36"/>
  <c r="BZ711" i="36"/>
  <c r="DH305" i="36"/>
  <c r="CI737" i="36"/>
  <c r="BW279" i="36"/>
  <c r="BW238" i="36"/>
  <c r="AU433" i="36"/>
  <c r="AU11" i="36"/>
  <c r="AZ756" i="36"/>
  <c r="AZ720" i="36"/>
  <c r="AZ716" i="36"/>
  <c r="CO83" i="36"/>
  <c r="CO32" i="36"/>
  <c r="CP101" i="36"/>
  <c r="CO57" i="36"/>
  <c r="DA101" i="36"/>
  <c r="BC821" i="36"/>
  <c r="BD820" i="36"/>
  <c r="BP631" i="36"/>
  <c r="BO615" i="36"/>
  <c r="BO589" i="36"/>
  <c r="DG567" i="36"/>
  <c r="BQ486" i="36"/>
  <c r="CB486" i="36"/>
  <c r="BD265" i="36"/>
  <c r="BA792" i="36"/>
  <c r="BA789" i="36"/>
  <c r="BE97" i="36"/>
  <c r="CN573" i="36"/>
  <c r="DH573" i="36"/>
  <c r="CY631" i="36"/>
  <c r="CX615" i="36"/>
  <c r="CX589" i="36"/>
  <c r="DF520" i="36"/>
  <c r="DF490" i="36"/>
  <c r="CZ573" i="36"/>
  <c r="DI573" i="36"/>
  <c r="DI569" i="36"/>
  <c r="DI539" i="36"/>
  <c r="CO583" i="36"/>
  <c r="BG69" i="36"/>
  <c r="BG17" i="36"/>
  <c r="BG59" i="36"/>
  <c r="BC680" i="36"/>
  <c r="BC601" i="36"/>
  <c r="BC17" i="36"/>
  <c r="AR265" i="36"/>
  <c r="AQ266" i="36"/>
  <c r="AZ689" i="36"/>
  <c r="AZ701" i="36"/>
  <c r="BB705" i="36"/>
  <c r="BB704" i="36"/>
  <c r="CI279" i="36"/>
  <c r="CI238" i="36"/>
  <c r="BP138" i="36"/>
  <c r="CO486" i="36"/>
  <c r="AW612" i="36"/>
  <c r="DE330" i="36"/>
  <c r="BC443" i="36"/>
  <c r="BB400" i="36"/>
  <c r="CH795" i="36"/>
  <c r="CH722" i="36"/>
  <c r="BX229" i="36"/>
  <c r="BQ111" i="36"/>
  <c r="BQ67" i="36"/>
  <c r="BQ68" i="36"/>
  <c r="BQ16" i="36"/>
  <c r="AY718" i="36"/>
  <c r="BY713" i="36"/>
  <c r="BA31" i="36"/>
  <c r="AX437" i="36"/>
  <c r="AX48" i="36"/>
  <c r="AX50" i="36"/>
  <c r="AZ755" i="36"/>
  <c r="AZ758" i="36"/>
  <c r="AZ719" i="36"/>
  <c r="BA714" i="36"/>
  <c r="BE491" i="36"/>
  <c r="DF154" i="36"/>
  <c r="DF144" i="36"/>
  <c r="BN591" i="36"/>
  <c r="BC143" i="36"/>
  <c r="BB736" i="36"/>
  <c r="BD487" i="36"/>
  <c r="CJ641" i="36"/>
  <c r="CJ599" i="36"/>
  <c r="CJ600" i="36"/>
  <c r="CA424" i="36"/>
  <c r="CT238" i="36"/>
  <c r="CT279" i="36"/>
  <c r="BC86" i="36"/>
  <c r="BC102" i="36"/>
  <c r="BB58" i="36"/>
  <c r="BQ265" i="36"/>
  <c r="BB707" i="36"/>
  <c r="AY415" i="36"/>
  <c r="AY20" i="36"/>
  <c r="BD671" i="36"/>
  <c r="AY517" i="36"/>
  <c r="AX450" i="36"/>
  <c r="AX452" i="36"/>
  <c r="BD535" i="36"/>
  <c r="BC499" i="36"/>
  <c r="BC535" i="36"/>
  <c r="CO265" i="36"/>
  <c r="DI378" i="36"/>
  <c r="BB314" i="36"/>
  <c r="BB317" i="36"/>
  <c r="BB316" i="36"/>
  <c r="DA305" i="36"/>
  <c r="BA316" i="36"/>
  <c r="CO438" i="36"/>
  <c r="BN251" i="36"/>
  <c r="DD29" i="36"/>
  <c r="AR46" i="36"/>
  <c r="DD46" i="36"/>
  <c r="AR44" i="36"/>
  <c r="DG692" i="36"/>
  <c r="DG670" i="36"/>
  <c r="BB296" i="36"/>
  <c r="BB337" i="36"/>
  <c r="BB5" i="36"/>
  <c r="DE438" i="36"/>
  <c r="BQ179" i="36"/>
  <c r="BA504" i="36"/>
  <c r="BC591" i="36"/>
  <c r="AZ23" i="36"/>
  <c r="CY424" i="36"/>
  <c r="BC221" i="36"/>
  <c r="BD220" i="36"/>
  <c r="BG81" i="36"/>
  <c r="BC696" i="36"/>
  <c r="CX152" i="36"/>
  <c r="BW722" i="36"/>
  <c r="BW721" i="36"/>
  <c r="AY421" i="36"/>
  <c r="AY26" i="36"/>
  <c r="BL728" i="36"/>
  <c r="BL713" i="36"/>
  <c r="CA680" i="36"/>
  <c r="CA601" i="36"/>
  <c r="BB32" i="36"/>
  <c r="BB501" i="36"/>
  <c r="DI583" i="36"/>
  <c r="AV781" i="36"/>
  <c r="BE16" i="36"/>
  <c r="DE68" i="36"/>
  <c r="CA320" i="36"/>
  <c r="BY641" i="36"/>
  <c r="BY599" i="36"/>
  <c r="BY600" i="36"/>
  <c r="BD589" i="36"/>
  <c r="BD696" i="36"/>
  <c r="DE696" i="36"/>
  <c r="DE631" i="36"/>
  <c r="AZ650" i="36"/>
  <c r="AZ661" i="36"/>
  <c r="DG265" i="36"/>
  <c r="BR129" i="36"/>
  <c r="BR170" i="36"/>
  <c r="BD539" i="36"/>
  <c r="BC573" i="36"/>
  <c r="BC424" i="36"/>
  <c r="BC426" i="36"/>
  <c r="AZ64" i="36"/>
  <c r="BD254" i="36"/>
  <c r="DE333" i="36"/>
  <c r="AS306" i="36"/>
  <c r="DD306" i="36"/>
  <c r="DD305" i="36"/>
  <c r="AY329" i="36"/>
  <c r="CB210" i="36"/>
  <c r="DG210" i="36"/>
  <c r="DG206" i="36"/>
  <c r="DG183" i="36"/>
  <c r="BH193" i="36"/>
  <c r="AY275" i="36"/>
  <c r="AY234" i="36"/>
  <c r="DI692" i="36"/>
  <c r="DI670" i="36"/>
  <c r="BA795" i="36"/>
  <c r="DF472" i="36"/>
  <c r="AW259" i="36"/>
  <c r="AW288" i="36"/>
  <c r="CC51" i="36"/>
  <c r="BD618" i="36"/>
  <c r="BD632" i="36"/>
  <c r="BC590" i="36"/>
  <c r="BA190" i="36"/>
  <c r="BA189" i="36"/>
  <c r="BA187" i="36"/>
  <c r="DF97" i="36"/>
  <c r="CC81" i="36"/>
  <c r="CU229" i="36"/>
  <c r="CZ169" i="36"/>
  <c r="DI169" i="36"/>
  <c r="DI165" i="36"/>
  <c r="DI142" i="36"/>
  <c r="BB139" i="36"/>
  <c r="BC667" i="36"/>
  <c r="BJ721" i="36"/>
  <c r="BX728" i="36"/>
  <c r="BX22" i="36"/>
  <c r="BB82" i="36"/>
  <c r="BA636" i="36"/>
  <c r="BA598" i="36"/>
  <c r="BA594" i="36"/>
  <c r="AW50" i="36"/>
  <c r="BB628" i="36"/>
  <c r="CH721" i="36"/>
  <c r="BX795" i="36"/>
  <c r="BB795" i="36"/>
  <c r="BC675" i="36"/>
  <c r="AX549" i="36"/>
  <c r="AW15" i="36"/>
  <c r="AW404" i="36"/>
  <c r="AW9" i="36"/>
  <c r="BB825" i="36"/>
  <c r="BA498" i="36"/>
  <c r="BA500" i="36"/>
  <c r="AY389" i="36"/>
  <c r="BB827" i="36"/>
  <c r="BB826" i="36"/>
  <c r="BB850" i="36"/>
  <c r="BB824" i="36"/>
  <c r="BC677" i="36"/>
  <c r="BC676" i="36"/>
  <c r="BC674" i="36"/>
  <c r="DE97" i="36"/>
  <c r="BB761" i="36"/>
  <c r="BB722" i="36"/>
  <c r="BB721" i="36"/>
  <c r="CC111" i="36"/>
  <c r="CC67" i="36"/>
  <c r="CC68" i="36"/>
  <c r="CC16" i="36"/>
  <c r="BC636" i="36"/>
  <c r="BC598" i="36"/>
  <c r="BC594" i="36"/>
  <c r="AW10" i="36"/>
  <c r="AT578" i="36"/>
  <c r="BA447" i="36"/>
  <c r="BA415" i="36"/>
  <c r="BA20" i="36"/>
  <c r="BA402" i="36"/>
  <c r="BA7" i="36"/>
  <c r="BB638" i="36"/>
  <c r="BB637" i="36"/>
  <c r="BB635" i="36"/>
  <c r="BB597" i="36"/>
  <c r="CK251" i="36"/>
  <c r="AS395" i="36"/>
  <c r="DD395" i="36"/>
  <c r="DD394" i="36"/>
  <c r="DF569" i="36"/>
  <c r="BP424" i="36"/>
  <c r="DF539" i="36"/>
  <c r="BC296" i="36"/>
  <c r="BC337" i="36"/>
  <c r="BC5" i="36"/>
  <c r="CN84" i="36"/>
  <c r="DH207" i="36"/>
  <c r="CE83" i="36"/>
  <c r="CE32" i="36"/>
  <c r="CF101" i="36"/>
  <c r="CE57" i="36"/>
  <c r="BD614" i="36"/>
  <c r="BP426" i="36"/>
  <c r="DF426" i="36"/>
  <c r="AY233" i="36"/>
  <c r="BD591" i="36"/>
  <c r="DE591" i="36"/>
  <c r="DE633" i="36"/>
  <c r="DF265" i="36"/>
  <c r="AZ757" i="36"/>
  <c r="BY761" i="36"/>
  <c r="CA193" i="36"/>
  <c r="DH486" i="36"/>
  <c r="CX697" i="36"/>
  <c r="CX696" i="36"/>
  <c r="CO81" i="36"/>
  <c r="DE381" i="36"/>
  <c r="V178" i="14"/>
  <c r="U178" i="14"/>
  <c r="BE33" i="36"/>
  <c r="DF751" i="36"/>
  <c r="DF438" i="36"/>
  <c r="BC453" i="36"/>
  <c r="BD320" i="36"/>
  <c r="DE320" i="36"/>
  <c r="DE321" i="36"/>
  <c r="BE305" i="36"/>
  <c r="DA51" i="36"/>
  <c r="BY251" i="36"/>
  <c r="BM728" i="36"/>
  <c r="BM22" i="36"/>
  <c r="BM713" i="36"/>
  <c r="CA477" i="36"/>
  <c r="CA525" i="36"/>
  <c r="CA574" i="36"/>
  <c r="CA573" i="36"/>
  <c r="CA476" i="36"/>
  <c r="DG476" i="36"/>
  <c r="DE470" i="36"/>
  <c r="BB148" i="36"/>
  <c r="BC737" i="36"/>
  <c r="CA697" i="36"/>
  <c r="CA696" i="36"/>
  <c r="BA593" i="36"/>
  <c r="BA596" i="36"/>
  <c r="BA595" i="36"/>
  <c r="BB425" i="36"/>
  <c r="BA276" i="36"/>
  <c r="BA235" i="36"/>
  <c r="BA273" i="36"/>
  <c r="BA231" i="36"/>
  <c r="AY436" i="36"/>
  <c r="AY47" i="36"/>
  <c r="DG305" i="36"/>
  <c r="AZ275" i="36"/>
  <c r="AZ234" i="36"/>
  <c r="CI795" i="36"/>
  <c r="CI722" i="36"/>
  <c r="CM615" i="36"/>
  <c r="CN631" i="36"/>
  <c r="CM589" i="36"/>
  <c r="DG330" i="36"/>
  <c r="BA377" i="36"/>
  <c r="AZ415" i="36"/>
  <c r="AZ20" i="36"/>
  <c r="AX407" i="36"/>
  <c r="AX13" i="36"/>
  <c r="DG97" i="36"/>
  <c r="AW92" i="36"/>
  <c r="AZ621" i="36"/>
  <c r="AZ612" i="36"/>
  <c r="AZ622" i="36"/>
  <c r="BC229" i="36"/>
  <c r="AW406" i="36"/>
  <c r="AW12" i="36"/>
  <c r="BC451" i="36"/>
  <c r="BE138" i="36"/>
  <c r="CD83" i="36"/>
  <c r="AY439" i="36"/>
  <c r="BD143" i="36"/>
  <c r="AW622" i="36"/>
  <c r="AR266" i="36"/>
  <c r="AS265" i="36"/>
  <c r="CC486" i="36"/>
  <c r="CN51" i="36"/>
  <c r="BC713" i="36"/>
  <c r="DI195" i="36"/>
  <c r="DI185" i="36"/>
  <c r="DA220" i="36"/>
  <c r="DG312" i="36"/>
  <c r="AZ63" i="36"/>
  <c r="DI305" i="36"/>
  <c r="BC400" i="36"/>
  <c r="BD443" i="36"/>
  <c r="CI237" i="36"/>
  <c r="CX591" i="36"/>
  <c r="BZ713" i="36"/>
  <c r="BX830" i="36"/>
  <c r="CZ574" i="36"/>
  <c r="DI574" i="36"/>
  <c r="CZ525" i="36"/>
  <c r="DI525" i="36"/>
  <c r="CZ477" i="36"/>
  <c r="DI477" i="36"/>
  <c r="DI399" i="36"/>
  <c r="CZ524" i="36"/>
  <c r="DI524" i="36"/>
  <c r="BN737" i="36"/>
  <c r="BO820" i="36"/>
  <c r="BN711" i="36"/>
  <c r="BO574" i="36"/>
  <c r="BO525" i="36"/>
  <c r="BO477" i="36"/>
  <c r="BO476" i="36"/>
  <c r="BO524" i="36"/>
  <c r="DE472" i="36"/>
  <c r="BU101" i="36"/>
  <c r="BT57" i="36"/>
  <c r="CA591" i="36"/>
  <c r="BA637" i="36"/>
  <c r="DG154" i="36"/>
  <c r="DG144" i="36"/>
  <c r="BA689" i="36"/>
  <c r="BA701" i="36"/>
  <c r="CA785" i="36"/>
  <c r="DI204" i="36"/>
  <c r="DF312" i="36"/>
  <c r="BA414" i="36"/>
  <c r="BA263" i="36"/>
  <c r="BA264" i="36"/>
  <c r="BA721" i="36"/>
  <c r="BA715" i="36"/>
  <c r="CI728" i="36"/>
  <c r="CI22" i="36"/>
  <c r="DF394" i="36"/>
  <c r="AZ450" i="36"/>
  <c r="AZ452" i="36"/>
  <c r="AV743" i="36"/>
  <c r="AX566" i="36"/>
  <c r="AX578" i="36"/>
  <c r="BM599" i="36"/>
  <c r="DH312" i="36"/>
  <c r="CK641" i="36"/>
  <c r="CK600" i="36"/>
  <c r="BC795" i="36"/>
  <c r="BD227" i="36"/>
  <c r="BD295" i="36"/>
  <c r="DE295" i="36"/>
  <c r="DE269" i="36"/>
  <c r="BD336" i="36"/>
  <c r="BD485" i="36"/>
  <c r="BD532" i="36"/>
  <c r="BD484" i="36"/>
  <c r="BD533" i="36"/>
  <c r="AZ162" i="36"/>
  <c r="AR45" i="36"/>
  <c r="DD45" i="36"/>
  <c r="DD44" i="36"/>
  <c r="BY252" i="36"/>
  <c r="DF330" i="36"/>
  <c r="AZ19" i="36"/>
  <c r="AZ364" i="36"/>
  <c r="AZ360" i="36"/>
  <c r="AZ7" i="36"/>
  <c r="DI154" i="36"/>
  <c r="DI144" i="36"/>
  <c r="BB677" i="36"/>
  <c r="BB676" i="36"/>
  <c r="BB674" i="36"/>
  <c r="BC641" i="36"/>
  <c r="BC599" i="36"/>
  <c r="BC600" i="36"/>
  <c r="CT237" i="36"/>
  <c r="BC830" i="36"/>
  <c r="AW469" i="36"/>
  <c r="AW481" i="36"/>
  <c r="DG51" i="36"/>
  <c r="AY341" i="36"/>
  <c r="BE220" i="36"/>
  <c r="AY529" i="36"/>
  <c r="AY717" i="36"/>
  <c r="BB418" i="36"/>
  <c r="DI567" i="36"/>
  <c r="CB751" i="36"/>
  <c r="BQ33" i="36"/>
  <c r="BQ32" i="36"/>
  <c r="BR352" i="36"/>
  <c r="BQ5" i="36"/>
  <c r="DG470" i="36"/>
  <c r="BC188" i="36"/>
  <c r="BD221" i="36"/>
  <c r="BC219" i="36"/>
  <c r="BC218" i="36"/>
  <c r="DH394" i="36"/>
  <c r="CZ424" i="36"/>
  <c r="DI470" i="36"/>
  <c r="BH170" i="36"/>
  <c r="BH129" i="36"/>
  <c r="BB790" i="36"/>
  <c r="BD540" i="36"/>
  <c r="BS129" i="36"/>
  <c r="BS170" i="36"/>
  <c r="BB30" i="36"/>
  <c r="CB589" i="36"/>
  <c r="DG631" i="36"/>
  <c r="CV229" i="36"/>
  <c r="CZ84" i="36"/>
  <c r="DI207" i="36"/>
  <c r="BA429" i="36"/>
  <c r="BA35" i="36"/>
  <c r="AZ544" i="36"/>
  <c r="AZ582" i="36"/>
  <c r="AZ434" i="36"/>
  <c r="AZ581" i="36"/>
  <c r="AZ403" i="36"/>
  <c r="AZ584" i="36"/>
  <c r="AZ435" i="36"/>
  <c r="AQ52" i="36"/>
  <c r="AR51" i="36"/>
  <c r="BD184" i="36"/>
  <c r="DE627" i="36"/>
  <c r="CL591" i="36"/>
  <c r="BA16" i="36"/>
  <c r="BO229" i="36"/>
  <c r="CY152" i="36"/>
  <c r="AX547" i="36"/>
  <c r="CN751" i="36"/>
  <c r="BA825" i="36"/>
  <c r="AX421" i="36"/>
  <c r="BC32" i="36"/>
  <c r="AV11" i="36"/>
  <c r="AY689" i="36"/>
  <c r="CY680" i="36"/>
  <c r="CD59" i="36"/>
  <c r="BW237" i="36"/>
  <c r="BD315" i="36"/>
  <c r="BD344" i="36"/>
  <c r="BD345" i="36"/>
  <c r="BD347" i="36"/>
  <c r="BA228" i="36"/>
  <c r="BA6" i="36"/>
  <c r="BA306" i="36"/>
  <c r="CL697" i="36"/>
  <c r="CL696" i="36"/>
  <c r="BN795" i="36"/>
  <c r="DI672" i="36"/>
  <c r="BL22" i="36"/>
  <c r="BB329" i="36"/>
  <c r="BB341" i="36"/>
  <c r="DE695" i="36"/>
  <c r="BE671" i="36"/>
  <c r="BN641" i="36"/>
  <c r="BN599" i="36"/>
  <c r="BN600" i="36"/>
  <c r="BX279" i="36"/>
  <c r="BX237" i="36"/>
  <c r="BX238" i="36"/>
  <c r="BB401" i="36"/>
  <c r="BQ138" i="36"/>
  <c r="BG111" i="36"/>
  <c r="BG67" i="36"/>
  <c r="BG68" i="36"/>
  <c r="BG16" i="36"/>
  <c r="CY615" i="36"/>
  <c r="CZ631" i="36"/>
  <c r="CY589" i="36"/>
  <c r="BA791" i="36"/>
  <c r="DF486" i="36"/>
  <c r="BO697" i="36"/>
  <c r="BO696" i="36"/>
  <c r="CH22" i="36"/>
  <c r="BE18" i="36"/>
  <c r="DE18" i="36"/>
  <c r="DE367" i="36"/>
  <c r="CB574" i="36"/>
  <c r="DG574" i="36"/>
  <c r="CB525" i="36"/>
  <c r="CB477" i="36"/>
  <c r="DG477" i="36"/>
  <c r="CB573" i="36"/>
  <c r="DG399" i="36"/>
  <c r="BE394" i="36"/>
  <c r="CZ426" i="36"/>
  <c r="DI426" i="36"/>
  <c r="DI472" i="36"/>
  <c r="BN279" i="36"/>
  <c r="BN237" i="36"/>
  <c r="BN238" i="36"/>
  <c r="BH59" i="36"/>
  <c r="BF16" i="36"/>
  <c r="BS69" i="36"/>
  <c r="BS17" i="36"/>
  <c r="BS59" i="36"/>
  <c r="DE67" i="36"/>
  <c r="V143" i="14"/>
  <c r="U143" i="14"/>
  <c r="CJ830" i="36"/>
  <c r="BC203" i="36"/>
  <c r="BE51" i="36"/>
  <c r="BP227" i="36"/>
  <c r="BP295" i="36"/>
  <c r="DF295" i="36"/>
  <c r="DF269" i="36"/>
  <c r="CN254" i="36"/>
  <c r="DH254" i="36"/>
  <c r="DH333" i="36"/>
  <c r="BR69" i="36"/>
  <c r="DE807" i="36"/>
  <c r="BD786" i="36"/>
  <c r="DE785" i="36"/>
  <c r="AZ791" i="36"/>
  <c r="DI346" i="36"/>
  <c r="DE672" i="36"/>
  <c r="CD81" i="36"/>
  <c r="AV9" i="36"/>
  <c r="AZ35" i="36"/>
  <c r="CQ101" i="36"/>
  <c r="CP57" i="36"/>
  <c r="BB108" i="36"/>
  <c r="BB107" i="36"/>
  <c r="BB105" i="36"/>
  <c r="BB65" i="36"/>
  <c r="BD574" i="36"/>
  <c r="DE574" i="36"/>
  <c r="BD525" i="36"/>
  <c r="DE525" i="36"/>
  <c r="BD477" i="36"/>
  <c r="DE477" i="36"/>
  <c r="BD524" i="36"/>
  <c r="DE524" i="36"/>
  <c r="DE399" i="36"/>
  <c r="BA361" i="36"/>
  <c r="BA215" i="36"/>
  <c r="DG195" i="36"/>
  <c r="DG185" i="36"/>
  <c r="BB500" i="36"/>
  <c r="BL830" i="36"/>
  <c r="BL722" i="36"/>
  <c r="DG672" i="36"/>
  <c r="DH438" i="36"/>
  <c r="BD102" i="36"/>
  <c r="BC58" i="36"/>
  <c r="CK761" i="36"/>
  <c r="BB714" i="36"/>
  <c r="BP399" i="36"/>
  <c r="DA83" i="36"/>
  <c r="DA32" i="36"/>
  <c r="DA57" i="36"/>
  <c r="AU46" i="36"/>
  <c r="AU44" i="36"/>
  <c r="AU45" i="36"/>
  <c r="DE378" i="36"/>
  <c r="V180" i="14"/>
  <c r="U180" i="14"/>
  <c r="BE30" i="36"/>
  <c r="BD139" i="36"/>
  <c r="BC60" i="36"/>
  <c r="BC136" i="36"/>
  <c r="BC137" i="36"/>
  <c r="CB426" i="36"/>
  <c r="DG426" i="36"/>
  <c r="DG472" i="36"/>
  <c r="BC149" i="36"/>
  <c r="BC148" i="36"/>
  <c r="BC146" i="36"/>
  <c r="AZ232" i="36"/>
  <c r="BB190" i="36"/>
  <c r="BB189" i="36"/>
  <c r="BB187" i="36"/>
  <c r="BP51" i="36"/>
  <c r="BB626" i="36"/>
  <c r="BB625" i="36"/>
  <c r="BB657" i="36"/>
  <c r="BH81" i="36"/>
  <c r="BY229" i="36"/>
  <c r="BB230" i="36"/>
  <c r="BB306" i="36"/>
  <c r="BB303" i="36"/>
  <c r="BB304" i="36"/>
  <c r="DG438" i="36"/>
  <c r="DI394" i="36"/>
  <c r="BF67" i="36"/>
  <c r="DH424" i="36"/>
  <c r="BS81" i="36"/>
  <c r="BP680" i="36"/>
  <c r="DF680" i="36"/>
  <c r="DF681" i="36"/>
  <c r="AX52" i="36"/>
  <c r="CW252" i="36"/>
  <c r="CX269" i="36"/>
  <c r="CW227" i="36"/>
  <c r="CW296" i="36"/>
  <c r="CW337" i="36"/>
  <c r="CW295" i="36"/>
  <c r="CW336" i="36"/>
  <c r="BP254" i="36"/>
  <c r="DF254" i="36"/>
  <c r="DF333" i="36"/>
  <c r="AY548" i="36"/>
  <c r="AY409" i="36"/>
  <c r="CL820" i="36"/>
  <c r="DG520" i="36"/>
  <c r="CB524" i="36"/>
  <c r="DG524" i="36"/>
  <c r="CB424" i="36"/>
  <c r="DG490" i="36"/>
  <c r="BX722" i="36"/>
  <c r="BX721" i="36"/>
  <c r="CB254" i="36"/>
  <c r="DG254" i="36"/>
  <c r="DG333" i="36"/>
  <c r="BZ641" i="36"/>
  <c r="BZ599" i="36"/>
  <c r="BZ600" i="36"/>
  <c r="CO138" i="36"/>
  <c r="CK229" i="36"/>
  <c r="AZ89" i="36"/>
  <c r="AZ121" i="36"/>
  <c r="AZ133" i="36"/>
  <c r="BC251" i="36"/>
  <c r="BB357" i="36"/>
  <c r="BB392" i="36"/>
  <c r="BB393" i="36"/>
  <c r="BD615" i="36"/>
  <c r="DE615" i="36"/>
  <c r="DE653" i="36"/>
  <c r="AZ715" i="36"/>
  <c r="AZ718" i="36"/>
  <c r="AZ717" i="36"/>
  <c r="DE842" i="36"/>
  <c r="BD821" i="36"/>
  <c r="DE820" i="36"/>
  <c r="DE380" i="36"/>
  <c r="V181" i="14"/>
  <c r="U181" i="14"/>
  <c r="BE32" i="36"/>
  <c r="CJ728" i="36"/>
  <c r="CJ22" i="36"/>
  <c r="CJ713" i="36"/>
  <c r="BA107" i="36"/>
  <c r="DA179" i="36"/>
  <c r="BA756" i="36"/>
  <c r="BA720" i="36"/>
  <c r="BA716" i="36"/>
  <c r="CU279" i="36"/>
  <c r="CU237" i="36"/>
  <c r="CU238" i="36"/>
  <c r="AW300" i="36"/>
  <c r="AY419" i="36"/>
  <c r="AY553" i="36"/>
  <c r="BC82" i="36"/>
  <c r="BP152" i="36"/>
  <c r="DF152" i="36"/>
  <c r="DF153" i="36"/>
  <c r="DH583" i="36"/>
  <c r="DF518" i="36"/>
  <c r="BO591" i="36"/>
  <c r="CO5" i="36"/>
  <c r="CO129" i="36"/>
  <c r="CO170" i="36"/>
  <c r="AY121" i="36"/>
  <c r="BG352" i="36"/>
  <c r="BF5" i="36"/>
  <c r="BB95" i="36"/>
  <c r="BB96" i="36"/>
  <c r="BD147" i="36"/>
  <c r="BD177" i="36"/>
  <c r="BD178" i="36"/>
  <c r="DI438" i="36"/>
  <c r="DI97" i="36"/>
  <c r="BA64" i="36"/>
  <c r="BC592" i="36"/>
  <c r="BC665" i="36"/>
  <c r="BC664" i="36"/>
  <c r="BC501" i="36"/>
  <c r="BJ101" i="36"/>
  <c r="BI57" i="36"/>
  <c r="BZ252" i="36"/>
  <c r="BZ253" i="36"/>
  <c r="CA269" i="36"/>
  <c r="BZ227" i="36"/>
  <c r="BZ296" i="36"/>
  <c r="BZ295" i="36"/>
  <c r="BZ336" i="36"/>
  <c r="BB238" i="36"/>
  <c r="BB16" i="36"/>
  <c r="BB279" i="36"/>
  <c r="BB237" i="36"/>
  <c r="CZ320" i="36"/>
  <c r="DI320" i="36"/>
  <c r="DI321" i="36"/>
  <c r="BC712" i="36"/>
  <c r="BP601" i="36"/>
  <c r="DF601" i="36"/>
  <c r="DF682" i="36"/>
  <c r="BC504" i="36"/>
  <c r="BC498" i="36"/>
  <c r="CV251" i="36"/>
  <c r="DF807" i="36"/>
  <c r="DF785" i="36"/>
  <c r="CC138" i="36"/>
  <c r="AY410" i="36"/>
  <c r="AY15" i="36"/>
  <c r="AY742" i="36"/>
  <c r="AY734" i="36"/>
  <c r="AY770" i="36"/>
  <c r="AX259" i="36"/>
  <c r="AX288" i="36"/>
  <c r="AX300" i="36"/>
  <c r="CL252" i="36"/>
  <c r="CL227" i="36"/>
  <c r="CL296" i="36"/>
  <c r="CM269" i="36"/>
  <c r="CL295" i="36"/>
  <c r="CL336" i="36"/>
  <c r="CM193" i="36"/>
  <c r="CU337" i="36"/>
  <c r="AG51" i="36"/>
  <c r="AF52" i="36"/>
  <c r="BC317" i="36"/>
  <c r="BC314" i="36"/>
  <c r="BR111" i="36"/>
  <c r="BR68" i="36"/>
  <c r="AX405" i="36"/>
  <c r="AX10" i="36"/>
  <c r="AX14" i="36"/>
  <c r="BB377" i="36"/>
  <c r="DH195" i="36"/>
  <c r="DH185" i="36"/>
  <c r="CC394" i="36"/>
  <c r="BA758" i="36"/>
  <c r="BA757" i="36"/>
  <c r="CB84" i="36"/>
  <c r="DG207" i="36"/>
  <c r="DH265" i="36"/>
  <c r="DE523" i="36"/>
  <c r="DE491" i="36"/>
  <c r="BF491" i="36"/>
  <c r="DE512" i="36"/>
  <c r="BY830" i="36"/>
  <c r="BY728" i="36"/>
  <c r="BY22" i="36"/>
  <c r="CC30" i="36"/>
  <c r="BE632" i="36"/>
  <c r="BD590" i="36"/>
  <c r="AW250" i="36"/>
  <c r="AW260" i="36"/>
  <c r="DG204" i="36"/>
  <c r="DE254" i="36"/>
  <c r="V208" i="14"/>
  <c r="U208" i="14"/>
  <c r="BD33" i="36"/>
  <c r="BD573" i="36"/>
  <c r="DE573" i="36"/>
  <c r="BD424" i="36"/>
  <c r="DE569" i="36"/>
  <c r="DE539" i="36"/>
  <c r="BD697" i="36"/>
  <c r="DE697" i="36"/>
  <c r="DE589" i="36"/>
  <c r="AY550" i="36"/>
  <c r="AY549" i="36"/>
  <c r="AY547" i="36"/>
  <c r="AY408" i="36"/>
  <c r="BD499" i="36"/>
  <c r="BB755" i="36"/>
  <c r="BB719" i="36"/>
  <c r="BN761" i="36"/>
  <c r="BC705" i="36"/>
  <c r="BC704" i="36"/>
  <c r="BE265" i="36"/>
  <c r="BP589" i="36"/>
  <c r="DF631" i="36"/>
  <c r="CO69" i="36"/>
  <c r="CO17" i="36"/>
  <c r="CO59" i="36"/>
  <c r="BJ210" i="36"/>
  <c r="BJ84" i="36"/>
  <c r="BK183" i="36"/>
  <c r="BJ169" i="36"/>
  <c r="DE354" i="36"/>
  <c r="V165" i="14"/>
  <c r="U165" i="14"/>
  <c r="BB106" i="36"/>
  <c r="BB62" i="36"/>
  <c r="BB66" i="36"/>
  <c r="BF17" i="36"/>
  <c r="CL785" i="36"/>
  <c r="CK711" i="36"/>
  <c r="BC736" i="36"/>
  <c r="BZ737" i="36"/>
  <c r="CA820" i="36"/>
  <c r="BA61" i="36"/>
  <c r="BC635" i="36"/>
  <c r="BC638" i="36"/>
  <c r="BC637" i="36"/>
  <c r="BC597" i="36"/>
  <c r="CW641" i="36"/>
  <c r="CW599" i="36"/>
  <c r="CW600" i="36"/>
  <c r="BD476" i="36"/>
  <c r="DE476" i="36"/>
  <c r="AT423" i="36"/>
  <c r="AT38" i="36"/>
  <c r="BD752" i="36"/>
  <c r="BD711" i="36"/>
  <c r="DE711" i="36"/>
  <c r="DE751" i="36"/>
  <c r="BB636" i="36"/>
  <c r="BB598" i="36"/>
  <c r="BB594" i="36"/>
  <c r="CJ279" i="36"/>
  <c r="CJ237" i="36"/>
  <c r="CJ238" i="36"/>
  <c r="BA274" i="36"/>
  <c r="BA232" i="36"/>
  <c r="BA236" i="36"/>
  <c r="AY8" i="36"/>
  <c r="BA827" i="36"/>
  <c r="BA826" i="36"/>
  <c r="BA824" i="36"/>
  <c r="DH154" i="36"/>
  <c r="DH144" i="36"/>
  <c r="BC707" i="36"/>
  <c r="BO251" i="36"/>
  <c r="AY621" i="36"/>
  <c r="AY650" i="36"/>
  <c r="AZ495" i="36"/>
  <c r="AV481" i="36"/>
  <c r="DH330" i="36"/>
  <c r="BO573" i="36"/>
  <c r="DH204" i="36"/>
  <c r="CD5" i="36"/>
  <c r="CD170" i="36"/>
  <c r="CD129" i="36"/>
  <c r="AK22" i="25"/>
  <c r="R492" i="19"/>
  <c r="G190" i="14" s="1"/>
  <c r="O23" i="21"/>
  <c r="DG573" i="36"/>
  <c r="BC728" i="36"/>
  <c r="BC22" i="36"/>
  <c r="BY795" i="36"/>
  <c r="BD675" i="36"/>
  <c r="AW566" i="36"/>
  <c r="AW578" i="36"/>
  <c r="AW432" i="36"/>
  <c r="AW423" i="36"/>
  <c r="AW433" i="36"/>
  <c r="AZ419" i="36"/>
  <c r="AZ24" i="36"/>
  <c r="AZ421" i="36"/>
  <c r="AZ26" i="36"/>
  <c r="AY49" i="36"/>
  <c r="DE424" i="36"/>
  <c r="DF424" i="36"/>
  <c r="DG424" i="36"/>
  <c r="AZ389" i="36"/>
  <c r="DF802" i="36"/>
  <c r="DF787" i="36"/>
  <c r="DE671" i="36"/>
  <c r="BF671" i="36"/>
  <c r="BD453" i="36"/>
  <c r="AZ548" i="36"/>
  <c r="AZ409" i="36"/>
  <c r="CN320" i="36"/>
  <c r="DH320" i="36"/>
  <c r="DH321" i="36"/>
  <c r="CB785" i="36"/>
  <c r="CD32" i="36"/>
  <c r="BO761" i="36"/>
  <c r="BP615" i="36"/>
  <c r="DF615" i="36"/>
  <c r="DF653" i="36"/>
  <c r="BD677" i="36"/>
  <c r="DE494" i="36"/>
  <c r="BE535" i="36"/>
  <c r="DE535" i="36"/>
  <c r="CL253" i="36"/>
  <c r="BE180" i="36"/>
  <c r="DE180" i="36"/>
  <c r="CA252" i="36"/>
  <c r="CA253" i="36"/>
  <c r="CB269" i="36"/>
  <c r="CA227" i="36"/>
  <c r="CA296" i="36"/>
  <c r="CA337" i="36"/>
  <c r="CA295" i="36"/>
  <c r="CA336" i="36"/>
  <c r="BI83" i="36"/>
  <c r="BD592" i="36"/>
  <c r="BD664" i="36"/>
  <c r="BD665" i="36"/>
  <c r="BD667" i="36"/>
  <c r="BF33" i="36"/>
  <c r="BO641" i="36"/>
  <c r="BO599" i="36"/>
  <c r="BO600" i="36"/>
  <c r="BD501" i="36"/>
  <c r="CW251" i="36"/>
  <c r="BB263" i="36"/>
  <c r="BB264" i="36"/>
  <c r="BC106" i="36"/>
  <c r="BC62" i="36"/>
  <c r="BC66" i="36"/>
  <c r="DA69" i="36"/>
  <c r="DA17" i="36"/>
  <c r="DA59" i="36"/>
  <c r="BB61" i="36"/>
  <c r="BA804" i="36"/>
  <c r="BA815" i="36"/>
  <c r="CZ680" i="36"/>
  <c r="DI680" i="36"/>
  <c r="DI681" i="36"/>
  <c r="AY50" i="36"/>
  <c r="AR52" i="36"/>
  <c r="AS51" i="36"/>
  <c r="BB584" i="36"/>
  <c r="BB435" i="36"/>
  <c r="BA544" i="36"/>
  <c r="BA581" i="36"/>
  <c r="BA582" i="36"/>
  <c r="BA434" i="36"/>
  <c r="BA403" i="36"/>
  <c r="BA584" i="36"/>
  <c r="BA435" i="36"/>
  <c r="DE336" i="36"/>
  <c r="BU83" i="36"/>
  <c r="BV101" i="36"/>
  <c r="BU57" i="36"/>
  <c r="BD426" i="36"/>
  <c r="DE426" i="36"/>
  <c r="BZ761" i="36"/>
  <c r="BZ722" i="36"/>
  <c r="BC418" i="36"/>
  <c r="BC23" i="36"/>
  <c r="CB320" i="36"/>
  <c r="DG320" i="36"/>
  <c r="DG321" i="36"/>
  <c r="BC761" i="36"/>
  <c r="BC722" i="36"/>
  <c r="BC721" i="36"/>
  <c r="DI51" i="36"/>
  <c r="DF773" i="36"/>
  <c r="BD839" i="36"/>
  <c r="BA329" i="36"/>
  <c r="BD641" i="36"/>
  <c r="BD600" i="36"/>
  <c r="DE600" i="36"/>
  <c r="DE642" i="36"/>
  <c r="CN33" i="36"/>
  <c r="DH33" i="36"/>
  <c r="DH84" i="36"/>
  <c r="BA718" i="36"/>
  <c r="BA717" i="36"/>
  <c r="BP697" i="36"/>
  <c r="DF697" i="36"/>
  <c r="DF589" i="36"/>
  <c r="BP696" i="36"/>
  <c r="DF696" i="36"/>
  <c r="BI81" i="36"/>
  <c r="CK279" i="36"/>
  <c r="CK237" i="36"/>
  <c r="CK238" i="36"/>
  <c r="BB276" i="36"/>
  <c r="BB235" i="36"/>
  <c r="BB273" i="36"/>
  <c r="BB231" i="36"/>
  <c r="DF138" i="36"/>
  <c r="CV238" i="36"/>
  <c r="CV279" i="36"/>
  <c r="CV237" i="36"/>
  <c r="AV566" i="36"/>
  <c r="AV432" i="36"/>
  <c r="BQ18" i="36"/>
  <c r="BD504" i="36"/>
  <c r="BD498" i="36"/>
  <c r="CN152" i="36"/>
  <c r="DH152" i="36"/>
  <c r="DH153" i="36"/>
  <c r="BD713" i="36"/>
  <c r="DE713" i="36"/>
  <c r="DE753" i="36"/>
  <c r="BP591" i="36"/>
  <c r="DF591" i="36"/>
  <c r="DF633" i="36"/>
  <c r="BC316" i="36"/>
  <c r="BB361" i="36"/>
  <c r="DH138" i="36"/>
  <c r="CK830" i="36"/>
  <c r="BQ51" i="36"/>
  <c r="BC162" i="36"/>
  <c r="BC174" i="36"/>
  <c r="BC108" i="36"/>
  <c r="BC107" i="36"/>
  <c r="BC105" i="36"/>
  <c r="BC65" i="36"/>
  <c r="CB680" i="36"/>
  <c r="DG680" i="36"/>
  <c r="DG681" i="36"/>
  <c r="BP296" i="36"/>
  <c r="DF227" i="36"/>
  <c r="CY697" i="36"/>
  <c r="CY696" i="36"/>
  <c r="DE691" i="36"/>
  <c r="CZ601" i="36"/>
  <c r="DI601" i="36"/>
  <c r="DI682" i="36"/>
  <c r="AY701" i="36"/>
  <c r="DI424" i="36"/>
  <c r="CA711" i="36"/>
  <c r="BB31" i="36"/>
  <c r="DE519" i="36"/>
  <c r="AZ550" i="36"/>
  <c r="AZ408" i="36"/>
  <c r="BT59" i="36"/>
  <c r="BC792" i="36"/>
  <c r="BC791" i="36"/>
  <c r="BC789" i="36"/>
  <c r="DI220" i="36"/>
  <c r="CO51" i="36"/>
  <c r="BC228" i="36"/>
  <c r="BC230" i="36"/>
  <c r="BC266" i="36"/>
  <c r="BC303" i="36"/>
  <c r="BC304" i="36"/>
  <c r="AZ410" i="36"/>
  <c r="AZ15" i="36"/>
  <c r="CI721" i="36"/>
  <c r="DE305" i="36"/>
  <c r="DE33" i="36"/>
  <c r="CE5" i="36"/>
  <c r="CE129" i="36"/>
  <c r="CE170" i="36"/>
  <c r="BA517" i="36"/>
  <c r="BA529" i="36"/>
  <c r="DG394" i="36"/>
  <c r="BD636" i="36"/>
  <c r="BD598" i="36"/>
  <c r="BD594" i="36"/>
  <c r="BC755" i="36"/>
  <c r="BC719" i="36"/>
  <c r="BH69" i="36"/>
  <c r="BD252" i="36"/>
  <c r="DE252" i="36"/>
  <c r="V213" i="14"/>
  <c r="U213" i="14"/>
  <c r="DE290" i="36"/>
  <c r="BT129" i="36"/>
  <c r="BT170" i="36"/>
  <c r="CN589" i="36"/>
  <c r="DH631" i="36"/>
  <c r="BY722" i="36"/>
  <c r="BY721" i="36"/>
  <c r="DE311" i="36"/>
  <c r="BE344" i="36"/>
  <c r="DE344" i="36"/>
  <c r="DE313" i="36"/>
  <c r="BE345" i="36"/>
  <c r="DE345" i="36"/>
  <c r="BF347" i="36"/>
  <c r="BE347" i="36"/>
  <c r="DE347" i="36"/>
  <c r="BC825" i="36"/>
  <c r="AY661" i="36"/>
  <c r="BO795" i="36"/>
  <c r="CN193" i="36"/>
  <c r="DH193" i="36"/>
  <c r="DH194" i="36"/>
  <c r="AX250" i="36"/>
  <c r="AX260" i="36"/>
  <c r="BC500" i="36"/>
  <c r="BG32" i="36"/>
  <c r="BG33" i="36"/>
  <c r="BH352" i="36"/>
  <c r="BG5" i="36"/>
  <c r="AY133" i="36"/>
  <c r="AY24" i="36"/>
  <c r="BC359" i="36"/>
  <c r="BC357" i="36"/>
  <c r="BC393" i="36"/>
  <c r="BC392" i="36"/>
  <c r="BC395" i="36"/>
  <c r="AZ80" i="36"/>
  <c r="AY52" i="36"/>
  <c r="DA81" i="36"/>
  <c r="CB601" i="36"/>
  <c r="DG601" i="36"/>
  <c r="DG682" i="36"/>
  <c r="CB193" i="36"/>
  <c r="DG193" i="36"/>
  <c r="DG194" i="36"/>
  <c r="CP5" i="36"/>
  <c r="CP129" i="36"/>
  <c r="CP170" i="36"/>
  <c r="AX432" i="36"/>
  <c r="AX423" i="36"/>
  <c r="AX469" i="36"/>
  <c r="BD680" i="36"/>
  <c r="DE680" i="36"/>
  <c r="DE681" i="36"/>
  <c r="BP252" i="36"/>
  <c r="DF252" i="36"/>
  <c r="DF290" i="36"/>
  <c r="CY591" i="36"/>
  <c r="BB447" i="36"/>
  <c r="BB402" i="36"/>
  <c r="BB7" i="36"/>
  <c r="CD111" i="36"/>
  <c r="CD68" i="36"/>
  <c r="DH751" i="36"/>
  <c r="CL641" i="36"/>
  <c r="CL599" i="36"/>
  <c r="CL600" i="36"/>
  <c r="AZ437" i="36"/>
  <c r="AZ48" i="36"/>
  <c r="CZ152" i="36"/>
  <c r="DI152" i="36"/>
  <c r="DI153" i="36"/>
  <c r="BB266" i="36"/>
  <c r="BP320" i="36"/>
  <c r="DF320" i="36"/>
  <c r="DF321" i="36"/>
  <c r="CA641" i="36"/>
  <c r="CA599" i="36"/>
  <c r="CA600" i="36"/>
  <c r="BT81" i="36"/>
  <c r="CX600" i="36"/>
  <c r="CX641" i="36"/>
  <c r="CX599" i="36"/>
  <c r="BE143" i="36"/>
  <c r="DE168" i="36"/>
  <c r="DE138" i="36"/>
  <c r="BC279" i="36"/>
  <c r="BC237" i="36"/>
  <c r="BC238" i="36"/>
  <c r="BC16" i="36"/>
  <c r="CG101" i="36"/>
  <c r="CF57" i="36"/>
  <c r="BC827" i="36"/>
  <c r="BC826" i="36"/>
  <c r="BC850" i="36"/>
  <c r="BC824" i="36"/>
  <c r="AY612" i="36"/>
  <c r="BA850" i="36"/>
  <c r="BE752" i="36"/>
  <c r="BD712" i="36"/>
  <c r="DE265" i="36"/>
  <c r="BB715" i="36"/>
  <c r="DE513" i="36"/>
  <c r="DE497" i="36"/>
  <c r="AG52" i="36"/>
  <c r="DC52" i="36"/>
  <c r="DC51" i="36"/>
  <c r="CM253" i="36"/>
  <c r="CM252" i="36"/>
  <c r="CM227" i="36"/>
  <c r="CM296" i="36"/>
  <c r="CM337" i="36"/>
  <c r="CN269" i="36"/>
  <c r="CM295" i="36"/>
  <c r="CM336" i="36"/>
  <c r="BZ251" i="36"/>
  <c r="BA63" i="36"/>
  <c r="AY80" i="36"/>
  <c r="DI179" i="36"/>
  <c r="CM820" i="36"/>
  <c r="BY279" i="36"/>
  <c r="BY237" i="36"/>
  <c r="BY238" i="36"/>
  <c r="BP525" i="36"/>
  <c r="DF525" i="36"/>
  <c r="BP477" i="36"/>
  <c r="DF477" i="36"/>
  <c r="BP574" i="36"/>
  <c r="DF574" i="36"/>
  <c r="BP476" i="36"/>
  <c r="DF476" i="36"/>
  <c r="BP524" i="36"/>
  <c r="DF524" i="36"/>
  <c r="BE102" i="36"/>
  <c r="BD58" i="36"/>
  <c r="BD601" i="36"/>
  <c r="DE682" i="36"/>
  <c r="DE802" i="36"/>
  <c r="DE787" i="36"/>
  <c r="BP229" i="36"/>
  <c r="DF229" i="36"/>
  <c r="DF271" i="36"/>
  <c r="BB789" i="36"/>
  <c r="BB792" i="36"/>
  <c r="BB791" i="36"/>
  <c r="CZ615" i="36"/>
  <c r="DI615" i="36"/>
  <c r="CZ589" i="36"/>
  <c r="BC425" i="36"/>
  <c r="AZ8" i="36"/>
  <c r="AZ439" i="36"/>
  <c r="CB615" i="36"/>
  <c r="DG615" i="36"/>
  <c r="DG653" i="36"/>
  <c r="BD188" i="36"/>
  <c r="BD218" i="36"/>
  <c r="BD219" i="36"/>
  <c r="BQ30" i="36"/>
  <c r="BB23" i="36"/>
  <c r="BD251" i="36"/>
  <c r="DE289" i="36"/>
  <c r="CK599" i="36"/>
  <c r="BC790" i="36"/>
  <c r="DG486" i="36"/>
  <c r="BA275" i="36"/>
  <c r="BA234" i="36"/>
  <c r="BM830" i="36"/>
  <c r="BM722" i="36"/>
  <c r="BM721" i="36"/>
  <c r="AY259" i="36"/>
  <c r="AY288" i="36"/>
  <c r="BB596" i="36"/>
  <c r="BB595" i="36"/>
  <c r="BB593" i="36"/>
  <c r="AZ553" i="36"/>
  <c r="AZ547" i="36"/>
  <c r="CJ795" i="36"/>
  <c r="CJ722" i="36"/>
  <c r="DA5" i="36"/>
  <c r="DA170" i="36"/>
  <c r="DA129" i="36"/>
  <c r="BB64" i="36"/>
  <c r="DE51" i="36"/>
  <c r="BC401" i="36"/>
  <c r="BC6" i="36"/>
  <c r="BB758" i="36"/>
  <c r="BB757" i="36"/>
  <c r="AY407" i="36"/>
  <c r="AY404" i="36"/>
  <c r="AY9" i="36"/>
  <c r="AY13" i="36"/>
  <c r="DE567" i="36"/>
  <c r="DE492" i="36"/>
  <c r="DG84" i="36"/>
  <c r="BA19" i="36"/>
  <c r="BA364" i="36"/>
  <c r="BA360" i="36"/>
  <c r="BA389" i="36"/>
  <c r="CL229" i="36"/>
  <c r="AY781" i="36"/>
  <c r="DG138" i="36"/>
  <c r="BI129" i="36"/>
  <c r="BI170" i="36"/>
  <c r="BD149" i="36"/>
  <c r="BD148" i="36"/>
  <c r="BD146" i="36"/>
  <c r="BF32" i="36"/>
  <c r="DE837" i="36"/>
  <c r="DE822" i="36"/>
  <c r="BB359" i="36"/>
  <c r="CW229" i="36"/>
  <c r="BD82" i="36"/>
  <c r="BL721" i="36"/>
  <c r="CP59" i="36"/>
  <c r="BE786" i="36"/>
  <c r="BP253" i="36"/>
  <c r="DF253" i="36"/>
  <c r="DF291" i="36"/>
  <c r="DE394" i="36"/>
  <c r="DG525" i="36"/>
  <c r="BB456" i="36"/>
  <c r="BB414" i="36"/>
  <c r="CD69" i="36"/>
  <c r="AX26" i="36"/>
  <c r="AX410" i="36"/>
  <c r="AX406" i="36"/>
  <c r="CZ33" i="36"/>
  <c r="DI33" i="36"/>
  <c r="DI84" i="36"/>
  <c r="CB697" i="36"/>
  <c r="DG697" i="36"/>
  <c r="DG589" i="36"/>
  <c r="CB696" i="36"/>
  <c r="DG696" i="36"/>
  <c r="BS352" i="36"/>
  <c r="BR5" i="36"/>
  <c r="DG751" i="36"/>
  <c r="DE449" i="36"/>
  <c r="BD296" i="36"/>
  <c r="BD5" i="36"/>
  <c r="DE227" i="36"/>
  <c r="DF399" i="36"/>
  <c r="BO737" i="36"/>
  <c r="BP820" i="36"/>
  <c r="BO711" i="36"/>
  <c r="AZ92" i="36"/>
  <c r="AZ517" i="36"/>
  <c r="AX12" i="36"/>
  <c r="AZ233" i="36"/>
  <c r="CE69" i="36"/>
  <c r="CE17" i="36"/>
  <c r="CE59" i="36"/>
  <c r="DF567" i="36"/>
  <c r="BA495" i="36"/>
  <c r="BC596" i="36"/>
  <c r="BC595" i="36"/>
  <c r="BC593" i="36"/>
  <c r="BE618" i="36"/>
  <c r="DE618" i="36"/>
  <c r="DE656" i="36"/>
  <c r="BR67" i="36"/>
  <c r="BD60" i="36"/>
  <c r="BD136" i="36"/>
  <c r="BD137" i="36"/>
  <c r="CP83" i="36"/>
  <c r="AY469" i="36"/>
  <c r="AY481" i="36"/>
  <c r="BD737" i="36"/>
  <c r="DE737" i="36"/>
  <c r="DE773" i="36"/>
  <c r="BZ830" i="36"/>
  <c r="BK210" i="36"/>
  <c r="BK84" i="36"/>
  <c r="BL183" i="36"/>
  <c r="BK169" i="36"/>
  <c r="BF632" i="36"/>
  <c r="DE632" i="36"/>
  <c r="BE590" i="36"/>
  <c r="DE590" i="36"/>
  <c r="CL251" i="36"/>
  <c r="BF18" i="36"/>
  <c r="AY405" i="36"/>
  <c r="AY10" i="36"/>
  <c r="AY14" i="36"/>
  <c r="BB215" i="36"/>
  <c r="BC714" i="36"/>
  <c r="BD86" i="36"/>
  <c r="CP81" i="36"/>
  <c r="CL761" i="36"/>
  <c r="BP251" i="36"/>
  <c r="DF289" i="36"/>
  <c r="BS111" i="36"/>
  <c r="BS67" i="36"/>
  <c r="BS68" i="36"/>
  <c r="BS16" i="36"/>
  <c r="BB429" i="36"/>
  <c r="BB35" i="36"/>
  <c r="BD314" i="36"/>
  <c r="BD317" i="36"/>
  <c r="BD316" i="36"/>
  <c r="BO279" i="36"/>
  <c r="BO237" i="36"/>
  <c r="BO238" i="36"/>
  <c r="BD203" i="36"/>
  <c r="AZ436" i="36"/>
  <c r="AZ47" i="36"/>
  <c r="CB591" i="36"/>
  <c r="DG591" i="36"/>
  <c r="DG633" i="36"/>
  <c r="BE540" i="36"/>
  <c r="BC190" i="36"/>
  <c r="BC189" i="36"/>
  <c r="BC187" i="36"/>
  <c r="AY743" i="36"/>
  <c r="AZ174" i="36"/>
  <c r="DE446" i="36"/>
  <c r="BE484" i="36"/>
  <c r="DE484" i="36"/>
  <c r="BE485" i="36"/>
  <c r="DE485" i="36"/>
  <c r="BE532" i="36"/>
  <c r="DE532" i="36"/>
  <c r="BE533" i="36"/>
  <c r="DE533" i="36"/>
  <c r="BE487" i="36"/>
  <c r="DE487" i="36"/>
  <c r="BD229" i="36"/>
  <c r="DE271" i="36"/>
  <c r="BN728" i="36"/>
  <c r="BN713" i="36"/>
  <c r="BD418" i="36"/>
  <c r="BD23" i="36"/>
  <c r="BE443" i="36"/>
  <c r="BD400" i="36"/>
  <c r="CZ193" i="36"/>
  <c r="DI193" i="36"/>
  <c r="DI194" i="36"/>
  <c r="AS266" i="36"/>
  <c r="DD266" i="36"/>
  <c r="DD265" i="36"/>
  <c r="CM697" i="36"/>
  <c r="CM696" i="36"/>
  <c r="CE81" i="36"/>
  <c r="BP573" i="36"/>
  <c r="DF573" i="36"/>
  <c r="BB621" i="36"/>
  <c r="BB612" i="36"/>
  <c r="BC689" i="36"/>
  <c r="BC701" i="36"/>
  <c r="CK737" i="36"/>
  <c r="BZ229" i="36"/>
  <c r="BB756" i="36"/>
  <c r="BB720" i="36"/>
  <c r="BB716" i="36"/>
  <c r="CL737" i="36"/>
  <c r="CM785" i="36"/>
  <c r="CL711" i="36"/>
  <c r="AT29" i="36"/>
  <c r="CK728" i="36"/>
  <c r="CK22" i="36"/>
  <c r="CK713" i="36"/>
  <c r="CO111" i="36"/>
  <c r="CO67" i="36"/>
  <c r="CO68" i="36"/>
  <c r="CO16" i="36"/>
  <c r="BR16" i="36"/>
  <c r="BI69" i="36"/>
  <c r="BI17" i="36"/>
  <c r="BI59" i="36"/>
  <c r="DE145" i="36"/>
  <c r="BE177" i="36"/>
  <c r="DE177" i="36"/>
  <c r="BE178" i="36"/>
  <c r="DE178" i="36"/>
  <c r="BF180" i="36"/>
  <c r="BE821" i="36"/>
  <c r="CX252" i="36"/>
  <c r="CY269" i="36"/>
  <c r="CX253" i="36"/>
  <c r="CX227" i="36"/>
  <c r="CX296" i="36"/>
  <c r="CX295" i="36"/>
  <c r="CX336" i="36"/>
  <c r="BB228" i="36"/>
  <c r="BB6" i="36"/>
  <c r="BC306" i="36"/>
  <c r="AT433" i="36"/>
  <c r="CA737" i="36"/>
  <c r="CB820" i="36"/>
  <c r="BD705" i="36"/>
  <c r="BD704" i="36"/>
  <c r="BD707" i="36"/>
  <c r="BE614" i="36"/>
  <c r="DE652" i="36"/>
  <c r="BG491" i="36"/>
  <c r="CL337" i="36"/>
  <c r="BD736" i="36"/>
  <c r="BZ337" i="36"/>
  <c r="BJ83" i="36"/>
  <c r="BK101" i="36"/>
  <c r="BJ57" i="36"/>
  <c r="BC626" i="36"/>
  <c r="BC625" i="36"/>
  <c r="BC657" i="36"/>
  <c r="BC650" i="36"/>
  <c r="BC661" i="36"/>
  <c r="BC628" i="36"/>
  <c r="BF30" i="36"/>
  <c r="BC30" i="36"/>
  <c r="DG518" i="36"/>
  <c r="CW253" i="36"/>
  <c r="BB274" i="36"/>
  <c r="BB232" i="36"/>
  <c r="BB236" i="36"/>
  <c r="BB650" i="36"/>
  <c r="BB661" i="36"/>
  <c r="BC96" i="36"/>
  <c r="BC95" i="36"/>
  <c r="BC98" i="36"/>
  <c r="BB517" i="36"/>
  <c r="BB529" i="36"/>
  <c r="BA358" i="36"/>
  <c r="CQ83" i="36"/>
  <c r="CQ32" i="36"/>
  <c r="CR101" i="36"/>
  <c r="CQ57" i="36"/>
  <c r="CD30" i="36"/>
  <c r="BR17" i="36"/>
  <c r="BH111" i="36"/>
  <c r="BH68" i="36"/>
  <c r="BH16" i="36"/>
  <c r="DE209" i="36"/>
  <c r="BE184" i="36"/>
  <c r="BI193" i="36"/>
  <c r="BD451" i="36"/>
  <c r="BD253" i="36"/>
  <c r="DE291" i="36"/>
  <c r="BA456" i="36"/>
  <c r="CB152" i="36"/>
  <c r="DG152" i="36"/>
  <c r="DG153" i="36"/>
  <c r="BT83" i="36"/>
  <c r="BZ728" i="36"/>
  <c r="BZ22" i="36"/>
  <c r="AW11" i="36"/>
  <c r="CM591" i="36"/>
  <c r="DF753" i="36"/>
  <c r="CO30" i="36"/>
  <c r="U51" i="1"/>
  <c r="U16" i="1"/>
  <c r="U24" i="1"/>
  <c r="U22" i="1"/>
  <c r="U21" i="1"/>
  <c r="U18" i="1"/>
  <c r="U15" i="1"/>
  <c r="U13" i="1"/>
  <c r="U11" i="1"/>
  <c r="AW38" i="36"/>
  <c r="AZ49" i="36"/>
  <c r="BZ721" i="36"/>
  <c r="AY566" i="36"/>
  <c r="AY578" i="36"/>
  <c r="AY432" i="36"/>
  <c r="AY423" i="36"/>
  <c r="AZ50" i="36"/>
  <c r="AW29" i="36"/>
  <c r="BB48" i="36"/>
  <c r="BB450" i="36"/>
  <c r="BB452" i="36"/>
  <c r="BE636" i="36"/>
  <c r="DE636" i="36"/>
  <c r="BE598" i="36"/>
  <c r="DE640" i="36"/>
  <c r="BD32" i="36"/>
  <c r="DE32" i="36"/>
  <c r="DE253" i="36"/>
  <c r="V211" i="14"/>
  <c r="U211" i="14"/>
  <c r="BZ238" i="36"/>
  <c r="BZ279" i="36"/>
  <c r="BZ237" i="36"/>
  <c r="BF614" i="36"/>
  <c r="CP111" i="36"/>
  <c r="CP68" i="36"/>
  <c r="AZ804" i="36"/>
  <c r="CE30" i="36"/>
  <c r="BF618" i="36"/>
  <c r="BE453" i="36"/>
  <c r="DE454" i="36"/>
  <c r="BD425" i="36"/>
  <c r="DE601" i="36"/>
  <c r="BD17" i="36"/>
  <c r="DE17" i="36"/>
  <c r="AY38" i="36"/>
  <c r="AY29" i="36"/>
  <c r="AY622" i="36"/>
  <c r="CF83" i="36"/>
  <c r="CD67" i="36"/>
  <c r="CN697" i="36"/>
  <c r="DH697" i="36"/>
  <c r="CN696" i="36"/>
  <c r="DH696" i="36"/>
  <c r="DH589" i="36"/>
  <c r="AZ407" i="36"/>
  <c r="AZ404" i="36"/>
  <c r="AZ9" i="36"/>
  <c r="AZ13" i="36"/>
  <c r="BC61" i="36"/>
  <c r="BA621" i="36"/>
  <c r="BA650" i="36"/>
  <c r="BA661" i="36"/>
  <c r="CA229" i="36"/>
  <c r="BE499" i="36"/>
  <c r="DE499" i="36"/>
  <c r="DE503" i="36"/>
  <c r="DG807" i="36"/>
  <c r="DG785" i="36"/>
  <c r="BD635" i="36"/>
  <c r="BD638" i="36"/>
  <c r="BD597" i="36"/>
  <c r="BD625" i="36"/>
  <c r="BD626" i="36"/>
  <c r="BD657" i="36"/>
  <c r="BD628" i="36"/>
  <c r="CQ5" i="36"/>
  <c r="CQ170" i="36"/>
  <c r="CQ129" i="36"/>
  <c r="BP761" i="36"/>
  <c r="DF761" i="36"/>
  <c r="DF762" i="36"/>
  <c r="CS101" i="36"/>
  <c r="CR57" i="36"/>
  <c r="BJ81" i="36"/>
  <c r="BN830" i="36"/>
  <c r="BN722" i="36"/>
  <c r="BN721" i="36"/>
  <c r="CB641" i="36"/>
  <c r="CB600" i="36"/>
  <c r="DG600" i="36"/>
  <c r="DG642" i="36"/>
  <c r="BD714" i="36"/>
  <c r="CP32" i="36"/>
  <c r="BR30" i="36"/>
  <c r="CW279" i="36"/>
  <c r="CW238" i="36"/>
  <c r="BC414" i="36"/>
  <c r="CZ697" i="36"/>
  <c r="DI697" i="36"/>
  <c r="DI589" i="36"/>
  <c r="CZ696" i="36"/>
  <c r="DI696" i="36"/>
  <c r="CM229" i="36"/>
  <c r="BE139" i="36"/>
  <c r="DE139" i="36"/>
  <c r="BC361" i="36"/>
  <c r="BC517" i="36"/>
  <c r="BC529" i="36"/>
  <c r="CN615" i="36"/>
  <c r="DH615" i="36"/>
  <c r="DH653" i="36"/>
  <c r="AZ549" i="36"/>
  <c r="BP337" i="36"/>
  <c r="DF296" i="36"/>
  <c r="BD728" i="36"/>
  <c r="DE768" i="36"/>
  <c r="CM761" i="36"/>
  <c r="DE634" i="36"/>
  <c r="BE592" i="36"/>
  <c r="BE665" i="36"/>
  <c r="DE665" i="36"/>
  <c r="BE664" i="36"/>
  <c r="DE664" i="36"/>
  <c r="BE667" i="36"/>
  <c r="DE667" i="36"/>
  <c r="CB227" i="36"/>
  <c r="CB295" i="36"/>
  <c r="DG295" i="36"/>
  <c r="DG269" i="36"/>
  <c r="CB336" i="36"/>
  <c r="DE465" i="36"/>
  <c r="BB63" i="36"/>
  <c r="CG83" i="36"/>
  <c r="CG32" i="36"/>
  <c r="CH101" i="36"/>
  <c r="CG57" i="36"/>
  <c r="BJ69" i="36"/>
  <c r="BJ17" i="36"/>
  <c r="BJ59" i="36"/>
  <c r="DG842" i="36"/>
  <c r="DG820" i="36"/>
  <c r="BN22" i="36"/>
  <c r="CA761" i="36"/>
  <c r="BF184" i="36"/>
  <c r="DE184" i="36"/>
  <c r="BH67" i="36"/>
  <c r="DE821" i="36"/>
  <c r="BF821" i="36"/>
  <c r="BD230" i="36"/>
  <c r="BD304" i="36"/>
  <c r="BD303" i="36"/>
  <c r="DF768" i="36"/>
  <c r="DE205" i="36"/>
  <c r="BE203" i="36"/>
  <c r="DE203" i="36"/>
  <c r="CQ69" i="36"/>
  <c r="CQ17" i="36"/>
  <c r="CQ59" i="36"/>
  <c r="BK83" i="36"/>
  <c r="BL101" i="36"/>
  <c r="BK57" i="36"/>
  <c r="DE673" i="36"/>
  <c r="BE705" i="36"/>
  <c r="DE705" i="36"/>
  <c r="BE704" i="36"/>
  <c r="DE704" i="36"/>
  <c r="CX337" i="36"/>
  <c r="BE839" i="36"/>
  <c r="DE839" i="36"/>
  <c r="DE841" i="36"/>
  <c r="BE149" i="36"/>
  <c r="BE146" i="36"/>
  <c r="DE146" i="36"/>
  <c r="DE150" i="36"/>
  <c r="BS32" i="36"/>
  <c r="BT352" i="36"/>
  <c r="BS33" i="36"/>
  <c r="BS5" i="36"/>
  <c r="DE786" i="36"/>
  <c r="BF786" i="36"/>
  <c r="BC429" i="36"/>
  <c r="BC35" i="36"/>
  <c r="AZ52" i="36"/>
  <c r="CZ591" i="36"/>
  <c r="DI591" i="36"/>
  <c r="BB19" i="36"/>
  <c r="BB364" i="36"/>
  <c r="CN227" i="36"/>
  <c r="CN295" i="36"/>
  <c r="DH295" i="36"/>
  <c r="CN336" i="36"/>
  <c r="DH269" i="36"/>
  <c r="BE501" i="36"/>
  <c r="DE502" i="36"/>
  <c r="BD790" i="36"/>
  <c r="CN591" i="36"/>
  <c r="DH591" i="36"/>
  <c r="DH633" i="36"/>
  <c r="BC264" i="36"/>
  <c r="BC263" i="36"/>
  <c r="BD266" i="36"/>
  <c r="BD761" i="36"/>
  <c r="DE761" i="36"/>
  <c r="BD722" i="36"/>
  <c r="DE762" i="36"/>
  <c r="BU170" i="36"/>
  <c r="BU129" i="36"/>
  <c r="BZ795" i="36"/>
  <c r="BA548" i="36"/>
  <c r="BA409" i="36"/>
  <c r="BD674" i="36"/>
  <c r="BJ193" i="36"/>
  <c r="CN820" i="36"/>
  <c r="BC756" i="36"/>
  <c r="BC720" i="36"/>
  <c r="BC716" i="36"/>
  <c r="CQ81" i="36"/>
  <c r="BE677" i="36"/>
  <c r="BE674" i="36"/>
  <c r="DE678" i="36"/>
  <c r="BF177" i="36"/>
  <c r="BF178" i="36"/>
  <c r="BC215" i="36"/>
  <c r="BA89" i="36"/>
  <c r="BA121" i="36"/>
  <c r="BL210" i="36"/>
  <c r="BL84" i="36"/>
  <c r="BM183" i="36"/>
  <c r="BL169" i="36"/>
  <c r="CB713" i="36"/>
  <c r="DG713" i="36"/>
  <c r="DG753" i="36"/>
  <c r="DE806" i="36"/>
  <c r="BD31" i="36"/>
  <c r="BD162" i="36"/>
  <c r="BD174" i="36"/>
  <c r="DE509" i="36"/>
  <c r="DE493" i="36"/>
  <c r="AY406" i="36"/>
  <c r="AY12" i="36"/>
  <c r="CJ721" i="36"/>
  <c r="BB622" i="36"/>
  <c r="BA233" i="36"/>
  <c r="DE186" i="36"/>
  <c r="BE219" i="36"/>
  <c r="DE219" i="36"/>
  <c r="BF221" i="36"/>
  <c r="BE218" i="36"/>
  <c r="DE218" i="36"/>
  <c r="BP279" i="36"/>
  <c r="BP238" i="36"/>
  <c r="DF238" i="36"/>
  <c r="DF280" i="36"/>
  <c r="BF102" i="36"/>
  <c r="DE102" i="36"/>
  <c r="BE58" i="36"/>
  <c r="BC377" i="36"/>
  <c r="DE752" i="36"/>
  <c r="BE712" i="36"/>
  <c r="DE712" i="36"/>
  <c r="BF752" i="36"/>
  <c r="BB415" i="36"/>
  <c r="BB20" i="36"/>
  <c r="BD359" i="36"/>
  <c r="BD357" i="36"/>
  <c r="BD392" i="36"/>
  <c r="BD393" i="36"/>
  <c r="BD395" i="36"/>
  <c r="BH33" i="36"/>
  <c r="BI352" i="36"/>
  <c r="BH5" i="36"/>
  <c r="BE315" i="36"/>
  <c r="DE315" i="36"/>
  <c r="DE319" i="36"/>
  <c r="BH17" i="36"/>
  <c r="BC236" i="36"/>
  <c r="BC274" i="36"/>
  <c r="BC232" i="36"/>
  <c r="BC804" i="36"/>
  <c r="BC815" i="36"/>
  <c r="BA419" i="36"/>
  <c r="BA553" i="36"/>
  <c r="BB89" i="36"/>
  <c r="BB121" i="36"/>
  <c r="BB133" i="36"/>
  <c r="BB275" i="36"/>
  <c r="BB234" i="36"/>
  <c r="BD599" i="36"/>
  <c r="DE599" i="36"/>
  <c r="DE641" i="36"/>
  <c r="BW101" i="36"/>
  <c r="BV57" i="36"/>
  <c r="DA111" i="36"/>
  <c r="DA67" i="36"/>
  <c r="DA68" i="36"/>
  <c r="DA16" i="36"/>
  <c r="BG535" i="36"/>
  <c r="BD676" i="36"/>
  <c r="BC621" i="36"/>
  <c r="BC612" i="36"/>
  <c r="BC622" i="36"/>
  <c r="BP795" i="36"/>
  <c r="DF795" i="36"/>
  <c r="DF796" i="36"/>
  <c r="DF251" i="36"/>
  <c r="BD105" i="36"/>
  <c r="BD65" i="36"/>
  <c r="BD108" i="36"/>
  <c r="BD107" i="36"/>
  <c r="DA30" i="36"/>
  <c r="AT44" i="36"/>
  <c r="AT46" i="36"/>
  <c r="CM641" i="36"/>
  <c r="CM599" i="36"/>
  <c r="CM600" i="36"/>
  <c r="BA742" i="36"/>
  <c r="BA734" i="36"/>
  <c r="BA770" i="36"/>
  <c r="BA781" i="36"/>
  <c r="DE614" i="36"/>
  <c r="BE675" i="36"/>
  <c r="DE675" i="36"/>
  <c r="DE679" i="36"/>
  <c r="CX229" i="36"/>
  <c r="BD429" i="36"/>
  <c r="BD35" i="36"/>
  <c r="BD401" i="36"/>
  <c r="BF487" i="36"/>
  <c r="CP30" i="36"/>
  <c r="BD96" i="36"/>
  <c r="BD95" i="36"/>
  <c r="BD98" i="36"/>
  <c r="CE111" i="36"/>
  <c r="CE67" i="36"/>
  <c r="CE68" i="36"/>
  <c r="CE16" i="36"/>
  <c r="AX433" i="36"/>
  <c r="AX11" i="36"/>
  <c r="BO728" i="36"/>
  <c r="BO22" i="36"/>
  <c r="BO713" i="36"/>
  <c r="DF5" i="36"/>
  <c r="DE5" i="36"/>
  <c r="CB711" i="36"/>
  <c r="DG711" i="36"/>
  <c r="BR18" i="36"/>
  <c r="DE508" i="36"/>
  <c r="BB804" i="36"/>
  <c r="BB815" i="36"/>
  <c r="BE82" i="36"/>
  <c r="DE123" i="36"/>
  <c r="BE736" i="36"/>
  <c r="DE772" i="36"/>
  <c r="CF5" i="36"/>
  <c r="CF129" i="36"/>
  <c r="CF170" i="36"/>
  <c r="BF143" i="36"/>
  <c r="DE143" i="36"/>
  <c r="DH753" i="36"/>
  <c r="AX481" i="36"/>
  <c r="BD377" i="36"/>
  <c r="BF345" i="36"/>
  <c r="BF344" i="36"/>
  <c r="BE317" i="36"/>
  <c r="BE314" i="36"/>
  <c r="DE314" i="36"/>
  <c r="DE318" i="36"/>
  <c r="BC718" i="36"/>
  <c r="BC717" i="36"/>
  <c r="BC715" i="36"/>
  <c r="BA550" i="36"/>
  <c r="BA549" i="36"/>
  <c r="BA547" i="36"/>
  <c r="BA408" i="36"/>
  <c r="DF51" i="36"/>
  <c r="BB358" i="36"/>
  <c r="BD827" i="36"/>
  <c r="BD824" i="36"/>
  <c r="BA743" i="36"/>
  <c r="BA341" i="36"/>
  <c r="BU69" i="36"/>
  <c r="BU17" i="36"/>
  <c r="BU59" i="36"/>
  <c r="AZ469" i="36"/>
  <c r="AZ481" i="36"/>
  <c r="BA437" i="36"/>
  <c r="BA48" i="36"/>
  <c r="BB544" i="36"/>
  <c r="BB582" i="36"/>
  <c r="BB434" i="36"/>
  <c r="BB581" i="36"/>
  <c r="BB403" i="36"/>
  <c r="CA251" i="36"/>
  <c r="BF535" i="36"/>
  <c r="BG671" i="36"/>
  <c r="BE707" i="36"/>
  <c r="DE707" i="36"/>
  <c r="BJ129" i="36"/>
  <c r="BJ170" i="36"/>
  <c r="CX251" i="36"/>
  <c r="CN785" i="36"/>
  <c r="CM711" i="36"/>
  <c r="BD279" i="36"/>
  <c r="BD238" i="36"/>
  <c r="DE280" i="36"/>
  <c r="AZ259" i="36"/>
  <c r="AZ288" i="36"/>
  <c r="AZ300" i="36"/>
  <c r="AY92" i="36"/>
  <c r="BC64" i="36"/>
  <c r="BA436" i="36"/>
  <c r="BA47" i="36"/>
  <c r="BE147" i="36"/>
  <c r="DE147" i="36"/>
  <c r="DE151" i="36"/>
  <c r="DE229" i="36"/>
  <c r="V197" i="14"/>
  <c r="U197" i="14"/>
  <c r="BA450" i="36"/>
  <c r="BA452" i="36"/>
  <c r="CY252" i="36"/>
  <c r="CY253" i="36"/>
  <c r="CZ269" i="36"/>
  <c r="CY227" i="36"/>
  <c r="CY296" i="36"/>
  <c r="CY337" i="36"/>
  <c r="CY295" i="36"/>
  <c r="CY336" i="36"/>
  <c r="BF443" i="36"/>
  <c r="DE443" i="36"/>
  <c r="BE400" i="36"/>
  <c r="DE400" i="36"/>
  <c r="BE451" i="36"/>
  <c r="DE451" i="36"/>
  <c r="DE455" i="36"/>
  <c r="DE561" i="36"/>
  <c r="BF540" i="36"/>
  <c r="DE540" i="36"/>
  <c r="DE104" i="36"/>
  <c r="BE60" i="36"/>
  <c r="BE136" i="36"/>
  <c r="DE136" i="36"/>
  <c r="BE137" i="36"/>
  <c r="DE137" i="36"/>
  <c r="BF139" i="36"/>
  <c r="BD337" i="36"/>
  <c r="DE296" i="36"/>
  <c r="BR33" i="36"/>
  <c r="AX15" i="36"/>
  <c r="AX404" i="36"/>
  <c r="CP69" i="36"/>
  <c r="CL238" i="36"/>
  <c r="CL279" i="36"/>
  <c r="CL237" i="36"/>
  <c r="AY300" i="36"/>
  <c r="BD190" i="36"/>
  <c r="BD189" i="36"/>
  <c r="BD187" i="36"/>
  <c r="BD795" i="36"/>
  <c r="DE795" i="36"/>
  <c r="DE796" i="36"/>
  <c r="BE86" i="36"/>
  <c r="DE127" i="36"/>
  <c r="CM251" i="36"/>
  <c r="BB718" i="36"/>
  <c r="BB717" i="36"/>
  <c r="CF81" i="36"/>
  <c r="AZ742" i="36"/>
  <c r="AZ770" i="36"/>
  <c r="DE164" i="36"/>
  <c r="BG18" i="36"/>
  <c r="AX38" i="36"/>
  <c r="BG347" i="36"/>
  <c r="BC276" i="36"/>
  <c r="BC235" i="36"/>
  <c r="BC273" i="36"/>
  <c r="BC231" i="36"/>
  <c r="BT69" i="36"/>
  <c r="BB360" i="36"/>
  <c r="BB389" i="36"/>
  <c r="BD825" i="36"/>
  <c r="BB162" i="36"/>
  <c r="AS52" i="36"/>
  <c r="DD52" i="36"/>
  <c r="DD51" i="36"/>
  <c r="BB689" i="36"/>
  <c r="CD17" i="36"/>
  <c r="BC402" i="36"/>
  <c r="BC7" i="36"/>
  <c r="BC447" i="36"/>
  <c r="DE251" i="36"/>
  <c r="V210" i="14"/>
  <c r="U210" i="14"/>
  <c r="BD30" i="36"/>
  <c r="DE30" i="36"/>
  <c r="CD16" i="36"/>
  <c r="AV578" i="36"/>
  <c r="AW44" i="36"/>
  <c r="AW45" i="36"/>
  <c r="AW46" i="36"/>
  <c r="BH491" i="36"/>
  <c r="BI111" i="36"/>
  <c r="BI67" i="36"/>
  <c r="BI68" i="36"/>
  <c r="BI16" i="36"/>
  <c r="CK795" i="36"/>
  <c r="CK722" i="36"/>
  <c r="CK721" i="36"/>
  <c r="CL728" i="36"/>
  <c r="CL22" i="36"/>
  <c r="CL713" i="36"/>
  <c r="BE303" i="36"/>
  <c r="DE303" i="36"/>
  <c r="DE272" i="36"/>
  <c r="BE230" i="36"/>
  <c r="BE304" i="36"/>
  <c r="DE304" i="36"/>
  <c r="BF484" i="36"/>
  <c r="BF485" i="36"/>
  <c r="BF533" i="36"/>
  <c r="BF532" i="36"/>
  <c r="CA713" i="36"/>
  <c r="BC31" i="36"/>
  <c r="BG632" i="36"/>
  <c r="BF590" i="36"/>
  <c r="BD106" i="36"/>
  <c r="BD62" i="36"/>
  <c r="BD66" i="36"/>
  <c r="BB495" i="36"/>
  <c r="AZ529" i="36"/>
  <c r="DF820" i="36"/>
  <c r="BP711" i="36"/>
  <c r="DF711" i="36"/>
  <c r="DG773" i="36"/>
  <c r="BR32" i="36"/>
  <c r="BD830" i="36"/>
  <c r="DE830" i="36"/>
  <c r="DE831" i="36"/>
  <c r="AY250" i="36"/>
  <c r="AY260" i="36"/>
  <c r="CF59" i="36"/>
  <c r="DH773" i="36"/>
  <c r="CY641" i="36"/>
  <c r="CY599" i="36"/>
  <c r="CY600" i="36"/>
  <c r="BG30" i="36"/>
  <c r="BC758" i="36"/>
  <c r="BC757" i="36"/>
  <c r="DH51" i="36"/>
  <c r="BT111" i="36"/>
  <c r="BT67" i="36"/>
  <c r="BT68" i="36"/>
  <c r="BT16" i="36"/>
  <c r="BE221" i="36"/>
  <c r="DE221" i="36"/>
  <c r="BP641" i="36"/>
  <c r="BP600" i="36"/>
  <c r="DF600" i="36"/>
  <c r="DF642" i="36"/>
  <c r="AV423" i="36"/>
  <c r="AV38" i="36"/>
  <c r="BU81" i="36"/>
  <c r="BA439" i="36"/>
  <c r="BA8" i="36"/>
  <c r="BD500" i="36"/>
  <c r="CA728" i="36"/>
  <c r="CA22" i="36"/>
  <c r="CA795" i="36"/>
  <c r="AZ405" i="36"/>
  <c r="AZ14" i="36"/>
  <c r="AX29" i="36"/>
  <c r="BA49" i="36"/>
  <c r="BA50" i="36"/>
  <c r="BE790" i="36"/>
  <c r="DE790" i="36"/>
  <c r="DE794" i="36"/>
  <c r="BI491" i="36"/>
  <c r="CY229" i="36"/>
  <c r="DE823" i="36"/>
  <c r="BM210" i="36"/>
  <c r="BM84" i="36"/>
  <c r="BN183" i="36"/>
  <c r="BM169" i="36"/>
  <c r="BS18" i="36"/>
  <c r="BD236" i="36"/>
  <c r="BD274" i="36"/>
  <c r="BD232" i="36"/>
  <c r="CP16" i="36"/>
  <c r="CM737" i="36"/>
  <c r="BB548" i="36"/>
  <c r="BB409" i="36"/>
  <c r="BW83" i="36"/>
  <c r="BX101" i="36"/>
  <c r="BW57" i="36"/>
  <c r="BE188" i="36"/>
  <c r="DE188" i="36"/>
  <c r="DE192" i="36"/>
  <c r="AY433" i="36"/>
  <c r="AY11" i="36"/>
  <c r="DG768" i="36"/>
  <c r="BF147" i="36"/>
  <c r="BE638" i="36"/>
  <c r="BE637" i="36"/>
  <c r="BE635" i="36"/>
  <c r="DE635" i="36"/>
  <c r="BE597" i="36"/>
  <c r="DE639" i="36"/>
  <c r="CN229" i="36"/>
  <c r="DH229" i="36"/>
  <c r="DH271" i="36"/>
  <c r="BS30" i="36"/>
  <c r="BD756" i="36"/>
  <c r="BD720" i="36"/>
  <c r="BD716" i="36"/>
  <c r="BF705" i="36"/>
  <c r="BF704" i="36"/>
  <c r="BD228" i="36"/>
  <c r="BD6" i="36"/>
  <c r="BD306" i="36"/>
  <c r="BE306" i="36"/>
  <c r="DE306" i="36"/>
  <c r="DG837" i="36"/>
  <c r="DG822" i="36"/>
  <c r="CB252" i="36"/>
  <c r="DG252" i="36"/>
  <c r="DG290" i="36"/>
  <c r="BE625" i="36"/>
  <c r="DE625" i="36"/>
  <c r="DE592" i="36"/>
  <c r="BE626" i="36"/>
  <c r="DE626" i="36"/>
  <c r="BE657" i="36"/>
  <c r="DE754" i="36"/>
  <c r="BE714" i="36"/>
  <c r="DE714" i="36"/>
  <c r="CR81" i="36"/>
  <c r="CP67" i="36"/>
  <c r="DE82" i="36"/>
  <c r="BK81" i="36"/>
  <c r="DE788" i="36"/>
  <c r="BE594" i="36"/>
  <c r="DE594" i="36"/>
  <c r="DE598" i="36"/>
  <c r="BF451" i="36"/>
  <c r="DE230" i="36"/>
  <c r="V198" i="14"/>
  <c r="BE263" i="36"/>
  <c r="DE263" i="36"/>
  <c r="BE264" i="36"/>
  <c r="DE264" i="36"/>
  <c r="BE95" i="36"/>
  <c r="DE95" i="36"/>
  <c r="DE60" i="36"/>
  <c r="V137" i="14"/>
  <c r="BE96" i="36"/>
  <c r="DE96" i="36"/>
  <c r="BE98" i="36"/>
  <c r="DE98" i="36"/>
  <c r="BF315" i="36"/>
  <c r="BO830" i="36"/>
  <c r="BO722" i="36"/>
  <c r="BO721" i="36"/>
  <c r="BD447" i="36"/>
  <c r="BD402" i="36"/>
  <c r="BD7" i="36"/>
  <c r="BP599" i="36"/>
  <c r="DF599" i="36"/>
  <c r="DF641" i="36"/>
  <c r="CF111" i="36"/>
  <c r="CF67" i="36"/>
  <c r="CF68" i="36"/>
  <c r="DF822" i="36"/>
  <c r="BP713" i="36"/>
  <c r="DF713" i="36"/>
  <c r="BG484" i="36"/>
  <c r="BG485" i="36"/>
  <c r="BG532" i="36"/>
  <c r="BG533" i="36"/>
  <c r="BC415" i="36"/>
  <c r="BC20" i="36"/>
  <c r="BB701" i="36"/>
  <c r="BT17" i="36"/>
  <c r="CF30" i="36"/>
  <c r="CP17" i="36"/>
  <c r="DE337" i="36"/>
  <c r="BD329" i="36"/>
  <c r="BD341" i="36"/>
  <c r="BF60" i="36"/>
  <c r="BF98" i="36"/>
  <c r="BF136" i="36"/>
  <c r="BF137" i="36"/>
  <c r="BG540" i="36"/>
  <c r="BU111" i="36"/>
  <c r="BU67" i="36"/>
  <c r="BU68" i="36"/>
  <c r="BU16" i="36"/>
  <c r="BE425" i="36"/>
  <c r="DE471" i="36"/>
  <c r="BV59" i="36"/>
  <c r="BD792" i="36"/>
  <c r="BD791" i="36"/>
  <c r="BD789" i="36"/>
  <c r="BG102" i="36"/>
  <c r="BF58" i="36"/>
  <c r="CB761" i="36"/>
  <c r="DG761" i="36"/>
  <c r="DG762" i="36"/>
  <c r="BF149" i="36"/>
  <c r="BF146" i="36"/>
  <c r="BD721" i="36"/>
  <c r="DE721" i="36"/>
  <c r="DE722" i="36"/>
  <c r="DE501" i="36"/>
  <c r="CN252" i="36"/>
  <c r="DH252" i="36"/>
  <c r="DH290" i="36"/>
  <c r="BD235" i="36"/>
  <c r="BD273" i="36"/>
  <c r="BD231" i="36"/>
  <c r="BD276" i="36"/>
  <c r="DG336" i="36"/>
  <c r="BD22" i="36"/>
  <c r="DE22" i="36"/>
  <c r="DE728" i="36"/>
  <c r="BE758" i="36"/>
  <c r="BA612" i="36"/>
  <c r="BA622" i="36"/>
  <c r="CM713" i="36"/>
  <c r="BH32" i="36"/>
  <c r="BD637" i="36"/>
  <c r="DE444" i="36"/>
  <c r="BE401" i="36"/>
  <c r="DE401" i="36"/>
  <c r="BE106" i="36"/>
  <c r="BE66" i="36"/>
  <c r="DE110" i="36"/>
  <c r="BC63" i="36"/>
  <c r="DE238" i="36"/>
  <c r="BD16" i="36"/>
  <c r="DE16" i="36"/>
  <c r="BA407" i="36"/>
  <c r="BA13" i="36"/>
  <c r="BF317" i="36"/>
  <c r="BF314" i="36"/>
  <c r="BG143" i="36"/>
  <c r="DE736" i="36"/>
  <c r="BB742" i="36"/>
  <c r="BB734" i="36"/>
  <c r="BB770" i="36"/>
  <c r="BB781" i="36"/>
  <c r="DE568" i="36"/>
  <c r="BD64" i="36"/>
  <c r="BV81" i="36"/>
  <c r="BF712" i="36"/>
  <c r="BG752" i="36"/>
  <c r="BF82" i="36"/>
  <c r="BF453" i="36"/>
  <c r="BA405" i="36"/>
  <c r="BA10" i="36"/>
  <c r="BA14" i="36"/>
  <c r="CN251" i="36"/>
  <c r="DH289" i="36"/>
  <c r="BU352" i="36"/>
  <c r="BT5" i="36"/>
  <c r="BG839" i="36"/>
  <c r="BG821" i="36"/>
  <c r="CG5" i="36"/>
  <c r="CG129" i="36"/>
  <c r="CG170" i="36"/>
  <c r="BF635" i="36"/>
  <c r="BF597" i="36"/>
  <c r="BC89" i="36"/>
  <c r="BC121" i="36"/>
  <c r="BC133" i="36"/>
  <c r="BE628" i="36"/>
  <c r="DE628" i="36"/>
  <c r="CL795" i="36"/>
  <c r="CL722" i="36"/>
  <c r="CL721" i="36"/>
  <c r="BV83" i="36"/>
  <c r="CN253" i="36"/>
  <c r="DH253" i="36"/>
  <c r="DH291" i="36"/>
  <c r="BH671" i="36"/>
  <c r="BD215" i="36"/>
  <c r="BF501" i="36"/>
  <c r="AX9" i="36"/>
  <c r="BE418" i="36"/>
  <c r="DE464" i="36"/>
  <c r="CY251" i="36"/>
  <c r="BD237" i="36"/>
  <c r="DE279" i="36"/>
  <c r="BB8" i="36"/>
  <c r="BB52" i="36"/>
  <c r="BB439" i="36"/>
  <c r="BE316" i="36"/>
  <c r="DE317" i="36"/>
  <c r="CN761" i="36"/>
  <c r="DH761" i="36"/>
  <c r="DH762" i="36"/>
  <c r="AX44" i="36"/>
  <c r="AX45" i="36"/>
  <c r="AX46" i="36"/>
  <c r="AT45" i="36"/>
  <c r="BD61" i="36"/>
  <c r="BD689" i="36"/>
  <c r="BD701" i="36"/>
  <c r="BB419" i="36"/>
  <c r="BB80" i="36"/>
  <c r="BB92" i="36"/>
  <c r="BJ352" i="36"/>
  <c r="BI32" i="36"/>
  <c r="BI5" i="36"/>
  <c r="BD361" i="36"/>
  <c r="BF86" i="36"/>
  <c r="BA259" i="36"/>
  <c r="BA250" i="36"/>
  <c r="BA260" i="36"/>
  <c r="BA288" i="36"/>
  <c r="BA300" i="36"/>
  <c r="BH487" i="36"/>
  <c r="BG786" i="36"/>
  <c r="CQ111" i="36"/>
  <c r="CQ67" i="36"/>
  <c r="CQ68" i="36"/>
  <c r="CQ16" i="36"/>
  <c r="CA722" i="36"/>
  <c r="CA721" i="36"/>
  <c r="CG69" i="36"/>
  <c r="CG17" i="36"/>
  <c r="CG59" i="36"/>
  <c r="BF592" i="36"/>
  <c r="BF665" i="36"/>
  <c r="BF664" i="36"/>
  <c r="BG487" i="36"/>
  <c r="DE58" i="36"/>
  <c r="BG147" i="36"/>
  <c r="BG177" i="36"/>
  <c r="BG178" i="36"/>
  <c r="BG180" i="36"/>
  <c r="CZ641" i="36"/>
  <c r="CZ599" i="36"/>
  <c r="DI599" i="36"/>
  <c r="CZ600" i="36"/>
  <c r="DI600" i="36"/>
  <c r="CB253" i="36"/>
  <c r="DG253" i="36"/>
  <c r="DG291" i="36"/>
  <c r="BE755" i="36"/>
  <c r="BE719" i="36"/>
  <c r="DE759" i="36"/>
  <c r="CZ227" i="36"/>
  <c r="CZ295" i="36"/>
  <c r="DI295" i="36"/>
  <c r="DI269" i="36"/>
  <c r="CZ336" i="36"/>
  <c r="BF228" i="36"/>
  <c r="BF230" i="36"/>
  <c r="BF304" i="36"/>
  <c r="BF303" i="36"/>
  <c r="BB174" i="36"/>
  <c r="BG614" i="36"/>
  <c r="BE228" i="36"/>
  <c r="DE270" i="36"/>
  <c r="BC234" i="36"/>
  <c r="BC275" i="36"/>
  <c r="BG139" i="36"/>
  <c r="BE108" i="36"/>
  <c r="BE105" i="36"/>
  <c r="BE65" i="36"/>
  <c r="DE109" i="36"/>
  <c r="BA566" i="36"/>
  <c r="BA578" i="36"/>
  <c r="BC19" i="36"/>
  <c r="BC364" i="36"/>
  <c r="DH768" i="36"/>
  <c r="BB550" i="36"/>
  <c r="BB408" i="36"/>
  <c r="BA421" i="36"/>
  <c r="BF736" i="36"/>
  <c r="BE187" i="36"/>
  <c r="DE187" i="36"/>
  <c r="BE190" i="36"/>
  <c r="DE191" i="36"/>
  <c r="BA133" i="36"/>
  <c r="DE674" i="36"/>
  <c r="BC329" i="36"/>
  <c r="DH336" i="36"/>
  <c r="BK129" i="36"/>
  <c r="BK170" i="36"/>
  <c r="BF839" i="36"/>
  <c r="CH83" i="36"/>
  <c r="CH32" i="36"/>
  <c r="CI101" i="36"/>
  <c r="CH57" i="36"/>
  <c r="CB251" i="36"/>
  <c r="DG289" i="36"/>
  <c r="BF667" i="36"/>
  <c r="BF638" i="36"/>
  <c r="BC358" i="36"/>
  <c r="BC456" i="36"/>
  <c r="CB599" i="36"/>
  <c r="DG599" i="36"/>
  <c r="DG641" i="36"/>
  <c r="CR5" i="36"/>
  <c r="CR129" i="36"/>
  <c r="CR170" i="36"/>
  <c r="CA279" i="36"/>
  <c r="CA237" i="36"/>
  <c r="CA238" i="36"/>
  <c r="CL830" i="36"/>
  <c r="AZ815" i="36"/>
  <c r="BB437" i="36"/>
  <c r="DE572" i="36"/>
  <c r="DE541" i="36"/>
  <c r="CQ30" i="36"/>
  <c r="BF499" i="36"/>
  <c r="CF32" i="36"/>
  <c r="DF842" i="36"/>
  <c r="BP737" i="36"/>
  <c r="DF737" i="36"/>
  <c r="BE236" i="36"/>
  <c r="DE236" i="36"/>
  <c r="BE274" i="36"/>
  <c r="DE278" i="36"/>
  <c r="AV29" i="36"/>
  <c r="BE235" i="36"/>
  <c r="BE273" i="36"/>
  <c r="BE276" i="36"/>
  <c r="DE277" i="36"/>
  <c r="AZ781" i="36"/>
  <c r="DH785" i="36"/>
  <c r="CN711" i="36"/>
  <c r="DH711" i="36"/>
  <c r="BB436" i="36"/>
  <c r="BB47" i="36"/>
  <c r="BB49" i="36"/>
  <c r="BG315" i="36"/>
  <c r="BG344" i="36"/>
  <c r="BG345" i="36"/>
  <c r="BH18" i="36"/>
  <c r="BE357" i="36"/>
  <c r="DE357" i="36"/>
  <c r="DE355" i="36"/>
  <c r="V166" i="14"/>
  <c r="BE392" i="36"/>
  <c r="DE392" i="36"/>
  <c r="BE393" i="36"/>
  <c r="DE393" i="36"/>
  <c r="BE395" i="36"/>
  <c r="DE395" i="36"/>
  <c r="BA80" i="36"/>
  <c r="BA92" i="36"/>
  <c r="BE676" i="36"/>
  <c r="DE677" i="36"/>
  <c r="CN641" i="36"/>
  <c r="CN600" i="36"/>
  <c r="DH600" i="36"/>
  <c r="DH642" i="36"/>
  <c r="BE148" i="36"/>
  <c r="DE149" i="36"/>
  <c r="BG707" i="36"/>
  <c r="BL83" i="36"/>
  <c r="BM101" i="36"/>
  <c r="BL57" i="36"/>
  <c r="BJ111" i="36"/>
  <c r="BJ67" i="36"/>
  <c r="BJ68" i="36"/>
  <c r="BJ16" i="36"/>
  <c r="CG81" i="36"/>
  <c r="BG499" i="36"/>
  <c r="CB296" i="36"/>
  <c r="DG227" i="36"/>
  <c r="DF337" i="36"/>
  <c r="BC360" i="36"/>
  <c r="BC389" i="36"/>
  <c r="CM238" i="36"/>
  <c r="CM279" i="36"/>
  <c r="CM237" i="36"/>
  <c r="CS83" i="36"/>
  <c r="CS32" i="36"/>
  <c r="CT101" i="36"/>
  <c r="CS57" i="36"/>
  <c r="DG802" i="36"/>
  <c r="CB722" i="36"/>
  <c r="DG787" i="36"/>
  <c r="AZ406" i="36"/>
  <c r="AZ12" i="36"/>
  <c r="DE453" i="36"/>
  <c r="BF203" i="36"/>
  <c r="CR59" i="36"/>
  <c r="AZ250" i="36"/>
  <c r="AZ260" i="36"/>
  <c r="AZ10" i="36"/>
  <c r="CF69" i="36"/>
  <c r="BB743" i="36"/>
  <c r="BG443" i="36"/>
  <c r="BF400" i="36"/>
  <c r="BH632" i="36"/>
  <c r="BG590" i="36"/>
  <c r="BD517" i="36"/>
  <c r="BD529" i="36"/>
  <c r="BG618" i="36"/>
  <c r="BF306" i="36"/>
  <c r="BA52" i="36"/>
  <c r="AV433" i="36"/>
  <c r="CB737" i="36"/>
  <c r="DG737" i="36"/>
  <c r="BC495" i="36"/>
  <c r="BG306" i="36"/>
  <c r="AZ734" i="36"/>
  <c r="DE86" i="36"/>
  <c r="BC544" i="36"/>
  <c r="BC582" i="36"/>
  <c r="BC434" i="36"/>
  <c r="BC581" i="36"/>
  <c r="BC403" i="36"/>
  <c r="BC584" i="36"/>
  <c r="BC435" i="36"/>
  <c r="BD826" i="36"/>
  <c r="BD850" i="36"/>
  <c r="BD414" i="36"/>
  <c r="CX279" i="36"/>
  <c r="CX237" i="36"/>
  <c r="CX238" i="36"/>
  <c r="BV170" i="36"/>
  <c r="BV129" i="36"/>
  <c r="BB233" i="36"/>
  <c r="BA24" i="36"/>
  <c r="BA410" i="36"/>
  <c r="BH30" i="36"/>
  <c r="DE383" i="36"/>
  <c r="BE31" i="36"/>
  <c r="BP237" i="36"/>
  <c r="DF237" i="36"/>
  <c r="DF279" i="36"/>
  <c r="BF219" i="36"/>
  <c r="BF218" i="36"/>
  <c r="BD755" i="36"/>
  <c r="BD719" i="36"/>
  <c r="BD758" i="36"/>
  <c r="BD757" i="36"/>
  <c r="DH842" i="36"/>
  <c r="DH820" i="36"/>
  <c r="CN296" i="36"/>
  <c r="DH227" i="36"/>
  <c r="BK193" i="36"/>
  <c r="BF707" i="36"/>
  <c r="BK59" i="36"/>
  <c r="BD263" i="36"/>
  <c r="BD264" i="36"/>
  <c r="BE266" i="36"/>
  <c r="DE266" i="36"/>
  <c r="CA830" i="36"/>
  <c r="BG184" i="36"/>
  <c r="CB229" i="36"/>
  <c r="DG229" i="36"/>
  <c r="DG271" i="36"/>
  <c r="CW237" i="36"/>
  <c r="CR83" i="36"/>
  <c r="BD596" i="36"/>
  <c r="BD595" i="36"/>
  <c r="BD593" i="36"/>
  <c r="R15" i="22"/>
  <c r="G22" i="14" s="1"/>
  <c r="R329" i="22"/>
  <c r="R334" i="22"/>
  <c r="R281" i="22"/>
  <c r="R276" i="22"/>
  <c r="R223" i="22"/>
  <c r="R228" i="22"/>
  <c r="R170" i="22"/>
  <c r="R68" i="22"/>
  <c r="R64" i="22"/>
  <c r="R69" i="22"/>
  <c r="O421" i="21"/>
  <c r="O425" i="21"/>
  <c r="O364" i="21"/>
  <c r="O361" i="21"/>
  <c r="O365" i="21"/>
  <c r="O304" i="21"/>
  <c r="O305" i="21"/>
  <c r="O301" i="21"/>
  <c r="O244" i="21"/>
  <c r="O241" i="21"/>
  <c r="O185" i="21"/>
  <c r="O184" i="21"/>
  <c r="O181" i="21"/>
  <c r="O116" i="21"/>
  <c r="O119" i="21"/>
  <c r="G80" i="14"/>
  <c r="O121" i="21"/>
  <c r="G82" i="14"/>
  <c r="O111" i="21"/>
  <c r="O120" i="21"/>
  <c r="DE638" i="36"/>
  <c r="BB50" i="36"/>
  <c r="DE228" i="36"/>
  <c r="BE6" i="36"/>
  <c r="DE6" i="36"/>
  <c r="BB421" i="36"/>
  <c r="BB26" i="36"/>
  <c r="BB553" i="36"/>
  <c r="BG675" i="36"/>
  <c r="BE757" i="36"/>
  <c r="DE758" i="36"/>
  <c r="DG722" i="36"/>
  <c r="BF637" i="36"/>
  <c r="BC450" i="36"/>
  <c r="BC452" i="36"/>
  <c r="DE31" i="36"/>
  <c r="BF792" i="36"/>
  <c r="BF789" i="36"/>
  <c r="BF827" i="36"/>
  <c r="BF824" i="36"/>
  <c r="BF756" i="36"/>
  <c r="BF720" i="36"/>
  <c r="BE361" i="36"/>
  <c r="DE362" i="36"/>
  <c r="BC742" i="36"/>
  <c r="BC734" i="36"/>
  <c r="BC743" i="36"/>
  <c r="BC770" i="36"/>
  <c r="BC781" i="36"/>
  <c r="CB337" i="36"/>
  <c r="DG296" i="36"/>
  <c r="BF357" i="36"/>
  <c r="BF392" i="36"/>
  <c r="BF393" i="36"/>
  <c r="DE316" i="36"/>
  <c r="BF593" i="36"/>
  <c r="BD63" i="36"/>
  <c r="BE402" i="36"/>
  <c r="DE445" i="36"/>
  <c r="BE792" i="36"/>
  <c r="BE789" i="36"/>
  <c r="DE789" i="36"/>
  <c r="DE793" i="36"/>
  <c r="CN238" i="36"/>
  <c r="DH238" i="36"/>
  <c r="CN279" i="36"/>
  <c r="DH280" i="36"/>
  <c r="CB238" i="36"/>
  <c r="DG238" i="36"/>
  <c r="CB279" i="36"/>
  <c r="DG280" i="36"/>
  <c r="BA15" i="36"/>
  <c r="BD456" i="36"/>
  <c r="BC436" i="36"/>
  <c r="BC47" i="36"/>
  <c r="BI632" i="36"/>
  <c r="BH590" i="36"/>
  <c r="CF17" i="36"/>
  <c r="CG30" i="36"/>
  <c r="BL69" i="36"/>
  <c r="BL17" i="36"/>
  <c r="BL59" i="36"/>
  <c r="AV46" i="36"/>
  <c r="AV44" i="36"/>
  <c r="DE545" i="36"/>
  <c r="DE558" i="36"/>
  <c r="DE542" i="36"/>
  <c r="DG251" i="36"/>
  <c r="BF235" i="36"/>
  <c r="BF273" i="36"/>
  <c r="BF276" i="36"/>
  <c r="BJ32" i="36"/>
  <c r="BJ33" i="36"/>
  <c r="BK352" i="36"/>
  <c r="BJ5" i="36"/>
  <c r="BB24" i="36"/>
  <c r="BB410" i="36"/>
  <c r="BB15" i="36"/>
  <c r="BE23" i="36"/>
  <c r="DE23" i="36"/>
  <c r="DE418" i="36"/>
  <c r="BF677" i="36"/>
  <c r="BF674" i="36"/>
  <c r="BT32" i="36"/>
  <c r="BG712" i="36"/>
  <c r="BH752" i="36"/>
  <c r="BA406" i="36"/>
  <c r="BA12" i="36"/>
  <c r="DE66" i="36"/>
  <c r="BE825" i="36"/>
  <c r="DE825" i="36"/>
  <c r="DE829" i="36"/>
  <c r="BF266" i="36"/>
  <c r="CB830" i="36"/>
  <c r="DG830" i="36"/>
  <c r="DG831" i="36"/>
  <c r="CB728" i="36"/>
  <c r="BW69" i="36"/>
  <c r="BW17" i="36"/>
  <c r="BW59" i="36"/>
  <c r="BN84" i="36"/>
  <c r="BN210" i="36"/>
  <c r="BO183" i="36"/>
  <c r="BN169" i="36"/>
  <c r="BF188" i="36"/>
  <c r="BH618" i="36"/>
  <c r="BF395" i="36"/>
  <c r="BF675" i="36"/>
  <c r="BF825" i="36"/>
  <c r="BD419" i="36"/>
  <c r="BD24" i="36"/>
  <c r="BL81" i="36"/>
  <c r="DE557" i="36"/>
  <c r="BA26" i="36"/>
  <c r="BC233" i="36"/>
  <c r="CZ296" i="36"/>
  <c r="DI227" i="36"/>
  <c r="DE755" i="36"/>
  <c r="BH147" i="36"/>
  <c r="BH177" i="36"/>
  <c r="BH178" i="36"/>
  <c r="CG111" i="36"/>
  <c r="CG68" i="36"/>
  <c r="CG16" i="36"/>
  <c r="BU33" i="36"/>
  <c r="BU32" i="36"/>
  <c r="BV352" i="36"/>
  <c r="BU5" i="36"/>
  <c r="BA404" i="36"/>
  <c r="BE62" i="36"/>
  <c r="DE106" i="36"/>
  <c r="BD804" i="36"/>
  <c r="BD815" i="36"/>
  <c r="BD89" i="36"/>
  <c r="BD121" i="36"/>
  <c r="BD133" i="36"/>
  <c r="BA432" i="36"/>
  <c r="BA469" i="36"/>
  <c r="CR30" i="36"/>
  <c r="BE596" i="36"/>
  <c r="BE593" i="36"/>
  <c r="DE593" i="36"/>
  <c r="DE597" i="36"/>
  <c r="AY44" i="36"/>
  <c r="AY45" i="36"/>
  <c r="AY46" i="36"/>
  <c r="BW81" i="36"/>
  <c r="BB259" i="36"/>
  <c r="BB288" i="36"/>
  <c r="BB300" i="36"/>
  <c r="BH614" i="36"/>
  <c r="BH499" i="36"/>
  <c r="CR68" i="36"/>
  <c r="CR16" i="36"/>
  <c r="CR111" i="36"/>
  <c r="CR67" i="36"/>
  <c r="DH807" i="36"/>
  <c r="CN737" i="36"/>
  <c r="DH737" i="36"/>
  <c r="BE715" i="36"/>
  <c r="DE719" i="36"/>
  <c r="BT30" i="36"/>
  <c r="BG86" i="36"/>
  <c r="CN337" i="36"/>
  <c r="DH296" i="36"/>
  <c r="BD715" i="36"/>
  <c r="BD718" i="36"/>
  <c r="BD717" i="36"/>
  <c r="AZ566" i="36"/>
  <c r="AZ432" i="36"/>
  <c r="BD19" i="36"/>
  <c r="BD364" i="36"/>
  <c r="DE515" i="36"/>
  <c r="BE504" i="36"/>
  <c r="BF418" i="36"/>
  <c r="CS5" i="36"/>
  <c r="CS170" i="36"/>
  <c r="CS129" i="36"/>
  <c r="BH535" i="36"/>
  <c r="CN599" i="36"/>
  <c r="DH599" i="36"/>
  <c r="DH641" i="36"/>
  <c r="BL193" i="36"/>
  <c r="BE359" i="36"/>
  <c r="DE359" i="36"/>
  <c r="DE363" i="36"/>
  <c r="BE232" i="36"/>
  <c r="DE232" i="36"/>
  <c r="DE274" i="36"/>
  <c r="CH5" i="36"/>
  <c r="CH129" i="36"/>
  <c r="CH170" i="36"/>
  <c r="BE64" i="36"/>
  <c r="DE65" i="36"/>
  <c r="BF263" i="36"/>
  <c r="BF264" i="36"/>
  <c r="CZ229" i="36"/>
  <c r="DI229" i="36"/>
  <c r="DI271" i="36"/>
  <c r="BH180" i="36"/>
  <c r="BI18" i="36"/>
  <c r="BG736" i="36"/>
  <c r="BH143" i="36"/>
  <c r="BE827" i="36"/>
  <c r="BE824" i="36"/>
  <c r="DE824" i="36"/>
  <c r="DE828" i="36"/>
  <c r="BC419" i="36"/>
  <c r="BF95" i="36"/>
  <c r="BF96" i="36"/>
  <c r="BP830" i="36"/>
  <c r="DF830" i="36"/>
  <c r="DF831" i="36"/>
  <c r="BP722" i="36"/>
  <c r="BF504" i="36"/>
  <c r="BD421" i="36"/>
  <c r="BF187" i="36"/>
  <c r="BF190" i="36"/>
  <c r="BH203" i="36"/>
  <c r="BH184" i="36"/>
  <c r="BK69" i="36"/>
  <c r="DE379" i="36"/>
  <c r="V182" i="14"/>
  <c r="BE377" i="36"/>
  <c r="DE377" i="36"/>
  <c r="BC548" i="36"/>
  <c r="BC409" i="36"/>
  <c r="BD495" i="36"/>
  <c r="BF401" i="36"/>
  <c r="CU101" i="36"/>
  <c r="CT57" i="36"/>
  <c r="CT83" i="36"/>
  <c r="CT32" i="36"/>
  <c r="BE358" i="36"/>
  <c r="DE353" i="36"/>
  <c r="BH315" i="36"/>
  <c r="BH345" i="36"/>
  <c r="BH344" i="36"/>
  <c r="CH81" i="36"/>
  <c r="BC341" i="36"/>
  <c r="BE189" i="36"/>
  <c r="DE190" i="36"/>
  <c r="BE61" i="36"/>
  <c r="DE105" i="36"/>
  <c r="BF236" i="36"/>
  <c r="BF274" i="36"/>
  <c r="CZ251" i="36"/>
  <c r="DI289" i="36"/>
  <c r="BG146" i="36"/>
  <c r="BG149" i="36"/>
  <c r="BG148" i="36"/>
  <c r="BF626" i="36"/>
  <c r="BF625" i="36"/>
  <c r="BF657" i="36"/>
  <c r="BH786" i="36"/>
  <c r="BD360" i="36"/>
  <c r="BD389" i="36"/>
  <c r="BI33" i="36"/>
  <c r="BI671" i="36"/>
  <c r="BT33" i="36"/>
  <c r="BF425" i="36"/>
  <c r="CM728" i="36"/>
  <c r="CM22" i="36"/>
  <c r="BC550" i="36"/>
  <c r="BC408" i="36"/>
  <c r="BF105" i="36"/>
  <c r="BF65" i="36"/>
  <c r="BF108" i="36"/>
  <c r="DF837" i="36"/>
  <c r="BP728" i="36"/>
  <c r="BD415" i="36"/>
  <c r="BD20" i="36"/>
  <c r="BG453" i="36"/>
  <c r="DE637" i="36"/>
  <c r="CY279" i="36"/>
  <c r="CY237" i="36"/>
  <c r="CY238" i="36"/>
  <c r="CR32" i="36"/>
  <c r="BC437" i="36"/>
  <c r="BC48" i="36"/>
  <c r="AZ11" i="36"/>
  <c r="BL170" i="36"/>
  <c r="BL129" i="36"/>
  <c r="BE231" i="36"/>
  <c r="DE231" i="36"/>
  <c r="DE273" i="36"/>
  <c r="CB795" i="36"/>
  <c r="DG795" i="36"/>
  <c r="DG796" i="36"/>
  <c r="BG203" i="36"/>
  <c r="BK111" i="36"/>
  <c r="BK67" i="36"/>
  <c r="BK68" i="36"/>
  <c r="BD544" i="36"/>
  <c r="BD582" i="36"/>
  <c r="BD434" i="36"/>
  <c r="BD581" i="36"/>
  <c r="BD403" i="36"/>
  <c r="BD8" i="36"/>
  <c r="BD584" i="36"/>
  <c r="BD435" i="36"/>
  <c r="AZ743" i="36"/>
  <c r="BH443" i="36"/>
  <c r="BG400" i="36"/>
  <c r="CS69" i="36"/>
  <c r="CS17" i="36"/>
  <c r="CS59" i="36"/>
  <c r="DE676" i="36"/>
  <c r="BE234" i="36"/>
  <c r="BE275" i="36"/>
  <c r="DE276" i="36"/>
  <c r="BF636" i="36"/>
  <c r="BF598" i="36"/>
  <c r="BF596" i="36"/>
  <c r="CH59" i="36"/>
  <c r="CM830" i="36"/>
  <c r="BB404" i="36"/>
  <c r="BB9" i="36"/>
  <c r="BB407" i="36"/>
  <c r="BB13" i="36"/>
  <c r="BE107" i="36"/>
  <c r="DE108" i="36"/>
  <c r="CZ253" i="36"/>
  <c r="DI253" i="36"/>
  <c r="DI291" i="36"/>
  <c r="BG592" i="36"/>
  <c r="BG665" i="36"/>
  <c r="BG664" i="36"/>
  <c r="BH667" i="36"/>
  <c r="BG667" i="36"/>
  <c r="BD358" i="36"/>
  <c r="DE237" i="36"/>
  <c r="V204" i="14"/>
  <c r="U204" i="14"/>
  <c r="BE456" i="36"/>
  <c r="BE414" i="36"/>
  <c r="DE460" i="36"/>
  <c r="CM795" i="36"/>
  <c r="CM722" i="36"/>
  <c r="CM721" i="36"/>
  <c r="BF148" i="36"/>
  <c r="BV111" i="36"/>
  <c r="BV68" i="36"/>
  <c r="DE425" i="36"/>
  <c r="BG136" i="36"/>
  <c r="BG60" i="36"/>
  <c r="BG137" i="36"/>
  <c r="BH139" i="36"/>
  <c r="BG451" i="36"/>
  <c r="CF16" i="36"/>
  <c r="BF790" i="36"/>
  <c r="BG501" i="36"/>
  <c r="BH675" i="36"/>
  <c r="BG704" i="36"/>
  <c r="BG705" i="36"/>
  <c r="BJ491" i="36"/>
  <c r="DH787" i="36"/>
  <c r="CN713" i="36"/>
  <c r="DH713" i="36"/>
  <c r="BG635" i="36"/>
  <c r="BG597" i="36"/>
  <c r="DH251" i="36"/>
  <c r="BD234" i="36"/>
  <c r="BD275" i="36"/>
  <c r="BG58" i="36"/>
  <c r="BH102" i="36"/>
  <c r="BV69" i="36"/>
  <c r="BH540" i="36"/>
  <c r="BF106" i="36"/>
  <c r="BF66" i="36"/>
  <c r="BH485" i="36"/>
  <c r="BI487" i="36"/>
  <c r="BH484" i="36"/>
  <c r="BH533" i="36"/>
  <c r="BH532" i="36"/>
  <c r="BF714" i="36"/>
  <c r="BF628" i="36"/>
  <c r="BG677" i="36"/>
  <c r="BG676" i="36"/>
  <c r="BG674" i="36"/>
  <c r="BW170" i="36"/>
  <c r="BW129" i="36"/>
  <c r="BB405" i="36"/>
  <c r="BB10" i="36"/>
  <c r="BB14" i="36"/>
  <c r="BH347" i="36"/>
  <c r="DH837" i="36"/>
  <c r="DH822" i="36"/>
  <c r="DE148" i="36"/>
  <c r="BG317" i="36"/>
  <c r="BG316" i="36"/>
  <c r="BG314" i="36"/>
  <c r="CJ101" i="36"/>
  <c r="CI57" i="36"/>
  <c r="CZ252" i="36"/>
  <c r="DI252" i="36"/>
  <c r="DI290" i="36"/>
  <c r="BE429" i="36"/>
  <c r="DE429" i="36"/>
  <c r="DE475" i="36"/>
  <c r="BB469" i="36"/>
  <c r="BB481" i="36"/>
  <c r="BG188" i="36"/>
  <c r="BG219" i="36"/>
  <c r="BG218" i="36"/>
  <c r="BG221" i="36"/>
  <c r="BC8" i="36"/>
  <c r="BC439" i="36"/>
  <c r="BD439" i="36"/>
  <c r="BG504" i="36"/>
  <c r="BG498" i="36"/>
  <c r="CR69" i="36"/>
  <c r="CS81" i="36"/>
  <c r="BM83" i="36"/>
  <c r="BN101" i="36"/>
  <c r="BM57" i="36"/>
  <c r="BG395" i="36"/>
  <c r="DE235" i="36"/>
  <c r="BG228" i="36"/>
  <c r="BG230" i="36"/>
  <c r="BG304" i="36"/>
  <c r="BG303" i="36"/>
  <c r="DI336" i="36"/>
  <c r="BG638" i="36"/>
  <c r="BI30" i="36"/>
  <c r="BC80" i="36"/>
  <c r="BC92" i="36"/>
  <c r="BH839" i="36"/>
  <c r="BH821" i="36"/>
  <c r="BT18" i="36"/>
  <c r="BF31" i="36"/>
  <c r="BF316" i="36"/>
  <c r="BE756" i="36"/>
  <c r="DE756" i="36"/>
  <c r="BE720" i="36"/>
  <c r="DE760" i="36"/>
  <c r="BG82" i="36"/>
  <c r="BX83" i="36"/>
  <c r="BY101" i="36"/>
  <c r="BX57" i="36"/>
  <c r="O125" i="21"/>
  <c r="O558" i="21"/>
  <c r="O557" i="21"/>
  <c r="O594" i="21"/>
  <c r="V177" i="14"/>
  <c r="U182" i="14"/>
  <c r="U177" i="14"/>
  <c r="O6" i="21"/>
  <c r="O124" i="21"/>
  <c r="O166" i="21"/>
  <c r="O167" i="21"/>
  <c r="DE358" i="36"/>
  <c r="BC553" i="36"/>
  <c r="BC547" i="36"/>
  <c r="BC421" i="36"/>
  <c r="BC26" i="36"/>
  <c r="BC49" i="36"/>
  <c r="BB547" i="36"/>
  <c r="BB549" i="36"/>
  <c r="BD26" i="36"/>
  <c r="BD410" i="36"/>
  <c r="BD15" i="36"/>
  <c r="BG637" i="36"/>
  <c r="BF595" i="36"/>
  <c r="BG758" i="36"/>
  <c r="BG757" i="36"/>
  <c r="BG755" i="36"/>
  <c r="BG719" i="36"/>
  <c r="BG789" i="36"/>
  <c r="CZ279" i="36"/>
  <c r="CZ238" i="36"/>
  <c r="DI238" i="36"/>
  <c r="DI280" i="36"/>
  <c r="BF23" i="36"/>
  <c r="BD80" i="36"/>
  <c r="BG236" i="36"/>
  <c r="BG274" i="36"/>
  <c r="BG232" i="36"/>
  <c r="BM170" i="36"/>
  <c r="BM129" i="36"/>
  <c r="CI5" i="36"/>
  <c r="CI129" i="36"/>
  <c r="CI170" i="36"/>
  <c r="BG329" i="36"/>
  <c r="BG341" i="36"/>
  <c r="BH451" i="36"/>
  <c r="BK491" i="36"/>
  <c r="BV16" i="36"/>
  <c r="BG418" i="36"/>
  <c r="BG23" i="36"/>
  <c r="DE61" i="36"/>
  <c r="BF447" i="36"/>
  <c r="BF402" i="36"/>
  <c r="BU30" i="36"/>
  <c r="BO210" i="36"/>
  <c r="BO84" i="36"/>
  <c r="BP183" i="36"/>
  <c r="BO169" i="36"/>
  <c r="BF234" i="36"/>
  <c r="BF275" i="36"/>
  <c r="CN237" i="36"/>
  <c r="DH237" i="36"/>
  <c r="DH279" i="36"/>
  <c r="BE791" i="36"/>
  <c r="DE792" i="36"/>
  <c r="BF359" i="36"/>
  <c r="BF791" i="36"/>
  <c r="BG263" i="36"/>
  <c r="BG264" i="36"/>
  <c r="BG429" i="36"/>
  <c r="BG35" i="36"/>
  <c r="BG401" i="36"/>
  <c r="BC549" i="36"/>
  <c r="BG377" i="36"/>
  <c r="BF498" i="36"/>
  <c r="BG266" i="36"/>
  <c r="CR17" i="36"/>
  <c r="CJ83" i="36"/>
  <c r="CJ32" i="36"/>
  <c r="CK101" i="36"/>
  <c r="CJ57" i="36"/>
  <c r="BG714" i="36"/>
  <c r="BV17" i="36"/>
  <c r="BH704" i="36"/>
  <c r="BH705" i="36"/>
  <c r="BH707" i="36"/>
  <c r="BG95" i="36"/>
  <c r="BG96" i="36"/>
  <c r="BG98" i="36"/>
  <c r="BV67" i="36"/>
  <c r="DE414" i="36"/>
  <c r="BE233" i="36"/>
  <c r="DE275" i="36"/>
  <c r="BH501" i="36"/>
  <c r="BD548" i="36"/>
  <c r="BD409" i="36"/>
  <c r="BG792" i="36"/>
  <c r="BI786" i="36"/>
  <c r="BG425" i="36"/>
  <c r="BH453" i="36"/>
  <c r="BC24" i="36"/>
  <c r="BC410" i="36"/>
  <c r="BC15" i="36"/>
  <c r="AZ423" i="36"/>
  <c r="AZ38" i="36"/>
  <c r="BA481" i="36"/>
  <c r="BW352" i="36"/>
  <c r="BV5" i="36"/>
  <c r="BW111" i="36"/>
  <c r="BW67" i="36"/>
  <c r="BW68" i="36"/>
  <c r="BW16" i="36"/>
  <c r="BF676" i="36"/>
  <c r="BL111" i="36"/>
  <c r="BL68" i="36"/>
  <c r="BL16" i="36"/>
  <c r="BI614" i="36"/>
  <c r="BD450" i="36"/>
  <c r="BD452" i="36"/>
  <c r="BF358" i="36"/>
  <c r="BF361" i="36"/>
  <c r="DE757" i="36"/>
  <c r="BF758" i="36"/>
  <c r="BF755" i="36"/>
  <c r="BF719" i="36"/>
  <c r="CB237" i="36"/>
  <c r="DG237" i="36"/>
  <c r="DG279" i="36"/>
  <c r="BX129" i="36"/>
  <c r="BX170" i="36"/>
  <c r="BO101" i="36"/>
  <c r="BN83" i="36"/>
  <c r="BN57" i="36"/>
  <c r="BX59" i="36"/>
  <c r="BE716" i="36"/>
  <c r="DE716" i="36"/>
  <c r="DE720" i="36"/>
  <c r="BM59" i="36"/>
  <c r="CI69" i="36"/>
  <c r="CI17" i="36"/>
  <c r="CI59" i="36"/>
  <c r="DE171" i="36"/>
  <c r="BE162" i="36"/>
  <c r="BI102" i="36"/>
  <c r="BH58" i="36"/>
  <c r="BF500" i="36"/>
  <c r="BF6" i="36"/>
  <c r="DE467" i="36"/>
  <c r="CH69" i="36"/>
  <c r="DE234" i="36"/>
  <c r="V203" i="14"/>
  <c r="U203" i="14"/>
  <c r="DE546" i="36"/>
  <c r="BC50" i="36"/>
  <c r="BF107" i="36"/>
  <c r="BJ671" i="36"/>
  <c r="DI251" i="36"/>
  <c r="DE212" i="36"/>
  <c r="BE215" i="36"/>
  <c r="DE215" i="36"/>
  <c r="DE189" i="36"/>
  <c r="BF456" i="36"/>
  <c r="BF414" i="36"/>
  <c r="BE35" i="36"/>
  <c r="AZ578" i="36"/>
  <c r="BA423" i="36"/>
  <c r="BA433" i="36"/>
  <c r="BA38" i="36"/>
  <c r="BA29" i="36"/>
  <c r="CG67" i="36"/>
  <c r="CZ337" i="36"/>
  <c r="DI296" i="36"/>
  <c r="BD550" i="36"/>
  <c r="BD408" i="36"/>
  <c r="BA11" i="36"/>
  <c r="BJ30" i="36"/>
  <c r="BF231" i="36"/>
  <c r="BI618" i="36"/>
  <c r="DE402" i="36"/>
  <c r="BE7" i="36"/>
  <c r="DE7" i="36"/>
  <c r="BE544" i="36"/>
  <c r="DE544" i="36"/>
  <c r="DE543" i="36"/>
  <c r="BE581" i="36"/>
  <c r="DE581" i="36"/>
  <c r="BE582" i="36"/>
  <c r="BF584" i="36"/>
  <c r="BF435" i="36"/>
  <c r="BE403" i="36"/>
  <c r="BE584" i="36"/>
  <c r="BG108" i="36"/>
  <c r="BG107" i="36"/>
  <c r="BG105" i="36"/>
  <c r="BG65" i="36"/>
  <c r="DE456" i="36"/>
  <c r="BE450" i="36"/>
  <c r="DE450" i="36"/>
  <c r="BE452" i="36"/>
  <c r="DE107" i="36"/>
  <c r="CH111" i="36"/>
  <c r="CH67" i="36"/>
  <c r="CH68" i="36"/>
  <c r="BD437" i="36"/>
  <c r="BD48" i="36"/>
  <c r="BD50" i="36"/>
  <c r="BE621" i="36"/>
  <c r="DE658" i="36"/>
  <c r="BF64" i="36"/>
  <c r="BF650" i="36"/>
  <c r="BF661" i="36"/>
  <c r="BE19" i="36"/>
  <c r="DE19" i="36"/>
  <c r="DE368" i="36"/>
  <c r="BE364" i="36"/>
  <c r="BE360" i="36"/>
  <c r="CT5" i="36"/>
  <c r="CT170" i="36"/>
  <c r="CT129" i="36"/>
  <c r="BF429" i="36"/>
  <c r="BI535" i="36"/>
  <c r="BF189" i="36"/>
  <c r="DE504" i="36"/>
  <c r="BE498" i="36"/>
  <c r="DE498" i="36"/>
  <c r="BE500" i="36"/>
  <c r="BB250" i="36"/>
  <c r="BB260" i="36"/>
  <c r="CB22" i="36"/>
  <c r="DG22" i="36"/>
  <c r="DG728" i="36"/>
  <c r="BH712" i="36"/>
  <c r="BI752" i="36"/>
  <c r="BK32" i="36"/>
  <c r="BL352" i="36"/>
  <c r="BK5" i="36"/>
  <c r="AV45" i="36"/>
  <c r="BJ632" i="36"/>
  <c r="BI590" i="36"/>
  <c r="DE448" i="36"/>
  <c r="BE447" i="36"/>
  <c r="DE447" i="36"/>
  <c r="BE329" i="36"/>
  <c r="DE338" i="36"/>
  <c r="DE361" i="36"/>
  <c r="V173" i="14"/>
  <c r="U173" i="14"/>
  <c r="BH230" i="36"/>
  <c r="BH228" i="36"/>
  <c r="BH303" i="36"/>
  <c r="BH304" i="36"/>
  <c r="BH306" i="36"/>
  <c r="BG827" i="36"/>
  <c r="BG826" i="36"/>
  <c r="BG850" i="36"/>
  <c r="BG824" i="36"/>
  <c r="BX81" i="36"/>
  <c r="BG636" i="36"/>
  <c r="BG598" i="36"/>
  <c r="BG594" i="36"/>
  <c r="BM81" i="36"/>
  <c r="CI83" i="36"/>
  <c r="BF62" i="36"/>
  <c r="BH86" i="36"/>
  <c r="BH60" i="36"/>
  <c r="BH137" i="36"/>
  <c r="BH136" i="36"/>
  <c r="BG626" i="36"/>
  <c r="BG625" i="36"/>
  <c r="BG657" i="36"/>
  <c r="BG628" i="36"/>
  <c r="BF594" i="36"/>
  <c r="CS111" i="36"/>
  <c r="CS68" i="36"/>
  <c r="CS16" i="36"/>
  <c r="BD52" i="36"/>
  <c r="BK16" i="36"/>
  <c r="BF61" i="36"/>
  <c r="BI344" i="36"/>
  <c r="BI345" i="36"/>
  <c r="BJ347" i="36"/>
  <c r="BI347" i="36"/>
  <c r="BF377" i="36"/>
  <c r="CV101" i="36"/>
  <c r="CU57" i="36"/>
  <c r="DE496" i="36"/>
  <c r="BE495" i="36"/>
  <c r="DE495" i="36"/>
  <c r="BE826" i="36"/>
  <c r="DE827" i="36"/>
  <c r="BE595" i="36"/>
  <c r="DE596" i="36"/>
  <c r="DE62" i="36"/>
  <c r="BE415" i="36"/>
  <c r="DE461" i="36"/>
  <c r="BF716" i="36"/>
  <c r="CB721" i="36"/>
  <c r="DG721" i="36"/>
  <c r="BG31" i="36"/>
  <c r="CN795" i="36"/>
  <c r="DH795" i="36"/>
  <c r="DH796" i="36"/>
  <c r="CN722" i="36"/>
  <c r="BH317" i="36"/>
  <c r="BH314" i="36"/>
  <c r="BE63" i="36"/>
  <c r="DE64" i="36"/>
  <c r="V142" i="14"/>
  <c r="U142" i="14"/>
  <c r="BY83" i="36"/>
  <c r="BZ101" i="36"/>
  <c r="BY57" i="36"/>
  <c r="BH221" i="36"/>
  <c r="BG689" i="36"/>
  <c r="BG701" i="36"/>
  <c r="BI839" i="36"/>
  <c r="BI821" i="36"/>
  <c r="BG187" i="36"/>
  <c r="BG190" i="36"/>
  <c r="BG189" i="36"/>
  <c r="CN830" i="36"/>
  <c r="DH830" i="36"/>
  <c r="DH831" i="36"/>
  <c r="BI484" i="36"/>
  <c r="BI485" i="36"/>
  <c r="BI532" i="36"/>
  <c r="BI533" i="36"/>
  <c r="BJ487" i="36"/>
  <c r="BH82" i="36"/>
  <c r="BG500" i="36"/>
  <c r="BG106" i="36"/>
  <c r="BG62" i="36"/>
  <c r="BG66" i="36"/>
  <c r="BH592" i="36"/>
  <c r="BH665" i="36"/>
  <c r="BH664" i="36"/>
  <c r="BB406" i="36"/>
  <c r="BB12" i="36"/>
  <c r="BF232" i="36"/>
  <c r="CT59" i="36"/>
  <c r="BK17" i="36"/>
  <c r="BP721" i="36"/>
  <c r="DF721" i="36"/>
  <c r="DF722" i="36"/>
  <c r="BI143" i="36"/>
  <c r="DE715" i="36"/>
  <c r="BE650" i="36"/>
  <c r="BA9" i="36"/>
  <c r="BH146" i="36"/>
  <c r="BH149" i="36"/>
  <c r="BC259" i="36"/>
  <c r="BC288" i="36"/>
  <c r="BC300" i="36"/>
  <c r="BH736" i="36"/>
  <c r="BJ18" i="36"/>
  <c r="BD742" i="36"/>
  <c r="BD734" i="36"/>
  <c r="BD743" i="36"/>
  <c r="BD770" i="36"/>
  <c r="BD781" i="36"/>
  <c r="BM193" i="36"/>
  <c r="BD92" i="36"/>
  <c r="DG337" i="36"/>
  <c r="BH188" i="36"/>
  <c r="BH219" i="36"/>
  <c r="BH218" i="36"/>
  <c r="BG756" i="36"/>
  <c r="BG720" i="36"/>
  <c r="BG716" i="36"/>
  <c r="BH635" i="36"/>
  <c r="BH638" i="36"/>
  <c r="BH637" i="36"/>
  <c r="BH597" i="36"/>
  <c r="BP22" i="36"/>
  <c r="DF22" i="36"/>
  <c r="DF728" i="36"/>
  <c r="DH337" i="36"/>
  <c r="BU18" i="36"/>
  <c r="CI81" i="36"/>
  <c r="BG273" i="36"/>
  <c r="BG231" i="36"/>
  <c r="BG276" i="36"/>
  <c r="BG235" i="36"/>
  <c r="CS30" i="36"/>
  <c r="BC52" i="36"/>
  <c r="BI540" i="36"/>
  <c r="BD233" i="36"/>
  <c r="BG593" i="36"/>
  <c r="DH802" i="36"/>
  <c r="CN728" i="36"/>
  <c r="BH636" i="36"/>
  <c r="BH598" i="36"/>
  <c r="BH594" i="36"/>
  <c r="BE689" i="36"/>
  <c r="DE698" i="36"/>
  <c r="BI443" i="36"/>
  <c r="BH400" i="36"/>
  <c r="BD436" i="36"/>
  <c r="BD47" i="36"/>
  <c r="BD49" i="36"/>
  <c r="BC404" i="36"/>
  <c r="BC9" i="36"/>
  <c r="BC407" i="36"/>
  <c r="BC13" i="36"/>
  <c r="BD621" i="36"/>
  <c r="BD612" i="36"/>
  <c r="BD622" i="36"/>
  <c r="BD650" i="36"/>
  <c r="BD661" i="36"/>
  <c r="BG162" i="36"/>
  <c r="BG174" i="36"/>
  <c r="CH30" i="36"/>
  <c r="CT81" i="36"/>
  <c r="BC405" i="36"/>
  <c r="BC10" i="36"/>
  <c r="BC14" i="36"/>
  <c r="BI184" i="36"/>
  <c r="BE718" i="36"/>
  <c r="BI147" i="36"/>
  <c r="BI177" i="36"/>
  <c r="BI178" i="36"/>
  <c r="BI180" i="36"/>
  <c r="BG357" i="36"/>
  <c r="BG6" i="36"/>
  <c r="BG359" i="36"/>
  <c r="BG392" i="36"/>
  <c r="BG393" i="36"/>
  <c r="BF826" i="36"/>
  <c r="BD553" i="36"/>
  <c r="BD547" i="36"/>
  <c r="BB566" i="36"/>
  <c r="BB578" i="36"/>
  <c r="BB432" i="36"/>
  <c r="BF450" i="36"/>
  <c r="BF452" i="36"/>
  <c r="BG791" i="36"/>
  <c r="BI674" i="36"/>
  <c r="BH756" i="36"/>
  <c r="BE389" i="36"/>
  <c r="DE389" i="36"/>
  <c r="DE360" i="36"/>
  <c r="DE689" i="36"/>
  <c r="BE701" i="36"/>
  <c r="DE701" i="36"/>
  <c r="CT111" i="36"/>
  <c r="CT67" i="36"/>
  <c r="CT68" i="36"/>
  <c r="CT16" i="36"/>
  <c r="BH273" i="36"/>
  <c r="BH231" i="36"/>
  <c r="BH276" i="36"/>
  <c r="BH235" i="36"/>
  <c r="DE500" i="36"/>
  <c r="BF48" i="36"/>
  <c r="BX111" i="36"/>
  <c r="BX67" i="36"/>
  <c r="BX68" i="36"/>
  <c r="BX16" i="36"/>
  <c r="BW32" i="36"/>
  <c r="BW33" i="36"/>
  <c r="BX352" i="36"/>
  <c r="BW5" i="36"/>
  <c r="CL101" i="36"/>
  <c r="CK57" i="36"/>
  <c r="DE452" i="36"/>
  <c r="BG361" i="36"/>
  <c r="BG358" i="36"/>
  <c r="BJ203" i="36"/>
  <c r="BJ184" i="36"/>
  <c r="BG596" i="36"/>
  <c r="CT69" i="36"/>
  <c r="BG517" i="36"/>
  <c r="BG529" i="36"/>
  <c r="BG215" i="36"/>
  <c r="BE20" i="36"/>
  <c r="DE20" i="36"/>
  <c r="DE415" i="36"/>
  <c r="CV83" i="36"/>
  <c r="CV32" i="36"/>
  <c r="CW101" i="36"/>
  <c r="CV57" i="36"/>
  <c r="BI315" i="36"/>
  <c r="BH264" i="36"/>
  <c r="BH263" i="36"/>
  <c r="BK632" i="36"/>
  <c r="BJ590" i="36"/>
  <c r="BK33" i="36"/>
  <c r="DE582" i="36"/>
  <c r="BE434" i="36"/>
  <c r="BH504" i="36"/>
  <c r="BH500" i="36"/>
  <c r="BH98" i="36"/>
  <c r="BI707" i="36"/>
  <c r="DE791" i="36"/>
  <c r="BG718" i="36"/>
  <c r="BG717" i="36"/>
  <c r="BG715" i="36"/>
  <c r="BG621" i="36"/>
  <c r="BG612" i="36"/>
  <c r="BA44" i="36"/>
  <c r="BA45" i="36"/>
  <c r="BA46" i="36"/>
  <c r="BJ675" i="36"/>
  <c r="BI705" i="36"/>
  <c r="BI704" i="36"/>
  <c r="BI203" i="36"/>
  <c r="CI30" i="36"/>
  <c r="CU83" i="36"/>
  <c r="BH274" i="36"/>
  <c r="BH236" i="36"/>
  <c r="BL33" i="36"/>
  <c r="BM352" i="36"/>
  <c r="BL5" i="36"/>
  <c r="BE612" i="36"/>
  <c r="DE612" i="36"/>
  <c r="DE621" i="36"/>
  <c r="BE89" i="36"/>
  <c r="BE121" i="36"/>
  <c r="DE130" i="36"/>
  <c r="DE35" i="36"/>
  <c r="BH677" i="36"/>
  <c r="BH674" i="36"/>
  <c r="BG825" i="36"/>
  <c r="BX69" i="36"/>
  <c r="BE770" i="36"/>
  <c r="DE778" i="36"/>
  <c r="BV18" i="36"/>
  <c r="CJ59" i="36"/>
  <c r="BI499" i="36"/>
  <c r="BC469" i="36"/>
  <c r="BC481" i="36"/>
  <c r="DF206" i="36"/>
  <c r="BP210" i="36"/>
  <c r="DF210" i="36"/>
  <c r="BP169" i="36"/>
  <c r="DF169" i="36"/>
  <c r="DF183" i="36"/>
  <c r="BF415" i="36"/>
  <c r="CU5" i="36"/>
  <c r="CU129" i="36"/>
  <c r="CU170" i="36"/>
  <c r="BK30" i="36"/>
  <c r="BF35" i="36"/>
  <c r="BN81" i="36"/>
  <c r="BJ786" i="36"/>
  <c r="BH714" i="36"/>
  <c r="BJ499" i="36"/>
  <c r="BJ535" i="36"/>
  <c r="BH395" i="36"/>
  <c r="BH187" i="36"/>
  <c r="BH190" i="36"/>
  <c r="BH189" i="36"/>
  <c r="BI592" i="36"/>
  <c r="BI664" i="36"/>
  <c r="BI665" i="36"/>
  <c r="BI667" i="36"/>
  <c r="BJ533" i="36"/>
  <c r="BJ485" i="36"/>
  <c r="BJ484" i="36"/>
  <c r="BJ532" i="36"/>
  <c r="BJ821" i="36"/>
  <c r="BE850" i="36"/>
  <c r="DE850" i="36"/>
  <c r="DE826" i="36"/>
  <c r="CU69" i="36"/>
  <c r="CU17" i="36"/>
  <c r="CU59" i="36"/>
  <c r="CS67" i="36"/>
  <c r="BH96" i="36"/>
  <c r="BH95" i="36"/>
  <c r="DE584" i="36"/>
  <c r="BE435" i="36"/>
  <c r="BD404" i="36"/>
  <c r="BD9" i="36"/>
  <c r="BD407" i="36"/>
  <c r="BD13" i="36"/>
  <c r="DE162" i="36"/>
  <c r="BE174" i="36"/>
  <c r="DE174" i="36"/>
  <c r="BM69" i="36"/>
  <c r="BV30" i="36"/>
  <c r="AZ29" i="36"/>
  <c r="CJ81" i="36"/>
  <c r="BF19" i="36"/>
  <c r="BF364" i="36"/>
  <c r="BC566" i="36"/>
  <c r="BC578" i="36"/>
  <c r="BO193" i="36"/>
  <c r="CZ237" i="36"/>
  <c r="DI237" i="36"/>
  <c r="DI279" i="36"/>
  <c r="BY81" i="36"/>
  <c r="BJ618" i="36"/>
  <c r="BJ443" i="36"/>
  <c r="BI400" i="36"/>
  <c r="BH596" i="36"/>
  <c r="BH595" i="36"/>
  <c r="BH593" i="36"/>
  <c r="DE63" i="36"/>
  <c r="BE622" i="36"/>
  <c r="DE622" i="36"/>
  <c r="DE595" i="36"/>
  <c r="CU81" i="36"/>
  <c r="BJ315" i="36"/>
  <c r="BJ345" i="36"/>
  <c r="BJ344" i="36"/>
  <c r="BF162" i="36"/>
  <c r="BH108" i="36"/>
  <c r="BH107" i="36"/>
  <c r="BH105" i="36"/>
  <c r="BH65" i="36"/>
  <c r="CI32" i="36"/>
  <c r="BI453" i="36"/>
  <c r="BI230" i="36"/>
  <c r="BI266" i="36"/>
  <c r="BI228" i="36"/>
  <c r="BI303" i="36"/>
  <c r="BI304" i="36"/>
  <c r="BI306" i="36"/>
  <c r="DE403" i="36"/>
  <c r="BE8" i="36"/>
  <c r="BE439" i="36"/>
  <c r="DE439" i="36"/>
  <c r="BF544" i="36"/>
  <c r="BF582" i="36"/>
  <c r="BF434" i="36"/>
  <c r="BF581" i="36"/>
  <c r="BF403" i="36"/>
  <c r="BF8" i="36"/>
  <c r="BD549" i="36"/>
  <c r="BM111" i="36"/>
  <c r="BM67" i="36"/>
  <c r="BM68" i="36"/>
  <c r="BM16" i="36"/>
  <c r="BN170" i="36"/>
  <c r="BN129" i="36"/>
  <c r="BV33" i="36"/>
  <c r="DE233" i="36"/>
  <c r="BI825" i="36"/>
  <c r="BF233" i="36"/>
  <c r="BF850" i="36"/>
  <c r="BD259" i="36"/>
  <c r="BD288" i="36"/>
  <c r="BD300" i="36"/>
  <c r="DE650" i="36"/>
  <c r="BE661" i="36"/>
  <c r="DE661" i="36"/>
  <c r="BH625" i="36"/>
  <c r="BH626" i="36"/>
  <c r="BH657" i="36"/>
  <c r="BI501" i="36"/>
  <c r="CT30" i="36"/>
  <c r="BH418" i="36"/>
  <c r="BJ540" i="36"/>
  <c r="BI188" i="36"/>
  <c r="BI218" i="36"/>
  <c r="BI219" i="36"/>
  <c r="BY69" i="36"/>
  <c r="BY17" i="36"/>
  <c r="BY59" i="36"/>
  <c r="BF495" i="36"/>
  <c r="BI60" i="36"/>
  <c r="BI136" i="36"/>
  <c r="BI137" i="36"/>
  <c r="BI139" i="36"/>
  <c r="BI221" i="36"/>
  <c r="BI712" i="36"/>
  <c r="BJ752" i="36"/>
  <c r="BF215" i="36"/>
  <c r="BF63" i="36"/>
  <c r="CH17" i="36"/>
  <c r="BJ102" i="36"/>
  <c r="BI58" i="36"/>
  <c r="BF718" i="36"/>
  <c r="BF715" i="36"/>
  <c r="BL67" i="36"/>
  <c r="BN193" i="36"/>
  <c r="BV32" i="36"/>
  <c r="AZ433" i="36"/>
  <c r="BG790" i="36"/>
  <c r="BH825" i="36"/>
  <c r="BG415" i="36"/>
  <c r="BG20" i="36"/>
  <c r="BG447" i="36"/>
  <c r="BG402" i="36"/>
  <c r="BG7" i="36"/>
  <c r="BH266" i="36"/>
  <c r="BC250" i="36"/>
  <c r="BC260" i="36"/>
  <c r="BB11" i="36"/>
  <c r="BI451" i="36"/>
  <c r="BY129" i="36"/>
  <c r="BY170" i="36"/>
  <c r="BH316" i="36"/>
  <c r="BH628" i="36"/>
  <c r="BH106" i="36"/>
  <c r="BH62" i="36"/>
  <c r="BH66" i="36"/>
  <c r="DE364" i="36"/>
  <c r="V174" i="14"/>
  <c r="U174" i="14"/>
  <c r="BH790" i="36"/>
  <c r="CH16" i="36"/>
  <c r="BG64" i="36"/>
  <c r="BE550" i="36"/>
  <c r="BE408" i="36"/>
  <c r="DE551" i="36"/>
  <c r="BI86" i="36"/>
  <c r="BO83" i="36"/>
  <c r="BP101" i="36"/>
  <c r="BO57" i="36"/>
  <c r="BF621" i="36"/>
  <c r="BD405" i="36"/>
  <c r="BD10" i="36"/>
  <c r="BD14" i="36"/>
  <c r="BE259" i="36"/>
  <c r="BE288" i="36"/>
  <c r="DE297" i="36"/>
  <c r="BH425" i="36"/>
  <c r="BH359" i="36"/>
  <c r="BI395" i="36"/>
  <c r="BH357" i="36"/>
  <c r="BH392" i="36"/>
  <c r="BH393" i="36"/>
  <c r="DE562" i="36"/>
  <c r="BE419" i="36"/>
  <c r="BI146" i="36"/>
  <c r="BI149" i="36"/>
  <c r="BI148" i="36"/>
  <c r="BE717" i="36"/>
  <c r="DE718" i="36"/>
  <c r="BH429" i="36"/>
  <c r="BH401" i="36"/>
  <c r="CN22" i="36"/>
  <c r="DH22" i="36"/>
  <c r="DH728" i="36"/>
  <c r="BJ147" i="36"/>
  <c r="BJ177" i="36"/>
  <c r="BJ178" i="36"/>
  <c r="BJ180" i="36"/>
  <c r="BC406" i="36"/>
  <c r="BC12" i="36"/>
  <c r="BG275" i="36"/>
  <c r="BG234" i="36"/>
  <c r="BH148" i="36"/>
  <c r="BJ143" i="36"/>
  <c r="BF329" i="36"/>
  <c r="BZ83" i="36"/>
  <c r="CA101" i="36"/>
  <c r="BZ57" i="36"/>
  <c r="CN721" i="36"/>
  <c r="DH721" i="36"/>
  <c r="DH722" i="36"/>
  <c r="BI317" i="36"/>
  <c r="BI316" i="36"/>
  <c r="BI314" i="36"/>
  <c r="BE341" i="36"/>
  <c r="DE341" i="36"/>
  <c r="DE329" i="36"/>
  <c r="BJ614" i="36"/>
  <c r="BK18" i="36"/>
  <c r="BI736" i="36"/>
  <c r="BG61" i="36"/>
  <c r="BG584" i="36"/>
  <c r="BG435" i="36"/>
  <c r="BE548" i="36"/>
  <c r="DE548" i="36"/>
  <c r="DE552" i="36"/>
  <c r="BE409" i="36"/>
  <c r="DI337" i="36"/>
  <c r="BK671" i="36"/>
  <c r="BI82" i="36"/>
  <c r="CI111" i="36"/>
  <c r="CI68" i="36"/>
  <c r="CI16" i="36"/>
  <c r="BN69" i="36"/>
  <c r="BN17" i="36"/>
  <c r="BN59" i="36"/>
  <c r="BF757" i="36"/>
  <c r="BI98" i="36"/>
  <c r="CJ5" i="36"/>
  <c r="CJ129" i="36"/>
  <c r="CJ170" i="36"/>
  <c r="BG414" i="36"/>
  <c r="BF7" i="36"/>
  <c r="BL491" i="36"/>
  <c r="F444" i="14"/>
  <c r="G444" i="14"/>
  <c r="H444" i="14"/>
  <c r="I444" i="14"/>
  <c r="J444" i="14"/>
  <c r="K444" i="14"/>
  <c r="L444" i="14"/>
  <c r="M444" i="14"/>
  <c r="N444" i="14"/>
  <c r="O444" i="14"/>
  <c r="P444" i="14"/>
  <c r="F434" i="14"/>
  <c r="G434" i="14"/>
  <c r="H434" i="14"/>
  <c r="I434" i="14"/>
  <c r="K434" i="14"/>
  <c r="L434" i="14"/>
  <c r="M434" i="14"/>
  <c r="N434" i="14"/>
  <c r="O434" i="14"/>
  <c r="P434" i="14"/>
  <c r="E434" i="14"/>
  <c r="H433" i="14"/>
  <c r="I433" i="14"/>
  <c r="J433" i="14"/>
  <c r="K433" i="14"/>
  <c r="L433" i="14"/>
  <c r="M433" i="14"/>
  <c r="N433" i="14"/>
  <c r="O433" i="14"/>
  <c r="P433" i="14"/>
  <c r="F433" i="14"/>
  <c r="G433" i="14"/>
  <c r="E433" i="14"/>
  <c r="Q429" i="14"/>
  <c r="F428" i="14"/>
  <c r="G428" i="14"/>
  <c r="H428" i="14"/>
  <c r="I428" i="14"/>
  <c r="J428" i="14"/>
  <c r="Q428" i="14" s="1"/>
  <c r="K428" i="14"/>
  <c r="L428" i="14"/>
  <c r="M428" i="14"/>
  <c r="N428" i="14"/>
  <c r="O428" i="14"/>
  <c r="P428" i="14"/>
  <c r="E428" i="14"/>
  <c r="J426" i="14"/>
  <c r="Q426" i="14" s="1"/>
  <c r="K426" i="14"/>
  <c r="L426" i="14"/>
  <c r="M426" i="14"/>
  <c r="N426" i="14"/>
  <c r="O426" i="14"/>
  <c r="P426" i="14"/>
  <c r="H425" i="14"/>
  <c r="J425" i="14"/>
  <c r="K425" i="14"/>
  <c r="L425" i="14"/>
  <c r="M425" i="14"/>
  <c r="N425" i="14"/>
  <c r="O425" i="14"/>
  <c r="P425" i="14"/>
  <c r="D434" i="14"/>
  <c r="C434" i="14"/>
  <c r="D432" i="14"/>
  <c r="C432" i="14"/>
  <c r="D429" i="14"/>
  <c r="C429" i="14"/>
  <c r="C426" i="14"/>
  <c r="H405" i="14"/>
  <c r="I405" i="14"/>
  <c r="K405" i="14"/>
  <c r="L405" i="14"/>
  <c r="N405" i="14"/>
  <c r="O405" i="14"/>
  <c r="H399" i="14"/>
  <c r="I399" i="14"/>
  <c r="J399" i="14"/>
  <c r="Q399" i="14" s="1"/>
  <c r="K399" i="14"/>
  <c r="L399" i="14"/>
  <c r="M399" i="14"/>
  <c r="N399" i="14"/>
  <c r="O399" i="14"/>
  <c r="P399" i="14"/>
  <c r="J396" i="14"/>
  <c r="K396" i="14"/>
  <c r="L396" i="14"/>
  <c r="M396" i="14"/>
  <c r="N396" i="14"/>
  <c r="O396" i="14"/>
  <c r="P396" i="14"/>
  <c r="BF50" i="36"/>
  <c r="BB423" i="36"/>
  <c r="BB433" i="36"/>
  <c r="BB38" i="36"/>
  <c r="BB29" i="36"/>
  <c r="BJ638" i="36"/>
  <c r="BJ637" i="36"/>
  <c r="BJ635" i="36"/>
  <c r="BJ597" i="36"/>
  <c r="BF612" i="36"/>
  <c r="BJ188" i="36"/>
  <c r="BJ218" i="36"/>
  <c r="BJ219" i="36"/>
  <c r="BK221" i="36"/>
  <c r="BI418" i="36"/>
  <c r="BI23" i="36"/>
  <c r="BF550" i="36"/>
  <c r="BF408" i="36"/>
  <c r="BJ839" i="36"/>
  <c r="BJ451" i="36"/>
  <c r="BH215" i="36"/>
  <c r="BJ677" i="36"/>
  <c r="BJ676" i="36"/>
  <c r="BJ674" i="36"/>
  <c r="BE804" i="36"/>
  <c r="DE812" i="36"/>
  <c r="BH517" i="36"/>
  <c r="BH529" i="36"/>
  <c r="CV5" i="36"/>
  <c r="CV170" i="36"/>
  <c r="CV129" i="36"/>
  <c r="CK69" i="36"/>
  <c r="CK17" i="36"/>
  <c r="CK59" i="36"/>
  <c r="BW30" i="36"/>
  <c r="BG650" i="36"/>
  <c r="BL671" i="36"/>
  <c r="CA83" i="36"/>
  <c r="CA57" i="36"/>
  <c r="CB101" i="36"/>
  <c r="BJ146" i="36"/>
  <c r="BJ149" i="36"/>
  <c r="BJ148" i="36"/>
  <c r="BI628" i="36"/>
  <c r="DE8" i="36"/>
  <c r="BF52" i="36"/>
  <c r="BE52" i="36"/>
  <c r="DE52" i="36"/>
  <c r="BJ230" i="36"/>
  <c r="BJ228" i="36"/>
  <c r="BJ303" i="36"/>
  <c r="BJ304" i="36"/>
  <c r="BJ306" i="36"/>
  <c r="BI401" i="36"/>
  <c r="BI6" i="36"/>
  <c r="DE435" i="36"/>
  <c r="BE437" i="36"/>
  <c r="DE437" i="36"/>
  <c r="BE48" i="36"/>
  <c r="BI714" i="36"/>
  <c r="BG89" i="36"/>
  <c r="BG121" i="36"/>
  <c r="BG133" i="36"/>
  <c r="DF195" i="36"/>
  <c r="DF185" i="36"/>
  <c r="CV69" i="36"/>
  <c r="CV17" i="36"/>
  <c r="CV59" i="36"/>
  <c r="CK83" i="36"/>
  <c r="BF437" i="36"/>
  <c r="BZ69" i="36"/>
  <c r="BZ17" i="36"/>
  <c r="BZ59" i="36"/>
  <c r="BE24" i="36"/>
  <c r="DE24" i="36"/>
  <c r="DE419" i="36"/>
  <c r="BF89" i="36"/>
  <c r="BF121" i="36"/>
  <c r="BN111" i="36"/>
  <c r="BN67" i="36"/>
  <c r="BN68" i="36"/>
  <c r="BN16" i="36"/>
  <c r="BK178" i="36"/>
  <c r="BK177" i="36"/>
  <c r="BL180" i="36"/>
  <c r="BK180" i="36"/>
  <c r="BO69" i="36"/>
  <c r="BO17" i="36"/>
  <c r="BO59" i="36"/>
  <c r="BM17" i="36"/>
  <c r="BM491" i="36"/>
  <c r="BF341" i="36"/>
  <c r="DE717" i="36"/>
  <c r="BH35" i="36"/>
  <c r="BH361" i="36"/>
  <c r="BH358" i="36"/>
  <c r="BF689" i="36"/>
  <c r="BO81" i="36"/>
  <c r="BK102" i="36"/>
  <c r="BJ58" i="36"/>
  <c r="BY111" i="36"/>
  <c r="BY67" i="36"/>
  <c r="BY68" i="36"/>
  <c r="BY16" i="36"/>
  <c r="BI190" i="36"/>
  <c r="BI189" i="36"/>
  <c r="BI187" i="36"/>
  <c r="BH6" i="36"/>
  <c r="BF436" i="36"/>
  <c r="BF47" i="36"/>
  <c r="BF49" i="36"/>
  <c r="CU30" i="36"/>
  <c r="DF204" i="36"/>
  <c r="BH232" i="36"/>
  <c r="CV81" i="36"/>
  <c r="BG804" i="36"/>
  <c r="BG815" i="36"/>
  <c r="BB44" i="36"/>
  <c r="BB45" i="36"/>
  <c r="BB46" i="36"/>
  <c r="BG48" i="36"/>
  <c r="BK143" i="36"/>
  <c r="BH827" i="36"/>
  <c r="BH824" i="36"/>
  <c r="CW83" i="36"/>
  <c r="CW32" i="36"/>
  <c r="CX101" i="36"/>
  <c r="CW57" i="36"/>
  <c r="BG19" i="36"/>
  <c r="BG364" i="36"/>
  <c r="BG360" i="36"/>
  <c r="BG389" i="36"/>
  <c r="BI162" i="36"/>
  <c r="BI174" i="36"/>
  <c r="BG495" i="36"/>
  <c r="BD250" i="36"/>
  <c r="BD260" i="36"/>
  <c r="BI274" i="36"/>
  <c r="BI232" i="36"/>
  <c r="BI236" i="36"/>
  <c r="BK315" i="36"/>
  <c r="BK344" i="36"/>
  <c r="BK345" i="36"/>
  <c r="BK347" i="36"/>
  <c r="BD406" i="36"/>
  <c r="BD12" i="36"/>
  <c r="BE469" i="36"/>
  <c r="DE478" i="36"/>
  <c r="BJ636" i="36"/>
  <c r="BJ598" i="36"/>
  <c r="BJ594" i="36"/>
  <c r="BK786" i="36"/>
  <c r="BP84" i="36"/>
  <c r="DF207" i="36"/>
  <c r="CJ69" i="36"/>
  <c r="DE770" i="36"/>
  <c r="BE781" i="36"/>
  <c r="DE781" i="36"/>
  <c r="BJ221" i="36"/>
  <c r="BL32" i="36"/>
  <c r="BH498" i="36"/>
  <c r="BD469" i="36"/>
  <c r="BD481" i="36"/>
  <c r="DE526" i="36"/>
  <c r="BE517" i="36"/>
  <c r="BG233" i="36"/>
  <c r="BJ86" i="36"/>
  <c r="BJ712" i="36"/>
  <c r="BK752" i="36"/>
  <c r="BJ453" i="36"/>
  <c r="BH755" i="36"/>
  <c r="BH758" i="36"/>
  <c r="BH719" i="36"/>
  <c r="BJ736" i="36"/>
  <c r="BI756" i="36"/>
  <c r="BG456" i="36"/>
  <c r="BH377" i="36"/>
  <c r="DE288" i="36"/>
  <c r="BE300" i="36"/>
  <c r="DE300" i="36"/>
  <c r="BI504" i="36"/>
  <c r="BF717" i="36"/>
  <c r="BI95" i="36"/>
  <c r="BI96" i="36"/>
  <c r="BH31" i="36"/>
  <c r="BF259" i="36"/>
  <c r="BF288" i="36"/>
  <c r="BF439" i="36"/>
  <c r="BH64" i="36"/>
  <c r="BJ664" i="36"/>
  <c r="BJ592" i="36"/>
  <c r="BJ665" i="36"/>
  <c r="BJ667" i="36"/>
  <c r="BF20" i="36"/>
  <c r="CJ111" i="36"/>
  <c r="CJ67" i="36"/>
  <c r="CJ68" i="36"/>
  <c r="BE742" i="36"/>
  <c r="BH676" i="36"/>
  <c r="BL18" i="36"/>
  <c r="BJ790" i="36"/>
  <c r="BE436" i="36"/>
  <c r="DE436" i="36"/>
  <c r="DE434" i="36"/>
  <c r="BE47" i="36"/>
  <c r="BL632" i="36"/>
  <c r="BK590" i="36"/>
  <c r="CT17" i="36"/>
  <c r="BX32" i="36"/>
  <c r="BY352" i="36"/>
  <c r="BX5" i="36"/>
  <c r="BH720" i="36"/>
  <c r="BH414" i="36"/>
  <c r="BP57" i="36"/>
  <c r="DF101" i="36"/>
  <c r="BJ60" i="36"/>
  <c r="BJ136" i="36"/>
  <c r="BJ137" i="36"/>
  <c r="BJ139" i="36"/>
  <c r="BF174" i="36"/>
  <c r="BC11" i="36"/>
  <c r="BH23" i="36"/>
  <c r="BJ501" i="36"/>
  <c r="CI67" i="36"/>
  <c r="BH789" i="36"/>
  <c r="BH792" i="36"/>
  <c r="BZ129" i="36"/>
  <c r="BZ170" i="36"/>
  <c r="BH447" i="36"/>
  <c r="BH415" i="36"/>
  <c r="BH20" i="36"/>
  <c r="BH402" i="36"/>
  <c r="DE564" i="36"/>
  <c r="BE421" i="36"/>
  <c r="BE250" i="36"/>
  <c r="DE259" i="36"/>
  <c r="V209" i="14"/>
  <c r="BE407" i="36"/>
  <c r="DE408" i="36"/>
  <c r="BE13" i="36"/>
  <c r="DE13" i="36"/>
  <c r="BI106" i="36"/>
  <c r="BI62" i="36"/>
  <c r="BI66" i="36"/>
  <c r="BI638" i="36"/>
  <c r="BI635" i="36"/>
  <c r="BI597" i="36"/>
  <c r="BK540" i="36"/>
  <c r="BH650" i="36"/>
  <c r="BH661" i="36"/>
  <c r="BG544" i="36"/>
  <c r="BG581" i="36"/>
  <c r="BG582" i="36"/>
  <c r="BG434" i="36"/>
  <c r="BG403" i="36"/>
  <c r="BG437" i="36"/>
  <c r="BI276" i="36"/>
  <c r="BI273" i="36"/>
  <c r="BI235" i="36"/>
  <c r="BH61" i="36"/>
  <c r="BJ314" i="36"/>
  <c r="BJ317" i="36"/>
  <c r="BJ316" i="36"/>
  <c r="BF804" i="36"/>
  <c r="CJ30" i="36"/>
  <c r="BI675" i="36"/>
  <c r="DE121" i="36"/>
  <c r="BE133" i="36"/>
  <c r="DE133" i="36"/>
  <c r="BL30" i="36"/>
  <c r="BK614" i="36"/>
  <c r="BG595" i="36"/>
  <c r="CK5" i="36"/>
  <c r="CK170" i="36"/>
  <c r="CK129" i="36"/>
  <c r="BH275" i="36"/>
  <c r="BH234" i="36"/>
  <c r="BI359" i="36"/>
  <c r="BJ395" i="36"/>
  <c r="BI357" i="36"/>
  <c r="BI392" i="36"/>
  <c r="BI393" i="36"/>
  <c r="BI329" i="36"/>
  <c r="BI341" i="36"/>
  <c r="BJ82" i="36"/>
  <c r="CU111" i="36"/>
  <c r="CU67" i="36"/>
  <c r="CU68" i="36"/>
  <c r="BI626" i="36"/>
  <c r="BI625" i="36"/>
  <c r="BI657" i="36"/>
  <c r="BJ704" i="36"/>
  <c r="BJ705" i="36"/>
  <c r="CK81" i="36"/>
  <c r="BE405" i="36"/>
  <c r="DE409" i="36"/>
  <c r="BE14" i="36"/>
  <c r="DE14" i="36"/>
  <c r="BZ81" i="36"/>
  <c r="BI425" i="36"/>
  <c r="BI31" i="36"/>
  <c r="BE553" i="36"/>
  <c r="BO129" i="36"/>
  <c r="BO170" i="36"/>
  <c r="DE550" i="36"/>
  <c r="BG63" i="36"/>
  <c r="BI636" i="36"/>
  <c r="BI598" i="36"/>
  <c r="BI108" i="36"/>
  <c r="BI105" i="36"/>
  <c r="BI65" i="36"/>
  <c r="BD566" i="36"/>
  <c r="BD578" i="36"/>
  <c r="BF548" i="36"/>
  <c r="BF409" i="36"/>
  <c r="BI263" i="36"/>
  <c r="BI264" i="36"/>
  <c r="BJ418" i="36"/>
  <c r="BJ23" i="36"/>
  <c r="BK443" i="36"/>
  <c r="BJ400" i="36"/>
  <c r="BG770" i="36"/>
  <c r="BG781" i="36"/>
  <c r="AZ46" i="36"/>
  <c r="AZ44" i="36"/>
  <c r="BF360" i="36"/>
  <c r="BF517" i="36"/>
  <c r="BF419" i="36"/>
  <c r="BK839" i="36"/>
  <c r="BK821" i="36"/>
  <c r="BK533" i="36"/>
  <c r="BK485" i="36"/>
  <c r="BK484" i="36"/>
  <c r="BK532" i="36"/>
  <c r="BK487" i="36"/>
  <c r="BK499" i="36"/>
  <c r="BK535" i="36"/>
  <c r="BC432" i="36"/>
  <c r="BJ707" i="36"/>
  <c r="BX17" i="36"/>
  <c r="BE80" i="36"/>
  <c r="BE92" i="36"/>
  <c r="DE89" i="36"/>
  <c r="BM32" i="36"/>
  <c r="BN352" i="36"/>
  <c r="BM5" i="36"/>
  <c r="CU32" i="36"/>
  <c r="BI790" i="36"/>
  <c r="BK618" i="36"/>
  <c r="BK184" i="36"/>
  <c r="CL83" i="36"/>
  <c r="CL32" i="36"/>
  <c r="CM101" i="36"/>
  <c r="CL57" i="36"/>
  <c r="BW18" i="36"/>
  <c r="BI677" i="36"/>
  <c r="BI676" i="36"/>
  <c r="V207" i="14"/>
  <c r="U209" i="14"/>
  <c r="U207" i="14"/>
  <c r="BI61" i="36"/>
  <c r="BJ825" i="36"/>
  <c r="BG419" i="36"/>
  <c r="BG24" i="36"/>
  <c r="BG553" i="36"/>
  <c r="BK635" i="36"/>
  <c r="BK597" i="36"/>
  <c r="BI498" i="36"/>
  <c r="BI500" i="36"/>
  <c r="BH544" i="36"/>
  <c r="BH581" i="36"/>
  <c r="BH582" i="36"/>
  <c r="BH434" i="36"/>
  <c r="BH403" i="36"/>
  <c r="BI584" i="36"/>
  <c r="BI435" i="36"/>
  <c r="BH584" i="36"/>
  <c r="BH435" i="36"/>
  <c r="DE47" i="36"/>
  <c r="BE49" i="36"/>
  <c r="DE49" i="36"/>
  <c r="BF300" i="36"/>
  <c r="BK736" i="36"/>
  <c r="DE469" i="36"/>
  <c r="BE481" i="36"/>
  <c r="DE481" i="36"/>
  <c r="BF133" i="36"/>
  <c r="CL59" i="36"/>
  <c r="BL443" i="36"/>
  <c r="BK400" i="36"/>
  <c r="CK30" i="36"/>
  <c r="BE26" i="36"/>
  <c r="DE26" i="36"/>
  <c r="DE421" i="36"/>
  <c r="BI827" i="36"/>
  <c r="BI826" i="36"/>
  <c r="BI850" i="36"/>
  <c r="BI824" i="36"/>
  <c r="BP59" i="36"/>
  <c r="DF103" i="36"/>
  <c r="BH716" i="36"/>
  <c r="BJ626" i="36"/>
  <c r="BJ625" i="36"/>
  <c r="BJ657" i="36"/>
  <c r="BJ628" i="36"/>
  <c r="BF250" i="36"/>
  <c r="BH757" i="36"/>
  <c r="BF80" i="36"/>
  <c r="BF742" i="36"/>
  <c r="BF770" i="36"/>
  <c r="BG80" i="36"/>
  <c r="BG92" i="36"/>
  <c r="BJ425" i="36"/>
  <c r="BH19" i="36"/>
  <c r="BH364" i="36"/>
  <c r="BH360" i="36"/>
  <c r="BH389" i="36"/>
  <c r="CA170" i="36"/>
  <c r="CA129" i="36"/>
  <c r="BG661" i="36"/>
  <c r="BL485" i="36"/>
  <c r="BL484" i="36"/>
  <c r="BL533" i="36"/>
  <c r="BL532" i="36"/>
  <c r="BL487" i="36"/>
  <c r="BI107" i="36"/>
  <c r="BF815" i="36"/>
  <c r="DE250" i="36"/>
  <c r="BE260" i="36"/>
  <c r="DE260" i="36"/>
  <c r="BP129" i="36"/>
  <c r="DF129" i="36"/>
  <c r="BP170" i="36"/>
  <c r="DF170" i="36"/>
  <c r="DF57" i="36"/>
  <c r="DE553" i="36"/>
  <c r="BE547" i="36"/>
  <c r="DE547" i="36"/>
  <c r="BP81" i="36"/>
  <c r="DF122" i="36"/>
  <c r="DF84" i="36"/>
  <c r="BM33" i="36"/>
  <c r="AZ45" i="36"/>
  <c r="BJ401" i="36"/>
  <c r="BF405" i="36"/>
  <c r="BF14" i="36"/>
  <c r="DE405" i="36"/>
  <c r="BE10" i="36"/>
  <c r="DE10" i="36"/>
  <c r="BJ31" i="36"/>
  <c r="BJ95" i="36"/>
  <c r="BJ96" i="36"/>
  <c r="BP83" i="36"/>
  <c r="DF124" i="36"/>
  <c r="BY33" i="36"/>
  <c r="BY32" i="36"/>
  <c r="BZ352" i="36"/>
  <c r="BY5" i="36"/>
  <c r="BH63" i="36"/>
  <c r="BG421" i="36"/>
  <c r="BG26" i="36"/>
  <c r="BL786" i="36"/>
  <c r="BD11" i="36"/>
  <c r="BN491" i="36"/>
  <c r="BO111" i="36"/>
  <c r="BO67" i="36"/>
  <c r="BO68" i="36"/>
  <c r="BO16" i="36"/>
  <c r="BK147" i="36"/>
  <c r="BJ714" i="36"/>
  <c r="BE50" i="36"/>
  <c r="DE50" i="36"/>
  <c r="DE48" i="36"/>
  <c r="BI429" i="36"/>
  <c r="BJ236" i="36"/>
  <c r="BJ274" i="36"/>
  <c r="BJ232" i="36"/>
  <c r="BI377" i="36"/>
  <c r="CA81" i="36"/>
  <c r="BK219" i="36"/>
  <c r="BK218" i="36"/>
  <c r="BH329" i="36"/>
  <c r="CJ17" i="36"/>
  <c r="BI447" i="36"/>
  <c r="BI402" i="36"/>
  <c r="BI7" i="36"/>
  <c r="BF407" i="36"/>
  <c r="BF13" i="36"/>
  <c r="BJ6" i="36"/>
  <c r="BJ357" i="36"/>
  <c r="BJ392" i="36"/>
  <c r="BJ393" i="36"/>
  <c r="BG548" i="36"/>
  <c r="BG409" i="36"/>
  <c r="BK592" i="36"/>
  <c r="BK628" i="36"/>
  <c r="BK665" i="36"/>
  <c r="BK664" i="36"/>
  <c r="BK667" i="36"/>
  <c r="DE517" i="36"/>
  <c r="BE529" i="36"/>
  <c r="DE529" i="36"/>
  <c r="BL184" i="36"/>
  <c r="BI594" i="36"/>
  <c r="BE549" i="36"/>
  <c r="CU16" i="36"/>
  <c r="BE410" i="36"/>
  <c r="BE406" i="36"/>
  <c r="BG8" i="36"/>
  <c r="BG439" i="36"/>
  <c r="BI637" i="36"/>
  <c r="BH7" i="36"/>
  <c r="BK60" i="36"/>
  <c r="BK137" i="36"/>
  <c r="BK136" i="36"/>
  <c r="BK638" i="36"/>
  <c r="BG259" i="36"/>
  <c r="BG250" i="36"/>
  <c r="BG260" i="36"/>
  <c r="BG288" i="36"/>
  <c r="BG300" i="36"/>
  <c r="CW5" i="36"/>
  <c r="CW129" i="36"/>
  <c r="CW170" i="36"/>
  <c r="BK149" i="36"/>
  <c r="BK146" i="36"/>
  <c r="BJ276" i="36"/>
  <c r="BJ235" i="36"/>
  <c r="BJ273" i="36"/>
  <c r="BJ231" i="36"/>
  <c r="BH715" i="36"/>
  <c r="BH718" i="36"/>
  <c r="CB57" i="36"/>
  <c r="DG101" i="36"/>
  <c r="BF389" i="36"/>
  <c r="BK501" i="36"/>
  <c r="BL345" i="36"/>
  <c r="BL344" i="36"/>
  <c r="BL347" i="36"/>
  <c r="BG450" i="36"/>
  <c r="BG452" i="36"/>
  <c r="BI689" i="36"/>
  <c r="BI701" i="36"/>
  <c r="BK674" i="36"/>
  <c r="BI361" i="36"/>
  <c r="BI358" i="36"/>
  <c r="BI792" i="36"/>
  <c r="BI791" i="36"/>
  <c r="BI789" i="36"/>
  <c r="BG436" i="36"/>
  <c r="BG47" i="36"/>
  <c r="BG49" i="36"/>
  <c r="BJ827" i="36"/>
  <c r="BJ826" i="36"/>
  <c r="BJ850" i="36"/>
  <c r="BJ824" i="36"/>
  <c r="BJ106" i="36"/>
  <c r="BJ66" i="36"/>
  <c r="BX18" i="36"/>
  <c r="BM632" i="36"/>
  <c r="BL590" i="36"/>
  <c r="BD432" i="36"/>
  <c r="BK317" i="36"/>
  <c r="BK316" i="36"/>
  <c r="BK314" i="36"/>
  <c r="BJ504" i="36"/>
  <c r="BJ498" i="36"/>
  <c r="CW59" i="36"/>
  <c r="BH826" i="36"/>
  <c r="CV30" i="36"/>
  <c r="BL102" i="36"/>
  <c r="BK58" i="36"/>
  <c r="BL147" i="36"/>
  <c r="BL177" i="36"/>
  <c r="BL178" i="36"/>
  <c r="CK32" i="36"/>
  <c r="BJ263" i="36"/>
  <c r="BJ264" i="36"/>
  <c r="BJ266" i="36"/>
  <c r="BM671" i="36"/>
  <c r="DE804" i="36"/>
  <c r="BE815" i="36"/>
  <c r="DE815" i="36"/>
  <c r="BJ190" i="36"/>
  <c r="BJ187" i="36"/>
  <c r="BN32" i="36"/>
  <c r="BN33" i="36"/>
  <c r="BO352" i="36"/>
  <c r="BN5" i="36"/>
  <c r="BG622" i="36"/>
  <c r="BL540" i="36"/>
  <c r="BF469" i="36"/>
  <c r="CV111" i="36"/>
  <c r="CV67" i="36"/>
  <c r="CV68" i="36"/>
  <c r="CV16" i="36"/>
  <c r="CL81" i="36"/>
  <c r="BL839" i="36"/>
  <c r="BL821" i="36"/>
  <c r="BH162" i="36"/>
  <c r="CA69" i="36"/>
  <c r="CA59" i="36"/>
  <c r="BF421" i="36"/>
  <c r="BF410" i="36"/>
  <c r="CL5" i="36"/>
  <c r="CL170" i="36"/>
  <c r="CL129" i="36"/>
  <c r="BM18" i="36"/>
  <c r="BF24" i="36"/>
  <c r="BI64" i="36"/>
  <c r="BK704" i="36"/>
  <c r="BK705" i="36"/>
  <c r="BK707" i="36"/>
  <c r="DE407" i="36"/>
  <c r="BE12" i="36"/>
  <c r="DE12" i="36"/>
  <c r="BJ108" i="36"/>
  <c r="BJ107" i="36"/>
  <c r="BJ105" i="36"/>
  <c r="BJ65" i="36"/>
  <c r="BX33" i="36"/>
  <c r="BL618" i="36"/>
  <c r="DE742" i="36"/>
  <c r="BE734" i="36"/>
  <c r="BG410" i="36"/>
  <c r="BG15" i="36"/>
  <c r="BK712" i="36"/>
  <c r="BL752" i="36"/>
  <c r="BI35" i="36"/>
  <c r="CX83" i="36"/>
  <c r="CX32" i="36"/>
  <c r="CY101" i="36"/>
  <c r="CX57" i="36"/>
  <c r="BL143" i="36"/>
  <c r="BI758" i="36"/>
  <c r="BI757" i="36"/>
  <c r="BI719" i="36"/>
  <c r="BI755" i="36"/>
  <c r="BI215" i="36"/>
  <c r="BK82" i="36"/>
  <c r="BF701" i="36"/>
  <c r="BP193" i="36"/>
  <c r="DF193" i="36"/>
  <c r="DF194" i="36"/>
  <c r="BJ162" i="36"/>
  <c r="BJ174" i="36"/>
  <c r="CK111" i="36"/>
  <c r="CK67" i="36"/>
  <c r="CK68" i="36"/>
  <c r="CK16" i="36"/>
  <c r="BF622" i="36"/>
  <c r="BJ596" i="36"/>
  <c r="BJ595" i="36"/>
  <c r="BJ593" i="36"/>
  <c r="BF529" i="36"/>
  <c r="BH233" i="36"/>
  <c r="BI275" i="36"/>
  <c r="BI234" i="36"/>
  <c r="BH495" i="36"/>
  <c r="BC423" i="36"/>
  <c r="BC38" i="36"/>
  <c r="BJ329" i="36"/>
  <c r="BJ341" i="36"/>
  <c r="BI593" i="36"/>
  <c r="BI596" i="36"/>
  <c r="BI414" i="36"/>
  <c r="BH89" i="36"/>
  <c r="BH121" i="36"/>
  <c r="BH133" i="36"/>
  <c r="BK203" i="36"/>
  <c r="DE80" i="36"/>
  <c r="DE92" i="36"/>
  <c r="BF553" i="36"/>
  <c r="CM83" i="36"/>
  <c r="CM32" i="36"/>
  <c r="CN101" i="36"/>
  <c r="CM57" i="36"/>
  <c r="BM30" i="36"/>
  <c r="BL499" i="36"/>
  <c r="BL535" i="36"/>
  <c r="BK451" i="36"/>
  <c r="BG742" i="36"/>
  <c r="BG734" i="36"/>
  <c r="BG743" i="36"/>
  <c r="BI231" i="36"/>
  <c r="BK139" i="36"/>
  <c r="BH791" i="36"/>
  <c r="BH456" i="36"/>
  <c r="BX30" i="36"/>
  <c r="BL614" i="36"/>
  <c r="CJ16" i="36"/>
  <c r="BG550" i="36"/>
  <c r="BG549" i="36"/>
  <c r="BG547" i="36"/>
  <c r="BG408" i="36"/>
  <c r="BJ98" i="36"/>
  <c r="BI720" i="36"/>
  <c r="BI716" i="36"/>
  <c r="CW81" i="36"/>
  <c r="BK86" i="36"/>
  <c r="BZ111" i="36"/>
  <c r="BZ67" i="36"/>
  <c r="BZ68" i="36"/>
  <c r="BZ16" i="36"/>
  <c r="BK453" i="36"/>
  <c r="BK228" i="36"/>
  <c r="BK230" i="36"/>
  <c r="BK303" i="36"/>
  <c r="BK304" i="36"/>
  <c r="BK306" i="36"/>
  <c r="BJ689" i="36"/>
  <c r="BJ701" i="36"/>
  <c r="J367" i="14"/>
  <c r="K367" i="14"/>
  <c r="L367" i="14"/>
  <c r="M367" i="14"/>
  <c r="N367" i="14"/>
  <c r="O367" i="14"/>
  <c r="P367" i="14"/>
  <c r="F346" i="14"/>
  <c r="G346" i="14"/>
  <c r="H346" i="14"/>
  <c r="I346" i="14"/>
  <c r="J346" i="14"/>
  <c r="K346" i="14"/>
  <c r="L346" i="14"/>
  <c r="M346" i="14"/>
  <c r="N346" i="14"/>
  <c r="O346" i="14"/>
  <c r="P346" i="14"/>
  <c r="E346" i="14"/>
  <c r="M69" i="19"/>
  <c r="H347" i="14"/>
  <c r="I347" i="14"/>
  <c r="K347" i="14"/>
  <c r="L347" i="14"/>
  <c r="N347" i="14"/>
  <c r="O347" i="14"/>
  <c r="H342" i="14"/>
  <c r="I342" i="14"/>
  <c r="J342" i="14"/>
  <c r="K342" i="14"/>
  <c r="L342" i="14"/>
  <c r="M342" i="14"/>
  <c r="N342" i="14"/>
  <c r="O342" i="14"/>
  <c r="P342" i="14"/>
  <c r="H340" i="14"/>
  <c r="I340" i="14"/>
  <c r="I361" i="14" s="1"/>
  <c r="J340" i="14"/>
  <c r="J360" i="14" s="1"/>
  <c r="K340" i="14"/>
  <c r="K360" i="14" s="1"/>
  <c r="L340" i="14"/>
  <c r="M340" i="14"/>
  <c r="N340" i="14"/>
  <c r="O340" i="14"/>
  <c r="P340" i="14"/>
  <c r="P361" i="14" s="1"/>
  <c r="F405" i="14"/>
  <c r="E405" i="14"/>
  <c r="F399" i="14"/>
  <c r="G399" i="14"/>
  <c r="E399" i="14"/>
  <c r="J397" i="14"/>
  <c r="K397" i="14"/>
  <c r="L397" i="14"/>
  <c r="M397" i="14"/>
  <c r="N397" i="14"/>
  <c r="O397" i="14"/>
  <c r="P397" i="14"/>
  <c r="C397" i="14"/>
  <c r="D397" i="14"/>
  <c r="C405" i="14"/>
  <c r="D405" i="14"/>
  <c r="BL675" i="36"/>
  <c r="BF15" i="36"/>
  <c r="BF404" i="36"/>
  <c r="BK790" i="36"/>
  <c r="BK637" i="36"/>
  <c r="BH450" i="36"/>
  <c r="BH452" i="36"/>
  <c r="CN57" i="36"/>
  <c r="DH101" i="36"/>
  <c r="BL592" i="36"/>
  <c r="BL664" i="36"/>
  <c r="BL665" i="36"/>
  <c r="BL667" i="36"/>
  <c r="BK425" i="36"/>
  <c r="BG566" i="36"/>
  <c r="BG578" i="36"/>
  <c r="CB59" i="36"/>
  <c r="DG103" i="36"/>
  <c r="BK108" i="36"/>
  <c r="BK107" i="36"/>
  <c r="BK105" i="36"/>
  <c r="BK65" i="36"/>
  <c r="BJ414" i="36"/>
  <c r="BM443" i="36"/>
  <c r="BL400" i="36"/>
  <c r="BJ621" i="36"/>
  <c r="BJ612" i="36"/>
  <c r="BK236" i="36"/>
  <c r="BK274" i="36"/>
  <c r="BK232" i="36"/>
  <c r="CM69" i="36"/>
  <c r="CM17" i="36"/>
  <c r="CM59" i="36"/>
  <c r="BC29" i="36"/>
  <c r="BH259" i="36"/>
  <c r="BH288" i="36"/>
  <c r="BH300" i="36"/>
  <c r="CY83" i="36"/>
  <c r="CY32" i="36"/>
  <c r="CY57" i="36"/>
  <c r="CZ101" i="36"/>
  <c r="BL705" i="36"/>
  <c r="BL704" i="36"/>
  <c r="BL707" i="36"/>
  <c r="CA17" i="36"/>
  <c r="BO32" i="36"/>
  <c r="BO33" i="36"/>
  <c r="BP352" i="36"/>
  <c r="BO5" i="36"/>
  <c r="BJ189" i="36"/>
  <c r="BH850" i="36"/>
  <c r="CB81" i="36"/>
  <c r="DG122" i="36"/>
  <c r="BG405" i="36"/>
  <c r="BG10" i="36"/>
  <c r="BG14" i="36"/>
  <c r="BJ359" i="36"/>
  <c r="BL188" i="36"/>
  <c r="BL218" i="36"/>
  <c r="BL219" i="36"/>
  <c r="BL221" i="36"/>
  <c r="BJ429" i="36"/>
  <c r="BJ35" i="36"/>
  <c r="BK418" i="36"/>
  <c r="BI48" i="36"/>
  <c r="BK329" i="36"/>
  <c r="BK359" i="36"/>
  <c r="BK357" i="36"/>
  <c r="BK392" i="36"/>
  <c r="BK393" i="36"/>
  <c r="BK395" i="36"/>
  <c r="BY30" i="36"/>
  <c r="BF260" i="36"/>
  <c r="BK264" i="36"/>
  <c r="BK263" i="36"/>
  <c r="BK266" i="36"/>
  <c r="BZ32" i="36"/>
  <c r="CA352" i="36"/>
  <c r="BZ5" i="36"/>
  <c r="BH419" i="36"/>
  <c r="BH553" i="36"/>
  <c r="CM81" i="36"/>
  <c r="BH80" i="36"/>
  <c r="DE406" i="36"/>
  <c r="BE11" i="36"/>
  <c r="CA111" i="36"/>
  <c r="CA67" i="36"/>
  <c r="CA68" i="36"/>
  <c r="CA16" i="36"/>
  <c r="BM839" i="36"/>
  <c r="BM821" i="36"/>
  <c r="BK187" i="36"/>
  <c r="BK190" i="36"/>
  <c r="BK189" i="36"/>
  <c r="BY18" i="36"/>
  <c r="BP69" i="36"/>
  <c r="DF113" i="36"/>
  <c r="BH8" i="36"/>
  <c r="BK675" i="36"/>
  <c r="BI63" i="36"/>
  <c r="BD423" i="36"/>
  <c r="BD433" i="36"/>
  <c r="BD38" i="36"/>
  <c r="BD29" i="36"/>
  <c r="BD46" i="36"/>
  <c r="BH550" i="36"/>
  <c r="BH408" i="36"/>
  <c r="BI595" i="36"/>
  <c r="BC433" i="36"/>
  <c r="DE734" i="36"/>
  <c r="BE743" i="36"/>
  <c r="DE743" i="36"/>
  <c r="BL677" i="36"/>
  <c r="BL676" i="36"/>
  <c r="BL674" i="36"/>
  <c r="BM540" i="36"/>
  <c r="BL82" i="36"/>
  <c r="CW69" i="36"/>
  <c r="BN632" i="36"/>
  <c r="BM590" i="36"/>
  <c r="BJ62" i="36"/>
  <c r="BL315" i="36"/>
  <c r="BH717" i="36"/>
  <c r="BG52" i="36"/>
  <c r="BH52" i="36"/>
  <c r="BM203" i="36"/>
  <c r="BM184" i="36"/>
  <c r="BM786" i="36"/>
  <c r="BF781" i="36"/>
  <c r="BG50" i="36"/>
  <c r="BJ650" i="36"/>
  <c r="BJ661" i="36"/>
  <c r="DF59" i="36"/>
  <c r="BL453" i="36"/>
  <c r="BH436" i="36"/>
  <c r="BH47" i="36"/>
  <c r="BH49" i="36"/>
  <c r="BH439" i="36"/>
  <c r="BK792" i="36"/>
  <c r="BK791" i="36"/>
  <c r="BK789" i="36"/>
  <c r="BK401" i="36"/>
  <c r="BK6" i="36"/>
  <c r="CX81" i="36"/>
  <c r="BK276" i="36"/>
  <c r="BK235" i="36"/>
  <c r="BK273" i="36"/>
  <c r="BM143" i="36"/>
  <c r="BL712" i="36"/>
  <c r="BM752" i="36"/>
  <c r="BJ64" i="36"/>
  <c r="CL30" i="36"/>
  <c r="BN18" i="36"/>
  <c r="BN671" i="36"/>
  <c r="BM102" i="36"/>
  <c r="BL58" i="36"/>
  <c r="CW111" i="36"/>
  <c r="CW67" i="36"/>
  <c r="CW68" i="36"/>
  <c r="CW16" i="36"/>
  <c r="BM614" i="36"/>
  <c r="BK677" i="36"/>
  <c r="BJ275" i="36"/>
  <c r="BJ234" i="36"/>
  <c r="DE410" i="36"/>
  <c r="BE15" i="36"/>
  <c r="DE15" i="36"/>
  <c r="V232" i="14"/>
  <c r="U232" i="14"/>
  <c r="AP230" i="14"/>
  <c r="AP227" i="14"/>
  <c r="BE404" i="36"/>
  <c r="BL203" i="36"/>
  <c r="BH92" i="36"/>
  <c r="BI19" i="36"/>
  <c r="BI364" i="36"/>
  <c r="BF10" i="36"/>
  <c r="BL451" i="36"/>
  <c r="BF734" i="36"/>
  <c r="BP111" i="36"/>
  <c r="BP68" i="36"/>
  <c r="DF112" i="36"/>
  <c r="BK593" i="36"/>
  <c r="BM499" i="36"/>
  <c r="BM535" i="36"/>
  <c r="CB83" i="36"/>
  <c r="DG124" i="36"/>
  <c r="BK106" i="36"/>
  <c r="BK66" i="36"/>
  <c r="DE549" i="36"/>
  <c r="BI415" i="36"/>
  <c r="BH548" i="36"/>
  <c r="BH409" i="36"/>
  <c r="BI495" i="36"/>
  <c r="BI718" i="36"/>
  <c r="BI717" i="36"/>
  <c r="BI715" i="36"/>
  <c r="BF481" i="36"/>
  <c r="BL790" i="36"/>
  <c r="BK188" i="36"/>
  <c r="BL228" i="36"/>
  <c r="BL230" i="36"/>
  <c r="BL303" i="36"/>
  <c r="BL304" i="36"/>
  <c r="BL306" i="36"/>
  <c r="BF547" i="36"/>
  <c r="BI456" i="36"/>
  <c r="BJ622" i="36"/>
  <c r="BJ792" i="36"/>
  <c r="BJ789" i="36"/>
  <c r="BJ61" i="36"/>
  <c r="BL501" i="36"/>
  <c r="BF26" i="36"/>
  <c r="BL149" i="36"/>
  <c r="BL148" i="36"/>
  <c r="BL146" i="36"/>
  <c r="BL86" i="36"/>
  <c r="BH689" i="36"/>
  <c r="BH621" i="36"/>
  <c r="BM618" i="36"/>
  <c r="BK504" i="36"/>
  <c r="BK500" i="36"/>
  <c r="BL314" i="36"/>
  <c r="BL317" i="36"/>
  <c r="BL316" i="36"/>
  <c r="BJ720" i="36"/>
  <c r="BJ756" i="36"/>
  <c r="BK96" i="36"/>
  <c r="BK95" i="36"/>
  <c r="BK98" i="36"/>
  <c r="BJ361" i="36"/>
  <c r="BJ358" i="36"/>
  <c r="BF406" i="36"/>
  <c r="BF12" i="36"/>
  <c r="BH341" i="36"/>
  <c r="BK714" i="36"/>
  <c r="BO491" i="36"/>
  <c r="BK825" i="36"/>
  <c r="BJ377" i="36"/>
  <c r="BJ447" i="36"/>
  <c r="BJ402" i="36"/>
  <c r="DF81" i="36"/>
  <c r="BM484" i="36"/>
  <c r="BM485" i="36"/>
  <c r="BM532" i="36"/>
  <c r="BM533" i="36"/>
  <c r="BM487" i="36"/>
  <c r="BI544" i="36"/>
  <c r="BI581" i="36"/>
  <c r="BI582" i="36"/>
  <c r="BI434" i="36"/>
  <c r="BI403" i="36"/>
  <c r="BI437" i="36"/>
  <c r="CW30" i="36"/>
  <c r="CX69" i="36"/>
  <c r="CX17" i="36"/>
  <c r="CX59" i="36"/>
  <c r="BK636" i="36"/>
  <c r="BK598" i="36"/>
  <c r="BK596" i="36"/>
  <c r="BK595" i="36"/>
  <c r="BK755" i="36"/>
  <c r="CL69" i="36"/>
  <c r="BL504" i="36"/>
  <c r="BL498" i="36"/>
  <c r="BM315" i="36"/>
  <c r="BM344" i="36"/>
  <c r="BM345" i="36"/>
  <c r="BM347" i="36"/>
  <c r="BK148" i="36"/>
  <c r="BK377" i="36"/>
  <c r="BG407" i="36"/>
  <c r="BG404" i="36"/>
  <c r="BG9" i="36"/>
  <c r="BG13" i="36"/>
  <c r="CM5" i="36"/>
  <c r="CM170" i="36"/>
  <c r="CM129" i="36"/>
  <c r="BI233" i="36"/>
  <c r="CX5" i="36"/>
  <c r="CX129" i="36"/>
  <c r="CX170" i="36"/>
  <c r="BL736" i="36"/>
  <c r="BH174" i="36"/>
  <c r="BN30" i="36"/>
  <c r="BJ755" i="36"/>
  <c r="BJ758" i="36"/>
  <c r="BJ757" i="36"/>
  <c r="BJ719" i="36"/>
  <c r="BM147" i="36"/>
  <c r="BM177" i="36"/>
  <c r="BM178" i="36"/>
  <c r="BM180" i="36"/>
  <c r="BJ500" i="36"/>
  <c r="BI804" i="36"/>
  <c r="BI815" i="36"/>
  <c r="CB170" i="36"/>
  <c r="DG170" i="36"/>
  <c r="CB129" i="36"/>
  <c r="DG129" i="36"/>
  <c r="DG57" i="36"/>
  <c r="BL60" i="36"/>
  <c r="BL137" i="36"/>
  <c r="BL136" i="36"/>
  <c r="BL139" i="36"/>
  <c r="BK626" i="36"/>
  <c r="BK625" i="36"/>
  <c r="BK657" i="36"/>
  <c r="BK758" i="36"/>
  <c r="BK757" i="36"/>
  <c r="DF83" i="36"/>
  <c r="BK719" i="36"/>
  <c r="BF549" i="36"/>
  <c r="BF92" i="36"/>
  <c r="CL111" i="36"/>
  <c r="CL67" i="36"/>
  <c r="CL68" i="36"/>
  <c r="BH437" i="36"/>
  <c r="BH48" i="36"/>
  <c r="BH50" i="36"/>
  <c r="BH547" i="36"/>
  <c r="BK517" i="36"/>
  <c r="BK529" i="36"/>
  <c r="BM675" i="36"/>
  <c r="BO30" i="36"/>
  <c r="BL635" i="36"/>
  <c r="BL638" i="36"/>
  <c r="BL597" i="36"/>
  <c r="BK715" i="36"/>
  <c r="BI419" i="36"/>
  <c r="BI24" i="36"/>
  <c r="CM111" i="36"/>
  <c r="CM67" i="36"/>
  <c r="CM68" i="36"/>
  <c r="CM16" i="36"/>
  <c r="BK64" i="36"/>
  <c r="BL95" i="36"/>
  <c r="BL96" i="36"/>
  <c r="BL98" i="36"/>
  <c r="BI259" i="36"/>
  <c r="BI250" i="36"/>
  <c r="BI288" i="36"/>
  <c r="BI300" i="36"/>
  <c r="BJ19" i="36"/>
  <c r="BJ364" i="36"/>
  <c r="BM451" i="36"/>
  <c r="BF11" i="36"/>
  <c r="BI20" i="36"/>
  <c r="BJ63" i="36"/>
  <c r="BK31" i="36"/>
  <c r="BK415" i="36"/>
  <c r="BK20" i="36"/>
  <c r="BK447" i="36"/>
  <c r="BK402" i="36"/>
  <c r="BK7" i="36"/>
  <c r="BL689" i="36"/>
  <c r="BL701" i="36"/>
  <c r="BI550" i="36"/>
  <c r="BI408" i="36"/>
  <c r="BZ18" i="36"/>
  <c r="BM188" i="36"/>
  <c r="BM218" i="36"/>
  <c r="BM219" i="36"/>
  <c r="BM221" i="36"/>
  <c r="BN443" i="36"/>
  <c r="BM400" i="36"/>
  <c r="BK61" i="36"/>
  <c r="CN5" i="36"/>
  <c r="DH5" i="36"/>
  <c r="CN129" i="36"/>
  <c r="DH129" i="36"/>
  <c r="CN170" i="36"/>
  <c r="DH170" i="36"/>
  <c r="DH57" i="36"/>
  <c r="CL17" i="36"/>
  <c r="BI621" i="36"/>
  <c r="BI612" i="36"/>
  <c r="BI622" i="36"/>
  <c r="BI650" i="36"/>
  <c r="BM228" i="36"/>
  <c r="BM303" i="36"/>
  <c r="BM230" i="36"/>
  <c r="BM304" i="36"/>
  <c r="BM306" i="36"/>
  <c r="BM453" i="36"/>
  <c r="BL401" i="36"/>
  <c r="BL6" i="36"/>
  <c r="BM317" i="36"/>
  <c r="BM316" i="36"/>
  <c r="BM314" i="36"/>
  <c r="BJ582" i="36"/>
  <c r="BJ434" i="36"/>
  <c r="BJ544" i="36"/>
  <c r="BJ581" i="36"/>
  <c r="BJ403" i="36"/>
  <c r="BJ8" i="36"/>
  <c r="BJ584" i="36"/>
  <c r="BJ435" i="36"/>
  <c r="BN485" i="36"/>
  <c r="BN484" i="36"/>
  <c r="BN532" i="36"/>
  <c r="BN533" i="36"/>
  <c r="BN487" i="36"/>
  <c r="BL714" i="36"/>
  <c r="BG432" i="36"/>
  <c r="BG469" i="36"/>
  <c r="BL162" i="36"/>
  <c r="BL174" i="36"/>
  <c r="BL500" i="36"/>
  <c r="BP16" i="36"/>
  <c r="DF16" i="36"/>
  <c r="DF68" i="36"/>
  <c r="BM712" i="36"/>
  <c r="BN752" i="36"/>
  <c r="BL425" i="36"/>
  <c r="BL31" i="36"/>
  <c r="BI89" i="36"/>
  <c r="BI121" i="36"/>
  <c r="BZ33" i="36"/>
  <c r="BK361" i="36"/>
  <c r="BK358" i="36"/>
  <c r="BJ215" i="36"/>
  <c r="CZ57" i="36"/>
  <c r="DI101" i="36"/>
  <c r="BL418" i="36"/>
  <c r="BL23" i="36"/>
  <c r="BL625" i="36"/>
  <c r="BL626" i="36"/>
  <c r="BL657" i="36"/>
  <c r="BL628" i="36"/>
  <c r="CN59" i="36"/>
  <c r="DH103" i="36"/>
  <c r="BF9" i="36"/>
  <c r="BJ415" i="36"/>
  <c r="BJ20" i="36"/>
  <c r="CX111" i="36"/>
  <c r="CX67" i="36"/>
  <c r="CX68" i="36"/>
  <c r="CX16" i="36"/>
  <c r="DG83" i="36"/>
  <c r="BL106" i="36"/>
  <c r="BL66" i="36"/>
  <c r="BL756" i="36"/>
  <c r="BL263" i="36"/>
  <c r="BL264" i="36"/>
  <c r="BL266" i="36"/>
  <c r="BJ495" i="36"/>
  <c r="BP67" i="36"/>
  <c r="DF111" i="36"/>
  <c r="BJ233" i="36"/>
  <c r="BH804" i="36"/>
  <c r="BI517" i="36"/>
  <c r="BK414" i="36"/>
  <c r="BN618" i="36"/>
  <c r="BH24" i="36"/>
  <c r="BD44" i="36"/>
  <c r="BD45" i="36"/>
  <c r="BL190" i="36"/>
  <c r="BL189" i="36"/>
  <c r="BL187" i="36"/>
  <c r="DG81" i="36"/>
  <c r="CY5" i="36"/>
  <c r="CY129" i="36"/>
  <c r="CY170" i="36"/>
  <c r="BM636" i="36"/>
  <c r="BM598" i="36"/>
  <c r="BM594" i="36"/>
  <c r="CN81" i="36"/>
  <c r="DH122" i="36"/>
  <c r="BJ791" i="36"/>
  <c r="BM704" i="36"/>
  <c r="BM705" i="36"/>
  <c r="BM707" i="36"/>
  <c r="BL720" i="36"/>
  <c r="BL716" i="36"/>
  <c r="BK756" i="36"/>
  <c r="BK720" i="36"/>
  <c r="BK716" i="36"/>
  <c r="BK498" i="36"/>
  <c r="BL105" i="36"/>
  <c r="BL108" i="36"/>
  <c r="BL65" i="36"/>
  <c r="BN147" i="36"/>
  <c r="BN178" i="36"/>
  <c r="BN177" i="36"/>
  <c r="BN180" i="36"/>
  <c r="BG406" i="36"/>
  <c r="BG12" i="36"/>
  <c r="BK594" i="36"/>
  <c r="BI8" i="36"/>
  <c r="BJ52" i="36"/>
  <c r="BI439" i="36"/>
  <c r="BL636" i="36"/>
  <c r="BL598" i="36"/>
  <c r="BL594" i="36"/>
  <c r="BL236" i="36"/>
  <c r="BL274" i="36"/>
  <c r="BM790" i="36"/>
  <c r="BE566" i="36"/>
  <c r="DE575" i="36"/>
  <c r="BE432" i="36"/>
  <c r="BN102" i="36"/>
  <c r="BM58" i="36"/>
  <c r="BM736" i="36"/>
  <c r="BK429" i="36"/>
  <c r="BK35" i="36"/>
  <c r="BN203" i="36"/>
  <c r="BN184" i="36"/>
  <c r="BN614" i="36"/>
  <c r="DE11" i="36"/>
  <c r="CM30" i="36"/>
  <c r="BL359" i="36"/>
  <c r="BL357" i="36"/>
  <c r="BL392" i="36"/>
  <c r="BL393" i="36"/>
  <c r="BL395" i="36"/>
  <c r="DF352" i="36"/>
  <c r="BP5" i="36"/>
  <c r="CY69" i="36"/>
  <c r="CY17" i="36"/>
  <c r="CY59" i="36"/>
  <c r="BH250" i="36"/>
  <c r="DG59" i="36"/>
  <c r="BM592" i="36"/>
  <c r="BM664" i="36"/>
  <c r="BM665" i="36"/>
  <c r="BM667" i="36"/>
  <c r="CN83" i="36"/>
  <c r="DH124" i="36"/>
  <c r="BI260" i="36"/>
  <c r="BH701" i="36"/>
  <c r="BE9" i="36"/>
  <c r="DE9" i="36"/>
  <c r="DN9" i="36"/>
  <c r="DE404" i="36"/>
  <c r="BN839" i="36"/>
  <c r="BN821" i="36"/>
  <c r="BK234" i="36"/>
  <c r="BK275" i="36"/>
  <c r="BK341" i="36"/>
  <c r="BJ517" i="36"/>
  <c r="BJ529" i="36"/>
  <c r="BN315" i="36"/>
  <c r="BN345" i="36"/>
  <c r="BN344" i="36"/>
  <c r="BN347" i="36"/>
  <c r="BH421" i="36"/>
  <c r="BH410" i="36"/>
  <c r="BI436" i="36"/>
  <c r="BI47" i="36"/>
  <c r="BI49" i="36"/>
  <c r="BP491" i="36"/>
  <c r="BJ716" i="36"/>
  <c r="BH612" i="36"/>
  <c r="BN499" i="36"/>
  <c r="BN535" i="36"/>
  <c r="BF743" i="36"/>
  <c r="BM82" i="36"/>
  <c r="BO618" i="36"/>
  <c r="BO632" i="36"/>
  <c r="BN590" i="36"/>
  <c r="BN540" i="36"/>
  <c r="BH407" i="36"/>
  <c r="BH404" i="36"/>
  <c r="BH9" i="36"/>
  <c r="BH13" i="36"/>
  <c r="BK215" i="36"/>
  <c r="BK23" i="36"/>
  <c r="BI360" i="36"/>
  <c r="CY81" i="36"/>
  <c r="CB69" i="36"/>
  <c r="DG113" i="36"/>
  <c r="BM504" i="36"/>
  <c r="CW17" i="36"/>
  <c r="BP17" i="36"/>
  <c r="DF17" i="36"/>
  <c r="DF69" i="36"/>
  <c r="CA32" i="36"/>
  <c r="CA33" i="36"/>
  <c r="CB352" i="36"/>
  <c r="CA5" i="36"/>
  <c r="BI742" i="36"/>
  <c r="BI734" i="36"/>
  <c r="BI743" i="36"/>
  <c r="BI770" i="36"/>
  <c r="BI781" i="36"/>
  <c r="BI450" i="36"/>
  <c r="BI452" i="36"/>
  <c r="BI548" i="36"/>
  <c r="BI409" i="36"/>
  <c r="BO671" i="36"/>
  <c r="BM60" i="36"/>
  <c r="BM137" i="36"/>
  <c r="BM136" i="36"/>
  <c r="BM139" i="36"/>
  <c r="BM149" i="36"/>
  <c r="BM146" i="36"/>
  <c r="BJ360" i="36"/>
  <c r="BJ389" i="36"/>
  <c r="CL16" i="36"/>
  <c r="BK824" i="36"/>
  <c r="BK827" i="36"/>
  <c r="BJ715" i="36"/>
  <c r="BJ718" i="36"/>
  <c r="BJ717" i="36"/>
  <c r="BJ89" i="36"/>
  <c r="BJ121" i="36"/>
  <c r="BJ133" i="36"/>
  <c r="BH742" i="36"/>
  <c r="BH770" i="36"/>
  <c r="BJ7" i="36"/>
  <c r="BL329" i="36"/>
  <c r="BL235" i="36"/>
  <c r="BL273" i="36"/>
  <c r="BL231" i="36"/>
  <c r="BL276" i="36"/>
  <c r="BH405" i="36"/>
  <c r="BH10" i="36"/>
  <c r="BH14" i="36"/>
  <c r="BK62" i="36"/>
  <c r="BK676" i="36"/>
  <c r="BM86" i="36"/>
  <c r="BN143" i="36"/>
  <c r="BK231" i="36"/>
  <c r="CX30" i="36"/>
  <c r="BK804" i="36"/>
  <c r="BK815" i="36"/>
  <c r="BN786" i="36"/>
  <c r="BH549" i="36"/>
  <c r="BM498" i="36"/>
  <c r="BM501" i="36"/>
  <c r="BZ30" i="36"/>
  <c r="BO18" i="36"/>
  <c r="BC46" i="36"/>
  <c r="BC44" i="36"/>
  <c r="CB111" i="36"/>
  <c r="CB68" i="36"/>
  <c r="DG112" i="36"/>
  <c r="BJ419" i="36"/>
  <c r="BJ24" i="36"/>
  <c r="BJ553" i="36"/>
  <c r="BM108" i="36"/>
  <c r="BM107" i="36"/>
  <c r="BM105" i="36"/>
  <c r="BM65" i="36"/>
  <c r="BH260" i="36"/>
  <c r="BK162" i="36"/>
  <c r="BL215" i="36"/>
  <c r="BM236" i="36"/>
  <c r="BM274" i="36"/>
  <c r="BM232" i="36"/>
  <c r="BM148" i="36"/>
  <c r="BH406" i="36"/>
  <c r="BH12" i="36"/>
  <c r="DE566" i="36"/>
  <c r="BE578" i="36"/>
  <c r="DE578" i="36"/>
  <c r="BN736" i="36"/>
  <c r="BL517" i="36"/>
  <c r="BL529" i="36"/>
  <c r="BM714" i="36"/>
  <c r="BM401" i="36"/>
  <c r="BM187" i="36"/>
  <c r="BM190" i="36"/>
  <c r="BM189" i="36"/>
  <c r="BI553" i="36"/>
  <c r="BP18" i="36"/>
  <c r="DF18" i="36"/>
  <c r="DF367" i="36"/>
  <c r="BM425" i="36"/>
  <c r="BL827" i="36"/>
  <c r="BL826" i="36"/>
  <c r="BL850" i="36"/>
  <c r="BL824" i="36"/>
  <c r="BH781" i="36"/>
  <c r="BO102" i="36"/>
  <c r="BN58" i="36"/>
  <c r="BK89" i="36"/>
  <c r="BK121" i="36"/>
  <c r="BK133" i="36"/>
  <c r="BH734" i="36"/>
  <c r="CA30" i="36"/>
  <c r="BO540" i="36"/>
  <c r="CY111" i="36"/>
  <c r="CY67" i="36"/>
  <c r="CY68" i="36"/>
  <c r="CY16" i="36"/>
  <c r="BO184" i="36"/>
  <c r="BN82" i="36"/>
  <c r="BJ439" i="36"/>
  <c r="BL107" i="36"/>
  <c r="CN30" i="36"/>
  <c r="DH81" i="36"/>
  <c r="BH15" i="36"/>
  <c r="BJ259" i="36"/>
  <c r="BJ288" i="36"/>
  <c r="BL62" i="36"/>
  <c r="DH59" i="36"/>
  <c r="BI133" i="36"/>
  <c r="BM235" i="36"/>
  <c r="BM273" i="36"/>
  <c r="BM231" i="36"/>
  <c r="BM276" i="36"/>
  <c r="BM418" i="36"/>
  <c r="BK63" i="36"/>
  <c r="CZ5" i="36"/>
  <c r="DI5" i="36"/>
  <c r="CZ170" i="36"/>
  <c r="DI170" i="36"/>
  <c r="CZ129" i="36"/>
  <c r="DI129" i="36"/>
  <c r="DI57" i="36"/>
  <c r="BJ436" i="36"/>
  <c r="BJ47" i="36"/>
  <c r="BJ49" i="36"/>
  <c r="BH566" i="36"/>
  <c r="BH578" i="36"/>
  <c r="CA18" i="36"/>
  <c r="DF380" i="36"/>
  <c r="BP32" i="36"/>
  <c r="DF32" i="36"/>
  <c r="BF566" i="36"/>
  <c r="BF432" i="36"/>
  <c r="BK742" i="36"/>
  <c r="BK734" i="36"/>
  <c r="BK770" i="36"/>
  <c r="BK781" i="36"/>
  <c r="BK826" i="36"/>
  <c r="BI405" i="36"/>
  <c r="BI10" i="36"/>
  <c r="BI14" i="36"/>
  <c r="CB17" i="36"/>
  <c r="DG17" i="36"/>
  <c r="DG69" i="36"/>
  <c r="BN317" i="36"/>
  <c r="BN316" i="36"/>
  <c r="BN314" i="36"/>
  <c r="BO786" i="36"/>
  <c r="BP671" i="36"/>
  <c r="DG352" i="36"/>
  <c r="CB5" i="36"/>
  <c r="DG5" i="36"/>
  <c r="BJ421" i="36"/>
  <c r="BH26" i="36"/>
  <c r="BK233" i="36"/>
  <c r="BN86" i="36"/>
  <c r="BL755" i="36"/>
  <c r="BL719" i="36"/>
  <c r="BL758" i="36"/>
  <c r="BL61" i="36"/>
  <c r="BM825" i="36"/>
  <c r="BJ770" i="36"/>
  <c r="BJ781" i="36"/>
  <c r="CN111" i="36"/>
  <c r="CN68" i="36"/>
  <c r="DH112" i="36"/>
  <c r="BI80" i="36"/>
  <c r="BN451" i="36"/>
  <c r="BK544" i="36"/>
  <c r="BK581" i="36"/>
  <c r="BK582" i="36"/>
  <c r="BK434" i="36"/>
  <c r="BK403" i="36"/>
  <c r="BK584" i="36"/>
  <c r="BK435" i="36"/>
  <c r="BN592" i="36"/>
  <c r="BN665" i="36"/>
  <c r="BN664" i="36"/>
  <c r="BN667" i="36"/>
  <c r="BK495" i="36"/>
  <c r="BI549" i="36"/>
  <c r="BN504" i="36"/>
  <c r="BL825" i="36"/>
  <c r="BH622" i="36"/>
  <c r="BG11" i="36"/>
  <c r="BM96" i="36"/>
  <c r="BM95" i="36"/>
  <c r="BM98" i="36"/>
  <c r="BL377" i="36"/>
  <c r="BL232" i="36"/>
  <c r="BN704" i="36"/>
  <c r="BN705" i="36"/>
  <c r="BN707" i="36"/>
  <c r="BI529" i="36"/>
  <c r="BI421" i="36"/>
  <c r="BI26" i="36"/>
  <c r="CN69" i="36"/>
  <c r="DH113" i="36"/>
  <c r="BG481" i="36"/>
  <c r="BO533" i="36"/>
  <c r="BO484" i="36"/>
  <c r="BO485" i="36"/>
  <c r="BO532" i="36"/>
  <c r="BO487" i="36"/>
  <c r="BL429" i="36"/>
  <c r="BL35" i="36"/>
  <c r="BN228" i="36"/>
  <c r="BN230" i="36"/>
  <c r="BN304" i="36"/>
  <c r="BN303" i="36"/>
  <c r="BN306" i="36"/>
  <c r="BK718" i="36"/>
  <c r="BK717" i="36"/>
  <c r="BK743" i="36"/>
  <c r="BO839" i="36"/>
  <c r="BO821" i="36"/>
  <c r="BM755" i="36"/>
  <c r="BM719" i="36"/>
  <c r="BN188" i="36"/>
  <c r="BN218" i="36"/>
  <c r="BN219" i="36"/>
  <c r="BN221" i="36"/>
  <c r="BJ547" i="36"/>
  <c r="BJ550" i="36"/>
  <c r="BJ549" i="36"/>
  <c r="BJ408" i="36"/>
  <c r="BH469" i="36"/>
  <c r="BH481" i="36"/>
  <c r="BI389" i="36"/>
  <c r="BM357" i="36"/>
  <c r="BM6" i="36"/>
  <c r="BM359" i="36"/>
  <c r="BM393" i="36"/>
  <c r="BM392" i="36"/>
  <c r="BM395" i="36"/>
  <c r="BO499" i="36"/>
  <c r="BO535" i="36"/>
  <c r="CN32" i="36"/>
  <c r="DH32" i="36"/>
  <c r="DH83" i="36"/>
  <c r="BM377" i="36"/>
  <c r="BL64" i="36"/>
  <c r="CZ81" i="36"/>
  <c r="DI122" i="36"/>
  <c r="BM758" i="36"/>
  <c r="BM757" i="36"/>
  <c r="BM329" i="36"/>
  <c r="BM341" i="36"/>
  <c r="BO443" i="36"/>
  <c r="BN418" i="36"/>
  <c r="BN23" i="36"/>
  <c r="BN400" i="36"/>
  <c r="CB16" i="36"/>
  <c r="DG16" i="36"/>
  <c r="DG68" i="36"/>
  <c r="CB67" i="36"/>
  <c r="DG111" i="36"/>
  <c r="BO143" i="36"/>
  <c r="BL341" i="36"/>
  <c r="BL792" i="36"/>
  <c r="BL789" i="36"/>
  <c r="BN60" i="36"/>
  <c r="BN136" i="36"/>
  <c r="BN137" i="36"/>
  <c r="BN139" i="36"/>
  <c r="CY30" i="36"/>
  <c r="BK19" i="36"/>
  <c r="BK364" i="36"/>
  <c r="BP618" i="36"/>
  <c r="BP632" i="36"/>
  <c r="BO590" i="36"/>
  <c r="BQ491" i="36"/>
  <c r="BO344" i="36"/>
  <c r="BO315" i="36"/>
  <c r="BO345" i="36"/>
  <c r="BO347" i="36"/>
  <c r="BK650" i="36"/>
  <c r="BK661" i="36"/>
  <c r="BM625" i="36"/>
  <c r="BM626" i="36"/>
  <c r="BM657" i="36"/>
  <c r="BM628" i="36"/>
  <c r="BJ456" i="36"/>
  <c r="DF354" i="36"/>
  <c r="BI52" i="36"/>
  <c r="BI50" i="36"/>
  <c r="BG423" i="36"/>
  <c r="BG433" i="36"/>
  <c r="BG38" i="36"/>
  <c r="BG29" i="36"/>
  <c r="BJ548" i="36"/>
  <c r="BJ409" i="36"/>
  <c r="BL414" i="36"/>
  <c r="BI661" i="36"/>
  <c r="BI407" i="36"/>
  <c r="BI13" i="36"/>
  <c r="BL596" i="36"/>
  <c r="BL593" i="36"/>
  <c r="DF378" i="36"/>
  <c r="BP30" i="36"/>
  <c r="BN149" i="36"/>
  <c r="BN148" i="36"/>
  <c r="BN146" i="36"/>
  <c r="CZ59" i="36"/>
  <c r="DI103" i="36"/>
  <c r="BC45" i="36"/>
  <c r="BM500" i="36"/>
  <c r="BL234" i="36"/>
  <c r="BL275" i="36"/>
  <c r="BJ80" i="36"/>
  <c r="BJ92" i="36"/>
  <c r="BM106" i="36"/>
  <c r="BM62" i="36"/>
  <c r="BM66" i="36"/>
  <c r="BM638" i="36"/>
  <c r="BM637" i="36"/>
  <c r="BM635" i="36"/>
  <c r="BM597" i="36"/>
  <c r="BO614" i="36"/>
  <c r="BN453" i="36"/>
  <c r="DF381" i="36"/>
  <c r="BP33" i="36"/>
  <c r="DF33" i="36"/>
  <c r="BL358" i="36"/>
  <c r="BL361" i="36"/>
  <c r="BE423" i="36"/>
  <c r="BE38" i="36"/>
  <c r="DE432" i="36"/>
  <c r="BK439" i="36"/>
  <c r="BO147" i="36"/>
  <c r="BO177" i="36"/>
  <c r="BO178" i="36"/>
  <c r="BO180" i="36"/>
  <c r="BJ742" i="36"/>
  <c r="BH815" i="36"/>
  <c r="DF67" i="36"/>
  <c r="CZ83" i="36"/>
  <c r="DI124" i="36"/>
  <c r="BN712" i="36"/>
  <c r="BO752" i="36"/>
  <c r="BN498" i="36"/>
  <c r="BN501" i="36"/>
  <c r="BN500" i="36"/>
  <c r="BJ437" i="36"/>
  <c r="BJ48" i="36"/>
  <c r="BJ50" i="36"/>
  <c r="BL415" i="36"/>
  <c r="BL20" i="36"/>
  <c r="BL447" i="36"/>
  <c r="BL402" i="36"/>
  <c r="BL7" i="36"/>
  <c r="BM263" i="36"/>
  <c r="BM264" i="36"/>
  <c r="BM266" i="36"/>
  <c r="BM674" i="36"/>
  <c r="BM677" i="36"/>
  <c r="BL637" i="36"/>
  <c r="M586" i="19"/>
  <c r="BI410" i="36"/>
  <c r="BI15" i="36"/>
  <c r="BN825" i="36"/>
  <c r="BJ734" i="36"/>
  <c r="BJ743" i="36"/>
  <c r="BN756" i="36"/>
  <c r="BN789" i="36"/>
  <c r="CZ69" i="36"/>
  <c r="DI113" i="36"/>
  <c r="BP184" i="36"/>
  <c r="BE433" i="36"/>
  <c r="DE433" i="36"/>
  <c r="DE423" i="36"/>
  <c r="CZ111" i="36"/>
  <c r="CZ68" i="36"/>
  <c r="DI112" i="36"/>
  <c r="BJ405" i="36"/>
  <c r="BJ10" i="36"/>
  <c r="BJ14" i="36"/>
  <c r="BN674" i="36"/>
  <c r="BN677" i="36"/>
  <c r="BN676" i="36"/>
  <c r="BN106" i="36"/>
  <c r="BN62" i="36"/>
  <c r="BN66" i="36"/>
  <c r="BP143" i="36"/>
  <c r="BP443" i="36"/>
  <c r="BO400" i="36"/>
  <c r="BK360" i="36"/>
  <c r="BN392" i="36"/>
  <c r="BN357" i="36"/>
  <c r="BN359" i="36"/>
  <c r="BN393" i="36"/>
  <c r="BN395" i="36"/>
  <c r="BM31" i="36"/>
  <c r="BL544" i="36"/>
  <c r="BL581" i="36"/>
  <c r="BL582" i="36"/>
  <c r="BL434" i="36"/>
  <c r="BL584" i="36"/>
  <c r="BL435" i="36"/>
  <c r="BL403" i="36"/>
  <c r="CN16" i="36"/>
  <c r="DH16" i="36"/>
  <c r="DH68" i="36"/>
  <c r="BJ26" i="36"/>
  <c r="BJ410" i="36"/>
  <c r="BJ15" i="36"/>
  <c r="DF695" i="36"/>
  <c r="BQ671" i="36"/>
  <c r="BM23" i="36"/>
  <c r="BK456" i="36"/>
  <c r="BN827" i="36"/>
  <c r="BN826" i="36"/>
  <c r="BN850" i="36"/>
  <c r="BN824" i="36"/>
  <c r="BO203" i="36"/>
  <c r="BP86" i="36"/>
  <c r="BP102" i="36"/>
  <c r="BO58" i="36"/>
  <c r="BM215" i="36"/>
  <c r="BK689" i="36"/>
  <c r="BK548" i="36"/>
  <c r="BK409" i="36"/>
  <c r="CZ32" i="36"/>
  <c r="DI32" i="36"/>
  <c r="DI83" i="36"/>
  <c r="BP147" i="36"/>
  <c r="BP178" i="36"/>
  <c r="BP177" i="36"/>
  <c r="BP180" i="36"/>
  <c r="BI406" i="36"/>
  <c r="BI12" i="36"/>
  <c r="BM650" i="36"/>
  <c r="BM661" i="36"/>
  <c r="BO317" i="36"/>
  <c r="BO316" i="36"/>
  <c r="BO314" i="36"/>
  <c r="BO228" i="36"/>
  <c r="BO230" i="36"/>
  <c r="BO303" i="36"/>
  <c r="BO304" i="36"/>
  <c r="BO306" i="36"/>
  <c r="CN17" i="36"/>
  <c r="DH17" i="36"/>
  <c r="DH69" i="36"/>
  <c r="BO704" i="36"/>
  <c r="BO705" i="36"/>
  <c r="BO707" i="36"/>
  <c r="BN636" i="36"/>
  <c r="BN598" i="36"/>
  <c r="BN594" i="36"/>
  <c r="BK437" i="36"/>
  <c r="BK48" i="36"/>
  <c r="CN67" i="36"/>
  <c r="DH111" i="36"/>
  <c r="BF423" i="36"/>
  <c r="BF38" i="36"/>
  <c r="BM234" i="36"/>
  <c r="BM275" i="36"/>
  <c r="BO82" i="36"/>
  <c r="BN714" i="36"/>
  <c r="BJ250" i="36"/>
  <c r="BM676" i="36"/>
  <c r="BN162" i="36"/>
  <c r="BN174" i="36"/>
  <c r="BI404" i="36"/>
  <c r="BL63" i="36"/>
  <c r="BO451" i="36"/>
  <c r="BO675" i="36"/>
  <c r="BO504" i="36"/>
  <c r="BO498" i="36"/>
  <c r="BN626" i="36"/>
  <c r="BN625" i="36"/>
  <c r="BN657" i="36"/>
  <c r="BN628" i="36"/>
  <c r="BK8" i="36"/>
  <c r="BF578" i="36"/>
  <c r="BH743" i="36"/>
  <c r="BO86" i="36"/>
  <c r="BK621" i="36"/>
  <c r="BE29" i="36"/>
  <c r="DE38" i="36"/>
  <c r="BP315" i="36"/>
  <c r="BP345" i="36"/>
  <c r="BP344" i="36"/>
  <c r="BP347" i="36"/>
  <c r="CZ30" i="36"/>
  <c r="DI81" i="36"/>
  <c r="BM715" i="36"/>
  <c r="DF30" i="36"/>
  <c r="BP614" i="36"/>
  <c r="BL791" i="36"/>
  <c r="BP499" i="36"/>
  <c r="BP535" i="36"/>
  <c r="BP839" i="36"/>
  <c r="BP821" i="36"/>
  <c r="BN235" i="36"/>
  <c r="BN273" i="36"/>
  <c r="BN231" i="36"/>
  <c r="BN276" i="36"/>
  <c r="BP484" i="36"/>
  <c r="BP485" i="36"/>
  <c r="BP533" i="36"/>
  <c r="BP532" i="36"/>
  <c r="BP487" i="36"/>
  <c r="BG44" i="36"/>
  <c r="BG45" i="36"/>
  <c r="BG46" i="36"/>
  <c r="BO635" i="36"/>
  <c r="BK436" i="36"/>
  <c r="BK47" i="36"/>
  <c r="BK49" i="36"/>
  <c r="BL757" i="36"/>
  <c r="BK259" i="36"/>
  <c r="BK250" i="36"/>
  <c r="BK260" i="36"/>
  <c r="BK288" i="36"/>
  <c r="BK300" i="36"/>
  <c r="DG380" i="36"/>
  <c r="CB32" i="36"/>
  <c r="DG32" i="36"/>
  <c r="BP786" i="36"/>
  <c r="BN425" i="36"/>
  <c r="BM64" i="36"/>
  <c r="BJ566" i="36"/>
  <c r="BJ578" i="36"/>
  <c r="BN517" i="36"/>
  <c r="BN529" i="36"/>
  <c r="BO712" i="36"/>
  <c r="BP752" i="36"/>
  <c r="BO146" i="36"/>
  <c r="BO149" i="36"/>
  <c r="BO148" i="36"/>
  <c r="BL595" i="36"/>
  <c r="BQ632" i="36"/>
  <c r="BP590" i="36"/>
  <c r="BM756" i="36"/>
  <c r="BM720" i="36"/>
  <c r="BM716" i="36"/>
  <c r="BL19" i="36"/>
  <c r="BL364" i="36"/>
  <c r="BN187" i="36"/>
  <c r="BN190" i="36"/>
  <c r="BN189" i="36"/>
  <c r="BO597" i="36"/>
  <c r="BI469" i="36"/>
  <c r="BI481" i="36"/>
  <c r="BO592" i="36"/>
  <c r="BO665" i="36"/>
  <c r="BO664" i="36"/>
  <c r="BO667" i="36"/>
  <c r="BI92" i="36"/>
  <c r="BL715" i="36"/>
  <c r="BL718" i="36"/>
  <c r="BL717" i="36"/>
  <c r="CB18" i="36"/>
  <c r="DG18" i="36"/>
  <c r="DG367" i="36"/>
  <c r="BK850" i="36"/>
  <c r="BO453" i="36"/>
  <c r="DH30" i="36"/>
  <c r="BP540" i="36"/>
  <c r="BI547" i="36"/>
  <c r="BM414" i="36"/>
  <c r="BM61" i="36"/>
  <c r="BJ450" i="36"/>
  <c r="BJ452" i="36"/>
  <c r="BN401" i="36"/>
  <c r="CB33" i="36"/>
  <c r="DG33" i="36"/>
  <c r="DG381" i="36"/>
  <c r="BJ804" i="36"/>
  <c r="BK419" i="36"/>
  <c r="BO736" i="36"/>
  <c r="BN675" i="36"/>
  <c r="DF523" i="36"/>
  <c r="DF512" i="36"/>
  <c r="DF491" i="36"/>
  <c r="BR491" i="36"/>
  <c r="BN96" i="36"/>
  <c r="BN95" i="36"/>
  <c r="BN98" i="36"/>
  <c r="DG67" i="36"/>
  <c r="BH432" i="36"/>
  <c r="BO188" i="36"/>
  <c r="BO219" i="36"/>
  <c r="BO218" i="36"/>
  <c r="BO221" i="36"/>
  <c r="BN263" i="36"/>
  <c r="BN264" i="36"/>
  <c r="BN266" i="36"/>
  <c r="BO501" i="36"/>
  <c r="BL495" i="36"/>
  <c r="DG378" i="36"/>
  <c r="CB30" i="36"/>
  <c r="BM429" i="36"/>
  <c r="BM35" i="36"/>
  <c r="BH11" i="36"/>
  <c r="BO136" i="36"/>
  <c r="BO60" i="36"/>
  <c r="BO137" i="36"/>
  <c r="BO139" i="36"/>
  <c r="BK550" i="36"/>
  <c r="BK408" i="36"/>
  <c r="BN638" i="36"/>
  <c r="BN637" i="36"/>
  <c r="BN635" i="36"/>
  <c r="BN597" i="36"/>
  <c r="BM596" i="36"/>
  <c r="BM595" i="36"/>
  <c r="BM593" i="36"/>
  <c r="BL233" i="36"/>
  <c r="DI59" i="36"/>
  <c r="BN105" i="36"/>
  <c r="BN108" i="36"/>
  <c r="BN107" i="36"/>
  <c r="BN65" i="36"/>
  <c r="BM361" i="36"/>
  <c r="BJ404" i="36"/>
  <c r="BJ9" i="36"/>
  <c r="BJ407" i="36"/>
  <c r="BJ13" i="36"/>
  <c r="BN236" i="36"/>
  <c r="BN274" i="36"/>
  <c r="BN232" i="36"/>
  <c r="BM827" i="36"/>
  <c r="BM824" i="36"/>
  <c r="BM792" i="36"/>
  <c r="BM791" i="36"/>
  <c r="BM789" i="36"/>
  <c r="DG354" i="36"/>
  <c r="BN329" i="36"/>
  <c r="BN341" i="36"/>
  <c r="BN790" i="36"/>
  <c r="BJ300" i="36"/>
  <c r="BN31" i="36"/>
  <c r="BK80" i="36"/>
  <c r="BM415" i="36"/>
  <c r="BM447" i="36"/>
  <c r="BM402" i="36"/>
  <c r="BM7" i="36"/>
  <c r="BK174" i="36"/>
  <c r="B22" i="27"/>
  <c r="B48" i="27"/>
  <c r="B101" i="27" s="1"/>
  <c r="B46" i="27"/>
  <c r="B47" i="27"/>
  <c r="B100" i="27" s="1"/>
  <c r="B45" i="27"/>
  <c r="B97" i="27" s="1"/>
  <c r="B43" i="27"/>
  <c r="B96" i="27" s="1"/>
  <c r="B42" i="27"/>
  <c r="B95" i="27" s="1"/>
  <c r="B41" i="27"/>
  <c r="B35" i="27"/>
  <c r="B31" i="27"/>
  <c r="B88" i="27" s="1"/>
  <c r="B30" i="27"/>
  <c r="B86" i="27" s="1"/>
  <c r="B12" i="27"/>
  <c r="R58" i="22"/>
  <c r="O462" i="21"/>
  <c r="O463" i="21"/>
  <c r="O342" i="21"/>
  <c r="O343" i="21"/>
  <c r="O283" i="21"/>
  <c r="O282" i="21"/>
  <c r="O222" i="21"/>
  <c r="O223" i="21"/>
  <c r="F18" i="27"/>
  <c r="O456" i="21"/>
  <c r="O336" i="21"/>
  <c r="O276" i="21"/>
  <c r="O216" i="21"/>
  <c r="BO790" i="36"/>
  <c r="BK421" i="36"/>
  <c r="BK26" i="36"/>
  <c r="BK553" i="36"/>
  <c r="BK547" i="36"/>
  <c r="BI566" i="36"/>
  <c r="BI578" i="36"/>
  <c r="BI432" i="36"/>
  <c r="BO755" i="36"/>
  <c r="BO719" i="36"/>
  <c r="BL419" i="36"/>
  <c r="BL553" i="36"/>
  <c r="BO636" i="36"/>
  <c r="BO598" i="36"/>
  <c r="BO594" i="36"/>
  <c r="BM19" i="36"/>
  <c r="BM364" i="36"/>
  <c r="BN429" i="36"/>
  <c r="BN35" i="36"/>
  <c r="BO596" i="36"/>
  <c r="BO595" i="36"/>
  <c r="BO593" i="36"/>
  <c r="BN758" i="36"/>
  <c r="BN757" i="36"/>
  <c r="BN755" i="36"/>
  <c r="BN719" i="36"/>
  <c r="BM517" i="36"/>
  <c r="BK405" i="36"/>
  <c r="BK14" i="36"/>
  <c r="BL548" i="36"/>
  <c r="BL409" i="36"/>
  <c r="BM770" i="36"/>
  <c r="BM781" i="36"/>
  <c r="BM358" i="36"/>
  <c r="BO95" i="36"/>
  <c r="BO96" i="36"/>
  <c r="BO98" i="36"/>
  <c r="BM495" i="36"/>
  <c r="BN377" i="36"/>
  <c r="BS491" i="36"/>
  <c r="BJ815" i="36"/>
  <c r="BP451" i="36"/>
  <c r="BK612" i="36"/>
  <c r="BP501" i="36"/>
  <c r="BO758" i="36"/>
  <c r="BO757" i="36"/>
  <c r="BP230" i="36"/>
  <c r="BP228" i="36"/>
  <c r="BP304" i="36"/>
  <c r="BP303" i="36"/>
  <c r="BP306" i="36"/>
  <c r="BP82" i="36"/>
  <c r="DF671" i="36"/>
  <c r="BR671" i="36"/>
  <c r="BO418" i="36"/>
  <c r="BO23" i="36"/>
  <c r="BP504" i="36"/>
  <c r="BP498" i="36"/>
  <c r="CZ67" i="36"/>
  <c r="DI111" i="36"/>
  <c r="BL621" i="36"/>
  <c r="BL612" i="36"/>
  <c r="BL622" i="36"/>
  <c r="BL650" i="36"/>
  <c r="BN792" i="36"/>
  <c r="BN791" i="36"/>
  <c r="BO789" i="36"/>
  <c r="BO792" i="36"/>
  <c r="BO791" i="36"/>
  <c r="BO377" i="36"/>
  <c r="BQ443" i="36"/>
  <c r="BP400" i="36"/>
  <c r="CZ16" i="36"/>
  <c r="DI16" i="36"/>
  <c r="DI68" i="36"/>
  <c r="BM20" i="36"/>
  <c r="BM360" i="36"/>
  <c r="BM389" i="36"/>
  <c r="DG30" i="36"/>
  <c r="DF492" i="36"/>
  <c r="BI423" i="36"/>
  <c r="BI38" i="36"/>
  <c r="BI29" i="36"/>
  <c r="BO638" i="36"/>
  <c r="BO637" i="36"/>
  <c r="BN234" i="36"/>
  <c r="BN275" i="36"/>
  <c r="BM718" i="36"/>
  <c r="BM717" i="36"/>
  <c r="BP317" i="36"/>
  <c r="BP316" i="36"/>
  <c r="BP314" i="36"/>
  <c r="BL360" i="36"/>
  <c r="BL389" i="36"/>
  <c r="DH67" i="36"/>
  <c r="BO329" i="36"/>
  <c r="BO341" i="36"/>
  <c r="DF145" i="36"/>
  <c r="BQ177" i="36"/>
  <c r="DF177" i="36"/>
  <c r="BR180" i="36"/>
  <c r="BQ178" i="36"/>
  <c r="DF178" i="36"/>
  <c r="BQ180" i="36"/>
  <c r="DF180" i="36"/>
  <c r="DF691" i="36"/>
  <c r="BL439" i="36"/>
  <c r="BL8" i="36"/>
  <c r="BL52" i="36"/>
  <c r="BN358" i="36"/>
  <c r="BN361" i="36"/>
  <c r="DF168" i="36"/>
  <c r="BQ143" i="36"/>
  <c r="DF519" i="36"/>
  <c r="DF209" i="36"/>
  <c r="BQ184" i="36"/>
  <c r="BM804" i="36"/>
  <c r="BM815" i="36"/>
  <c r="BK407" i="36"/>
  <c r="BK13" i="36"/>
  <c r="BO500" i="36"/>
  <c r="BO714" i="36"/>
  <c r="BF29" i="36"/>
  <c r="BK50" i="36"/>
  <c r="BP704" i="36"/>
  <c r="BP705" i="36"/>
  <c r="BP707" i="36"/>
  <c r="BP146" i="36"/>
  <c r="BP149" i="36"/>
  <c r="BP148" i="36"/>
  <c r="BK701" i="36"/>
  <c r="BL437" i="36"/>
  <c r="BL48" i="36"/>
  <c r="BN689" i="36"/>
  <c r="BN701" i="36"/>
  <c r="BP203" i="36"/>
  <c r="BN720" i="36"/>
  <c r="BN716" i="36"/>
  <c r="BN596" i="36"/>
  <c r="BN595" i="36"/>
  <c r="BN593" i="36"/>
  <c r="BO108" i="36"/>
  <c r="BO107" i="36"/>
  <c r="BO105" i="36"/>
  <c r="BO65" i="36"/>
  <c r="BO626" i="36"/>
  <c r="BO625" i="36"/>
  <c r="BO657" i="36"/>
  <c r="BO628" i="36"/>
  <c r="BN64" i="36"/>
  <c r="BO187" i="36"/>
  <c r="BO190" i="36"/>
  <c r="BO189" i="36"/>
  <c r="BQ540" i="36"/>
  <c r="BP592" i="36"/>
  <c r="BP665" i="36"/>
  <c r="BP664" i="36"/>
  <c r="BP667" i="36"/>
  <c r="BO677" i="36"/>
  <c r="BO676" i="36"/>
  <c r="BO674" i="36"/>
  <c r="BK92" i="36"/>
  <c r="DF494" i="36"/>
  <c r="BR535" i="36"/>
  <c r="BQ535" i="36"/>
  <c r="DF535" i="36"/>
  <c r="DI30" i="36"/>
  <c r="BI9" i="36"/>
  <c r="BM621" i="36"/>
  <c r="BF433" i="36"/>
  <c r="BP674" i="36"/>
  <c r="BO273" i="36"/>
  <c r="BO231" i="36"/>
  <c r="BO276" i="36"/>
  <c r="BO235" i="36"/>
  <c r="BL436" i="36"/>
  <c r="BL47" i="36"/>
  <c r="BP453" i="36"/>
  <c r="BN61" i="36"/>
  <c r="BM826" i="36"/>
  <c r="BO162" i="36"/>
  <c r="BO174" i="36"/>
  <c r="DF513" i="36"/>
  <c r="DF497" i="36"/>
  <c r="BP825" i="36"/>
  <c r="BP60" i="36"/>
  <c r="BP137" i="36"/>
  <c r="BP136" i="36"/>
  <c r="BP139" i="36"/>
  <c r="BO825" i="36"/>
  <c r="BL259" i="36"/>
  <c r="BL250" i="36"/>
  <c r="BL260" i="36"/>
  <c r="BL288" i="36"/>
  <c r="BO106" i="36"/>
  <c r="BO62" i="36"/>
  <c r="BO66" i="36"/>
  <c r="BP188" i="36"/>
  <c r="BP218" i="36"/>
  <c r="BP219" i="36"/>
  <c r="BP221" i="36"/>
  <c r="BN415" i="36"/>
  <c r="BN20" i="36"/>
  <c r="BN447" i="36"/>
  <c r="BN402" i="36"/>
  <c r="BN7" i="36"/>
  <c r="BQ618" i="36"/>
  <c r="DF618" i="36"/>
  <c r="DF656" i="36"/>
  <c r="BP712" i="36"/>
  <c r="BQ752" i="36"/>
  <c r="BM63" i="36"/>
  <c r="BQ821" i="36"/>
  <c r="BP675" i="36"/>
  <c r="BO263" i="36"/>
  <c r="BO264" i="36"/>
  <c r="BO266" i="36"/>
  <c r="BI433" i="36"/>
  <c r="BI11" i="36"/>
  <c r="BK450" i="36"/>
  <c r="BK452" i="36"/>
  <c r="BK389" i="36"/>
  <c r="BO236" i="36"/>
  <c r="BO274" i="36"/>
  <c r="BO232" i="36"/>
  <c r="BM544" i="36"/>
  <c r="BM581" i="36"/>
  <c r="BM582" i="36"/>
  <c r="BM434" i="36"/>
  <c r="BM403" i="36"/>
  <c r="BM584" i="36"/>
  <c r="BM435" i="36"/>
  <c r="BO827" i="36"/>
  <c r="BO826" i="36"/>
  <c r="BO850" i="36"/>
  <c r="BO824" i="36"/>
  <c r="BL421" i="36"/>
  <c r="BL26" i="36"/>
  <c r="BL456" i="36"/>
  <c r="BO425" i="36"/>
  <c r="BO31" i="36"/>
  <c r="BP635" i="36"/>
  <c r="BP597" i="36"/>
  <c r="BN215" i="36"/>
  <c r="BR632" i="36"/>
  <c r="DF632" i="36"/>
  <c r="BQ590" i="36"/>
  <c r="DF590" i="36"/>
  <c r="BQ786" i="36"/>
  <c r="DF446" i="36"/>
  <c r="BQ532" i="36"/>
  <c r="DF532" i="36"/>
  <c r="BQ484" i="36"/>
  <c r="DF484" i="36"/>
  <c r="BQ485" i="36"/>
  <c r="DF485" i="36"/>
  <c r="BQ533" i="36"/>
  <c r="DF533" i="36"/>
  <c r="BQ487" i="36"/>
  <c r="DF487" i="36"/>
  <c r="BE46" i="36"/>
  <c r="DE46" i="36"/>
  <c r="BE44" i="36"/>
  <c r="DE29" i="36"/>
  <c r="BK52" i="36"/>
  <c r="BJ260" i="36"/>
  <c r="BJ406" i="36"/>
  <c r="BJ12" i="36"/>
  <c r="BM89" i="36"/>
  <c r="BM121" i="36"/>
  <c r="BM133" i="36"/>
  <c r="BP790" i="36"/>
  <c r="BL550" i="36"/>
  <c r="BL408" i="36"/>
  <c r="BH423" i="36"/>
  <c r="BH433" i="36"/>
  <c r="BH38" i="36"/>
  <c r="BH29" i="36"/>
  <c r="BK24" i="36"/>
  <c r="BK410" i="36"/>
  <c r="BK404" i="36"/>
  <c r="BN456" i="36"/>
  <c r="BN414" i="36"/>
  <c r="BQ614" i="36"/>
  <c r="DF652" i="36"/>
  <c r="BP736" i="36"/>
  <c r="DF449" i="36"/>
  <c r="BM162" i="36"/>
  <c r="DF311" i="36"/>
  <c r="DF313" i="36"/>
  <c r="BR347" i="36"/>
  <c r="BQ344" i="36"/>
  <c r="DF344" i="36"/>
  <c r="BQ345" i="36"/>
  <c r="DF345" i="36"/>
  <c r="BQ347" i="36"/>
  <c r="DF347" i="36"/>
  <c r="BL89" i="36"/>
  <c r="BL121" i="36"/>
  <c r="BM233" i="36"/>
  <c r="BN6" i="36"/>
  <c r="BQ102" i="36"/>
  <c r="BP58" i="36"/>
  <c r="BO357" i="36"/>
  <c r="BO359" i="36"/>
  <c r="BO392" i="36"/>
  <c r="BO393" i="36"/>
  <c r="BO395" i="36"/>
  <c r="BO401" i="36"/>
  <c r="CZ17" i="36"/>
  <c r="DI17" i="36"/>
  <c r="DI69" i="36"/>
  <c r="B99" i="27"/>
  <c r="P12" i="27"/>
  <c r="O295" i="21"/>
  <c r="O293" i="21"/>
  <c r="O294" i="21"/>
  <c r="O355" i="21"/>
  <c r="O175" i="21"/>
  <c r="O174" i="21"/>
  <c r="O235" i="21"/>
  <c r="O233" i="21"/>
  <c r="O234" i="21"/>
  <c r="O415" i="21"/>
  <c r="O105" i="21"/>
  <c r="O103" i="21"/>
  <c r="L274" i="21"/>
  <c r="L214" i="21"/>
  <c r="C12" i="27"/>
  <c r="R323" i="22"/>
  <c r="R270" i="22"/>
  <c r="U23" i="1"/>
  <c r="U20" i="1"/>
  <c r="U17" i="1"/>
  <c r="U14" i="1"/>
  <c r="G296" i="14"/>
  <c r="G297" i="14"/>
  <c r="G305" i="14"/>
  <c r="G306" i="14"/>
  <c r="G307" i="14"/>
  <c r="G309" i="14"/>
  <c r="G310" i="14"/>
  <c r="G311" i="14"/>
  <c r="G312" i="14"/>
  <c r="G313" i="14"/>
  <c r="G315" i="14"/>
  <c r="G316" i="14"/>
  <c r="G317" i="14"/>
  <c r="G318" i="14"/>
  <c r="G319" i="14"/>
  <c r="G320" i="14"/>
  <c r="R217" i="22"/>
  <c r="R216" i="22"/>
  <c r="R164" i="22"/>
  <c r="G262" i="14"/>
  <c r="G263" i="14"/>
  <c r="G265" i="14"/>
  <c r="G266" i="14"/>
  <c r="G268" i="14"/>
  <c r="G269" i="14"/>
  <c r="G270" i="14"/>
  <c r="G274" i="14"/>
  <c r="G282" i="14"/>
  <c r="G286" i="14"/>
  <c r="G290" i="14"/>
  <c r="R5" i="22"/>
  <c r="R3" i="22"/>
  <c r="F13" i="27"/>
  <c r="F98" i="27"/>
  <c r="BL50" i="36"/>
  <c r="BK549" i="36"/>
  <c r="BL49" i="36"/>
  <c r="BH44" i="36"/>
  <c r="BH45" i="36"/>
  <c r="BH46" i="36"/>
  <c r="BO61" i="36"/>
  <c r="BN621" i="36"/>
  <c r="BN612" i="36"/>
  <c r="BK9" i="36"/>
  <c r="BL547" i="36"/>
  <c r="BM612" i="36"/>
  <c r="BM622" i="36"/>
  <c r="BN89" i="36"/>
  <c r="BN121" i="36"/>
  <c r="BN133" i="36"/>
  <c r="BO447" i="36"/>
  <c r="BO402" i="36"/>
  <c r="BO7" i="36"/>
  <c r="BP377" i="36"/>
  <c r="BQ317" i="36"/>
  <c r="BQ314" i="36"/>
  <c r="DF314" i="36"/>
  <c r="DF318" i="36"/>
  <c r="DF614" i="36"/>
  <c r="BR487" i="36"/>
  <c r="BS632" i="36"/>
  <c r="BR590" i="36"/>
  <c r="BM548" i="36"/>
  <c r="BM409" i="36"/>
  <c r="BQ736" i="36"/>
  <c r="DF772" i="36"/>
  <c r="BP187" i="36"/>
  <c r="BP190" i="36"/>
  <c r="BP189" i="36"/>
  <c r="DF104" i="36"/>
  <c r="BQ60" i="36"/>
  <c r="BQ136" i="36"/>
  <c r="DF136" i="36"/>
  <c r="BQ137" i="36"/>
  <c r="DF137" i="36"/>
  <c r="BQ139" i="36"/>
  <c r="DF139" i="36"/>
  <c r="BO275" i="36"/>
  <c r="BO234" i="36"/>
  <c r="DF634" i="36"/>
  <c r="BQ592" i="36"/>
  <c r="BQ665" i="36"/>
  <c r="DF665" i="36"/>
  <c r="BQ664" i="36"/>
  <c r="DF664" i="36"/>
  <c r="BQ667" i="36"/>
  <c r="DF667" i="36"/>
  <c r="DF673" i="36"/>
  <c r="BQ704" i="36"/>
  <c r="DF704" i="36"/>
  <c r="BQ705" i="36"/>
  <c r="DF705" i="36"/>
  <c r="BQ707" i="36"/>
  <c r="DF707" i="36"/>
  <c r="BP756" i="36"/>
  <c r="BP720" i="36"/>
  <c r="BP716" i="36"/>
  <c r="BK406" i="36"/>
  <c r="BK12" i="36"/>
  <c r="BP329" i="36"/>
  <c r="BP341" i="36"/>
  <c r="BP418" i="36"/>
  <c r="BP23" i="36"/>
  <c r="BO804" i="36"/>
  <c r="BO815" i="36"/>
  <c r="DI67" i="36"/>
  <c r="BK622" i="36"/>
  <c r="BN495" i="36"/>
  <c r="BE45" i="36"/>
  <c r="DE45" i="36"/>
  <c r="DE44" i="36"/>
  <c r="BQ499" i="36"/>
  <c r="DF499" i="36"/>
  <c r="DF503" i="36"/>
  <c r="BP425" i="36"/>
  <c r="BP359" i="36"/>
  <c r="BP357" i="36"/>
  <c r="BP393" i="36"/>
  <c r="BP392" i="36"/>
  <c r="BP395" i="36"/>
  <c r="DF465" i="36"/>
  <c r="BM456" i="36"/>
  <c r="BM80" i="36"/>
  <c r="BR618" i="36"/>
  <c r="BM437" i="36"/>
  <c r="BM48" i="36"/>
  <c r="BL742" i="36"/>
  <c r="BL770" i="36"/>
  <c r="DF186" i="36"/>
  <c r="BQ218" i="36"/>
  <c r="DF218" i="36"/>
  <c r="BR221" i="36"/>
  <c r="BQ219" i="36"/>
  <c r="DF219" i="36"/>
  <c r="BQ221" i="36"/>
  <c r="DF221" i="36"/>
  <c r="BP106" i="36"/>
  <c r="BP62" i="36"/>
  <c r="BP66" i="36"/>
  <c r="BQ638" i="36"/>
  <c r="BQ597" i="36"/>
  <c r="BP755" i="36"/>
  <c r="BP758" i="36"/>
  <c r="BP757" i="36"/>
  <c r="DF143" i="36"/>
  <c r="BR143" i="36"/>
  <c r="BP401" i="36"/>
  <c r="BP273" i="36"/>
  <c r="BP231" i="36"/>
  <c r="BP276" i="36"/>
  <c r="BP235" i="36"/>
  <c r="BM742" i="36"/>
  <c r="BM734" i="36"/>
  <c r="BM743" i="36"/>
  <c r="BM529" i="36"/>
  <c r="BR485" i="36"/>
  <c r="BR532" i="36"/>
  <c r="BR484" i="36"/>
  <c r="BR533" i="36"/>
  <c r="BQ839" i="36"/>
  <c r="DF839" i="36"/>
  <c r="DF841" i="36"/>
  <c r="BQ501" i="36"/>
  <c r="DF502" i="36"/>
  <c r="BQ635" i="36"/>
  <c r="DF635" i="36"/>
  <c r="DF639" i="36"/>
  <c r="BO456" i="36"/>
  <c r="BO414" i="36"/>
  <c r="BO361" i="36"/>
  <c r="BO358" i="36"/>
  <c r="BL407" i="36"/>
  <c r="BL13" i="36"/>
  <c r="BQ451" i="36"/>
  <c r="DF451" i="36"/>
  <c r="DF455" i="36"/>
  <c r="BM439" i="36"/>
  <c r="BM8" i="36"/>
  <c r="BM52" i="36"/>
  <c r="BO6" i="36"/>
  <c r="BP677" i="36"/>
  <c r="BP676" i="36"/>
  <c r="BO689" i="36"/>
  <c r="BO701" i="36"/>
  <c r="BO64" i="36"/>
  <c r="DF164" i="36"/>
  <c r="BN233" i="36"/>
  <c r="BN19" i="36"/>
  <c r="BN364" i="36"/>
  <c r="BP263" i="36"/>
  <c r="BP264" i="36"/>
  <c r="BP266" i="36"/>
  <c r="BN650" i="36"/>
  <c r="BN661" i="36"/>
  <c r="BQ453" i="36"/>
  <c r="DF454" i="36"/>
  <c r="BN450" i="36"/>
  <c r="BN452" i="36"/>
  <c r="DF786" i="36"/>
  <c r="BR786" i="36"/>
  <c r="BM436" i="36"/>
  <c r="BM47" i="36"/>
  <c r="BM49" i="36"/>
  <c r="BI44" i="36"/>
  <c r="BI45" i="36"/>
  <c r="BI46" i="36"/>
  <c r="BP636" i="36"/>
  <c r="BP598" i="36"/>
  <c r="BP594" i="36"/>
  <c r="DF561" i="36"/>
  <c r="DF540" i="36"/>
  <c r="BR540" i="36"/>
  <c r="BP162" i="36"/>
  <c r="BP174" i="36"/>
  <c r="DF509" i="36"/>
  <c r="DF493" i="36"/>
  <c r="BN804" i="36"/>
  <c r="BN815" i="36"/>
  <c r="BP274" i="36"/>
  <c r="BP232" i="36"/>
  <c r="BP236" i="36"/>
  <c r="BL24" i="36"/>
  <c r="BL410" i="36"/>
  <c r="BL15" i="36"/>
  <c r="BQ82" i="36"/>
  <c r="DF123" i="36"/>
  <c r="BP108" i="36"/>
  <c r="BP107" i="36"/>
  <c r="BP105" i="36"/>
  <c r="BP61" i="36"/>
  <c r="BP65" i="36"/>
  <c r="BO215" i="36"/>
  <c r="BO429" i="36"/>
  <c r="BO35" i="36"/>
  <c r="BL804" i="36"/>
  <c r="BM259" i="36"/>
  <c r="BM288" i="36"/>
  <c r="BM300" i="36"/>
  <c r="BJ11" i="36"/>
  <c r="DF806" i="36"/>
  <c r="BL450" i="36"/>
  <c r="BL452" i="36"/>
  <c r="BP719" i="36"/>
  <c r="BM850" i="36"/>
  <c r="BN63" i="36"/>
  <c r="BF44" i="36"/>
  <c r="BF46" i="36"/>
  <c r="BR184" i="36"/>
  <c r="DF184" i="36"/>
  <c r="BN360" i="36"/>
  <c r="BQ146" i="36"/>
  <c r="DF146" i="36"/>
  <c r="BQ149" i="36"/>
  <c r="DF150" i="36"/>
  <c r="BO621" i="36"/>
  <c r="BO612" i="36"/>
  <c r="DF515" i="36"/>
  <c r="DF508" i="36"/>
  <c r="BL661" i="36"/>
  <c r="BM550" i="36"/>
  <c r="BM408" i="36"/>
  <c r="BO756" i="36"/>
  <c r="BO720" i="36"/>
  <c r="BO716" i="36"/>
  <c r="BL405" i="36"/>
  <c r="BL10" i="36"/>
  <c r="BL14" i="36"/>
  <c r="BN718" i="36"/>
  <c r="BN717" i="36"/>
  <c r="BN715" i="36"/>
  <c r="BR344" i="36"/>
  <c r="BR345" i="36"/>
  <c r="BJ432" i="36"/>
  <c r="BJ469" i="36"/>
  <c r="DF102" i="36"/>
  <c r="BR102" i="36"/>
  <c r="BQ58" i="36"/>
  <c r="BM174" i="36"/>
  <c r="BK15" i="36"/>
  <c r="BP789" i="36"/>
  <c r="BP792" i="36"/>
  <c r="BP791" i="36"/>
  <c r="BP596" i="36"/>
  <c r="BP595" i="36"/>
  <c r="BP593" i="36"/>
  <c r="BM92" i="36"/>
  <c r="BL300" i="36"/>
  <c r="BR177" i="36"/>
  <c r="BR178" i="36"/>
  <c r="BM419" i="36"/>
  <c r="BM421" i="36"/>
  <c r="BM26" i="36"/>
  <c r="BQ230" i="36"/>
  <c r="DF272" i="36"/>
  <c r="BQ303" i="36"/>
  <c r="DF303" i="36"/>
  <c r="BQ304" i="36"/>
  <c r="DF304" i="36"/>
  <c r="BQ306" i="36"/>
  <c r="DF306" i="36"/>
  <c r="BP500" i="36"/>
  <c r="BT491" i="36"/>
  <c r="BL80" i="36"/>
  <c r="BM689" i="36"/>
  <c r="DF443" i="36"/>
  <c r="BR443" i="36"/>
  <c r="BQ400" i="36"/>
  <c r="DF400" i="36"/>
  <c r="BK10" i="36"/>
  <c r="BQ315" i="36"/>
  <c r="DF315" i="36"/>
  <c r="DF319" i="36"/>
  <c r="BL549" i="36"/>
  <c r="BQ86" i="36"/>
  <c r="DF127" i="36"/>
  <c r="BL133" i="36"/>
  <c r="BR614" i="36"/>
  <c r="BP638" i="36"/>
  <c r="BP637" i="36"/>
  <c r="BN544" i="36"/>
  <c r="BN581" i="36"/>
  <c r="BN582" i="36"/>
  <c r="BN434" i="36"/>
  <c r="BN584" i="36"/>
  <c r="BN435" i="36"/>
  <c r="BN403" i="36"/>
  <c r="DF821" i="36"/>
  <c r="BR821" i="36"/>
  <c r="DF752" i="36"/>
  <c r="BQ712" i="36"/>
  <c r="DF712" i="36"/>
  <c r="BR752" i="36"/>
  <c r="BP96" i="36"/>
  <c r="BP95" i="36"/>
  <c r="BP98" i="36"/>
  <c r="BP625" i="36"/>
  <c r="BP626" i="36"/>
  <c r="BP657" i="36"/>
  <c r="BP628" i="36"/>
  <c r="BN622" i="36"/>
  <c r="BP714" i="36"/>
  <c r="BQ203" i="36"/>
  <c r="DF203" i="36"/>
  <c r="DF205" i="36"/>
  <c r="BQ147" i="36"/>
  <c r="DF147" i="36"/>
  <c r="DF151" i="36"/>
  <c r="BS671" i="36"/>
  <c r="BO718" i="36"/>
  <c r="BO717" i="36"/>
  <c r="BO715" i="36"/>
  <c r="G285" i="14"/>
  <c r="G264" i="14"/>
  <c r="G267" i="14"/>
  <c r="G261" i="14"/>
  <c r="AK77" i="25"/>
  <c r="T29" i="22"/>
  <c r="S29" i="22"/>
  <c r="S25" i="22" s="1"/>
  <c r="R9" i="22"/>
  <c r="G106" i="14" s="1"/>
  <c r="G20" i="14" s="1"/>
  <c r="S9" i="22"/>
  <c r="T9" i="22"/>
  <c r="I106" i="14" s="1"/>
  <c r="I20" i="14" s="1"/>
  <c r="S10" i="22"/>
  <c r="H131" i="14" s="1"/>
  <c r="T10" i="22"/>
  <c r="P10" i="22"/>
  <c r="E107" i="14" s="1"/>
  <c r="E21" i="14" s="1"/>
  <c r="BR675" i="36"/>
  <c r="BQ789" i="36"/>
  <c r="DF789" i="36"/>
  <c r="DF793" i="36"/>
  <c r="BR636" i="36"/>
  <c r="BR598" i="36"/>
  <c r="BQ593" i="36"/>
  <c r="DF593" i="36"/>
  <c r="DF597" i="36"/>
  <c r="BO450" i="36"/>
  <c r="BO452" i="36"/>
  <c r="BP715" i="36"/>
  <c r="BP718" i="36"/>
  <c r="BP717" i="36"/>
  <c r="BQ637" i="36"/>
  <c r="DF638" i="36"/>
  <c r="BU491" i="36"/>
  <c r="DF823" i="36"/>
  <c r="BQ190" i="36"/>
  <c r="BQ187" i="36"/>
  <c r="DF187" i="36"/>
  <c r="DF191" i="36"/>
  <c r="BR839" i="36"/>
  <c r="BN548" i="36"/>
  <c r="BN409" i="36"/>
  <c r="DF444" i="36"/>
  <c r="BQ401" i="36"/>
  <c r="DF401" i="36"/>
  <c r="DF230" i="36"/>
  <c r="BQ263" i="36"/>
  <c r="DF263" i="36"/>
  <c r="BQ264" i="36"/>
  <c r="DF264" i="36"/>
  <c r="BQ266" i="36"/>
  <c r="DF266" i="36"/>
  <c r="BS147" i="36"/>
  <c r="BS178" i="36"/>
  <c r="BS177" i="36"/>
  <c r="BS180" i="36"/>
  <c r="BS499" i="36"/>
  <c r="BT535" i="36"/>
  <c r="BN419" i="36"/>
  <c r="BN421" i="36"/>
  <c r="BN26" i="36"/>
  <c r="BR86" i="36"/>
  <c r="BR314" i="36"/>
  <c r="BR317" i="36"/>
  <c r="BS347" i="36"/>
  <c r="BO63" i="36"/>
  <c r="BS143" i="36"/>
  <c r="BK11" i="36"/>
  <c r="BR139" i="36"/>
  <c r="BP215" i="36"/>
  <c r="DF788" i="36"/>
  <c r="BF45" i="36"/>
  <c r="DF541" i="36"/>
  <c r="DF572" i="36"/>
  <c r="DF383" i="36"/>
  <c r="BT671" i="36"/>
  <c r="BN439" i="36"/>
  <c r="BN8" i="36"/>
  <c r="BN52" i="36"/>
  <c r="BQ792" i="36"/>
  <c r="BR147" i="36"/>
  <c r="BN550" i="36"/>
  <c r="BN408" i="36"/>
  <c r="BS102" i="36"/>
  <c r="BR58" i="36"/>
  <c r="BN389" i="36"/>
  <c r="BO89" i="36"/>
  <c r="BO121" i="36"/>
  <c r="BN259" i="36"/>
  <c r="BN250" i="36"/>
  <c r="BN288" i="36"/>
  <c r="BN300" i="36"/>
  <c r="BP361" i="36"/>
  <c r="BP358" i="36"/>
  <c r="BS667" i="36"/>
  <c r="BR664" i="36"/>
  <c r="BR592" i="36"/>
  <c r="BR665" i="36"/>
  <c r="BT632" i="36"/>
  <c r="BS590" i="36"/>
  <c r="BL566" i="36"/>
  <c r="BL578" i="36"/>
  <c r="BQ148" i="36"/>
  <c r="DF149" i="36"/>
  <c r="BL815" i="36"/>
  <c r="DF754" i="36"/>
  <c r="BQ714" i="36"/>
  <c r="DF714" i="36"/>
  <c r="BR712" i="36"/>
  <c r="BS752" i="36"/>
  <c r="BN437" i="36"/>
  <c r="BN48" i="36"/>
  <c r="BN50" i="36"/>
  <c r="BM701" i="36"/>
  <c r="BR306" i="36"/>
  <c r="BM553" i="36"/>
  <c r="BM547" i="36"/>
  <c r="BR315" i="36"/>
  <c r="BQ504" i="36"/>
  <c r="BR203" i="36"/>
  <c r="BR501" i="36"/>
  <c r="DF82" i="36"/>
  <c r="BS786" i="36"/>
  <c r="BN260" i="36"/>
  <c r="BK566" i="36"/>
  <c r="BL781" i="36"/>
  <c r="BO622" i="36"/>
  <c r="BS614" i="36"/>
  <c r="BR82" i="36"/>
  <c r="BJ481" i="36"/>
  <c r="BS535" i="36"/>
  <c r="BL406" i="36"/>
  <c r="BL12" i="36"/>
  <c r="BP447" i="36"/>
  <c r="BP402" i="36"/>
  <c r="BP7" i="36"/>
  <c r="BQ636" i="36"/>
  <c r="DF636" i="36"/>
  <c r="BQ598" i="36"/>
  <c r="BQ596" i="36"/>
  <c r="DF640" i="36"/>
  <c r="BL734" i="36"/>
  <c r="BO495" i="36"/>
  <c r="BR677" i="36"/>
  <c r="BR674" i="36"/>
  <c r="BO233" i="36"/>
  <c r="BQ95" i="36"/>
  <c r="DF95" i="36"/>
  <c r="DF60" i="36"/>
  <c r="BQ96" i="36"/>
  <c r="DF96" i="36"/>
  <c r="BQ98" i="36"/>
  <c r="DF98" i="36"/>
  <c r="DF736" i="36"/>
  <c r="BS618" i="36"/>
  <c r="BO415" i="36"/>
  <c r="BO20" i="36"/>
  <c r="BQ276" i="36"/>
  <c r="BQ273" i="36"/>
  <c r="BQ235" i="36"/>
  <c r="DF235" i="36"/>
  <c r="DF277" i="36"/>
  <c r="BQ677" i="36"/>
  <c r="BQ674" i="36"/>
  <c r="DF674" i="36"/>
  <c r="DF678" i="36"/>
  <c r="BR60" i="36"/>
  <c r="BR136" i="36"/>
  <c r="BR137" i="36"/>
  <c r="BM24" i="36"/>
  <c r="BM410" i="36"/>
  <c r="BM407" i="36"/>
  <c r="BM13" i="36"/>
  <c r="BQ274" i="36"/>
  <c r="BQ236" i="36"/>
  <c r="DF236" i="36"/>
  <c r="DF278" i="36"/>
  <c r="BJ423" i="36"/>
  <c r="BJ38" i="36"/>
  <c r="BM549" i="36"/>
  <c r="BS203" i="36"/>
  <c r="BS184" i="36"/>
  <c r="BM250" i="36"/>
  <c r="BP64" i="36"/>
  <c r="BP31" i="36"/>
  <c r="BL404" i="36"/>
  <c r="BQ425" i="36"/>
  <c r="DF471" i="36"/>
  <c r="BM450" i="36"/>
  <c r="BM452" i="36"/>
  <c r="BR667" i="36"/>
  <c r="BQ106" i="36"/>
  <c r="BQ66" i="36"/>
  <c r="DF110" i="36"/>
  <c r="BQ316" i="36"/>
  <c r="DF317" i="36"/>
  <c r="BQ418" i="36"/>
  <c r="DF464" i="36"/>
  <c r="BN436" i="36"/>
  <c r="BN47" i="36"/>
  <c r="BN49" i="36"/>
  <c r="BO517" i="36"/>
  <c r="BN742" i="36"/>
  <c r="BN734" i="36"/>
  <c r="BN743" i="36"/>
  <c r="BN770" i="36"/>
  <c r="BN781" i="36"/>
  <c r="BR736" i="36"/>
  <c r="BS443" i="36"/>
  <c r="BR400" i="36"/>
  <c r="BL92" i="36"/>
  <c r="BR230" i="36"/>
  <c r="BR228" i="36"/>
  <c r="BR303" i="36"/>
  <c r="BR304" i="36"/>
  <c r="DF270" i="36"/>
  <c r="BQ228" i="36"/>
  <c r="DF228" i="36"/>
  <c r="BS315" i="36"/>
  <c r="BS345" i="36"/>
  <c r="BS344" i="36"/>
  <c r="BP6" i="36"/>
  <c r="BS540" i="36"/>
  <c r="DF453" i="36"/>
  <c r="BQ500" i="36"/>
  <c r="DF501" i="36"/>
  <c r="BS484" i="36"/>
  <c r="BS533" i="36"/>
  <c r="BS485" i="36"/>
  <c r="BS532" i="36"/>
  <c r="BP414" i="36"/>
  <c r="BR218" i="36"/>
  <c r="BR219" i="36"/>
  <c r="BK432" i="36"/>
  <c r="BK469" i="36"/>
  <c r="BK481" i="36"/>
  <c r="BQ357" i="36"/>
  <c r="DF357" i="36"/>
  <c r="DF355" i="36"/>
  <c r="BQ392" i="36"/>
  <c r="DF392" i="36"/>
  <c r="BQ393" i="36"/>
  <c r="DF393" i="36"/>
  <c r="BQ395" i="36"/>
  <c r="DF395" i="36"/>
  <c r="BR704" i="36"/>
  <c r="BR705" i="36"/>
  <c r="DF592" i="36"/>
  <c r="BR628" i="36"/>
  <c r="BQ626" i="36"/>
  <c r="DF626" i="36"/>
  <c r="BQ625" i="36"/>
  <c r="DF625" i="36"/>
  <c r="BQ657" i="36"/>
  <c r="BQ628" i="36"/>
  <c r="DF628" i="36"/>
  <c r="BQ108" i="36"/>
  <c r="BQ105" i="36"/>
  <c r="BQ65" i="36"/>
  <c r="DF109" i="36"/>
  <c r="BR453" i="36"/>
  <c r="BN80" i="36"/>
  <c r="BN92" i="36"/>
  <c r="BO742" i="36"/>
  <c r="BO734" i="36"/>
  <c r="BO743" i="36"/>
  <c r="BO770" i="36"/>
  <c r="BO781" i="36"/>
  <c r="BO544" i="36"/>
  <c r="BO581" i="36"/>
  <c r="BO582" i="36"/>
  <c r="BO434" i="36"/>
  <c r="BO584" i="36"/>
  <c r="BO435" i="36"/>
  <c r="BO403" i="36"/>
  <c r="BR146" i="36"/>
  <c r="BR149" i="36"/>
  <c r="DF568" i="36"/>
  <c r="BR638" i="36"/>
  <c r="BR635" i="36"/>
  <c r="BR597" i="36"/>
  <c r="BQ756" i="36"/>
  <c r="DF756" i="36"/>
  <c r="BQ720" i="36"/>
  <c r="DF760" i="36"/>
  <c r="BP517" i="36"/>
  <c r="BP529" i="36"/>
  <c r="BO650" i="36"/>
  <c r="BO661" i="36"/>
  <c r="BS839" i="36"/>
  <c r="BS821" i="36"/>
  <c r="BO419" i="36"/>
  <c r="BO24" i="36"/>
  <c r="DF86" i="36"/>
  <c r="BR499" i="36"/>
  <c r="BP804" i="36"/>
  <c r="BP815" i="36"/>
  <c r="BQ6" i="36"/>
  <c r="DF6" i="36"/>
  <c r="DF58" i="36"/>
  <c r="BP827" i="36"/>
  <c r="BP826" i="36"/>
  <c r="BP824" i="36"/>
  <c r="BQ675" i="36"/>
  <c r="DF675" i="36"/>
  <c r="DF679" i="36"/>
  <c r="BR451" i="36"/>
  <c r="BP275" i="36"/>
  <c r="BP234" i="36"/>
  <c r="BP429" i="36"/>
  <c r="BP35" i="36"/>
  <c r="BQ188" i="36"/>
  <c r="DF188" i="36"/>
  <c r="DF192" i="36"/>
  <c r="BM50" i="36"/>
  <c r="BR707" i="36"/>
  <c r="BM405" i="36"/>
  <c r="BM10" i="36"/>
  <c r="BM14" i="36"/>
  <c r="BO19" i="36"/>
  <c r="BO364" i="36"/>
  <c r="BS487" i="36"/>
  <c r="G271" i="14"/>
  <c r="BP621" i="36"/>
  <c r="BP612" i="36"/>
  <c r="BP622" i="36"/>
  <c r="BQ595" i="36"/>
  <c r="DF596" i="36"/>
  <c r="BQ791" i="36"/>
  <c r="DF792" i="36"/>
  <c r="BT533" i="36"/>
  <c r="BT484" i="36"/>
  <c r="BT485" i="36"/>
  <c r="BT532" i="36"/>
  <c r="BT487" i="36"/>
  <c r="BM15" i="36"/>
  <c r="BT347" i="36"/>
  <c r="BO439" i="36"/>
  <c r="BO8" i="36"/>
  <c r="BO52" i="36"/>
  <c r="DF353" i="36"/>
  <c r="BS188" i="36"/>
  <c r="BS219" i="36"/>
  <c r="BS218" i="36"/>
  <c r="BS221" i="36"/>
  <c r="BS60" i="36"/>
  <c r="BS137" i="36"/>
  <c r="BS136" i="36"/>
  <c r="BS139" i="36"/>
  <c r="BP415" i="36"/>
  <c r="BP20" i="36"/>
  <c r="BT786" i="36"/>
  <c r="DF148" i="36"/>
  <c r="BT143" i="36"/>
  <c r="BQ650" i="36"/>
  <c r="DF637" i="36"/>
  <c r="BP850" i="36"/>
  <c r="BO548" i="36"/>
  <c r="BO409" i="36"/>
  <c r="BS228" i="36"/>
  <c r="BS230" i="36"/>
  <c r="BS304" i="36"/>
  <c r="BS303" i="36"/>
  <c r="BT306" i="36"/>
  <c r="BS306" i="36"/>
  <c r="BR95" i="36"/>
  <c r="BR96" i="36"/>
  <c r="BS736" i="36"/>
  <c r="BP19" i="36"/>
  <c r="BP364" i="36"/>
  <c r="BO437" i="36"/>
  <c r="BO48" i="36"/>
  <c r="BO50" i="36"/>
  <c r="BQ359" i="36"/>
  <c r="DF359" i="36"/>
  <c r="DF363" i="36"/>
  <c r="BR190" i="36"/>
  <c r="BR187" i="36"/>
  <c r="BT443" i="36"/>
  <c r="BS400" i="36"/>
  <c r="BS501" i="36"/>
  <c r="DF66" i="36"/>
  <c r="BT184" i="36"/>
  <c r="BT203" i="36"/>
  <c r="BR106" i="36"/>
  <c r="BR66" i="36"/>
  <c r="BQ231" i="36"/>
  <c r="DF231" i="36"/>
  <c r="DF273" i="36"/>
  <c r="BO259" i="36"/>
  <c r="BO250" i="36"/>
  <c r="BO260" i="36"/>
  <c r="BO288" i="36"/>
  <c r="BO300" i="36"/>
  <c r="BQ377" i="36"/>
  <c r="DF377" i="36"/>
  <c r="DF379" i="36"/>
  <c r="BR504" i="36"/>
  <c r="BQ402" i="36"/>
  <c r="DF445" i="36"/>
  <c r="BR594" i="36"/>
  <c r="BR6" i="36"/>
  <c r="BR357" i="36"/>
  <c r="BR393" i="36"/>
  <c r="BR392" i="36"/>
  <c r="BT614" i="36"/>
  <c r="BP689" i="36"/>
  <c r="BP89" i="36"/>
  <c r="BP121" i="36"/>
  <c r="BP133" i="36"/>
  <c r="BR637" i="36"/>
  <c r="BO436" i="36"/>
  <c r="BO47" i="36"/>
  <c r="BO49" i="36"/>
  <c r="BQ64" i="36"/>
  <c r="DF65" i="36"/>
  <c r="BR395" i="36"/>
  <c r="BQ361" i="36"/>
  <c r="BQ358" i="36"/>
  <c r="DF358" i="36"/>
  <c r="DF362" i="36"/>
  <c r="DF500" i="36"/>
  <c r="BS317" i="36"/>
  <c r="BS316" i="36"/>
  <c r="BS314" i="36"/>
  <c r="BR418" i="36"/>
  <c r="BO529" i="36"/>
  <c r="BQ62" i="36"/>
  <c r="DF106" i="36"/>
  <c r="BQ232" i="36"/>
  <c r="DF232" i="36"/>
  <c r="DF274" i="36"/>
  <c r="BR108" i="36"/>
  <c r="BR105" i="36"/>
  <c r="BR65" i="36"/>
  <c r="BQ275" i="36"/>
  <c r="BQ234" i="36"/>
  <c r="DF234" i="36"/>
  <c r="DF276" i="36"/>
  <c r="BL743" i="36"/>
  <c r="BR714" i="36"/>
  <c r="BR626" i="36"/>
  <c r="BR625" i="36"/>
  <c r="BR657" i="36"/>
  <c r="BT86" i="36"/>
  <c r="BT102" i="36"/>
  <c r="BS58" i="36"/>
  <c r="DF557" i="36"/>
  <c r="BR425" i="36"/>
  <c r="BR31" i="36"/>
  <c r="BO421" i="36"/>
  <c r="BO26" i="36"/>
  <c r="BT540" i="36"/>
  <c r="BR236" i="36"/>
  <c r="BR274" i="36"/>
  <c r="BR401" i="36"/>
  <c r="BQ23" i="36"/>
  <c r="DF23" i="36"/>
  <c r="DF418" i="36"/>
  <c r="BQ758" i="36"/>
  <c r="BQ755" i="36"/>
  <c r="DF755" i="36"/>
  <c r="BQ719" i="36"/>
  <c r="DF759" i="36"/>
  <c r="BS98" i="36"/>
  <c r="DF504" i="36"/>
  <c r="BQ498" i="36"/>
  <c r="DF498" i="36"/>
  <c r="BR756" i="36"/>
  <c r="BR720" i="36"/>
  <c r="BL432" i="36"/>
  <c r="BL469" i="36"/>
  <c r="BS82" i="36"/>
  <c r="BU671" i="36"/>
  <c r="BR790" i="36"/>
  <c r="BS453" i="36"/>
  <c r="BQ456" i="36"/>
  <c r="BQ414" i="36"/>
  <c r="DF460" i="36"/>
  <c r="BP650" i="36"/>
  <c r="BP661" i="36"/>
  <c r="BV491" i="36"/>
  <c r="BR188" i="36"/>
  <c r="BN469" i="36"/>
  <c r="BN481" i="36"/>
  <c r="BU180" i="36"/>
  <c r="BT178" i="36"/>
  <c r="BT177" i="36"/>
  <c r="BT180" i="36"/>
  <c r="BS674" i="36"/>
  <c r="BP419" i="36"/>
  <c r="BP24" i="36"/>
  <c r="BQ107" i="36"/>
  <c r="DF108" i="36"/>
  <c r="BS705" i="36"/>
  <c r="BS704" i="36"/>
  <c r="BT707" i="36"/>
  <c r="BS707" i="36"/>
  <c r="BK423" i="36"/>
  <c r="BK433" i="36"/>
  <c r="BK38" i="36"/>
  <c r="BK29" i="36"/>
  <c r="BP742" i="36"/>
  <c r="BP734" i="36"/>
  <c r="BP770" i="36"/>
  <c r="BP781" i="36"/>
  <c r="BR276" i="36"/>
  <c r="BR235" i="36"/>
  <c r="BR273" i="36"/>
  <c r="DF425" i="36"/>
  <c r="BP63" i="36"/>
  <c r="BR98" i="36"/>
  <c r="BQ594" i="36"/>
  <c r="DF594" i="36"/>
  <c r="DF598" i="36"/>
  <c r="BL11" i="36"/>
  <c r="BK578" i="36"/>
  <c r="BQ31" i="36"/>
  <c r="BR758" i="36"/>
  <c r="BR755" i="36"/>
  <c r="BR719" i="36"/>
  <c r="BS592" i="36"/>
  <c r="BS664" i="36"/>
  <c r="BS665" i="36"/>
  <c r="BT667" i="36"/>
  <c r="BS86" i="36"/>
  <c r="BR792" i="36"/>
  <c r="BR789" i="36"/>
  <c r="BK46" i="36"/>
  <c r="BK44" i="36"/>
  <c r="BK45" i="36"/>
  <c r="BN553" i="36"/>
  <c r="BQ429" i="36"/>
  <c r="DF475" i="36"/>
  <c r="BP421" i="36"/>
  <c r="BP26" i="36"/>
  <c r="BQ61" i="36"/>
  <c r="DF105" i="36"/>
  <c r="BP233" i="36"/>
  <c r="BO550" i="36"/>
  <c r="BO408" i="36"/>
  <c r="BQ716" i="36"/>
  <c r="DF716" i="36"/>
  <c r="DF720" i="36"/>
  <c r="BP544" i="36"/>
  <c r="BP581" i="36"/>
  <c r="BP582" i="36"/>
  <c r="BP434" i="36"/>
  <c r="BP584" i="36"/>
  <c r="BP435" i="36"/>
  <c r="BP403" i="36"/>
  <c r="BS677" i="36"/>
  <c r="BS676" i="36"/>
  <c r="BR263" i="36"/>
  <c r="BR264" i="36"/>
  <c r="DF316" i="36"/>
  <c r="BL9" i="36"/>
  <c r="BM404" i="36"/>
  <c r="BM9" i="36"/>
  <c r="BQ676" i="36"/>
  <c r="DF677" i="36"/>
  <c r="BR676" i="36"/>
  <c r="BS712" i="36"/>
  <c r="BT752" i="36"/>
  <c r="BU618" i="36"/>
  <c r="BU632" i="36"/>
  <c r="BT590" i="36"/>
  <c r="BQ827" i="36"/>
  <c r="BQ824" i="36"/>
  <c r="DF824" i="36"/>
  <c r="DF828" i="36"/>
  <c r="BO133" i="36"/>
  <c r="BQ825" i="36"/>
  <c r="DF825" i="36"/>
  <c r="DF829" i="36"/>
  <c r="BN24" i="36"/>
  <c r="BN410" i="36"/>
  <c r="BN15" i="36"/>
  <c r="BO553" i="36"/>
  <c r="BO547" i="36"/>
  <c r="BR596" i="36"/>
  <c r="BR593" i="36"/>
  <c r="BT315" i="36"/>
  <c r="BT345" i="36"/>
  <c r="BT344" i="36"/>
  <c r="BJ433" i="36"/>
  <c r="BT839" i="36"/>
  <c r="BT821" i="36"/>
  <c r="BR148" i="36"/>
  <c r="BP456" i="36"/>
  <c r="BS451" i="36"/>
  <c r="BM260" i="36"/>
  <c r="BJ29" i="36"/>
  <c r="BM406" i="36"/>
  <c r="BM12" i="36"/>
  <c r="BP495" i="36"/>
  <c r="BO360" i="36"/>
  <c r="BR500" i="36"/>
  <c r="BT618" i="36"/>
  <c r="BO80" i="36"/>
  <c r="BO92" i="36"/>
  <c r="BN407" i="36"/>
  <c r="BN13" i="36"/>
  <c r="BQ790" i="36"/>
  <c r="DF790" i="36"/>
  <c r="DF794" i="36"/>
  <c r="DF558" i="36"/>
  <c r="DF545" i="36"/>
  <c r="DF542" i="36"/>
  <c r="BU347" i="36"/>
  <c r="BR316" i="36"/>
  <c r="BS149" i="36"/>
  <c r="BS148" i="36"/>
  <c r="BS146" i="36"/>
  <c r="BR266" i="36"/>
  <c r="BN405" i="36"/>
  <c r="BN10" i="36"/>
  <c r="BN14" i="36"/>
  <c r="BQ189" i="36"/>
  <c r="DF190" i="36"/>
  <c r="R10" i="22"/>
  <c r="G107" i="14" s="1"/>
  <c r="AK102" i="25"/>
  <c r="G314" i="14"/>
  <c r="R261" i="19"/>
  <c r="R260" i="19" s="1"/>
  <c r="G402" i="14" s="1"/>
  <c r="O156" i="20"/>
  <c r="P156" i="20"/>
  <c r="N156" i="20"/>
  <c r="O135" i="20"/>
  <c r="N135" i="20"/>
  <c r="L135" i="20"/>
  <c r="P115" i="20"/>
  <c r="O115" i="20"/>
  <c r="N115" i="20"/>
  <c r="BN547" i="36"/>
  <c r="BN549" i="36"/>
  <c r="BT675" i="36"/>
  <c r="BT636" i="36"/>
  <c r="BT598" i="36"/>
  <c r="BT594" i="36"/>
  <c r="BT677" i="36"/>
  <c r="BT676" i="36"/>
  <c r="BT674" i="36"/>
  <c r="DF456" i="36"/>
  <c r="BQ450" i="36"/>
  <c r="BQ452" i="36"/>
  <c r="BS790" i="36"/>
  <c r="DF650" i="36"/>
  <c r="BQ661" i="36"/>
  <c r="DF661" i="36"/>
  <c r="BS329" i="36"/>
  <c r="BS341" i="36"/>
  <c r="BS162" i="36"/>
  <c r="BS174" i="36"/>
  <c r="BU344" i="36"/>
  <c r="BU315" i="36"/>
  <c r="BU345" i="36"/>
  <c r="BR595" i="36"/>
  <c r="BQ826" i="36"/>
  <c r="DF827" i="36"/>
  <c r="BT736" i="36"/>
  <c r="BQ544" i="36"/>
  <c r="DF544" i="36"/>
  <c r="DF543" i="36"/>
  <c r="BQ582" i="36"/>
  <c r="BQ581" i="36"/>
  <c r="DF581" i="36"/>
  <c r="BR584" i="36"/>
  <c r="BR435" i="36"/>
  <c r="BQ584" i="36"/>
  <c r="BQ403" i="36"/>
  <c r="BO549" i="36"/>
  <c r="DF31" i="36"/>
  <c r="BS504" i="36"/>
  <c r="BS498" i="36"/>
  <c r="BQ757" i="36"/>
  <c r="DF758" i="36"/>
  <c r="BR232" i="36"/>
  <c r="BQ233" i="36"/>
  <c r="DF275" i="36"/>
  <c r="BP80" i="36"/>
  <c r="BT188" i="36"/>
  <c r="BT218" i="36"/>
  <c r="BT219" i="36"/>
  <c r="DF791" i="36"/>
  <c r="BO389" i="36"/>
  <c r="DF448" i="36"/>
  <c r="BQ447" i="36"/>
  <c r="DF447" i="36"/>
  <c r="DF496" i="36"/>
  <c r="BQ495" i="36"/>
  <c r="DF495" i="36"/>
  <c r="BS635" i="36"/>
  <c r="BS597" i="36"/>
  <c r="BS638" i="36"/>
  <c r="BP410" i="36"/>
  <c r="BP15" i="36"/>
  <c r="BP259" i="36"/>
  <c r="BP250" i="36"/>
  <c r="BP288" i="36"/>
  <c r="BP300" i="36"/>
  <c r="BM432" i="36"/>
  <c r="BM469" i="36"/>
  <c r="BM481" i="36"/>
  <c r="BT592" i="36"/>
  <c r="BT664" i="36"/>
  <c r="BT665" i="36"/>
  <c r="BP743" i="36"/>
  <c r="BR64" i="36"/>
  <c r="DF62" i="36"/>
  <c r="BR62" i="36"/>
  <c r="BS401" i="36"/>
  <c r="BS236" i="36"/>
  <c r="BS274" i="36"/>
  <c r="BS232" i="36"/>
  <c r="BS190" i="36"/>
  <c r="BS189" i="36"/>
  <c r="BS187" i="36"/>
  <c r="BT451" i="36"/>
  <c r="BS395" i="36"/>
  <c r="BU839" i="36"/>
  <c r="BU821" i="36"/>
  <c r="BT501" i="36"/>
  <c r="BS824" i="36"/>
  <c r="BU485" i="36"/>
  <c r="BU532" i="36"/>
  <c r="BU484" i="36"/>
  <c r="BU533" i="36"/>
  <c r="BQ215" i="36"/>
  <c r="DF215" i="36"/>
  <c r="DF212" i="36"/>
  <c r="DF189" i="36"/>
  <c r="BS636" i="36"/>
  <c r="BS598" i="36"/>
  <c r="BP548" i="36"/>
  <c r="BP409" i="36"/>
  <c r="BT635" i="36"/>
  <c r="BT638" i="36"/>
  <c r="BT637" i="36"/>
  <c r="BT597" i="36"/>
  <c r="BR231" i="36"/>
  <c r="DF107" i="36"/>
  <c r="BR827" i="36"/>
  <c r="BR824" i="36"/>
  <c r="BS714" i="36"/>
  <c r="BO410" i="36"/>
  <c r="BO15" i="36"/>
  <c r="BQ517" i="36"/>
  <c r="DF526" i="36"/>
  <c r="BQ63" i="36"/>
  <c r="DF64" i="36"/>
  <c r="BP701" i="36"/>
  <c r="BR361" i="36"/>
  <c r="BR825" i="36"/>
  <c r="BS264" i="36"/>
  <c r="BS263" i="36"/>
  <c r="DF171" i="36"/>
  <c r="BQ162" i="36"/>
  <c r="BQ19" i="36"/>
  <c r="DF19" i="36"/>
  <c r="BQ364" i="36"/>
  <c r="BQ360" i="36"/>
  <c r="BQ389" i="36"/>
  <c r="DF368" i="36"/>
  <c r="DF595" i="36"/>
  <c r="BP450" i="36"/>
  <c r="BP452" i="36"/>
  <c r="BV632" i="36"/>
  <c r="BU590" i="36"/>
  <c r="BS675" i="36"/>
  <c r="DF546" i="36"/>
  <c r="BP260" i="36"/>
  <c r="BR791" i="36"/>
  <c r="BR715" i="36"/>
  <c r="BR718" i="36"/>
  <c r="BM566" i="36"/>
  <c r="DF414" i="36"/>
  <c r="BL481" i="36"/>
  <c r="BT82" i="36"/>
  <c r="BS756" i="36"/>
  <c r="BR61" i="36"/>
  <c r="BU184" i="36"/>
  <c r="BU443" i="36"/>
  <c r="BT400" i="36"/>
  <c r="BU143" i="36"/>
  <c r="BU786" i="36"/>
  <c r="BT453" i="36"/>
  <c r="BR377" i="36"/>
  <c r="BS266" i="36"/>
  <c r="DF676" i="36"/>
  <c r="DF429" i="36"/>
  <c r="BQ35" i="36"/>
  <c r="DF35" i="36"/>
  <c r="BR429" i="36"/>
  <c r="BR189" i="36"/>
  <c r="BU614" i="36"/>
  <c r="BP439" i="36"/>
  <c r="BP8" i="36"/>
  <c r="BP52" i="36"/>
  <c r="BT147" i="36"/>
  <c r="BV671" i="36"/>
  <c r="BL423" i="36"/>
  <c r="BL38" i="36"/>
  <c r="BR447" i="36"/>
  <c r="BR402" i="36"/>
  <c r="BU540" i="36"/>
  <c r="BU86" i="36"/>
  <c r="BU102" i="36"/>
  <c r="BT58" i="36"/>
  <c r="BR107" i="36"/>
  <c r="BR23" i="36"/>
  <c r="BS359" i="36"/>
  <c r="BS6" i="36"/>
  <c r="BS357" i="36"/>
  <c r="BS392" i="36"/>
  <c r="BS393" i="36"/>
  <c r="BR498" i="36"/>
  <c r="BS418" i="36"/>
  <c r="BS23" i="36"/>
  <c r="BS276" i="36"/>
  <c r="BS235" i="36"/>
  <c r="BS273" i="36"/>
  <c r="BS231" i="36"/>
  <c r="BQ621" i="36"/>
  <c r="DF658" i="36"/>
  <c r="BU499" i="36"/>
  <c r="BU535" i="36"/>
  <c r="BS106" i="36"/>
  <c r="BS62" i="36"/>
  <c r="BS66" i="36"/>
  <c r="BU221" i="36"/>
  <c r="BU487" i="36"/>
  <c r="BP553" i="36"/>
  <c r="BJ44" i="36"/>
  <c r="BJ46" i="36"/>
  <c r="BS689" i="36"/>
  <c r="BS701" i="36"/>
  <c r="BN404" i="36"/>
  <c r="BN9" i="36"/>
  <c r="BM11" i="36"/>
  <c r="BT314" i="36"/>
  <c r="BT317" i="36"/>
  <c r="BT316" i="36"/>
  <c r="BO469" i="36"/>
  <c r="BO481" i="36"/>
  <c r="BQ329" i="36"/>
  <c r="DF338" i="36"/>
  <c r="BP437" i="36"/>
  <c r="BP48" i="36"/>
  <c r="BP50" i="36"/>
  <c r="DF61" i="36"/>
  <c r="BP92" i="36"/>
  <c r="BR275" i="36"/>
  <c r="BR234" i="36"/>
  <c r="BP547" i="36"/>
  <c r="BP550" i="36"/>
  <c r="BP549" i="36"/>
  <c r="BP408" i="36"/>
  <c r="BT149" i="36"/>
  <c r="BT148" i="36"/>
  <c r="BT146" i="36"/>
  <c r="BW491" i="36"/>
  <c r="DF467" i="36"/>
  <c r="BS425" i="36"/>
  <c r="DF361" i="36"/>
  <c r="BS377" i="36"/>
  <c r="BR358" i="36"/>
  <c r="BQ7" i="36"/>
  <c r="DF7" i="36"/>
  <c r="DF402" i="36"/>
  <c r="BT825" i="36"/>
  <c r="BS96" i="36"/>
  <c r="BS95" i="36"/>
  <c r="BT221" i="36"/>
  <c r="BS626" i="36"/>
  <c r="BS625" i="36"/>
  <c r="BS657" i="36"/>
  <c r="BS628" i="36"/>
  <c r="BT628" i="36"/>
  <c r="BS108" i="36"/>
  <c r="BS107" i="36"/>
  <c r="BS105" i="36"/>
  <c r="BS61" i="36"/>
  <c r="BS65" i="36"/>
  <c r="BV487" i="36"/>
  <c r="BN406" i="36"/>
  <c r="BN12" i="36"/>
  <c r="BT712" i="36"/>
  <c r="BU752" i="36"/>
  <c r="BP436" i="36"/>
  <c r="BP47" i="36"/>
  <c r="BP49" i="36"/>
  <c r="BO407" i="36"/>
  <c r="BO404" i="36"/>
  <c r="BO9" i="36"/>
  <c r="BO13" i="36"/>
  <c r="BR757" i="36"/>
  <c r="BT704" i="36"/>
  <c r="BT705" i="36"/>
  <c r="BU147" i="36"/>
  <c r="BU177" i="36"/>
  <c r="BU178" i="36"/>
  <c r="BR716" i="36"/>
  <c r="BQ718" i="36"/>
  <c r="BQ715" i="36"/>
  <c r="DF715" i="36"/>
  <c r="DF719" i="36"/>
  <c r="BR456" i="36"/>
  <c r="BR414" i="36"/>
  <c r="BR650" i="36"/>
  <c r="BR661" i="36"/>
  <c r="BR359" i="36"/>
  <c r="BQ415" i="36"/>
  <c r="DF461" i="36"/>
  <c r="BT228" i="36"/>
  <c r="BT304" i="36"/>
  <c r="BT230" i="36"/>
  <c r="BT303" i="36"/>
  <c r="BO405" i="36"/>
  <c r="BO10" i="36"/>
  <c r="BO14" i="36"/>
  <c r="BS825" i="36"/>
  <c r="BT499" i="36"/>
  <c r="BP360" i="36"/>
  <c r="BP389" i="36"/>
  <c r="BT60" i="36"/>
  <c r="BT137" i="36"/>
  <c r="BT136" i="36"/>
  <c r="BT139" i="36"/>
  <c r="BU139" i="36"/>
  <c r="BT395" i="36"/>
  <c r="BS500" i="36"/>
  <c r="BR450" i="36"/>
  <c r="BR452" i="36"/>
  <c r="BR162" i="36"/>
  <c r="DF452" i="36"/>
  <c r="BT235" i="36"/>
  <c r="BT273" i="36"/>
  <c r="BT231" i="36"/>
  <c r="BT276" i="36"/>
  <c r="BU736" i="36"/>
  <c r="DF329" i="36"/>
  <c r="BQ341" i="36"/>
  <c r="DF341" i="36"/>
  <c r="BL29" i="36"/>
  <c r="BU453" i="36"/>
  <c r="BV786" i="36"/>
  <c r="BV443" i="36"/>
  <c r="BU400" i="36"/>
  <c r="BS720" i="36"/>
  <c r="BV614" i="36"/>
  <c r="BT755" i="36"/>
  <c r="BT758" i="36"/>
  <c r="BT757" i="36"/>
  <c r="BT425" i="36"/>
  <c r="BU592" i="36"/>
  <c r="BU665" i="36"/>
  <c r="BU664" i="36"/>
  <c r="BU667" i="36"/>
  <c r="BS517" i="36"/>
  <c r="BS529" i="36"/>
  <c r="BR48" i="36"/>
  <c r="BR544" i="36"/>
  <c r="BR582" i="36"/>
  <c r="BR434" i="36"/>
  <c r="BR581" i="36"/>
  <c r="BR403" i="36"/>
  <c r="BR8" i="36"/>
  <c r="DF450" i="36"/>
  <c r="BQ717" i="36"/>
  <c r="DF718" i="36"/>
  <c r="BR717" i="36"/>
  <c r="BU636" i="36"/>
  <c r="BT96" i="36"/>
  <c r="BT95" i="36"/>
  <c r="BT98" i="36"/>
  <c r="BS792" i="36"/>
  <c r="BS789" i="36"/>
  <c r="BT162" i="36"/>
  <c r="BT174" i="36"/>
  <c r="BT504" i="36"/>
  <c r="BS361" i="36"/>
  <c r="BL433" i="36"/>
  <c r="BR329" i="36"/>
  <c r="BT418" i="36"/>
  <c r="BT23" i="36"/>
  <c r="BW632" i="36"/>
  <c r="BV590" i="36"/>
  <c r="DF162" i="36"/>
  <c r="BQ174" i="36"/>
  <c r="DF174" i="36"/>
  <c r="DF63" i="36"/>
  <c r="BU451" i="36"/>
  <c r="BT500" i="36"/>
  <c r="BS414" i="36"/>
  <c r="BR63" i="36"/>
  <c r="BV667" i="36"/>
  <c r="BV344" i="36"/>
  <c r="BV345" i="36"/>
  <c r="BV347" i="36"/>
  <c r="BT596" i="36"/>
  <c r="BT595" i="36"/>
  <c r="BT593" i="36"/>
  <c r="BU60" i="36"/>
  <c r="BU137" i="36"/>
  <c r="BU136" i="36"/>
  <c r="BV139" i="36"/>
  <c r="BT106" i="36"/>
  <c r="BT62" i="36"/>
  <c r="BT66" i="36"/>
  <c r="BU303" i="36"/>
  <c r="BU228" i="36"/>
  <c r="BU230" i="36"/>
  <c r="BU266" i="36"/>
  <c r="BU304" i="36"/>
  <c r="BS64" i="36"/>
  <c r="BR621" i="36"/>
  <c r="BQ421" i="36"/>
  <c r="BP407" i="36"/>
  <c r="BP404" i="36"/>
  <c r="BP9" i="36"/>
  <c r="BP13" i="36"/>
  <c r="BS234" i="36"/>
  <c r="BS275" i="36"/>
  <c r="BV540" i="36"/>
  <c r="BV203" i="36"/>
  <c r="BV184" i="36"/>
  <c r="BP405" i="36"/>
  <c r="BP10" i="36"/>
  <c r="BP14" i="36"/>
  <c r="BV532" i="36"/>
  <c r="BV533" i="36"/>
  <c r="BV484" i="36"/>
  <c r="BV485" i="36"/>
  <c r="BS215" i="36"/>
  <c r="BS429" i="36"/>
  <c r="BS35" i="36"/>
  <c r="BS637" i="36"/>
  <c r="DF360" i="36"/>
  <c r="BV147" i="36"/>
  <c r="BV178" i="36"/>
  <c r="BV177" i="36"/>
  <c r="BV180" i="36"/>
  <c r="BS415" i="36"/>
  <c r="BS20" i="36"/>
  <c r="BS447" i="36"/>
  <c r="BS402" i="36"/>
  <c r="BS7" i="36"/>
  <c r="BU704" i="36"/>
  <c r="BU705" i="36"/>
  <c r="BU707" i="36"/>
  <c r="BO406" i="36"/>
  <c r="BO12" i="36"/>
  <c r="BX491" i="36"/>
  <c r="BP566" i="36"/>
  <c r="BP578" i="36"/>
  <c r="BJ45" i="36"/>
  <c r="BT357" i="36"/>
  <c r="BT392" i="36"/>
  <c r="BT393" i="36"/>
  <c r="BS758" i="36"/>
  <c r="BS755" i="36"/>
  <c r="BS719" i="36"/>
  <c r="BW671" i="36"/>
  <c r="BR215" i="36"/>
  <c r="BQ689" i="36"/>
  <c r="DF698" i="36"/>
  <c r="BV143" i="36"/>
  <c r="BU203" i="36"/>
  <c r="DF517" i="36"/>
  <c r="BQ529" i="36"/>
  <c r="DF529" i="36"/>
  <c r="BQ89" i="36"/>
  <c r="DF130" i="36"/>
  <c r="BQ121" i="36"/>
  <c r="BV839" i="36"/>
  <c r="BV821" i="36"/>
  <c r="BS596" i="36"/>
  <c r="BS593" i="36"/>
  <c r="BV221" i="36"/>
  <c r="BU218" i="36"/>
  <c r="BU219" i="36"/>
  <c r="DF757" i="36"/>
  <c r="DF582" i="36"/>
  <c r="BQ434" i="36"/>
  <c r="BN11" i="36"/>
  <c r="BV618" i="36"/>
  <c r="BS31" i="36"/>
  <c r="BQ20" i="36"/>
  <c r="DF20" i="36"/>
  <c r="DF415" i="36"/>
  <c r="BR19" i="36"/>
  <c r="BR364" i="36"/>
  <c r="BR360" i="36"/>
  <c r="BT329" i="36"/>
  <c r="BT341" i="36"/>
  <c r="BT377" i="36"/>
  <c r="BR7" i="36"/>
  <c r="BT31" i="36"/>
  <c r="BM578" i="36"/>
  <c r="BN566" i="36"/>
  <c r="BN578" i="36"/>
  <c r="BN432" i="36"/>
  <c r="DF364" i="36"/>
  <c r="BS827" i="36"/>
  <c r="BS826" i="36"/>
  <c r="BS850" i="36"/>
  <c r="BM423" i="36"/>
  <c r="BM433" i="36"/>
  <c r="BM38" i="36"/>
  <c r="BM29" i="36"/>
  <c r="DF233" i="36"/>
  <c r="DF403" i="36"/>
  <c r="BQ439" i="36"/>
  <c r="DF439" i="36"/>
  <c r="BQ8" i="36"/>
  <c r="BQ850" i="36"/>
  <c r="DF850" i="36"/>
  <c r="DF826" i="36"/>
  <c r="BT689" i="36"/>
  <c r="BT701" i="36"/>
  <c r="BT401" i="36"/>
  <c r="BT6" i="36"/>
  <c r="BT756" i="36"/>
  <c r="BT105" i="36"/>
  <c r="BT108" i="36"/>
  <c r="BT107" i="36"/>
  <c r="BT65" i="36"/>
  <c r="BT236" i="36"/>
  <c r="BT274" i="36"/>
  <c r="BT232" i="36"/>
  <c r="BU598" i="36"/>
  <c r="BR517" i="36"/>
  <c r="BU501" i="36"/>
  <c r="DF389" i="36"/>
  <c r="BV535" i="36"/>
  <c r="BW535" i="36"/>
  <c r="BV102" i="36"/>
  <c r="BU58" i="36"/>
  <c r="BR35" i="36"/>
  <c r="BR689" i="36"/>
  <c r="BR826" i="36"/>
  <c r="BS594" i="36"/>
  <c r="BR495" i="36"/>
  <c r="BT190" i="36"/>
  <c r="BT187" i="36"/>
  <c r="DF584" i="36"/>
  <c r="BQ435" i="36"/>
  <c r="BR233" i="36"/>
  <c r="DF621" i="36"/>
  <c r="BQ612" i="36"/>
  <c r="BQ550" i="36"/>
  <c r="DF551" i="36"/>
  <c r="BQ408" i="36"/>
  <c r="BT789" i="36"/>
  <c r="BT263" i="36"/>
  <c r="BT264" i="36"/>
  <c r="BT266" i="36"/>
  <c r="BU306" i="36"/>
  <c r="BU149" i="36"/>
  <c r="BU148" i="36"/>
  <c r="BU146" i="36"/>
  <c r="BU712" i="36"/>
  <c r="BV752" i="36"/>
  <c r="BT719" i="36"/>
  <c r="BU82" i="36"/>
  <c r="BR415" i="36"/>
  <c r="DF562" i="36"/>
  <c r="BQ419" i="36"/>
  <c r="BQ410" i="36"/>
  <c r="DF410" i="36"/>
  <c r="BT714" i="36"/>
  <c r="BT720" i="36"/>
  <c r="BT716" i="36"/>
  <c r="BT626" i="36"/>
  <c r="BT625" i="36"/>
  <c r="BT657" i="36"/>
  <c r="BT650" i="36"/>
  <c r="BT661" i="36"/>
  <c r="DF812" i="36"/>
  <c r="BQ804" i="36"/>
  <c r="BQ259" i="36"/>
  <c r="BQ288" i="36"/>
  <c r="DF297" i="36"/>
  <c r="BQ548" i="36"/>
  <c r="DF548" i="36"/>
  <c r="DF552" i="36"/>
  <c r="BQ409" i="36"/>
  <c r="BU317" i="36"/>
  <c r="BU314" i="36"/>
  <c r="AK56" i="25"/>
  <c r="AK90" i="25"/>
  <c r="G303" i="14"/>
  <c r="R495" i="19"/>
  <c r="R494" i="19" s="1"/>
  <c r="G173" i="14" s="1"/>
  <c r="R339" i="19"/>
  <c r="R338" i="19" s="1"/>
  <c r="R144" i="19"/>
  <c r="R143" i="19" s="1"/>
  <c r="F62" i="27" s="1"/>
  <c r="R655" i="19"/>
  <c r="R534" i="19"/>
  <c r="R533" i="19" s="1"/>
  <c r="R222" i="19"/>
  <c r="R221" i="19" s="1"/>
  <c r="O450" i="21"/>
  <c r="O436" i="21"/>
  <c r="O440" i="21"/>
  <c r="O438" i="21"/>
  <c r="O432" i="21"/>
  <c r="O411" i="21"/>
  <c r="O390" i="21"/>
  <c r="O376" i="21"/>
  <c r="O380" i="21"/>
  <c r="O378" i="21"/>
  <c r="O372" i="21"/>
  <c r="O351" i="21"/>
  <c r="O330" i="21"/>
  <c r="O316" i="21"/>
  <c r="O320" i="21"/>
  <c r="O318" i="21"/>
  <c r="O312" i="21"/>
  <c r="O256" i="21"/>
  <c r="O270" i="21"/>
  <c r="O260" i="21"/>
  <c r="O258" i="21"/>
  <c r="O36" i="21"/>
  <c r="O35" i="21"/>
  <c r="O34" i="21"/>
  <c r="O85" i="21"/>
  <c r="G382" i="14"/>
  <c r="S66" i="19"/>
  <c r="S65" i="19" s="1"/>
  <c r="G425" i="14"/>
  <c r="O31" i="21"/>
  <c r="O428" i="21"/>
  <c r="J428" i="21"/>
  <c r="O308" i="21"/>
  <c r="O248" i="21"/>
  <c r="O75" i="21"/>
  <c r="O78" i="21"/>
  <c r="O76" i="21"/>
  <c r="O97" i="21"/>
  <c r="BR439" i="36"/>
  <c r="AK89" i="25"/>
  <c r="G302" i="14"/>
  <c r="G96" i="14"/>
  <c r="BM46" i="36"/>
  <c r="BM44" i="36"/>
  <c r="BM45" i="36"/>
  <c r="BR50" i="36"/>
  <c r="DF564" i="36"/>
  <c r="BQ553" i="36"/>
  <c r="BU594" i="36"/>
  <c r="BU162" i="36"/>
  <c r="BU174" i="36"/>
  <c r="BT359" i="36"/>
  <c r="BV638" i="36"/>
  <c r="BV637" i="36"/>
  <c r="BV635" i="36"/>
  <c r="BR20" i="36"/>
  <c r="BR259" i="36"/>
  <c r="BR288" i="36"/>
  <c r="BV86" i="36"/>
  <c r="BV499" i="36"/>
  <c r="BT64" i="36"/>
  <c r="BT447" i="36"/>
  <c r="BT402" i="36"/>
  <c r="BR389" i="36"/>
  <c r="BS19" i="36"/>
  <c r="BS364" i="36"/>
  <c r="BV597" i="36"/>
  <c r="BW177" i="36"/>
  <c r="BW178" i="36"/>
  <c r="BS233" i="36"/>
  <c r="BS63" i="36"/>
  <c r="BV228" i="36"/>
  <c r="BV304" i="36"/>
  <c r="BV230" i="36"/>
  <c r="BV303" i="36"/>
  <c r="BV306" i="36"/>
  <c r="BX632" i="36"/>
  <c r="BW590" i="36"/>
  <c r="BR89" i="36"/>
  <c r="BR121" i="36"/>
  <c r="BR436" i="36"/>
  <c r="BR47" i="36"/>
  <c r="BR49" i="36"/>
  <c r="BV592" i="36"/>
  <c r="BV665" i="36"/>
  <c r="BV664" i="36"/>
  <c r="BW443" i="36"/>
  <c r="BV400" i="36"/>
  <c r="BL46" i="36"/>
  <c r="BL44" i="36"/>
  <c r="BQ404" i="36"/>
  <c r="BQ407" i="36"/>
  <c r="DF408" i="36"/>
  <c r="BQ13" i="36"/>
  <c r="DF13" i="36"/>
  <c r="DF121" i="36"/>
  <c r="BQ133" i="36"/>
  <c r="DF133" i="36"/>
  <c r="BS718" i="36"/>
  <c r="BS715" i="36"/>
  <c r="BR341" i="36"/>
  <c r="BT715" i="36"/>
  <c r="BT718" i="36"/>
  <c r="BT717" i="36"/>
  <c r="BU401" i="36"/>
  <c r="BU6" i="36"/>
  <c r="BT827" i="36"/>
  <c r="BT824" i="36"/>
  <c r="BU425" i="36"/>
  <c r="DF8" i="36"/>
  <c r="BR52" i="36"/>
  <c r="BQ52" i="36"/>
  <c r="DF52" i="36"/>
  <c r="BS89" i="36"/>
  <c r="BS121" i="36"/>
  <c r="BS133" i="36"/>
  <c r="BQ436" i="36"/>
  <c r="DF436" i="36"/>
  <c r="DF434" i="36"/>
  <c r="BQ47" i="36"/>
  <c r="BQ80" i="36"/>
  <c r="DF89" i="36"/>
  <c r="BS757" i="36"/>
  <c r="BV675" i="36"/>
  <c r="BR742" i="36"/>
  <c r="BR770" i="36"/>
  <c r="BV315" i="36"/>
  <c r="BW614" i="36"/>
  <c r="DF717" i="36"/>
  <c r="BV636" i="36"/>
  <c r="BV598" i="36"/>
  <c r="BV594" i="36"/>
  <c r="BU418" i="36"/>
  <c r="BU23" i="36"/>
  <c r="BU824" i="36"/>
  <c r="BW484" i="36"/>
  <c r="BW533" i="36"/>
  <c r="BW485" i="36"/>
  <c r="BW532" i="36"/>
  <c r="BW487" i="36"/>
  <c r="BU714" i="36"/>
  <c r="BU316" i="36"/>
  <c r="BQ549" i="36"/>
  <c r="DF550" i="36"/>
  <c r="BT189" i="36"/>
  <c r="BR529" i="36"/>
  <c r="BT61" i="36"/>
  <c r="BS595" i="36"/>
  <c r="BR419" i="36"/>
  <c r="BV149" i="36"/>
  <c r="BV148" i="36"/>
  <c r="BV146" i="36"/>
  <c r="BP406" i="36"/>
  <c r="BP12" i="36"/>
  <c r="BU263" i="36"/>
  <c r="BU264" i="36"/>
  <c r="BU95" i="36"/>
  <c r="BU96" i="36"/>
  <c r="BU98" i="36"/>
  <c r="BV317" i="36"/>
  <c r="BV316" i="36"/>
  <c r="BV314" i="36"/>
  <c r="BW618" i="36"/>
  <c r="BS358" i="36"/>
  <c r="BR548" i="36"/>
  <c r="BR409" i="36"/>
  <c r="BW786" i="36"/>
  <c r="BV453" i="36"/>
  <c r="BT414" i="36"/>
  <c r="BV704" i="36"/>
  <c r="BV705" i="36"/>
  <c r="BV707" i="36"/>
  <c r="BS544" i="36"/>
  <c r="BS582" i="36"/>
  <c r="BS434" i="36"/>
  <c r="BS581" i="36"/>
  <c r="BS403" i="36"/>
  <c r="BV712" i="36"/>
  <c r="BW752" i="36"/>
  <c r="DF612" i="36"/>
  <c r="BQ622" i="36"/>
  <c r="DF622" i="36"/>
  <c r="BS495" i="36"/>
  <c r="BR850" i="36"/>
  <c r="BQ15" i="36"/>
  <c r="DF15" i="36"/>
  <c r="BU677" i="36"/>
  <c r="BU674" i="36"/>
  <c r="BO566" i="36"/>
  <c r="BO578" i="36"/>
  <c r="BO432" i="36"/>
  <c r="BW143" i="36"/>
  <c r="BX671" i="36"/>
  <c r="BT361" i="36"/>
  <c r="BR550" i="36"/>
  <c r="BR408" i="36"/>
  <c r="BV501" i="36"/>
  <c r="BQ26" i="36"/>
  <c r="DF26" i="36"/>
  <c r="DF421" i="36"/>
  <c r="BU236" i="36"/>
  <c r="BU274" i="36"/>
  <c r="BU232" i="36"/>
  <c r="BV60" i="36"/>
  <c r="BV137" i="36"/>
  <c r="BV136" i="36"/>
  <c r="BS360" i="36"/>
  <c r="BS389" i="36"/>
  <c r="BT234" i="36"/>
  <c r="BT275" i="36"/>
  <c r="BU789" i="36"/>
  <c r="BU188" i="36"/>
  <c r="DF689" i="36"/>
  <c r="BQ701" i="36"/>
  <c r="DF701" i="36"/>
  <c r="DF478" i="36"/>
  <c r="BQ469" i="36"/>
  <c r="BU504" i="36"/>
  <c r="BU498" i="36"/>
  <c r="BQ250" i="36"/>
  <c r="DF259" i="36"/>
  <c r="BQ24" i="36"/>
  <c r="DF24" i="36"/>
  <c r="DF419" i="36"/>
  <c r="BV736" i="36"/>
  <c r="BQ437" i="36"/>
  <c r="DF437" i="36"/>
  <c r="DF435" i="36"/>
  <c r="BQ48" i="36"/>
  <c r="BU675" i="36"/>
  <c r="BN423" i="36"/>
  <c r="BN433" i="36"/>
  <c r="BN38" i="36"/>
  <c r="BW306" i="36"/>
  <c r="BU106" i="36"/>
  <c r="BU66" i="36"/>
  <c r="BT621" i="36"/>
  <c r="BT612" i="36"/>
  <c r="BR174" i="36"/>
  <c r="BV82" i="36"/>
  <c r="DF288" i="36"/>
  <c r="BQ300" i="36"/>
  <c r="DF300" i="36"/>
  <c r="BT790" i="36"/>
  <c r="BR701" i="36"/>
  <c r="BV188" i="36"/>
  <c r="BV219" i="36"/>
  <c r="BV218" i="36"/>
  <c r="BW821" i="36"/>
  <c r="BU357" i="36"/>
  <c r="BU359" i="36"/>
  <c r="BU393" i="36"/>
  <c r="BU392" i="36"/>
  <c r="BU395" i="36"/>
  <c r="BY491" i="36"/>
  <c r="BO11" i="36"/>
  <c r="BW180" i="36"/>
  <c r="BS584" i="36"/>
  <c r="BS435" i="36"/>
  <c r="BP432" i="36"/>
  <c r="BP469" i="36"/>
  <c r="BP481" i="36"/>
  <c r="BW540" i="36"/>
  <c r="BU108" i="36"/>
  <c r="BU105" i="36"/>
  <c r="BU65" i="36"/>
  <c r="BW315" i="36"/>
  <c r="BW344" i="36"/>
  <c r="BW345" i="36"/>
  <c r="BW347" i="36"/>
  <c r="BU638" i="36"/>
  <c r="BU635" i="36"/>
  <c r="BU597" i="36"/>
  <c r="BT498" i="36"/>
  <c r="BS791" i="36"/>
  <c r="BR437" i="36"/>
  <c r="BS716" i="36"/>
  <c r="BT622" i="36"/>
  <c r="BQ405" i="36"/>
  <c r="DF409" i="36"/>
  <c r="BQ14" i="36"/>
  <c r="DF14" i="36"/>
  <c r="BT584" i="36"/>
  <c r="BT435" i="36"/>
  <c r="DF804" i="36"/>
  <c r="BQ815" i="36"/>
  <c r="DF815" i="36"/>
  <c r="BT792" i="36"/>
  <c r="BT791" i="36"/>
  <c r="BU790" i="36"/>
  <c r="BV58" i="36"/>
  <c r="BW102" i="36"/>
  <c r="BW499" i="36"/>
  <c r="BT429" i="36"/>
  <c r="BQ742" i="36"/>
  <c r="BQ770" i="36"/>
  <c r="DF778" i="36"/>
  <c r="BU187" i="36"/>
  <c r="BU190" i="36"/>
  <c r="BU189" i="36"/>
  <c r="BR804" i="36"/>
  <c r="BU377" i="36"/>
  <c r="BV451" i="36"/>
  <c r="BW203" i="36"/>
  <c r="BW184" i="36"/>
  <c r="BR612" i="36"/>
  <c r="BU235" i="36"/>
  <c r="BU273" i="36"/>
  <c r="BU276" i="36"/>
  <c r="BV98" i="36"/>
  <c r="BU625" i="36"/>
  <c r="BU626" i="36"/>
  <c r="BU657" i="36"/>
  <c r="BU628" i="36"/>
  <c r="BV628" i="36"/>
  <c r="O353" i="21"/>
  <c r="O354" i="21"/>
  <c r="O413" i="21"/>
  <c r="O414" i="21"/>
  <c r="O431" i="21"/>
  <c r="O371" i="21"/>
  <c r="O311" i="21"/>
  <c r="O251" i="21"/>
  <c r="H380" i="14"/>
  <c r="BV825" i="36"/>
  <c r="DF553" i="36"/>
  <c r="BQ547" i="36"/>
  <c r="DF547" i="36"/>
  <c r="BW675" i="36"/>
  <c r="BW636" i="36"/>
  <c r="BW598" i="36"/>
  <c r="BW594" i="36"/>
  <c r="BT770" i="36"/>
  <c r="BT781" i="36"/>
  <c r="BU756" i="36"/>
  <c r="BU720" i="36"/>
  <c r="BQ406" i="36"/>
  <c r="DF407" i="36"/>
  <c r="BQ12" i="36"/>
  <c r="DF12" i="36"/>
  <c r="BU215" i="36"/>
  <c r="BU61" i="36"/>
  <c r="BV357" i="36"/>
  <c r="BV359" i="36"/>
  <c r="BV392" i="36"/>
  <c r="BV393" i="36"/>
  <c r="BV395" i="36"/>
  <c r="BW395" i="36"/>
  <c r="BV187" i="36"/>
  <c r="BV190" i="36"/>
  <c r="BV827" i="36"/>
  <c r="BV826" i="36"/>
  <c r="BV850" i="36"/>
  <c r="BV824" i="36"/>
  <c r="BN29" i="36"/>
  <c r="BV106" i="36"/>
  <c r="BV62" i="36"/>
  <c r="BV66" i="36"/>
  <c r="BR407" i="36"/>
  <c r="BR13" i="36"/>
  <c r="BT215" i="36"/>
  <c r="BV714" i="36"/>
  <c r="DF80" i="36"/>
  <c r="BQ92" i="36"/>
  <c r="DF92" i="36"/>
  <c r="BV425" i="36"/>
  <c r="DF404" i="36"/>
  <c r="BQ9" i="36"/>
  <c r="DF9" i="36"/>
  <c r="BX443" i="36"/>
  <c r="BW400" i="36"/>
  <c r="BT415" i="36"/>
  <c r="BV596" i="36"/>
  <c r="BV595" i="36"/>
  <c r="BV593" i="36"/>
  <c r="BW704" i="36"/>
  <c r="BW705" i="36"/>
  <c r="BR622" i="36"/>
  <c r="BU825" i="36"/>
  <c r="BW82" i="36"/>
  <c r="BX315" i="36"/>
  <c r="BX345" i="36"/>
  <c r="BX344" i="36"/>
  <c r="BX347" i="36"/>
  <c r="BU107" i="36"/>
  <c r="BS437" i="36"/>
  <c r="BS48" i="36"/>
  <c r="BW218" i="36"/>
  <c r="BW219" i="36"/>
  <c r="BW221" i="36"/>
  <c r="BW707" i="36"/>
  <c r="DF469" i="36"/>
  <c r="BQ481" i="36"/>
  <c r="DF481" i="36"/>
  <c r="BU792" i="36"/>
  <c r="BU791" i="36"/>
  <c r="BU676" i="36"/>
  <c r="BR469" i="36"/>
  <c r="BR405" i="36"/>
  <c r="BR14" i="36"/>
  <c r="BV756" i="36"/>
  <c r="BS80" i="36"/>
  <c r="BU414" i="36"/>
  <c r="BW592" i="36"/>
  <c r="BW665" i="36"/>
  <c r="BW664" i="36"/>
  <c r="BS92" i="36"/>
  <c r="BX147" i="36"/>
  <c r="BX177" i="36"/>
  <c r="BX178" i="36"/>
  <c r="BX180" i="36"/>
  <c r="BR300" i="36"/>
  <c r="BW453" i="36"/>
  <c r="BW136" i="36"/>
  <c r="BW60" i="36"/>
  <c r="BW137" i="36"/>
  <c r="BW139" i="36"/>
  <c r="BX786" i="36"/>
  <c r="BT19" i="36"/>
  <c r="BT364" i="36"/>
  <c r="BT360" i="36"/>
  <c r="BW86" i="36"/>
  <c r="BX540" i="36"/>
  <c r="BX839" i="36"/>
  <c r="BX821" i="36"/>
  <c r="BS456" i="36"/>
  <c r="BX143" i="36"/>
  <c r="BW712" i="36"/>
  <c r="BX752" i="36"/>
  <c r="BS548" i="36"/>
  <c r="BS409" i="36"/>
  <c r="DF549" i="36"/>
  <c r="BU429" i="36"/>
  <c r="BU35" i="36"/>
  <c r="BS717" i="36"/>
  <c r="BW667" i="36"/>
  <c r="BY632" i="36"/>
  <c r="BX590" i="36"/>
  <c r="BW228" i="36"/>
  <c r="BW230" i="36"/>
  <c r="BW303" i="36"/>
  <c r="BW304" i="36"/>
  <c r="BW147" i="36"/>
  <c r="BT63" i="36"/>
  <c r="BR250" i="36"/>
  <c r="BU64" i="36"/>
  <c r="BV504" i="36"/>
  <c r="BW638" i="36"/>
  <c r="BW637" i="36"/>
  <c r="BW635" i="36"/>
  <c r="BW597" i="36"/>
  <c r="BV236" i="36"/>
  <c r="BV274" i="36"/>
  <c r="BT48" i="36"/>
  <c r="BW839" i="36"/>
  <c r="BU62" i="36"/>
  <c r="BS419" i="36"/>
  <c r="BS421" i="36"/>
  <c r="BS26" i="36"/>
  <c r="BS553" i="36"/>
  <c r="BS547" i="36"/>
  <c r="BT581" i="36"/>
  <c r="BT544" i="36"/>
  <c r="BT582" i="36"/>
  <c r="BT434" i="36"/>
  <c r="BT403" i="36"/>
  <c r="BT8" i="36"/>
  <c r="BV329" i="36"/>
  <c r="BV341" i="36"/>
  <c r="BR421" i="36"/>
  <c r="BT35" i="36"/>
  <c r="BW451" i="36"/>
  <c r="DF47" i="36"/>
  <c r="BQ49" i="36"/>
  <c r="DF49" i="36"/>
  <c r="BU415" i="36"/>
  <c r="BU20" i="36"/>
  <c r="BU402" i="36"/>
  <c r="BU7" i="36"/>
  <c r="BU447" i="36"/>
  <c r="BL45" i="36"/>
  <c r="BX618" i="36"/>
  <c r="BW146" i="36"/>
  <c r="BW149" i="36"/>
  <c r="BS436" i="36"/>
  <c r="BS47" i="36"/>
  <c r="BV401" i="36"/>
  <c r="DF770" i="36"/>
  <c r="BQ781" i="36"/>
  <c r="DF781" i="36"/>
  <c r="BQ734" i="36"/>
  <c r="DF742" i="36"/>
  <c r="BX499" i="36"/>
  <c r="BX535" i="36"/>
  <c r="BW317" i="36"/>
  <c r="BW316" i="36"/>
  <c r="BW314" i="36"/>
  <c r="BT233" i="36"/>
  <c r="BS550" i="36"/>
  <c r="BS549" i="36"/>
  <c r="BS408" i="36"/>
  <c r="BO423" i="36"/>
  <c r="BO433" i="36"/>
  <c r="BO38" i="36"/>
  <c r="BO29" i="36"/>
  <c r="BO44" i="36"/>
  <c r="BO45" i="36"/>
  <c r="BW736" i="36"/>
  <c r="BP11" i="36"/>
  <c r="BR553" i="36"/>
  <c r="BU755" i="36"/>
  <c r="BU758" i="36"/>
  <c r="BU719" i="36"/>
  <c r="BX485" i="36"/>
  <c r="BX532" i="36"/>
  <c r="BX484" i="36"/>
  <c r="BX533" i="36"/>
  <c r="BX487" i="36"/>
  <c r="BX614" i="36"/>
  <c r="BV235" i="36"/>
  <c r="BV273" i="36"/>
  <c r="BV231" i="36"/>
  <c r="BV276" i="36"/>
  <c r="BV677" i="36"/>
  <c r="BV676" i="36"/>
  <c r="BV674" i="36"/>
  <c r="BU500" i="36"/>
  <c r="BX86" i="36"/>
  <c r="BX102" i="36"/>
  <c r="BW58" i="36"/>
  <c r="BU637" i="36"/>
  <c r="BQ260" i="36"/>
  <c r="DF260" i="36"/>
  <c r="DF250" i="36"/>
  <c r="BS621" i="36"/>
  <c r="BS650" i="36"/>
  <c r="BU234" i="36"/>
  <c r="BU275" i="36"/>
  <c r="BT804" i="36"/>
  <c r="BT815" i="36"/>
  <c r="BU596" i="36"/>
  <c r="BU593" i="36"/>
  <c r="BZ491" i="36"/>
  <c r="BV789" i="36"/>
  <c r="BV95" i="36"/>
  <c r="BV96" i="36"/>
  <c r="BT358" i="36"/>
  <c r="BT495" i="36"/>
  <c r="BS8" i="36"/>
  <c r="BS439" i="36"/>
  <c r="BT439" i="36"/>
  <c r="BT456" i="36"/>
  <c r="BR24" i="36"/>
  <c r="BR781" i="36"/>
  <c r="BT121" i="36"/>
  <c r="BT133" i="36"/>
  <c r="BR133" i="36"/>
  <c r="BV263" i="36"/>
  <c r="BV264" i="36"/>
  <c r="BV266" i="36"/>
  <c r="BS259" i="36"/>
  <c r="BS250" i="36"/>
  <c r="BS260" i="36"/>
  <c r="BS288" i="36"/>
  <c r="BS300" i="36"/>
  <c r="BX184" i="36"/>
  <c r="BT517" i="36"/>
  <c r="BU231" i="36"/>
  <c r="BR815" i="36"/>
  <c r="DF405" i="36"/>
  <c r="BQ10" i="36"/>
  <c r="DF10" i="36"/>
  <c r="BP423" i="36"/>
  <c r="BP433" i="36"/>
  <c r="BP38" i="36"/>
  <c r="BP29" i="36"/>
  <c r="BU361" i="36"/>
  <c r="BU358" i="36"/>
  <c r="BV790" i="36"/>
  <c r="DF48" i="36"/>
  <c r="BQ50" i="36"/>
  <c r="DF50" i="36"/>
  <c r="BV105" i="36"/>
  <c r="BV61" i="36"/>
  <c r="BV108" i="36"/>
  <c r="BV107" i="36"/>
  <c r="BV65" i="36"/>
  <c r="BV500" i="36"/>
  <c r="BY671" i="36"/>
  <c r="BU31" i="36"/>
  <c r="BU827" i="36"/>
  <c r="BU826" i="36"/>
  <c r="BU850" i="36"/>
  <c r="BR410" i="36"/>
  <c r="BR404" i="36"/>
  <c r="BR734" i="36"/>
  <c r="BW501" i="36"/>
  <c r="BT826" i="36"/>
  <c r="BV418" i="36"/>
  <c r="BV23" i="36"/>
  <c r="BV625" i="36"/>
  <c r="BV626" i="36"/>
  <c r="BV657" i="36"/>
  <c r="BV650" i="36"/>
  <c r="BV661" i="36"/>
  <c r="BR80" i="36"/>
  <c r="BT7" i="36"/>
  <c r="O48" i="21"/>
  <c r="O25" i="21"/>
  <c r="O26" i="21"/>
  <c r="O51" i="21"/>
  <c r="BW825" i="36"/>
  <c r="BW790" i="36"/>
  <c r="BT389" i="36"/>
  <c r="BX635" i="36"/>
  <c r="BX597" i="36"/>
  <c r="BZ671" i="36"/>
  <c r="BY184" i="36"/>
  <c r="BR547" i="36"/>
  <c r="BX146" i="36"/>
  <c r="BX149" i="36"/>
  <c r="BX148" i="36"/>
  <c r="BX203" i="36"/>
  <c r="BS742" i="36"/>
  <c r="BS770" i="36"/>
  <c r="BU595" i="36"/>
  <c r="BS612" i="36"/>
  <c r="BX82" i="36"/>
  <c r="BX451" i="36"/>
  <c r="BP44" i="36"/>
  <c r="BP45" i="36"/>
  <c r="BP46" i="36"/>
  <c r="BV414" i="36"/>
  <c r="BV232" i="36"/>
  <c r="BU63" i="36"/>
  <c r="BW236" i="36"/>
  <c r="BW274" i="36"/>
  <c r="BW232" i="36"/>
  <c r="BW108" i="36"/>
  <c r="BW107" i="36"/>
  <c r="BW105" i="36"/>
  <c r="BW65" i="36"/>
  <c r="BW401" i="36"/>
  <c r="BW377" i="36"/>
  <c r="BS804" i="36"/>
  <c r="BS661" i="36"/>
  <c r="BT450" i="36"/>
  <c r="BT452" i="36"/>
  <c r="BV792" i="36"/>
  <c r="BU19" i="36"/>
  <c r="BU364" i="36"/>
  <c r="BU360" i="36"/>
  <c r="BU389" i="36"/>
  <c r="BW329" i="36"/>
  <c r="BW341" i="36"/>
  <c r="DF734" i="36"/>
  <c r="BQ743" i="36"/>
  <c r="DF743" i="36"/>
  <c r="BV429" i="36"/>
  <c r="BV35" i="36"/>
  <c r="BT436" i="36"/>
  <c r="BT47" i="36"/>
  <c r="BT49" i="36"/>
  <c r="BS405" i="36"/>
  <c r="BS10" i="36"/>
  <c r="BS14" i="36"/>
  <c r="BS450" i="36"/>
  <c r="BS452" i="36"/>
  <c r="BY839" i="36"/>
  <c r="BY821" i="36"/>
  <c r="BX60" i="36"/>
  <c r="BX136" i="36"/>
  <c r="BX137" i="36"/>
  <c r="BX139" i="36"/>
  <c r="BR10" i="36"/>
  <c r="BW418" i="36"/>
  <c r="BW23" i="36"/>
  <c r="BT419" i="36"/>
  <c r="BX592" i="36"/>
  <c r="BX665" i="36"/>
  <c r="BX664" i="36"/>
  <c r="BX667" i="36"/>
  <c r="BR92" i="36"/>
  <c r="BV517" i="36"/>
  <c r="BV529" i="36"/>
  <c r="BU718" i="36"/>
  <c r="BU715" i="36"/>
  <c r="BV377" i="36"/>
  <c r="BS49" i="36"/>
  <c r="BR26" i="36"/>
  <c r="BU581" i="36"/>
  <c r="BU544" i="36"/>
  <c r="BU582" i="36"/>
  <c r="BU434" i="36"/>
  <c r="BU403" i="36"/>
  <c r="BO46" i="36"/>
  <c r="BW596" i="36"/>
  <c r="BW595" i="36"/>
  <c r="BW593" i="36"/>
  <c r="BR260" i="36"/>
  <c r="BV758" i="36"/>
  <c r="BV757" i="36"/>
  <c r="BV755" i="36"/>
  <c r="BV719" i="36"/>
  <c r="BY786" i="36"/>
  <c r="BW66" i="36"/>
  <c r="BW106" i="36"/>
  <c r="BW187" i="36"/>
  <c r="BW190" i="36"/>
  <c r="BW189" i="36"/>
  <c r="BY675" i="36"/>
  <c r="BX705" i="36"/>
  <c r="BX704" i="36"/>
  <c r="BX707" i="36"/>
  <c r="BW756" i="36"/>
  <c r="BW720" i="36"/>
  <c r="BW716" i="36"/>
  <c r="BT550" i="36"/>
  <c r="BT408" i="36"/>
  <c r="BV358" i="36"/>
  <c r="BV361" i="36"/>
  <c r="DF406" i="36"/>
  <c r="BQ11" i="36"/>
  <c r="BT742" i="36"/>
  <c r="BT734" i="36"/>
  <c r="BT743" i="36"/>
  <c r="BY143" i="36"/>
  <c r="BY485" i="36"/>
  <c r="BY533" i="36"/>
  <c r="BY532" i="36"/>
  <c r="BY484" i="36"/>
  <c r="BY487" i="36"/>
  <c r="BU757" i="36"/>
  <c r="BT259" i="36"/>
  <c r="BT250" i="36"/>
  <c r="BT260" i="36"/>
  <c r="BT288" i="36"/>
  <c r="BT300" i="36"/>
  <c r="BS24" i="36"/>
  <c r="BS410" i="36"/>
  <c r="BS15" i="36"/>
  <c r="BX230" i="36"/>
  <c r="BX228" i="36"/>
  <c r="BX304" i="36"/>
  <c r="BX303" i="36"/>
  <c r="BX306" i="36"/>
  <c r="BZ632" i="36"/>
  <c r="BY590" i="36"/>
  <c r="BX712" i="36"/>
  <c r="BY752" i="36"/>
  <c r="BX453" i="36"/>
  <c r="BR481" i="36"/>
  <c r="BR549" i="36"/>
  <c r="BX188" i="36"/>
  <c r="BX219" i="36"/>
  <c r="BX218" i="36"/>
  <c r="BX221" i="36"/>
  <c r="BY315" i="36"/>
  <c r="BY345" i="36"/>
  <c r="BY344" i="36"/>
  <c r="BY347" i="36"/>
  <c r="BX674" i="36"/>
  <c r="BW758" i="36"/>
  <c r="BW757" i="36"/>
  <c r="BW719" i="36"/>
  <c r="BW755" i="36"/>
  <c r="BU584" i="36"/>
  <c r="BU435" i="36"/>
  <c r="BW792" i="36"/>
  <c r="BW791" i="36"/>
  <c r="BW789" i="36"/>
  <c r="BV162" i="36"/>
  <c r="BR9" i="36"/>
  <c r="BT850" i="36"/>
  <c r="BV64" i="36"/>
  <c r="CA491" i="36"/>
  <c r="BT529" i="36"/>
  <c r="BU233" i="36"/>
  <c r="BT548" i="36"/>
  <c r="BT409" i="36"/>
  <c r="BW504" i="36"/>
  <c r="BW498" i="36"/>
  <c r="BY618" i="36"/>
  <c r="BQ566" i="36"/>
  <c r="DF575" i="36"/>
  <c r="BQ432" i="36"/>
  <c r="BY540" i="36"/>
  <c r="BV720" i="36"/>
  <c r="BV716" i="36"/>
  <c r="BU804" i="36"/>
  <c r="BU815" i="36"/>
  <c r="BW188" i="36"/>
  <c r="BX677" i="36"/>
  <c r="BX676" i="36"/>
  <c r="BT20" i="36"/>
  <c r="BW714" i="36"/>
  <c r="BV6" i="36"/>
  <c r="BU716" i="36"/>
  <c r="BW425" i="36"/>
  <c r="BW263" i="36"/>
  <c r="BW264" i="36"/>
  <c r="BW266" i="36"/>
  <c r="BX418" i="36"/>
  <c r="BX23" i="36"/>
  <c r="BY443" i="36"/>
  <c r="BX400" i="36"/>
  <c r="BR15" i="36"/>
  <c r="BU329" i="36"/>
  <c r="BT89" i="36"/>
  <c r="BS52" i="36"/>
  <c r="BT52" i="36"/>
  <c r="BV689" i="36"/>
  <c r="BV701" i="36"/>
  <c r="BS404" i="36"/>
  <c r="BS9" i="36"/>
  <c r="BS407" i="36"/>
  <c r="BS13" i="36"/>
  <c r="BT50" i="36"/>
  <c r="BV498" i="36"/>
  <c r="BY614" i="36"/>
  <c r="BX736" i="36"/>
  <c r="BU456" i="36"/>
  <c r="BV189" i="36"/>
  <c r="BX504" i="36"/>
  <c r="BY535" i="36"/>
  <c r="BR743" i="36"/>
  <c r="BW827" i="36"/>
  <c r="BW826" i="36"/>
  <c r="BW850" i="36"/>
  <c r="BW824" i="36"/>
  <c r="BX501" i="36"/>
  <c r="BU495" i="36"/>
  <c r="BY102" i="36"/>
  <c r="BX58" i="36"/>
  <c r="BV234" i="36"/>
  <c r="BV275" i="36"/>
  <c r="BS566" i="36"/>
  <c r="BS578" i="36"/>
  <c r="BV447" i="36"/>
  <c r="BV402" i="36"/>
  <c r="BW148" i="36"/>
  <c r="BT437" i="36"/>
  <c r="BW273" i="36"/>
  <c r="BW231" i="36"/>
  <c r="BW276" i="36"/>
  <c r="BW235" i="36"/>
  <c r="BW95" i="36"/>
  <c r="BW96" i="36"/>
  <c r="BW98" i="36"/>
  <c r="BY178" i="36"/>
  <c r="BY177" i="36"/>
  <c r="BY180" i="36"/>
  <c r="BW626" i="36"/>
  <c r="BW625" i="36"/>
  <c r="BW657" i="36"/>
  <c r="BW628" i="36"/>
  <c r="BX628" i="36"/>
  <c r="BW677" i="36"/>
  <c r="BW676" i="36"/>
  <c r="BW674" i="36"/>
  <c r="BS50" i="36"/>
  <c r="BX317" i="36"/>
  <c r="BX314" i="36"/>
  <c r="BV31" i="36"/>
  <c r="BR406" i="36"/>
  <c r="BR12" i="36"/>
  <c r="BN44" i="36"/>
  <c r="BN46" i="36"/>
  <c r="BW357" i="36"/>
  <c r="BW6" i="36"/>
  <c r="BW393" i="36"/>
  <c r="BW392" i="36"/>
  <c r="O210" i="21"/>
  <c r="O196" i="21"/>
  <c r="F8" i="27"/>
  <c r="F6" i="27"/>
  <c r="O200" i="21"/>
  <c r="O198" i="21"/>
  <c r="F10" i="27"/>
  <c r="R341" i="22"/>
  <c r="R340" i="22" s="1"/>
  <c r="O27" i="21"/>
  <c r="O43" i="21"/>
  <c r="O44" i="21"/>
  <c r="O4" i="21"/>
  <c r="O49" i="21"/>
  <c r="O71" i="21"/>
  <c r="O29" i="21"/>
  <c r="O7" i="21"/>
  <c r="BX498" i="36"/>
  <c r="BX755" i="36"/>
  <c r="BS815" i="36"/>
  <c r="BX316" i="36"/>
  <c r="BU419" i="36"/>
  <c r="BU553" i="36"/>
  <c r="BU450" i="36"/>
  <c r="BU452" i="36"/>
  <c r="BU341" i="36"/>
  <c r="BV174" i="36"/>
  <c r="BY704" i="36"/>
  <c r="BY705" i="36"/>
  <c r="BY707" i="36"/>
  <c r="BX626" i="36"/>
  <c r="BX625" i="36"/>
  <c r="BX657" i="36"/>
  <c r="BX106" i="36"/>
  <c r="BX62" i="36"/>
  <c r="BX66" i="36"/>
  <c r="BW447" i="36"/>
  <c r="BW402" i="36"/>
  <c r="BW7" i="36"/>
  <c r="BX636" i="36"/>
  <c r="BX598" i="36"/>
  <c r="BV456" i="36"/>
  <c r="BS734" i="36"/>
  <c r="BX638" i="36"/>
  <c r="BZ540" i="36"/>
  <c r="BZ143" i="36"/>
  <c r="BW64" i="36"/>
  <c r="BS622" i="36"/>
  <c r="BN45" i="36"/>
  <c r="BY501" i="36"/>
  <c r="BZ499" i="36"/>
  <c r="BZ535" i="36"/>
  <c r="BS406" i="36"/>
  <c r="BS12" i="36"/>
  <c r="BX675" i="36"/>
  <c r="BU421" i="36"/>
  <c r="BU26" i="36"/>
  <c r="BV121" i="36"/>
  <c r="BV133" i="36"/>
  <c r="BV63" i="36"/>
  <c r="BY317" i="36"/>
  <c r="BY316" i="36"/>
  <c r="BY314" i="36"/>
  <c r="BY218" i="36"/>
  <c r="BY219" i="36"/>
  <c r="BY221" i="36"/>
  <c r="BY736" i="36"/>
  <c r="BY638" i="36"/>
  <c r="BY637" i="36"/>
  <c r="BY635" i="36"/>
  <c r="BZ839" i="36"/>
  <c r="BZ821" i="36"/>
  <c r="BV791" i="36"/>
  <c r="BX425" i="36"/>
  <c r="BX31" i="36"/>
  <c r="BV621" i="36"/>
  <c r="BV612" i="36"/>
  <c r="BV622" i="36"/>
  <c r="BZ184" i="36"/>
  <c r="BZ203" i="36"/>
  <c r="BX377" i="36"/>
  <c r="BU8" i="36"/>
  <c r="BU439" i="36"/>
  <c r="BZ147" i="36"/>
  <c r="BZ177" i="36"/>
  <c r="BZ178" i="36"/>
  <c r="BZ180" i="36"/>
  <c r="BY86" i="36"/>
  <c r="BY499" i="36"/>
  <c r="BV89" i="36"/>
  <c r="BV215" i="36"/>
  <c r="BW500" i="36"/>
  <c r="BW804" i="36"/>
  <c r="BW815" i="36"/>
  <c r="CA618" i="36"/>
  <c r="CA632" i="36"/>
  <c r="BZ590" i="36"/>
  <c r="BX273" i="36"/>
  <c r="BX231" i="36"/>
  <c r="BX276" i="36"/>
  <c r="BX235" i="36"/>
  <c r="BW62" i="36"/>
  <c r="BU436" i="36"/>
  <c r="BU47" i="36"/>
  <c r="BU49" i="36"/>
  <c r="BU89" i="36"/>
  <c r="BU121" i="36"/>
  <c r="BV19" i="36"/>
  <c r="BV364" i="36"/>
  <c r="BW429" i="36"/>
  <c r="BW35" i="36"/>
  <c r="BW61" i="36"/>
  <c r="BY203" i="36"/>
  <c r="BX789" i="36"/>
  <c r="BU259" i="36"/>
  <c r="BU250" i="36"/>
  <c r="BU260" i="36"/>
  <c r="BU288" i="36"/>
  <c r="BW456" i="36"/>
  <c r="BW414" i="36"/>
  <c r="BW359" i="36"/>
  <c r="BX359" i="36"/>
  <c r="BX357" i="36"/>
  <c r="BX393" i="36"/>
  <c r="BX392" i="36"/>
  <c r="BX395" i="36"/>
  <c r="BR11" i="36"/>
  <c r="BW689" i="36"/>
  <c r="BW701" i="36"/>
  <c r="BW650" i="36"/>
  <c r="BW661" i="36"/>
  <c r="BY147" i="36"/>
  <c r="BW275" i="36"/>
  <c r="BW234" i="36"/>
  <c r="BY82" i="36"/>
  <c r="BY453" i="36"/>
  <c r="BY418" i="36"/>
  <c r="BY23" i="36"/>
  <c r="BY400" i="36"/>
  <c r="BZ443" i="36"/>
  <c r="BZ618" i="36"/>
  <c r="BX264" i="36"/>
  <c r="BX263" i="36"/>
  <c r="BX266" i="36"/>
  <c r="BZ533" i="36"/>
  <c r="BZ532" i="36"/>
  <c r="BZ484" i="36"/>
  <c r="BZ485" i="36"/>
  <c r="BZ487" i="36"/>
  <c r="BW31" i="36"/>
  <c r="BV419" i="36"/>
  <c r="BV24" i="36"/>
  <c r="CA671" i="36"/>
  <c r="BY146" i="36"/>
  <c r="BY149" i="36"/>
  <c r="BY148" i="36"/>
  <c r="BU517" i="36"/>
  <c r="BW361" i="36"/>
  <c r="BW358" i="36"/>
  <c r="BV495" i="36"/>
  <c r="BT421" i="36"/>
  <c r="BT80" i="36"/>
  <c r="DF432" i="36"/>
  <c r="BQ423" i="36"/>
  <c r="BQ38" i="36"/>
  <c r="BU437" i="36"/>
  <c r="BU48" i="36"/>
  <c r="BU50" i="36"/>
  <c r="BZ614" i="36"/>
  <c r="BX274" i="36"/>
  <c r="BX232" i="36"/>
  <c r="BX236" i="36"/>
  <c r="BW215" i="36"/>
  <c r="BZ786" i="36"/>
  <c r="BV544" i="36"/>
  <c r="BV582" i="36"/>
  <c r="BV434" i="36"/>
  <c r="BV581" i="36"/>
  <c r="BV403" i="36"/>
  <c r="BV8" i="36"/>
  <c r="BV584" i="36"/>
  <c r="BV435" i="36"/>
  <c r="BT553" i="36"/>
  <c r="BU689" i="36"/>
  <c r="BX108" i="36"/>
  <c r="BX107" i="36"/>
  <c r="BX105" i="36"/>
  <c r="BX65" i="36"/>
  <c r="BX162" i="36"/>
  <c r="BX174" i="36"/>
  <c r="BX714" i="36"/>
  <c r="BX689" i="36"/>
  <c r="BX701" i="36"/>
  <c r="BV421" i="36"/>
  <c r="BV26" i="36"/>
  <c r="BX401" i="36"/>
  <c r="BT405" i="36"/>
  <c r="BT14" i="36"/>
  <c r="CB491" i="36"/>
  <c r="BZ345" i="36"/>
  <c r="BZ315" i="36"/>
  <c r="BZ344" i="36"/>
  <c r="BZ347" i="36"/>
  <c r="BT24" i="36"/>
  <c r="BX96" i="36"/>
  <c r="BX95" i="36"/>
  <c r="BX98" i="36"/>
  <c r="BZ86" i="36"/>
  <c r="BZ102" i="36"/>
  <c r="BY58" i="36"/>
  <c r="BY636" i="36"/>
  <c r="BY598" i="36"/>
  <c r="BY594" i="36"/>
  <c r="BV7" i="36"/>
  <c r="BU547" i="36"/>
  <c r="BU550" i="36"/>
  <c r="BU549" i="36"/>
  <c r="BU408" i="36"/>
  <c r="BV415" i="36"/>
  <c r="BV233" i="36"/>
  <c r="BX500" i="36"/>
  <c r="DF566" i="36"/>
  <c r="BQ578" i="36"/>
  <c r="DF578" i="36"/>
  <c r="BU621" i="36"/>
  <c r="BU650" i="36"/>
  <c r="BX719" i="36"/>
  <c r="BW718" i="36"/>
  <c r="BW717" i="36"/>
  <c r="BW715" i="36"/>
  <c r="BX187" i="36"/>
  <c r="BX190" i="36"/>
  <c r="BY712" i="36"/>
  <c r="BZ752" i="36"/>
  <c r="BY230" i="36"/>
  <c r="BY228" i="36"/>
  <c r="BY304" i="36"/>
  <c r="BY303" i="36"/>
  <c r="BY306" i="36"/>
  <c r="BY451" i="36"/>
  <c r="DF11" i="36"/>
  <c r="DO9" i="36"/>
  <c r="BT407" i="36"/>
  <c r="BT13" i="36"/>
  <c r="BV718" i="36"/>
  <c r="BV717" i="36"/>
  <c r="BV715" i="36"/>
  <c r="BU548" i="36"/>
  <c r="BU409" i="36"/>
  <c r="BU717" i="36"/>
  <c r="BY592" i="36"/>
  <c r="BY664" i="36"/>
  <c r="BY665" i="36"/>
  <c r="BY667" i="36"/>
  <c r="BY60" i="36"/>
  <c r="BY136" i="36"/>
  <c r="BY137" i="36"/>
  <c r="BY139" i="36"/>
  <c r="BS781" i="36"/>
  <c r="BX596" i="36"/>
  <c r="BX595" i="36"/>
  <c r="BX593" i="36"/>
  <c r="O191" i="21"/>
  <c r="O188" i="21"/>
  <c r="R182" i="22"/>
  <c r="BX790" i="36"/>
  <c r="BX792" i="36"/>
  <c r="BX791" i="36"/>
  <c r="BY790" i="36"/>
  <c r="BV80" i="36"/>
  <c r="BZ638" i="36"/>
  <c r="BZ637" i="36"/>
  <c r="BZ635" i="36"/>
  <c r="BZ597" i="36"/>
  <c r="CA540" i="36"/>
  <c r="BY95" i="36"/>
  <c r="BY96" i="36"/>
  <c r="BY98" i="36"/>
  <c r="BY274" i="36"/>
  <c r="BY232" i="36"/>
  <c r="BY236" i="36"/>
  <c r="BV20" i="36"/>
  <c r="BX414" i="36"/>
  <c r="BT547" i="36"/>
  <c r="BQ29" i="36"/>
  <c r="DF38" i="36"/>
  <c r="BY162" i="36"/>
  <c r="BY174" i="36"/>
  <c r="BX756" i="36"/>
  <c r="BX720" i="36"/>
  <c r="BX718" i="36"/>
  <c r="BY792" i="36"/>
  <c r="BY791" i="36"/>
  <c r="BY789" i="36"/>
  <c r="CA147" i="36"/>
  <c r="CA177" i="36"/>
  <c r="CA178" i="36"/>
  <c r="CA180" i="36"/>
  <c r="CA184" i="36"/>
  <c r="CA839" i="36"/>
  <c r="CA821" i="36"/>
  <c r="BY190" i="36"/>
  <c r="BY189" i="36"/>
  <c r="BY187" i="36"/>
  <c r="BV450" i="36"/>
  <c r="BV452" i="36"/>
  <c r="CA675" i="36"/>
  <c r="BZ705" i="36"/>
  <c r="BZ704" i="36"/>
  <c r="BZ707" i="36"/>
  <c r="BZ501" i="36"/>
  <c r="BX758" i="36"/>
  <c r="BU529" i="36"/>
  <c r="BY626" i="36"/>
  <c r="BY625" i="36"/>
  <c r="BY657" i="36"/>
  <c r="BY628" i="36"/>
  <c r="BU407" i="36"/>
  <c r="BU13" i="36"/>
  <c r="BZ314" i="36"/>
  <c r="BZ317" i="36"/>
  <c r="BZ316" i="36"/>
  <c r="BX429" i="36"/>
  <c r="BY504" i="36"/>
  <c r="BV436" i="36"/>
  <c r="BV47" i="36"/>
  <c r="BV49" i="36"/>
  <c r="DF423" i="36"/>
  <c r="BQ433" i="36"/>
  <c r="DF433" i="36"/>
  <c r="BT26" i="36"/>
  <c r="BW89" i="36"/>
  <c r="BW121" i="36"/>
  <c r="BW133" i="36"/>
  <c r="BX804" i="36"/>
  <c r="BX815" i="36"/>
  <c r="BV439" i="36"/>
  <c r="BY677" i="36"/>
  <c r="BY676" i="36"/>
  <c r="BY674" i="36"/>
  <c r="BZ188" i="36"/>
  <c r="BZ219" i="36"/>
  <c r="BZ218" i="36"/>
  <c r="BZ221" i="36"/>
  <c r="CA143" i="36"/>
  <c r="BZ675" i="36"/>
  <c r="BY824" i="36"/>
  <c r="BX361" i="36"/>
  <c r="BX358" i="36"/>
  <c r="BX715" i="36"/>
  <c r="BV410" i="36"/>
  <c r="BV15" i="36"/>
  <c r="BY108" i="36"/>
  <c r="BY107" i="36"/>
  <c r="BY105" i="36"/>
  <c r="BY65" i="36"/>
  <c r="BY276" i="36"/>
  <c r="BY235" i="36"/>
  <c r="BY273" i="36"/>
  <c r="BY231" i="36"/>
  <c r="BU566" i="36"/>
  <c r="BU578" i="36"/>
  <c r="BX825" i="36"/>
  <c r="BY714" i="36"/>
  <c r="BW495" i="36"/>
  <c r="BV550" i="36"/>
  <c r="BV408" i="36"/>
  <c r="BZ418" i="36"/>
  <c r="BZ23" i="36"/>
  <c r="CA443" i="36"/>
  <c r="BZ400" i="36"/>
  <c r="BX275" i="36"/>
  <c r="BX234" i="36"/>
  <c r="BY597" i="36"/>
  <c r="BX594" i="36"/>
  <c r="BT549" i="36"/>
  <c r="BW621" i="36"/>
  <c r="BW612" i="36"/>
  <c r="BW622" i="36"/>
  <c r="BU742" i="36"/>
  <c r="BU770" i="36"/>
  <c r="BS11" i="36"/>
  <c r="BX827" i="36"/>
  <c r="BX824" i="36"/>
  <c r="BX517" i="36"/>
  <c r="BX529" i="36"/>
  <c r="CA102" i="36"/>
  <c r="BZ58" i="36"/>
  <c r="BY756" i="36"/>
  <c r="BX64" i="36"/>
  <c r="CB671" i="36"/>
  <c r="BZ451" i="36"/>
  <c r="BY357" i="36"/>
  <c r="BY393" i="36"/>
  <c r="BY392" i="36"/>
  <c r="BY395" i="36"/>
  <c r="BW450" i="36"/>
  <c r="BW452" i="36"/>
  <c r="BW162" i="36"/>
  <c r="BU52" i="36"/>
  <c r="BV52" i="36"/>
  <c r="BY329" i="36"/>
  <c r="BY341" i="36"/>
  <c r="BX637" i="36"/>
  <c r="BU405" i="36"/>
  <c r="BU10" i="36"/>
  <c r="BU14" i="36"/>
  <c r="BT469" i="36"/>
  <c r="BT481" i="36"/>
  <c r="BY425" i="36"/>
  <c r="BU701" i="36"/>
  <c r="BW233" i="36"/>
  <c r="BU80" i="36"/>
  <c r="BU92" i="36"/>
  <c r="BV742" i="36"/>
  <c r="BV734" i="36"/>
  <c r="BV743" i="36"/>
  <c r="BV770" i="36"/>
  <c r="BV781" i="36"/>
  <c r="BW63" i="36"/>
  <c r="BZ636" i="36"/>
  <c r="BZ598" i="36"/>
  <c r="BZ594" i="36"/>
  <c r="BZ712" i="36"/>
  <c r="CA752" i="36"/>
  <c r="BU661" i="36"/>
  <c r="BZ82" i="36"/>
  <c r="BT10" i="36"/>
  <c r="BY758" i="36"/>
  <c r="BY757" i="36"/>
  <c r="BY719" i="36"/>
  <c r="BY755" i="36"/>
  <c r="BX61" i="36"/>
  <c r="BW544" i="36"/>
  <c r="BW582" i="36"/>
  <c r="BW434" i="36"/>
  <c r="BW581" i="36"/>
  <c r="BW403" i="36"/>
  <c r="BW8" i="36"/>
  <c r="BW52" i="36"/>
  <c r="BW584" i="36"/>
  <c r="BW435" i="36"/>
  <c r="BZ453" i="36"/>
  <c r="BZ504" i="36"/>
  <c r="BZ498" i="36"/>
  <c r="BT92" i="36"/>
  <c r="BW19" i="36"/>
  <c r="BW364" i="36"/>
  <c r="CA499" i="36"/>
  <c r="CA535" i="36"/>
  <c r="BR566" i="36"/>
  <c r="BR432" i="36"/>
  <c r="BW742" i="36"/>
  <c r="BW734" i="36"/>
  <c r="BW743" i="36"/>
  <c r="BW770" i="36"/>
  <c r="BW781" i="36"/>
  <c r="BV553" i="36"/>
  <c r="BV547" i="36"/>
  <c r="BX189" i="36"/>
  <c r="CA786" i="36"/>
  <c r="BZ146" i="36"/>
  <c r="BZ149" i="36"/>
  <c r="BZ148" i="36"/>
  <c r="BT12" i="36"/>
  <c r="BV548" i="36"/>
  <c r="BV409" i="36"/>
  <c r="BZ825" i="36"/>
  <c r="BW360" i="36"/>
  <c r="BW389" i="36"/>
  <c r="BS432" i="36"/>
  <c r="BS469" i="36"/>
  <c r="CA532" i="36"/>
  <c r="CA533" i="36"/>
  <c r="CA485" i="36"/>
  <c r="CA484" i="36"/>
  <c r="CA487" i="36"/>
  <c r="BY429" i="36"/>
  <c r="BY401" i="36"/>
  <c r="BY6" i="36"/>
  <c r="BY377" i="36"/>
  <c r="CB618" i="36"/>
  <c r="CB632" i="36"/>
  <c r="CA590" i="36"/>
  <c r="BY35" i="36"/>
  <c r="BS743" i="36"/>
  <c r="BU24" i="36"/>
  <c r="BU410" i="36"/>
  <c r="CA315" i="36"/>
  <c r="CA345" i="36"/>
  <c r="CA344" i="36"/>
  <c r="CA347" i="36"/>
  <c r="BY188" i="36"/>
  <c r="BZ677" i="36"/>
  <c r="BZ676" i="36"/>
  <c r="BZ674" i="36"/>
  <c r="BY66" i="36"/>
  <c r="BY106" i="36"/>
  <c r="BZ60" i="36"/>
  <c r="BZ137" i="36"/>
  <c r="BZ136" i="36"/>
  <c r="BZ139" i="36"/>
  <c r="BY263" i="36"/>
  <c r="BY264" i="36"/>
  <c r="BY266" i="36"/>
  <c r="BZ592" i="36"/>
  <c r="BZ664" i="36"/>
  <c r="BZ665" i="36"/>
  <c r="BZ667" i="36"/>
  <c r="BZ230" i="36"/>
  <c r="BZ228" i="36"/>
  <c r="BZ303" i="36"/>
  <c r="BZ304" i="36"/>
  <c r="BZ306" i="36"/>
  <c r="BV259" i="36"/>
  <c r="BV250" i="36"/>
  <c r="BV260" i="36"/>
  <c r="BV288" i="36"/>
  <c r="BV300" i="36"/>
  <c r="BZ736" i="36"/>
  <c r="BU612" i="36"/>
  <c r="BT410" i="36"/>
  <c r="CC491" i="36"/>
  <c r="BX447" i="36"/>
  <c r="BX402" i="36"/>
  <c r="BV437" i="36"/>
  <c r="BV48" i="36"/>
  <c r="BV50" i="36"/>
  <c r="BY825" i="36"/>
  <c r="BU300" i="36"/>
  <c r="BU133" i="36"/>
  <c r="BV360" i="36"/>
  <c r="CA614" i="36"/>
  <c r="BW439" i="36"/>
  <c r="BX35" i="36"/>
  <c r="BV92" i="36"/>
  <c r="BX6" i="36"/>
  <c r="BW415" i="36"/>
  <c r="BW20" i="36"/>
  <c r="BY61" i="36"/>
  <c r="BZ790" i="36"/>
  <c r="BU15" i="36"/>
  <c r="BU404" i="36"/>
  <c r="BU9" i="36"/>
  <c r="BX717" i="36"/>
  <c r="CA635" i="36"/>
  <c r="BY498" i="36"/>
  <c r="BY500" i="36"/>
  <c r="BY361" i="36"/>
  <c r="BY275" i="36"/>
  <c r="BY234" i="36"/>
  <c r="BZ95" i="36"/>
  <c r="BZ96" i="36"/>
  <c r="BZ98" i="36"/>
  <c r="CB184" i="36"/>
  <c r="CB203" i="36"/>
  <c r="BX7" i="36"/>
  <c r="BZ263" i="36"/>
  <c r="BZ264" i="36"/>
  <c r="BZ266" i="36"/>
  <c r="CA638" i="36"/>
  <c r="CA60" i="36"/>
  <c r="CA137" i="36"/>
  <c r="CA136" i="36"/>
  <c r="CA139" i="36"/>
  <c r="CB786" i="36"/>
  <c r="CA712" i="36"/>
  <c r="CB752" i="36"/>
  <c r="CA453" i="36"/>
  <c r="CA501" i="36"/>
  <c r="BY31" i="36"/>
  <c r="BU734" i="36"/>
  <c r="BY64" i="36"/>
  <c r="BZ500" i="36"/>
  <c r="CB147" i="36"/>
  <c r="CB177" i="36"/>
  <c r="CB178" i="36"/>
  <c r="CB180" i="36"/>
  <c r="BZ274" i="36"/>
  <c r="BZ232" i="36"/>
  <c r="BZ236" i="36"/>
  <c r="CA149" i="36"/>
  <c r="CA148" i="36"/>
  <c r="CA146" i="36"/>
  <c r="BZ596" i="36"/>
  <c r="BZ595" i="36"/>
  <c r="BZ593" i="36"/>
  <c r="BX415" i="36"/>
  <c r="BX20" i="36"/>
  <c r="BZ106" i="36"/>
  <c r="BZ62" i="36"/>
  <c r="BZ66" i="36"/>
  <c r="BY447" i="36"/>
  <c r="BY402" i="36"/>
  <c r="BY7" i="36"/>
  <c r="BS481" i="36"/>
  <c r="CB499" i="36"/>
  <c r="CB535" i="36"/>
  <c r="BX544" i="36"/>
  <c r="BX581" i="36"/>
  <c r="BX582" i="36"/>
  <c r="BX434" i="36"/>
  <c r="BX403" i="36"/>
  <c r="BX584" i="36"/>
  <c r="BX435" i="36"/>
  <c r="BW419" i="36"/>
  <c r="BW553" i="36"/>
  <c r="BW547" i="36"/>
  <c r="CB102" i="36"/>
  <c r="CA58" i="36"/>
  <c r="BZ401" i="36"/>
  <c r="BY827" i="36"/>
  <c r="BY826" i="36"/>
  <c r="BY850" i="36"/>
  <c r="BW80" i="36"/>
  <c r="BW92" i="36"/>
  <c r="BY650" i="36"/>
  <c r="BY661" i="36"/>
  <c r="CA203" i="36"/>
  <c r="BZ689" i="36"/>
  <c r="BZ701" i="36"/>
  <c r="BT15" i="36"/>
  <c r="BT404" i="36"/>
  <c r="BW436" i="36"/>
  <c r="BW47" i="36"/>
  <c r="BW49" i="36"/>
  <c r="BW174" i="36"/>
  <c r="BU781" i="36"/>
  <c r="BU622" i="36"/>
  <c r="BZ108" i="36"/>
  <c r="BZ107" i="36"/>
  <c r="BZ105" i="36"/>
  <c r="BZ65" i="36"/>
  <c r="BX19" i="36"/>
  <c r="BX364" i="36"/>
  <c r="BX360" i="36"/>
  <c r="BX389" i="36"/>
  <c r="BZ425" i="36"/>
  <c r="BS423" i="36"/>
  <c r="BS433" i="36"/>
  <c r="BS38" i="36"/>
  <c r="BS29" i="36"/>
  <c r="BS44" i="36"/>
  <c r="BS45" i="36"/>
  <c r="BV405" i="36"/>
  <c r="BV14" i="36"/>
  <c r="BR423" i="36"/>
  <c r="BR38" i="36"/>
  <c r="CA736" i="36"/>
  <c r="BW550" i="36"/>
  <c r="BW408" i="36"/>
  <c r="CA82" i="36"/>
  <c r="BX329" i="36"/>
  <c r="BV407" i="36"/>
  <c r="BV404" i="36"/>
  <c r="BV9" i="36"/>
  <c r="BV13" i="36"/>
  <c r="BY804" i="36"/>
  <c r="BY815" i="36"/>
  <c r="CB540" i="36"/>
  <c r="BZ276" i="36"/>
  <c r="BZ235" i="36"/>
  <c r="BZ273" i="36"/>
  <c r="BZ231" i="36"/>
  <c r="BY715" i="36"/>
  <c r="BX826" i="36"/>
  <c r="BY593" i="36"/>
  <c r="BY596" i="36"/>
  <c r="BY595" i="36"/>
  <c r="BU406" i="36"/>
  <c r="BU12" i="36"/>
  <c r="CA228" i="36"/>
  <c r="CA230" i="36"/>
  <c r="CA304" i="36"/>
  <c r="CA303" i="36"/>
  <c r="CA306" i="36"/>
  <c r="BY62" i="36"/>
  <c r="BY456" i="36"/>
  <c r="BY414" i="36"/>
  <c r="BT406" i="36"/>
  <c r="BX215" i="36"/>
  <c r="BR578" i="36"/>
  <c r="BW548" i="36"/>
  <c r="BW409" i="36"/>
  <c r="BZ359" i="36"/>
  <c r="BZ357" i="36"/>
  <c r="BZ392" i="36"/>
  <c r="BZ393" i="36"/>
  <c r="BZ395" i="36"/>
  <c r="CA86" i="36"/>
  <c r="BS46" i="36"/>
  <c r="BV549" i="36"/>
  <c r="BZ714" i="36"/>
  <c r="BZ329" i="36"/>
  <c r="BZ341" i="36"/>
  <c r="BZ792" i="36"/>
  <c r="BZ791" i="36"/>
  <c r="BZ789" i="36"/>
  <c r="CA317" i="36"/>
  <c r="CA316" i="36"/>
  <c r="CA314" i="36"/>
  <c r="CA418" i="36"/>
  <c r="CA23" i="36"/>
  <c r="CB443" i="36"/>
  <c r="CA400" i="36"/>
  <c r="BW517" i="36"/>
  <c r="CB315" i="36"/>
  <c r="CB345" i="36"/>
  <c r="CB344" i="36"/>
  <c r="CB347" i="36"/>
  <c r="CB614" i="36"/>
  <c r="CA451" i="36"/>
  <c r="BW437" i="36"/>
  <c r="BW48" i="36"/>
  <c r="BW50" i="36"/>
  <c r="BZ31" i="36"/>
  <c r="DG695" i="36"/>
  <c r="CC671" i="36"/>
  <c r="BX63" i="36"/>
  <c r="BX233" i="36"/>
  <c r="BZ756" i="36"/>
  <c r="BZ720" i="36"/>
  <c r="BZ716" i="36"/>
  <c r="CA188" i="36"/>
  <c r="CA218" i="36"/>
  <c r="CA219" i="36"/>
  <c r="CA221" i="36"/>
  <c r="BY215" i="36"/>
  <c r="DF29" i="36"/>
  <c r="BQ44" i="36"/>
  <c r="BQ46" i="36"/>
  <c r="DF46" i="36"/>
  <c r="CA592" i="36"/>
  <c r="CA664" i="36"/>
  <c r="CA665" i="36"/>
  <c r="CA667" i="36"/>
  <c r="BW259" i="36"/>
  <c r="BW288" i="36"/>
  <c r="BW300" i="36"/>
  <c r="CB675" i="36"/>
  <c r="CA705" i="36"/>
  <c r="CA704" i="36"/>
  <c r="CA707" i="36"/>
  <c r="BX757" i="36"/>
  <c r="BX716" i="36"/>
  <c r="CA790" i="36"/>
  <c r="BV389" i="36"/>
  <c r="DG523" i="36"/>
  <c r="DG512" i="36"/>
  <c r="DG491" i="36"/>
  <c r="CD491" i="36"/>
  <c r="BZ626" i="36"/>
  <c r="BZ625" i="36"/>
  <c r="BZ657" i="36"/>
  <c r="BZ650" i="36"/>
  <c r="BZ661" i="36"/>
  <c r="BZ628" i="36"/>
  <c r="BU432" i="36"/>
  <c r="BU469" i="36"/>
  <c r="BU481" i="36"/>
  <c r="CC632" i="36"/>
  <c r="CB590" i="36"/>
  <c r="CB532" i="36"/>
  <c r="CB485" i="36"/>
  <c r="CB533" i="36"/>
  <c r="CB484" i="36"/>
  <c r="CB487" i="36"/>
  <c r="BX89" i="36"/>
  <c r="BX121" i="36"/>
  <c r="BY359" i="36"/>
  <c r="BY720" i="36"/>
  <c r="BX495" i="36"/>
  <c r="CB143" i="36"/>
  <c r="BZ190" i="36"/>
  <c r="BZ187" i="36"/>
  <c r="CA597" i="36"/>
  <c r="CB839" i="36"/>
  <c r="CB821" i="36"/>
  <c r="CA504" i="36"/>
  <c r="CA498" i="36"/>
  <c r="BV804" i="36"/>
  <c r="O104" i="21"/>
  <c r="AD5" i="41"/>
  <c r="BY716" i="36"/>
  <c r="BY718" i="36"/>
  <c r="BY717" i="36"/>
  <c r="BZ61" i="36"/>
  <c r="BZ621" i="36"/>
  <c r="BZ612" i="36"/>
  <c r="CC143" i="36"/>
  <c r="DG168" i="36"/>
  <c r="BY689" i="36"/>
  <c r="CA593" i="36"/>
  <c r="BW250" i="36"/>
  <c r="BW260" i="36"/>
  <c r="CA401" i="36"/>
  <c r="CB501" i="36"/>
  <c r="CC618" i="36"/>
  <c r="DG618" i="36"/>
  <c r="DG656" i="36"/>
  <c r="CB592" i="36"/>
  <c r="CB664" i="36"/>
  <c r="CB665" i="36"/>
  <c r="CB667" i="36"/>
  <c r="CC344" i="36"/>
  <c r="DG344" i="36"/>
  <c r="DG313" i="36"/>
  <c r="DG311" i="36"/>
  <c r="CC345" i="36"/>
  <c r="DG345" i="36"/>
  <c r="CC347" i="36"/>
  <c r="DG347" i="36"/>
  <c r="CA236" i="36"/>
  <c r="CA274" i="36"/>
  <c r="CA232" i="36"/>
  <c r="CC540" i="36"/>
  <c r="BZ429" i="36"/>
  <c r="BZ517" i="36"/>
  <c r="BZ529" i="36"/>
  <c r="CA500" i="36"/>
  <c r="CC786" i="36"/>
  <c r="CA106" i="36"/>
  <c r="CA62" i="36"/>
  <c r="CA66" i="36"/>
  <c r="BQ45" i="36"/>
  <c r="DF45" i="36"/>
  <c r="DF44" i="36"/>
  <c r="CB418" i="36"/>
  <c r="CB23" i="36"/>
  <c r="CC443" i="36"/>
  <c r="CB400" i="36"/>
  <c r="CB149" i="36"/>
  <c r="CB148" i="36"/>
  <c r="CB146" i="36"/>
  <c r="BU11" i="36"/>
  <c r="BX341" i="36"/>
  <c r="CB453" i="36"/>
  <c r="BX548" i="36"/>
  <c r="BX409" i="36"/>
  <c r="CA96" i="36"/>
  <c r="CA95" i="36"/>
  <c r="CA98" i="36"/>
  <c r="BY495" i="36"/>
  <c r="BX133" i="36"/>
  <c r="CA825" i="36"/>
  <c r="DG691" i="36"/>
  <c r="DG519" i="36"/>
  <c r="BV566" i="36"/>
  <c r="BV578" i="36"/>
  <c r="BW405" i="36"/>
  <c r="BW10" i="36"/>
  <c r="BW14" i="36"/>
  <c r="CA264" i="36"/>
  <c r="CA263" i="36"/>
  <c r="CA266" i="36"/>
  <c r="BZ275" i="36"/>
  <c r="BZ234" i="36"/>
  <c r="BY89" i="36"/>
  <c r="BY121" i="36"/>
  <c r="BY133" i="36"/>
  <c r="BT9" i="36"/>
  <c r="BX437" i="36"/>
  <c r="BX48" i="36"/>
  <c r="CB736" i="36"/>
  <c r="CB60" i="36"/>
  <c r="CB136" i="36"/>
  <c r="CB137" i="36"/>
  <c r="CB139" i="36"/>
  <c r="CB790" i="36"/>
  <c r="CA756" i="36"/>
  <c r="BY450" i="36"/>
  <c r="BY452" i="36"/>
  <c r="CA425" i="36"/>
  <c r="CC614" i="36"/>
  <c r="DG652" i="36"/>
  <c r="CA190" i="36"/>
  <c r="CA189" i="36"/>
  <c r="CA187" i="36"/>
  <c r="DG145" i="36"/>
  <c r="CC178" i="36"/>
  <c r="DG178" i="36"/>
  <c r="CC177" i="36"/>
  <c r="DG177" i="36"/>
  <c r="CC180" i="36"/>
  <c r="DG180" i="36"/>
  <c r="CB712" i="36"/>
  <c r="CC752" i="36"/>
  <c r="BW469" i="36"/>
  <c r="BW481" i="36"/>
  <c r="BY19" i="36"/>
  <c r="BY364" i="36"/>
  <c r="BY360" i="36"/>
  <c r="BY389" i="36"/>
  <c r="BT11" i="36"/>
  <c r="BW407" i="36"/>
  <c r="BW13" i="36"/>
  <c r="BR29" i="36"/>
  <c r="CC102" i="36"/>
  <c r="CB58" i="36"/>
  <c r="BX8" i="36"/>
  <c r="BX439" i="36"/>
  <c r="DG494" i="36"/>
  <c r="CC535" i="36"/>
  <c r="DG535" i="36"/>
  <c r="BY415" i="36"/>
  <c r="BY20" i="36"/>
  <c r="BZ622" i="36"/>
  <c r="BY63" i="36"/>
  <c r="BY742" i="36"/>
  <c r="BY734" i="36"/>
  <c r="BY743" i="36"/>
  <c r="BY770" i="36"/>
  <c r="BY781" i="36"/>
  <c r="BZ827" i="36"/>
  <c r="BZ826" i="36"/>
  <c r="BZ850" i="36"/>
  <c r="BZ824" i="36"/>
  <c r="CA108" i="36"/>
  <c r="CA107" i="36"/>
  <c r="CA105" i="36"/>
  <c r="CA65" i="36"/>
  <c r="CA31" i="36"/>
  <c r="BZ162" i="36"/>
  <c r="CB636" i="36"/>
  <c r="CB598" i="36"/>
  <c r="CB594" i="36"/>
  <c r="CD671" i="36"/>
  <c r="DG671" i="36"/>
  <c r="BW24" i="36"/>
  <c r="CA637" i="36"/>
  <c r="BX621" i="36"/>
  <c r="BX650" i="36"/>
  <c r="BX80" i="36"/>
  <c r="DG449" i="36"/>
  <c r="BU423" i="36"/>
  <c r="BU433" i="36"/>
  <c r="BU38" i="36"/>
  <c r="BU29" i="36"/>
  <c r="BX259" i="36"/>
  <c r="BX250" i="36"/>
  <c r="BX288" i="36"/>
  <c r="BX300" i="36"/>
  <c r="BV815" i="36"/>
  <c r="CB451" i="36"/>
  <c r="DG492" i="36"/>
  <c r="CB704" i="36"/>
  <c r="CB705" i="36"/>
  <c r="CB707" i="36"/>
  <c r="BZ377" i="36"/>
  <c r="BZ361" i="36"/>
  <c r="CA276" i="36"/>
  <c r="CA235" i="36"/>
  <c r="CA273" i="36"/>
  <c r="CA231" i="36"/>
  <c r="BR433" i="36"/>
  <c r="CB82" i="36"/>
  <c r="BX436" i="36"/>
  <c r="BX47" i="36"/>
  <c r="BX49" i="36"/>
  <c r="CA636" i="36"/>
  <c r="CA598" i="36"/>
  <c r="CA594" i="36"/>
  <c r="DG209" i="36"/>
  <c r="CC184" i="36"/>
  <c r="CC821" i="36"/>
  <c r="CD632" i="36"/>
  <c r="DG632" i="36"/>
  <c r="CC590" i="36"/>
  <c r="DG590" i="36"/>
  <c r="CA626" i="36"/>
  <c r="CA625" i="36"/>
  <c r="CA657" i="36"/>
  <c r="CA628" i="36"/>
  <c r="CB504" i="36"/>
  <c r="CB498" i="36"/>
  <c r="BX260" i="36"/>
  <c r="BZ35" i="36"/>
  <c r="BW529" i="36"/>
  <c r="BZ804" i="36"/>
  <c r="BZ815" i="36"/>
  <c r="BT566" i="36"/>
  <c r="BT432" i="36"/>
  <c r="BY621" i="36"/>
  <c r="BY612" i="36"/>
  <c r="BY622" i="36"/>
  <c r="BX850" i="36"/>
  <c r="BW549" i="36"/>
  <c r="CB86" i="36"/>
  <c r="CA162" i="36"/>
  <c r="CA174" i="36"/>
  <c r="BU743" i="36"/>
  <c r="BX419" i="36"/>
  <c r="BX24" i="36"/>
  <c r="BX553" i="36"/>
  <c r="BY233" i="36"/>
  <c r="CB188" i="36"/>
  <c r="CB218" i="36"/>
  <c r="CB219" i="36"/>
  <c r="CB221" i="36"/>
  <c r="BV10" i="36"/>
  <c r="CE491" i="36"/>
  <c r="CA758" i="36"/>
  <c r="CA757" i="36"/>
  <c r="CA755" i="36"/>
  <c r="BZ414" i="36"/>
  <c r="BZ758" i="36"/>
  <c r="BZ757" i="36"/>
  <c r="BZ755" i="36"/>
  <c r="BZ719" i="36"/>
  <c r="CA677" i="36"/>
  <c r="CA676" i="36"/>
  <c r="CA674" i="36"/>
  <c r="BZ189" i="36"/>
  <c r="CD487" i="36"/>
  <c r="DG446" i="36"/>
  <c r="CC532" i="36"/>
  <c r="DG532" i="36"/>
  <c r="CC485" i="36"/>
  <c r="DG485" i="36"/>
  <c r="CC484" i="36"/>
  <c r="DG484" i="36"/>
  <c r="CC533" i="36"/>
  <c r="DG533" i="36"/>
  <c r="CC487" i="36"/>
  <c r="DG487" i="36"/>
  <c r="CB314" i="36"/>
  <c r="CB317" i="36"/>
  <c r="CB316" i="36"/>
  <c r="BX456" i="36"/>
  <c r="CA714" i="36"/>
  <c r="CA359" i="36"/>
  <c r="CA357" i="36"/>
  <c r="CA393" i="36"/>
  <c r="CA392" i="36"/>
  <c r="CA395" i="36"/>
  <c r="CB228" i="36"/>
  <c r="CB230" i="36"/>
  <c r="CB304" i="36"/>
  <c r="CB303" i="36"/>
  <c r="CB306" i="36"/>
  <c r="BV406" i="36"/>
  <c r="BV12" i="36"/>
  <c r="BZ64" i="36"/>
  <c r="BV469" i="36"/>
  <c r="BV481" i="36"/>
  <c r="BZ447" i="36"/>
  <c r="BZ415" i="36"/>
  <c r="BZ20" i="36"/>
  <c r="BZ402" i="36"/>
  <c r="BW421" i="36"/>
  <c r="BY544" i="36"/>
  <c r="BY582" i="36"/>
  <c r="BY434" i="36"/>
  <c r="BY581" i="36"/>
  <c r="BY584" i="36"/>
  <c r="BY435" i="36"/>
  <c r="BY403" i="36"/>
  <c r="DG513" i="36"/>
  <c r="DG497" i="36"/>
  <c r="BZ6" i="36"/>
  <c r="BX550" i="36"/>
  <c r="BX408" i="36"/>
  <c r="BY358" i="36"/>
  <c r="N87" i="21"/>
  <c r="N145" i="21"/>
  <c r="N143" i="21"/>
  <c r="F63" i="14"/>
  <c r="AC23" i="41"/>
  <c r="N518" i="21"/>
  <c r="N578" i="21"/>
  <c r="CA61" i="36"/>
  <c r="CA719" i="36"/>
  <c r="BX547" i="36"/>
  <c r="CA715" i="36"/>
  <c r="BX407" i="36"/>
  <c r="BX13" i="36"/>
  <c r="CB235" i="36"/>
  <c r="CB273" i="36"/>
  <c r="CB231" i="36"/>
  <c r="CB276" i="36"/>
  <c r="CC149" i="36"/>
  <c r="CC146" i="36"/>
  <c r="DG146" i="36"/>
  <c r="DG150" i="36"/>
  <c r="CD443" i="36"/>
  <c r="DG443" i="36"/>
  <c r="CC400" i="36"/>
  <c r="DG400" i="36"/>
  <c r="CC86" i="36"/>
  <c r="DG127" i="36"/>
  <c r="CB106" i="36"/>
  <c r="CB62" i="36"/>
  <c r="CB66" i="36"/>
  <c r="BY80" i="36"/>
  <c r="BZ7" i="36"/>
  <c r="CC303" i="36"/>
  <c r="DG303" i="36"/>
  <c r="CC230" i="36"/>
  <c r="DG272" i="36"/>
  <c r="CC304" i="36"/>
  <c r="DG304" i="36"/>
  <c r="CD306" i="36"/>
  <c r="CC306" i="36"/>
  <c r="DG306" i="36"/>
  <c r="BZ215" i="36"/>
  <c r="BZ89" i="36"/>
  <c r="BY517" i="36"/>
  <c r="BT423" i="36"/>
  <c r="BT38" i="36"/>
  <c r="CE618" i="36"/>
  <c r="CE632" i="36"/>
  <c r="CD590" i="36"/>
  <c r="DG508" i="36"/>
  <c r="CA64" i="36"/>
  <c r="CC499" i="36"/>
  <c r="DG499" i="36"/>
  <c r="DG503" i="36"/>
  <c r="CB105" i="36"/>
  <c r="CB108" i="36"/>
  <c r="CB107" i="36"/>
  <c r="CB65" i="36"/>
  <c r="BX405" i="36"/>
  <c r="BX10" i="36"/>
  <c r="BX14" i="36"/>
  <c r="DG634" i="36"/>
  <c r="CC592" i="36"/>
  <c r="CC665" i="36"/>
  <c r="DG665" i="36"/>
  <c r="CC664" i="36"/>
  <c r="DG664" i="36"/>
  <c r="CD667" i="36"/>
  <c r="CC667" i="36"/>
  <c r="DG667" i="36"/>
  <c r="CA429" i="36"/>
  <c r="CA35" i="36"/>
  <c r="CD143" i="36"/>
  <c r="DG143" i="36"/>
  <c r="CD485" i="36"/>
  <c r="CD532" i="36"/>
  <c r="CD533" i="36"/>
  <c r="CD484" i="36"/>
  <c r="BZ19" i="36"/>
  <c r="BZ364" i="36"/>
  <c r="BZ360" i="36"/>
  <c r="BZ389" i="36"/>
  <c r="CB190" i="36"/>
  <c r="CB189" i="36"/>
  <c r="CB187" i="36"/>
  <c r="CC315" i="36"/>
  <c r="DG315" i="36"/>
  <c r="DG319" i="36"/>
  <c r="BX421" i="36"/>
  <c r="CD614" i="36"/>
  <c r="BX661" i="36"/>
  <c r="BY92" i="36"/>
  <c r="CD180" i="36"/>
  <c r="CA215" i="36"/>
  <c r="BZ495" i="36"/>
  <c r="DG561" i="36"/>
  <c r="CD540" i="36"/>
  <c r="DG540" i="36"/>
  <c r="CC317" i="36"/>
  <c r="CC314" i="36"/>
  <c r="DG314" i="36"/>
  <c r="DG318" i="36"/>
  <c r="CC638" i="36"/>
  <c r="CC635" i="36"/>
  <c r="CC597" i="36"/>
  <c r="DG639" i="36"/>
  <c r="DG164" i="36"/>
  <c r="BW26" i="36"/>
  <c r="CB329" i="36"/>
  <c r="CB341" i="36"/>
  <c r="BY701" i="36"/>
  <c r="DG509" i="36"/>
  <c r="DG493" i="36"/>
  <c r="CA414" i="36"/>
  <c r="CB714" i="36"/>
  <c r="CE487" i="36"/>
  <c r="CA689" i="36"/>
  <c r="BT578" i="36"/>
  <c r="DG821" i="36"/>
  <c r="CD821" i="36"/>
  <c r="DG673" i="36"/>
  <c r="CC705" i="36"/>
  <c r="DG705" i="36"/>
  <c r="CC704" i="36"/>
  <c r="DG704" i="36"/>
  <c r="CC707" i="36"/>
  <c r="DG707" i="36"/>
  <c r="CD535" i="36"/>
  <c r="BR46" i="36"/>
  <c r="BR44" i="36"/>
  <c r="CA329" i="36"/>
  <c r="DG752" i="36"/>
  <c r="CC712" i="36"/>
  <c r="DG712" i="36"/>
  <c r="CD752" i="36"/>
  <c r="CA720" i="36"/>
  <c r="CA716" i="36"/>
  <c r="CB162" i="36"/>
  <c r="CB174" i="36"/>
  <c r="BY419" i="36"/>
  <c r="BY421" i="36"/>
  <c r="BY26" i="36"/>
  <c r="BY439" i="36"/>
  <c r="BY8" i="36"/>
  <c r="BY52" i="36"/>
  <c r="CD618" i="36"/>
  <c r="CC82" i="36"/>
  <c r="DG123" i="36"/>
  <c r="BY437" i="36"/>
  <c r="BY48" i="36"/>
  <c r="CD178" i="36"/>
  <c r="CD177" i="36"/>
  <c r="CA6" i="36"/>
  <c r="BU44" i="36"/>
  <c r="BU45" i="36"/>
  <c r="BU46" i="36"/>
  <c r="CB500" i="36"/>
  <c r="BY436" i="36"/>
  <c r="BY47" i="36"/>
  <c r="CB677" i="36"/>
  <c r="CB676" i="36"/>
  <c r="CB674" i="36"/>
  <c r="CC501" i="36"/>
  <c r="DG502" i="36"/>
  <c r="BZ63" i="36"/>
  <c r="CB263" i="36"/>
  <c r="CB264" i="36"/>
  <c r="CB266" i="36"/>
  <c r="CB756" i="36"/>
  <c r="BZ715" i="36"/>
  <c r="BZ718" i="36"/>
  <c r="BZ717" i="36"/>
  <c r="CF491" i="36"/>
  <c r="CC839" i="36"/>
  <c r="DG839" i="36"/>
  <c r="DG841" i="36"/>
  <c r="CC677" i="36"/>
  <c r="CC674" i="36"/>
  <c r="DG678" i="36"/>
  <c r="BX612" i="36"/>
  <c r="CE671" i="36"/>
  <c r="BZ174" i="36"/>
  <c r="BX52" i="36"/>
  <c r="DG614" i="36"/>
  <c r="BY550" i="36"/>
  <c r="BY408" i="36"/>
  <c r="CD345" i="36"/>
  <c r="CD344" i="36"/>
  <c r="CE347" i="36"/>
  <c r="CB359" i="36"/>
  <c r="CB357" i="36"/>
  <c r="CB392" i="36"/>
  <c r="CB393" i="36"/>
  <c r="CB395" i="36"/>
  <c r="CA827" i="36"/>
  <c r="CA826" i="36"/>
  <c r="CA824" i="36"/>
  <c r="CA517" i="36"/>
  <c r="CA529" i="36"/>
  <c r="CB625" i="36"/>
  <c r="CB626" i="36"/>
  <c r="CB657" i="36"/>
  <c r="CB628" i="36"/>
  <c r="BX549" i="36"/>
  <c r="CC636" i="36"/>
  <c r="DG636" i="36"/>
  <c r="CC598" i="36"/>
  <c r="DG640" i="36"/>
  <c r="BY548" i="36"/>
  <c r="BY409" i="36"/>
  <c r="CB236" i="36"/>
  <c r="CB274" i="36"/>
  <c r="CB232" i="36"/>
  <c r="CA361" i="36"/>
  <c r="CA358" i="36"/>
  <c r="BX742" i="36"/>
  <c r="BX770" i="36"/>
  <c r="DG184" i="36"/>
  <c r="CD184" i="36"/>
  <c r="CA234" i="36"/>
  <c r="CA275" i="36"/>
  <c r="BW410" i="36"/>
  <c r="DG465" i="36"/>
  <c r="CE535" i="36"/>
  <c r="CC736" i="36"/>
  <c r="DG772" i="36"/>
  <c r="CC147" i="36"/>
  <c r="DG147" i="36"/>
  <c r="DG151" i="36"/>
  <c r="DG786" i="36"/>
  <c r="CD786" i="36"/>
  <c r="CB825" i="36"/>
  <c r="CA596" i="36"/>
  <c r="CA595" i="36"/>
  <c r="BW406" i="36"/>
  <c r="BW12" i="36"/>
  <c r="DG104" i="36"/>
  <c r="CC60" i="36"/>
  <c r="CC137" i="36"/>
  <c r="DG137" i="36"/>
  <c r="CC136" i="36"/>
  <c r="DG136" i="36"/>
  <c r="CC139" i="36"/>
  <c r="DG139" i="36"/>
  <c r="CB425" i="36"/>
  <c r="CB31" i="36"/>
  <c r="CA792" i="36"/>
  <c r="CA791" i="36"/>
  <c r="CA789" i="36"/>
  <c r="BZ544" i="36"/>
  <c r="BZ582" i="36"/>
  <c r="BZ434" i="36"/>
  <c r="BZ581" i="36"/>
  <c r="BZ403" i="36"/>
  <c r="BZ584" i="36"/>
  <c r="BZ435" i="36"/>
  <c r="BV432" i="36"/>
  <c r="BV11" i="36"/>
  <c r="BX450" i="36"/>
  <c r="BX452" i="36"/>
  <c r="CC451" i="36"/>
  <c r="DG451" i="36"/>
  <c r="DG455" i="36"/>
  <c r="BZ121" i="36"/>
  <c r="BZ133" i="36"/>
  <c r="DG186" i="36"/>
  <c r="CC219" i="36"/>
  <c r="DG219" i="36"/>
  <c r="CD221" i="36"/>
  <c r="CC218" i="36"/>
  <c r="DG218" i="36"/>
  <c r="CC221" i="36"/>
  <c r="DG221" i="36"/>
  <c r="BY259" i="36"/>
  <c r="BY250" i="36"/>
  <c r="BY260" i="36"/>
  <c r="BY288" i="36"/>
  <c r="BY300" i="36"/>
  <c r="CC203" i="36"/>
  <c r="DG203" i="36"/>
  <c r="DG205" i="36"/>
  <c r="BZ358" i="36"/>
  <c r="CC675" i="36"/>
  <c r="DG675" i="36"/>
  <c r="DG679" i="36"/>
  <c r="CC453" i="36"/>
  <c r="DG454" i="36"/>
  <c r="CA650" i="36"/>
  <c r="CA661" i="36"/>
  <c r="CA377" i="36"/>
  <c r="DG102" i="36"/>
  <c r="CD102" i="36"/>
  <c r="CC58" i="36"/>
  <c r="BX92" i="36"/>
  <c r="CB95" i="36"/>
  <c r="CB96" i="36"/>
  <c r="CB98" i="36"/>
  <c r="BX50" i="36"/>
  <c r="BZ233" i="36"/>
  <c r="CB635" i="36"/>
  <c r="CB638" i="36"/>
  <c r="CB637" i="36"/>
  <c r="CB597" i="36"/>
  <c r="CB429" i="36"/>
  <c r="CB35" i="36"/>
  <c r="CB401" i="36"/>
  <c r="DG806" i="36"/>
  <c r="CD347" i="36"/>
  <c r="CA447" i="36"/>
  <c r="CA402" i="36"/>
  <c r="CA7" i="36"/>
  <c r="O451" i="21"/>
  <c r="O449" i="21"/>
  <c r="O391" i="21"/>
  <c r="O331" i="21"/>
  <c r="O329" i="21"/>
  <c r="O271" i="21"/>
  <c r="O269" i="21"/>
  <c r="O211" i="21"/>
  <c r="O209" i="21"/>
  <c r="F11" i="27"/>
  <c r="F9" i="27"/>
  <c r="R29" i="22"/>
  <c r="R287" i="22"/>
  <c r="R75" i="22"/>
  <c r="R329" i="19"/>
  <c r="V308" i="14"/>
  <c r="V304" i="14"/>
  <c r="V301" i="14"/>
  <c r="V294" i="14"/>
  <c r="V321" i="14"/>
  <c r="F5" i="27"/>
  <c r="AC14" i="41"/>
  <c r="AC21" i="41"/>
  <c r="N123" i="21"/>
  <c r="N131" i="21"/>
  <c r="F61" i="14"/>
  <c r="F31" i="14"/>
  <c r="P23" i="41"/>
  <c r="N576" i="21"/>
  <c r="C23" i="41"/>
  <c r="N516" i="21"/>
  <c r="O437" i="21"/>
  <c r="O430" i="21"/>
  <c r="O467" i="21"/>
  <c r="O429" i="21"/>
  <c r="J429" i="21"/>
  <c r="O389" i="21"/>
  <c r="O309" i="21"/>
  <c r="O317" i="21"/>
  <c r="O310" i="21"/>
  <c r="O347" i="21"/>
  <c r="O257" i="21"/>
  <c r="O250" i="21"/>
  <c r="O287" i="21"/>
  <c r="O249" i="21"/>
  <c r="O197" i="21"/>
  <c r="O190" i="21"/>
  <c r="O227" i="21"/>
  <c r="O189" i="21"/>
  <c r="CB61" i="36"/>
  <c r="BZ80" i="36"/>
  <c r="BZ259" i="36"/>
  <c r="BZ250" i="36"/>
  <c r="BZ288" i="36"/>
  <c r="BZ300" i="36"/>
  <c r="DG60" i="36"/>
  <c r="CC96" i="36"/>
  <c r="DG96" i="36"/>
  <c r="CC95" i="36"/>
  <c r="DG95" i="36"/>
  <c r="CC98" i="36"/>
  <c r="DG98" i="36"/>
  <c r="BX566" i="36"/>
  <c r="BX578" i="36"/>
  <c r="CC755" i="36"/>
  <c r="CC758" i="36"/>
  <c r="CC719" i="36"/>
  <c r="DG759" i="36"/>
  <c r="CC316" i="36"/>
  <c r="DG317" i="36"/>
  <c r="CC228" i="36"/>
  <c r="DG228" i="36"/>
  <c r="DG270" i="36"/>
  <c r="CC425" i="36"/>
  <c r="DG471" i="36"/>
  <c r="CC594" i="36"/>
  <c r="DG594" i="36"/>
  <c r="DG598" i="36"/>
  <c r="CB689" i="36"/>
  <c r="CB701" i="36"/>
  <c r="CA341" i="36"/>
  <c r="CE839" i="36"/>
  <c r="CE821" i="36"/>
  <c r="CB64" i="36"/>
  <c r="CE86" i="36"/>
  <c r="CD58" i="36"/>
  <c r="CE102" i="36"/>
  <c r="BV423" i="36"/>
  <c r="BV433" i="36"/>
  <c r="BV38" i="36"/>
  <c r="BV29" i="36"/>
  <c r="BV44" i="36"/>
  <c r="BV45" i="36"/>
  <c r="CC106" i="36"/>
  <c r="CC66" i="36"/>
  <c r="DG110" i="36"/>
  <c r="CE786" i="36"/>
  <c r="CD203" i="36"/>
  <c r="CD315" i="36"/>
  <c r="BY49" i="36"/>
  <c r="CE147" i="36"/>
  <c r="CE177" i="36"/>
  <c r="CE178" i="36"/>
  <c r="BR45" i="36"/>
  <c r="CA701" i="36"/>
  <c r="CB377" i="36"/>
  <c r="DG572" i="36"/>
  <c r="DG541" i="36"/>
  <c r="CE532" i="36"/>
  <c r="CE485" i="36"/>
  <c r="CE484" i="36"/>
  <c r="CE533" i="36"/>
  <c r="BT29" i="36"/>
  <c r="DG86" i="36"/>
  <c r="CC148" i="36"/>
  <c r="DG149" i="36"/>
  <c r="CD499" i="36"/>
  <c r="CD60" i="36"/>
  <c r="CD136" i="36"/>
  <c r="CD137" i="36"/>
  <c r="CD82" i="36"/>
  <c r="BZ437" i="36"/>
  <c r="BZ48" i="36"/>
  <c r="DG736" i="36"/>
  <c r="BZ419" i="36"/>
  <c r="BZ553" i="36"/>
  <c r="CD504" i="36"/>
  <c r="CC357" i="36"/>
  <c r="DG357" i="36"/>
  <c r="DG355" i="36"/>
  <c r="CC393" i="36"/>
  <c r="DG393" i="36"/>
  <c r="CC392" i="36"/>
  <c r="DG392" i="36"/>
  <c r="CC395" i="36"/>
  <c r="DG395" i="36"/>
  <c r="BX622" i="36"/>
  <c r="CD453" i="36"/>
  <c r="BZ92" i="36"/>
  <c r="CD147" i="36"/>
  <c r="BY553" i="36"/>
  <c r="BY547" i="36"/>
  <c r="CD839" i="36"/>
  <c r="CA19" i="36"/>
  <c r="CA364" i="36"/>
  <c r="CC596" i="36"/>
  <c r="CC593" i="36"/>
  <c r="DG597" i="36"/>
  <c r="CE540" i="36"/>
  <c r="CC625" i="36"/>
  <c r="DG625" i="36"/>
  <c r="DG592" i="36"/>
  <c r="CC626" i="36"/>
  <c r="DG626" i="36"/>
  <c r="CC657" i="36"/>
  <c r="CC628" i="36"/>
  <c r="DG628" i="36"/>
  <c r="DG568" i="36"/>
  <c r="BT433" i="36"/>
  <c r="CF487" i="36"/>
  <c r="CE203" i="36"/>
  <c r="CE184" i="36"/>
  <c r="CC825" i="36"/>
  <c r="DG825" i="36"/>
  <c r="DG829" i="36"/>
  <c r="DG58" i="36"/>
  <c r="CC827" i="36"/>
  <c r="CC824" i="36"/>
  <c r="DG828" i="36"/>
  <c r="CD451" i="36"/>
  <c r="BX12" i="36"/>
  <c r="BZ439" i="36"/>
  <c r="BZ8" i="36"/>
  <c r="BZ52" i="36"/>
  <c r="CC108" i="36"/>
  <c r="CC105" i="36"/>
  <c r="CC65" i="36"/>
  <c r="DG109" i="36"/>
  <c r="BZ547" i="36"/>
  <c r="BZ550" i="36"/>
  <c r="BZ549" i="36"/>
  <c r="BZ408" i="36"/>
  <c r="DG383" i="36"/>
  <c r="CD317" i="36"/>
  <c r="CD314" i="36"/>
  <c r="CG491" i="36"/>
  <c r="CB517" i="36"/>
  <c r="CB529" i="36"/>
  <c r="CD149" i="36"/>
  <c r="CD146" i="36"/>
  <c r="CD712" i="36"/>
  <c r="CE752" i="36"/>
  <c r="CE675" i="36"/>
  <c r="CD704" i="36"/>
  <c r="CD705" i="36"/>
  <c r="CA456" i="36"/>
  <c r="DG635" i="36"/>
  <c r="BX26" i="36"/>
  <c r="BX410" i="36"/>
  <c r="CD638" i="36"/>
  <c r="CD635" i="36"/>
  <c r="CB792" i="36"/>
  <c r="CB791" i="36"/>
  <c r="CB789" i="36"/>
  <c r="DG515" i="36"/>
  <c r="CD304" i="36"/>
  <c r="CD228" i="36"/>
  <c r="CD230" i="36"/>
  <c r="CD266" i="36"/>
  <c r="CD303" i="36"/>
  <c r="CB234" i="36"/>
  <c r="CB275" i="36"/>
  <c r="CB415" i="36"/>
  <c r="CB20" i="36"/>
  <c r="CB447" i="36"/>
  <c r="CB402" i="36"/>
  <c r="CB7" i="36"/>
  <c r="CA360" i="36"/>
  <c r="CA389" i="36"/>
  <c r="CD675" i="36"/>
  <c r="BZ548" i="36"/>
  <c r="BZ409" i="36"/>
  <c r="CC756" i="36"/>
  <c r="DG756" i="36"/>
  <c r="CC720" i="36"/>
  <c r="DG760" i="36"/>
  <c r="CB596" i="36"/>
  <c r="CB595" i="36"/>
  <c r="CB593" i="36"/>
  <c r="CD86" i="36"/>
  <c r="BZ742" i="36"/>
  <c r="BZ734" i="36"/>
  <c r="BZ743" i="36"/>
  <c r="BZ770" i="36"/>
  <c r="BZ781" i="36"/>
  <c r="CE139" i="36"/>
  <c r="CC187" i="36"/>
  <c r="DG187" i="36"/>
  <c r="CC190" i="36"/>
  <c r="DG191" i="36"/>
  <c r="CD139" i="36"/>
  <c r="CB6" i="36"/>
  <c r="BW15" i="36"/>
  <c r="BW404" i="36"/>
  <c r="BX781" i="36"/>
  <c r="BY405" i="36"/>
  <c r="BY10" i="36"/>
  <c r="BY14" i="36"/>
  <c r="BY407" i="36"/>
  <c r="BY13" i="36"/>
  <c r="DG674" i="36"/>
  <c r="BY50" i="36"/>
  <c r="BY24" i="36"/>
  <c r="BY410" i="36"/>
  <c r="CD707" i="36"/>
  <c r="CC637" i="36"/>
  <c r="DG638" i="36"/>
  <c r="CE143" i="36"/>
  <c r="CD592" i="36"/>
  <c r="CD664" i="36"/>
  <c r="CD665" i="36"/>
  <c r="BY469" i="36"/>
  <c r="BY481" i="36"/>
  <c r="DG230" i="36"/>
  <c r="CC263" i="36"/>
  <c r="DG263" i="36"/>
  <c r="CC264" i="36"/>
  <c r="DG264" i="36"/>
  <c r="CC266" i="36"/>
  <c r="DG266" i="36"/>
  <c r="DG444" i="36"/>
  <c r="CC401" i="36"/>
  <c r="DG401" i="36"/>
  <c r="CE180" i="36"/>
  <c r="CA850" i="36"/>
  <c r="CA415" i="36"/>
  <c r="CA20" i="36"/>
  <c r="DG82" i="36"/>
  <c r="CC235" i="36"/>
  <c r="DG235" i="36"/>
  <c r="CC273" i="36"/>
  <c r="CC276" i="36"/>
  <c r="DG277" i="36"/>
  <c r="CD219" i="36"/>
  <c r="CD218" i="36"/>
  <c r="BZ436" i="36"/>
  <c r="BZ47" i="36"/>
  <c r="BZ49" i="36"/>
  <c r="CA804" i="36"/>
  <c r="CA815" i="36"/>
  <c r="BW11" i="36"/>
  <c r="CA233" i="36"/>
  <c r="BX734" i="36"/>
  <c r="CB755" i="36"/>
  <c r="CB719" i="36"/>
  <c r="CB758" i="36"/>
  <c r="CB757" i="36"/>
  <c r="CB827" i="36"/>
  <c r="CB826" i="36"/>
  <c r="CB850" i="36"/>
  <c r="CB824" i="36"/>
  <c r="CC676" i="36"/>
  <c r="DG677" i="36"/>
  <c r="CB720" i="36"/>
  <c r="CB716" i="36"/>
  <c r="DG501" i="36"/>
  <c r="CA495" i="36"/>
  <c r="CE499" i="36"/>
  <c r="CB215" i="36"/>
  <c r="CF632" i="36"/>
  <c r="CE590" i="36"/>
  <c r="CE443" i="36"/>
  <c r="CD400" i="36"/>
  <c r="CA718" i="36"/>
  <c r="CA717" i="36"/>
  <c r="BW566" i="36"/>
  <c r="BW432" i="36"/>
  <c r="CA89" i="36"/>
  <c r="CA121" i="36"/>
  <c r="CA133" i="36"/>
  <c r="CC790" i="36"/>
  <c r="DG790" i="36"/>
  <c r="DG794" i="36"/>
  <c r="CA742" i="36"/>
  <c r="CA734" i="36"/>
  <c r="CA770" i="36"/>
  <c r="CA781" i="36"/>
  <c r="CB361" i="36"/>
  <c r="CC792" i="36"/>
  <c r="CC789" i="36"/>
  <c r="DG793" i="36"/>
  <c r="DG453" i="36"/>
  <c r="BZ260" i="36"/>
  <c r="CB456" i="36"/>
  <c r="CB414" i="36"/>
  <c r="CD501" i="36"/>
  <c r="CA621" i="36"/>
  <c r="CC188" i="36"/>
  <c r="DG188" i="36"/>
  <c r="DG192" i="36"/>
  <c r="CA544" i="36"/>
  <c r="CA581" i="36"/>
  <c r="CA582" i="36"/>
  <c r="CA434" i="36"/>
  <c r="CA584" i="36"/>
  <c r="CA435" i="36"/>
  <c r="CA403" i="36"/>
  <c r="CE315" i="36"/>
  <c r="CE345" i="36"/>
  <c r="CE344" i="36"/>
  <c r="CF347" i="36"/>
  <c r="BY549" i="36"/>
  <c r="CF671" i="36"/>
  <c r="BZ421" i="36"/>
  <c r="BZ26" i="36"/>
  <c r="DG823" i="36"/>
  <c r="CD736" i="36"/>
  <c r="CD597" i="36"/>
  <c r="BZ456" i="36"/>
  <c r="DG754" i="36"/>
  <c r="CC714" i="36"/>
  <c r="DG714" i="36"/>
  <c r="DG788" i="36"/>
  <c r="CD636" i="36"/>
  <c r="CD598" i="36"/>
  <c r="CA63" i="36"/>
  <c r="CE614" i="36"/>
  <c r="BY529" i="36"/>
  <c r="CC236" i="36"/>
  <c r="DG236" i="36"/>
  <c r="CC274" i="36"/>
  <c r="DG278" i="36"/>
  <c r="CC418" i="36"/>
  <c r="DG464" i="36"/>
  <c r="F296" i="14"/>
  <c r="F297" i="14"/>
  <c r="F302" i="14"/>
  <c r="F303" i="14"/>
  <c r="F305" i="14"/>
  <c r="F306" i="14"/>
  <c r="F307" i="14"/>
  <c r="F309" i="14"/>
  <c r="F310" i="14"/>
  <c r="F311" i="14"/>
  <c r="F312" i="14"/>
  <c r="F313" i="14"/>
  <c r="F315" i="14"/>
  <c r="F316" i="14"/>
  <c r="F317" i="14"/>
  <c r="F318" i="14"/>
  <c r="F319" i="14"/>
  <c r="F320" i="14"/>
  <c r="E296" i="14"/>
  <c r="E297" i="14"/>
  <c r="T299" i="14"/>
  <c r="W299" i="14"/>
  <c r="E302" i="14"/>
  <c r="E303" i="14"/>
  <c r="E305" i="14"/>
  <c r="E306" i="14"/>
  <c r="E307" i="14"/>
  <c r="E309" i="14"/>
  <c r="E310" i="14"/>
  <c r="E311" i="14"/>
  <c r="E312" i="14"/>
  <c r="E313" i="14"/>
  <c r="E315" i="14"/>
  <c r="E316" i="14"/>
  <c r="E317" i="14"/>
  <c r="E318" i="14"/>
  <c r="E319" i="14"/>
  <c r="E320" i="14"/>
  <c r="D296" i="14"/>
  <c r="D297" i="14"/>
  <c r="D302" i="14"/>
  <c r="D303" i="14"/>
  <c r="D304" i="14"/>
  <c r="D305" i="14"/>
  <c r="D306" i="14"/>
  <c r="D307" i="14"/>
  <c r="D309" i="14"/>
  <c r="D310" i="14"/>
  <c r="D311" i="14"/>
  <c r="D312" i="14"/>
  <c r="D313" i="14"/>
  <c r="D315" i="14"/>
  <c r="D316" i="14"/>
  <c r="D317" i="14"/>
  <c r="D318" i="14"/>
  <c r="D319" i="14"/>
  <c r="D320" i="14"/>
  <c r="P21" i="41"/>
  <c r="P14" i="41"/>
  <c r="C21" i="41"/>
  <c r="C14" i="41"/>
  <c r="N504" i="21"/>
  <c r="N497" i="21"/>
  <c r="N534" i="21"/>
  <c r="N496" i="21"/>
  <c r="N556" i="21"/>
  <c r="N564" i="21"/>
  <c r="O377" i="21"/>
  <c r="O369" i="21"/>
  <c r="J369" i="21"/>
  <c r="T303" i="14"/>
  <c r="X303" i="14"/>
  <c r="T302" i="14"/>
  <c r="X302" i="14"/>
  <c r="T316" i="14"/>
  <c r="W316" i="14"/>
  <c r="T306" i="14"/>
  <c r="W306" i="14"/>
  <c r="BV46" i="36"/>
  <c r="T298" i="14"/>
  <c r="X298" i="14"/>
  <c r="T297" i="14"/>
  <c r="W297" i="14"/>
  <c r="T307" i="14"/>
  <c r="X307" i="14"/>
  <c r="BY15" i="36"/>
  <c r="BY404" i="36"/>
  <c r="BY9" i="36"/>
  <c r="CB621" i="36"/>
  <c r="CB612" i="36"/>
  <c r="CB622" i="36"/>
  <c r="CB650" i="36"/>
  <c r="CB661" i="36"/>
  <c r="DG593" i="36"/>
  <c r="DG755" i="36"/>
  <c r="CE636" i="36"/>
  <c r="CE598" i="36"/>
  <c r="CE594" i="36"/>
  <c r="CD755" i="36"/>
  <c r="CD596" i="36"/>
  <c r="CD593" i="36"/>
  <c r="CA437" i="36"/>
  <c r="CA48" i="36"/>
  <c r="CC64" i="36"/>
  <c r="DG65" i="36"/>
  <c r="CE82" i="36"/>
  <c r="DG425" i="36"/>
  <c r="CH491" i="36"/>
  <c r="CC595" i="36"/>
  <c r="DG596" i="36"/>
  <c r="CC359" i="36"/>
  <c r="DG359" i="36"/>
  <c r="DG363" i="36"/>
  <c r="CD105" i="36"/>
  <c r="CD108" i="36"/>
  <c r="CD65" i="36"/>
  <c r="CE451" i="36"/>
  <c r="CB495" i="36"/>
  <c r="BX15" i="36"/>
  <c r="BX404" i="36"/>
  <c r="BX9" i="36"/>
  <c r="CA743" i="36"/>
  <c r="BX743" i="36"/>
  <c r="CE712" i="36"/>
  <c r="CF752" i="36"/>
  <c r="CC232" i="36"/>
  <c r="DG232" i="36"/>
  <c r="DG274" i="36"/>
  <c r="DG789" i="36"/>
  <c r="CF614" i="36"/>
  <c r="DG676" i="36"/>
  <c r="CD187" i="36"/>
  <c r="CD190" i="36"/>
  <c r="DG637" i="36"/>
  <c r="CD235" i="36"/>
  <c r="CD273" i="36"/>
  <c r="CD276" i="36"/>
  <c r="CB804" i="36"/>
  <c r="CB815" i="36"/>
  <c r="CC107" i="36"/>
  <c r="DG108" i="36"/>
  <c r="BZ50" i="36"/>
  <c r="CD96" i="36"/>
  <c r="CD95" i="36"/>
  <c r="DG148" i="36"/>
  <c r="CB89" i="36"/>
  <c r="CB121" i="36"/>
  <c r="CB133" i="36"/>
  <c r="CF532" i="36"/>
  <c r="CF484" i="36"/>
  <c r="CF533" i="36"/>
  <c r="CF485" i="36"/>
  <c r="CA419" i="36"/>
  <c r="CB63" i="36"/>
  <c r="CE228" i="36"/>
  <c r="CE230" i="36"/>
  <c r="CE304" i="36"/>
  <c r="CE303" i="36"/>
  <c r="BX406" i="36"/>
  <c r="DG557" i="36"/>
  <c r="CC62" i="36"/>
  <c r="DG106" i="36"/>
  <c r="CA436" i="36"/>
  <c r="CA47" i="36"/>
  <c r="CD758" i="36"/>
  <c r="CB419" i="36"/>
  <c r="CB24" i="36"/>
  <c r="CB450" i="36"/>
  <c r="CB452" i="36"/>
  <c r="CC791" i="36"/>
  <c r="DG792" i="36"/>
  <c r="CD418" i="36"/>
  <c r="CG632" i="36"/>
  <c r="CF590" i="36"/>
  <c r="CG618" i="36"/>
  <c r="CE188" i="36"/>
  <c r="CE219" i="36"/>
  <c r="CE218" i="36"/>
  <c r="CE221" i="36"/>
  <c r="CF221" i="36"/>
  <c r="CE592" i="36"/>
  <c r="CE664" i="36"/>
  <c r="CE665" i="36"/>
  <c r="CF667" i="36"/>
  <c r="CE667" i="36"/>
  <c r="CD263" i="36"/>
  <c r="CD264" i="36"/>
  <c r="CA450" i="36"/>
  <c r="CA452" i="36"/>
  <c r="CE736" i="36"/>
  <c r="CF203" i="36"/>
  <c r="CF184" i="36"/>
  <c r="CC504" i="36"/>
  <c r="CE136" i="36"/>
  <c r="CE60" i="36"/>
  <c r="CE137" i="36"/>
  <c r="CA550" i="36"/>
  <c r="CA408" i="36"/>
  <c r="CA421" i="36"/>
  <c r="CA26" i="36"/>
  <c r="CC377" i="36"/>
  <c r="DG377" i="36"/>
  <c r="DG379" i="36"/>
  <c r="CD789" i="36"/>
  <c r="CA80" i="36"/>
  <c r="CA92" i="36"/>
  <c r="CD401" i="36"/>
  <c r="CD6" i="36"/>
  <c r="CF618" i="36"/>
  <c r="CA259" i="36"/>
  <c r="CA250" i="36"/>
  <c r="CA260" i="36"/>
  <c r="CA288" i="36"/>
  <c r="CA300" i="36"/>
  <c r="CD188" i="36"/>
  <c r="CC31" i="36"/>
  <c r="CD425" i="36"/>
  <c r="CC189" i="36"/>
  <c r="DG190" i="36"/>
  <c r="BZ405" i="36"/>
  <c r="BZ10" i="36"/>
  <c r="BZ14" i="36"/>
  <c r="CD236" i="36"/>
  <c r="CD274" i="36"/>
  <c r="BZ407" i="36"/>
  <c r="BZ13" i="36"/>
  <c r="CF540" i="36"/>
  <c r="CA410" i="36"/>
  <c r="CA15" i="36"/>
  <c r="CC361" i="36"/>
  <c r="DG362" i="36"/>
  <c r="BZ24" i="36"/>
  <c r="BZ410" i="36"/>
  <c r="CD106" i="36"/>
  <c r="CD66" i="36"/>
  <c r="CF786" i="36"/>
  <c r="CB421" i="36"/>
  <c r="DG316" i="36"/>
  <c r="CE306" i="36"/>
  <c r="CE317" i="36"/>
  <c r="CE316" i="36"/>
  <c r="CE314" i="36"/>
  <c r="BW578" i="36"/>
  <c r="CB19" i="36"/>
  <c r="CB364" i="36"/>
  <c r="CD626" i="36"/>
  <c r="CD625" i="36"/>
  <c r="CD657" i="36"/>
  <c r="CD594" i="36"/>
  <c r="CE790" i="36"/>
  <c r="BZ450" i="36"/>
  <c r="BZ452" i="36"/>
  <c r="CF315" i="36"/>
  <c r="CF345" i="36"/>
  <c r="CF344" i="36"/>
  <c r="CA548" i="36"/>
  <c r="CA409" i="36"/>
  <c r="CA612" i="36"/>
  <c r="CB358" i="36"/>
  <c r="CF443" i="36"/>
  <c r="CE400" i="36"/>
  <c r="CF535" i="36"/>
  <c r="BW9" i="36"/>
  <c r="BZ566" i="36"/>
  <c r="BZ578" i="36"/>
  <c r="DG824" i="36"/>
  <c r="CC650" i="36"/>
  <c r="CG671" i="36"/>
  <c r="CC402" i="36"/>
  <c r="DG445" i="36"/>
  <c r="CC716" i="36"/>
  <c r="DG716" i="36"/>
  <c r="DG720" i="36"/>
  <c r="CD714" i="36"/>
  <c r="CC23" i="36"/>
  <c r="DG23" i="36"/>
  <c r="DG418" i="36"/>
  <c r="CD825" i="36"/>
  <c r="CB544" i="36"/>
  <c r="CB581" i="36"/>
  <c r="CB582" i="36"/>
  <c r="CB434" i="36"/>
  <c r="CB584" i="36"/>
  <c r="CB435" i="36"/>
  <c r="CB403" i="36"/>
  <c r="CD500" i="36"/>
  <c r="CB715" i="36"/>
  <c r="CB718" i="36"/>
  <c r="CB717" i="36"/>
  <c r="CC414" i="36"/>
  <c r="DG460" i="36"/>
  <c r="CF143" i="36"/>
  <c r="CE501" i="36"/>
  <c r="CB233" i="36"/>
  <c r="CD637" i="36"/>
  <c r="CE704" i="36"/>
  <c r="CE705" i="36"/>
  <c r="CF707" i="36"/>
  <c r="CD148" i="36"/>
  <c r="CD316" i="36"/>
  <c r="CC826" i="36"/>
  <c r="DG827" i="36"/>
  <c r="CE628" i="36"/>
  <c r="CE504" i="36"/>
  <c r="CD357" i="36"/>
  <c r="CD392" i="36"/>
  <c r="CD393" i="36"/>
  <c r="CF178" i="36"/>
  <c r="CF177" i="36"/>
  <c r="CF180" i="36"/>
  <c r="CF86" i="36"/>
  <c r="CF102" i="36"/>
  <c r="CE58" i="36"/>
  <c r="CF821" i="36"/>
  <c r="CC715" i="36"/>
  <c r="DG715" i="36"/>
  <c r="CC718" i="36"/>
  <c r="DG719" i="36"/>
  <c r="CE453" i="36"/>
  <c r="CC231" i="36"/>
  <c r="DG231" i="36"/>
  <c r="DG273" i="36"/>
  <c r="CD31" i="36"/>
  <c r="CC358" i="36"/>
  <c r="DG358" i="36"/>
  <c r="DG353" i="36"/>
  <c r="CE146" i="36"/>
  <c r="CE149" i="36"/>
  <c r="CE148" i="36"/>
  <c r="CC61" i="36"/>
  <c r="DG105" i="36"/>
  <c r="CD674" i="36"/>
  <c r="CD677" i="36"/>
  <c r="CD792" i="36"/>
  <c r="CD719" i="36"/>
  <c r="CA439" i="36"/>
  <c r="CA8" i="36"/>
  <c r="CA52" i="36"/>
  <c r="CD498" i="36"/>
  <c r="BW423" i="36"/>
  <c r="BW38" i="36"/>
  <c r="BX432" i="36"/>
  <c r="BX469" i="36"/>
  <c r="CC234" i="36"/>
  <c r="DG234" i="36"/>
  <c r="CC275" i="36"/>
  <c r="DG276" i="36"/>
  <c r="CC429" i="36"/>
  <c r="DG429" i="36"/>
  <c r="DG475" i="36"/>
  <c r="CE266" i="36"/>
  <c r="BY406" i="36"/>
  <c r="BY12" i="36"/>
  <c r="CC6" i="36"/>
  <c r="DG6" i="36"/>
  <c r="CD628" i="36"/>
  <c r="CE707" i="36"/>
  <c r="CD395" i="36"/>
  <c r="BT46" i="36"/>
  <c r="BT44" i="36"/>
  <c r="DG545" i="36"/>
  <c r="DG558" i="36"/>
  <c r="DG542" i="36"/>
  <c r="DG66" i="36"/>
  <c r="CC757" i="36"/>
  <c r="DG758" i="36"/>
  <c r="CD98" i="36"/>
  <c r="T305" i="14"/>
  <c r="X305" i="14"/>
  <c r="T296" i="14"/>
  <c r="X296" i="14"/>
  <c r="T313" i="14"/>
  <c r="X313" i="14"/>
  <c r="T318" i="14"/>
  <c r="W318" i="14"/>
  <c r="T319" i="14"/>
  <c r="W319" i="14"/>
  <c r="T317" i="14"/>
  <c r="W317" i="14"/>
  <c r="T309" i="14"/>
  <c r="W309" i="14"/>
  <c r="T320" i="14"/>
  <c r="W320" i="14"/>
  <c r="T312" i="14"/>
  <c r="X312" i="14"/>
  <c r="T315" i="14"/>
  <c r="X315" i="14"/>
  <c r="T310" i="14"/>
  <c r="X299" i="14"/>
  <c r="X306" i="14"/>
  <c r="T311" i="14"/>
  <c r="Q89" i="10"/>
  <c r="Q93" i="10"/>
  <c r="R93" i="10"/>
  <c r="R85" i="10"/>
  <c r="R84" i="10"/>
  <c r="R83" i="10"/>
  <c r="R79" i="10"/>
  <c r="R78" i="10"/>
  <c r="R62" i="10"/>
  <c r="R61" i="10"/>
  <c r="R60" i="10"/>
  <c r="R55" i="10"/>
  <c r="R46" i="10"/>
  <c r="R73" i="10"/>
  <c r="R72" i="10"/>
  <c r="R70" i="10"/>
  <c r="R69" i="10"/>
  <c r="R68" i="10"/>
  <c r="R44" i="10"/>
  <c r="R43" i="10"/>
  <c r="R41" i="10"/>
  <c r="R40" i="10"/>
  <c r="R39" i="10"/>
  <c r="R37" i="10"/>
  <c r="R36" i="10"/>
  <c r="R34" i="10"/>
  <c r="R33" i="10"/>
  <c r="R32" i="10"/>
  <c r="R29" i="10"/>
  <c r="R27" i="10"/>
  <c r="R26" i="10"/>
  <c r="R25" i="10"/>
  <c r="C10" i="41"/>
  <c r="C28" i="41"/>
  <c r="W302" i="14"/>
  <c r="O368" i="21"/>
  <c r="O370" i="21"/>
  <c r="O407" i="21"/>
  <c r="W298" i="14"/>
  <c r="W303" i="14"/>
  <c r="X297" i="14"/>
  <c r="X316" i="14"/>
  <c r="W307" i="14"/>
  <c r="DG650" i="36"/>
  <c r="W305" i="14"/>
  <c r="BZ15" i="36"/>
  <c r="BZ404" i="36"/>
  <c r="BZ9" i="36"/>
  <c r="CA50" i="36"/>
  <c r="W296" i="14"/>
  <c r="CD791" i="36"/>
  <c r="CB26" i="36"/>
  <c r="CB410" i="36"/>
  <c r="CD757" i="36"/>
  <c r="CE498" i="36"/>
  <c r="BY11" i="36"/>
  <c r="CC233" i="36"/>
  <c r="DG275" i="36"/>
  <c r="BW29" i="36"/>
  <c r="CE162" i="36"/>
  <c r="CE174" i="36"/>
  <c r="CF146" i="36"/>
  <c r="CF149" i="36"/>
  <c r="CF148" i="36"/>
  <c r="CE377" i="36"/>
  <c r="CB259" i="36"/>
  <c r="CB250" i="36"/>
  <c r="CB260" i="36"/>
  <c r="CB288" i="36"/>
  <c r="CB300" i="36"/>
  <c r="DG414" i="36"/>
  <c r="DG546" i="36"/>
  <c r="CE756" i="36"/>
  <c r="CC415" i="36"/>
  <c r="DG461" i="36"/>
  <c r="CG499" i="36"/>
  <c r="CG535" i="36"/>
  <c r="CA405" i="36"/>
  <c r="CA10" i="36"/>
  <c r="CA14" i="36"/>
  <c r="CD414" i="36"/>
  <c r="CF137" i="36"/>
  <c r="CF60" i="36"/>
  <c r="CF136" i="36"/>
  <c r="CF139" i="36"/>
  <c r="CG184" i="36"/>
  <c r="CF635" i="36"/>
  <c r="CF638" i="36"/>
  <c r="CF637" i="36"/>
  <c r="CF230" i="36"/>
  <c r="CF228" i="36"/>
  <c r="CF304" i="36"/>
  <c r="CF303" i="36"/>
  <c r="CG487" i="36"/>
  <c r="CD61" i="36"/>
  <c r="CC717" i="36"/>
  <c r="DG718" i="36"/>
  <c r="DG448" i="36"/>
  <c r="CC447" i="36"/>
  <c r="DG447" i="36"/>
  <c r="CA622" i="36"/>
  <c r="CD189" i="36"/>
  <c r="BW433" i="36"/>
  <c r="CD676" i="36"/>
  <c r="CG839" i="36"/>
  <c r="CG821" i="36"/>
  <c r="CG147" i="36"/>
  <c r="CG178" i="36"/>
  <c r="CG177" i="36"/>
  <c r="CG180" i="36"/>
  <c r="CD359" i="36"/>
  <c r="CC850" i="36"/>
  <c r="DG850" i="36"/>
  <c r="DG826" i="36"/>
  <c r="CG675" i="36"/>
  <c r="CF704" i="36"/>
  <c r="CF705" i="36"/>
  <c r="CE500" i="36"/>
  <c r="DG467" i="36"/>
  <c r="CB439" i="36"/>
  <c r="CB8" i="36"/>
  <c r="CB52" i="36"/>
  <c r="CE758" i="36"/>
  <c r="CE757" i="36"/>
  <c r="CE755" i="36"/>
  <c r="CH671" i="36"/>
  <c r="CB742" i="36"/>
  <c r="CB734" i="36"/>
  <c r="CB743" i="36"/>
  <c r="CB770" i="36"/>
  <c r="CB781" i="36"/>
  <c r="CB15" i="36"/>
  <c r="CE638" i="36"/>
  <c r="CE635" i="36"/>
  <c r="CE597" i="36"/>
  <c r="CD429" i="36"/>
  <c r="CE106" i="36"/>
  <c r="CE62" i="36"/>
  <c r="CE66" i="36"/>
  <c r="CG614" i="36"/>
  <c r="DG564" i="36"/>
  <c r="CF451" i="36"/>
  <c r="CF712" i="36"/>
  <c r="CG752" i="36"/>
  <c r="DG496" i="36"/>
  <c r="CC495" i="36"/>
  <c r="DG495" i="36"/>
  <c r="CE357" i="36"/>
  <c r="CE359" i="36"/>
  <c r="CE392" i="36"/>
  <c r="CE393" i="36"/>
  <c r="CF395" i="36"/>
  <c r="DG212" i="36"/>
  <c r="CC215" i="36"/>
  <c r="DG215" i="36"/>
  <c r="DG189" i="36"/>
  <c r="DG504" i="36"/>
  <c r="CC498" i="36"/>
  <c r="DG498" i="36"/>
  <c r="CC500" i="36"/>
  <c r="CH487" i="36"/>
  <c r="CG485" i="36"/>
  <c r="CG484" i="36"/>
  <c r="CG533" i="36"/>
  <c r="CG532" i="36"/>
  <c r="CD715" i="36"/>
  <c r="DG757" i="36"/>
  <c r="CF839" i="36"/>
  <c r="CF147" i="36"/>
  <c r="CD358" i="36"/>
  <c r="CD361" i="36"/>
  <c r="CF597" i="36"/>
  <c r="CC456" i="36"/>
  <c r="CB437" i="36"/>
  <c r="CB48" i="36"/>
  <c r="CE714" i="36"/>
  <c r="CE401" i="36"/>
  <c r="CE6" i="36"/>
  <c r="CC35" i="36"/>
  <c r="DG35" i="36"/>
  <c r="DG361" i="36"/>
  <c r="BZ406" i="36"/>
  <c r="BZ12" i="36"/>
  <c r="CD232" i="36"/>
  <c r="CH632" i="36"/>
  <c r="CH618" i="36"/>
  <c r="CG590" i="36"/>
  <c r="CB550" i="36"/>
  <c r="CB408" i="36"/>
  <c r="CC553" i="36"/>
  <c r="CA553" i="36"/>
  <c r="CA547" i="36"/>
  <c r="DG107" i="36"/>
  <c r="CG786" i="36"/>
  <c r="CE108" i="36"/>
  <c r="CE107" i="36"/>
  <c r="CE105" i="36"/>
  <c r="CE65" i="36"/>
  <c r="BX481" i="36"/>
  <c r="CC364" i="36"/>
  <c r="CC19" i="36"/>
  <c r="DG19" i="36"/>
  <c r="DG368" i="36"/>
  <c r="CB436" i="36"/>
  <c r="CB47" i="36"/>
  <c r="CG443" i="36"/>
  <c r="CF400" i="36"/>
  <c r="CG315" i="36"/>
  <c r="CG345" i="36"/>
  <c r="CG344" i="36"/>
  <c r="CG347" i="36"/>
  <c r="CF501" i="36"/>
  <c r="CD23" i="36"/>
  <c r="CD756" i="36"/>
  <c r="CD720" i="36"/>
  <c r="BX11" i="36"/>
  <c r="CE273" i="36"/>
  <c r="CE231" i="36"/>
  <c r="CE276" i="36"/>
  <c r="CE235" i="36"/>
  <c r="CA24" i="36"/>
  <c r="CB80" i="36"/>
  <c r="CB92" i="36"/>
  <c r="CF736" i="36"/>
  <c r="CD595" i="36"/>
  <c r="CA404" i="36"/>
  <c r="CA407" i="36"/>
  <c r="CA13" i="36"/>
  <c r="DG62" i="36"/>
  <c r="CD231" i="36"/>
  <c r="CD107" i="36"/>
  <c r="CF453" i="36"/>
  <c r="CE677" i="36"/>
  <c r="CE676" i="36"/>
  <c r="CE674" i="36"/>
  <c r="BX423" i="36"/>
  <c r="BX38" i="36"/>
  <c r="BX29" i="36"/>
  <c r="CD377" i="36"/>
  <c r="CG102" i="36"/>
  <c r="CF58" i="36"/>
  <c r="CG143" i="36"/>
  <c r="CC544" i="36"/>
  <c r="DG544" i="36"/>
  <c r="DG543" i="36"/>
  <c r="CD584" i="36"/>
  <c r="CD435" i="36"/>
  <c r="CC581" i="36"/>
  <c r="DG581" i="36"/>
  <c r="CC582" i="36"/>
  <c r="CC584" i="36"/>
  <c r="CC403" i="36"/>
  <c r="CE418" i="36"/>
  <c r="CE23" i="36"/>
  <c r="CC329" i="36"/>
  <c r="DG338" i="36"/>
  <c r="CB360" i="36"/>
  <c r="CB389" i="36"/>
  <c r="CE187" i="36"/>
  <c r="CE190" i="36"/>
  <c r="CE189" i="36"/>
  <c r="CA49" i="36"/>
  <c r="CE263" i="36"/>
  <c r="CE264" i="36"/>
  <c r="CI491" i="36"/>
  <c r="CE395" i="36"/>
  <c r="CB548" i="36"/>
  <c r="CB409" i="36"/>
  <c r="CF636" i="36"/>
  <c r="BT45" i="36"/>
  <c r="CD650" i="36"/>
  <c r="CF499" i="36"/>
  <c r="CD62" i="36"/>
  <c r="CG540" i="36"/>
  <c r="CF504" i="36"/>
  <c r="CF498" i="36"/>
  <c r="DG31" i="36"/>
  <c r="CD447" i="36"/>
  <c r="CD402" i="36"/>
  <c r="BY566" i="36"/>
  <c r="BY432" i="36"/>
  <c r="CE95" i="36"/>
  <c r="CE96" i="36"/>
  <c r="CE98" i="36"/>
  <c r="CE626" i="36"/>
  <c r="CE625" i="36"/>
  <c r="CE657" i="36"/>
  <c r="CF219" i="36"/>
  <c r="CF218" i="36"/>
  <c r="CE236" i="36"/>
  <c r="CE274" i="36"/>
  <c r="CE232" i="36"/>
  <c r="DG171" i="36"/>
  <c r="CC162" i="36"/>
  <c r="CC661" i="36"/>
  <c r="DG661" i="36"/>
  <c r="DG698" i="36"/>
  <c r="CC689" i="36"/>
  <c r="CD790" i="36"/>
  <c r="CE329" i="36"/>
  <c r="CE341" i="36"/>
  <c r="CE425" i="36"/>
  <c r="CD827" i="36"/>
  <c r="CD824" i="36"/>
  <c r="DG61" i="36"/>
  <c r="CF82" i="36"/>
  <c r="CC7" i="36"/>
  <c r="DG7" i="36"/>
  <c r="DG402" i="36"/>
  <c r="CF317" i="36"/>
  <c r="CF316" i="36"/>
  <c r="CF314" i="36"/>
  <c r="CE719" i="36"/>
  <c r="CF592" i="36"/>
  <c r="CF665" i="36"/>
  <c r="CF664" i="36"/>
  <c r="DG791" i="36"/>
  <c r="CF306" i="36"/>
  <c r="CD234" i="36"/>
  <c r="CD275" i="36"/>
  <c r="CC621" i="36"/>
  <c r="DG658" i="36"/>
  <c r="CD64" i="36"/>
  <c r="DG595" i="36"/>
  <c r="CC63" i="36"/>
  <c r="DG64" i="36"/>
  <c r="CB553" i="36"/>
  <c r="CB547" i="36"/>
  <c r="X317" i="14"/>
  <c r="X319" i="14"/>
  <c r="W313" i="14"/>
  <c r="X318" i="14"/>
  <c r="X309" i="14"/>
  <c r="W315" i="14"/>
  <c r="X320" i="14"/>
  <c r="W312" i="14"/>
  <c r="W310" i="14"/>
  <c r="X310" i="14"/>
  <c r="W311" i="14"/>
  <c r="X311" i="14"/>
  <c r="R23" i="10"/>
  <c r="R20" i="10"/>
  <c r="R19" i="10"/>
  <c r="CB49" i="36"/>
  <c r="CB50" i="36"/>
  <c r="CF755" i="36"/>
  <c r="CF789" i="36"/>
  <c r="CF593" i="36"/>
  <c r="CE715" i="36"/>
  <c r="CD661" i="36"/>
  <c r="CD7" i="36"/>
  <c r="CE215" i="36"/>
  <c r="BX44" i="36"/>
  <c r="BX45" i="36"/>
  <c r="BX46" i="36"/>
  <c r="DG364" i="36"/>
  <c r="CF329" i="36"/>
  <c r="CF341" i="36"/>
  <c r="CH540" i="36"/>
  <c r="CB405" i="36"/>
  <c r="CB10" i="36"/>
  <c r="CB14" i="36"/>
  <c r="CF266" i="36"/>
  <c r="DG403" i="36"/>
  <c r="CC439" i="36"/>
  <c r="DG439" i="36"/>
  <c r="CC8" i="36"/>
  <c r="DG582" i="36"/>
  <c r="CC434" i="36"/>
  <c r="CC548" i="36"/>
  <c r="DG548" i="36"/>
  <c r="CC409" i="36"/>
  <c r="DG552" i="36"/>
  <c r="BX433" i="36"/>
  <c r="CC89" i="36"/>
  <c r="DG130" i="36"/>
  <c r="CC121" i="36"/>
  <c r="CE825" i="36"/>
  <c r="CG451" i="36"/>
  <c r="CG501" i="36"/>
  <c r="CC421" i="36"/>
  <c r="CH821" i="36"/>
  <c r="CD215" i="36"/>
  <c r="CF274" i="36"/>
  <c r="CF232" i="36"/>
  <c r="CF236" i="36"/>
  <c r="CF96" i="36"/>
  <c r="CF95" i="36"/>
  <c r="CF98" i="36"/>
  <c r="CD456" i="36"/>
  <c r="CE720" i="36"/>
  <c r="CE716" i="36"/>
  <c r="DG162" i="36"/>
  <c r="CC174" i="36"/>
  <c r="DG174" i="36"/>
  <c r="CE637" i="36"/>
  <c r="CG453" i="36"/>
  <c r="DG584" i="36"/>
  <c r="CC435" i="36"/>
  <c r="CH143" i="36"/>
  <c r="CG790" i="36"/>
  <c r="CG504" i="36"/>
  <c r="CG498" i="36"/>
  <c r="CD716" i="36"/>
  <c r="CH443" i="36"/>
  <c r="CG400" i="36"/>
  <c r="CF758" i="36"/>
  <c r="CC742" i="36"/>
  <c r="CC770" i="36"/>
  <c r="DG778" i="36"/>
  <c r="DG500" i="36"/>
  <c r="CE517" i="36"/>
  <c r="CE529" i="36"/>
  <c r="CC547" i="36"/>
  <c r="DG547" i="36"/>
  <c r="CC550" i="36"/>
  <c r="DG551" i="36"/>
  <c r="CC408" i="36"/>
  <c r="DG329" i="36"/>
  <c r="CC341" i="36"/>
  <c r="DG341" i="36"/>
  <c r="CA9" i="36"/>
  <c r="CB469" i="36"/>
  <c r="CB481" i="36"/>
  <c r="CG221" i="36"/>
  <c r="CD415" i="36"/>
  <c r="CD48" i="36"/>
  <c r="CH102" i="36"/>
  <c r="CG58" i="36"/>
  <c r="CE689" i="36"/>
  <c r="CE701" i="36"/>
  <c r="CF792" i="36"/>
  <c r="CF791" i="36"/>
  <c r="CH315" i="36"/>
  <c r="CH345" i="36"/>
  <c r="CH344" i="36"/>
  <c r="CF418" i="36"/>
  <c r="CF23" i="36"/>
  <c r="CD517" i="36"/>
  <c r="CH614" i="36"/>
  <c r="CE447" i="36"/>
  <c r="CE415" i="36"/>
  <c r="CE20" i="36"/>
  <c r="CE402" i="36"/>
  <c r="CE7" i="36"/>
  <c r="CD495" i="36"/>
  <c r="CF825" i="36"/>
  <c r="CG230" i="36"/>
  <c r="CG228" i="36"/>
  <c r="CG304" i="36"/>
  <c r="CG303" i="36"/>
  <c r="CG306" i="36"/>
  <c r="CF108" i="36"/>
  <c r="CF105" i="36"/>
  <c r="CF65" i="36"/>
  <c r="CD35" i="36"/>
  <c r="CC259" i="36"/>
  <c r="CC288" i="36"/>
  <c r="DG297" i="36"/>
  <c r="CD63" i="36"/>
  <c r="BZ432" i="36"/>
  <c r="BZ469" i="36"/>
  <c r="BZ481" i="36"/>
  <c r="CG86" i="36"/>
  <c r="CF500" i="36"/>
  <c r="CE827" i="36"/>
  <c r="CE826" i="36"/>
  <c r="CE850" i="36"/>
  <c r="CE824" i="36"/>
  <c r="CF429" i="36"/>
  <c r="CF401" i="36"/>
  <c r="CF6" i="36"/>
  <c r="CE64" i="36"/>
  <c r="CI632" i="36"/>
  <c r="CH590" i="36"/>
  <c r="BZ11" i="36"/>
  <c r="CF425" i="36"/>
  <c r="CD329" i="36"/>
  <c r="CD718" i="36"/>
  <c r="CF719" i="36"/>
  <c r="CD621" i="36"/>
  <c r="CG60" i="36"/>
  <c r="CG136" i="36"/>
  <c r="CG137" i="36"/>
  <c r="CG139" i="36"/>
  <c r="CH535" i="36"/>
  <c r="DG562" i="36"/>
  <c r="CC419" i="36"/>
  <c r="BW44" i="36"/>
  <c r="BW46" i="36"/>
  <c r="CF675" i="36"/>
  <c r="CF674" i="36"/>
  <c r="CF677" i="36"/>
  <c r="CF676" i="36"/>
  <c r="CG736" i="36"/>
  <c r="CI671" i="36"/>
  <c r="DG717" i="36"/>
  <c r="CG635" i="36"/>
  <c r="CC612" i="36"/>
  <c r="DG621" i="36"/>
  <c r="CG592" i="36"/>
  <c r="CG664" i="36"/>
  <c r="CG665" i="36"/>
  <c r="CG667" i="36"/>
  <c r="CH667" i="36"/>
  <c r="CA469" i="36"/>
  <c r="CA481" i="36"/>
  <c r="CG82" i="36"/>
  <c r="CE275" i="36"/>
  <c r="CE234" i="36"/>
  <c r="CE61" i="36"/>
  <c r="DG553" i="36"/>
  <c r="CE414" i="36"/>
  <c r="CF31" i="36"/>
  <c r="CH139" i="36"/>
  <c r="CF106" i="36"/>
  <c r="CF66" i="36"/>
  <c r="CD19" i="36"/>
  <c r="CD364" i="36"/>
  <c r="CD360" i="36"/>
  <c r="CG188" i="36"/>
  <c r="CG218" i="36"/>
  <c r="CG219" i="36"/>
  <c r="CH221" i="36"/>
  <c r="CD162" i="36"/>
  <c r="CF264" i="36"/>
  <c r="CF263" i="36"/>
  <c r="DG689" i="36"/>
  <c r="CC701" i="36"/>
  <c r="DG701" i="36"/>
  <c r="DG63" i="36"/>
  <c r="CD233" i="36"/>
  <c r="DG812" i="36"/>
  <c r="CC804" i="36"/>
  <c r="CD826" i="36"/>
  <c r="CF187" i="36"/>
  <c r="CF190" i="36"/>
  <c r="CF189" i="36"/>
  <c r="BY423" i="36"/>
  <c r="BY433" i="36"/>
  <c r="BY38" i="36"/>
  <c r="BY29" i="36"/>
  <c r="CF598" i="36"/>
  <c r="CG266" i="36"/>
  <c r="CD544" i="36"/>
  <c r="CD582" i="36"/>
  <c r="CD434" i="36"/>
  <c r="CD581" i="36"/>
  <c r="CD403" i="36"/>
  <c r="CH347" i="36"/>
  <c r="CG317" i="36"/>
  <c r="CG316" i="36"/>
  <c r="CG314" i="36"/>
  <c r="CB404" i="36"/>
  <c r="CB9" i="36"/>
  <c r="CB407" i="36"/>
  <c r="CB13" i="36"/>
  <c r="CC360" i="36"/>
  <c r="CE429" i="36"/>
  <c r="CH533" i="36"/>
  <c r="CH532" i="36"/>
  <c r="CH485" i="36"/>
  <c r="CH484" i="36"/>
  <c r="CF359" i="36"/>
  <c r="CF357" i="36"/>
  <c r="CF392" i="36"/>
  <c r="CF393" i="36"/>
  <c r="CG712" i="36"/>
  <c r="CH752" i="36"/>
  <c r="CE596" i="36"/>
  <c r="CE593" i="36"/>
  <c r="CG705" i="36"/>
  <c r="CG704" i="36"/>
  <c r="CG707" i="36"/>
  <c r="CG146" i="36"/>
  <c r="CG149" i="36"/>
  <c r="CH184" i="36"/>
  <c r="CA549" i="36"/>
  <c r="CE35" i="36"/>
  <c r="DG233" i="36"/>
  <c r="CF714" i="36"/>
  <c r="CF626" i="36"/>
  <c r="CF625" i="36"/>
  <c r="CF657" i="36"/>
  <c r="CF628" i="36"/>
  <c r="CE792" i="36"/>
  <c r="CE789" i="36"/>
  <c r="CF188" i="36"/>
  <c r="BY578" i="36"/>
  <c r="CJ491" i="36"/>
  <c r="CA406" i="36"/>
  <c r="CA12" i="36"/>
  <c r="CE31" i="36"/>
  <c r="CH786" i="36"/>
  <c r="CB549" i="36"/>
  <c r="DG456" i="36"/>
  <c r="CC450" i="36"/>
  <c r="DG450" i="36"/>
  <c r="CC452" i="36"/>
  <c r="CE361" i="36"/>
  <c r="CE358" i="36"/>
  <c r="CH147" i="36"/>
  <c r="CH178" i="36"/>
  <c r="CH177" i="36"/>
  <c r="CH180" i="36"/>
  <c r="CF273" i="36"/>
  <c r="CF276" i="36"/>
  <c r="CF235" i="36"/>
  <c r="CG203" i="36"/>
  <c r="CC20" i="36"/>
  <c r="DG20" i="36"/>
  <c r="DG415" i="36"/>
  <c r="CF162" i="36"/>
  <c r="CF174" i="36"/>
  <c r="P14" i="10"/>
  <c r="H8" i="11" s="1"/>
  <c r="C8" i="11"/>
  <c r="E8" i="11" s="1"/>
  <c r="F8" i="11" s="1"/>
  <c r="J358" i="19"/>
  <c r="T336" i="19"/>
  <c r="I477" i="14" s="1"/>
  <c r="S336" i="19"/>
  <c r="H477" i="14" s="1"/>
  <c r="R336" i="19"/>
  <c r="G477" i="14" s="1"/>
  <c r="T335" i="19"/>
  <c r="I476" i="14" s="1"/>
  <c r="S335" i="19"/>
  <c r="H476" i="14" s="1"/>
  <c r="R335" i="19"/>
  <c r="G476" i="14" s="1"/>
  <c r="M354" i="19"/>
  <c r="Q469" i="14" s="1"/>
  <c r="J354" i="19"/>
  <c r="M357" i="19"/>
  <c r="Q472" i="14" s="1"/>
  <c r="J357" i="19"/>
  <c r="M353" i="19"/>
  <c r="Q468" i="14" s="1"/>
  <c r="J353" i="19"/>
  <c r="M350" i="19"/>
  <c r="Q465" i="14" s="1"/>
  <c r="J350" i="19"/>
  <c r="M355" i="19"/>
  <c r="Q470" i="14" s="1"/>
  <c r="J355" i="19"/>
  <c r="M352" i="19"/>
  <c r="J352" i="19"/>
  <c r="J349" i="19"/>
  <c r="J351" i="19"/>
  <c r="J348" i="19"/>
  <c r="M347" i="19"/>
  <c r="Q462" i="14" s="1"/>
  <c r="M346" i="19"/>
  <c r="J346" i="19"/>
  <c r="M345" i="19"/>
  <c r="J345" i="19"/>
  <c r="M344" i="19"/>
  <c r="J344" i="19"/>
  <c r="T343" i="19"/>
  <c r="I461" i="14" s="1"/>
  <c r="S343" i="19"/>
  <c r="H461" i="14" s="1"/>
  <c r="R343" i="19"/>
  <c r="G461" i="14" s="1"/>
  <c r="Q343" i="19"/>
  <c r="F461" i="14" s="1"/>
  <c r="P343" i="19"/>
  <c r="E461" i="14" s="1"/>
  <c r="O343" i="19"/>
  <c r="D461" i="14" s="1"/>
  <c r="N343" i="19"/>
  <c r="C461" i="14" s="1"/>
  <c r="J343" i="19"/>
  <c r="M342" i="19"/>
  <c r="J342" i="19"/>
  <c r="T339" i="19"/>
  <c r="T338" i="19" s="1"/>
  <c r="I460" i="14" s="1"/>
  <c r="Q339" i="19"/>
  <c r="Q338" i="19" s="1"/>
  <c r="P339" i="19"/>
  <c r="P338" i="19" s="1"/>
  <c r="E460" i="14" s="1"/>
  <c r="O339" i="19"/>
  <c r="O338" i="19" s="1"/>
  <c r="D460" i="14" s="1"/>
  <c r="N339" i="19"/>
  <c r="N338" i="19" s="1"/>
  <c r="C460" i="14" s="1"/>
  <c r="J339" i="19"/>
  <c r="M341" i="19"/>
  <c r="J341" i="19"/>
  <c r="M340" i="19"/>
  <c r="J340" i="19"/>
  <c r="J338" i="19"/>
  <c r="J337" i="19"/>
  <c r="M330" i="19"/>
  <c r="J330" i="19"/>
  <c r="T329" i="19"/>
  <c r="S329" i="19"/>
  <c r="Q329" i="19"/>
  <c r="P329" i="19"/>
  <c r="O329" i="19"/>
  <c r="N329" i="19"/>
  <c r="J329" i="19"/>
  <c r="J328" i="19"/>
  <c r="J327" i="19"/>
  <c r="M326" i="19"/>
  <c r="J326" i="19"/>
  <c r="M325" i="19"/>
  <c r="R108" i="24" s="1"/>
  <c r="R107" i="24" s="1"/>
  <c r="J325" i="19"/>
  <c r="M324" i="19"/>
  <c r="J324" i="19"/>
  <c r="M322" i="19"/>
  <c r="J322" i="19"/>
  <c r="J321" i="19"/>
  <c r="I41" i="20"/>
  <c r="L115" i="20"/>
  <c r="M115" i="20"/>
  <c r="K115" i="20"/>
  <c r="K156" i="20"/>
  <c r="L156" i="20"/>
  <c r="M156" i="20"/>
  <c r="K145" i="20"/>
  <c r="K135" i="20"/>
  <c r="S19" i="1"/>
  <c r="S18" i="1"/>
  <c r="S22" i="1"/>
  <c r="S24" i="1"/>
  <c r="S15" i="1"/>
  <c r="G396" i="14"/>
  <c r="N66" i="19"/>
  <c r="N65" i="19" s="1"/>
  <c r="E425" i="14"/>
  <c r="F425" i="14"/>
  <c r="R66" i="19"/>
  <c r="R65" i="19" s="1"/>
  <c r="H396" i="14"/>
  <c r="U66" i="19"/>
  <c r="U65" i="19" s="1"/>
  <c r="T66" i="19"/>
  <c r="T65" i="19" s="1"/>
  <c r="I425" i="14"/>
  <c r="I396" i="14"/>
  <c r="CD8" i="36"/>
  <c r="CD437" i="36"/>
  <c r="CF804" i="36"/>
  <c r="CF815" i="36"/>
  <c r="CD389" i="36"/>
  <c r="CH636" i="36"/>
  <c r="CH674" i="36"/>
  <c r="CF757" i="36"/>
  <c r="CH712" i="36"/>
  <c r="CI752" i="36"/>
  <c r="CG95" i="36"/>
  <c r="CG96" i="36"/>
  <c r="CI499" i="36"/>
  <c r="CI535" i="36"/>
  <c r="CC734" i="36"/>
  <c r="DG742" i="36"/>
  <c r="CF715" i="36"/>
  <c r="CF275" i="36"/>
  <c r="CF234" i="36"/>
  <c r="CI147" i="36"/>
  <c r="CI178" i="36"/>
  <c r="CI177" i="36"/>
  <c r="CI180" i="36"/>
  <c r="CG148" i="36"/>
  <c r="CF361" i="36"/>
  <c r="CI532" i="36"/>
  <c r="CI485" i="36"/>
  <c r="CI533" i="36"/>
  <c r="CI484" i="36"/>
  <c r="CI487" i="36"/>
  <c r="CF215" i="36"/>
  <c r="CE770" i="36"/>
  <c r="CE781" i="36"/>
  <c r="CF689" i="36"/>
  <c r="CF701" i="36"/>
  <c r="BW45" i="36"/>
  <c r="CG106" i="36"/>
  <c r="CG62" i="36"/>
  <c r="CG66" i="36"/>
  <c r="CD717" i="36"/>
  <c r="CJ632" i="36"/>
  <c r="CI590" i="36"/>
  <c r="CF414" i="36"/>
  <c r="CI344" i="36"/>
  <c r="CI345" i="36"/>
  <c r="CI347" i="36"/>
  <c r="CI143" i="36"/>
  <c r="BY46" i="36"/>
  <c r="CG98" i="36"/>
  <c r="CH839" i="36"/>
  <c r="DG8" i="36"/>
  <c r="CD52" i="36"/>
  <c r="CC52" i="36"/>
  <c r="DG52" i="36"/>
  <c r="CD439" i="36"/>
  <c r="CE718" i="36"/>
  <c r="CE717" i="36"/>
  <c r="CE791" i="36"/>
  <c r="CC407" i="36"/>
  <c r="DG408" i="36"/>
  <c r="CC13" i="36"/>
  <c r="DG13" i="36"/>
  <c r="CG824" i="36"/>
  <c r="CG401" i="36"/>
  <c r="CI839" i="36"/>
  <c r="CI821" i="36"/>
  <c r="CF231" i="36"/>
  <c r="CI786" i="36"/>
  <c r="CA11" i="36"/>
  <c r="CK491" i="36"/>
  <c r="CG714" i="36"/>
  <c r="CH677" i="36"/>
  <c r="CH676" i="36"/>
  <c r="CH736" i="36"/>
  <c r="CE89" i="36"/>
  <c r="CE121" i="36"/>
  <c r="CE133" i="36"/>
  <c r="CD259" i="36"/>
  <c r="CD288" i="36"/>
  <c r="CH664" i="36"/>
  <c r="CH592" i="36"/>
  <c r="CH665" i="36"/>
  <c r="CC24" i="36"/>
  <c r="DG24" i="36"/>
  <c r="CC410" i="36"/>
  <c r="DG419" i="36"/>
  <c r="CG108" i="36"/>
  <c r="CG107" i="36"/>
  <c r="CG105" i="36"/>
  <c r="CG65" i="36"/>
  <c r="CD341" i="36"/>
  <c r="CI614" i="36"/>
  <c r="CD612" i="36"/>
  <c r="CD20" i="36"/>
  <c r="CC549" i="36"/>
  <c r="DG550" i="36"/>
  <c r="CF720" i="36"/>
  <c r="CF718" i="36"/>
  <c r="CF756" i="36"/>
  <c r="BY44" i="36"/>
  <c r="BY45" i="36"/>
  <c r="CC26" i="36"/>
  <c r="DG26" i="36"/>
  <c r="DG421" i="36"/>
  <c r="CG628" i="36"/>
  <c r="CH230" i="36"/>
  <c r="CH228" i="36"/>
  <c r="CH304" i="36"/>
  <c r="CH303" i="36"/>
  <c r="CD89" i="36"/>
  <c r="CD121" i="36"/>
  <c r="DG549" i="36"/>
  <c r="CD850" i="36"/>
  <c r="CE19" i="36"/>
  <c r="CE364" i="36"/>
  <c r="CE360" i="36"/>
  <c r="CJ671" i="36"/>
  <c r="CH60" i="36"/>
  <c r="CH98" i="36"/>
  <c r="CH137" i="36"/>
  <c r="CH136" i="36"/>
  <c r="CI618" i="36"/>
  <c r="DG288" i="36"/>
  <c r="CC300" i="36"/>
  <c r="DG300" i="36"/>
  <c r="CG274" i="36"/>
  <c r="CG236" i="36"/>
  <c r="CE495" i="36"/>
  <c r="CI102" i="36"/>
  <c r="CH58" i="36"/>
  <c r="CD548" i="36"/>
  <c r="CD409" i="36"/>
  <c r="CG677" i="36"/>
  <c r="CG674" i="36"/>
  <c r="CH453" i="36"/>
  <c r="CG758" i="36"/>
  <c r="CG757" i="36"/>
  <c r="CG755" i="36"/>
  <c r="CH705" i="36"/>
  <c r="CH704" i="36"/>
  <c r="CH707" i="36"/>
  <c r="CD436" i="36"/>
  <c r="CD47" i="36"/>
  <c r="CD49" i="36"/>
  <c r="CF377" i="36"/>
  <c r="CD419" i="36"/>
  <c r="CD553" i="36"/>
  <c r="CC622" i="36"/>
  <c r="DG622" i="36"/>
  <c r="DG612" i="36"/>
  <c r="CC250" i="36"/>
  <c r="DG259" i="36"/>
  <c r="CD529" i="36"/>
  <c r="CH314" i="36"/>
  <c r="CH317" i="36"/>
  <c r="CH316" i="36"/>
  <c r="CH82" i="36"/>
  <c r="DG435" i="36"/>
  <c r="CC437" i="36"/>
  <c r="DG437" i="36"/>
  <c r="CC48" i="36"/>
  <c r="CH638" i="36"/>
  <c r="CH637" i="36"/>
  <c r="CH635" i="36"/>
  <c r="CH597" i="36"/>
  <c r="CD804" i="36"/>
  <c r="CI184" i="36"/>
  <c r="CF594" i="36"/>
  <c r="CG636" i="36"/>
  <c r="CG598" i="36"/>
  <c r="CG594" i="36"/>
  <c r="CF62" i="36"/>
  <c r="CF35" i="36"/>
  <c r="CD550" i="36"/>
  <c r="CD408" i="36"/>
  <c r="CG597" i="36"/>
  <c r="CD689" i="36"/>
  <c r="CE63" i="36"/>
  <c r="CF64" i="36"/>
  <c r="CG276" i="36"/>
  <c r="CG235" i="36"/>
  <c r="CG273" i="36"/>
  <c r="CG231" i="36"/>
  <c r="CH86" i="36"/>
  <c r="CC517" i="36"/>
  <c r="DG526" i="36"/>
  <c r="CH501" i="36"/>
  <c r="CG500" i="36"/>
  <c r="DG121" i="36"/>
  <c r="CC133" i="36"/>
  <c r="DG133" i="36"/>
  <c r="CC405" i="36"/>
  <c r="DG409" i="36"/>
  <c r="CC14" i="36"/>
  <c r="DG14" i="36"/>
  <c r="CH451" i="36"/>
  <c r="CG425" i="36"/>
  <c r="DG452" i="36"/>
  <c r="CF650" i="36"/>
  <c r="CF661" i="36"/>
  <c r="CH203" i="36"/>
  <c r="CG359" i="36"/>
  <c r="CG357" i="36"/>
  <c r="CG393" i="36"/>
  <c r="CG392" i="36"/>
  <c r="CC389" i="36"/>
  <c r="DG389" i="36"/>
  <c r="DG360" i="36"/>
  <c r="CE419" i="36"/>
  <c r="CE24" i="36"/>
  <c r="DG804" i="36"/>
  <c r="CC815" i="36"/>
  <c r="DG815" i="36"/>
  <c r="CD174" i="36"/>
  <c r="CG190" i="36"/>
  <c r="CG189" i="36"/>
  <c r="CG187" i="36"/>
  <c r="CG638" i="36"/>
  <c r="CF447" i="36"/>
  <c r="CF415" i="36"/>
  <c r="CF20" i="36"/>
  <c r="CF402" i="36"/>
  <c r="CF7" i="36"/>
  <c r="BZ423" i="36"/>
  <c r="BZ433" i="36"/>
  <c r="BZ38" i="36"/>
  <c r="BZ29" i="36"/>
  <c r="BZ44" i="36"/>
  <c r="BZ45" i="36"/>
  <c r="CF61" i="36"/>
  <c r="CG263" i="36"/>
  <c r="CG264" i="36"/>
  <c r="CH499" i="36"/>
  <c r="CI443" i="36"/>
  <c r="CH400" i="36"/>
  <c r="CD450" i="36"/>
  <c r="CD452" i="36"/>
  <c r="CF596" i="36"/>
  <c r="CF595" i="36"/>
  <c r="CH146" i="36"/>
  <c r="CH149" i="36"/>
  <c r="CH148" i="36"/>
  <c r="CB406" i="36"/>
  <c r="CB12" i="36"/>
  <c r="CF621" i="36"/>
  <c r="CF612" i="36"/>
  <c r="CE595" i="36"/>
  <c r="CE544" i="36"/>
  <c r="CE581" i="36"/>
  <c r="CE582" i="36"/>
  <c r="CE434" i="36"/>
  <c r="CE403" i="36"/>
  <c r="CE584" i="36"/>
  <c r="CE435" i="36"/>
  <c r="CH218" i="36"/>
  <c r="CH219" i="36"/>
  <c r="CE233" i="36"/>
  <c r="CE553" i="36"/>
  <c r="CG625" i="36"/>
  <c r="CG626" i="36"/>
  <c r="CG657" i="36"/>
  <c r="CF827" i="36"/>
  <c r="CF824" i="36"/>
  <c r="CF107" i="36"/>
  <c r="CH306" i="36"/>
  <c r="CF790" i="36"/>
  <c r="CD50" i="36"/>
  <c r="CG825" i="36"/>
  <c r="DG770" i="36"/>
  <c r="CC781" i="36"/>
  <c r="DG781" i="36"/>
  <c r="CG418" i="36"/>
  <c r="CG719" i="36"/>
  <c r="DG89" i="36"/>
  <c r="CC80" i="36"/>
  <c r="CC436" i="36"/>
  <c r="DG436" i="36"/>
  <c r="DG434" i="36"/>
  <c r="CC47" i="36"/>
  <c r="CI540" i="36"/>
  <c r="CD742" i="36"/>
  <c r="CD770" i="36"/>
  <c r="CG395" i="36"/>
  <c r="S13" i="1"/>
  <c r="S11" i="1"/>
  <c r="T45" i="1"/>
  <c r="S45" i="1"/>
  <c r="T40" i="1"/>
  <c r="T30" i="1"/>
  <c r="T13" i="1"/>
  <c r="T11" i="1"/>
  <c r="T24" i="1"/>
  <c r="T19" i="1"/>
  <c r="T18" i="1"/>
  <c r="M145" i="20"/>
  <c r="L166" i="20"/>
  <c r="K166" i="20"/>
  <c r="M166" i="20"/>
  <c r="T51" i="1"/>
  <c r="S51" i="1"/>
  <c r="L145" i="20"/>
  <c r="I145" i="20"/>
  <c r="R9" i="23"/>
  <c r="R10" i="28"/>
  <c r="Q10" i="28"/>
  <c r="P10" i="28"/>
  <c r="R12" i="28"/>
  <c r="F396" i="14"/>
  <c r="E396" i="14"/>
  <c r="CF622" i="36"/>
  <c r="CH790" i="36"/>
  <c r="CF717" i="36"/>
  <c r="CG715" i="36"/>
  <c r="CH689" i="36"/>
  <c r="CH701" i="36"/>
  <c r="CE389" i="36"/>
  <c r="CI674" i="36"/>
  <c r="CI86" i="36"/>
  <c r="CH756" i="36"/>
  <c r="CJ614" i="36"/>
  <c r="CI149" i="36"/>
  <c r="CI148" i="36"/>
  <c r="CI146" i="36"/>
  <c r="DG80" i="36"/>
  <c r="CC92" i="36"/>
  <c r="DG92" i="36"/>
  <c r="CG23" i="36"/>
  <c r="CH188" i="36"/>
  <c r="CF544" i="36"/>
  <c r="CF582" i="36"/>
  <c r="CF434" i="36"/>
  <c r="CF581" i="36"/>
  <c r="CF403" i="36"/>
  <c r="CG637" i="36"/>
  <c r="CF517" i="36"/>
  <c r="CG593" i="36"/>
  <c r="CG596" i="36"/>
  <c r="CG595" i="36"/>
  <c r="CJ184" i="36"/>
  <c r="CF584" i="36"/>
  <c r="CF435" i="36"/>
  <c r="CD421" i="36"/>
  <c r="CC15" i="36"/>
  <c r="DG15" i="36"/>
  <c r="DG410" i="36"/>
  <c r="CD300" i="36"/>
  <c r="CI453" i="36"/>
  <c r="CH758" i="36"/>
  <c r="CH757" i="36"/>
  <c r="CH755" i="36"/>
  <c r="CH719" i="36"/>
  <c r="CJ786" i="36"/>
  <c r="CJ839" i="36"/>
  <c r="CJ821" i="36"/>
  <c r="CG414" i="36"/>
  <c r="CJ315" i="36"/>
  <c r="CJ344" i="36"/>
  <c r="CJ345" i="36"/>
  <c r="CJ347" i="36"/>
  <c r="CI451" i="36"/>
  <c r="CJ178" i="36"/>
  <c r="CJ177" i="36"/>
  <c r="CJ180" i="36"/>
  <c r="CI736" i="36"/>
  <c r="CD405" i="36"/>
  <c r="CD14" i="36"/>
  <c r="CI636" i="36"/>
  <c r="CE259" i="36"/>
  <c r="CE250" i="36"/>
  <c r="CE260" i="36"/>
  <c r="CE288" i="36"/>
  <c r="CE300" i="36"/>
  <c r="CH190" i="36"/>
  <c r="CH189" i="36"/>
  <c r="CH187" i="36"/>
  <c r="CJ443" i="36"/>
  <c r="CI400" i="36"/>
  <c r="DG405" i="36"/>
  <c r="CC10" i="36"/>
  <c r="DG10" i="36"/>
  <c r="CI203" i="36"/>
  <c r="CI705" i="36"/>
  <c r="CI704" i="36"/>
  <c r="CF495" i="36"/>
  <c r="CH95" i="36"/>
  <c r="CH96" i="36"/>
  <c r="CG31" i="36"/>
  <c r="CD250" i="36"/>
  <c r="CG429" i="36"/>
  <c r="CE421" i="36"/>
  <c r="CE456" i="36"/>
  <c r="CJ533" i="36"/>
  <c r="CJ532" i="36"/>
  <c r="CJ484" i="36"/>
  <c r="CJ485" i="36"/>
  <c r="CJ487" i="36"/>
  <c r="CB566" i="36"/>
  <c r="CB578" i="36"/>
  <c r="CB432" i="36"/>
  <c r="CF826" i="36"/>
  <c r="CH792" i="36"/>
  <c r="CH791" i="36"/>
  <c r="CH789" i="36"/>
  <c r="CH425" i="36"/>
  <c r="DG734" i="36"/>
  <c r="CC743" i="36"/>
  <c r="DG743" i="36"/>
  <c r="CE548" i="36"/>
  <c r="CE409" i="36"/>
  <c r="CH418" i="36"/>
  <c r="CH23" i="36"/>
  <c r="CH359" i="36"/>
  <c r="CH357" i="36"/>
  <c r="CH393" i="36"/>
  <c r="CH392" i="36"/>
  <c r="CG275" i="36"/>
  <c r="CG234" i="36"/>
  <c r="CD407" i="36"/>
  <c r="CD13" i="36"/>
  <c r="CD24" i="36"/>
  <c r="CH504" i="36"/>
  <c r="CI60" i="36"/>
  <c r="CI136" i="36"/>
  <c r="CI137" i="36"/>
  <c r="CA566" i="36"/>
  <c r="CA432" i="36"/>
  <c r="CH274" i="36"/>
  <c r="CH232" i="36"/>
  <c r="CH236" i="36"/>
  <c r="CJ535" i="36"/>
  <c r="CE437" i="36"/>
  <c r="CE48" i="36"/>
  <c r="CH401" i="36"/>
  <c r="CH6" i="36"/>
  <c r="CE550" i="36"/>
  <c r="CE549" i="36"/>
  <c r="CE547" i="36"/>
  <c r="CE408" i="36"/>
  <c r="CH395" i="36"/>
  <c r="CH377" i="36"/>
  <c r="CG358" i="36"/>
  <c r="CE621" i="36"/>
  <c r="CE650" i="36"/>
  <c r="CD549" i="36"/>
  <c r="CD815" i="36"/>
  <c r="DG250" i="36"/>
  <c r="CC260" i="36"/>
  <c r="DG260" i="36"/>
  <c r="CH106" i="36"/>
  <c r="CH66" i="36"/>
  <c r="CG756" i="36"/>
  <c r="CG720" i="36"/>
  <c r="CG716" i="36"/>
  <c r="CH276" i="36"/>
  <c r="CH235" i="36"/>
  <c r="CH273" i="36"/>
  <c r="CH231" i="36"/>
  <c r="CG6" i="36"/>
  <c r="CH626" i="36"/>
  <c r="CH625" i="36"/>
  <c r="CH657" i="36"/>
  <c r="CH628" i="36"/>
  <c r="CL491" i="36"/>
  <c r="CG827" i="36"/>
  <c r="CG826" i="36"/>
  <c r="CG850" i="36"/>
  <c r="CI317" i="36"/>
  <c r="CI314" i="36"/>
  <c r="CF456" i="36"/>
  <c r="CF233" i="36"/>
  <c r="CI188" i="36"/>
  <c r="CI218" i="36"/>
  <c r="CI219" i="36"/>
  <c r="CI221" i="36"/>
  <c r="CH621" i="36"/>
  <c r="CH612" i="36"/>
  <c r="CJ540" i="36"/>
  <c r="CD781" i="36"/>
  <c r="CE8" i="36"/>
  <c r="CE439" i="36"/>
  <c r="CF19" i="36"/>
  <c r="CF364" i="36"/>
  <c r="CB11" i="36"/>
  <c r="CI825" i="36"/>
  <c r="CG329" i="36"/>
  <c r="CC432" i="36"/>
  <c r="CC469" i="36"/>
  <c r="DG478" i="36"/>
  <c r="CF439" i="36"/>
  <c r="CG517" i="36"/>
  <c r="CG529" i="36"/>
  <c r="CD547" i="36"/>
  <c r="CH31" i="36"/>
  <c r="CG232" i="36"/>
  <c r="CI139" i="36"/>
  <c r="CH108" i="36"/>
  <c r="CH105" i="36"/>
  <c r="CH65" i="36"/>
  <c r="CH263" i="36"/>
  <c r="CH264" i="36"/>
  <c r="CH266" i="36"/>
  <c r="CG64" i="36"/>
  <c r="CJ667" i="36"/>
  <c r="CI592" i="36"/>
  <c r="CI664" i="36"/>
  <c r="CI665" i="36"/>
  <c r="CI667" i="36"/>
  <c r="CH675" i="36"/>
  <c r="CJ143" i="36"/>
  <c r="CF358" i="36"/>
  <c r="CH598" i="36"/>
  <c r="CH594" i="36"/>
  <c r="CE80" i="36"/>
  <c r="CE92" i="36"/>
  <c r="CC406" i="36"/>
  <c r="DG407" i="36"/>
  <c r="CC12" i="36"/>
  <c r="DG12" i="36"/>
  <c r="CD734" i="36"/>
  <c r="CD743" i="36"/>
  <c r="DG47" i="36"/>
  <c r="CC49" i="36"/>
  <c r="DG49" i="36"/>
  <c r="CI501" i="36"/>
  <c r="CE436" i="36"/>
  <c r="CE47" i="36"/>
  <c r="CG377" i="36"/>
  <c r="CH825" i="36"/>
  <c r="BZ46" i="36"/>
  <c r="CG215" i="36"/>
  <c r="CG361" i="36"/>
  <c r="CF63" i="36"/>
  <c r="CD701" i="36"/>
  <c r="CH593" i="36"/>
  <c r="CH329" i="36"/>
  <c r="CH341" i="36"/>
  <c r="CJ86" i="36"/>
  <c r="CJ102" i="36"/>
  <c r="CI58" i="36"/>
  <c r="CK671" i="36"/>
  <c r="CD133" i="36"/>
  <c r="CG61" i="36"/>
  <c r="CI315" i="36"/>
  <c r="CK632" i="36"/>
  <c r="CJ590" i="36"/>
  <c r="CF360" i="36"/>
  <c r="CF389" i="36"/>
  <c r="CG792" i="36"/>
  <c r="CG789" i="36"/>
  <c r="CH162" i="36"/>
  <c r="CH174" i="36"/>
  <c r="CH827" i="36"/>
  <c r="CH826" i="36"/>
  <c r="CH850" i="36"/>
  <c r="CH824" i="36"/>
  <c r="DG517" i="36"/>
  <c r="CC529" i="36"/>
  <c r="DG529" i="36"/>
  <c r="CC50" i="36"/>
  <c r="DG50" i="36"/>
  <c r="DG48" i="36"/>
  <c r="CI707" i="36"/>
  <c r="CI504" i="36"/>
  <c r="CI498" i="36"/>
  <c r="CG676" i="36"/>
  <c r="CI82" i="36"/>
  <c r="CD80" i="36"/>
  <c r="CI228" i="36"/>
  <c r="CI230" i="36"/>
  <c r="CI303" i="36"/>
  <c r="CI304" i="36"/>
  <c r="CI306" i="36"/>
  <c r="CF716" i="36"/>
  <c r="CD622" i="36"/>
  <c r="CH714" i="36"/>
  <c r="CG447" i="36"/>
  <c r="CG415" i="36"/>
  <c r="CG20" i="36"/>
  <c r="CG402" i="36"/>
  <c r="CG7" i="36"/>
  <c r="CC404" i="36"/>
  <c r="CJ618" i="36"/>
  <c r="CI712" i="36"/>
  <c r="CJ752" i="36"/>
  <c r="R6" i="23"/>
  <c r="Q6" i="23"/>
  <c r="Q9" i="23"/>
  <c r="K125" i="20"/>
  <c r="L125" i="20"/>
  <c r="M125" i="20"/>
  <c r="CH596" i="36"/>
  <c r="CH595" i="36"/>
  <c r="CH622" i="36"/>
  <c r="CE49" i="36"/>
  <c r="CH61" i="36"/>
  <c r="CI675" i="36"/>
  <c r="CI677" i="36"/>
  <c r="CI676" i="36"/>
  <c r="CI755" i="36"/>
  <c r="CF450" i="36"/>
  <c r="CF452" i="36"/>
  <c r="CI758" i="36"/>
  <c r="CI757" i="36"/>
  <c r="CI276" i="36"/>
  <c r="CI235" i="36"/>
  <c r="CI273" i="36"/>
  <c r="CI231" i="36"/>
  <c r="CJ188" i="36"/>
  <c r="CJ219" i="36"/>
  <c r="CJ218" i="36"/>
  <c r="CJ221" i="36"/>
  <c r="CH62" i="36"/>
  <c r="CH447" i="36"/>
  <c r="CH402" i="36"/>
  <c r="CH7" i="36"/>
  <c r="CA423" i="36"/>
  <c r="CA433" i="36"/>
  <c r="CA38" i="36"/>
  <c r="CA29" i="36"/>
  <c r="DG432" i="36"/>
  <c r="CH361" i="36"/>
  <c r="CB423" i="36"/>
  <c r="CB433" i="36"/>
  <c r="CB38" i="36"/>
  <c r="CB29" i="36"/>
  <c r="CK485" i="36"/>
  <c r="CK532" i="36"/>
  <c r="CK484" i="36"/>
  <c r="CK533" i="36"/>
  <c r="CK487" i="36"/>
  <c r="CI418" i="36"/>
  <c r="CI23" i="36"/>
  <c r="CD10" i="36"/>
  <c r="CK147" i="36"/>
  <c r="CK177" i="36"/>
  <c r="CK178" i="36"/>
  <c r="CK180" i="36"/>
  <c r="DG575" i="36"/>
  <c r="CC566" i="36"/>
  <c r="CC578" i="36"/>
  <c r="CJ203" i="36"/>
  <c r="CF419" i="36"/>
  <c r="CF553" i="36"/>
  <c r="CF547" i="36"/>
  <c r="CC9" i="36"/>
  <c r="DG9" i="36"/>
  <c r="DG404" i="36"/>
  <c r="CI108" i="36"/>
  <c r="CI107" i="36"/>
  <c r="CI105" i="36"/>
  <c r="CI65" i="36"/>
  <c r="CD92" i="36"/>
  <c r="CL671" i="36"/>
  <c r="CG770" i="36"/>
  <c r="CG781" i="36"/>
  <c r="CI792" i="36"/>
  <c r="CI791" i="36"/>
  <c r="CI789" i="36"/>
  <c r="DG406" i="36"/>
  <c r="CC11" i="36"/>
  <c r="CG341" i="36"/>
  <c r="CI187" i="36"/>
  <c r="CI190" i="36"/>
  <c r="CM491" i="36"/>
  <c r="CI425" i="36"/>
  <c r="CA578" i="36"/>
  <c r="CH498" i="36"/>
  <c r="CI357" i="36"/>
  <c r="CI393" i="36"/>
  <c r="CI392" i="36"/>
  <c r="CI395" i="36"/>
  <c r="CK839" i="36"/>
  <c r="CK821" i="36"/>
  <c r="CK184" i="36"/>
  <c r="CH500" i="36"/>
  <c r="CF8" i="36"/>
  <c r="CF52" i="36"/>
  <c r="CI162" i="36"/>
  <c r="CI174" i="36"/>
  <c r="CF550" i="36"/>
  <c r="CF408" i="36"/>
  <c r="CK443" i="36"/>
  <c r="CJ400" i="36"/>
  <c r="CF529" i="36"/>
  <c r="CJ736" i="36"/>
  <c r="CI635" i="36"/>
  <c r="CI638" i="36"/>
  <c r="CI597" i="36"/>
  <c r="CJ228" i="36"/>
  <c r="CJ230" i="36"/>
  <c r="CJ304" i="36"/>
  <c r="CJ303" i="36"/>
  <c r="CJ306" i="36"/>
  <c r="CI500" i="36"/>
  <c r="CK143" i="36"/>
  <c r="CG63" i="36"/>
  <c r="CH64" i="36"/>
  <c r="CK540" i="36"/>
  <c r="CF421" i="36"/>
  <c r="CF26" i="36"/>
  <c r="CH650" i="36"/>
  <c r="CH661" i="36"/>
  <c r="CH275" i="36"/>
  <c r="CH234" i="36"/>
  <c r="CH456" i="36"/>
  <c r="CH414" i="36"/>
  <c r="CG233" i="36"/>
  <c r="CI35" i="36"/>
  <c r="CH215" i="36"/>
  <c r="CI714" i="36"/>
  <c r="CD432" i="36"/>
  <c r="CD469" i="36"/>
  <c r="CF437" i="36"/>
  <c r="CF48" i="36"/>
  <c r="CE407" i="36"/>
  <c r="CE13" i="36"/>
  <c r="CH429" i="36"/>
  <c r="CH35" i="36"/>
  <c r="CE804" i="36"/>
  <c r="CE742" i="36"/>
  <c r="CJ451" i="36"/>
  <c r="CJ704" i="36"/>
  <c r="CJ705" i="36"/>
  <c r="CJ707" i="36"/>
  <c r="CG162" i="36"/>
  <c r="CJ314" i="36"/>
  <c r="CJ317" i="36"/>
  <c r="CJ316" i="36"/>
  <c r="CK786" i="36"/>
  <c r="CF436" i="36"/>
  <c r="CF47" i="36"/>
  <c r="CJ712" i="36"/>
  <c r="CK752" i="36"/>
  <c r="CG19" i="36"/>
  <c r="CG364" i="36"/>
  <c r="CG360" i="36"/>
  <c r="CJ499" i="36"/>
  <c r="CG89" i="36"/>
  <c r="CG121" i="36"/>
  <c r="CG133" i="36"/>
  <c r="CL632" i="36"/>
  <c r="CL618" i="36"/>
  <c r="CK590" i="36"/>
  <c r="CK614" i="36"/>
  <c r="CH107" i="36"/>
  <c r="CI719" i="36"/>
  <c r="CF742" i="36"/>
  <c r="CF734" i="36"/>
  <c r="CF743" i="36"/>
  <c r="CF770" i="36"/>
  <c r="CE661" i="36"/>
  <c r="CE50" i="36"/>
  <c r="CI96" i="36"/>
  <c r="CI95" i="36"/>
  <c r="CI98" i="36"/>
  <c r="CH804" i="36"/>
  <c r="CH815" i="36"/>
  <c r="CI598" i="36"/>
  <c r="CF548" i="36"/>
  <c r="CF409" i="36"/>
  <c r="CF89" i="36"/>
  <c r="CF121" i="36"/>
  <c r="CD12" i="36"/>
  <c r="CG791" i="36"/>
  <c r="CI790" i="36"/>
  <c r="CI264" i="36"/>
  <c r="CI263" i="36"/>
  <c r="CI266" i="36"/>
  <c r="CK618" i="36"/>
  <c r="CK86" i="36"/>
  <c r="CK102" i="36"/>
  <c r="CJ58" i="36"/>
  <c r="CI625" i="36"/>
  <c r="CI626" i="36"/>
  <c r="CI657" i="36"/>
  <c r="CI628" i="36"/>
  <c r="DG469" i="36"/>
  <c r="CC481" i="36"/>
  <c r="DG481" i="36"/>
  <c r="CE52" i="36"/>
  <c r="CI316" i="36"/>
  <c r="CE566" i="36"/>
  <c r="CE578" i="36"/>
  <c r="CI106" i="36"/>
  <c r="CI62" i="36"/>
  <c r="CI66" i="36"/>
  <c r="CE405" i="36"/>
  <c r="CE10" i="36"/>
  <c r="CE14" i="36"/>
  <c r="CE450" i="36"/>
  <c r="CE452" i="36"/>
  <c r="CD260" i="36"/>
  <c r="CK499" i="36"/>
  <c r="CK535" i="36"/>
  <c r="CH715" i="36"/>
  <c r="CD26" i="36"/>
  <c r="CD410" i="36"/>
  <c r="CH720" i="36"/>
  <c r="CH718" i="36"/>
  <c r="CH717" i="36"/>
  <c r="CG35" i="36"/>
  <c r="CJ592" i="36"/>
  <c r="CJ664" i="36"/>
  <c r="CJ665" i="36"/>
  <c r="CJ149" i="36"/>
  <c r="CJ146" i="36"/>
  <c r="CI689" i="36"/>
  <c r="CI701" i="36"/>
  <c r="CJ501" i="36"/>
  <c r="CI236" i="36"/>
  <c r="CI274" i="36"/>
  <c r="CJ82" i="36"/>
  <c r="CC423" i="36"/>
  <c r="CC38" i="36"/>
  <c r="CB46" i="36"/>
  <c r="CB44" i="36"/>
  <c r="CB45" i="36"/>
  <c r="CF259" i="36"/>
  <c r="CF288" i="36"/>
  <c r="CF300" i="36"/>
  <c r="CE612" i="36"/>
  <c r="CJ453" i="36"/>
  <c r="CJ504" i="36"/>
  <c r="CJ498" i="36"/>
  <c r="CJ60" i="36"/>
  <c r="CJ136" i="36"/>
  <c r="CJ137" i="36"/>
  <c r="CJ139" i="36"/>
  <c r="CF850" i="36"/>
  <c r="CE26" i="36"/>
  <c r="CE410" i="36"/>
  <c r="CE15" i="36"/>
  <c r="CG495" i="36"/>
  <c r="CI429" i="36"/>
  <c r="CI401" i="36"/>
  <c r="CI6" i="36"/>
  <c r="CJ147" i="36"/>
  <c r="CK315" i="36"/>
  <c r="CK344" i="36"/>
  <c r="CK345" i="36"/>
  <c r="CK347" i="36"/>
  <c r="CG544" i="36"/>
  <c r="CG582" i="36"/>
  <c r="CG434" i="36"/>
  <c r="CG581" i="36"/>
  <c r="CG403" i="36"/>
  <c r="CG584" i="36"/>
  <c r="CG435" i="36"/>
  <c r="CH584" i="36"/>
  <c r="CH435" i="36"/>
  <c r="CG718" i="36"/>
  <c r="L41" i="20"/>
  <c r="K31" i="20"/>
  <c r="Q487" i="19"/>
  <c r="Q491" i="19" s="1"/>
  <c r="F189" i="14" s="1"/>
  <c r="Q13" i="19"/>
  <c r="DG566" i="36"/>
  <c r="CF50" i="36"/>
  <c r="CF49" i="36"/>
  <c r="CJ500" i="36"/>
  <c r="CI61" i="36"/>
  <c r="CJ824" i="36"/>
  <c r="CK636" i="36"/>
  <c r="CI715" i="36"/>
  <c r="CG389" i="36"/>
  <c r="CL184" i="36"/>
  <c r="CK149" i="36"/>
  <c r="CK148" i="36"/>
  <c r="CK146" i="36"/>
  <c r="CH419" i="36"/>
  <c r="CH24" i="36"/>
  <c r="CI447" i="36"/>
  <c r="CI402" i="36"/>
  <c r="CJ105" i="36"/>
  <c r="CJ108" i="36"/>
  <c r="CJ65" i="36"/>
  <c r="CJ675" i="36"/>
  <c r="CG80" i="36"/>
  <c r="CK736" i="36"/>
  <c r="CE404" i="36"/>
  <c r="CE9" i="36"/>
  <c r="CJ755" i="36"/>
  <c r="CJ758" i="36"/>
  <c r="CJ757" i="36"/>
  <c r="CJ235" i="36"/>
  <c r="CJ273" i="36"/>
  <c r="CJ276" i="36"/>
  <c r="CF407" i="36"/>
  <c r="CF13" i="36"/>
  <c r="CK203" i="36"/>
  <c r="DG578" i="36"/>
  <c r="CL147" i="36"/>
  <c r="CL177" i="36"/>
  <c r="CL178" i="36"/>
  <c r="CL180" i="36"/>
  <c r="CL532" i="36"/>
  <c r="CL533" i="36"/>
  <c r="CL485" i="36"/>
  <c r="CL484" i="36"/>
  <c r="CL487" i="36"/>
  <c r="CI594" i="36"/>
  <c r="CH48" i="36"/>
  <c r="CH582" i="36"/>
  <c r="CH434" i="36"/>
  <c r="CH544" i="36"/>
  <c r="CH581" i="36"/>
  <c r="CH403" i="36"/>
  <c r="CH439" i="36"/>
  <c r="CI584" i="36"/>
  <c r="CI435" i="36"/>
  <c r="CJ425" i="36"/>
  <c r="CK592" i="36"/>
  <c r="CK664" i="36"/>
  <c r="CK665" i="36"/>
  <c r="CK667" i="36"/>
  <c r="CD15" i="36"/>
  <c r="CD404" i="36"/>
  <c r="CD406" i="36"/>
  <c r="CF405" i="36"/>
  <c r="CF10" i="36"/>
  <c r="CF14" i="36"/>
  <c r="CL786" i="36"/>
  <c r="CE406" i="36"/>
  <c r="CE12" i="36"/>
  <c r="CH19" i="36"/>
  <c r="CH364" i="36"/>
  <c r="CH450" i="36"/>
  <c r="CH452" i="36"/>
  <c r="CH63" i="36"/>
  <c r="CI596" i="36"/>
  <c r="CI593" i="36"/>
  <c r="CF549" i="36"/>
  <c r="CI361" i="36"/>
  <c r="CN491" i="36"/>
  <c r="CJ635" i="36"/>
  <c r="CJ638" i="36"/>
  <c r="CJ637" i="36"/>
  <c r="CJ597" i="36"/>
  <c r="CJ625" i="36"/>
  <c r="CJ626" i="36"/>
  <c r="CJ657" i="36"/>
  <c r="CJ628" i="36"/>
  <c r="CK451" i="36"/>
  <c r="CG437" i="36"/>
  <c r="CG48" i="36"/>
  <c r="CI456" i="36"/>
  <c r="CI414" i="36"/>
  <c r="CC29" i="36"/>
  <c r="DG29" i="36"/>
  <c r="DG38" i="36"/>
  <c r="CK638" i="36"/>
  <c r="CK637" i="36"/>
  <c r="CK635" i="36"/>
  <c r="CK597" i="36"/>
  <c r="CL675" i="36"/>
  <c r="CK705" i="36"/>
  <c r="CK704" i="36"/>
  <c r="CK707" i="36"/>
  <c r="CE734" i="36"/>
  <c r="CD481" i="36"/>
  <c r="CI377" i="36"/>
  <c r="CL540" i="36"/>
  <c r="CK228" i="36"/>
  <c r="CK230" i="36"/>
  <c r="CK303" i="36"/>
  <c r="CK304" i="36"/>
  <c r="CK306" i="36"/>
  <c r="CI637" i="36"/>
  <c r="CL839" i="36"/>
  <c r="CL821" i="36"/>
  <c r="CC44" i="36"/>
  <c r="CC45" i="36"/>
  <c r="DG11" i="36"/>
  <c r="DP9" i="36"/>
  <c r="CI64" i="36"/>
  <c r="CG456" i="36"/>
  <c r="CK188" i="36"/>
  <c r="CK219" i="36"/>
  <c r="CK218" i="36"/>
  <c r="CK221" i="36"/>
  <c r="CG621" i="36"/>
  <c r="CG650" i="36"/>
  <c r="CK317" i="36"/>
  <c r="CK316" i="36"/>
  <c r="CK314" i="36"/>
  <c r="CE622" i="36"/>
  <c r="CF133" i="36"/>
  <c r="CI824" i="36"/>
  <c r="CI827" i="36"/>
  <c r="CJ329" i="36"/>
  <c r="CJ341" i="36"/>
  <c r="CK674" i="36"/>
  <c r="CD423" i="36"/>
  <c r="CD38" i="36"/>
  <c r="CG92" i="36"/>
  <c r="CJ401" i="36"/>
  <c r="CJ6" i="36"/>
  <c r="CJ429" i="36"/>
  <c r="CJ359" i="36"/>
  <c r="CJ357" i="36"/>
  <c r="CJ393" i="36"/>
  <c r="CJ392" i="36"/>
  <c r="CJ395" i="36"/>
  <c r="CM671" i="36"/>
  <c r="CK501" i="36"/>
  <c r="CH358" i="36"/>
  <c r="CH415" i="36"/>
  <c r="CJ106" i="36"/>
  <c r="CJ62" i="36"/>
  <c r="CJ66" i="36"/>
  <c r="CJ517" i="36"/>
  <c r="CJ529" i="36"/>
  <c r="CJ756" i="36"/>
  <c r="CG689" i="36"/>
  <c r="CG8" i="36"/>
  <c r="CG439" i="36"/>
  <c r="DG423" i="36"/>
  <c r="CH495" i="36"/>
  <c r="CJ636" i="36"/>
  <c r="CJ598" i="36"/>
  <c r="CJ594" i="36"/>
  <c r="CJ148" i="36"/>
  <c r="CJ677" i="36"/>
  <c r="CJ674" i="36"/>
  <c r="CF80" i="36"/>
  <c r="CK675" i="36"/>
  <c r="CE815" i="36"/>
  <c r="CK418" i="36"/>
  <c r="CK23" i="36"/>
  <c r="CL443" i="36"/>
  <c r="CK400" i="36"/>
  <c r="CJ35" i="36"/>
  <c r="CC433" i="36"/>
  <c r="DG433" i="36"/>
  <c r="CF24" i="36"/>
  <c r="CF410" i="36"/>
  <c r="CF15" i="36"/>
  <c r="CH360" i="36"/>
  <c r="CH389" i="36"/>
  <c r="CJ190" i="36"/>
  <c r="CJ189" i="36"/>
  <c r="CJ187" i="36"/>
  <c r="CI234" i="36"/>
  <c r="CI275" i="36"/>
  <c r="CG548" i="36"/>
  <c r="CG409" i="36"/>
  <c r="CF250" i="36"/>
  <c r="CG550" i="36"/>
  <c r="CG408" i="36"/>
  <c r="CH742" i="36"/>
  <c r="CH734" i="36"/>
  <c r="CH743" i="36"/>
  <c r="CH770" i="36"/>
  <c r="CH781" i="36"/>
  <c r="CI232" i="36"/>
  <c r="CL499" i="36"/>
  <c r="CL535" i="36"/>
  <c r="CG436" i="36"/>
  <c r="CG47" i="36"/>
  <c r="CJ96" i="36"/>
  <c r="CJ95" i="36"/>
  <c r="CJ98" i="36"/>
  <c r="CL102" i="36"/>
  <c r="CK58" i="36"/>
  <c r="CF781" i="36"/>
  <c r="CL614" i="36"/>
  <c r="CG259" i="36"/>
  <c r="CG250" i="36"/>
  <c r="CG260" i="36"/>
  <c r="CG288" i="36"/>
  <c r="CG300" i="36"/>
  <c r="CH233" i="36"/>
  <c r="CK825" i="36"/>
  <c r="CL143" i="36"/>
  <c r="CJ263" i="36"/>
  <c r="CJ264" i="36"/>
  <c r="CJ266" i="36"/>
  <c r="CJ418" i="36"/>
  <c r="CI359" i="36"/>
  <c r="CI189" i="36"/>
  <c r="CG717" i="36"/>
  <c r="CI517" i="36"/>
  <c r="CI529" i="36"/>
  <c r="CL315" i="36"/>
  <c r="CL345" i="36"/>
  <c r="CL344" i="36"/>
  <c r="CL347" i="36"/>
  <c r="CK60" i="36"/>
  <c r="CK136" i="36"/>
  <c r="CK137" i="36"/>
  <c r="CK139" i="36"/>
  <c r="CH716" i="36"/>
  <c r="CK82" i="36"/>
  <c r="CM632" i="36"/>
  <c r="CL590" i="36"/>
  <c r="CK712" i="36"/>
  <c r="CL752" i="36"/>
  <c r="CG174" i="36"/>
  <c r="CJ714" i="36"/>
  <c r="CK453" i="36"/>
  <c r="CJ825" i="36"/>
  <c r="CJ236" i="36"/>
  <c r="CJ274" i="36"/>
  <c r="CJ232" i="36"/>
  <c r="CG419" i="36"/>
  <c r="CG553" i="36"/>
  <c r="CD566" i="36"/>
  <c r="CI804" i="36"/>
  <c r="CI815" i="36"/>
  <c r="CI31" i="36"/>
  <c r="CA46" i="36"/>
  <c r="CA44" i="36"/>
  <c r="CI756" i="36"/>
  <c r="CI720" i="36"/>
  <c r="D175" i="14"/>
  <c r="E175" i="14"/>
  <c r="F175" i="14"/>
  <c r="G175" i="14"/>
  <c r="C175" i="14"/>
  <c r="N70" i="19"/>
  <c r="O70" i="19"/>
  <c r="P70" i="19"/>
  <c r="Q70" i="19"/>
  <c r="R70" i="19"/>
  <c r="S70" i="19"/>
  <c r="T70" i="19"/>
  <c r="N187" i="19"/>
  <c r="O187" i="19"/>
  <c r="P187" i="19"/>
  <c r="Q187" i="19"/>
  <c r="R187" i="19"/>
  <c r="S187" i="19"/>
  <c r="T187" i="19"/>
  <c r="T226" i="19"/>
  <c r="I374" i="14" s="1"/>
  <c r="N304" i="19"/>
  <c r="N661" i="19"/>
  <c r="O304" i="19"/>
  <c r="P304" i="19"/>
  <c r="E432" i="14" s="1"/>
  <c r="P661" i="19"/>
  <c r="Q304" i="19"/>
  <c r="F432" i="14" s="1"/>
  <c r="Q661" i="19"/>
  <c r="R304" i="19"/>
  <c r="G432" i="14" s="1"/>
  <c r="R661" i="19"/>
  <c r="S304" i="19"/>
  <c r="H432" i="14" s="1"/>
  <c r="S661" i="19"/>
  <c r="T304" i="19"/>
  <c r="I432" i="14" s="1"/>
  <c r="T661" i="19"/>
  <c r="M503" i="19"/>
  <c r="T175" i="14" s="1"/>
  <c r="W175" i="14" s="1"/>
  <c r="N499" i="19"/>
  <c r="C174" i="14" s="1"/>
  <c r="O499" i="19"/>
  <c r="D174" i="14" s="1"/>
  <c r="P499" i="19"/>
  <c r="E174" i="14" s="1"/>
  <c r="Q499" i="19"/>
  <c r="F174" i="14" s="1"/>
  <c r="R499" i="19"/>
  <c r="G174" i="14" s="1"/>
  <c r="S499" i="19"/>
  <c r="H174" i="14" s="1"/>
  <c r="T499" i="19"/>
  <c r="T64" i="14"/>
  <c r="AN60" i="14"/>
  <c r="Q59" i="22"/>
  <c r="Q58" i="22" s="1"/>
  <c r="P15" i="22"/>
  <c r="E110" i="14" s="1"/>
  <c r="O15" i="22"/>
  <c r="D22" i="14" s="1"/>
  <c r="N15" i="22"/>
  <c r="C22" i="14" s="1"/>
  <c r="Q15" i="22"/>
  <c r="F22" i="14" s="1"/>
  <c r="J581" i="19"/>
  <c r="J308" i="19"/>
  <c r="J191" i="19"/>
  <c r="J113" i="19"/>
  <c r="J74" i="19"/>
  <c r="N312" i="21"/>
  <c r="O661" i="19"/>
  <c r="AM60" i="14"/>
  <c r="T32" i="14"/>
  <c r="W32" i="14"/>
  <c r="AQ25" i="14"/>
  <c r="Q32" i="14"/>
  <c r="CG49" i="36"/>
  <c r="CC46" i="36"/>
  <c r="CI716" i="36"/>
  <c r="CI718" i="36"/>
  <c r="CI717" i="36"/>
  <c r="CL635" i="36"/>
  <c r="CK755" i="36"/>
  <c r="CK758" i="36"/>
  <c r="CK757" i="36"/>
  <c r="CF92" i="36"/>
  <c r="CH20" i="36"/>
  <c r="CG661" i="36"/>
  <c r="CJ231" i="36"/>
  <c r="CM618" i="36"/>
  <c r="CK106" i="36"/>
  <c r="CK66" i="36"/>
  <c r="CL317" i="36"/>
  <c r="CL316" i="36"/>
  <c r="CL314" i="36"/>
  <c r="CJ23" i="36"/>
  <c r="CG407" i="36"/>
  <c r="CG13" i="36"/>
  <c r="CI233" i="36"/>
  <c r="CI121" i="36"/>
  <c r="CI133" i="36"/>
  <c r="CL188" i="36"/>
  <c r="CL218" i="36"/>
  <c r="CL219" i="36"/>
  <c r="CL221" i="36"/>
  <c r="CK235" i="36"/>
  <c r="CK273" i="36"/>
  <c r="CK231" i="36"/>
  <c r="CK276" i="36"/>
  <c r="CK593" i="36"/>
  <c r="CI450" i="36"/>
  <c r="CI452" i="36"/>
  <c r="CF432" i="36"/>
  <c r="CI415" i="36"/>
  <c r="CI20" i="36"/>
  <c r="CK598" i="36"/>
  <c r="CK594" i="36"/>
  <c r="CM614" i="36"/>
  <c r="CK108" i="36"/>
  <c r="CK107" i="36"/>
  <c r="CK105" i="36"/>
  <c r="CK65" i="36"/>
  <c r="CL453" i="36"/>
  <c r="CG547" i="36"/>
  <c r="CI19" i="36"/>
  <c r="CI364" i="36"/>
  <c r="CD29" i="36"/>
  <c r="CG612" i="36"/>
  <c r="CK187" i="36"/>
  <c r="CK190" i="36"/>
  <c r="CK189" i="36"/>
  <c r="CJ792" i="36"/>
  <c r="CJ789" i="36"/>
  <c r="CL705" i="36"/>
  <c r="CL704" i="36"/>
  <c r="CL707" i="36"/>
  <c r="CO491" i="36"/>
  <c r="CE11" i="36"/>
  <c r="CD433" i="36"/>
  <c r="CD11" i="36"/>
  <c r="CK625" i="36"/>
  <c r="CK626" i="36"/>
  <c r="CK657" i="36"/>
  <c r="CK628" i="36"/>
  <c r="CH8" i="36"/>
  <c r="CH50" i="36"/>
  <c r="CH437" i="36"/>
  <c r="CL790" i="36"/>
  <c r="CL501" i="36"/>
  <c r="CK756" i="36"/>
  <c r="CK377" i="36"/>
  <c r="CH436" i="36"/>
  <c r="CH47" i="36"/>
  <c r="CH49" i="36"/>
  <c r="CL712" i="36"/>
  <c r="CM752" i="36"/>
  <c r="CK827" i="36"/>
  <c r="CK826" i="36"/>
  <c r="CK850" i="36"/>
  <c r="CK824" i="36"/>
  <c r="CM102" i="36"/>
  <c r="CL58" i="36"/>
  <c r="CG549" i="36"/>
  <c r="CJ377" i="36"/>
  <c r="CI495" i="36"/>
  <c r="CG52" i="36"/>
  <c r="DG46" i="36"/>
  <c r="CL228" i="36"/>
  <c r="CL230" i="36"/>
  <c r="CL304" i="36"/>
  <c r="CL303" i="36"/>
  <c r="CL306" i="36"/>
  <c r="CG50" i="36"/>
  <c r="CM786" i="36"/>
  <c r="CK790" i="36"/>
  <c r="CH421" i="36"/>
  <c r="CH26" i="36"/>
  <c r="CH550" i="36"/>
  <c r="CH408" i="36"/>
  <c r="CH517" i="36"/>
  <c r="CM443" i="36"/>
  <c r="CL400" i="36"/>
  <c r="CD578" i="36"/>
  <c r="CM315" i="36"/>
  <c r="CM344" i="36"/>
  <c r="CM345" i="36"/>
  <c r="CM347" i="36"/>
  <c r="CL82" i="36"/>
  <c r="CJ215" i="36"/>
  <c r="CJ414" i="36"/>
  <c r="CI742" i="36"/>
  <c r="CI734" i="36"/>
  <c r="CI743" i="36"/>
  <c r="CI770" i="36"/>
  <c r="CM540" i="36"/>
  <c r="CJ596" i="36"/>
  <c r="CJ595" i="36"/>
  <c r="CJ593" i="36"/>
  <c r="CD9" i="36"/>
  <c r="CL592" i="36"/>
  <c r="CL664" i="36"/>
  <c r="CL665" i="36"/>
  <c r="CL667" i="36"/>
  <c r="CI48" i="36"/>
  <c r="CI544" i="36"/>
  <c r="CI581" i="36"/>
  <c r="CI582" i="36"/>
  <c r="CI434" i="36"/>
  <c r="CI403" i="36"/>
  <c r="CF469" i="36"/>
  <c r="CF481" i="36"/>
  <c r="CM147" i="36"/>
  <c r="CM177" i="36"/>
  <c r="CM178" i="36"/>
  <c r="CM180" i="36"/>
  <c r="CK719" i="36"/>
  <c r="CI329" i="36"/>
  <c r="CJ64" i="36"/>
  <c r="CL60" i="36"/>
  <c r="CL136" i="36"/>
  <c r="CL137" i="36"/>
  <c r="CL139" i="36"/>
  <c r="CI63" i="36"/>
  <c r="CE432" i="36"/>
  <c r="CE469" i="36"/>
  <c r="CG24" i="36"/>
  <c r="CL736" i="36"/>
  <c r="CL86" i="36"/>
  <c r="CJ676" i="36"/>
  <c r="CG701" i="36"/>
  <c r="CJ358" i="36"/>
  <c r="CJ361" i="36"/>
  <c r="CJ415" i="36"/>
  <c r="CJ20" i="36"/>
  <c r="CJ447" i="36"/>
  <c r="CJ402" i="36"/>
  <c r="CJ7" i="36"/>
  <c r="CK504" i="36"/>
  <c r="CK498" i="36"/>
  <c r="CI826" i="36"/>
  <c r="CG450" i="36"/>
  <c r="CG452" i="36"/>
  <c r="CM839" i="36"/>
  <c r="CM821" i="36"/>
  <c r="CJ31" i="36"/>
  <c r="CJ650" i="36"/>
  <c r="CJ661" i="36"/>
  <c r="CI358" i="36"/>
  <c r="CI595" i="36"/>
  <c r="CF404" i="36"/>
  <c r="CF9" i="36"/>
  <c r="CH410" i="36"/>
  <c r="CJ107" i="36"/>
  <c r="CK162" i="36"/>
  <c r="CK174" i="36"/>
  <c r="CJ827" i="36"/>
  <c r="CJ826" i="36"/>
  <c r="CJ850" i="36"/>
  <c r="CM499" i="36"/>
  <c r="CM535" i="36"/>
  <c r="CM484" i="36"/>
  <c r="CM532" i="36"/>
  <c r="CM533" i="36"/>
  <c r="CM485" i="36"/>
  <c r="CM487" i="36"/>
  <c r="CG804" i="36"/>
  <c r="CG742" i="36"/>
  <c r="CI89" i="36"/>
  <c r="CI215" i="36"/>
  <c r="CH89" i="36"/>
  <c r="CH121" i="36"/>
  <c r="CF260" i="36"/>
  <c r="CK429" i="36"/>
  <c r="CK401" i="36"/>
  <c r="CJ720" i="36"/>
  <c r="CJ716" i="36"/>
  <c r="CN671" i="36"/>
  <c r="CK425" i="36"/>
  <c r="CK329" i="36"/>
  <c r="CK341" i="36"/>
  <c r="CG421" i="36"/>
  <c r="CG410" i="36"/>
  <c r="CK263" i="36"/>
  <c r="CK264" i="36"/>
  <c r="CK266" i="36"/>
  <c r="CE743" i="36"/>
  <c r="CJ790" i="36"/>
  <c r="CH548" i="36"/>
  <c r="CH409" i="36"/>
  <c r="CL149" i="36"/>
  <c r="CL148" i="36"/>
  <c r="CL146" i="36"/>
  <c r="CF406" i="36"/>
  <c r="CF12" i="36"/>
  <c r="CJ61" i="36"/>
  <c r="CM184" i="36"/>
  <c r="CH553" i="36"/>
  <c r="CH547" i="36"/>
  <c r="CA45" i="36"/>
  <c r="DG45" i="36"/>
  <c r="DG44" i="36"/>
  <c r="CK714" i="36"/>
  <c r="CN632" i="36"/>
  <c r="CM590" i="36"/>
  <c r="CK95" i="36"/>
  <c r="CK96" i="36"/>
  <c r="CK98" i="36"/>
  <c r="CM143" i="36"/>
  <c r="CH259" i="36"/>
  <c r="CH250" i="36"/>
  <c r="CH260" i="36"/>
  <c r="CH288" i="36"/>
  <c r="CH300" i="36"/>
  <c r="CG405" i="36"/>
  <c r="CG14" i="36"/>
  <c r="CK357" i="36"/>
  <c r="CK6" i="36"/>
  <c r="CK359" i="36"/>
  <c r="CK393" i="36"/>
  <c r="CK392" i="36"/>
  <c r="CK395" i="36"/>
  <c r="CK677" i="36"/>
  <c r="CK676" i="36"/>
  <c r="CK236" i="36"/>
  <c r="CK274" i="36"/>
  <c r="CH15" i="36"/>
  <c r="CL451" i="36"/>
  <c r="CJ234" i="36"/>
  <c r="CJ275" i="36"/>
  <c r="CJ719" i="36"/>
  <c r="CI7" i="36"/>
  <c r="CL203" i="36"/>
  <c r="V202" i="14"/>
  <c r="V221" i="14"/>
  <c r="M72" i="19"/>
  <c r="N651" i="19"/>
  <c r="N650" i="19" s="1"/>
  <c r="M73" i="19"/>
  <c r="M74" i="19"/>
  <c r="M111" i="19"/>
  <c r="M112" i="19"/>
  <c r="M113" i="19"/>
  <c r="M150" i="19"/>
  <c r="M151" i="19"/>
  <c r="M152" i="19"/>
  <c r="P64" i="27" s="1"/>
  <c r="M191" i="19"/>
  <c r="M189" i="19"/>
  <c r="M190" i="19"/>
  <c r="M229" i="19"/>
  <c r="M230" i="19"/>
  <c r="Q375" i="14" s="1"/>
  <c r="M267" i="19"/>
  <c r="M268" i="19"/>
  <c r="M269" i="19"/>
  <c r="Q404" i="14" s="1"/>
  <c r="M266" i="19"/>
  <c r="M306" i="19"/>
  <c r="M307" i="19"/>
  <c r="M308" i="19"/>
  <c r="Q433" i="14" s="1"/>
  <c r="M305" i="19"/>
  <c r="M502" i="19"/>
  <c r="M539" i="19"/>
  <c r="M500" i="19"/>
  <c r="M501" i="19"/>
  <c r="M540" i="19"/>
  <c r="M541" i="19"/>
  <c r="M542" i="19"/>
  <c r="M579" i="19"/>
  <c r="M580" i="19"/>
  <c r="M581" i="19"/>
  <c r="M578" i="19"/>
  <c r="F98" i="14"/>
  <c r="X32" i="14"/>
  <c r="AN25" i="14"/>
  <c r="Q25" i="14"/>
  <c r="S32" i="14"/>
  <c r="AM25" i="14"/>
  <c r="CH52" i="36"/>
  <c r="CI421" i="36"/>
  <c r="CI26" i="36"/>
  <c r="CI553" i="36"/>
  <c r="CK715" i="36"/>
  <c r="CF423" i="36"/>
  <c r="CF38" i="36"/>
  <c r="CF29" i="36"/>
  <c r="CG15" i="36"/>
  <c r="CG404" i="36"/>
  <c r="CG9" i="36"/>
  <c r="CN614" i="36"/>
  <c r="CJ233" i="36"/>
  <c r="CK689" i="36"/>
  <c r="CK701" i="36"/>
  <c r="CL357" i="36"/>
  <c r="CL392" i="36"/>
  <c r="CL359" i="36"/>
  <c r="CL393" i="36"/>
  <c r="CL395" i="36"/>
  <c r="CM203" i="36"/>
  <c r="DH695" i="36"/>
  <c r="CO671" i="36"/>
  <c r="CK414" i="36"/>
  <c r="CL105" i="36"/>
  <c r="CL65" i="36"/>
  <c r="CL108" i="36"/>
  <c r="CI341" i="36"/>
  <c r="CL429" i="36"/>
  <c r="CL401" i="36"/>
  <c r="CL6" i="36"/>
  <c r="CM228" i="36"/>
  <c r="CM230" i="36"/>
  <c r="CM304" i="36"/>
  <c r="CM303" i="36"/>
  <c r="CM306" i="36"/>
  <c r="CM736" i="36"/>
  <c r="CJ162" i="36"/>
  <c r="DH523" i="36"/>
  <c r="DH491" i="36"/>
  <c r="DH512" i="36"/>
  <c r="CP491" i="36"/>
  <c r="CK596" i="36"/>
  <c r="CK595" i="36"/>
  <c r="CI850" i="36"/>
  <c r="CL95" i="36"/>
  <c r="CL96" i="36"/>
  <c r="CL98" i="36"/>
  <c r="CI781" i="36"/>
  <c r="CH549" i="36"/>
  <c r="CL714" i="36"/>
  <c r="CF433" i="36"/>
  <c r="CF11" i="36"/>
  <c r="CH133" i="36"/>
  <c r="CG815" i="36"/>
  <c r="CH469" i="36"/>
  <c r="CH481" i="36"/>
  <c r="CN839" i="36"/>
  <c r="CN821" i="36"/>
  <c r="CM136" i="36"/>
  <c r="CM60" i="36"/>
  <c r="CM137" i="36"/>
  <c r="CM139" i="36"/>
  <c r="CK792" i="36"/>
  <c r="CK791" i="36"/>
  <c r="CK789" i="36"/>
  <c r="CL625" i="36"/>
  <c r="CL626" i="36"/>
  <c r="CL657" i="36"/>
  <c r="CL628" i="36"/>
  <c r="CN443" i="36"/>
  <c r="CM400" i="36"/>
  <c r="CK621" i="36"/>
  <c r="CK612" i="36"/>
  <c r="CN86" i="36"/>
  <c r="CM58" i="36"/>
  <c r="CN102" i="36"/>
  <c r="CD44" i="36"/>
  <c r="CD46" i="36"/>
  <c r="CN675" i="36"/>
  <c r="CM704" i="36"/>
  <c r="CM705" i="36"/>
  <c r="CM707" i="36"/>
  <c r="CK64" i="36"/>
  <c r="CK234" i="36"/>
  <c r="CK275" i="36"/>
  <c r="CM146" i="36"/>
  <c r="CM149" i="36"/>
  <c r="CM148" i="36"/>
  <c r="CK215" i="36"/>
  <c r="CN143" i="36"/>
  <c r="CK447" i="36"/>
  <c r="CK402" i="36"/>
  <c r="CK7" i="36"/>
  <c r="CH80" i="36"/>
  <c r="CM451" i="36"/>
  <c r="CN499" i="36"/>
  <c r="CN535" i="36"/>
  <c r="CL106" i="36"/>
  <c r="CL62" i="36"/>
  <c r="CL66" i="36"/>
  <c r="CI548" i="36"/>
  <c r="CI409" i="36"/>
  <c r="CM638" i="36"/>
  <c r="CM637" i="36"/>
  <c r="CM635" i="36"/>
  <c r="CL674" i="36"/>
  <c r="CL677" i="36"/>
  <c r="CL676" i="36"/>
  <c r="CL235" i="36"/>
  <c r="CL273" i="36"/>
  <c r="CL231" i="36"/>
  <c r="CL276" i="36"/>
  <c r="CJ495" i="36"/>
  <c r="CM82" i="36"/>
  <c r="CK720" i="36"/>
  <c r="CK716" i="36"/>
  <c r="CG622" i="36"/>
  <c r="CK61" i="36"/>
  <c r="CL187" i="36"/>
  <c r="CL190" i="36"/>
  <c r="CL189" i="36"/>
  <c r="CI259" i="36"/>
  <c r="CI250" i="36"/>
  <c r="CI288" i="36"/>
  <c r="CI300" i="36"/>
  <c r="CL636" i="36"/>
  <c r="CL598" i="36"/>
  <c r="CL594" i="36"/>
  <c r="CN485" i="36"/>
  <c r="CN533" i="36"/>
  <c r="CN532" i="36"/>
  <c r="CN484" i="36"/>
  <c r="CN487" i="36"/>
  <c r="CJ544" i="36"/>
  <c r="CJ581" i="36"/>
  <c r="CJ582" i="36"/>
  <c r="CJ434" i="36"/>
  <c r="CJ584" i="36"/>
  <c r="CJ435" i="36"/>
  <c r="CJ403" i="36"/>
  <c r="CM636" i="36"/>
  <c r="CM598" i="36"/>
  <c r="CM594" i="36"/>
  <c r="CN540" i="36"/>
  <c r="CM86" i="36"/>
  <c r="CM675" i="36"/>
  <c r="CM188" i="36"/>
  <c r="CM219" i="36"/>
  <c r="CM218" i="36"/>
  <c r="CM221" i="36"/>
  <c r="CJ715" i="36"/>
  <c r="CJ718" i="36"/>
  <c r="CN184" i="36"/>
  <c r="CG734" i="36"/>
  <c r="CM317" i="36"/>
  <c r="CM316" i="36"/>
  <c r="CM314" i="36"/>
  <c r="CF566" i="36"/>
  <c r="CK31" i="36"/>
  <c r="CG26" i="36"/>
  <c r="CI419" i="36"/>
  <c r="CM453" i="36"/>
  <c r="CL504" i="36"/>
  <c r="CM592" i="36"/>
  <c r="CM665" i="36"/>
  <c r="CM664" i="36"/>
  <c r="CM667" i="36"/>
  <c r="CJ456" i="36"/>
  <c r="CL263" i="36"/>
  <c r="CL264" i="36"/>
  <c r="CL266" i="36"/>
  <c r="CJ19" i="36"/>
  <c r="CJ364" i="36"/>
  <c r="CL825" i="36"/>
  <c r="CG406" i="36"/>
  <c r="CG12" i="36"/>
  <c r="CL597" i="36"/>
  <c r="CL755" i="36"/>
  <c r="CI547" i="36"/>
  <c r="CI550" i="36"/>
  <c r="CI549" i="36"/>
  <c r="CI408" i="36"/>
  <c r="CO632" i="36"/>
  <c r="CN590" i="36"/>
  <c r="CJ770" i="36"/>
  <c r="CJ781" i="36"/>
  <c r="CI360" i="36"/>
  <c r="CI389" i="36"/>
  <c r="CJ63" i="36"/>
  <c r="CN147" i="36"/>
  <c r="CN178" i="36"/>
  <c r="CN177" i="36"/>
  <c r="CN180" i="36"/>
  <c r="CI8" i="36"/>
  <c r="CI50" i="36"/>
  <c r="CI439" i="36"/>
  <c r="CI437" i="36"/>
  <c r="CN315" i="36"/>
  <c r="CN344" i="36"/>
  <c r="CN345" i="36"/>
  <c r="CN347" i="36"/>
  <c r="CH529" i="36"/>
  <c r="CN786" i="36"/>
  <c r="CL236" i="36"/>
  <c r="CL274" i="36"/>
  <c r="CL232" i="36"/>
  <c r="CG566" i="36"/>
  <c r="CG578" i="36"/>
  <c r="CL719" i="36"/>
  <c r="CK62" i="36"/>
  <c r="CH405" i="36"/>
  <c r="CH10" i="36"/>
  <c r="CH14" i="36"/>
  <c r="CE423" i="36"/>
  <c r="CE38" i="36"/>
  <c r="CL792" i="36"/>
  <c r="CL791" i="36"/>
  <c r="CL789" i="36"/>
  <c r="CI80" i="36"/>
  <c r="CI92" i="36"/>
  <c r="CL162" i="36"/>
  <c r="CL174" i="36"/>
  <c r="CK232" i="36"/>
  <c r="CK361" i="36"/>
  <c r="CK358" i="36"/>
  <c r="CG10" i="36"/>
  <c r="CN618" i="36"/>
  <c r="CL425" i="36"/>
  <c r="CJ621" i="36"/>
  <c r="CJ612" i="36"/>
  <c r="CJ622" i="36"/>
  <c r="CL35" i="36"/>
  <c r="CE481" i="36"/>
  <c r="CI436" i="36"/>
  <c r="CI47" i="36"/>
  <c r="CI49" i="36"/>
  <c r="CL418" i="36"/>
  <c r="CL23" i="36"/>
  <c r="CH404" i="36"/>
  <c r="CH9" i="36"/>
  <c r="CH407" i="36"/>
  <c r="CH13" i="36"/>
  <c r="CM501" i="36"/>
  <c r="CM712" i="36"/>
  <c r="CN752" i="36"/>
  <c r="CK35" i="36"/>
  <c r="CK650" i="36"/>
  <c r="CK661" i="36"/>
  <c r="CJ791" i="36"/>
  <c r="CK500" i="36"/>
  <c r="CI621" i="36"/>
  <c r="CI650" i="36"/>
  <c r="CL638" i="36"/>
  <c r="N425" i="21"/>
  <c r="N365" i="21"/>
  <c r="N305" i="21"/>
  <c r="N245" i="21"/>
  <c r="N185" i="21"/>
  <c r="N116" i="21"/>
  <c r="Q334" i="22"/>
  <c r="Q281" i="22"/>
  <c r="Q228" i="22"/>
  <c r="Q69" i="22"/>
  <c r="CL498" i="36"/>
  <c r="CL500" i="36"/>
  <c r="CM824" i="36"/>
  <c r="DH446" i="36"/>
  <c r="CO484" i="36"/>
  <c r="DH484" i="36"/>
  <c r="CO533" i="36"/>
  <c r="DH533" i="36"/>
  <c r="CO485" i="36"/>
  <c r="DH485" i="36"/>
  <c r="CO532" i="36"/>
  <c r="DH532" i="36"/>
  <c r="CO487" i="36"/>
  <c r="DH487" i="36"/>
  <c r="CF44" i="36"/>
  <c r="CF45" i="36"/>
  <c r="CF46" i="36"/>
  <c r="DH492" i="36"/>
  <c r="DH313" i="36"/>
  <c r="DH311" i="36"/>
  <c r="CO345" i="36"/>
  <c r="DH345" i="36"/>
  <c r="CO344" i="36"/>
  <c r="DH344" i="36"/>
  <c r="CP347" i="36"/>
  <c r="CO347" i="36"/>
  <c r="DH347" i="36"/>
  <c r="CI407" i="36"/>
  <c r="CI13" i="36"/>
  <c r="CL596" i="36"/>
  <c r="CL595" i="36"/>
  <c r="CL593" i="36"/>
  <c r="CN635" i="36"/>
  <c r="CN638" i="36"/>
  <c r="CN637" i="36"/>
  <c r="CN203" i="36"/>
  <c r="CM825" i="36"/>
  <c r="DH449" i="36"/>
  <c r="CL234" i="36"/>
  <c r="CL275" i="36"/>
  <c r="CH92" i="36"/>
  <c r="DH168" i="36"/>
  <c r="CO143" i="36"/>
  <c r="CN82" i="36"/>
  <c r="CM108" i="36"/>
  <c r="CM107" i="36"/>
  <c r="CM105" i="36"/>
  <c r="CM65" i="36"/>
  <c r="CM263" i="36"/>
  <c r="CM264" i="36"/>
  <c r="CM266" i="36"/>
  <c r="CJ419" i="36"/>
  <c r="CJ553" i="36"/>
  <c r="CJ547" i="36"/>
  <c r="CN736" i="36"/>
  <c r="CO614" i="36"/>
  <c r="DH652" i="36"/>
  <c r="CI566" i="36"/>
  <c r="CI578" i="36"/>
  <c r="CJ450" i="36"/>
  <c r="CJ452" i="36"/>
  <c r="CM187" i="36"/>
  <c r="CM190" i="36"/>
  <c r="CM189" i="36"/>
  <c r="CJ439" i="36"/>
  <c r="CJ8" i="36"/>
  <c r="CM677" i="36"/>
  <c r="CM676" i="36"/>
  <c r="CM674" i="36"/>
  <c r="CM597" i="36"/>
  <c r="CN60" i="36"/>
  <c r="CN136" i="36"/>
  <c r="CN137" i="36"/>
  <c r="CN139" i="36"/>
  <c r="CN501" i="36"/>
  <c r="CM236" i="36"/>
  <c r="CM274" i="36"/>
  <c r="CM232" i="36"/>
  <c r="CJ550" i="36"/>
  <c r="CJ408" i="36"/>
  <c r="CN453" i="36"/>
  <c r="CK718" i="36"/>
  <c r="CK717" i="36"/>
  <c r="CI661" i="36"/>
  <c r="CM273" i="36"/>
  <c r="CM231" i="36"/>
  <c r="CM276" i="36"/>
  <c r="CM235" i="36"/>
  <c r="CN146" i="36"/>
  <c r="CN149" i="36"/>
  <c r="CN148" i="36"/>
  <c r="CP632" i="36"/>
  <c r="DH632" i="36"/>
  <c r="CO590" i="36"/>
  <c r="DH590" i="36"/>
  <c r="CJ360" i="36"/>
  <c r="CJ389" i="36"/>
  <c r="CF578" i="36"/>
  <c r="CJ717" i="36"/>
  <c r="CN188" i="36"/>
  <c r="CN218" i="36"/>
  <c r="CN219" i="36"/>
  <c r="CN221" i="36"/>
  <c r="CJ437" i="36"/>
  <c r="CJ48" i="36"/>
  <c r="CJ50" i="36"/>
  <c r="CN451" i="36"/>
  <c r="CL215" i="36"/>
  <c r="CK770" i="36"/>
  <c r="CK781" i="36"/>
  <c r="CK63" i="36"/>
  <c r="CM106" i="36"/>
  <c r="CM62" i="36"/>
  <c r="CM66" i="36"/>
  <c r="CM756" i="36"/>
  <c r="CJ89" i="36"/>
  <c r="CJ121" i="36"/>
  <c r="CO786" i="36"/>
  <c r="DH786" i="36"/>
  <c r="CG11" i="36"/>
  <c r="CJ436" i="36"/>
  <c r="CJ47" i="36"/>
  <c r="CL689" i="36"/>
  <c r="CL701" i="36"/>
  <c r="CJ689" i="36"/>
  <c r="DH497" i="36"/>
  <c r="DH513" i="36"/>
  <c r="CD45" i="36"/>
  <c r="CM401" i="36"/>
  <c r="CM6" i="36"/>
  <c r="CM758" i="36"/>
  <c r="CM757" i="36"/>
  <c r="CM755" i="36"/>
  <c r="CM719" i="36"/>
  <c r="CM789" i="36"/>
  <c r="CM357" i="36"/>
  <c r="CM359" i="36"/>
  <c r="CM392" i="36"/>
  <c r="CM393" i="36"/>
  <c r="CM395" i="36"/>
  <c r="CN712" i="36"/>
  <c r="CO752" i="36"/>
  <c r="CL756" i="36"/>
  <c r="CL720" i="36"/>
  <c r="CL716" i="36"/>
  <c r="CI612" i="36"/>
  <c r="DH145" i="36"/>
  <c r="CO177" i="36"/>
  <c r="DH177" i="36"/>
  <c r="CO178" i="36"/>
  <c r="DH178" i="36"/>
  <c r="CP180" i="36"/>
  <c r="CO180" i="36"/>
  <c r="DH180" i="36"/>
  <c r="CL715" i="36"/>
  <c r="CL637" i="36"/>
  <c r="CI432" i="36"/>
  <c r="CI469" i="36"/>
  <c r="CI481" i="36"/>
  <c r="CK19" i="36"/>
  <c r="CK364" i="36"/>
  <c r="CG432" i="36"/>
  <c r="CG469" i="36"/>
  <c r="CM329" i="36"/>
  <c r="CM341" i="36"/>
  <c r="CM504" i="36"/>
  <c r="CI405" i="36"/>
  <c r="CI14" i="36"/>
  <c r="DH494" i="36"/>
  <c r="CO535" i="36"/>
  <c r="DH535" i="36"/>
  <c r="CK415" i="36"/>
  <c r="CK20" i="36"/>
  <c r="CO443" i="36"/>
  <c r="CN400" i="36"/>
  <c r="CO821" i="36"/>
  <c r="DH821" i="36"/>
  <c r="CM714" i="36"/>
  <c r="CI260" i="36"/>
  <c r="CN230" i="36"/>
  <c r="CN228" i="36"/>
  <c r="CN304" i="36"/>
  <c r="CN303" i="36"/>
  <c r="CN306" i="36"/>
  <c r="CL447" i="36"/>
  <c r="CL402" i="36"/>
  <c r="CL7" i="36"/>
  <c r="CL107" i="36"/>
  <c r="CK456" i="36"/>
  <c r="CM377" i="36"/>
  <c r="CH406" i="36"/>
  <c r="CH12" i="36"/>
  <c r="CO184" i="36"/>
  <c r="DH209" i="36"/>
  <c r="CN705" i="36"/>
  <c r="CN704" i="36"/>
  <c r="CN707" i="36"/>
  <c r="CL804" i="36"/>
  <c r="CL815" i="36"/>
  <c r="CN317" i="36"/>
  <c r="CN316" i="36"/>
  <c r="CN314" i="36"/>
  <c r="CO618" i="36"/>
  <c r="DH618" i="36"/>
  <c r="DH656" i="36"/>
  <c r="CE29" i="36"/>
  <c r="CL827" i="36"/>
  <c r="CL826" i="36"/>
  <c r="CL824" i="36"/>
  <c r="CL377" i="36"/>
  <c r="CL758" i="36"/>
  <c r="CL757" i="36"/>
  <c r="CM626" i="36"/>
  <c r="CM625" i="36"/>
  <c r="CM657" i="36"/>
  <c r="CM650" i="36"/>
  <c r="CM661" i="36"/>
  <c r="CM628" i="36"/>
  <c r="CI24" i="36"/>
  <c r="CI410" i="36"/>
  <c r="CL329" i="36"/>
  <c r="CN504" i="36"/>
  <c r="CN498" i="36"/>
  <c r="CO540" i="36"/>
  <c r="CK544" i="36"/>
  <c r="CK581" i="36"/>
  <c r="CK582" i="36"/>
  <c r="CK434" i="36"/>
  <c r="CK403" i="36"/>
  <c r="CK584" i="36"/>
  <c r="CK435" i="36"/>
  <c r="CK233" i="36"/>
  <c r="CO102" i="36"/>
  <c r="CN58" i="36"/>
  <c r="CM418" i="36"/>
  <c r="CM23" i="36"/>
  <c r="CK622" i="36"/>
  <c r="CM425" i="36"/>
  <c r="CL64" i="36"/>
  <c r="DH671" i="36"/>
  <c r="CP671" i="36"/>
  <c r="CN636" i="36"/>
  <c r="CN598" i="36"/>
  <c r="CN594" i="36"/>
  <c r="CJ548" i="36"/>
  <c r="CJ409" i="36"/>
  <c r="CE433" i="36"/>
  <c r="CI52" i="36"/>
  <c r="CJ52" i="36"/>
  <c r="CN592" i="36"/>
  <c r="CN664" i="36"/>
  <c r="CN665" i="36"/>
  <c r="CN667" i="36"/>
  <c r="CG743" i="36"/>
  <c r="CK89" i="36"/>
  <c r="CK121" i="36"/>
  <c r="CK133" i="36"/>
  <c r="DH519" i="36"/>
  <c r="CK495" i="36"/>
  <c r="CL31" i="36"/>
  <c r="CM95" i="36"/>
  <c r="CM96" i="36"/>
  <c r="CM98" i="36"/>
  <c r="CQ491" i="36"/>
  <c r="CJ174" i="36"/>
  <c r="CL456" i="36"/>
  <c r="CL414" i="36"/>
  <c r="CL61" i="36"/>
  <c r="DH691" i="36"/>
  <c r="CL358" i="36"/>
  <c r="CL361" i="36"/>
  <c r="CJ259" i="36"/>
  <c r="CJ288" i="36"/>
  <c r="CJ300" i="36"/>
  <c r="N569" i="19"/>
  <c r="O569" i="19"/>
  <c r="P569" i="19"/>
  <c r="R569" i="19"/>
  <c r="S569" i="19"/>
  <c r="T569" i="19"/>
  <c r="Q569" i="19"/>
  <c r="Q329" i="22"/>
  <c r="Q276" i="22"/>
  <c r="Q223" i="22"/>
  <c r="N491" i="19"/>
  <c r="O491" i="19"/>
  <c r="D189" i="14" s="1"/>
  <c r="P491" i="19"/>
  <c r="E189" i="14" s="1"/>
  <c r="R491" i="19"/>
  <c r="G189" i="14" s="1"/>
  <c r="S491" i="19"/>
  <c r="H189" i="14" s="1"/>
  <c r="T491" i="19"/>
  <c r="I189" i="14" s="1"/>
  <c r="Q170" i="22"/>
  <c r="Q68" i="22"/>
  <c r="Q64" i="22"/>
  <c r="N296" i="19"/>
  <c r="C447" i="14" s="1"/>
  <c r="O296" i="19"/>
  <c r="D447" i="14" s="1"/>
  <c r="P296" i="19"/>
  <c r="E447" i="14" s="1"/>
  <c r="R296" i="19"/>
  <c r="G447" i="14" s="1"/>
  <c r="S296" i="19"/>
  <c r="H447" i="14" s="1"/>
  <c r="T296" i="19"/>
  <c r="I447" i="14" s="1"/>
  <c r="Q296" i="19"/>
  <c r="F447" i="14" s="1"/>
  <c r="N218" i="19"/>
  <c r="C400" i="14" s="1"/>
  <c r="O218" i="19"/>
  <c r="D400" i="14" s="1"/>
  <c r="P218" i="19"/>
  <c r="E389" i="14" s="1"/>
  <c r="R218" i="19"/>
  <c r="G389" i="14" s="1"/>
  <c r="S218" i="19"/>
  <c r="H389" i="14" s="1"/>
  <c r="T218" i="19"/>
  <c r="I389" i="14" s="1"/>
  <c r="Q218" i="19"/>
  <c r="F389" i="14" s="1"/>
  <c r="N179" i="19"/>
  <c r="O179" i="19"/>
  <c r="P179" i="19"/>
  <c r="R179" i="19"/>
  <c r="S179" i="19"/>
  <c r="T179" i="19"/>
  <c r="Q179" i="19"/>
  <c r="N421" i="21"/>
  <c r="N364" i="21"/>
  <c r="N361" i="21"/>
  <c r="N304" i="21"/>
  <c r="N301" i="21"/>
  <c r="N244" i="21"/>
  <c r="N241" i="21"/>
  <c r="N184" i="21"/>
  <c r="N181" i="21"/>
  <c r="F397" i="14"/>
  <c r="Q577" i="19"/>
  <c r="I397" i="14"/>
  <c r="T577" i="19"/>
  <c r="H397" i="14"/>
  <c r="S577" i="19"/>
  <c r="G397" i="14"/>
  <c r="R577" i="19"/>
  <c r="E397" i="14"/>
  <c r="P577" i="19"/>
  <c r="O577" i="19"/>
  <c r="N577" i="19"/>
  <c r="CJ49" i="36"/>
  <c r="CK804" i="36"/>
  <c r="CK815" i="36"/>
  <c r="CK742" i="36"/>
  <c r="CK734" i="36"/>
  <c r="CM498" i="36"/>
  <c r="CM500" i="36"/>
  <c r="CN756" i="36"/>
  <c r="CO675" i="36"/>
  <c r="DH675" i="36"/>
  <c r="DH679" i="36"/>
  <c r="CL450" i="36"/>
  <c r="CL452" i="36"/>
  <c r="CH11" i="36"/>
  <c r="CO501" i="36"/>
  <c r="DH502" i="36"/>
  <c r="CR491" i="36"/>
  <c r="CM790" i="36"/>
  <c r="CL419" i="36"/>
  <c r="CL24" i="36"/>
  <c r="CN273" i="36"/>
  <c r="CN231" i="36"/>
  <c r="CN276" i="36"/>
  <c r="CN235" i="36"/>
  <c r="CN418" i="36"/>
  <c r="CN23" i="36"/>
  <c r="CG423" i="36"/>
  <c r="CG38" i="36"/>
  <c r="CO147" i="36"/>
  <c r="DH147" i="36"/>
  <c r="DH151" i="36"/>
  <c r="CM447" i="36"/>
  <c r="CM402" i="36"/>
  <c r="CM7" i="36"/>
  <c r="CN108" i="36"/>
  <c r="CN107" i="36"/>
  <c r="CN105" i="36"/>
  <c r="CN65" i="36"/>
  <c r="CJ24" i="36"/>
  <c r="CK419" i="36"/>
  <c r="CK421" i="36"/>
  <c r="CK26" i="36"/>
  <c r="CK553" i="36"/>
  <c r="CO315" i="36"/>
  <c r="DH315" i="36"/>
  <c r="DH319" i="36"/>
  <c r="CN162" i="36"/>
  <c r="CN174" i="36"/>
  <c r="CN96" i="36"/>
  <c r="CN95" i="36"/>
  <c r="CN98" i="36"/>
  <c r="CP533" i="36"/>
  <c r="CP532" i="36"/>
  <c r="CP485" i="36"/>
  <c r="CP484" i="36"/>
  <c r="CP487" i="36"/>
  <c r="CN626" i="36"/>
  <c r="CN625" i="36"/>
  <c r="CN657" i="36"/>
  <c r="CN628" i="36"/>
  <c r="CK259" i="36"/>
  <c r="CK250" i="36"/>
  <c r="CK260" i="36"/>
  <c r="CK288" i="36"/>
  <c r="CK300" i="36"/>
  <c r="CL544" i="36"/>
  <c r="CL581" i="36"/>
  <c r="CL582" i="36"/>
  <c r="CL434" i="36"/>
  <c r="CL403" i="36"/>
  <c r="CL584" i="36"/>
  <c r="CL435" i="36"/>
  <c r="CN263" i="36"/>
  <c r="CN264" i="36"/>
  <c r="CN266" i="36"/>
  <c r="CN401" i="36"/>
  <c r="CO499" i="36"/>
  <c r="DH499" i="36"/>
  <c r="DH503" i="36"/>
  <c r="CJ804" i="36"/>
  <c r="CJ742" i="36"/>
  <c r="CM792" i="36"/>
  <c r="CN425" i="36"/>
  <c r="CJ133" i="36"/>
  <c r="CK517" i="36"/>
  <c r="CN825" i="36"/>
  <c r="DH104" i="36"/>
  <c r="CO60" i="36"/>
  <c r="CP139" i="36"/>
  <c r="CO137" i="36"/>
  <c r="DH137" i="36"/>
  <c r="CO136" i="36"/>
  <c r="DH136" i="36"/>
  <c r="CO139" i="36"/>
  <c r="DH139" i="36"/>
  <c r="CL233" i="36"/>
  <c r="CN714" i="36"/>
  <c r="CK743" i="36"/>
  <c r="CL517" i="36"/>
  <c r="CL529" i="36"/>
  <c r="CM162" i="36"/>
  <c r="DH634" i="36"/>
  <c r="CO592" i="36"/>
  <c r="CO664" i="36"/>
  <c r="DH664" i="36"/>
  <c r="CO665" i="36"/>
  <c r="DH665" i="36"/>
  <c r="CO667" i="36"/>
  <c r="DH667" i="36"/>
  <c r="CL341" i="36"/>
  <c r="CL850" i="36"/>
  <c r="CL19" i="36"/>
  <c r="CL364" i="36"/>
  <c r="CL360" i="36"/>
  <c r="CL389" i="36"/>
  <c r="CL415" i="36"/>
  <c r="CL20" i="36"/>
  <c r="CN274" i="36"/>
  <c r="CN232" i="36"/>
  <c r="CN236" i="36"/>
  <c r="CI622" i="36"/>
  <c r="CM715" i="36"/>
  <c r="CM456" i="36"/>
  <c r="CM414" i="36"/>
  <c r="CJ701" i="36"/>
  <c r="CJ421" i="36"/>
  <c r="CJ410" i="36"/>
  <c r="CJ80" i="36"/>
  <c r="CN187" i="36"/>
  <c r="CN190" i="36"/>
  <c r="CN189" i="36"/>
  <c r="CN824" i="36"/>
  <c r="CN500" i="36"/>
  <c r="CN106" i="36"/>
  <c r="CN62" i="36"/>
  <c r="CN66" i="36"/>
  <c r="CM215" i="36"/>
  <c r="CN674" i="36"/>
  <c r="CN677" i="36"/>
  <c r="CN676" i="36"/>
  <c r="CO451" i="36"/>
  <c r="DH451" i="36"/>
  <c r="DH455" i="36"/>
  <c r="CK80" i="36"/>
  <c r="DH184" i="36"/>
  <c r="CP184" i="36"/>
  <c r="CM429" i="36"/>
  <c r="CO218" i="36"/>
  <c r="DH218" i="36"/>
  <c r="DH186" i="36"/>
  <c r="CO219" i="36"/>
  <c r="DH219" i="36"/>
  <c r="CP221" i="36"/>
  <c r="CO221" i="36"/>
  <c r="DH221" i="36"/>
  <c r="CP618" i="36"/>
  <c r="CM275" i="36"/>
  <c r="CM234" i="36"/>
  <c r="CL421" i="36"/>
  <c r="CL26" i="36"/>
  <c r="CJ407" i="36"/>
  <c r="CJ13" i="36"/>
  <c r="DH143" i="36"/>
  <c r="CP143" i="36"/>
  <c r="CI406" i="36"/>
  <c r="CI12" i="36"/>
  <c r="CQ671" i="36"/>
  <c r="CG481" i="36"/>
  <c r="CO635" i="36"/>
  <c r="DH635" i="36"/>
  <c r="CO597" i="36"/>
  <c r="DH639" i="36"/>
  <c r="CJ405" i="36"/>
  <c r="CJ10" i="36"/>
  <c r="CJ14" i="36"/>
  <c r="CK548" i="36"/>
  <c r="CK409" i="36"/>
  <c r="CO638" i="36"/>
  <c r="CO86" i="36"/>
  <c r="DH127" i="36"/>
  <c r="CK437" i="36"/>
  <c r="CK48" i="36"/>
  <c r="DH540" i="36"/>
  <c r="DH561" i="36"/>
  <c r="CP540" i="36"/>
  <c r="CI15" i="36"/>
  <c r="CE46" i="36"/>
  <c r="CE44" i="36"/>
  <c r="CO203" i="36"/>
  <c r="DH203" i="36"/>
  <c r="DH205" i="36"/>
  <c r="CO230" i="36"/>
  <c r="DH272" i="36"/>
  <c r="CO304" i="36"/>
  <c r="DH304" i="36"/>
  <c r="CO303" i="36"/>
  <c r="DH303" i="36"/>
  <c r="CO306" i="36"/>
  <c r="DH306" i="36"/>
  <c r="CI10" i="36"/>
  <c r="CN377" i="36"/>
  <c r="CK360" i="36"/>
  <c r="CK389" i="36"/>
  <c r="CJ549" i="36"/>
  <c r="CM596" i="36"/>
  <c r="CM595" i="36"/>
  <c r="CM593" i="36"/>
  <c r="DH164" i="36"/>
  <c r="CO453" i="36"/>
  <c r="DH454" i="36"/>
  <c r="CI404" i="36"/>
  <c r="CP345" i="36"/>
  <c r="CP344" i="36"/>
  <c r="DH509" i="36"/>
  <c r="DH493" i="36"/>
  <c r="DH673" i="36"/>
  <c r="CO704" i="36"/>
  <c r="DH704" i="36"/>
  <c r="CO705" i="36"/>
  <c r="DH705" i="36"/>
  <c r="CO707" i="36"/>
  <c r="DH707" i="36"/>
  <c r="DH443" i="36"/>
  <c r="CP443" i="36"/>
  <c r="CO400" i="36"/>
  <c r="DH400" i="36"/>
  <c r="CM31" i="36"/>
  <c r="CL495" i="36"/>
  <c r="CL63" i="36"/>
  <c r="DH102" i="36"/>
  <c r="CP102" i="36"/>
  <c r="CO58" i="36"/>
  <c r="CK439" i="36"/>
  <c r="CK8" i="36"/>
  <c r="CK52" i="36"/>
  <c r="CK450" i="36"/>
  <c r="CK452" i="36"/>
  <c r="CO839" i="36"/>
  <c r="DH839" i="36"/>
  <c r="DH841" i="36"/>
  <c r="CI423" i="36"/>
  <c r="CI38" i="36"/>
  <c r="CI29" i="36"/>
  <c r="CL718" i="36"/>
  <c r="CL717" i="36"/>
  <c r="CO146" i="36"/>
  <c r="DH146" i="36"/>
  <c r="CO149" i="36"/>
  <c r="DH150" i="36"/>
  <c r="DH752" i="36"/>
  <c r="CO712" i="36"/>
  <c r="DH712" i="36"/>
  <c r="CN359" i="36"/>
  <c r="CN357" i="36"/>
  <c r="CN392" i="36"/>
  <c r="CN393" i="36"/>
  <c r="CN395" i="36"/>
  <c r="CM720" i="36"/>
  <c r="CM716" i="36"/>
  <c r="CK92" i="36"/>
  <c r="CQ618" i="36"/>
  <c r="CQ632" i="36"/>
  <c r="CP590" i="36"/>
  <c r="CH566" i="36"/>
  <c r="CH432" i="36"/>
  <c r="DH614" i="36"/>
  <c r="CM64" i="36"/>
  <c r="DH465" i="36"/>
  <c r="CN597" i="36"/>
  <c r="CO317" i="36"/>
  <c r="CO314" i="36"/>
  <c r="DH314" i="36"/>
  <c r="DH318" i="36"/>
  <c r="DH508" i="36"/>
  <c r="CM827" i="36"/>
  <c r="CM826" i="36"/>
  <c r="CM850" i="36"/>
  <c r="CO736" i="36"/>
  <c r="DH772" i="36"/>
  <c r="CK547" i="36"/>
  <c r="CK550" i="36"/>
  <c r="CK408" i="36"/>
  <c r="CJ250" i="36"/>
  <c r="CO82" i="36"/>
  <c r="DH123" i="36"/>
  <c r="CK436" i="36"/>
  <c r="CK47" i="36"/>
  <c r="CK49" i="36"/>
  <c r="CP535" i="36"/>
  <c r="CP178" i="36"/>
  <c r="CP177" i="36"/>
  <c r="CM361" i="36"/>
  <c r="CM358" i="36"/>
  <c r="DH806" i="36"/>
  <c r="CP614" i="36"/>
  <c r="CM621" i="36"/>
  <c r="CM612" i="36"/>
  <c r="CM61" i="36"/>
  <c r="M188" i="19"/>
  <c r="N121" i="21"/>
  <c r="F82" i="14"/>
  <c r="N119" i="21"/>
  <c r="F80" i="14"/>
  <c r="N111" i="21"/>
  <c r="N120" i="21"/>
  <c r="DH515" i="36"/>
  <c r="CO504" i="36"/>
  <c r="DH504" i="36"/>
  <c r="CN790" i="36"/>
  <c r="CN720" i="36"/>
  <c r="CN716" i="36"/>
  <c r="DH788" i="36"/>
  <c r="CO790" i="36"/>
  <c r="DH823" i="36"/>
  <c r="CP636" i="36"/>
  <c r="CP598" i="36"/>
  <c r="CJ15" i="36"/>
  <c r="CJ404" i="36"/>
  <c r="CJ9" i="36"/>
  <c r="CP675" i="36"/>
  <c r="CO792" i="36"/>
  <c r="CO791" i="36"/>
  <c r="CO789" i="36"/>
  <c r="DH793" i="36"/>
  <c r="CM450" i="36"/>
  <c r="CM452" i="36"/>
  <c r="CO626" i="36"/>
  <c r="DH626" i="36"/>
  <c r="DH592" i="36"/>
  <c r="CO625" i="36"/>
  <c r="DH625" i="36"/>
  <c r="CO657" i="36"/>
  <c r="CO628" i="36"/>
  <c r="DH628" i="36"/>
  <c r="CM419" i="36"/>
  <c r="CM24" i="36"/>
  <c r="CP146" i="36"/>
  <c r="CP149" i="36"/>
  <c r="CQ499" i="36"/>
  <c r="CQ535" i="36"/>
  <c r="DH568" i="36"/>
  <c r="CQ443" i="36"/>
  <c r="CP400" i="36"/>
  <c r="CP704" i="36"/>
  <c r="CP705" i="36"/>
  <c r="CP707" i="36"/>
  <c r="CP314" i="36"/>
  <c r="CP317" i="36"/>
  <c r="DH453" i="36"/>
  <c r="CO274" i="36"/>
  <c r="CO236" i="36"/>
  <c r="DH236" i="36"/>
  <c r="DH278" i="36"/>
  <c r="CK50" i="36"/>
  <c r="CL89" i="36"/>
  <c r="CL121" i="36"/>
  <c r="CQ143" i="36"/>
  <c r="DH790" i="36"/>
  <c r="CP60" i="36"/>
  <c r="CP136" i="36"/>
  <c r="CP137" i="36"/>
  <c r="CM544" i="36"/>
  <c r="CM581" i="36"/>
  <c r="CM582" i="36"/>
  <c r="CM434" i="36"/>
  <c r="CM584" i="36"/>
  <c r="CM435" i="36"/>
  <c r="CM403" i="36"/>
  <c r="CQ485" i="36"/>
  <c r="CQ532" i="36"/>
  <c r="CQ533" i="36"/>
  <c r="CQ484" i="36"/>
  <c r="CQ487" i="36"/>
  <c r="CP453" i="36"/>
  <c r="CG433" i="36"/>
  <c r="CQ315" i="36"/>
  <c r="CQ344" i="36"/>
  <c r="CQ345" i="36"/>
  <c r="CQ347" i="36"/>
  <c r="CE45" i="36"/>
  <c r="CQ147" i="36"/>
  <c r="CQ177" i="36"/>
  <c r="CQ178" i="36"/>
  <c r="CQ180" i="36"/>
  <c r="CJ260" i="36"/>
  <c r="CO316" i="36"/>
  <c r="DH317" i="36"/>
  <c r="DH355" i="36"/>
  <c r="CP395" i="36"/>
  <c r="CO357" i="36"/>
  <c r="DH357" i="36"/>
  <c r="CO393" i="36"/>
  <c r="DH393" i="36"/>
  <c r="CO392" i="36"/>
  <c r="DH392" i="36"/>
  <c r="CO395" i="36"/>
  <c r="DH395" i="36"/>
  <c r="CO148" i="36"/>
  <c r="DH149" i="36"/>
  <c r="CM770" i="36"/>
  <c r="CM781" i="36"/>
  <c r="DH270" i="36"/>
  <c r="CO228" i="36"/>
  <c r="DH228" i="36"/>
  <c r="CK405" i="36"/>
  <c r="CK14" i="36"/>
  <c r="CM233" i="36"/>
  <c r="CQ184" i="36"/>
  <c r="CJ92" i="36"/>
  <c r="CL259" i="36"/>
  <c r="CL250" i="36"/>
  <c r="CL260" i="36"/>
  <c r="CL288" i="36"/>
  <c r="CL300" i="36"/>
  <c r="CL548" i="36"/>
  <c r="CL409" i="36"/>
  <c r="CM421" i="36"/>
  <c r="CN329" i="36"/>
  <c r="CM517" i="36"/>
  <c r="CM529" i="36"/>
  <c r="CI433" i="36"/>
  <c r="CI11" i="36"/>
  <c r="CS491" i="36"/>
  <c r="CP147" i="36"/>
  <c r="CN596" i="36"/>
  <c r="CN595" i="36"/>
  <c r="CN593" i="36"/>
  <c r="CH423" i="36"/>
  <c r="CH433" i="36"/>
  <c r="CH38" i="36"/>
  <c r="CH29" i="36"/>
  <c r="CO418" i="36"/>
  <c r="DH464" i="36"/>
  <c r="CM19" i="36"/>
  <c r="CM364" i="36"/>
  <c r="CM89" i="36"/>
  <c r="CM121" i="36"/>
  <c r="CM133" i="36"/>
  <c r="CR671" i="36"/>
  <c r="CM718" i="36"/>
  <c r="CM717" i="36"/>
  <c r="DH754" i="36"/>
  <c r="CO714" i="36"/>
  <c r="DH714" i="36"/>
  <c r="CL437" i="36"/>
  <c r="CL48" i="36"/>
  <c r="CL410" i="36"/>
  <c r="CL15" i="36"/>
  <c r="CP451" i="36"/>
  <c r="CN64" i="36"/>
  <c r="CM415" i="36"/>
  <c r="CM20" i="36"/>
  <c r="CP230" i="36"/>
  <c r="CP266" i="36"/>
  <c r="CP228" i="36"/>
  <c r="CP303" i="36"/>
  <c r="CP304" i="36"/>
  <c r="CO593" i="36"/>
  <c r="DH593" i="36"/>
  <c r="DH597" i="36"/>
  <c r="CO108" i="36"/>
  <c r="CO105" i="36"/>
  <c r="CO65" i="36"/>
  <c r="DH109" i="36"/>
  <c r="CK24" i="36"/>
  <c r="CM495" i="36"/>
  <c r="DH444" i="36"/>
  <c r="CO401" i="36"/>
  <c r="DH401" i="36"/>
  <c r="CO276" i="36"/>
  <c r="CO273" i="36"/>
  <c r="CO235" i="36"/>
  <c r="DH235" i="36"/>
  <c r="DH277" i="36"/>
  <c r="DH86" i="36"/>
  <c r="CO188" i="36"/>
  <c r="DH188" i="36"/>
  <c r="DH192" i="36"/>
  <c r="CP203" i="36"/>
  <c r="CN517" i="36"/>
  <c r="CN529" i="36"/>
  <c r="CJ26" i="36"/>
  <c r="CP592" i="36"/>
  <c r="CP665" i="36"/>
  <c r="CP664" i="36"/>
  <c r="CP667" i="36"/>
  <c r="CO756" i="36"/>
  <c r="DH756" i="36"/>
  <c r="DH760" i="36"/>
  <c r="CM791" i="36"/>
  <c r="CN447" i="36"/>
  <c r="CN402" i="36"/>
  <c r="CN7" i="36"/>
  <c r="CL439" i="36"/>
  <c r="CL8" i="36"/>
  <c r="CL52" i="36"/>
  <c r="CN61" i="36"/>
  <c r="CL550" i="36"/>
  <c r="CL408" i="36"/>
  <c r="CM35" i="36"/>
  <c r="CQ102" i="36"/>
  <c r="CP58" i="36"/>
  <c r="CO824" i="36"/>
  <c r="DH824" i="36"/>
  <c r="DH828" i="36"/>
  <c r="CK407" i="36"/>
  <c r="CK13" i="36"/>
  <c r="DH383" i="36"/>
  <c r="CJ469" i="36"/>
  <c r="CK549" i="36"/>
  <c r="DH58" i="36"/>
  <c r="CO6" i="36"/>
  <c r="DH6" i="36"/>
  <c r="CI9" i="36"/>
  <c r="CQ306" i="36"/>
  <c r="CO263" i="36"/>
  <c r="DH263" i="36"/>
  <c r="DH230" i="36"/>
  <c r="CO264" i="36"/>
  <c r="DH264" i="36"/>
  <c r="CO266" i="36"/>
  <c r="DH266" i="36"/>
  <c r="CQ540" i="36"/>
  <c r="CO636" i="36"/>
  <c r="DH636" i="36"/>
  <c r="CO598" i="36"/>
  <c r="DH640" i="36"/>
  <c r="CO190" i="36"/>
  <c r="CO187" i="36"/>
  <c r="DH187" i="36"/>
  <c r="DH191" i="36"/>
  <c r="CM174" i="36"/>
  <c r="CN31" i="36"/>
  <c r="CO95" i="36"/>
  <c r="DH95" i="36"/>
  <c r="DH60" i="36"/>
  <c r="CP98" i="36"/>
  <c r="CO96" i="36"/>
  <c r="DH96" i="36"/>
  <c r="CO98" i="36"/>
  <c r="DH98" i="36"/>
  <c r="CK529" i="36"/>
  <c r="CJ734" i="36"/>
  <c r="CO425" i="36"/>
  <c r="DH471" i="36"/>
  <c r="CL436" i="36"/>
  <c r="CL47" i="36"/>
  <c r="CL49" i="36"/>
  <c r="DH794" i="36"/>
  <c r="CL553" i="36"/>
  <c r="CL547" i="36"/>
  <c r="CP501" i="36"/>
  <c r="CG29" i="36"/>
  <c r="CH578" i="36"/>
  <c r="CP315" i="36"/>
  <c r="CM689" i="36"/>
  <c r="CM360" i="36"/>
  <c r="CM389" i="36"/>
  <c r="CR618" i="36"/>
  <c r="CR632" i="36"/>
  <c r="CQ590" i="36"/>
  <c r="CN361" i="36"/>
  <c r="CN358" i="36"/>
  <c r="CP86" i="36"/>
  <c r="CM622" i="36"/>
  <c r="DH572" i="36"/>
  <c r="DH541" i="36"/>
  <c r="CJ406" i="36"/>
  <c r="CJ12" i="36"/>
  <c r="CP219" i="36"/>
  <c r="CP218" i="36"/>
  <c r="CL621" i="36"/>
  <c r="CL650" i="36"/>
  <c r="CN6" i="36"/>
  <c r="CN689" i="36"/>
  <c r="CN701" i="36"/>
  <c r="CN827" i="36"/>
  <c r="CN826" i="36"/>
  <c r="CN850" i="36"/>
  <c r="CN755" i="36"/>
  <c r="CN758" i="36"/>
  <c r="CN757" i="36"/>
  <c r="CN719" i="36"/>
  <c r="CN456" i="36"/>
  <c r="CN414" i="36"/>
  <c r="CN275" i="36"/>
  <c r="CN234" i="36"/>
  <c r="CO498" i="36"/>
  <c r="DH498" i="36"/>
  <c r="DH736" i="36"/>
  <c r="CN789" i="36"/>
  <c r="CN792" i="36"/>
  <c r="CO677" i="36"/>
  <c r="CO674" i="36"/>
  <c r="DH674" i="36"/>
  <c r="DH678" i="36"/>
  <c r="CP499" i="36"/>
  <c r="DH82" i="36"/>
  <c r="CM63" i="36"/>
  <c r="CQ614" i="36"/>
  <c r="CP82" i="36"/>
  <c r="CJ566" i="36"/>
  <c r="CJ578" i="36"/>
  <c r="CP306" i="36"/>
  <c r="CO637" i="36"/>
  <c r="DH638" i="36"/>
  <c r="CK410" i="36"/>
  <c r="CK15" i="36"/>
  <c r="CN215" i="36"/>
  <c r="CL742" i="36"/>
  <c r="CL734" i="36"/>
  <c r="CL743" i="36"/>
  <c r="CL770" i="36"/>
  <c r="CL781" i="36"/>
  <c r="CO106" i="36"/>
  <c r="CO66" i="36"/>
  <c r="DH110" i="36"/>
  <c r="CJ815" i="36"/>
  <c r="CN429" i="36"/>
  <c r="CN650" i="36"/>
  <c r="CN661" i="36"/>
  <c r="CO720" i="36"/>
  <c r="CO500" i="36"/>
  <c r="DH501" i="36"/>
  <c r="Q66" i="19"/>
  <c r="Q65" i="19" s="1"/>
  <c r="Q144" i="19"/>
  <c r="Q143" i="19" s="1"/>
  <c r="Q655" i="19"/>
  <c r="F262" i="14"/>
  <c r="F263" i="14"/>
  <c r="F265" i="14"/>
  <c r="F266" i="14"/>
  <c r="F268" i="14"/>
  <c r="F269" i="14"/>
  <c r="F270" i="14"/>
  <c r="F274" i="14"/>
  <c r="F281" i="14"/>
  <c r="F286" i="14"/>
  <c r="F285" i="14"/>
  <c r="CN791" i="36"/>
  <c r="DH792" i="36"/>
  <c r="CH44" i="36"/>
  <c r="CH45" i="36"/>
  <c r="CH46" i="36"/>
  <c r="CO716" i="36"/>
  <c r="DH716" i="36"/>
  <c r="DH720" i="36"/>
  <c r="CQ675" i="36"/>
  <c r="CM26" i="36"/>
  <c r="CM410" i="36"/>
  <c r="CP108" i="36"/>
  <c r="CP105" i="36"/>
  <c r="CP65" i="36"/>
  <c r="CO676" i="36"/>
  <c r="DH677" i="36"/>
  <c r="CL612" i="36"/>
  <c r="CJ11" i="36"/>
  <c r="CN89" i="36"/>
  <c r="CN121" i="36"/>
  <c r="CN133" i="36"/>
  <c r="CO189" i="36"/>
  <c r="DH190" i="36"/>
  <c r="CK469" i="36"/>
  <c r="CK481" i="36"/>
  <c r="CO377" i="36"/>
  <c r="DH377" i="36"/>
  <c r="DH379" i="36"/>
  <c r="CR102" i="36"/>
  <c r="CQ58" i="36"/>
  <c r="CQ453" i="36"/>
  <c r="DH791" i="36"/>
  <c r="CQ592" i="36"/>
  <c r="CQ665" i="36"/>
  <c r="CQ664" i="36"/>
  <c r="CQ667" i="36"/>
  <c r="CO402" i="36"/>
  <c r="DH445" i="36"/>
  <c r="CQ228" i="36"/>
  <c r="CQ230" i="36"/>
  <c r="CQ303" i="36"/>
  <c r="CQ304" i="36"/>
  <c r="CQ501" i="36"/>
  <c r="CL50" i="36"/>
  <c r="CS671" i="36"/>
  <c r="CI46" i="36"/>
  <c r="CI44" i="36"/>
  <c r="CI45" i="36"/>
  <c r="CR184" i="36"/>
  <c r="CK10" i="36"/>
  <c r="CO361" i="36"/>
  <c r="DH362" i="36"/>
  <c r="CR347" i="36"/>
  <c r="CR533" i="36"/>
  <c r="CR484" i="36"/>
  <c r="CR532" i="36"/>
  <c r="CR485" i="36"/>
  <c r="CR487" i="36"/>
  <c r="CL80" i="36"/>
  <c r="CP594" i="36"/>
  <c r="CP677" i="36"/>
  <c r="CP674" i="36"/>
  <c r="CL133" i="36"/>
  <c r="CO650" i="36"/>
  <c r="DH637" i="36"/>
  <c r="CN804" i="36"/>
  <c r="CN815" i="36"/>
  <c r="DH557" i="36"/>
  <c r="DH425" i="36"/>
  <c r="CO758" i="36"/>
  <c r="CO755" i="36"/>
  <c r="DH755" i="36"/>
  <c r="CO719" i="36"/>
  <c r="DH759" i="36"/>
  <c r="CQ82" i="36"/>
  <c r="CP425" i="36"/>
  <c r="CO23" i="36"/>
  <c r="DH23" i="36"/>
  <c r="DH418" i="36"/>
  <c r="CQ203" i="36"/>
  <c r="CM548" i="36"/>
  <c r="CM409" i="36"/>
  <c r="CP316" i="36"/>
  <c r="CQ451" i="36"/>
  <c r="CO804" i="36"/>
  <c r="CO815" i="36"/>
  <c r="CN233" i="36"/>
  <c r="CO31" i="36"/>
  <c r="CG46" i="36"/>
  <c r="CG44" i="36"/>
  <c r="CN35" i="36"/>
  <c r="CK566" i="36"/>
  <c r="CK578" i="36"/>
  <c r="CK404" i="36"/>
  <c r="CQ86" i="36"/>
  <c r="CO231" i="36"/>
  <c r="DH231" i="36"/>
  <c r="DH273" i="36"/>
  <c r="CO456" i="36"/>
  <c r="CO414" i="36"/>
  <c r="DH460" i="36"/>
  <c r="CO64" i="36"/>
  <c r="DH65" i="36"/>
  <c r="CN621" i="36"/>
  <c r="CN612" i="36"/>
  <c r="CN622" i="36"/>
  <c r="CP638" i="36"/>
  <c r="CP637" i="36"/>
  <c r="CP635" i="36"/>
  <c r="CP597" i="36"/>
  <c r="DH316" i="36"/>
  <c r="CM439" i="36"/>
  <c r="CM8" i="36"/>
  <c r="CM52" i="36"/>
  <c r="CM701" i="36"/>
  <c r="CJ743" i="36"/>
  <c r="CO594" i="36"/>
  <c r="DH594" i="36"/>
  <c r="DH598" i="36"/>
  <c r="CK406" i="36"/>
  <c r="CK12" i="36"/>
  <c r="CO275" i="36"/>
  <c r="CO234" i="36"/>
  <c r="DH234" i="36"/>
  <c r="DH276" i="36"/>
  <c r="CO429" i="36"/>
  <c r="DH429" i="36"/>
  <c r="DH475" i="36"/>
  <c r="CO61" i="36"/>
  <c r="DH105" i="36"/>
  <c r="CN63" i="36"/>
  <c r="DH500" i="36"/>
  <c r="CM259" i="36"/>
  <c r="CM250" i="36"/>
  <c r="CM260" i="36"/>
  <c r="CM288" i="36"/>
  <c r="CM300" i="36"/>
  <c r="DH148" i="36"/>
  <c r="CQ149" i="36"/>
  <c r="CQ148" i="36"/>
  <c r="CQ146" i="36"/>
  <c r="CM437" i="36"/>
  <c r="CM48" i="36"/>
  <c r="CM50" i="36"/>
  <c r="CR143" i="36"/>
  <c r="CQ400" i="36"/>
  <c r="CR443" i="36"/>
  <c r="CP626" i="36"/>
  <c r="CP625" i="36"/>
  <c r="CP657" i="36"/>
  <c r="CP628" i="36"/>
  <c r="CO359" i="36"/>
  <c r="DH359" i="36"/>
  <c r="DH363" i="36"/>
  <c r="CQ705" i="36"/>
  <c r="CQ704" i="36"/>
  <c r="CQ707" i="36"/>
  <c r="CN450" i="36"/>
  <c r="CN452" i="36"/>
  <c r="CQ188" i="36"/>
  <c r="CQ219" i="36"/>
  <c r="CQ218" i="36"/>
  <c r="CQ221" i="36"/>
  <c r="CJ481" i="36"/>
  <c r="CL407" i="36"/>
  <c r="CL404" i="36"/>
  <c r="CL9" i="36"/>
  <c r="CL13" i="36"/>
  <c r="CN495" i="36"/>
  <c r="CO107" i="36"/>
  <c r="DH108" i="36"/>
  <c r="CP236" i="36"/>
  <c r="CP274" i="36"/>
  <c r="CM80" i="36"/>
  <c r="CM92" i="36"/>
  <c r="CN341" i="36"/>
  <c r="CP357" i="36"/>
  <c r="CP393" i="36"/>
  <c r="CP392" i="36"/>
  <c r="CR178" i="36"/>
  <c r="CR177" i="36"/>
  <c r="CR345" i="36"/>
  <c r="CR344" i="36"/>
  <c r="CM436" i="36"/>
  <c r="CM47" i="36"/>
  <c r="CM49" i="36"/>
  <c r="CP95" i="36"/>
  <c r="CP96" i="36"/>
  <c r="CP418" i="36"/>
  <c r="CR535" i="36"/>
  <c r="CR614" i="36"/>
  <c r="CL469" i="36"/>
  <c r="CL481" i="36"/>
  <c r="CP188" i="36"/>
  <c r="DH66" i="36"/>
  <c r="CP190" i="36"/>
  <c r="CP187" i="36"/>
  <c r="DH558" i="36"/>
  <c r="DH545" i="36"/>
  <c r="DH542" i="36"/>
  <c r="CJ432" i="36"/>
  <c r="CL549" i="36"/>
  <c r="CN415" i="36"/>
  <c r="CN20" i="36"/>
  <c r="CP276" i="36"/>
  <c r="CP235" i="36"/>
  <c r="CP273" i="36"/>
  <c r="CP31" i="36"/>
  <c r="DH353" i="36"/>
  <c r="CO358" i="36"/>
  <c r="DH358" i="36"/>
  <c r="CS180" i="36"/>
  <c r="CN419" i="36"/>
  <c r="CN24" i="36"/>
  <c r="CQ60" i="36"/>
  <c r="CQ136" i="36"/>
  <c r="CQ137" i="36"/>
  <c r="CQ139" i="36"/>
  <c r="CR139" i="36"/>
  <c r="CO232" i="36"/>
  <c r="DH232" i="36"/>
  <c r="DH274" i="36"/>
  <c r="CP401" i="36"/>
  <c r="CP148" i="36"/>
  <c r="CM550" i="36"/>
  <c r="CM408" i="36"/>
  <c r="CM553" i="36"/>
  <c r="CM547" i="36"/>
  <c r="CN715" i="36"/>
  <c r="CN718" i="36"/>
  <c r="CN717" i="36"/>
  <c r="CQ317" i="36"/>
  <c r="CQ316" i="36"/>
  <c r="CQ314" i="36"/>
  <c r="CO825" i="36"/>
  <c r="DH825" i="36"/>
  <c r="DH829" i="36"/>
  <c r="CO62" i="36"/>
  <c r="DH106" i="36"/>
  <c r="CL661" i="36"/>
  <c r="CS618" i="36"/>
  <c r="CS632" i="36"/>
  <c r="CR590" i="36"/>
  <c r="CR540" i="36"/>
  <c r="CN19" i="36"/>
  <c r="CN364" i="36"/>
  <c r="CO827" i="36"/>
  <c r="CO35" i="36"/>
  <c r="DH35" i="36"/>
  <c r="CO596" i="36"/>
  <c r="CP263" i="36"/>
  <c r="CP264" i="36"/>
  <c r="CM15" i="36"/>
  <c r="CT491" i="36"/>
  <c r="CL405" i="36"/>
  <c r="CL10" i="36"/>
  <c r="CL14" i="36"/>
  <c r="CR180" i="36"/>
  <c r="CN544" i="36"/>
  <c r="CN582" i="36"/>
  <c r="CN434" i="36"/>
  <c r="CN581" i="36"/>
  <c r="CN584" i="36"/>
  <c r="CN435" i="36"/>
  <c r="CN403" i="36"/>
  <c r="CP106" i="36"/>
  <c r="CP66" i="36"/>
  <c r="DH789" i="36"/>
  <c r="F267" i="14"/>
  <c r="F264" i="14"/>
  <c r="F261" i="14"/>
  <c r="DH650" i="36"/>
  <c r="CO661" i="36"/>
  <c r="DH661" i="36"/>
  <c r="CR636" i="36"/>
  <c r="CM407" i="36"/>
  <c r="CM404" i="36"/>
  <c r="CM9" i="36"/>
  <c r="CM13" i="36"/>
  <c r="CL406" i="36"/>
  <c r="CL12" i="36"/>
  <c r="CP596" i="36"/>
  <c r="CP593" i="36"/>
  <c r="CQ636" i="36"/>
  <c r="CQ598" i="36"/>
  <c r="CO595" i="36"/>
  <c r="DH596" i="36"/>
  <c r="DH62" i="36"/>
  <c r="CP429" i="36"/>
  <c r="CP35" i="36"/>
  <c r="CS147" i="36"/>
  <c r="CS177" i="36"/>
  <c r="CS178" i="36"/>
  <c r="CT180" i="36"/>
  <c r="CM469" i="36"/>
  <c r="CM481" i="36"/>
  <c r="CQ162" i="36"/>
  <c r="CQ174" i="36"/>
  <c r="CO63" i="36"/>
  <c r="DH64" i="36"/>
  <c r="CO757" i="36"/>
  <c r="DH758" i="36"/>
  <c r="CP676" i="36"/>
  <c r="CL92" i="36"/>
  <c r="CS484" i="36"/>
  <c r="CS532" i="36"/>
  <c r="CS485" i="36"/>
  <c r="CS533" i="36"/>
  <c r="CS487" i="36"/>
  <c r="DH361" i="36"/>
  <c r="CQ504" i="36"/>
  <c r="CQ498" i="36"/>
  <c r="CQ276" i="36"/>
  <c r="CQ235" i="36"/>
  <c r="CQ273" i="36"/>
  <c r="CQ231" i="36"/>
  <c r="DH676" i="36"/>
  <c r="CN437" i="36"/>
  <c r="CN48" i="36"/>
  <c r="CR149" i="36"/>
  <c r="CR146" i="36"/>
  <c r="CN259" i="36"/>
  <c r="CN250" i="36"/>
  <c r="CN288" i="36"/>
  <c r="CN300" i="36"/>
  <c r="CM804" i="36"/>
  <c r="DH812" i="36"/>
  <c r="CM742" i="36"/>
  <c r="CM734" i="36"/>
  <c r="CM743" i="36"/>
  <c r="CN436" i="36"/>
  <c r="CN47" i="36"/>
  <c r="CT632" i="36"/>
  <c r="CS590" i="36"/>
  <c r="CP504" i="36"/>
  <c r="CQ329" i="36"/>
  <c r="CQ341" i="36"/>
  <c r="CM549" i="36"/>
  <c r="CN550" i="36"/>
  <c r="CN408" i="36"/>
  <c r="CP231" i="36"/>
  <c r="CJ423" i="36"/>
  <c r="CJ433" i="36"/>
  <c r="CJ38" i="36"/>
  <c r="CR315" i="36"/>
  <c r="CO233" i="36"/>
  <c r="DH275" i="36"/>
  <c r="CP650" i="36"/>
  <c r="CP661" i="36"/>
  <c r="CK9" i="36"/>
  <c r="CQ635" i="36"/>
  <c r="CQ638" i="36"/>
  <c r="CQ637" i="36"/>
  <c r="CQ597" i="36"/>
  <c r="CR451" i="36"/>
  <c r="CQ500" i="36"/>
  <c r="CQ626" i="36"/>
  <c r="CQ625" i="36"/>
  <c r="CQ657" i="36"/>
  <c r="CQ628" i="36"/>
  <c r="CP414" i="36"/>
  <c r="CQ418" i="36"/>
  <c r="CQ23" i="36"/>
  <c r="CU491" i="36"/>
  <c r="CN548" i="36"/>
  <c r="CN409" i="36"/>
  <c r="CO826" i="36"/>
  <c r="DH827" i="36"/>
  <c r="CS614" i="36"/>
  <c r="CS499" i="36"/>
  <c r="CS535" i="36"/>
  <c r="DH107" i="36"/>
  <c r="CS143" i="36"/>
  <c r="DH414" i="36"/>
  <c r="DH31" i="36"/>
  <c r="CM405" i="36"/>
  <c r="CM10" i="36"/>
  <c r="CM14" i="36"/>
  <c r="CN421" i="36"/>
  <c r="CN26" i="36"/>
  <c r="CR228" i="36"/>
  <c r="CR230" i="36"/>
  <c r="CR304" i="36"/>
  <c r="CR303" i="36"/>
  <c r="CR306" i="36"/>
  <c r="CO7" i="36"/>
  <c r="DH7" i="36"/>
  <c r="DH402" i="36"/>
  <c r="CK432" i="36"/>
  <c r="CP64" i="36"/>
  <c r="CQ108" i="36"/>
  <c r="CQ107" i="36"/>
  <c r="CQ105" i="36"/>
  <c r="CQ65" i="36"/>
  <c r="CP275" i="36"/>
  <c r="CP234" i="36"/>
  <c r="CP189" i="36"/>
  <c r="CR314" i="36"/>
  <c r="CR317" i="36"/>
  <c r="CR316" i="36"/>
  <c r="CP361" i="36"/>
  <c r="DH496" i="36"/>
  <c r="CO495" i="36"/>
  <c r="DH495" i="36"/>
  <c r="CN360" i="36"/>
  <c r="CN389" i="36"/>
  <c r="CR219" i="36"/>
  <c r="CR218" i="36"/>
  <c r="CS675" i="36"/>
  <c r="CR705" i="36"/>
  <c r="CR704" i="36"/>
  <c r="CR707" i="36"/>
  <c r="CR501" i="36"/>
  <c r="DH171" i="36"/>
  <c r="CO162" i="36"/>
  <c r="CK11" i="36"/>
  <c r="CO329" i="36"/>
  <c r="DH338" i="36"/>
  <c r="CO450" i="36"/>
  <c r="DH450" i="36"/>
  <c r="DH456" i="36"/>
  <c r="CO452" i="36"/>
  <c r="CO415" i="36"/>
  <c r="DH461" i="36"/>
  <c r="CR592" i="36"/>
  <c r="CR664" i="36"/>
  <c r="CR665" i="36"/>
  <c r="CR667" i="36"/>
  <c r="CR82" i="36"/>
  <c r="CP61" i="36"/>
  <c r="CP377" i="36"/>
  <c r="CP359" i="36"/>
  <c r="CN80" i="36"/>
  <c r="CN92" i="36"/>
  <c r="CP62" i="36"/>
  <c r="CO544" i="36"/>
  <c r="DH544" i="36"/>
  <c r="DH543" i="36"/>
  <c r="CO582" i="36"/>
  <c r="CO581" i="36"/>
  <c r="DH581" i="36"/>
  <c r="CO584" i="36"/>
  <c r="CO403" i="36"/>
  <c r="CQ96" i="36"/>
  <c r="CQ95" i="36"/>
  <c r="CQ98" i="36"/>
  <c r="CP6" i="36"/>
  <c r="CR499" i="36"/>
  <c r="CS221" i="36"/>
  <c r="CR598" i="36"/>
  <c r="CR594" i="36"/>
  <c r="CS443" i="36"/>
  <c r="CR400" i="36"/>
  <c r="DH61" i="36"/>
  <c r="DH467" i="36"/>
  <c r="CO517" i="36"/>
  <c r="DH526" i="36"/>
  <c r="CO621" i="36"/>
  <c r="DH658" i="36"/>
  <c r="CT671" i="36"/>
  <c r="DH448" i="36"/>
  <c r="CO447" i="36"/>
  <c r="DH447" i="36"/>
  <c r="CO215" i="36"/>
  <c r="DH215" i="36"/>
  <c r="DH212" i="36"/>
  <c r="DH189" i="36"/>
  <c r="CL622" i="36"/>
  <c r="CP107" i="36"/>
  <c r="CR453" i="36"/>
  <c r="CS203" i="36"/>
  <c r="CS184" i="36"/>
  <c r="CQ264" i="36"/>
  <c r="CQ263" i="36"/>
  <c r="CQ266" i="36"/>
  <c r="CR266" i="36"/>
  <c r="CS86" i="36"/>
  <c r="CS102" i="36"/>
  <c r="CR58" i="36"/>
  <c r="DH546" i="36"/>
  <c r="CS540" i="36"/>
  <c r="CP447" i="36"/>
  <c r="CP402" i="36"/>
  <c r="CQ106" i="36"/>
  <c r="CQ62" i="36"/>
  <c r="CQ66" i="36"/>
  <c r="CO364" i="36"/>
  <c r="CO360" i="36"/>
  <c r="CO19" i="36"/>
  <c r="DH19" i="36"/>
  <c r="DH368" i="36"/>
  <c r="CQ359" i="36"/>
  <c r="CQ357" i="36"/>
  <c r="CQ392" i="36"/>
  <c r="CQ393" i="36"/>
  <c r="CQ395" i="36"/>
  <c r="CQ190" i="36"/>
  <c r="CQ189" i="36"/>
  <c r="CQ187" i="36"/>
  <c r="CN439" i="36"/>
  <c r="CN8" i="36"/>
  <c r="CN52" i="36"/>
  <c r="CQ425" i="36"/>
  <c r="CR60" i="36"/>
  <c r="CR136" i="36"/>
  <c r="CR137" i="36"/>
  <c r="CP23" i="36"/>
  <c r="CS315" i="36"/>
  <c r="CS344" i="36"/>
  <c r="CS345" i="36"/>
  <c r="CS347" i="36"/>
  <c r="CT347" i="36"/>
  <c r="CR147" i="36"/>
  <c r="CQ35" i="36"/>
  <c r="CQ377" i="36"/>
  <c r="CP232" i="36"/>
  <c r="CR221" i="36"/>
  <c r="CQ429" i="36"/>
  <c r="CQ401" i="36"/>
  <c r="CG45" i="36"/>
  <c r="CN260" i="36"/>
  <c r="CO715" i="36"/>
  <c r="DH715" i="36"/>
  <c r="CO718" i="36"/>
  <c r="DH719" i="36"/>
  <c r="DH564" i="36"/>
  <c r="CQ677" i="36"/>
  <c r="CQ676" i="36"/>
  <c r="CQ674" i="36"/>
  <c r="CR203" i="36"/>
  <c r="CQ236" i="36"/>
  <c r="CQ274" i="36"/>
  <c r="CQ232" i="36"/>
  <c r="CR86" i="36"/>
  <c r="CN742" i="36"/>
  <c r="CN734" i="36"/>
  <c r="CN743" i="36"/>
  <c r="CN770" i="36"/>
  <c r="CN781" i="36"/>
  <c r="F271" i="14"/>
  <c r="CO389" i="36"/>
  <c r="DH389" i="36"/>
  <c r="DH360" i="36"/>
  <c r="CP7" i="36"/>
  <c r="CO550" i="36"/>
  <c r="CO408" i="36"/>
  <c r="DH551" i="36"/>
  <c r="CR98" i="36"/>
  <c r="DH584" i="36"/>
  <c r="CO435" i="36"/>
  <c r="CS592" i="36"/>
  <c r="CS664" i="36"/>
  <c r="CS665" i="36"/>
  <c r="CS667" i="36"/>
  <c r="DH452" i="36"/>
  <c r="CR190" i="36"/>
  <c r="CR189" i="36"/>
  <c r="CR187" i="36"/>
  <c r="CR329" i="36"/>
  <c r="CR341" i="36"/>
  <c r="CK423" i="36"/>
  <c r="CK433" i="36"/>
  <c r="CK38" i="36"/>
  <c r="CK29" i="36"/>
  <c r="CS228" i="36"/>
  <c r="CS303" i="36"/>
  <c r="CS230" i="36"/>
  <c r="CS304" i="36"/>
  <c r="CS306" i="36"/>
  <c r="CT306" i="36"/>
  <c r="CV491" i="36"/>
  <c r="DB234" i="36"/>
  <c r="DH233" i="36"/>
  <c r="CT618" i="36"/>
  <c r="CO689" i="36"/>
  <c r="DH698" i="36"/>
  <c r="CS451" i="36"/>
  <c r="CQ594" i="36"/>
  <c r="DH804" i="36"/>
  <c r="CM815" i="36"/>
  <c r="DH815" i="36"/>
  <c r="CO717" i="36"/>
  <c r="DH718" i="36"/>
  <c r="CQ402" i="36"/>
  <c r="CQ7" i="36"/>
  <c r="CQ447" i="36"/>
  <c r="CN410" i="36"/>
  <c r="CN15" i="36"/>
  <c r="CQ215" i="36"/>
  <c r="CQ361" i="36"/>
  <c r="CP415" i="36"/>
  <c r="CU671" i="36"/>
  <c r="CQ31" i="36"/>
  <c r="CS638" i="36"/>
  <c r="CS637" i="36"/>
  <c r="CS635" i="36"/>
  <c r="CS597" i="36"/>
  <c r="CS677" i="36"/>
  <c r="CS676" i="36"/>
  <c r="CS674" i="36"/>
  <c r="CP233" i="36"/>
  <c r="CQ517" i="36"/>
  <c r="CQ529" i="36"/>
  <c r="CP329" i="36"/>
  <c r="CT614" i="36"/>
  <c r="CT533" i="36"/>
  <c r="CT485" i="36"/>
  <c r="CT484" i="36"/>
  <c r="CT532" i="36"/>
  <c r="CT487" i="36"/>
  <c r="CS636" i="36"/>
  <c r="CS598" i="36"/>
  <c r="CS594" i="36"/>
  <c r="CR188" i="36"/>
  <c r="CP63" i="36"/>
  <c r="CN407" i="36"/>
  <c r="CN13" i="36"/>
  <c r="DH757" i="36"/>
  <c r="CR425" i="36"/>
  <c r="CS317" i="36"/>
  <c r="CS316" i="36"/>
  <c r="CS314" i="36"/>
  <c r="CR401" i="36"/>
  <c r="CR6" i="36"/>
  <c r="DH582" i="36"/>
  <c r="CO434" i="36"/>
  <c r="CS705" i="36"/>
  <c r="CS704" i="36"/>
  <c r="CS707" i="36"/>
  <c r="CP495" i="36"/>
  <c r="CQ64" i="36"/>
  <c r="CT143" i="36"/>
  <c r="CP456" i="36"/>
  <c r="CO259" i="36"/>
  <c r="CO288" i="36"/>
  <c r="DH297" i="36"/>
  <c r="CJ29" i="36"/>
  <c r="CU618" i="36"/>
  <c r="CU632" i="36"/>
  <c r="CT590" i="36"/>
  <c r="CS149" i="36"/>
  <c r="CS148" i="36"/>
  <c r="CS146" i="36"/>
  <c r="CM406" i="36"/>
  <c r="CM12" i="36"/>
  <c r="DH162" i="36"/>
  <c r="CO174" i="36"/>
  <c r="DH174" i="36"/>
  <c r="CQ456" i="36"/>
  <c r="CQ414" i="36"/>
  <c r="CS418" i="36"/>
  <c r="CS23" i="36"/>
  <c r="CT443" i="36"/>
  <c r="CS400" i="36"/>
  <c r="CO20" i="36"/>
  <c r="DH20" i="36"/>
  <c r="DH415" i="36"/>
  <c r="CP215" i="36"/>
  <c r="CQ61" i="36"/>
  <c r="CR263" i="36"/>
  <c r="CR264" i="36"/>
  <c r="CT535" i="36"/>
  <c r="CN49" i="36"/>
  <c r="CT177" i="36"/>
  <c r="CT178" i="36"/>
  <c r="CU180" i="36"/>
  <c r="CP595" i="36"/>
  <c r="DH562" i="36"/>
  <c r="CO419" i="36"/>
  <c r="CO553" i="36"/>
  <c r="CP162" i="36"/>
  <c r="CS60" i="36"/>
  <c r="CS136" i="36"/>
  <c r="CS137" i="36"/>
  <c r="CT102" i="36"/>
  <c r="CS58" i="36"/>
  <c r="CT184" i="36"/>
  <c r="CR677" i="36"/>
  <c r="CR676" i="36"/>
  <c r="CR674" i="36"/>
  <c r="DH517" i="36"/>
  <c r="CO529" i="36"/>
  <c r="DH529" i="36"/>
  <c r="CR418" i="36"/>
  <c r="CO341" i="36"/>
  <c r="DH341" i="36"/>
  <c r="DH329" i="36"/>
  <c r="CR236" i="36"/>
  <c r="CR274" i="36"/>
  <c r="CR232" i="36"/>
  <c r="CR148" i="36"/>
  <c r="CQ234" i="36"/>
  <c r="CQ275" i="36"/>
  <c r="CP621" i="36"/>
  <c r="DB64" i="36"/>
  <c r="DH63" i="36"/>
  <c r="CP582" i="36"/>
  <c r="CP434" i="36"/>
  <c r="CP544" i="36"/>
  <c r="CP581" i="36"/>
  <c r="CP584" i="36"/>
  <c r="CP435" i="36"/>
  <c r="CP403" i="36"/>
  <c r="CP360" i="36"/>
  <c r="CR357" i="36"/>
  <c r="CR392" i="36"/>
  <c r="CR393" i="36"/>
  <c r="CP19" i="36"/>
  <c r="CP364" i="36"/>
  <c r="CT344" i="36"/>
  <c r="CT345" i="36"/>
  <c r="CS139" i="36"/>
  <c r="CR106" i="36"/>
  <c r="CR62" i="36"/>
  <c r="CR66" i="36"/>
  <c r="DH364" i="36"/>
  <c r="CT540" i="36"/>
  <c r="CS82" i="36"/>
  <c r="CN553" i="36"/>
  <c r="CQ6" i="36"/>
  <c r="CR675" i="36"/>
  <c r="CO548" i="36"/>
  <c r="DH548" i="36"/>
  <c r="DH552" i="36"/>
  <c r="CO409" i="36"/>
  <c r="CS453" i="36"/>
  <c r="CK44" i="36"/>
  <c r="CK45" i="36"/>
  <c r="CK46" i="36"/>
  <c r="CO89" i="36"/>
  <c r="CO121" i="36"/>
  <c r="DH130" i="36"/>
  <c r="CO850" i="36"/>
  <c r="DH850" i="36"/>
  <c r="DH826" i="36"/>
  <c r="CQ596" i="36"/>
  <c r="CQ595" i="36"/>
  <c r="CQ593" i="36"/>
  <c r="CP498" i="36"/>
  <c r="CP500" i="36"/>
  <c r="CN50" i="36"/>
  <c r="CL566" i="36"/>
  <c r="CL432" i="36"/>
  <c r="DH595" i="36"/>
  <c r="DH403" i="36"/>
  <c r="CO439" i="36"/>
  <c r="DH439" i="36"/>
  <c r="CO8" i="36"/>
  <c r="CR95" i="36"/>
  <c r="CR96" i="36"/>
  <c r="CQ689" i="36"/>
  <c r="CQ701" i="36"/>
  <c r="CN469" i="36"/>
  <c r="CN481" i="36"/>
  <c r="CR105" i="36"/>
  <c r="CR108" i="36"/>
  <c r="CR65" i="36"/>
  <c r="CS501" i="36"/>
  <c r="CR635" i="36"/>
  <c r="CR638" i="36"/>
  <c r="CR637" i="36"/>
  <c r="CR597" i="36"/>
  <c r="CO612" i="36"/>
  <c r="DH612" i="36"/>
  <c r="DH621" i="36"/>
  <c r="CO421" i="36"/>
  <c r="CR395" i="36"/>
  <c r="CR625" i="36"/>
  <c r="CR626" i="36"/>
  <c r="CR657" i="36"/>
  <c r="CR628" i="36"/>
  <c r="CS188" i="36"/>
  <c r="CS218" i="36"/>
  <c r="CS219" i="36"/>
  <c r="CP358" i="36"/>
  <c r="CR235" i="36"/>
  <c r="CR273" i="36"/>
  <c r="CR231" i="36"/>
  <c r="CR276" i="36"/>
  <c r="CN405" i="36"/>
  <c r="CN10" i="36"/>
  <c r="CN14" i="36"/>
  <c r="CQ621" i="36"/>
  <c r="CQ612" i="36"/>
  <c r="CL11" i="36"/>
  <c r="Q270" i="22"/>
  <c r="Q217" i="22"/>
  <c r="Q216" i="22"/>
  <c r="Q164" i="22"/>
  <c r="Q323" i="22"/>
  <c r="Q5" i="22"/>
  <c r="N415" i="21"/>
  <c r="N413" i="21"/>
  <c r="N414" i="21"/>
  <c r="N355" i="21"/>
  <c r="N353" i="21"/>
  <c r="N295" i="21"/>
  <c r="N293" i="21"/>
  <c r="N235" i="21"/>
  <c r="N175" i="21"/>
  <c r="AJ22" i="25"/>
  <c r="F282" i="14"/>
  <c r="F59" i="25"/>
  <c r="F60" i="25"/>
  <c r="CN404" i="36"/>
  <c r="CN9" i="36"/>
  <c r="CN547" i="36"/>
  <c r="CN549" i="36"/>
  <c r="DH553" i="36"/>
  <c r="CP450" i="36"/>
  <c r="CP452" i="36"/>
  <c r="CT675" i="36"/>
  <c r="CP612" i="36"/>
  <c r="CP622" i="36"/>
  <c r="CT635" i="36"/>
  <c r="CT315" i="36"/>
  <c r="CQ650" i="36"/>
  <c r="CQ661" i="36"/>
  <c r="CP89" i="36"/>
  <c r="CP121" i="36"/>
  <c r="CR107" i="36"/>
  <c r="CP439" i="36"/>
  <c r="CP8" i="36"/>
  <c r="CP52" i="36"/>
  <c r="CQ233" i="36"/>
  <c r="CR23" i="36"/>
  <c r="CU614" i="36"/>
  <c r="CO250" i="36"/>
  <c r="DH259" i="36"/>
  <c r="CT597" i="36"/>
  <c r="CS689" i="36"/>
  <c r="CS701" i="36"/>
  <c r="DH717" i="36"/>
  <c r="CR215" i="36"/>
  <c r="CP436" i="36"/>
  <c r="CP47" i="36"/>
  <c r="CT499" i="36"/>
  <c r="CQ63" i="36"/>
  <c r="CO26" i="36"/>
  <c r="DH26" i="36"/>
  <c r="DH421" i="36"/>
  <c r="CR61" i="36"/>
  <c r="CO622" i="36"/>
  <c r="DH622" i="36"/>
  <c r="CU540" i="36"/>
  <c r="CT317" i="36"/>
  <c r="CT316" i="36"/>
  <c r="CT314" i="36"/>
  <c r="CR358" i="36"/>
  <c r="CR361" i="36"/>
  <c r="CP437" i="36"/>
  <c r="CP48" i="36"/>
  <c r="CR377" i="36"/>
  <c r="CP174" i="36"/>
  <c r="CM11" i="36"/>
  <c r="CO742" i="36"/>
  <c r="DH778" i="36"/>
  <c r="CO770" i="36"/>
  <c r="CT451" i="36"/>
  <c r="CS596" i="36"/>
  <c r="CS595" i="36"/>
  <c r="CS593" i="36"/>
  <c r="CV671" i="36"/>
  <c r="CS235" i="36"/>
  <c r="CS273" i="36"/>
  <c r="CS231" i="36"/>
  <c r="CS276" i="36"/>
  <c r="CT592" i="36"/>
  <c r="CT664" i="36"/>
  <c r="CT665" i="36"/>
  <c r="CT667" i="36"/>
  <c r="CP389" i="36"/>
  <c r="CT203" i="36"/>
  <c r="DH288" i="36"/>
  <c r="CO300" i="36"/>
  <c r="DH300" i="36"/>
  <c r="CS187" i="36"/>
  <c r="CS190" i="36"/>
  <c r="CL423" i="36"/>
  <c r="CL433" i="36"/>
  <c r="CL38" i="36"/>
  <c r="CQ89" i="36"/>
  <c r="CQ121" i="36"/>
  <c r="CQ133" i="36"/>
  <c r="CU102" i="36"/>
  <c r="CT58" i="36"/>
  <c r="CQ19" i="36"/>
  <c r="CQ364" i="36"/>
  <c r="CQ360" i="36"/>
  <c r="CM566" i="36"/>
  <c r="CM578" i="36"/>
  <c r="CM432" i="36"/>
  <c r="CQ495" i="36"/>
  <c r="CR414" i="36"/>
  <c r="CU532" i="36"/>
  <c r="CU533" i="36"/>
  <c r="CU485" i="36"/>
  <c r="CU484" i="36"/>
  <c r="CU487" i="36"/>
  <c r="CO469" i="36"/>
  <c r="DH478" i="36"/>
  <c r="CO407" i="36"/>
  <c r="DH408" i="36"/>
  <c r="CO13" i="36"/>
  <c r="DH13" i="36"/>
  <c r="CS625" i="36"/>
  <c r="CS626" i="36"/>
  <c r="CS657" i="36"/>
  <c r="CS628" i="36"/>
  <c r="CS357" i="36"/>
  <c r="CS359" i="36"/>
  <c r="CS392" i="36"/>
  <c r="CS393" i="36"/>
  <c r="CQ544" i="36"/>
  <c r="CQ581" i="36"/>
  <c r="CQ582" i="36"/>
  <c r="CQ434" i="36"/>
  <c r="CQ584" i="36"/>
  <c r="CQ435" i="36"/>
  <c r="CQ403" i="36"/>
  <c r="CT82" i="36"/>
  <c r="CS95" i="36"/>
  <c r="CS96" i="36"/>
  <c r="CR429" i="36"/>
  <c r="CS621" i="36"/>
  <c r="CS612" i="36"/>
  <c r="CT501" i="36"/>
  <c r="CT228" i="36"/>
  <c r="CT230" i="36"/>
  <c r="CT266" i="36"/>
  <c r="CT304" i="36"/>
  <c r="CT303" i="36"/>
  <c r="CO547" i="36"/>
  <c r="DH547" i="36"/>
  <c r="CS98" i="36"/>
  <c r="CT188" i="36"/>
  <c r="CT218" i="36"/>
  <c r="CT219" i="36"/>
  <c r="CT221" i="36"/>
  <c r="DH8" i="36"/>
  <c r="CO52" i="36"/>
  <c r="DH52" i="36"/>
  <c r="CO410" i="36"/>
  <c r="CO404" i="36"/>
  <c r="CR596" i="36"/>
  <c r="CR595" i="36"/>
  <c r="CR593" i="36"/>
  <c r="CO80" i="36"/>
  <c r="DH89" i="36"/>
  <c r="CU344" i="36"/>
  <c r="CU315" i="36"/>
  <c r="CU345" i="36"/>
  <c r="CV347" i="36"/>
  <c r="CU347" i="36"/>
  <c r="CS504" i="36"/>
  <c r="CT86" i="36"/>
  <c r="CT60" i="36"/>
  <c r="CT137" i="36"/>
  <c r="CT136" i="36"/>
  <c r="CU139" i="36"/>
  <c r="CT139" i="36"/>
  <c r="CO24" i="36"/>
  <c r="DH24" i="36"/>
  <c r="DH419" i="36"/>
  <c r="CU147" i="36"/>
  <c r="CU177" i="36"/>
  <c r="CU178" i="36"/>
  <c r="CQ450" i="36"/>
  <c r="CQ452" i="36"/>
  <c r="CS162" i="36"/>
  <c r="CS174" i="36"/>
  <c r="CR31" i="36"/>
  <c r="CR447" i="36"/>
  <c r="CR402" i="36"/>
  <c r="CR7" i="36"/>
  <c r="CP20" i="36"/>
  <c r="CO549" i="36"/>
  <c r="DH550" i="36"/>
  <c r="CR64" i="36"/>
  <c r="CP689" i="36"/>
  <c r="CU675" i="36"/>
  <c r="CT704" i="36"/>
  <c r="CT705" i="36"/>
  <c r="CT707" i="36"/>
  <c r="CL578" i="36"/>
  <c r="DH121" i="36"/>
  <c r="CO133" i="36"/>
  <c r="DH133" i="36"/>
  <c r="CS395" i="36"/>
  <c r="CP419" i="36"/>
  <c r="CR359" i="36"/>
  <c r="CP548" i="36"/>
  <c r="CP409" i="36"/>
  <c r="CR689" i="36"/>
  <c r="CR701" i="36"/>
  <c r="CS106" i="36"/>
  <c r="CS62" i="36"/>
  <c r="CS66" i="36"/>
  <c r="CT147" i="36"/>
  <c r="CU499" i="36"/>
  <c r="CU535" i="36"/>
  <c r="CS429" i="36"/>
  <c r="CS401" i="36"/>
  <c r="CJ46" i="36"/>
  <c r="CJ44" i="36"/>
  <c r="CU143" i="36"/>
  <c r="CS425" i="36"/>
  <c r="CN406" i="36"/>
  <c r="CN12" i="36"/>
  <c r="CP341" i="36"/>
  <c r="CT98" i="36"/>
  <c r="DH689" i="36"/>
  <c r="CO701" i="36"/>
  <c r="DH701" i="36"/>
  <c r="CS263" i="36"/>
  <c r="CS264" i="36"/>
  <c r="CS266" i="36"/>
  <c r="CO437" i="36"/>
  <c r="DH437" i="36"/>
  <c r="DH435" i="36"/>
  <c r="CO48" i="36"/>
  <c r="CV618" i="36"/>
  <c r="CV632" i="36"/>
  <c r="CU590" i="36"/>
  <c r="CT453" i="36"/>
  <c r="CR234" i="36"/>
  <c r="CR275" i="36"/>
  <c r="CP550" i="36"/>
  <c r="CP408" i="36"/>
  <c r="CR35" i="36"/>
  <c r="CQ622" i="36"/>
  <c r="CO405" i="36"/>
  <c r="DH409" i="36"/>
  <c r="CO14" i="36"/>
  <c r="DH14" i="36"/>
  <c r="CU203" i="36"/>
  <c r="CU184" i="36"/>
  <c r="CS108" i="36"/>
  <c r="CS107" i="36"/>
  <c r="CS105" i="36"/>
  <c r="CS61" i="36"/>
  <c r="CS65" i="36"/>
  <c r="CT149" i="36"/>
  <c r="CT146" i="36"/>
  <c r="CU443" i="36"/>
  <c r="CT418" i="36"/>
  <c r="CT23" i="36"/>
  <c r="CT400" i="36"/>
  <c r="DH434" i="36"/>
  <c r="CO436" i="36"/>
  <c r="DH436" i="36"/>
  <c r="CO47" i="36"/>
  <c r="CP259" i="36"/>
  <c r="CP288" i="36"/>
  <c r="CQ358" i="36"/>
  <c r="CQ415" i="36"/>
  <c r="CQ20" i="36"/>
  <c r="CW491" i="36"/>
  <c r="CS236" i="36"/>
  <c r="CS274" i="36"/>
  <c r="CS232" i="36"/>
  <c r="CR504" i="36"/>
  <c r="Q319" i="22"/>
  <c r="Q321" i="22" s="1"/>
  <c r="Q54" i="22"/>
  <c r="R54" i="22" s="1"/>
  <c r="S54" i="22" s="1"/>
  <c r="Q3" i="22"/>
  <c r="CP50" i="36"/>
  <c r="CP49" i="36"/>
  <c r="CS498" i="36"/>
  <c r="CS500" i="36"/>
  <c r="CS529" i="36"/>
  <c r="CS650" i="36"/>
  <c r="CS661" i="36"/>
  <c r="CQ389" i="36"/>
  <c r="CT593" i="36"/>
  <c r="DH404" i="36"/>
  <c r="CO9" i="36"/>
  <c r="DH9" i="36"/>
  <c r="CO49" i="36"/>
  <c r="DH49" i="36"/>
  <c r="DH47" i="36"/>
  <c r="CQ437" i="36"/>
  <c r="CQ48" i="36"/>
  <c r="CO406" i="36"/>
  <c r="DH407" i="36"/>
  <c r="CO12" i="36"/>
  <c r="DH12" i="36"/>
  <c r="CU501" i="36"/>
  <c r="CV614" i="36"/>
  <c r="CV499" i="36"/>
  <c r="CV535" i="36"/>
  <c r="CV178" i="36"/>
  <c r="CV177" i="36"/>
  <c r="CV180" i="36"/>
  <c r="CV315" i="36"/>
  <c r="CV344" i="36"/>
  <c r="CV345" i="36"/>
  <c r="CQ436" i="36"/>
  <c r="CQ47" i="36"/>
  <c r="CM423" i="36"/>
  <c r="CM433" i="36"/>
  <c r="CM38" i="36"/>
  <c r="CM29" i="36"/>
  <c r="CV102" i="36"/>
  <c r="CU58" i="36"/>
  <c r="CT625" i="36"/>
  <c r="CT626" i="36"/>
  <c r="CT657" i="36"/>
  <c r="CT628" i="36"/>
  <c r="CW671" i="36"/>
  <c r="DH770" i="36"/>
  <c r="CO781" i="36"/>
  <c r="DH781" i="36"/>
  <c r="CQ259" i="36"/>
  <c r="CQ250" i="36"/>
  <c r="CQ288" i="36"/>
  <c r="CQ300" i="36"/>
  <c r="CV443" i="36"/>
  <c r="CU400" i="36"/>
  <c r="CR233" i="36"/>
  <c r="CT425" i="36"/>
  <c r="CR63" i="36"/>
  <c r="CS517" i="36"/>
  <c r="CT187" i="36"/>
  <c r="CT190" i="36"/>
  <c r="CT189" i="36"/>
  <c r="CU228" i="36"/>
  <c r="CU230" i="36"/>
  <c r="CU304" i="36"/>
  <c r="CU303" i="36"/>
  <c r="CU306" i="36"/>
  <c r="CT636" i="36"/>
  <c r="CT598" i="36"/>
  <c r="CU82" i="36"/>
  <c r="CS189" i="36"/>
  <c r="CU592" i="36"/>
  <c r="CU664" i="36"/>
  <c r="CU665" i="36"/>
  <c r="CU667" i="36"/>
  <c r="CT329" i="36"/>
  <c r="CT341" i="36"/>
  <c r="CP517" i="36"/>
  <c r="CP24" i="36"/>
  <c r="CR415" i="36"/>
  <c r="DH80" i="36"/>
  <c r="CO92" i="36"/>
  <c r="DH92" i="36"/>
  <c r="CL29" i="36"/>
  <c r="CP407" i="36"/>
  <c r="CP13" i="36"/>
  <c r="CX491" i="36"/>
  <c r="CT148" i="36"/>
  <c r="CV184" i="36"/>
  <c r="CV143" i="36"/>
  <c r="CS414" i="36"/>
  <c r="CU146" i="36"/>
  <c r="CU149" i="36"/>
  <c r="CU148" i="36"/>
  <c r="CT96" i="36"/>
  <c r="CT95" i="36"/>
  <c r="CR19" i="36"/>
  <c r="CR364" i="36"/>
  <c r="CU317" i="36"/>
  <c r="CU316" i="36"/>
  <c r="CU314" i="36"/>
  <c r="CU219" i="36"/>
  <c r="CU218" i="36"/>
  <c r="CU221" i="36"/>
  <c r="CT31" i="36"/>
  <c r="CS361" i="36"/>
  <c r="CS358" i="36"/>
  <c r="CR456" i="36"/>
  <c r="CU86" i="36"/>
  <c r="CO734" i="36"/>
  <c r="DH742" i="36"/>
  <c r="CS6" i="36"/>
  <c r="CV540" i="36"/>
  <c r="CT677" i="36"/>
  <c r="CT674" i="36"/>
  <c r="CN566" i="36"/>
  <c r="CN578" i="36"/>
  <c r="CN432" i="36"/>
  <c r="CV675" i="36"/>
  <c r="CU705" i="36"/>
  <c r="CU704" i="36"/>
  <c r="CU707" i="36"/>
  <c r="CS329" i="36"/>
  <c r="CT105" i="36"/>
  <c r="CT61" i="36"/>
  <c r="CT108" i="36"/>
  <c r="CT107" i="36"/>
  <c r="CT65" i="36"/>
  <c r="CS377" i="36"/>
  <c r="DH469" i="36"/>
  <c r="CO481" i="36"/>
  <c r="DH481" i="36"/>
  <c r="CU636" i="36"/>
  <c r="CU598" i="36"/>
  <c r="CU594" i="36"/>
  <c r="CM44" i="36"/>
  <c r="CM45" i="36"/>
  <c r="CM46" i="36"/>
  <c r="CT638" i="36"/>
  <c r="CT637" i="36"/>
  <c r="CQ550" i="36"/>
  <c r="CQ408" i="36"/>
  <c r="CP300" i="36"/>
  <c r="CP250" i="36"/>
  <c r="CS64" i="36"/>
  <c r="DH405" i="36"/>
  <c r="CO10" i="36"/>
  <c r="DH10" i="36"/>
  <c r="CJ45" i="36"/>
  <c r="CS447" i="36"/>
  <c r="CS402" i="36"/>
  <c r="CP405" i="36"/>
  <c r="CP14" i="36"/>
  <c r="CR621" i="36"/>
  <c r="DH549" i="36"/>
  <c r="CU136" i="36"/>
  <c r="CU60" i="36"/>
  <c r="CU137" i="36"/>
  <c r="CV139" i="36"/>
  <c r="CS35" i="36"/>
  <c r="CT235" i="36"/>
  <c r="CT273" i="36"/>
  <c r="CT231" i="36"/>
  <c r="CT276" i="36"/>
  <c r="CR162" i="36"/>
  <c r="CQ548" i="36"/>
  <c r="CQ409" i="36"/>
  <c r="CT392" i="36"/>
  <c r="CT357" i="36"/>
  <c r="CT393" i="36"/>
  <c r="CT395" i="36"/>
  <c r="CR495" i="36"/>
  <c r="CQ80" i="36"/>
  <c r="CQ92" i="36"/>
  <c r="CS31" i="36"/>
  <c r="CS234" i="36"/>
  <c r="CS275" i="36"/>
  <c r="CS622" i="36"/>
  <c r="DH250" i="36"/>
  <c r="CO260" i="36"/>
  <c r="DH260" i="36"/>
  <c r="DH48" i="36"/>
  <c r="CO50" i="36"/>
  <c r="DH50" i="36"/>
  <c r="CU451" i="36"/>
  <c r="CP133" i="36"/>
  <c r="CR650" i="36"/>
  <c r="CR661" i="36"/>
  <c r="CT106" i="36"/>
  <c r="CT66" i="36"/>
  <c r="DH410" i="36"/>
  <c r="CO15" i="36"/>
  <c r="DH15" i="36"/>
  <c r="CT263" i="36"/>
  <c r="CT264" i="36"/>
  <c r="CR581" i="36"/>
  <c r="CR544" i="36"/>
  <c r="CR582" i="36"/>
  <c r="CR434" i="36"/>
  <c r="CR584" i="36"/>
  <c r="CR435" i="36"/>
  <c r="CR403" i="36"/>
  <c r="CU453" i="36"/>
  <c r="CR498" i="36"/>
  <c r="CR500" i="36"/>
  <c r="CT429" i="36"/>
  <c r="CT35" i="36"/>
  <c r="CT401" i="36"/>
  <c r="CQ419" i="36"/>
  <c r="CQ24" i="36"/>
  <c r="CQ421" i="36"/>
  <c r="CQ26" i="36"/>
  <c r="CW618" i="36"/>
  <c r="CW632" i="36"/>
  <c r="CV590" i="36"/>
  <c r="CN11" i="36"/>
  <c r="CP553" i="36"/>
  <c r="CP701" i="36"/>
  <c r="CT236" i="36"/>
  <c r="CT274" i="36"/>
  <c r="CT232" i="36"/>
  <c r="CQ439" i="36"/>
  <c r="CQ8" i="36"/>
  <c r="CV533" i="36"/>
  <c r="CV485" i="36"/>
  <c r="CV484" i="36"/>
  <c r="CV532" i="36"/>
  <c r="CV487" i="36"/>
  <c r="CP421" i="36"/>
  <c r="CR360" i="36"/>
  <c r="CR389" i="36"/>
  <c r="CQ260" i="36"/>
  <c r="CP80" i="36"/>
  <c r="N233" i="21"/>
  <c r="CU504" i="36"/>
  <c r="CU498" i="36"/>
  <c r="CR419" i="36"/>
  <c r="CR24" i="36"/>
  <c r="CR421" i="36"/>
  <c r="CR26" i="36"/>
  <c r="CR174" i="36"/>
  <c r="CQ553" i="36"/>
  <c r="CT414" i="36"/>
  <c r="CT359" i="36"/>
  <c r="CR450" i="36"/>
  <c r="CR452" i="36"/>
  <c r="CV230" i="36"/>
  <c r="CV228" i="36"/>
  <c r="CV303" i="36"/>
  <c r="CV304" i="36"/>
  <c r="CV306" i="36"/>
  <c r="CW443" i="36"/>
  <c r="CV400" i="36"/>
  <c r="CV146" i="36"/>
  <c r="CV149" i="36"/>
  <c r="CV148" i="36"/>
  <c r="CW535" i="36"/>
  <c r="CU188" i="36"/>
  <c r="CP12" i="36"/>
  <c r="CR439" i="36"/>
  <c r="CR8" i="36"/>
  <c r="CT358" i="36"/>
  <c r="CT361" i="36"/>
  <c r="DH575" i="36"/>
  <c r="CO566" i="36"/>
  <c r="CO432" i="36"/>
  <c r="CP469" i="36"/>
  <c r="CQ469" i="36"/>
  <c r="CQ481" i="36"/>
  <c r="CV504" i="36"/>
  <c r="CV498" i="36"/>
  <c r="CR20" i="36"/>
  <c r="CU626" i="36"/>
  <c r="CU625" i="36"/>
  <c r="CU657" i="36"/>
  <c r="CU628" i="36"/>
  <c r="CT594" i="36"/>
  <c r="CU429" i="36"/>
  <c r="CU35" i="36"/>
  <c r="CU401" i="36"/>
  <c r="CV317" i="36"/>
  <c r="CV316" i="36"/>
  <c r="CV314" i="36"/>
  <c r="CV147" i="36"/>
  <c r="CV501" i="36"/>
  <c r="CP26" i="36"/>
  <c r="CX632" i="36"/>
  <c r="CW590" i="36"/>
  <c r="CR437" i="36"/>
  <c r="CR48" i="36"/>
  <c r="CS495" i="36"/>
  <c r="CT234" i="36"/>
  <c r="CT275" i="36"/>
  <c r="CS7" i="36"/>
  <c r="CU162" i="36"/>
  <c r="CU174" i="36"/>
  <c r="CY491" i="36"/>
  <c r="CP410" i="36"/>
  <c r="CV665" i="36"/>
  <c r="CV592" i="36"/>
  <c r="CV664" i="36"/>
  <c r="CV667" i="36"/>
  <c r="CU418" i="36"/>
  <c r="CU6" i="36"/>
  <c r="CQ49" i="36"/>
  <c r="CT6" i="36"/>
  <c r="CT62" i="36"/>
  <c r="CW540" i="36"/>
  <c r="CW147" i="36"/>
  <c r="CW177" i="36"/>
  <c r="CW178" i="36"/>
  <c r="CW180" i="36"/>
  <c r="CV451" i="36"/>
  <c r="CS341" i="36"/>
  <c r="CV636" i="36"/>
  <c r="CV598" i="36"/>
  <c r="CV594" i="36"/>
  <c r="CS19" i="36"/>
  <c r="CS364" i="36"/>
  <c r="CS360" i="36"/>
  <c r="CU273" i="36"/>
  <c r="CU231" i="36"/>
  <c r="CU276" i="36"/>
  <c r="CU235" i="36"/>
  <c r="CX671" i="36"/>
  <c r="CV86" i="36"/>
  <c r="CT596" i="36"/>
  <c r="CV704" i="36"/>
  <c r="CV705" i="36"/>
  <c r="CV707" i="36"/>
  <c r="CW143" i="36"/>
  <c r="CR436" i="36"/>
  <c r="CR47" i="36"/>
  <c r="CR49" i="36"/>
  <c r="CU677" i="36"/>
  <c r="CU676" i="36"/>
  <c r="CU674" i="36"/>
  <c r="CQ52" i="36"/>
  <c r="CR52" i="36"/>
  <c r="CP547" i="36"/>
  <c r="CW614" i="36"/>
  <c r="CS121" i="36"/>
  <c r="CS133" i="36"/>
  <c r="CS544" i="36"/>
  <c r="CS581" i="36"/>
  <c r="CS582" i="36"/>
  <c r="CS434" i="36"/>
  <c r="CS584" i="36"/>
  <c r="CS435" i="36"/>
  <c r="CS403" i="36"/>
  <c r="CQ405" i="36"/>
  <c r="CQ10" i="36"/>
  <c r="CQ14" i="36"/>
  <c r="CR612" i="36"/>
  <c r="CS415" i="36"/>
  <c r="CS20" i="36"/>
  <c r="DH734" i="36"/>
  <c r="CO743" i="36"/>
  <c r="DH743" i="36"/>
  <c r="CU187" i="36"/>
  <c r="CU190" i="36"/>
  <c r="CU189" i="36"/>
  <c r="CP549" i="36"/>
  <c r="CT377" i="36"/>
  <c r="CU263" i="36"/>
  <c r="CU264" i="36"/>
  <c r="CU266" i="36"/>
  <c r="CW102" i="36"/>
  <c r="CV58" i="36"/>
  <c r="CU106" i="36"/>
  <c r="CU62" i="36"/>
  <c r="CU66" i="36"/>
  <c r="CV453" i="36"/>
  <c r="CT215" i="36"/>
  <c r="CU95" i="36"/>
  <c r="CU96" i="36"/>
  <c r="CS233" i="36"/>
  <c r="CU108" i="36"/>
  <c r="CU105" i="36"/>
  <c r="CU61" i="36"/>
  <c r="CU65" i="36"/>
  <c r="CS63" i="36"/>
  <c r="CT64" i="36"/>
  <c r="CN423" i="36"/>
  <c r="CN433" i="36"/>
  <c r="CN38" i="36"/>
  <c r="CN29" i="36"/>
  <c r="CT676" i="36"/>
  <c r="CU638" i="36"/>
  <c r="CU637" i="36"/>
  <c r="CU635" i="36"/>
  <c r="CU597" i="36"/>
  <c r="CR550" i="36"/>
  <c r="CR408" i="36"/>
  <c r="CW184" i="36"/>
  <c r="CL44" i="36"/>
  <c r="CL46" i="36"/>
  <c r="CP529" i="36"/>
  <c r="CU236" i="36"/>
  <c r="CU274" i="36"/>
  <c r="CU232" i="36"/>
  <c r="CV82" i="36"/>
  <c r="DH406" i="36"/>
  <c r="CO11" i="36"/>
  <c r="CR553" i="36"/>
  <c r="CU425" i="36"/>
  <c r="CU31" i="36"/>
  <c r="CW484" i="36"/>
  <c r="CW532" i="36"/>
  <c r="CW485" i="36"/>
  <c r="CW533" i="36"/>
  <c r="CW487" i="36"/>
  <c r="CP92" i="36"/>
  <c r="CN44" i="36"/>
  <c r="CN45" i="36"/>
  <c r="CN46" i="36"/>
  <c r="CT415" i="36"/>
  <c r="CT20" i="36"/>
  <c r="CT447" i="36"/>
  <c r="CT402" i="36"/>
  <c r="CT7" i="36"/>
  <c r="CR548" i="36"/>
  <c r="CR409" i="36"/>
  <c r="CR89" i="36"/>
  <c r="CR121" i="36"/>
  <c r="CU357" i="36"/>
  <c r="CU359" i="36"/>
  <c r="CU393" i="36"/>
  <c r="CU392" i="36"/>
  <c r="CU395" i="36"/>
  <c r="CV60" i="36"/>
  <c r="CV136" i="36"/>
  <c r="CV137" i="36"/>
  <c r="CP10" i="36"/>
  <c r="CP260" i="36"/>
  <c r="CQ407" i="36"/>
  <c r="CQ13" i="36"/>
  <c r="CV188" i="36"/>
  <c r="CV219" i="36"/>
  <c r="CV218" i="36"/>
  <c r="CV221" i="36"/>
  <c r="CU98" i="36"/>
  <c r="CS456" i="36"/>
  <c r="CV203" i="36"/>
  <c r="CS215" i="36"/>
  <c r="CQ410" i="36"/>
  <c r="CR259" i="36"/>
  <c r="CR288" i="36"/>
  <c r="CW344" i="36"/>
  <c r="CW345" i="36"/>
  <c r="CW347" i="36"/>
  <c r="CQ50" i="36"/>
  <c r="CT504" i="36"/>
  <c r="N105" i="21"/>
  <c r="N103" i="21"/>
  <c r="CR410" i="36"/>
  <c r="CR15" i="36"/>
  <c r="CU500" i="36"/>
  <c r="CR50" i="36"/>
  <c r="CQ15" i="36"/>
  <c r="CQ404" i="36"/>
  <c r="CQ9" i="36"/>
  <c r="CR549" i="36"/>
  <c r="CW675" i="36"/>
  <c r="CQ547" i="36"/>
  <c r="CQ549" i="36"/>
  <c r="CW501" i="36"/>
  <c r="CU64" i="36"/>
  <c r="CR622" i="36"/>
  <c r="CU414" i="36"/>
  <c r="CW499" i="36"/>
  <c r="CT498" i="36"/>
  <c r="CT500" i="36"/>
  <c r="CW315" i="36"/>
  <c r="CV187" i="36"/>
  <c r="CV190" i="36"/>
  <c r="CV189" i="36"/>
  <c r="CQ406" i="36"/>
  <c r="CQ12" i="36"/>
  <c r="CV96" i="36"/>
  <c r="CV95" i="36"/>
  <c r="CV98" i="36"/>
  <c r="CV377" i="36"/>
  <c r="CR547" i="36"/>
  <c r="CX143" i="36"/>
  <c r="CU23" i="36"/>
  <c r="CP15" i="36"/>
  <c r="CP404" i="36"/>
  <c r="CV274" i="36"/>
  <c r="CV232" i="36"/>
  <c r="CV236" i="36"/>
  <c r="CV677" i="36"/>
  <c r="CV674" i="36"/>
  <c r="CU215" i="36"/>
  <c r="CS389" i="36"/>
  <c r="CS419" i="36"/>
  <c r="CS553" i="36"/>
  <c r="CV108" i="36"/>
  <c r="CV107" i="36"/>
  <c r="CV105" i="36"/>
  <c r="CV61" i="36"/>
  <c r="CV65" i="36"/>
  <c r="CV359" i="36"/>
  <c r="CV357" i="36"/>
  <c r="CV393" i="36"/>
  <c r="CV392" i="36"/>
  <c r="CV395" i="36"/>
  <c r="CL45" i="36"/>
  <c r="CU596" i="36"/>
  <c r="CU595" i="36"/>
  <c r="CU593" i="36"/>
  <c r="CT63" i="36"/>
  <c r="CU107" i="36"/>
  <c r="CS548" i="36"/>
  <c r="CS409" i="36"/>
  <c r="CT595" i="36"/>
  <c r="CU275" i="36"/>
  <c r="CU234" i="36"/>
  <c r="CP406" i="36"/>
  <c r="CV162" i="36"/>
  <c r="CV174" i="36"/>
  <c r="DH566" i="36"/>
  <c r="CO578" i="36"/>
  <c r="DH578" i="36"/>
  <c r="CR300" i="36"/>
  <c r="CW188" i="36"/>
  <c r="CW218" i="36"/>
  <c r="CW219" i="36"/>
  <c r="CW221" i="36"/>
  <c r="CW136" i="36"/>
  <c r="CW60" i="36"/>
  <c r="CW137" i="36"/>
  <c r="CW139" i="36"/>
  <c r="CU361" i="36"/>
  <c r="CU358" i="36"/>
  <c r="CR405" i="36"/>
  <c r="CR14" i="36"/>
  <c r="CX533" i="36"/>
  <c r="CX532" i="36"/>
  <c r="CX485" i="36"/>
  <c r="CX484" i="36"/>
  <c r="CX487" i="36"/>
  <c r="CX184" i="36"/>
  <c r="CV635" i="36"/>
  <c r="CV638" i="36"/>
  <c r="CV637" i="36"/>
  <c r="CV597" i="36"/>
  <c r="CS439" i="36"/>
  <c r="CS8" i="36"/>
  <c r="CV329" i="36"/>
  <c r="CV341" i="36"/>
  <c r="CU517" i="36"/>
  <c r="CU529" i="36"/>
  <c r="CW230" i="36"/>
  <c r="CW228" i="36"/>
  <c r="CW304" i="36"/>
  <c r="CW303" i="36"/>
  <c r="CW306" i="36"/>
  <c r="CV401" i="36"/>
  <c r="CS450" i="36"/>
  <c r="CS452" i="36"/>
  <c r="CV6" i="36"/>
  <c r="CS437" i="36"/>
  <c r="CS48" i="36"/>
  <c r="CS50" i="36"/>
  <c r="CW504" i="36"/>
  <c r="CW146" i="36"/>
  <c r="CW149" i="36"/>
  <c r="CW148" i="36"/>
  <c r="CV625" i="36"/>
  <c r="CV626" i="36"/>
  <c r="CV657" i="36"/>
  <c r="CV628" i="36"/>
  <c r="CZ491" i="36"/>
  <c r="CT162" i="36"/>
  <c r="CP481" i="36"/>
  <c r="CW677" i="36"/>
  <c r="CW676" i="36"/>
  <c r="CW674" i="36"/>
  <c r="CR250" i="36"/>
  <c r="CT89" i="36"/>
  <c r="CT121" i="36"/>
  <c r="CT133" i="36"/>
  <c r="CW203" i="36"/>
  <c r="CS259" i="36"/>
  <c r="CS250" i="36"/>
  <c r="CS260" i="36"/>
  <c r="CS288" i="36"/>
  <c r="CS300" i="36"/>
  <c r="CW86" i="36"/>
  <c r="CS436" i="36"/>
  <c r="CS47" i="36"/>
  <c r="CS49" i="36"/>
  <c r="CS89" i="36"/>
  <c r="CY671" i="36"/>
  <c r="CR517" i="36"/>
  <c r="CX178" i="36"/>
  <c r="CX177" i="36"/>
  <c r="CX180" i="36"/>
  <c r="CW592" i="36"/>
  <c r="CW665" i="36"/>
  <c r="CW664" i="36"/>
  <c r="CW667" i="36"/>
  <c r="CT233" i="36"/>
  <c r="CY632" i="36"/>
  <c r="CX590" i="36"/>
  <c r="CU650" i="36"/>
  <c r="CU661" i="36"/>
  <c r="CW453" i="36"/>
  <c r="CV264" i="36"/>
  <c r="CV263" i="36"/>
  <c r="CV266" i="36"/>
  <c r="CX315" i="36"/>
  <c r="CX344" i="36"/>
  <c r="CX345" i="36"/>
  <c r="CX347" i="36"/>
  <c r="CR133" i="36"/>
  <c r="CW451" i="36"/>
  <c r="DB12" i="36"/>
  <c r="DH11" i="36"/>
  <c r="DQ9" i="36"/>
  <c r="CS421" i="36"/>
  <c r="CX102" i="36"/>
  <c r="CX86" i="36"/>
  <c r="CW58" i="36"/>
  <c r="CU689" i="36"/>
  <c r="CU701" i="36"/>
  <c r="CX618" i="36"/>
  <c r="CV500" i="36"/>
  <c r="CU447" i="36"/>
  <c r="CU402" i="36"/>
  <c r="CU7" i="36"/>
  <c r="CU329" i="36"/>
  <c r="CT19" i="36"/>
  <c r="CT364" i="36"/>
  <c r="CX499" i="36"/>
  <c r="CX535" i="36"/>
  <c r="CX443" i="36"/>
  <c r="CW400" i="36"/>
  <c r="CR566" i="36"/>
  <c r="CR578" i="36"/>
  <c r="CT544" i="36"/>
  <c r="CT582" i="36"/>
  <c r="CT434" i="36"/>
  <c r="CT581" i="36"/>
  <c r="CT584" i="36"/>
  <c r="CT435" i="36"/>
  <c r="CT403" i="36"/>
  <c r="CV106" i="36"/>
  <c r="CV62" i="36"/>
  <c r="CV66" i="36"/>
  <c r="CW317" i="36"/>
  <c r="CW316" i="36"/>
  <c r="CW314" i="36"/>
  <c r="CR80" i="36"/>
  <c r="CR404" i="36"/>
  <c r="CR9" i="36"/>
  <c r="CR407" i="36"/>
  <c r="CR13" i="36"/>
  <c r="CW82" i="36"/>
  <c r="CT419" i="36"/>
  <c r="CT24" i="36"/>
  <c r="CW705" i="36"/>
  <c r="CW704" i="36"/>
  <c r="CW707" i="36"/>
  <c r="CX540" i="36"/>
  <c r="CT495" i="36"/>
  <c r="CX614" i="36"/>
  <c r="CV425" i="36"/>
  <c r="DH432" i="36"/>
  <c r="CO423" i="36"/>
  <c r="CO38" i="36"/>
  <c r="CU377" i="36"/>
  <c r="CV418" i="36"/>
  <c r="CV23" i="36"/>
  <c r="CV273" i="36"/>
  <c r="CV231" i="36"/>
  <c r="CV276" i="36"/>
  <c r="CV235" i="36"/>
  <c r="CS547" i="36"/>
  <c r="CS550" i="36"/>
  <c r="CS549" i="36"/>
  <c r="CS408" i="36"/>
  <c r="CT650" i="36"/>
  <c r="CT661" i="36"/>
  <c r="P68" i="22"/>
  <c r="O68" i="22"/>
  <c r="N68" i="22"/>
  <c r="CX636" i="36"/>
  <c r="CT548" i="36"/>
  <c r="CT409" i="36"/>
  <c r="CT439" i="36"/>
  <c r="CT8" i="36"/>
  <c r="CU341" i="36"/>
  <c r="CZ671" i="36"/>
  <c r="CT80" i="36"/>
  <c r="DA491" i="36"/>
  <c r="CX203" i="36"/>
  <c r="CU233" i="36"/>
  <c r="CU19" i="36"/>
  <c r="CU364" i="36"/>
  <c r="CQ11" i="36"/>
  <c r="CU63" i="36"/>
  <c r="CT550" i="36"/>
  <c r="CT408" i="36"/>
  <c r="CR92" i="36"/>
  <c r="CT437" i="36"/>
  <c r="CT48" i="36"/>
  <c r="CT50" i="36"/>
  <c r="CU415" i="36"/>
  <c r="CW276" i="36"/>
  <c r="CW273" i="36"/>
  <c r="CW231" i="36"/>
  <c r="CW235" i="36"/>
  <c r="CY184" i="36"/>
  <c r="CW106" i="36"/>
  <c r="CW62" i="36"/>
  <c r="CW66" i="36"/>
  <c r="CW190" i="36"/>
  <c r="CW189" i="36"/>
  <c r="CW187" i="36"/>
  <c r="CP11" i="36"/>
  <c r="CV215" i="36"/>
  <c r="CW498" i="36"/>
  <c r="CW95" i="36"/>
  <c r="CW96" i="36"/>
  <c r="CW98" i="36"/>
  <c r="CV64" i="36"/>
  <c r="CT689" i="36"/>
  <c r="CY315" i="36"/>
  <c r="CY344" i="36"/>
  <c r="CY345" i="36"/>
  <c r="CY347" i="36"/>
  <c r="CZ618" i="36"/>
  <c r="CZ632" i="36"/>
  <c r="CY590" i="36"/>
  <c r="CX146" i="36"/>
  <c r="CX149" i="36"/>
  <c r="CX148" i="36"/>
  <c r="CT621" i="36"/>
  <c r="CW263" i="36"/>
  <c r="CW264" i="36"/>
  <c r="CW266" i="36"/>
  <c r="CS52" i="36"/>
  <c r="CT52" i="36"/>
  <c r="CR10" i="36"/>
  <c r="CW108" i="36"/>
  <c r="CW105" i="36"/>
  <c r="CW65" i="36"/>
  <c r="CX188" i="36"/>
  <c r="CX218" i="36"/>
  <c r="CX219" i="36"/>
  <c r="CX221" i="36"/>
  <c r="CT92" i="36"/>
  <c r="CW6" i="36"/>
  <c r="CW357" i="36"/>
  <c r="CW393" i="36"/>
  <c r="CW392" i="36"/>
  <c r="CW395" i="36"/>
  <c r="CY143" i="36"/>
  <c r="CW500" i="36"/>
  <c r="CY675" i="36"/>
  <c r="CX705" i="36"/>
  <c r="CX704" i="36"/>
  <c r="CX707" i="36"/>
  <c r="CU495" i="36"/>
  <c r="CY614" i="36"/>
  <c r="CW625" i="36"/>
  <c r="CW626" i="36"/>
  <c r="CW657" i="36"/>
  <c r="CW628" i="36"/>
  <c r="CY147" i="36"/>
  <c r="CY178" i="36"/>
  <c r="CY177" i="36"/>
  <c r="CY180" i="36"/>
  <c r="CS80" i="36"/>
  <c r="CS92" i="36"/>
  <c r="CW689" i="36"/>
  <c r="CW701" i="36"/>
  <c r="CV447" i="36"/>
  <c r="CV402" i="36"/>
  <c r="CV7" i="36"/>
  <c r="CX60" i="36"/>
  <c r="CX137" i="36"/>
  <c r="CX136" i="36"/>
  <c r="CX139" i="36"/>
  <c r="CV676" i="36"/>
  <c r="CW274" i="36"/>
  <c r="CW232" i="36"/>
  <c r="CW236" i="36"/>
  <c r="CS407" i="36"/>
  <c r="CS13" i="36"/>
  <c r="CS566" i="36"/>
  <c r="CS578" i="36"/>
  <c r="CX82" i="36"/>
  <c r="CO29" i="36"/>
  <c r="DH38" i="36"/>
  <c r="CY443" i="36"/>
  <c r="CX400" i="36"/>
  <c r="CV517" i="36"/>
  <c r="CV529" i="36"/>
  <c r="CY618" i="36"/>
  <c r="CX638" i="36"/>
  <c r="CX637" i="36"/>
  <c r="CX635" i="36"/>
  <c r="CX147" i="36"/>
  <c r="CR260" i="36"/>
  <c r="CU621" i="36"/>
  <c r="CU612" i="36"/>
  <c r="CW425" i="36"/>
  <c r="CX230" i="36"/>
  <c r="CX228" i="36"/>
  <c r="CX304" i="36"/>
  <c r="CX303" i="36"/>
  <c r="CX306" i="36"/>
  <c r="CV596" i="36"/>
  <c r="CV593" i="36"/>
  <c r="CV31" i="36"/>
  <c r="CX451" i="36"/>
  <c r="CU360" i="36"/>
  <c r="CU389" i="36"/>
  <c r="CT456" i="36"/>
  <c r="CS405" i="36"/>
  <c r="CS10" i="36"/>
  <c r="CS14" i="36"/>
  <c r="CU622" i="36"/>
  <c r="CW35" i="36"/>
  <c r="CS24" i="36"/>
  <c r="CS410" i="36"/>
  <c r="CS404" i="36"/>
  <c r="CS9" i="36"/>
  <c r="CX453" i="36"/>
  <c r="CT436" i="36"/>
  <c r="CT47" i="36"/>
  <c r="CT49" i="36"/>
  <c r="CY499" i="36"/>
  <c r="CY535" i="36"/>
  <c r="DH423" i="36"/>
  <c r="CO433" i="36"/>
  <c r="DH433" i="36"/>
  <c r="CW636" i="36"/>
  <c r="CW598" i="36"/>
  <c r="CW594" i="36"/>
  <c r="CR406" i="36"/>
  <c r="CR12" i="36"/>
  <c r="CU419" i="36"/>
  <c r="CU24" i="36"/>
  <c r="CW418" i="36"/>
  <c r="CW23" i="36"/>
  <c r="CY86" i="36"/>
  <c r="CY102" i="36"/>
  <c r="CX58" i="36"/>
  <c r="CS26" i="36"/>
  <c r="CX314" i="36"/>
  <c r="CX317" i="36"/>
  <c r="CX316" i="36"/>
  <c r="CT259" i="36"/>
  <c r="CT250" i="36"/>
  <c r="CT288" i="36"/>
  <c r="CT300" i="36"/>
  <c r="CT553" i="36"/>
  <c r="CT547" i="36"/>
  <c r="CT174" i="36"/>
  <c r="CV414" i="36"/>
  <c r="CX504" i="36"/>
  <c r="CX498" i="36"/>
  <c r="CV650" i="36"/>
  <c r="CV661" i="36"/>
  <c r="CY484" i="36"/>
  <c r="CY533" i="36"/>
  <c r="CY532" i="36"/>
  <c r="CY485" i="36"/>
  <c r="CY487" i="36"/>
  <c r="CP9" i="36"/>
  <c r="CV275" i="36"/>
  <c r="CV234" i="36"/>
  <c r="CY540" i="36"/>
  <c r="CX675" i="36"/>
  <c r="CU544" i="36"/>
  <c r="CU581" i="36"/>
  <c r="CU582" i="36"/>
  <c r="CU434" i="36"/>
  <c r="CU584" i="36"/>
  <c r="CU435" i="36"/>
  <c r="CU403" i="36"/>
  <c r="CW429" i="36"/>
  <c r="CW401" i="36"/>
  <c r="CW635" i="36"/>
  <c r="CW638" i="36"/>
  <c r="CW637" i="36"/>
  <c r="CW597" i="36"/>
  <c r="CX501" i="36"/>
  <c r="CT260" i="36"/>
  <c r="CX592" i="36"/>
  <c r="CX664" i="36"/>
  <c r="CX665" i="36"/>
  <c r="CX667" i="36"/>
  <c r="CR529" i="36"/>
  <c r="CP566" i="36"/>
  <c r="CP432" i="36"/>
  <c r="CV429" i="36"/>
  <c r="CV35" i="36"/>
  <c r="CT360" i="36"/>
  <c r="CQ566" i="36"/>
  <c r="CQ578" i="36"/>
  <c r="CQ432" i="36"/>
  <c r="CV361" i="36"/>
  <c r="CV358" i="36"/>
  <c r="CR432" i="36"/>
  <c r="CR469" i="36"/>
  <c r="CW61" i="36"/>
  <c r="CW447" i="36"/>
  <c r="CW402" i="36"/>
  <c r="CW7" i="36"/>
  <c r="CX329" i="36"/>
  <c r="CX341" i="36"/>
  <c r="CU20" i="36"/>
  <c r="CP423" i="36"/>
  <c r="CP38" i="36"/>
  <c r="CX626" i="36"/>
  <c r="CX625" i="36"/>
  <c r="CX657" i="36"/>
  <c r="CX628" i="36"/>
  <c r="CX425" i="36"/>
  <c r="CV544" i="36"/>
  <c r="CV582" i="36"/>
  <c r="CV434" i="36"/>
  <c r="CV581" i="36"/>
  <c r="CV584" i="36"/>
  <c r="CV435" i="36"/>
  <c r="CV403" i="36"/>
  <c r="CX677" i="36"/>
  <c r="CX674" i="36"/>
  <c r="CW377" i="36"/>
  <c r="CS406" i="36"/>
  <c r="CS12" i="36"/>
  <c r="CY60" i="36"/>
  <c r="CY136" i="36"/>
  <c r="CY137" i="36"/>
  <c r="CY139" i="36"/>
  <c r="CX190" i="36"/>
  <c r="CX189" i="36"/>
  <c r="CX187" i="36"/>
  <c r="CX162" i="36"/>
  <c r="CX174" i="36"/>
  <c r="CZ315" i="36"/>
  <c r="CZ345" i="36"/>
  <c r="CZ344" i="36"/>
  <c r="CZ347" i="36"/>
  <c r="CY203" i="36"/>
  <c r="CT421" i="36"/>
  <c r="DI523" i="36"/>
  <c r="DI512" i="36"/>
  <c r="DI491" i="36"/>
  <c r="CY704" i="36"/>
  <c r="CY705" i="36"/>
  <c r="CY707" i="36"/>
  <c r="CY453" i="36"/>
  <c r="CP578" i="36"/>
  <c r="CY592" i="36"/>
  <c r="CY665" i="36"/>
  <c r="CY664" i="36"/>
  <c r="CY667" i="36"/>
  <c r="CW456" i="36"/>
  <c r="CW414" i="36"/>
  <c r="CV233" i="36"/>
  <c r="CZ499" i="36"/>
  <c r="CZ535" i="36"/>
  <c r="DH29" i="36"/>
  <c r="CO44" i="36"/>
  <c r="CO46" i="36"/>
  <c r="DH46" i="36"/>
  <c r="CV621" i="36"/>
  <c r="CV612" i="36"/>
  <c r="CX106" i="36"/>
  <c r="CX62" i="36"/>
  <c r="CX66" i="36"/>
  <c r="CY149" i="36"/>
  <c r="CY148" i="36"/>
  <c r="CY146" i="36"/>
  <c r="CV495" i="36"/>
  <c r="CW517" i="36"/>
  <c r="CW529" i="36"/>
  <c r="CW64" i="36"/>
  <c r="CU89" i="36"/>
  <c r="CU121" i="36"/>
  <c r="CT517" i="36"/>
  <c r="CX429" i="36"/>
  <c r="CX401" i="36"/>
  <c r="CW593" i="36"/>
  <c r="CW596" i="36"/>
  <c r="CW595" i="36"/>
  <c r="CU548" i="36"/>
  <c r="CU409" i="36"/>
  <c r="CX108" i="36"/>
  <c r="CX107" i="36"/>
  <c r="CX105" i="36"/>
  <c r="CX61" i="36"/>
  <c r="CX65" i="36"/>
  <c r="CZ147" i="36"/>
  <c r="CZ177" i="36"/>
  <c r="CZ178" i="36"/>
  <c r="CZ180" i="36"/>
  <c r="CT612" i="36"/>
  <c r="CY501" i="36"/>
  <c r="CW215" i="36"/>
  <c r="CS432" i="36"/>
  <c r="CS469" i="36"/>
  <c r="CS481" i="36"/>
  <c r="CQ423" i="36"/>
  <c r="CQ433" i="36"/>
  <c r="CQ38" i="36"/>
  <c r="CQ29" i="36"/>
  <c r="CX95" i="36"/>
  <c r="CX96" i="36"/>
  <c r="CX98" i="36"/>
  <c r="CY636" i="36"/>
  <c r="CY598" i="36"/>
  <c r="CY594" i="36"/>
  <c r="CW31" i="36"/>
  <c r="CU550" i="36"/>
  <c r="CU408" i="36"/>
  <c r="CX236" i="36"/>
  <c r="CX274" i="36"/>
  <c r="CX232" i="36"/>
  <c r="CX31" i="36"/>
  <c r="CZ143" i="36"/>
  <c r="CX359" i="36"/>
  <c r="CX357" i="36"/>
  <c r="CX392" i="36"/>
  <c r="CX393" i="36"/>
  <c r="CX395" i="36"/>
  <c r="CW107" i="36"/>
  <c r="DA632" i="36"/>
  <c r="DA590" i="36"/>
  <c r="DI590" i="36"/>
  <c r="CZ590" i="36"/>
  <c r="CY317" i="36"/>
  <c r="CY316" i="36"/>
  <c r="CY314" i="36"/>
  <c r="CW275" i="36"/>
  <c r="CW234" i="36"/>
  <c r="CY228" i="36"/>
  <c r="CY230" i="36"/>
  <c r="CY304" i="36"/>
  <c r="CY303" i="36"/>
  <c r="CY306" i="36"/>
  <c r="CU439" i="36"/>
  <c r="CU8" i="36"/>
  <c r="CT389" i="36"/>
  <c r="CU437" i="36"/>
  <c r="CU48" i="36"/>
  <c r="CX6" i="36"/>
  <c r="CW329" i="36"/>
  <c r="CS15" i="36"/>
  <c r="CT450" i="36"/>
  <c r="CT452" i="36"/>
  <c r="CV595" i="36"/>
  <c r="CX276" i="36"/>
  <c r="CX235" i="36"/>
  <c r="CX273" i="36"/>
  <c r="CX231" i="36"/>
  <c r="CX377" i="36"/>
  <c r="CV89" i="36"/>
  <c r="CV121" i="36"/>
  <c r="CV133" i="36"/>
  <c r="CT407" i="36"/>
  <c r="CT13" i="36"/>
  <c r="CU259" i="36"/>
  <c r="CU250" i="36"/>
  <c r="CU260" i="36"/>
  <c r="CU288" i="36"/>
  <c r="CU300" i="36"/>
  <c r="CZ485" i="36"/>
  <c r="CZ532" i="36"/>
  <c r="CZ533" i="36"/>
  <c r="CZ484" i="36"/>
  <c r="CZ487" i="36"/>
  <c r="CY635" i="36"/>
  <c r="CY638" i="36"/>
  <c r="CY637" i="36"/>
  <c r="CW621" i="36"/>
  <c r="CW612" i="36"/>
  <c r="CU436" i="36"/>
  <c r="CU47" i="36"/>
  <c r="CY58" i="36"/>
  <c r="CZ102" i="36"/>
  <c r="CX263" i="36"/>
  <c r="CX264" i="36"/>
  <c r="CX266" i="36"/>
  <c r="CX597" i="36"/>
  <c r="CY418" i="36"/>
  <c r="CY23" i="36"/>
  <c r="CZ443" i="36"/>
  <c r="CY400" i="36"/>
  <c r="CW359" i="36"/>
  <c r="CY504" i="36"/>
  <c r="CY498" i="36"/>
  <c r="CZ614" i="36"/>
  <c r="CT549" i="36"/>
  <c r="CW162" i="36"/>
  <c r="DI695" i="36"/>
  <c r="DA671" i="36"/>
  <c r="DI671" i="36"/>
  <c r="CX598" i="36"/>
  <c r="CX594" i="36"/>
  <c r="CV419" i="36"/>
  <c r="CR11" i="36"/>
  <c r="CT701" i="36"/>
  <c r="CR481" i="36"/>
  <c r="CR423" i="36"/>
  <c r="CR433" i="36"/>
  <c r="CR38" i="36"/>
  <c r="CR29" i="36"/>
  <c r="CV360" i="36"/>
  <c r="CV389" i="36"/>
  <c r="CX500" i="36"/>
  <c r="CZ540" i="36"/>
  <c r="CY451" i="36"/>
  <c r="CV456" i="36"/>
  <c r="CY82" i="36"/>
  <c r="CV19" i="36"/>
  <c r="CV364" i="36"/>
  <c r="CX418" i="36"/>
  <c r="CX23" i="36"/>
  <c r="CU456" i="36"/>
  <c r="CV415" i="36"/>
  <c r="CV20" i="36"/>
  <c r="CY597" i="36"/>
  <c r="CW361" i="36"/>
  <c r="CW358" i="36"/>
  <c r="CY188" i="36"/>
  <c r="CY218" i="36"/>
  <c r="CY219" i="36"/>
  <c r="CY221" i="36"/>
  <c r="CU421" i="36"/>
  <c r="CV63" i="36"/>
  <c r="CZ184" i="36"/>
  <c r="CZ203" i="36"/>
  <c r="CT405" i="36"/>
  <c r="CT10" i="36"/>
  <c r="CT14" i="36"/>
  <c r="CU553" i="36"/>
  <c r="CU547" i="36"/>
  <c r="N23" i="21"/>
  <c r="CU49" i="36"/>
  <c r="CQ44" i="36"/>
  <c r="CQ45" i="36"/>
  <c r="CQ46" i="36"/>
  <c r="CZ636" i="36"/>
  <c r="CW450" i="36"/>
  <c r="CW452" i="36"/>
  <c r="CU26" i="36"/>
  <c r="CU410" i="36"/>
  <c r="CU15" i="36"/>
  <c r="DI691" i="36"/>
  <c r="CZ674" i="36"/>
  <c r="CZ188" i="36"/>
  <c r="CZ219" i="36"/>
  <c r="CZ218" i="36"/>
  <c r="CZ221" i="36"/>
  <c r="CV450" i="36"/>
  <c r="CV452" i="36"/>
  <c r="CW174" i="36"/>
  <c r="CX596" i="36"/>
  <c r="CX593" i="36"/>
  <c r="CZ86" i="36"/>
  <c r="CZ451" i="36"/>
  <c r="CT12" i="36"/>
  <c r="CW19" i="36"/>
  <c r="CW364" i="36"/>
  <c r="CX275" i="36"/>
  <c r="CX234" i="36"/>
  <c r="CY377" i="36"/>
  <c r="CW622" i="36"/>
  <c r="CW63" i="36"/>
  <c r="CV259" i="36"/>
  <c r="CV250" i="36"/>
  <c r="CV260" i="36"/>
  <c r="CV288" i="36"/>
  <c r="CV300" i="36"/>
  <c r="CY96" i="36"/>
  <c r="CY95" i="36"/>
  <c r="CY98" i="36"/>
  <c r="CZ501" i="36"/>
  <c r="CV436" i="36"/>
  <c r="CV47" i="36"/>
  <c r="CX650" i="36"/>
  <c r="CX661" i="36"/>
  <c r="CV24" i="36"/>
  <c r="DI446" i="36"/>
  <c r="DA484" i="36"/>
  <c r="DI484" i="36"/>
  <c r="DA532" i="36"/>
  <c r="DI532" i="36"/>
  <c r="DA485" i="36"/>
  <c r="DI485" i="36"/>
  <c r="DA533" i="36"/>
  <c r="DI533" i="36"/>
  <c r="DA487" i="36"/>
  <c r="DI487" i="36"/>
  <c r="CV421" i="36"/>
  <c r="CV26" i="36"/>
  <c r="CW341" i="36"/>
  <c r="CY236" i="36"/>
  <c r="CY274" i="36"/>
  <c r="CY232" i="36"/>
  <c r="CX64" i="36"/>
  <c r="CT529" i="36"/>
  <c r="CY626" i="36"/>
  <c r="CY625" i="36"/>
  <c r="CY657" i="36"/>
  <c r="CY628" i="36"/>
  <c r="DI313" i="36"/>
  <c r="DA344" i="36"/>
  <c r="DI344" i="36"/>
  <c r="DI311" i="36"/>
  <c r="DA345" i="36"/>
  <c r="DI345" i="36"/>
  <c r="DA347" i="36"/>
  <c r="DI347" i="36"/>
  <c r="CZ60" i="36"/>
  <c r="CZ137" i="36"/>
  <c r="CZ136" i="36"/>
  <c r="CZ139" i="36"/>
  <c r="CW544" i="36"/>
  <c r="CW582" i="36"/>
  <c r="CW434" i="36"/>
  <c r="CW581" i="36"/>
  <c r="CW584" i="36"/>
  <c r="CW435" i="36"/>
  <c r="CW403" i="36"/>
  <c r="CU450" i="36"/>
  <c r="CU452" i="36"/>
  <c r="CY359" i="36"/>
  <c r="CY357" i="36"/>
  <c r="CY392" i="36"/>
  <c r="CY393" i="36"/>
  <c r="CY395" i="36"/>
  <c r="CT622" i="36"/>
  <c r="CY187" i="36"/>
  <c r="CY190" i="36"/>
  <c r="CY189" i="36"/>
  <c r="CV550" i="36"/>
  <c r="CV408" i="36"/>
  <c r="CX35" i="36"/>
  <c r="CV622" i="36"/>
  <c r="CU52" i="36"/>
  <c r="CY264" i="36"/>
  <c r="CY263" i="36"/>
  <c r="CY266" i="36"/>
  <c r="CZ504" i="36"/>
  <c r="CZ498" i="36"/>
  <c r="CV689" i="36"/>
  <c r="CX215" i="36"/>
  <c r="CY108" i="36"/>
  <c r="CY107" i="36"/>
  <c r="CY105" i="36"/>
  <c r="CY65" i="36"/>
  <c r="CX676" i="36"/>
  <c r="CV548" i="36"/>
  <c r="CV409" i="36"/>
  <c r="CR46" i="36"/>
  <c r="CR44" i="36"/>
  <c r="CR45" i="36"/>
  <c r="DI145" i="36"/>
  <c r="DA177" i="36"/>
  <c r="DI177" i="36"/>
  <c r="DA178" i="36"/>
  <c r="DI178" i="36"/>
  <c r="DA180" i="36"/>
  <c r="DI180" i="36"/>
  <c r="DI209" i="36"/>
  <c r="DA184" i="36"/>
  <c r="DI184" i="36"/>
  <c r="CW233" i="36"/>
  <c r="DA143" i="36"/>
  <c r="DI143" i="36"/>
  <c r="DI168" i="36"/>
  <c r="CU407" i="36"/>
  <c r="CU404" i="36"/>
  <c r="CU9" i="36"/>
  <c r="CU13" i="36"/>
  <c r="DI519" i="36"/>
  <c r="CU133" i="36"/>
  <c r="CW495" i="36"/>
  <c r="DI494" i="36"/>
  <c r="DA535" i="36"/>
  <c r="DI535" i="36"/>
  <c r="CZ592" i="36"/>
  <c r="CZ664" i="36"/>
  <c r="CZ665" i="36"/>
  <c r="CZ667" i="36"/>
  <c r="CP29" i="36"/>
  <c r="CY596" i="36"/>
  <c r="CY595" i="36"/>
  <c r="CY593" i="36"/>
  <c r="CW360" i="36"/>
  <c r="DA540" i="36"/>
  <c r="CV80" i="36"/>
  <c r="CV92" i="36"/>
  <c r="CW650" i="36"/>
  <c r="CW661" i="36"/>
  <c r="CU50" i="36"/>
  <c r="CY276" i="36"/>
  <c r="CY235" i="36"/>
  <c r="CY273" i="36"/>
  <c r="CY231" i="36"/>
  <c r="DA614" i="36"/>
  <c r="CX447" i="36"/>
  <c r="CX415" i="36"/>
  <c r="CX20" i="36"/>
  <c r="CX402" i="36"/>
  <c r="CX7" i="36"/>
  <c r="CU80" i="36"/>
  <c r="CS11" i="36"/>
  <c r="CZ453" i="36"/>
  <c r="CP433" i="36"/>
  <c r="CW415" i="36"/>
  <c r="CW20" i="36"/>
  <c r="DI449" i="36"/>
  <c r="CY106" i="36"/>
  <c r="CY62" i="36"/>
  <c r="CY66" i="36"/>
  <c r="CY677" i="36"/>
  <c r="CY676" i="36"/>
  <c r="CY674" i="36"/>
  <c r="CZ418" i="36"/>
  <c r="CZ23" i="36"/>
  <c r="DA443" i="36"/>
  <c r="CZ400" i="36"/>
  <c r="DA102" i="36"/>
  <c r="CZ58" i="36"/>
  <c r="DA618" i="36"/>
  <c r="DI618" i="36"/>
  <c r="CX361" i="36"/>
  <c r="CX358" i="36"/>
  <c r="CU549" i="36"/>
  <c r="CS423" i="36"/>
  <c r="CS433" i="36"/>
  <c r="CS38" i="36"/>
  <c r="CS29" i="36"/>
  <c r="CY500" i="36"/>
  <c r="CY425" i="36"/>
  <c r="CO45" i="36"/>
  <c r="DH45" i="36"/>
  <c r="DH44" i="36"/>
  <c r="CZ704" i="36"/>
  <c r="CZ705" i="36"/>
  <c r="CZ707" i="36"/>
  <c r="DI492" i="36"/>
  <c r="CV439" i="36"/>
  <c r="CV8" i="36"/>
  <c r="CV52" i="36"/>
  <c r="CV553" i="36"/>
  <c r="CV547" i="36"/>
  <c r="CZ82" i="36"/>
  <c r="CY429" i="36"/>
  <c r="CY401" i="36"/>
  <c r="CY6" i="36"/>
  <c r="CZ228" i="36"/>
  <c r="CZ304" i="36"/>
  <c r="CZ230" i="36"/>
  <c r="CZ303" i="36"/>
  <c r="CZ306" i="36"/>
  <c r="CZ149" i="36"/>
  <c r="CZ148" i="36"/>
  <c r="CZ146" i="36"/>
  <c r="CU405" i="36"/>
  <c r="CU14" i="36"/>
  <c r="CX456" i="36"/>
  <c r="CX414" i="36"/>
  <c r="DI513" i="36"/>
  <c r="DI497" i="36"/>
  <c r="CT26" i="36"/>
  <c r="CT410" i="36"/>
  <c r="CZ314" i="36"/>
  <c r="CZ317" i="36"/>
  <c r="CZ316" i="36"/>
  <c r="CV437" i="36"/>
  <c r="CV48" i="36"/>
  <c r="CZ675" i="36"/>
  <c r="CZ677" i="36"/>
  <c r="CZ676" i="36"/>
  <c r="DA636" i="36"/>
  <c r="DA598" i="36"/>
  <c r="DA675" i="36"/>
  <c r="DI675" i="36"/>
  <c r="DI679" i="36"/>
  <c r="CY162" i="36"/>
  <c r="CZ162" i="36"/>
  <c r="CZ174" i="36"/>
  <c r="CY414" i="36"/>
  <c r="CY517" i="36"/>
  <c r="CY529" i="36"/>
  <c r="CZ635" i="36"/>
  <c r="CZ638" i="36"/>
  <c r="CZ637" i="36"/>
  <c r="CZ597" i="36"/>
  <c r="DI614" i="36"/>
  <c r="CT432" i="36"/>
  <c r="CT469" i="36"/>
  <c r="CY215" i="36"/>
  <c r="DA315" i="36"/>
  <c r="DI315" i="36"/>
  <c r="DI319" i="36"/>
  <c r="CW89" i="36"/>
  <c r="CW121" i="36"/>
  <c r="CX517" i="36"/>
  <c r="CY689" i="36"/>
  <c r="CY701" i="36"/>
  <c r="CW437" i="36"/>
  <c r="CW48" i="36"/>
  <c r="DI509" i="36"/>
  <c r="DI493" i="36"/>
  <c r="DI102" i="36"/>
  <c r="DA58" i="36"/>
  <c r="CW419" i="36"/>
  <c r="CZ625" i="36"/>
  <c r="CZ626" i="36"/>
  <c r="CZ657" i="36"/>
  <c r="CZ628" i="36"/>
  <c r="CX495" i="36"/>
  <c r="CW259" i="36"/>
  <c r="CW250" i="36"/>
  <c r="CW288" i="36"/>
  <c r="CW300" i="36"/>
  <c r="CZ359" i="36"/>
  <c r="CZ357" i="36"/>
  <c r="CZ393" i="36"/>
  <c r="CZ392" i="36"/>
  <c r="CZ395" i="36"/>
  <c r="CW436" i="36"/>
  <c r="CW47" i="36"/>
  <c r="CZ96" i="36"/>
  <c r="CZ95" i="36"/>
  <c r="CZ98" i="36"/>
  <c r="DA451" i="36"/>
  <c r="DI451" i="36"/>
  <c r="DI455" i="36"/>
  <c r="CX233" i="36"/>
  <c r="CW421" i="36"/>
  <c r="CV405" i="36"/>
  <c r="CV10" i="36"/>
  <c r="CV14" i="36"/>
  <c r="CT15" i="36"/>
  <c r="CT404" i="36"/>
  <c r="CZ235" i="36"/>
  <c r="CZ273" i="36"/>
  <c r="CZ231" i="36"/>
  <c r="CZ276" i="36"/>
  <c r="DI515" i="36"/>
  <c r="DA504" i="36"/>
  <c r="DI504" i="36"/>
  <c r="DI508" i="36"/>
  <c r="DA82" i="36"/>
  <c r="DI123" i="36"/>
  <c r="CW550" i="36"/>
  <c r="CW408" i="36"/>
  <c r="CU92" i="36"/>
  <c r="DI561" i="36"/>
  <c r="DI540" i="36"/>
  <c r="CP46" i="36"/>
  <c r="CP44" i="36"/>
  <c r="DA592" i="36"/>
  <c r="DA665" i="36"/>
  <c r="DA664" i="36"/>
  <c r="DA667" i="36"/>
  <c r="DA147" i="36"/>
  <c r="DI147" i="36"/>
  <c r="DI151" i="36"/>
  <c r="CZ35" i="36"/>
  <c r="DI104" i="36"/>
  <c r="DA60" i="36"/>
  <c r="DA136" i="36"/>
  <c r="DI136" i="36"/>
  <c r="DA137" i="36"/>
  <c r="DI137" i="36"/>
  <c r="DA139" i="36"/>
  <c r="DI139" i="36"/>
  <c r="CY329" i="36"/>
  <c r="CV410" i="36"/>
  <c r="CV15" i="36"/>
  <c r="CV49" i="36"/>
  <c r="DA638" i="36"/>
  <c r="DA637" i="36"/>
  <c r="DA635" i="36"/>
  <c r="DA597" i="36"/>
  <c r="CU406" i="36"/>
  <c r="CU12" i="36"/>
  <c r="CY64" i="36"/>
  <c r="CV701" i="36"/>
  <c r="CW548" i="36"/>
  <c r="CW409" i="36"/>
  <c r="CZ106" i="36"/>
  <c r="CZ62" i="36"/>
  <c r="CZ66" i="36"/>
  <c r="DA317" i="36"/>
  <c r="DA314" i="36"/>
  <c r="DI314" i="36"/>
  <c r="DI318" i="36"/>
  <c r="CX595" i="36"/>
  <c r="DI186" i="36"/>
  <c r="DA218" i="36"/>
  <c r="DI218" i="36"/>
  <c r="DA219" i="36"/>
  <c r="DI219" i="36"/>
  <c r="DA221" i="36"/>
  <c r="DI221" i="36"/>
  <c r="CZ598" i="36"/>
  <c r="CZ594" i="36"/>
  <c r="CZ425" i="36"/>
  <c r="DA499" i="36"/>
  <c r="DI499" i="36"/>
  <c r="DI503" i="36"/>
  <c r="CZ689" i="36"/>
  <c r="CZ701" i="36"/>
  <c r="DA86" i="36"/>
  <c r="DI127" i="36"/>
  <c r="DA303" i="36"/>
  <c r="DI303" i="36"/>
  <c r="DI272" i="36"/>
  <c r="DA230" i="36"/>
  <c r="DA304" i="36"/>
  <c r="DI304" i="36"/>
  <c r="DA306" i="36"/>
  <c r="DI306" i="36"/>
  <c r="DI465" i="36"/>
  <c r="CY234" i="36"/>
  <c r="CY275" i="36"/>
  <c r="CW410" i="36"/>
  <c r="CW15" i="36"/>
  <c r="DA149" i="36"/>
  <c r="DA146" i="36"/>
  <c r="DI146" i="36"/>
  <c r="DI150" i="36"/>
  <c r="CY61" i="36"/>
  <c r="CZ105" i="36"/>
  <c r="CZ108" i="36"/>
  <c r="CZ107" i="36"/>
  <c r="CZ65" i="36"/>
  <c r="CX63" i="36"/>
  <c r="CZ500" i="36"/>
  <c r="CZ236" i="36"/>
  <c r="CZ274" i="36"/>
  <c r="CZ232" i="36"/>
  <c r="CW260" i="36"/>
  <c r="CY361" i="36"/>
  <c r="CY358" i="36"/>
  <c r="CY31" i="36"/>
  <c r="CV50" i="36"/>
  <c r="CZ429" i="36"/>
  <c r="CZ401" i="36"/>
  <c r="DA453" i="36"/>
  <c r="DI454" i="36"/>
  <c r="CY621" i="36"/>
  <c r="CY612" i="36"/>
  <c r="CY622" i="36"/>
  <c r="CW389" i="36"/>
  <c r="CX89" i="36"/>
  <c r="CX121" i="36"/>
  <c r="CX133" i="36"/>
  <c r="DA203" i="36"/>
  <c r="DI203" i="36"/>
  <c r="DI205" i="36"/>
  <c r="CV407" i="36"/>
  <c r="CV404" i="36"/>
  <c r="CV9" i="36"/>
  <c r="CV13" i="36"/>
  <c r="CX544" i="36"/>
  <c r="CX582" i="36"/>
  <c r="CX434" i="36"/>
  <c r="CX581" i="36"/>
  <c r="CX584" i="36"/>
  <c r="CX435" i="36"/>
  <c r="CX403" i="36"/>
  <c r="CX19" i="36"/>
  <c r="CX364" i="36"/>
  <c r="CX360" i="36"/>
  <c r="CX389" i="36"/>
  <c r="CZ190" i="36"/>
  <c r="CZ189" i="36"/>
  <c r="CZ187" i="36"/>
  <c r="CZ329" i="36"/>
  <c r="CZ341" i="36"/>
  <c r="DI673" i="36"/>
  <c r="DA705" i="36"/>
  <c r="DI705" i="36"/>
  <c r="DA704" i="36"/>
  <c r="DI704" i="36"/>
  <c r="DA707" i="36"/>
  <c r="DI707" i="36"/>
  <c r="CX450" i="36"/>
  <c r="CX452" i="36"/>
  <c r="CT566" i="36"/>
  <c r="CU566" i="36"/>
  <c r="CU578" i="36"/>
  <c r="DA501" i="36"/>
  <c r="DI502" i="36"/>
  <c r="CU10" i="36"/>
  <c r="CZ263" i="36"/>
  <c r="CZ264" i="36"/>
  <c r="CZ266" i="36"/>
  <c r="CY415" i="36"/>
  <c r="CY20" i="36"/>
  <c r="CY447" i="36"/>
  <c r="CY402" i="36"/>
  <c r="CY7" i="36"/>
  <c r="DI443" i="36"/>
  <c r="DA400" i="36"/>
  <c r="DI400" i="36"/>
  <c r="CS44" i="36"/>
  <c r="CS45" i="36"/>
  <c r="CS46" i="36"/>
  <c r="DI164" i="36"/>
  <c r="CV549" i="36"/>
  <c r="CW439" i="36"/>
  <c r="CW8" i="36"/>
  <c r="CW52" i="36"/>
  <c r="CY650" i="36"/>
  <c r="CY661" i="36"/>
  <c r="CY35" i="36"/>
  <c r="CT406" i="36"/>
  <c r="U202" i="14"/>
  <c r="CW49" i="36"/>
  <c r="CX437" i="36"/>
  <c r="CX48" i="36"/>
  <c r="DA108" i="36"/>
  <c r="DA105" i="36"/>
  <c r="DA65" i="36"/>
  <c r="DI109" i="36"/>
  <c r="CX259" i="36"/>
  <c r="CX250" i="36"/>
  <c r="CX260" i="36"/>
  <c r="CX288" i="36"/>
  <c r="CX300" i="36"/>
  <c r="CW133" i="36"/>
  <c r="CT578" i="36"/>
  <c r="CV406" i="36"/>
  <c r="CV12" i="36"/>
  <c r="CZ377" i="36"/>
  <c r="DI572" i="36"/>
  <c r="DI541" i="36"/>
  <c r="DI58" i="36"/>
  <c r="CW50" i="36"/>
  <c r="CW80" i="36"/>
  <c r="CT481" i="36"/>
  <c r="DA500" i="36"/>
  <c r="DI501" i="36"/>
  <c r="CX436" i="36"/>
  <c r="CX47" i="36"/>
  <c r="CY89" i="36"/>
  <c r="CY121" i="36"/>
  <c r="CY133" i="36"/>
  <c r="CZ414" i="36"/>
  <c r="CZ64" i="36"/>
  <c r="DA235" i="36"/>
  <c r="DI235" i="36"/>
  <c r="DA273" i="36"/>
  <c r="DA276" i="36"/>
  <c r="DI277" i="36"/>
  <c r="DA188" i="36"/>
  <c r="DI188" i="36"/>
  <c r="DI192" i="36"/>
  <c r="CY19" i="36"/>
  <c r="CY364" i="36"/>
  <c r="CY360" i="36"/>
  <c r="CY389" i="36"/>
  <c r="CZ234" i="36"/>
  <c r="CZ275" i="36"/>
  <c r="CT423" i="36"/>
  <c r="CT38" i="36"/>
  <c r="CY174" i="36"/>
  <c r="CU432" i="36"/>
  <c r="CU469" i="36"/>
  <c r="CU481" i="36"/>
  <c r="DA316" i="36"/>
  <c r="DI317" i="36"/>
  <c r="CY544" i="36"/>
  <c r="CY581" i="36"/>
  <c r="CY582" i="36"/>
  <c r="CY434" i="36"/>
  <c r="CY584" i="36"/>
  <c r="CY435" i="36"/>
  <c r="CY403" i="36"/>
  <c r="CU11" i="36"/>
  <c r="DA674" i="36"/>
  <c r="DI674" i="36"/>
  <c r="DA677" i="36"/>
  <c r="DI678" i="36"/>
  <c r="CW469" i="36"/>
  <c r="CW481" i="36"/>
  <c r="CZ415" i="36"/>
  <c r="CZ20" i="36"/>
  <c r="CZ447" i="36"/>
  <c r="CZ402" i="36"/>
  <c r="CZ7" i="36"/>
  <c r="CZ61" i="36"/>
  <c r="DA148" i="36"/>
  <c r="DI149" i="36"/>
  <c r="DI86" i="36"/>
  <c r="CW405" i="36"/>
  <c r="CW14" i="36"/>
  <c r="DA596" i="36"/>
  <c r="DA593" i="36"/>
  <c r="DI597" i="36"/>
  <c r="CW26" i="36"/>
  <c r="CY495" i="36"/>
  <c r="DI270" i="36"/>
  <c r="DA228" i="36"/>
  <c r="DI228" i="36"/>
  <c r="CY63" i="36"/>
  <c r="DI383" i="36"/>
  <c r="CZ215" i="36"/>
  <c r="DI444" i="36"/>
  <c r="DA401" i="36"/>
  <c r="DI401" i="36"/>
  <c r="CT11" i="36"/>
  <c r="CX548" i="36"/>
  <c r="CX409" i="36"/>
  <c r="DA425" i="36"/>
  <c r="DI471" i="36"/>
  <c r="CX419" i="36"/>
  <c r="DI230" i="36"/>
  <c r="DA263" i="36"/>
  <c r="DI263" i="36"/>
  <c r="DA264" i="36"/>
  <c r="DI264" i="36"/>
  <c r="DA266" i="36"/>
  <c r="DI266" i="36"/>
  <c r="DA95" i="36"/>
  <c r="DI95" i="36"/>
  <c r="DI60" i="36"/>
  <c r="DA96" i="36"/>
  <c r="DI96" i="36"/>
  <c r="DA98" i="36"/>
  <c r="DI98" i="36"/>
  <c r="DA625" i="36"/>
  <c r="DI625" i="36"/>
  <c r="DI592" i="36"/>
  <c r="DA626" i="36"/>
  <c r="DI626" i="36"/>
  <c r="DA657" i="36"/>
  <c r="DA628" i="36"/>
  <c r="DI628" i="36"/>
  <c r="CZ361" i="36"/>
  <c r="DI568" i="36"/>
  <c r="CZ596" i="36"/>
  <c r="CZ595" i="36"/>
  <c r="CZ593" i="36"/>
  <c r="DA594" i="36"/>
  <c r="DI594" i="36"/>
  <c r="DI598" i="36"/>
  <c r="CY341" i="36"/>
  <c r="CZ6" i="36"/>
  <c r="CV469" i="36"/>
  <c r="CV481" i="36"/>
  <c r="DA418" i="36"/>
  <c r="DI464" i="36"/>
  <c r="DI453" i="36"/>
  <c r="CZ517" i="36"/>
  <c r="CZ529" i="36"/>
  <c r="CX550" i="36"/>
  <c r="CX408" i="36"/>
  <c r="CP45" i="36"/>
  <c r="CW404" i="36"/>
  <c r="CW9" i="36"/>
  <c r="CW407" i="36"/>
  <c r="CW13" i="36"/>
  <c r="DA31" i="36"/>
  <c r="DI82" i="36"/>
  <c r="CT9" i="36"/>
  <c r="CW553" i="36"/>
  <c r="CW547" i="36"/>
  <c r="CX529" i="36"/>
  <c r="CZ621" i="36"/>
  <c r="CZ612" i="36"/>
  <c r="DA187" i="36"/>
  <c r="DI187" i="36"/>
  <c r="DA190" i="36"/>
  <c r="DI191" i="36"/>
  <c r="DA498" i="36"/>
  <c r="DI498" i="36"/>
  <c r="CV432" i="36"/>
  <c r="CX439" i="36"/>
  <c r="CX8" i="36"/>
  <c r="CX52" i="36"/>
  <c r="CX80" i="36"/>
  <c r="CX92" i="36"/>
  <c r="CY233" i="36"/>
  <c r="DA236" i="36"/>
  <c r="DI236" i="36"/>
  <c r="DA274" i="36"/>
  <c r="DI278" i="36"/>
  <c r="DA106" i="36"/>
  <c r="DA66" i="36"/>
  <c r="DI110" i="36"/>
  <c r="CX689" i="36"/>
  <c r="CX621" i="36"/>
  <c r="DA357" i="36"/>
  <c r="DI357" i="36"/>
  <c r="DI355" i="36"/>
  <c r="DA393" i="36"/>
  <c r="DI393" i="36"/>
  <c r="DA392" i="36"/>
  <c r="DI392" i="36"/>
  <c r="DA395" i="36"/>
  <c r="DI395" i="36"/>
  <c r="CW24" i="36"/>
  <c r="CZ31" i="36"/>
  <c r="CX421" i="36"/>
  <c r="CX26" i="36"/>
  <c r="U172" i="14"/>
  <c r="CZ622" i="36"/>
  <c r="DA650" i="36"/>
  <c r="DA661" i="36"/>
  <c r="DA232" i="36"/>
  <c r="DI232" i="36"/>
  <c r="DI274" i="36"/>
  <c r="DI425" i="36"/>
  <c r="DA377" i="36"/>
  <c r="DI377" i="36"/>
  <c r="DI379" i="36"/>
  <c r="CY439" i="36"/>
  <c r="CY8" i="36"/>
  <c r="CY52" i="36"/>
  <c r="CT29" i="36"/>
  <c r="CZ63" i="36"/>
  <c r="CX49" i="36"/>
  <c r="DI557" i="36"/>
  <c r="DA107" i="36"/>
  <c r="DI108" i="36"/>
  <c r="CZ495" i="36"/>
  <c r="CX405" i="36"/>
  <c r="CX10" i="36"/>
  <c r="CX14" i="36"/>
  <c r="DA414" i="36"/>
  <c r="DI460" i="36"/>
  <c r="CY437" i="36"/>
  <c r="CY48" i="36"/>
  <c r="CY50" i="36"/>
  <c r="CW92" i="36"/>
  <c r="DI31" i="36"/>
  <c r="CY419" i="36"/>
  <c r="CY553" i="36"/>
  <c r="CY547" i="36"/>
  <c r="DA429" i="36"/>
  <c r="DI429" i="36"/>
  <c r="DI475" i="36"/>
  <c r="CW549" i="36"/>
  <c r="CY436" i="36"/>
  <c r="CY47" i="36"/>
  <c r="CY49" i="36"/>
  <c r="DI316" i="36"/>
  <c r="CX469" i="36"/>
  <c r="CW10" i="36"/>
  <c r="CV566" i="36"/>
  <c r="DA402" i="36"/>
  <c r="DI445" i="36"/>
  <c r="DA35" i="36"/>
  <c r="DI35" i="36"/>
  <c r="CX50" i="36"/>
  <c r="CZ19" i="36"/>
  <c r="CZ364" i="36"/>
  <c r="CY80" i="36"/>
  <c r="CY92" i="36"/>
  <c r="DI353" i="36"/>
  <c r="CX701" i="36"/>
  <c r="DA361" i="36"/>
  <c r="DA358" i="36"/>
  <c r="DI358" i="36"/>
  <c r="DI362" i="36"/>
  <c r="CX407" i="36"/>
  <c r="CX13" i="36"/>
  <c r="DI66" i="36"/>
  <c r="CW406" i="36"/>
  <c r="CW12" i="36"/>
  <c r="CZ358" i="36"/>
  <c r="CX553" i="36"/>
  <c r="CX547" i="36"/>
  <c r="DI593" i="36"/>
  <c r="CU423" i="36"/>
  <c r="CU433" i="36"/>
  <c r="CU38" i="36"/>
  <c r="CU29" i="36"/>
  <c r="CU44" i="36"/>
  <c r="CU45" i="36"/>
  <c r="CZ233" i="36"/>
  <c r="DA6" i="36"/>
  <c r="DI6" i="36"/>
  <c r="CY421" i="36"/>
  <c r="CY26" i="36"/>
  <c r="CV423" i="36"/>
  <c r="CV38" i="36"/>
  <c r="CV29" i="36"/>
  <c r="CZ89" i="36"/>
  <c r="CZ121" i="36"/>
  <c r="CZ133" i="36"/>
  <c r="DI545" i="36"/>
  <c r="DI558" i="36"/>
  <c r="DI542" i="36"/>
  <c r="CY259" i="36"/>
  <c r="CY250" i="36"/>
  <c r="CY260" i="36"/>
  <c r="CY288" i="36"/>
  <c r="CY300" i="36"/>
  <c r="CZ650" i="36"/>
  <c r="CZ661" i="36"/>
  <c r="DA62" i="36"/>
  <c r="DI106" i="36"/>
  <c r="DA189" i="36"/>
  <c r="DI190" i="36"/>
  <c r="DA23" i="36"/>
  <c r="DI23" i="36"/>
  <c r="DI418" i="36"/>
  <c r="CY456" i="36"/>
  <c r="CX24" i="36"/>
  <c r="CX410" i="36"/>
  <c r="CT44" i="36"/>
  <c r="CT46" i="36"/>
  <c r="DA595" i="36"/>
  <c r="DI596" i="36"/>
  <c r="DI148" i="36"/>
  <c r="DA234" i="36"/>
  <c r="DI234" i="36"/>
  <c r="DA275" i="36"/>
  <c r="DI276" i="36"/>
  <c r="CZ456" i="36"/>
  <c r="DI500" i="36"/>
  <c r="CZ544" i="36"/>
  <c r="CZ582" i="36"/>
  <c r="CZ434" i="36"/>
  <c r="CZ581" i="36"/>
  <c r="CZ584" i="36"/>
  <c r="CZ435" i="36"/>
  <c r="CZ403" i="36"/>
  <c r="DA61" i="36"/>
  <c r="DI105" i="36"/>
  <c r="CX612" i="36"/>
  <c r="DA359" i="36"/>
  <c r="DI359" i="36"/>
  <c r="DI363" i="36"/>
  <c r="CY550" i="36"/>
  <c r="CY408" i="36"/>
  <c r="CT433" i="36"/>
  <c r="DA676" i="36"/>
  <c r="DI677" i="36"/>
  <c r="CY548" i="36"/>
  <c r="CY409" i="36"/>
  <c r="DA231" i="36"/>
  <c r="DI231" i="36"/>
  <c r="DI273" i="36"/>
  <c r="CV433" i="36"/>
  <c r="CV11" i="36"/>
  <c r="DA64" i="36"/>
  <c r="DI65" i="36"/>
  <c r="U141" i="14"/>
  <c r="N174" i="21"/>
  <c r="N234" i="21"/>
  <c r="N294" i="21"/>
  <c r="N354" i="21"/>
  <c r="N462" i="21"/>
  <c r="N463" i="21"/>
  <c r="N342" i="21"/>
  <c r="N343" i="21"/>
  <c r="N283" i="21"/>
  <c r="N282" i="21"/>
  <c r="N222" i="21"/>
  <c r="N223" i="21"/>
  <c r="Q202" i="14"/>
  <c r="Q221" i="14"/>
  <c r="Q172" i="14"/>
  <c r="Q191" i="14"/>
  <c r="U166" i="14"/>
  <c r="Q141" i="14"/>
  <c r="Q160" i="14"/>
  <c r="U137" i="14"/>
  <c r="AH39" i="25"/>
  <c r="AH40" i="25"/>
  <c r="E18" i="27"/>
  <c r="N456" i="21"/>
  <c r="N276" i="21"/>
  <c r="N336" i="21"/>
  <c r="N216" i="21"/>
  <c r="CV44" i="36"/>
  <c r="CV45" i="36"/>
  <c r="CV46" i="36"/>
  <c r="CZ450" i="36"/>
  <c r="CZ452" i="36"/>
  <c r="DI676" i="36"/>
  <c r="DI543" i="36"/>
  <c r="DA544" i="36"/>
  <c r="DI544" i="36"/>
  <c r="DA582" i="36"/>
  <c r="DA581" i="36"/>
  <c r="DI581" i="36"/>
  <c r="DA584" i="36"/>
  <c r="DA403" i="36"/>
  <c r="CZ550" i="36"/>
  <c r="CZ408" i="36"/>
  <c r="DI361" i="36"/>
  <c r="DI496" i="36"/>
  <c r="DA495" i="36"/>
  <c r="DI495" i="36"/>
  <c r="CX622" i="36"/>
  <c r="DA233" i="36"/>
  <c r="DI275" i="36"/>
  <c r="DI212" i="36"/>
  <c r="DA215" i="36"/>
  <c r="DI215" i="36"/>
  <c r="DI189" i="36"/>
  <c r="CZ360" i="36"/>
  <c r="CZ389" i="36"/>
  <c r="CV578" i="36"/>
  <c r="DA329" i="36"/>
  <c r="DI338" i="36"/>
  <c r="CZ548" i="36"/>
  <c r="CZ409" i="36"/>
  <c r="CT45" i="36"/>
  <c r="DI414" i="36"/>
  <c r="CZ419" i="36"/>
  <c r="DA415" i="36"/>
  <c r="DI461" i="36"/>
  <c r="CY407" i="36"/>
  <c r="CY13" i="36"/>
  <c r="CX15" i="36"/>
  <c r="DI62" i="36"/>
  <c r="CX406" i="36"/>
  <c r="CX12" i="36"/>
  <c r="DI107" i="36"/>
  <c r="DI61" i="36"/>
  <c r="CY549" i="36"/>
  <c r="CZ439" i="36"/>
  <c r="CZ8" i="36"/>
  <c r="CZ52" i="36"/>
  <c r="CZ80" i="36"/>
  <c r="CZ92" i="36"/>
  <c r="CZ259" i="36"/>
  <c r="CZ250" i="36"/>
  <c r="CZ260" i="36"/>
  <c r="CZ288" i="36"/>
  <c r="CZ300" i="36"/>
  <c r="CX549" i="36"/>
  <c r="CX404" i="36"/>
  <c r="DA19" i="36"/>
  <c r="DI19" i="36"/>
  <c r="DA364" i="36"/>
  <c r="DI368" i="36"/>
  <c r="DI546" i="36"/>
  <c r="CZ437" i="36"/>
  <c r="CZ48" i="36"/>
  <c r="DA162" i="36"/>
  <c r="DI171" i="36"/>
  <c r="CY450" i="36"/>
  <c r="CY452" i="36"/>
  <c r="DA7" i="36"/>
  <c r="DI7" i="36"/>
  <c r="DI402" i="36"/>
  <c r="CU46" i="36"/>
  <c r="DI564" i="36"/>
  <c r="CZ436" i="36"/>
  <c r="CZ47" i="36"/>
  <c r="CY405" i="36"/>
  <c r="CY10" i="36"/>
  <c r="CY14" i="36"/>
  <c r="DA63" i="36"/>
  <c r="DI64" i="36"/>
  <c r="DA517" i="36"/>
  <c r="DI526" i="36"/>
  <c r="CW11" i="36"/>
  <c r="DI448" i="36"/>
  <c r="DA447" i="36"/>
  <c r="DI447" i="36"/>
  <c r="CX481" i="36"/>
  <c r="CY24" i="36"/>
  <c r="CY410" i="36"/>
  <c r="CY15" i="36"/>
  <c r="DI595" i="36"/>
  <c r="AJ58" i="25"/>
  <c r="AJ56" i="25"/>
  <c r="AI56" i="25"/>
  <c r="T20" i="1"/>
  <c r="T32" i="1"/>
  <c r="E13" i="27"/>
  <c r="E98" i="27"/>
  <c r="CZ49" i="36"/>
  <c r="CZ50" i="36"/>
  <c r="CZ553" i="36"/>
  <c r="CZ547" i="36"/>
  <c r="CZ421" i="36"/>
  <c r="CZ26" i="36"/>
  <c r="CZ24" i="36"/>
  <c r="CZ410" i="36"/>
  <c r="CZ15" i="36"/>
  <c r="CZ405" i="36"/>
  <c r="CZ10" i="36"/>
  <c r="CZ14" i="36"/>
  <c r="DI162" i="36"/>
  <c r="DA174" i="36"/>
  <c r="DI174" i="36"/>
  <c r="DI364" i="36"/>
  <c r="DA89" i="36"/>
  <c r="DI130" i="36"/>
  <c r="DA121" i="36"/>
  <c r="DA421" i="36"/>
  <c r="DI467" i="36"/>
  <c r="CY406" i="36"/>
  <c r="CY12" i="36"/>
  <c r="DA259" i="36"/>
  <c r="DA288" i="36"/>
  <c r="DI297" i="36"/>
  <c r="DI403" i="36"/>
  <c r="DA439" i="36"/>
  <c r="DI439" i="36"/>
  <c r="DA8" i="36"/>
  <c r="DA689" i="36"/>
  <c r="DI698" i="36"/>
  <c r="DA621" i="36"/>
  <c r="DI517" i="36"/>
  <c r="DA529" i="36"/>
  <c r="DI529" i="36"/>
  <c r="CX9" i="36"/>
  <c r="CY566" i="36"/>
  <c r="CY578" i="36"/>
  <c r="CY404" i="36"/>
  <c r="CY9" i="36"/>
  <c r="CW566" i="36"/>
  <c r="CW432" i="36"/>
  <c r="DI584" i="36"/>
  <c r="DA435" i="36"/>
  <c r="DA550" i="36"/>
  <c r="DI551" i="36"/>
  <c r="DA408" i="36"/>
  <c r="CX11" i="36"/>
  <c r="DI63" i="36"/>
  <c r="DA20" i="36"/>
  <c r="DI20" i="36"/>
  <c r="DI415" i="36"/>
  <c r="DA360" i="36"/>
  <c r="DI582" i="36"/>
  <c r="DA434" i="36"/>
  <c r="DI562" i="36"/>
  <c r="DA419" i="36"/>
  <c r="DI329" i="36"/>
  <c r="DA341" i="36"/>
  <c r="DI341" i="36"/>
  <c r="CZ407" i="36"/>
  <c r="CZ13" i="36"/>
  <c r="DI233" i="36"/>
  <c r="DA553" i="36"/>
  <c r="DI553" i="36"/>
  <c r="DA456" i="36"/>
  <c r="CZ549" i="36"/>
  <c r="DA548" i="36"/>
  <c r="DI548" i="36"/>
  <c r="DI552" i="36"/>
  <c r="DA409" i="36"/>
  <c r="T23" i="1"/>
  <c r="T17" i="1"/>
  <c r="T14" i="1"/>
  <c r="CZ404" i="36"/>
  <c r="CZ9" i="36"/>
  <c r="DA436" i="36"/>
  <c r="DI436" i="36"/>
  <c r="DA47" i="36"/>
  <c r="DI434" i="36"/>
  <c r="CZ469" i="36"/>
  <c r="CZ481" i="36"/>
  <c r="DI8" i="36"/>
  <c r="DA52" i="36"/>
  <c r="DI52" i="36"/>
  <c r="DA437" i="36"/>
  <c r="DI437" i="36"/>
  <c r="DA48" i="36"/>
  <c r="DI435" i="36"/>
  <c r="DA26" i="36"/>
  <c r="DI26" i="36"/>
  <c r="DI421" i="36"/>
  <c r="DI689" i="36"/>
  <c r="DA701" i="36"/>
  <c r="DI701" i="36"/>
  <c r="DA389" i="36"/>
  <c r="DI389" i="36"/>
  <c r="DI360" i="36"/>
  <c r="DA407" i="36"/>
  <c r="DI408" i="36"/>
  <c r="DA13" i="36"/>
  <c r="DI13" i="36"/>
  <c r="DI121" i="36"/>
  <c r="DA133" i="36"/>
  <c r="DI133" i="36"/>
  <c r="DA450" i="36"/>
  <c r="DI450" i="36"/>
  <c r="DI456" i="36"/>
  <c r="DA452" i="36"/>
  <c r="DA405" i="36"/>
  <c r="DI409" i="36"/>
  <c r="DA14" i="36"/>
  <c r="DI14" i="36"/>
  <c r="DA24" i="36"/>
  <c r="DI24" i="36"/>
  <c r="DI419" i="36"/>
  <c r="DA410" i="36"/>
  <c r="DA404" i="36"/>
  <c r="DA9" i="36"/>
  <c r="DI9" i="36"/>
  <c r="CZ432" i="36"/>
  <c r="DA549" i="36"/>
  <c r="DI550" i="36"/>
  <c r="CW423" i="36"/>
  <c r="CW433" i="36"/>
  <c r="CW38" i="36"/>
  <c r="DI288" i="36"/>
  <c r="DA300" i="36"/>
  <c r="DI300" i="36"/>
  <c r="DA80" i="36"/>
  <c r="DI89" i="36"/>
  <c r="DA547" i="36"/>
  <c r="DI547" i="36"/>
  <c r="CW578" i="36"/>
  <c r="DA612" i="36"/>
  <c r="DI621" i="36"/>
  <c r="DA250" i="36"/>
  <c r="DI259" i="36"/>
  <c r="CY11" i="36"/>
  <c r="CY432" i="36"/>
  <c r="CY469" i="36"/>
  <c r="CZ406" i="36"/>
  <c r="CZ12" i="36"/>
  <c r="CX566" i="36"/>
  <c r="CX578" i="36"/>
  <c r="CX432" i="36"/>
  <c r="N85" i="21"/>
  <c r="Q534" i="19"/>
  <c r="Q495" i="19"/>
  <c r="Q494" i="19" s="1"/>
  <c r="Q261" i="19"/>
  <c r="Q260" i="19" s="1"/>
  <c r="F402" i="14" s="1"/>
  <c r="Q222" i="19"/>
  <c r="Q221" i="19" s="1"/>
  <c r="F373" i="14" s="1"/>
  <c r="N450" i="21"/>
  <c r="N436" i="21"/>
  <c r="N440" i="21"/>
  <c r="N438" i="21"/>
  <c r="N432" i="21"/>
  <c r="N390" i="21"/>
  <c r="N376" i="21"/>
  <c r="N380" i="21"/>
  <c r="N378" i="21"/>
  <c r="N372" i="21"/>
  <c r="N330" i="21"/>
  <c r="N316" i="21"/>
  <c r="N320" i="21"/>
  <c r="N318" i="21"/>
  <c r="M60" i="21"/>
  <c r="M87" i="21"/>
  <c r="J87" i="21"/>
  <c r="M145" i="21"/>
  <c r="N271" i="21"/>
  <c r="N270" i="21"/>
  <c r="N256" i="21"/>
  <c r="N260" i="21"/>
  <c r="N258" i="21"/>
  <c r="N252" i="21"/>
  <c r="Q10" i="22"/>
  <c r="F107" i="14" s="1"/>
  <c r="F21" i="14" s="1"/>
  <c r="N211" i="21"/>
  <c r="N210" i="21"/>
  <c r="N196" i="21"/>
  <c r="E8" i="27"/>
  <c r="N200" i="21"/>
  <c r="N198" i="21"/>
  <c r="E10" i="27"/>
  <c r="N192" i="21"/>
  <c r="E7" i="27"/>
  <c r="N104" i="21"/>
  <c r="AC5" i="41"/>
  <c r="F382" i="14"/>
  <c r="AB23" i="41"/>
  <c r="AN23" i="41"/>
  <c r="M518" i="21"/>
  <c r="M578" i="21"/>
  <c r="E6" i="27"/>
  <c r="M143" i="21"/>
  <c r="J145" i="21"/>
  <c r="M57" i="21"/>
  <c r="J57" i="21"/>
  <c r="J60" i="21"/>
  <c r="N311" i="21"/>
  <c r="N308" i="21"/>
  <c r="N248" i="21"/>
  <c r="N269" i="21"/>
  <c r="N249" i="21"/>
  <c r="N209" i="21"/>
  <c r="N75" i="21"/>
  <c r="N78" i="21"/>
  <c r="N76" i="21"/>
  <c r="N97" i="21"/>
  <c r="N431" i="21"/>
  <c r="N251" i="21"/>
  <c r="CZ423" i="36"/>
  <c r="CZ38" i="36"/>
  <c r="CZ29" i="36"/>
  <c r="DA566" i="36"/>
  <c r="DA578" i="36"/>
  <c r="DI549" i="36"/>
  <c r="DI405" i="36"/>
  <c r="DA10" i="36"/>
  <c r="DI10" i="36"/>
  <c r="DI80" i="36"/>
  <c r="DA92" i="36"/>
  <c r="DI92" i="36"/>
  <c r="DI452" i="36"/>
  <c r="DI404" i="36"/>
  <c r="DI250" i="36"/>
  <c r="DA260" i="36"/>
  <c r="DI260" i="36"/>
  <c r="CZ566" i="36"/>
  <c r="DA406" i="36"/>
  <c r="DI407" i="36"/>
  <c r="DA12" i="36"/>
  <c r="DI12" i="36"/>
  <c r="CZ433" i="36"/>
  <c r="CZ11" i="36"/>
  <c r="DI410" i="36"/>
  <c r="DA15" i="36"/>
  <c r="DI15" i="36"/>
  <c r="DI48" i="36"/>
  <c r="DA50" i="36"/>
  <c r="DI50" i="36"/>
  <c r="CX423" i="36"/>
  <c r="CX433" i="36"/>
  <c r="CX38" i="36"/>
  <c r="CX29" i="36"/>
  <c r="DA622" i="36"/>
  <c r="DI622" i="36"/>
  <c r="DI612" i="36"/>
  <c r="DI47" i="36"/>
  <c r="DA49" i="36"/>
  <c r="DI49" i="36"/>
  <c r="CY423" i="36"/>
  <c r="CY433" i="36"/>
  <c r="CY38" i="36"/>
  <c r="CY29" i="36"/>
  <c r="CY46" i="36"/>
  <c r="CY481" i="36"/>
  <c r="CW29" i="36"/>
  <c r="N371" i="21"/>
  <c r="N451" i="21"/>
  <c r="N449" i="21"/>
  <c r="N437" i="21"/>
  <c r="N191" i="21"/>
  <c r="N188" i="21"/>
  <c r="N331" i="21"/>
  <c r="N329" i="21"/>
  <c r="N391" i="21"/>
  <c r="N389" i="21"/>
  <c r="N377" i="21"/>
  <c r="G380" i="14"/>
  <c r="AB21" i="41"/>
  <c r="AN21" i="41"/>
  <c r="O23" i="41"/>
  <c r="AA23" i="41"/>
  <c r="M576" i="21"/>
  <c r="J578" i="21"/>
  <c r="B23" i="41"/>
  <c r="N23" i="41"/>
  <c r="M516" i="21"/>
  <c r="J518" i="21"/>
  <c r="N189" i="21"/>
  <c r="E11" i="27"/>
  <c r="E9" i="27"/>
  <c r="M123" i="21"/>
  <c r="J123" i="21"/>
  <c r="E63" i="14"/>
  <c r="E31" i="14"/>
  <c r="J143" i="21"/>
  <c r="N368" i="21"/>
  <c r="N317" i="21"/>
  <c r="N310" i="21"/>
  <c r="N347" i="21"/>
  <c r="N309" i="21"/>
  <c r="N257" i="21"/>
  <c r="N250" i="21"/>
  <c r="N287" i="21"/>
  <c r="N197" i="21"/>
  <c r="N190" i="21"/>
  <c r="N227" i="21"/>
  <c r="CZ46" i="36"/>
  <c r="CZ44" i="36"/>
  <c r="CZ45" i="36"/>
  <c r="DA432" i="36"/>
  <c r="DA469" i="36"/>
  <c r="DI478" i="36"/>
  <c r="CY44" i="36"/>
  <c r="CY45" i="36"/>
  <c r="DI575" i="36"/>
  <c r="CW46" i="36"/>
  <c r="CW44" i="36"/>
  <c r="CX44" i="36"/>
  <c r="CX45" i="36"/>
  <c r="CX46" i="36"/>
  <c r="CZ578" i="36"/>
  <c r="DI578" i="36"/>
  <c r="DI566" i="36"/>
  <c r="DI406" i="36"/>
  <c r="DA11" i="36"/>
  <c r="N430" i="21"/>
  <c r="N467" i="21"/>
  <c r="N370" i="21"/>
  <c r="N407" i="21"/>
  <c r="N36" i="21"/>
  <c r="N35" i="21"/>
  <c r="N34" i="21"/>
  <c r="N48" i="21"/>
  <c r="E5" i="27"/>
  <c r="B21" i="41"/>
  <c r="N21" i="41"/>
  <c r="B14" i="41"/>
  <c r="N14" i="41"/>
  <c r="O21" i="41"/>
  <c r="AA21" i="41"/>
  <c r="N31" i="21"/>
  <c r="M504" i="21"/>
  <c r="J516" i="21"/>
  <c r="M496" i="21"/>
  <c r="J496" i="21"/>
  <c r="M556" i="21"/>
  <c r="J556" i="21"/>
  <c r="J576" i="21"/>
  <c r="N26" i="21"/>
  <c r="N4" i="21"/>
  <c r="N51" i="21"/>
  <c r="F96" i="14"/>
  <c r="DI11" i="36"/>
  <c r="DA481" i="36"/>
  <c r="DI481" i="36"/>
  <c r="DI469" i="36"/>
  <c r="DI432" i="36"/>
  <c r="DA423" i="36"/>
  <c r="DA38" i="36"/>
  <c r="CW45" i="36"/>
  <c r="N25" i="21"/>
  <c r="Q29" i="22"/>
  <c r="Q25" i="22" s="1"/>
  <c r="Q287" i="22"/>
  <c r="Q182" i="22"/>
  <c r="E34" i="27" s="1"/>
  <c r="Q75" i="22"/>
  <c r="N126" i="21"/>
  <c r="N559" i="21"/>
  <c r="B10" i="41"/>
  <c r="N10" i="41"/>
  <c r="N28" i="41"/>
  <c r="M497" i="21"/>
  <c r="J504" i="21"/>
  <c r="P12" i="41"/>
  <c r="N555" i="21"/>
  <c r="F59" i="14"/>
  <c r="AC12" i="41"/>
  <c r="AC11" i="41"/>
  <c r="AC10" i="41"/>
  <c r="AC28" i="41"/>
  <c r="N125" i="21"/>
  <c r="N122" i="21"/>
  <c r="N27" i="21"/>
  <c r="N43" i="21"/>
  <c r="N44" i="21"/>
  <c r="N49" i="21"/>
  <c r="N71" i="21"/>
  <c r="N29" i="21"/>
  <c r="N7" i="21"/>
  <c r="DA29" i="36"/>
  <c r="DI38" i="36"/>
  <c r="DI423" i="36"/>
  <c r="DA433" i="36"/>
  <c r="DI433" i="36"/>
  <c r="P11" i="41"/>
  <c r="F58" i="14"/>
  <c r="F57" i="14"/>
  <c r="F76" i="14"/>
  <c r="F78" i="14"/>
  <c r="B28" i="41"/>
  <c r="M534" i="21"/>
  <c r="J534" i="21"/>
  <c r="J497" i="21"/>
  <c r="N124" i="21"/>
  <c r="N166" i="21"/>
  <c r="N167" i="21"/>
  <c r="N558" i="21"/>
  <c r="N557" i="21"/>
  <c r="N594" i="21"/>
  <c r="N6" i="21"/>
  <c r="DI29" i="36"/>
  <c r="DA44" i="36"/>
  <c r="DA46" i="36"/>
  <c r="DI46" i="36"/>
  <c r="Q340" i="22"/>
  <c r="M246" i="19"/>
  <c r="P10" i="41"/>
  <c r="P28" i="41"/>
  <c r="DA45" i="36"/>
  <c r="DI45" i="36"/>
  <c r="DI44" i="36"/>
  <c r="P56" i="19"/>
  <c r="Q21" i="1"/>
  <c r="Q22" i="1"/>
  <c r="Q24" i="1"/>
  <c r="Q25" i="1"/>
  <c r="P22" i="1"/>
  <c r="O22" i="1"/>
  <c r="N22" i="1"/>
  <c r="M22" i="1"/>
  <c r="L22" i="1"/>
  <c r="K22" i="1"/>
  <c r="Q18" i="1"/>
  <c r="Q19" i="1"/>
  <c r="Q15" i="1"/>
  <c r="Q16" i="1"/>
  <c r="I52" i="20"/>
  <c r="I156" i="20"/>
  <c r="J156" i="20"/>
  <c r="H156" i="20"/>
  <c r="I135" i="20"/>
  <c r="J135" i="20"/>
  <c r="H135" i="20"/>
  <c r="I115" i="20"/>
  <c r="J115" i="20"/>
  <c r="H115" i="20"/>
  <c r="H166" i="20"/>
  <c r="I166" i="20"/>
  <c r="J166" i="20"/>
  <c r="J145" i="20"/>
  <c r="H145" i="20"/>
  <c r="H125" i="20"/>
  <c r="I125" i="20"/>
  <c r="J125" i="20"/>
  <c r="I62" i="20"/>
  <c r="AK166" i="20"/>
  <c r="AJ166" i="20"/>
  <c r="AI166" i="20"/>
  <c r="AH166" i="20"/>
  <c r="AG166" i="20"/>
  <c r="AF166" i="20"/>
  <c r="AE166" i="20"/>
  <c r="AD166" i="20"/>
  <c r="AC166" i="20"/>
  <c r="AB166" i="20"/>
  <c r="AA166" i="20"/>
  <c r="Z166" i="20"/>
  <c r="Y166" i="20"/>
  <c r="X166" i="20"/>
  <c r="W166" i="20"/>
  <c r="V166" i="20"/>
  <c r="U166" i="20"/>
  <c r="T166" i="20"/>
  <c r="S166" i="20"/>
  <c r="R166" i="20"/>
  <c r="Q166" i="20"/>
  <c r="G166" i="20"/>
  <c r="F166" i="20"/>
  <c r="E166" i="20"/>
  <c r="D166" i="20"/>
  <c r="C166" i="20"/>
  <c r="B166" i="20"/>
  <c r="AK156" i="20"/>
  <c r="AJ156" i="20"/>
  <c r="AI156" i="20"/>
  <c r="AH156" i="20"/>
  <c r="AG156" i="20"/>
  <c r="AF156" i="20"/>
  <c r="AE156" i="20"/>
  <c r="AD156" i="20"/>
  <c r="AC156" i="20"/>
  <c r="AB156" i="20"/>
  <c r="AA156" i="20"/>
  <c r="Z156" i="20"/>
  <c r="Y156" i="20"/>
  <c r="X156" i="20"/>
  <c r="W156" i="20"/>
  <c r="U156" i="20"/>
  <c r="R156" i="20"/>
  <c r="Q156" i="20"/>
  <c r="G156" i="20"/>
  <c r="F156" i="20"/>
  <c r="E156" i="20"/>
  <c r="D156" i="20"/>
  <c r="C156" i="20"/>
  <c r="B156" i="20"/>
  <c r="B180" i="20"/>
  <c r="C180" i="20"/>
  <c r="D180" i="20"/>
  <c r="E180" i="20"/>
  <c r="F180" i="20"/>
  <c r="G180" i="20"/>
  <c r="H180" i="20"/>
  <c r="I180" i="20"/>
  <c r="J180" i="20"/>
  <c r="K180" i="20"/>
  <c r="L180" i="20"/>
  <c r="M180" i="20"/>
  <c r="N180" i="20"/>
  <c r="O180" i="20"/>
  <c r="P180" i="20"/>
  <c r="Q180" i="20"/>
  <c r="R180" i="20"/>
  <c r="S180" i="20"/>
  <c r="T180" i="20"/>
  <c r="U180" i="20"/>
  <c r="X180" i="20"/>
  <c r="Y180" i="20"/>
  <c r="C181" i="20"/>
  <c r="E181" i="20"/>
  <c r="G181" i="20"/>
  <c r="I181" i="20"/>
  <c r="K181" i="20"/>
  <c r="M181" i="20"/>
  <c r="AK145" i="20"/>
  <c r="AJ145" i="20"/>
  <c r="AI145" i="20"/>
  <c r="AH145" i="20"/>
  <c r="AG145" i="20"/>
  <c r="AF145" i="20"/>
  <c r="AE145" i="20"/>
  <c r="AD145" i="20"/>
  <c r="AC145" i="20"/>
  <c r="AB145" i="20"/>
  <c r="AA145" i="20"/>
  <c r="Z145" i="20"/>
  <c r="Y145" i="20"/>
  <c r="X145" i="20"/>
  <c r="W145" i="20"/>
  <c r="V145" i="20"/>
  <c r="U145" i="20"/>
  <c r="T145" i="20"/>
  <c r="S145" i="20"/>
  <c r="R145" i="20"/>
  <c r="Q145" i="20"/>
  <c r="G145" i="20"/>
  <c r="F145" i="20"/>
  <c r="E145" i="20"/>
  <c r="D145" i="20"/>
  <c r="C145" i="20"/>
  <c r="B145" i="20"/>
  <c r="AK135" i="20"/>
  <c r="AJ135" i="20"/>
  <c r="AI135" i="20"/>
  <c r="AH135" i="20"/>
  <c r="AG135" i="20"/>
  <c r="AF135" i="20"/>
  <c r="AE135" i="20"/>
  <c r="AD135" i="20"/>
  <c r="AC135" i="20"/>
  <c r="AB135" i="20"/>
  <c r="AA135" i="20"/>
  <c r="Z135" i="20"/>
  <c r="Y135" i="20"/>
  <c r="X135" i="20"/>
  <c r="W135" i="20"/>
  <c r="U135" i="20"/>
  <c r="R135" i="20"/>
  <c r="Q135" i="20"/>
  <c r="G135" i="20"/>
  <c r="F135" i="20"/>
  <c r="E135" i="20"/>
  <c r="D135" i="20"/>
  <c r="C135" i="20"/>
  <c r="B135" i="20"/>
  <c r="G125" i="20"/>
  <c r="F125" i="20"/>
  <c r="E125" i="20"/>
  <c r="D125" i="20"/>
  <c r="C125" i="20"/>
  <c r="B125" i="20"/>
  <c r="G115" i="20"/>
  <c r="F115" i="20"/>
  <c r="E115" i="20"/>
  <c r="D115" i="20"/>
  <c r="C115" i="20"/>
  <c r="B115" i="20"/>
  <c r="G62" i="20"/>
  <c r="F62" i="20"/>
  <c r="E62" i="20"/>
  <c r="D62" i="20"/>
  <c r="C62" i="20"/>
  <c r="B62" i="20"/>
  <c r="F52" i="20"/>
  <c r="E52" i="20"/>
  <c r="C52" i="20"/>
  <c r="B52" i="20"/>
  <c r="G41" i="20"/>
  <c r="F41" i="20"/>
  <c r="E41" i="20"/>
  <c r="D41" i="20"/>
  <c r="C41" i="20"/>
  <c r="G31" i="20"/>
  <c r="F31" i="20"/>
  <c r="E31" i="20"/>
  <c r="D31" i="20"/>
  <c r="C31" i="20"/>
  <c r="B31" i="20"/>
  <c r="G20" i="20"/>
  <c r="F20" i="20"/>
  <c r="E20" i="20"/>
  <c r="D20" i="20"/>
  <c r="C20" i="20"/>
  <c r="B20" i="20"/>
  <c r="G10" i="20"/>
  <c r="E10" i="20"/>
  <c r="D10" i="20"/>
  <c r="C10" i="20"/>
  <c r="B10" i="20"/>
  <c r="S16" i="1"/>
  <c r="C12" i="28"/>
  <c r="M24" i="21"/>
  <c r="U14" i="14"/>
  <c r="U47" i="14"/>
  <c r="W47" i="14"/>
  <c r="U12" i="14"/>
  <c r="U45" i="14"/>
  <c r="Q14" i="14"/>
  <c r="S14" i="14"/>
  <c r="Q12" i="14"/>
  <c r="S12" i="14"/>
  <c r="Q115" i="14"/>
  <c r="Q45" i="14"/>
  <c r="S45" i="14"/>
  <c r="Q47" i="14"/>
  <c r="S47" i="14"/>
  <c r="W45" i="14"/>
  <c r="AQ29" i="14"/>
  <c r="AP29" i="14"/>
  <c r="AR29" i="14"/>
  <c r="Q87" i="14"/>
  <c r="S87" i="14"/>
  <c r="Q95" i="14"/>
  <c r="S95" i="14"/>
  <c r="Q112" i="14"/>
  <c r="Q94" i="10"/>
  <c r="Q111" i="14"/>
  <c r="AM29" i="14"/>
  <c r="Q230" i="14"/>
  <c r="Q99" i="14"/>
  <c r="S99" i="14"/>
  <c r="AI88" i="25"/>
  <c r="AI96" i="25"/>
  <c r="E308" i="14"/>
  <c r="AI44" i="25"/>
  <c r="AI41" i="25"/>
  <c r="Q45" i="10"/>
  <c r="E301" i="14"/>
  <c r="Q101" i="14"/>
  <c r="S101" i="14"/>
  <c r="Q16" i="10"/>
  <c r="C368" i="14"/>
  <c r="C370" i="14"/>
  <c r="C376" i="14"/>
  <c r="C340" i="14"/>
  <c r="D340" i="14"/>
  <c r="D361" i="14" s="1"/>
  <c r="C342" i="14"/>
  <c r="C347" i="14"/>
  <c r="D347" i="14"/>
  <c r="E281" i="14"/>
  <c r="T281" i="14"/>
  <c r="AI21" i="25"/>
  <c r="AG47" i="25"/>
  <c r="D281" i="14"/>
  <c r="AI22" i="25"/>
  <c r="E282" i="14"/>
  <c r="T282" i="14"/>
  <c r="W262" i="14"/>
  <c r="W263" i="14"/>
  <c r="W280" i="14"/>
  <c r="U226" i="14"/>
  <c r="AP226" i="14"/>
  <c r="C110" i="14"/>
  <c r="D110" i="14"/>
  <c r="E260" i="14"/>
  <c r="U198" i="14"/>
  <c r="V172" i="14"/>
  <c r="J36" i="19"/>
  <c r="J81" i="19"/>
  <c r="J120" i="19"/>
  <c r="J198" i="19"/>
  <c r="J315" i="19"/>
  <c r="J588" i="19"/>
  <c r="V127" i="14"/>
  <c r="V124" i="14"/>
  <c r="V123" i="14"/>
  <c r="V122" i="14"/>
  <c r="V121" i="14"/>
  <c r="V120" i="14"/>
  <c r="U33" i="14"/>
  <c r="V116" i="14"/>
  <c r="V114" i="14"/>
  <c r="V113" i="14"/>
  <c r="V107" i="14"/>
  <c r="V106" i="14"/>
  <c r="E98" i="14"/>
  <c r="V119" i="14"/>
  <c r="U44" i="14"/>
  <c r="U46" i="14"/>
  <c r="U51" i="14"/>
  <c r="AP28" i="14"/>
  <c r="AP27" i="14"/>
  <c r="AP30" i="14"/>
  <c r="V39" i="14"/>
  <c r="V41" i="14"/>
  <c r="W282" i="14"/>
  <c r="W281" i="14"/>
  <c r="V98" i="14"/>
  <c r="X98" i="14"/>
  <c r="V141" i="14"/>
  <c r="V160" i="14"/>
  <c r="V102" i="14"/>
  <c r="V100" i="14"/>
  <c r="V97" i="14"/>
  <c r="V96" i="14"/>
  <c r="U95" i="14"/>
  <c r="V89" i="14"/>
  <c r="V88" i="14"/>
  <c r="E286" i="14"/>
  <c r="T286" i="14"/>
  <c r="E285" i="14"/>
  <c r="T285" i="14"/>
  <c r="W286" i="14"/>
  <c r="V87" i="14"/>
  <c r="V95" i="14"/>
  <c r="W260" i="14"/>
  <c r="W285" i="14"/>
  <c r="E274" i="14"/>
  <c r="T274" i="14"/>
  <c r="E269" i="14"/>
  <c r="T269" i="14"/>
  <c r="E270" i="14"/>
  <c r="T270" i="14"/>
  <c r="E268" i="14"/>
  <c r="T268" i="14"/>
  <c r="E266" i="14"/>
  <c r="T266" i="14"/>
  <c r="E265" i="14"/>
  <c r="T265" i="14"/>
  <c r="Q53" i="29"/>
  <c r="E263" i="14"/>
  <c r="E262" i="14"/>
  <c r="V264" i="14"/>
  <c r="V275" i="14"/>
  <c r="V267" i="14"/>
  <c r="Q267" i="14"/>
  <c r="S267" i="14"/>
  <c r="M23" i="21"/>
  <c r="G221" i="21"/>
  <c r="G341" i="21"/>
  <c r="G461" i="21"/>
  <c r="V69" i="14"/>
  <c r="V37" i="14"/>
  <c r="V79" i="14"/>
  <c r="V77" i="14"/>
  <c r="V12" i="14"/>
  <c r="V45" i="14"/>
  <c r="V75" i="14"/>
  <c r="V43" i="14"/>
  <c r="V70" i="14"/>
  <c r="V38" i="14"/>
  <c r="T73" i="14"/>
  <c r="V74" i="14"/>
  <c r="V42" i="14"/>
  <c r="V72" i="14"/>
  <c r="V40" i="14"/>
  <c r="V68" i="14"/>
  <c r="V36" i="14"/>
  <c r="V67" i="14"/>
  <c r="V35" i="14"/>
  <c r="V66" i="14"/>
  <c r="V63" i="14"/>
  <c r="V31" i="14"/>
  <c r="V30" i="14"/>
  <c r="V60" i="14"/>
  <c r="V28" i="14"/>
  <c r="V59" i="14"/>
  <c r="V27" i="14"/>
  <c r="Q271" i="14"/>
  <c r="S271" i="14"/>
  <c r="X73" i="14"/>
  <c r="W73" i="14"/>
  <c r="V26" i="14"/>
  <c r="X45" i="14"/>
  <c r="V34" i="14"/>
  <c r="V65" i="14"/>
  <c r="V33" i="14"/>
  <c r="V29" i="14"/>
  <c r="W266" i="14"/>
  <c r="W268" i="14"/>
  <c r="W265" i="14"/>
  <c r="W270" i="14"/>
  <c r="W269" i="14"/>
  <c r="W274" i="14"/>
  <c r="Q61" i="14"/>
  <c r="S61" i="14"/>
  <c r="V271" i="14"/>
  <c r="E264" i="14"/>
  <c r="T264" i="14"/>
  <c r="E267" i="14"/>
  <c r="T267" i="14"/>
  <c r="Q58" i="14"/>
  <c r="S58" i="14"/>
  <c r="P276" i="22"/>
  <c r="V25" i="14"/>
  <c r="AM58" i="14"/>
  <c r="AM59" i="14"/>
  <c r="V44" i="14"/>
  <c r="V46" i="14"/>
  <c r="V51" i="14"/>
  <c r="W267" i="14"/>
  <c r="W264" i="14"/>
  <c r="V288" i="14"/>
  <c r="V284" i="14"/>
  <c r="Q57" i="14"/>
  <c r="S57" i="14"/>
  <c r="AM57" i="14"/>
  <c r="Q76" i="14"/>
  <c r="S76" i="14"/>
  <c r="V56" i="14"/>
  <c r="V21" i="14"/>
  <c r="V55" i="14"/>
  <c r="V20" i="14"/>
  <c r="Q78" i="14"/>
  <c r="S78" i="14"/>
  <c r="P484" i="19"/>
  <c r="E171" i="14" s="1"/>
  <c r="M315" i="19"/>
  <c r="M276" i="19"/>
  <c r="Q411" i="14" s="1"/>
  <c r="M237" i="19"/>
  <c r="Q382" i="14" s="1"/>
  <c r="M198" i="19"/>
  <c r="M159" i="19"/>
  <c r="P71" i="27" s="1"/>
  <c r="M120" i="19"/>
  <c r="M81" i="19"/>
  <c r="M588" i="19"/>
  <c r="M549" i="19"/>
  <c r="M510" i="19"/>
  <c r="T184" i="14" s="1"/>
  <c r="W186" i="14" s="1"/>
  <c r="Q84" i="14"/>
  <c r="S84" i="14"/>
  <c r="P258" i="19"/>
  <c r="E419" i="14" s="1"/>
  <c r="Q258" i="19"/>
  <c r="F419" i="14" s="1"/>
  <c r="R258" i="19"/>
  <c r="G419" i="14" s="1"/>
  <c r="S258" i="19"/>
  <c r="H419" i="14" s="1"/>
  <c r="T258" i="19"/>
  <c r="I419" i="14" s="1"/>
  <c r="P297" i="19"/>
  <c r="E448" i="14" s="1"/>
  <c r="R297" i="19"/>
  <c r="G448" i="14" s="1"/>
  <c r="G426" i="14"/>
  <c r="S297" i="19"/>
  <c r="H448" i="14" s="1"/>
  <c r="H426" i="14"/>
  <c r="T297" i="19"/>
  <c r="D56" i="24" s="1"/>
  <c r="I426" i="14"/>
  <c r="AH101" i="25"/>
  <c r="AH103" i="25"/>
  <c r="AH107" i="25"/>
  <c r="AH105" i="25"/>
  <c r="AH106" i="25"/>
  <c r="AH108" i="25"/>
  <c r="AH104" i="25"/>
  <c r="E426" i="14"/>
  <c r="Q295" i="19"/>
  <c r="F429" i="14" s="1"/>
  <c r="R295" i="19"/>
  <c r="G429" i="14" s="1"/>
  <c r="S295" i="19"/>
  <c r="H429" i="14" s="1"/>
  <c r="T295" i="19"/>
  <c r="I429" i="14" s="1"/>
  <c r="P295" i="19"/>
  <c r="E429" i="14" s="1"/>
  <c r="AL35" i="30"/>
  <c r="AL34" i="30"/>
  <c r="AL33" i="30"/>
  <c r="CM31" i="30"/>
  <c r="CK31" i="30"/>
  <c r="CI31" i="30"/>
  <c r="CH31" i="30"/>
  <c r="CG31" i="30"/>
  <c r="CF31" i="30"/>
  <c r="CE31" i="30"/>
  <c r="CC31" i="30"/>
  <c r="CA31" i="30"/>
  <c r="BZ31" i="30"/>
  <c r="BY31" i="30"/>
  <c r="BX31" i="30"/>
  <c r="BW31" i="30"/>
  <c r="BU31" i="30"/>
  <c r="BS31" i="30"/>
  <c r="BQ31" i="30"/>
  <c r="BP31" i="30"/>
  <c r="BO31" i="30"/>
  <c r="BM31" i="30"/>
  <c r="BK31" i="30"/>
  <c r="BJ31" i="30"/>
  <c r="BI31" i="30"/>
  <c r="BH31" i="30"/>
  <c r="BG31" i="30"/>
  <c r="BE31" i="30"/>
  <c r="BC31" i="30"/>
  <c r="BA31" i="30"/>
  <c r="AZ31" i="30"/>
  <c r="AY31" i="30"/>
  <c r="AW31" i="30"/>
  <c r="AU31" i="30"/>
  <c r="AS31" i="30"/>
  <c r="AR31" i="30"/>
  <c r="AQ31" i="30"/>
  <c r="AO31" i="30"/>
  <c r="AL32" i="30"/>
  <c r="CX31" i="30"/>
  <c r="CW31" i="30"/>
  <c r="CV31" i="30"/>
  <c r="CU31" i="30"/>
  <c r="CT31" i="30"/>
  <c r="CS31" i="30"/>
  <c r="CR31" i="30"/>
  <c r="CQ31" i="30"/>
  <c r="CP31" i="30"/>
  <c r="CO31" i="30"/>
  <c r="CL31" i="30"/>
  <c r="CJ31" i="30"/>
  <c r="CD31" i="30"/>
  <c r="CB31" i="30"/>
  <c r="BV31" i="30"/>
  <c r="BT31" i="30"/>
  <c r="BR31" i="30"/>
  <c r="BN31" i="30"/>
  <c r="BL31" i="30"/>
  <c r="BF31" i="30"/>
  <c r="BD31" i="30"/>
  <c r="BB31" i="30"/>
  <c r="AX31" i="30"/>
  <c r="AV31" i="30"/>
  <c r="AT31" i="30"/>
  <c r="AP31" i="30"/>
  <c r="AN31" i="30"/>
  <c r="AM31" i="30"/>
  <c r="AK31" i="30"/>
  <c r="AJ31" i="30"/>
  <c r="AI31" i="30"/>
  <c r="AH31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AL30" i="30"/>
  <c r="AL26" i="30"/>
  <c r="AJ26" i="30"/>
  <c r="AJ25" i="30"/>
  <c r="AN25" i="30"/>
  <c r="AM25" i="30"/>
  <c r="AL25" i="30"/>
  <c r="AK25" i="30"/>
  <c r="AI25" i="30"/>
  <c r="AH25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AS22" i="30"/>
  <c r="AT22" i="30"/>
  <c r="AU22" i="30"/>
  <c r="AV22" i="30"/>
  <c r="AW22" i="30"/>
  <c r="AX22" i="30"/>
  <c r="AY22" i="30"/>
  <c r="AZ22" i="30"/>
  <c r="BA22" i="30"/>
  <c r="BB22" i="30"/>
  <c r="BC22" i="30"/>
  <c r="BD22" i="30"/>
  <c r="BE22" i="30"/>
  <c r="BF22" i="30"/>
  <c r="BG22" i="30"/>
  <c r="BH22" i="30"/>
  <c r="BI22" i="30"/>
  <c r="BJ22" i="30"/>
  <c r="BK22" i="30"/>
  <c r="BL22" i="30"/>
  <c r="BM22" i="30"/>
  <c r="BN22" i="30"/>
  <c r="BO22" i="30"/>
  <c r="BP22" i="30"/>
  <c r="BQ22" i="30"/>
  <c r="BR22" i="30"/>
  <c r="BS22" i="30"/>
  <c r="BT22" i="30"/>
  <c r="BU22" i="30"/>
  <c r="BV22" i="30"/>
  <c r="BW22" i="30"/>
  <c r="BX22" i="30"/>
  <c r="BY22" i="30"/>
  <c r="BZ22" i="30"/>
  <c r="CA22" i="30"/>
  <c r="CB22" i="30"/>
  <c r="CC22" i="30"/>
  <c r="CD22" i="30"/>
  <c r="CE22" i="30"/>
  <c r="CF22" i="30"/>
  <c r="CG22" i="30"/>
  <c r="CH22" i="30"/>
  <c r="CI22" i="30"/>
  <c r="CJ22" i="30"/>
  <c r="CK22" i="30"/>
  <c r="CL22" i="30"/>
  <c r="CM22" i="30"/>
  <c r="CN22" i="30"/>
  <c r="CO22" i="30"/>
  <c r="CP22" i="30"/>
  <c r="CQ22" i="30"/>
  <c r="CR22" i="30"/>
  <c r="CS22" i="30"/>
  <c r="CT22" i="30"/>
  <c r="CU22" i="30"/>
  <c r="CV22" i="30"/>
  <c r="CW22" i="30"/>
  <c r="CX22" i="30"/>
  <c r="AQ22" i="30"/>
  <c r="AR22" i="30"/>
  <c r="AP22" i="30"/>
  <c r="AL22" i="30"/>
  <c r="CS21" i="30"/>
  <c r="CT21" i="30"/>
  <c r="CU21" i="30"/>
  <c r="CV21" i="30"/>
  <c r="CW21" i="30"/>
  <c r="CX21" i="30"/>
  <c r="CQ21" i="30"/>
  <c r="CR21" i="30"/>
  <c r="CP21" i="30"/>
  <c r="CO21" i="30"/>
  <c r="CN21" i="30"/>
  <c r="CH21" i="30"/>
  <c r="CI21" i="30"/>
  <c r="CJ21" i="30"/>
  <c r="CK21" i="30"/>
  <c r="CL21" i="30"/>
  <c r="CD21" i="30"/>
  <c r="CE21" i="30"/>
  <c r="CF21" i="30"/>
  <c r="CG21" i="30"/>
  <c r="CC21" i="30"/>
  <c r="CB21" i="30"/>
  <c r="AW21" i="30"/>
  <c r="AX21" i="30"/>
  <c r="AY21" i="30"/>
  <c r="AS21" i="30"/>
  <c r="AT21" i="30"/>
  <c r="AU21" i="30"/>
  <c r="AV21" i="30"/>
  <c r="AR21" i="30"/>
  <c r="AQ21" i="30"/>
  <c r="AL21" i="30"/>
  <c r="AR20" i="30"/>
  <c r="AS20" i="30"/>
  <c r="AT20" i="30"/>
  <c r="AU20" i="30"/>
  <c r="AV20" i="30"/>
  <c r="AW20" i="30"/>
  <c r="AX20" i="30"/>
  <c r="AY20" i="30"/>
  <c r="AZ20" i="30"/>
  <c r="BA20" i="30"/>
  <c r="BB20" i="30"/>
  <c r="AQ20" i="30"/>
  <c r="AP20" i="30"/>
  <c r="AL20" i="30"/>
  <c r="AV19" i="30"/>
  <c r="AW19" i="30"/>
  <c r="AX19" i="30"/>
  <c r="AY19" i="30"/>
  <c r="AZ19" i="30"/>
  <c r="BA19" i="30"/>
  <c r="BB19" i="30"/>
  <c r="BC19" i="30"/>
  <c r="BD19" i="30"/>
  <c r="BE19" i="30"/>
  <c r="BF19" i="30"/>
  <c r="BG19" i="30"/>
  <c r="BH19" i="30"/>
  <c r="BI19" i="30"/>
  <c r="BJ19" i="30"/>
  <c r="BK19" i="30"/>
  <c r="BL19" i="30"/>
  <c r="BM19" i="30"/>
  <c r="BN19" i="30"/>
  <c r="BO19" i="30"/>
  <c r="BP19" i="30"/>
  <c r="BQ19" i="30"/>
  <c r="BR19" i="30"/>
  <c r="BS19" i="30"/>
  <c r="BT19" i="30"/>
  <c r="BU19" i="30"/>
  <c r="BV19" i="30"/>
  <c r="BW19" i="30"/>
  <c r="BX19" i="30"/>
  <c r="BY19" i="30"/>
  <c r="BZ19" i="30"/>
  <c r="CA19" i="30"/>
  <c r="CB19" i="30"/>
  <c r="CC19" i="30"/>
  <c r="CD19" i="30"/>
  <c r="CE19" i="30"/>
  <c r="CF19" i="30"/>
  <c r="CG19" i="30"/>
  <c r="CH19" i="30"/>
  <c r="CI19" i="30"/>
  <c r="CJ19" i="30"/>
  <c r="CK19" i="30"/>
  <c r="CL19" i="30"/>
  <c r="CM19" i="30"/>
  <c r="CN19" i="30"/>
  <c r="CO19" i="30"/>
  <c r="CP19" i="30"/>
  <c r="CQ19" i="30"/>
  <c r="CR19" i="30"/>
  <c r="CS19" i="30"/>
  <c r="CT19" i="30"/>
  <c r="CU19" i="30"/>
  <c r="CV19" i="30"/>
  <c r="CW19" i="30"/>
  <c r="CX19" i="30"/>
  <c r="AR19" i="30"/>
  <c r="AS19" i="30"/>
  <c r="AT19" i="30"/>
  <c r="AU19" i="30"/>
  <c r="AO19" i="30"/>
  <c r="AP19" i="30"/>
  <c r="AL19" i="30"/>
  <c r="AN18" i="30"/>
  <c r="AL18" i="30"/>
  <c r="AM17" i="30"/>
  <c r="AL17" i="30"/>
  <c r="AK17" i="30"/>
  <c r="AJ17" i="30"/>
  <c r="AI17" i="30"/>
  <c r="AH17" i="30"/>
  <c r="AG17" i="30"/>
  <c r="AG10" i="30"/>
  <c r="AF17" i="30"/>
  <c r="AE17" i="30"/>
  <c r="AD17" i="30"/>
  <c r="AC17" i="30"/>
  <c r="AB17" i="30"/>
  <c r="AA17" i="30"/>
  <c r="Z17" i="30"/>
  <c r="Y17" i="30"/>
  <c r="Y10" i="30"/>
  <c r="X17" i="30"/>
  <c r="W17" i="30"/>
  <c r="V17" i="30"/>
  <c r="U17" i="30"/>
  <c r="T17" i="30"/>
  <c r="S17" i="30"/>
  <c r="R17" i="30"/>
  <c r="Q17" i="30"/>
  <c r="Q10" i="30"/>
  <c r="P17" i="30"/>
  <c r="O17" i="30"/>
  <c r="N17" i="30"/>
  <c r="M17" i="30"/>
  <c r="L17" i="30"/>
  <c r="K17" i="30"/>
  <c r="J17" i="30"/>
  <c r="I17" i="30"/>
  <c r="I10" i="30"/>
  <c r="H17" i="30"/>
  <c r="G17" i="30"/>
  <c r="AO14" i="30"/>
  <c r="AP14" i="30"/>
  <c r="AQ14" i="30"/>
  <c r="AR14" i="30"/>
  <c r="AS14" i="30"/>
  <c r="AT14" i="30"/>
  <c r="AU14" i="30"/>
  <c r="AV14" i="30"/>
  <c r="AW14" i="30"/>
  <c r="AX14" i="30"/>
  <c r="AY14" i="30"/>
  <c r="AZ14" i="30"/>
  <c r="BA14" i="30"/>
  <c r="BB14" i="30"/>
  <c r="BC14" i="30"/>
  <c r="BD14" i="30"/>
  <c r="BE14" i="30"/>
  <c r="BF14" i="30"/>
  <c r="BG14" i="30"/>
  <c r="BH14" i="30"/>
  <c r="BI14" i="30"/>
  <c r="BJ14" i="30"/>
  <c r="BK14" i="30"/>
  <c r="BL14" i="30"/>
  <c r="BM14" i="30"/>
  <c r="BN14" i="30"/>
  <c r="BO14" i="30"/>
  <c r="BP14" i="30"/>
  <c r="BQ14" i="30"/>
  <c r="BR14" i="30"/>
  <c r="BS14" i="30"/>
  <c r="BT14" i="30"/>
  <c r="BU14" i="30"/>
  <c r="BV14" i="30"/>
  <c r="BW14" i="30"/>
  <c r="BX14" i="30"/>
  <c r="BY14" i="30"/>
  <c r="BZ14" i="30"/>
  <c r="CA14" i="30"/>
  <c r="CB14" i="30"/>
  <c r="CC14" i="30"/>
  <c r="CD14" i="30"/>
  <c r="CE14" i="30"/>
  <c r="CF14" i="30"/>
  <c r="CG14" i="30"/>
  <c r="CH14" i="30"/>
  <c r="CI14" i="30"/>
  <c r="CJ14" i="30"/>
  <c r="CK14" i="30"/>
  <c r="CL14" i="30"/>
  <c r="CM14" i="30"/>
  <c r="CN14" i="30"/>
  <c r="CO14" i="30"/>
  <c r="CP14" i="30"/>
  <c r="CQ14" i="30"/>
  <c r="CR14" i="30"/>
  <c r="CS14" i="30"/>
  <c r="CT14" i="30"/>
  <c r="CU14" i="30"/>
  <c r="CV14" i="30"/>
  <c r="CW14" i="30"/>
  <c r="CX14" i="30"/>
  <c r="AF14" i="30"/>
  <c r="AE14" i="30"/>
  <c r="AF13" i="30"/>
  <c r="AE13" i="30"/>
  <c r="AF12" i="30"/>
  <c r="AE12" i="30"/>
  <c r="AE11" i="30"/>
  <c r="AN11" i="30"/>
  <c r="AM11" i="30"/>
  <c r="AL11" i="30"/>
  <c r="AK11" i="30"/>
  <c r="AJ11" i="30"/>
  <c r="AI11" i="30"/>
  <c r="AH11" i="30"/>
  <c r="AG11" i="30"/>
  <c r="AF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AM10" i="30"/>
  <c r="AL10" i="30"/>
  <c r="AK10" i="30"/>
  <c r="AJ10" i="30"/>
  <c r="AI10" i="30"/>
  <c r="AH10" i="30"/>
  <c r="AF10" i="30"/>
  <c r="AD10" i="30"/>
  <c r="AC10" i="30"/>
  <c r="AB10" i="30"/>
  <c r="AA10" i="30"/>
  <c r="Z10" i="30"/>
  <c r="X10" i="30"/>
  <c r="W10" i="30"/>
  <c r="V10" i="30"/>
  <c r="U10" i="30"/>
  <c r="T10" i="30"/>
  <c r="S10" i="30"/>
  <c r="R10" i="30"/>
  <c r="P10" i="30"/>
  <c r="O10" i="30"/>
  <c r="N10" i="30"/>
  <c r="M10" i="30"/>
  <c r="L10" i="30"/>
  <c r="K10" i="30"/>
  <c r="J10" i="30"/>
  <c r="H10" i="30"/>
  <c r="G10" i="30"/>
  <c r="AM9" i="30"/>
  <c r="AL9" i="30"/>
  <c r="AK9" i="30"/>
  <c r="AJ9" i="30"/>
  <c r="AI9" i="30"/>
  <c r="AH9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AN8" i="30"/>
  <c r="AM8" i="30"/>
  <c r="AL8" i="30"/>
  <c r="AK8" i="30"/>
  <c r="AJ8" i="30"/>
  <c r="AI8" i="30"/>
  <c r="AH8" i="30"/>
  <c r="AG8" i="30"/>
  <c r="AF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AM4" i="30"/>
  <c r="AN4" i="30"/>
  <c r="R4" i="30"/>
  <c r="Q4" i="30"/>
  <c r="P4" i="30"/>
  <c r="O4" i="30"/>
  <c r="N4" i="30"/>
  <c r="M4" i="30"/>
  <c r="L4" i="30"/>
  <c r="K4" i="30"/>
  <c r="J4" i="30"/>
  <c r="I4" i="30"/>
  <c r="H4" i="30"/>
  <c r="G4" i="30"/>
  <c r="AO5" i="30"/>
  <c r="AF45" i="29"/>
  <c r="AG45" i="29"/>
  <c r="AH45" i="29"/>
  <c r="AI45" i="29"/>
  <c r="AJ45" i="29"/>
  <c r="AK45" i="29"/>
  <c r="AL45" i="29"/>
  <c r="AM45" i="29"/>
  <c r="AN45" i="29"/>
  <c r="AP59" i="29"/>
  <c r="AP60" i="29"/>
  <c r="AQ60" i="29"/>
  <c r="AF62" i="29"/>
  <c r="AG62" i="29"/>
  <c r="AH62" i="29"/>
  <c r="AI62" i="29"/>
  <c r="AJ62" i="29"/>
  <c r="AK62" i="29"/>
  <c r="AL62" i="29"/>
  <c r="AM62" i="29"/>
  <c r="AN62" i="29"/>
  <c r="AO62" i="29"/>
  <c r="AF69" i="29"/>
  <c r="AG69" i="29"/>
  <c r="AH69" i="29"/>
  <c r="AI69" i="29"/>
  <c r="AJ69" i="29"/>
  <c r="AK69" i="29"/>
  <c r="AL69" i="29"/>
  <c r="AM69" i="29"/>
  <c r="AN69" i="29"/>
  <c r="AF73" i="29"/>
  <c r="AF66" i="29"/>
  <c r="AG73" i="29"/>
  <c r="AH73" i="29"/>
  <c r="AI73" i="29"/>
  <c r="AI66" i="29"/>
  <c r="AJ73" i="29"/>
  <c r="AJ66" i="29"/>
  <c r="AK73" i="29"/>
  <c r="AK66" i="29"/>
  <c r="AL73" i="29"/>
  <c r="AL66" i="29"/>
  <c r="AN73" i="29"/>
  <c r="AN66" i="29"/>
  <c r="AM79" i="29"/>
  <c r="AM80" i="29"/>
  <c r="AP80" i="29"/>
  <c r="AQ80" i="29"/>
  <c r="AM81" i="29"/>
  <c r="AF83" i="29"/>
  <c r="AF67" i="29"/>
  <c r="AG83" i="29"/>
  <c r="AG67" i="29"/>
  <c r="AH83" i="29"/>
  <c r="AH67" i="29"/>
  <c r="AI83" i="29"/>
  <c r="AI67" i="29"/>
  <c r="AJ83" i="29"/>
  <c r="AJ67" i="29"/>
  <c r="AK83" i="29"/>
  <c r="AK67" i="29"/>
  <c r="AL83" i="29"/>
  <c r="AL67" i="29"/>
  <c r="AN83" i="29"/>
  <c r="AN67" i="29"/>
  <c r="AM86" i="29"/>
  <c r="AF89" i="29"/>
  <c r="AG89" i="29"/>
  <c r="AH89" i="29"/>
  <c r="AI89" i="29"/>
  <c r="AJ89" i="29"/>
  <c r="AF105" i="29"/>
  <c r="AG105" i="29"/>
  <c r="AH105" i="29"/>
  <c r="AI105" i="29"/>
  <c r="AJ105" i="29"/>
  <c r="AK105" i="29"/>
  <c r="AL105" i="29"/>
  <c r="AM105" i="29"/>
  <c r="AF106" i="29"/>
  <c r="AG106" i="29"/>
  <c r="AH106" i="29"/>
  <c r="AI106" i="29"/>
  <c r="AJ106" i="29"/>
  <c r="AK106" i="29"/>
  <c r="AL106" i="29"/>
  <c r="AM106" i="29"/>
  <c r="AF107" i="29"/>
  <c r="AG107" i="29"/>
  <c r="AF108" i="29"/>
  <c r="AF112" i="29"/>
  <c r="AF3" i="29"/>
  <c r="AG112" i="29"/>
  <c r="AG3" i="29"/>
  <c r="AH112" i="29"/>
  <c r="AH3" i="29"/>
  <c r="AH54" i="29"/>
  <c r="AI112" i="29"/>
  <c r="AI3" i="29"/>
  <c r="AJ112" i="29"/>
  <c r="AJ3" i="29"/>
  <c r="AK112" i="29"/>
  <c r="AK3" i="29"/>
  <c r="AL112" i="29"/>
  <c r="AL3" i="29"/>
  <c r="AM112" i="29"/>
  <c r="AM3" i="29"/>
  <c r="AN112" i="29"/>
  <c r="AN3" i="29"/>
  <c r="AO112" i="29"/>
  <c r="AO3" i="29"/>
  <c r="AQ112" i="29"/>
  <c r="AQ3" i="29"/>
  <c r="AF113" i="29"/>
  <c r="AF4" i="29"/>
  <c r="AG113" i="29"/>
  <c r="AG4" i="29"/>
  <c r="AH113" i="29"/>
  <c r="AH4" i="29"/>
  <c r="AI113" i="29"/>
  <c r="AI4" i="29"/>
  <c r="AJ113" i="29"/>
  <c r="AJ4" i="29"/>
  <c r="AK113" i="29"/>
  <c r="AK4" i="29"/>
  <c r="AL113" i="29"/>
  <c r="AL4" i="29"/>
  <c r="AM113" i="29"/>
  <c r="AM4" i="29"/>
  <c r="AN113" i="29"/>
  <c r="AN4" i="29"/>
  <c r="AO113" i="29"/>
  <c r="AO4" i="29"/>
  <c r="AF114" i="29"/>
  <c r="AF5" i="29"/>
  <c r="AG114" i="29"/>
  <c r="AG5" i="29"/>
  <c r="AH114" i="29"/>
  <c r="AH5" i="29"/>
  <c r="AI114" i="29"/>
  <c r="AI5" i="29"/>
  <c r="AJ114" i="29"/>
  <c r="AJ5" i="29"/>
  <c r="AK114" i="29"/>
  <c r="AK5" i="29"/>
  <c r="AK6" i="29"/>
  <c r="AL114" i="29"/>
  <c r="AM114" i="29"/>
  <c r="AN114" i="29"/>
  <c r="AN5" i="29"/>
  <c r="AO114" i="29"/>
  <c r="AO5" i="29"/>
  <c r="AF116" i="29"/>
  <c r="AF7" i="29"/>
  <c r="AG116" i="29"/>
  <c r="AG7" i="29"/>
  <c r="AH116" i="29"/>
  <c r="AH7" i="29"/>
  <c r="AI116" i="29"/>
  <c r="AI7" i="29"/>
  <c r="AJ116" i="29"/>
  <c r="AJ7" i="29"/>
  <c r="AK116" i="29"/>
  <c r="AK7" i="29"/>
  <c r="AL116" i="29"/>
  <c r="AL7" i="29"/>
  <c r="AM116" i="29"/>
  <c r="AM7" i="29"/>
  <c r="AN116" i="29"/>
  <c r="AN7" i="29"/>
  <c r="AO116" i="29"/>
  <c r="AO7" i="29"/>
  <c r="AF117" i="29"/>
  <c r="AF8" i="29"/>
  <c r="AG117" i="29"/>
  <c r="AG8" i="29"/>
  <c r="AH117" i="29"/>
  <c r="AH8" i="29"/>
  <c r="AI117" i="29"/>
  <c r="AI8" i="29"/>
  <c r="AJ117" i="29"/>
  <c r="AJ8" i="29"/>
  <c r="AK117" i="29"/>
  <c r="AK8" i="29"/>
  <c r="AL117" i="29"/>
  <c r="AL8" i="29"/>
  <c r="AM117" i="29"/>
  <c r="AM8" i="29"/>
  <c r="AN117" i="29"/>
  <c r="AN8" i="29"/>
  <c r="AO117" i="29"/>
  <c r="AO8" i="29"/>
  <c r="AF118" i="29"/>
  <c r="AF9" i="29"/>
  <c r="AG118" i="29"/>
  <c r="AG9" i="29"/>
  <c r="AH118" i="29"/>
  <c r="AH9" i="29"/>
  <c r="AI118" i="29"/>
  <c r="AI9" i="29"/>
  <c r="AJ118" i="29"/>
  <c r="AJ9" i="29"/>
  <c r="AK118" i="29"/>
  <c r="AK9" i="29"/>
  <c r="AL118" i="29"/>
  <c r="AL9" i="29"/>
  <c r="AM118" i="29"/>
  <c r="AM9" i="29"/>
  <c r="AN118" i="29"/>
  <c r="AN9" i="29"/>
  <c r="AO118" i="29"/>
  <c r="AO9" i="29"/>
  <c r="AF123" i="29"/>
  <c r="AF14" i="29"/>
  <c r="AG123" i="29"/>
  <c r="AG14" i="29"/>
  <c r="AH123" i="29"/>
  <c r="AI123" i="29"/>
  <c r="AJ123" i="29"/>
  <c r="AJ14" i="29"/>
  <c r="AK123" i="29"/>
  <c r="AK14" i="29"/>
  <c r="AL123" i="29"/>
  <c r="AL14" i="29"/>
  <c r="AM123" i="29"/>
  <c r="AM14" i="29"/>
  <c r="AN123" i="29"/>
  <c r="AN14" i="29"/>
  <c r="AF124" i="29"/>
  <c r="AF15" i="29"/>
  <c r="AG124" i="29"/>
  <c r="AG15" i="29"/>
  <c r="AH124" i="29"/>
  <c r="AH15" i="29"/>
  <c r="AI124" i="29"/>
  <c r="AI15" i="29"/>
  <c r="AJ124" i="29"/>
  <c r="AJ15" i="29"/>
  <c r="AK124" i="29"/>
  <c r="AK15" i="29"/>
  <c r="AL124" i="29"/>
  <c r="AL15" i="29"/>
  <c r="AM124" i="29"/>
  <c r="AM15" i="29"/>
  <c r="AN124" i="29"/>
  <c r="AN15" i="29"/>
  <c r="AO124" i="29"/>
  <c r="AO15" i="29"/>
  <c r="AF127" i="29"/>
  <c r="AG127" i="29"/>
  <c r="AG18" i="29"/>
  <c r="AH127" i="29"/>
  <c r="AI127" i="29"/>
  <c r="AJ127" i="29"/>
  <c r="AJ18" i="29"/>
  <c r="AK127" i="29"/>
  <c r="AK18" i="29"/>
  <c r="AL127" i="29"/>
  <c r="AL18" i="29"/>
  <c r="AM127" i="29"/>
  <c r="AM18" i="29"/>
  <c r="AN127" i="29"/>
  <c r="AO127" i="29"/>
  <c r="AO18" i="29"/>
  <c r="AF128" i="29"/>
  <c r="AF19" i="29"/>
  <c r="AG128" i="29"/>
  <c r="AG19" i="29"/>
  <c r="AH128" i="29"/>
  <c r="AH19" i="29"/>
  <c r="AI128" i="29"/>
  <c r="AI19" i="29"/>
  <c r="AJ128" i="29"/>
  <c r="AJ19" i="29"/>
  <c r="AK128" i="29"/>
  <c r="AK19" i="29"/>
  <c r="AL128" i="29"/>
  <c r="AL19" i="29"/>
  <c r="AM128" i="29"/>
  <c r="AM19" i="29"/>
  <c r="AN128" i="29"/>
  <c r="AN19" i="29"/>
  <c r="AO128" i="29"/>
  <c r="AO19" i="29"/>
  <c r="AF129" i="29"/>
  <c r="AF20" i="29"/>
  <c r="AG129" i="29"/>
  <c r="AG20" i="29"/>
  <c r="AH129" i="29"/>
  <c r="AH20" i="29"/>
  <c r="AI129" i="29"/>
  <c r="AI20" i="29"/>
  <c r="AJ129" i="29"/>
  <c r="AJ20" i="29"/>
  <c r="AK129" i="29"/>
  <c r="AK20" i="29"/>
  <c r="AL129" i="29"/>
  <c r="AL20" i="29"/>
  <c r="AM129" i="29"/>
  <c r="AM20" i="29"/>
  <c r="AN129" i="29"/>
  <c r="AN20" i="29"/>
  <c r="AO129" i="29"/>
  <c r="AO20" i="29"/>
  <c r="AF130" i="29"/>
  <c r="AF21" i="29"/>
  <c r="AG130" i="29"/>
  <c r="AG21" i="29"/>
  <c r="AH130" i="29"/>
  <c r="AH21" i="29"/>
  <c r="AI130" i="29"/>
  <c r="AI21" i="29"/>
  <c r="AJ130" i="29"/>
  <c r="AJ21" i="29"/>
  <c r="AK130" i="29"/>
  <c r="AK21" i="29"/>
  <c r="AL130" i="29"/>
  <c r="AL21" i="29"/>
  <c r="AM130" i="29"/>
  <c r="AM21" i="29"/>
  <c r="AN130" i="29"/>
  <c r="AN21" i="29"/>
  <c r="AO130" i="29"/>
  <c r="AO21" i="29"/>
  <c r="AF131" i="29"/>
  <c r="AF22" i="29"/>
  <c r="AG131" i="29"/>
  <c r="AG22" i="29"/>
  <c r="AH131" i="29"/>
  <c r="AH22" i="29"/>
  <c r="AI131" i="29"/>
  <c r="AI22" i="29"/>
  <c r="AJ131" i="29"/>
  <c r="AJ22" i="29"/>
  <c r="AK131" i="29"/>
  <c r="AK22" i="29"/>
  <c r="AL131" i="29"/>
  <c r="AL22" i="29"/>
  <c r="AM131" i="29"/>
  <c r="AM22" i="29"/>
  <c r="AN131" i="29"/>
  <c r="AN22" i="29"/>
  <c r="AO131" i="29"/>
  <c r="AO22" i="29"/>
  <c r="AF132" i="29"/>
  <c r="AF23" i="29"/>
  <c r="AG132" i="29"/>
  <c r="AG23" i="29"/>
  <c r="AH132" i="29"/>
  <c r="AH23" i="29"/>
  <c r="AI132" i="29"/>
  <c r="AI23" i="29"/>
  <c r="AJ132" i="29"/>
  <c r="AJ23" i="29"/>
  <c r="AK132" i="29"/>
  <c r="AK23" i="29"/>
  <c r="AL132" i="29"/>
  <c r="AL23" i="29"/>
  <c r="AM132" i="29"/>
  <c r="AN132" i="29"/>
  <c r="AN23" i="29"/>
  <c r="AO132" i="29"/>
  <c r="AO23" i="29"/>
  <c r="AP132" i="29"/>
  <c r="AP23" i="29"/>
  <c r="AQ132" i="29"/>
  <c r="AQ23" i="29"/>
  <c r="AF133" i="29"/>
  <c r="AF24" i="29"/>
  <c r="AG133" i="29"/>
  <c r="AG24" i="29"/>
  <c r="AH133" i="29"/>
  <c r="AH24" i="29"/>
  <c r="AI133" i="29"/>
  <c r="AI24" i="29"/>
  <c r="AJ133" i="29"/>
  <c r="AJ24" i="29"/>
  <c r="AK133" i="29"/>
  <c r="AK24" i="29"/>
  <c r="AL133" i="29"/>
  <c r="AL24" i="29"/>
  <c r="AM133" i="29"/>
  <c r="AN133" i="29"/>
  <c r="AN24" i="29"/>
  <c r="AO133" i="29"/>
  <c r="AO24" i="29"/>
  <c r="AP133" i="29"/>
  <c r="AQ133" i="29"/>
  <c r="AF134" i="29"/>
  <c r="AF25" i="29"/>
  <c r="AG134" i="29"/>
  <c r="AG25" i="29"/>
  <c r="AH134" i="29"/>
  <c r="AH25" i="29"/>
  <c r="AI134" i="29"/>
  <c r="AI25" i="29"/>
  <c r="AJ134" i="29"/>
  <c r="AJ25" i="29"/>
  <c r="AK134" i="29"/>
  <c r="AK25" i="29"/>
  <c r="AL134" i="29"/>
  <c r="AL25" i="29"/>
  <c r="AM134" i="29"/>
  <c r="AN134" i="29"/>
  <c r="AN25" i="29"/>
  <c r="AF135" i="29"/>
  <c r="AF26" i="29"/>
  <c r="AG135" i="29"/>
  <c r="AG26" i="29"/>
  <c r="AH135" i="29"/>
  <c r="AH26" i="29"/>
  <c r="AI135" i="29"/>
  <c r="AI26" i="29"/>
  <c r="AJ135" i="29"/>
  <c r="AJ26" i="29"/>
  <c r="AK135" i="29"/>
  <c r="AK26" i="29"/>
  <c r="AL135" i="29"/>
  <c r="AL26" i="29"/>
  <c r="AM135" i="29"/>
  <c r="AM26" i="29"/>
  <c r="AN135" i="29"/>
  <c r="AN26" i="29"/>
  <c r="AO135" i="29"/>
  <c r="AO26" i="29"/>
  <c r="AP135" i="29"/>
  <c r="AP26" i="29"/>
  <c r="AQ135" i="29"/>
  <c r="AQ26" i="29"/>
  <c r="AF137" i="29"/>
  <c r="AG137" i="29"/>
  <c r="AG28" i="29"/>
  <c r="AH137" i="29"/>
  <c r="AH28" i="29"/>
  <c r="AI137" i="29"/>
  <c r="AJ137" i="29"/>
  <c r="AJ28" i="29"/>
  <c r="AK137" i="29"/>
  <c r="AK28" i="29"/>
  <c r="AL137" i="29"/>
  <c r="AL28" i="29"/>
  <c r="AM137" i="29"/>
  <c r="AM28" i="29"/>
  <c r="AN137" i="29"/>
  <c r="AN28" i="29"/>
  <c r="AO137" i="29"/>
  <c r="AF138" i="29"/>
  <c r="AF29" i="29"/>
  <c r="AG138" i="29"/>
  <c r="AG29" i="29"/>
  <c r="AH138" i="29"/>
  <c r="AH29" i="29"/>
  <c r="AI138" i="29"/>
  <c r="AI29" i="29"/>
  <c r="AJ138" i="29"/>
  <c r="AJ29" i="29"/>
  <c r="AK138" i="29"/>
  <c r="AK29" i="29"/>
  <c r="AL138" i="29"/>
  <c r="AL29" i="29"/>
  <c r="AM138" i="29"/>
  <c r="AM29" i="29"/>
  <c r="AN138" i="29"/>
  <c r="AN29" i="29"/>
  <c r="AO138" i="29"/>
  <c r="AF139" i="29"/>
  <c r="AF30" i="29"/>
  <c r="AG139" i="29"/>
  <c r="AG30" i="29"/>
  <c r="AH139" i="29"/>
  <c r="AH30" i="29"/>
  <c r="AI139" i="29"/>
  <c r="AI30" i="29"/>
  <c r="AJ139" i="29"/>
  <c r="AJ30" i="29"/>
  <c r="AK139" i="29"/>
  <c r="AK30" i="29"/>
  <c r="AL139" i="29"/>
  <c r="AL30" i="29"/>
  <c r="AM139" i="29"/>
  <c r="AN139" i="29"/>
  <c r="AN30" i="29"/>
  <c r="AO139" i="29"/>
  <c r="AF140" i="29"/>
  <c r="AF31" i="29"/>
  <c r="AG140" i="29"/>
  <c r="AG31" i="29"/>
  <c r="AH140" i="29"/>
  <c r="AH31" i="29"/>
  <c r="AI140" i="29"/>
  <c r="AI31" i="29"/>
  <c r="AJ140" i="29"/>
  <c r="AJ31" i="29"/>
  <c r="AK140" i="29"/>
  <c r="AK31" i="29"/>
  <c r="AL140" i="29"/>
  <c r="AL31" i="29"/>
  <c r="AM140" i="29"/>
  <c r="AM31" i="29"/>
  <c r="AN140" i="29"/>
  <c r="AN31" i="29"/>
  <c r="AO140" i="29"/>
  <c r="AO31" i="29"/>
  <c r="AP140" i="29"/>
  <c r="AP31" i="29"/>
  <c r="AQ140" i="29"/>
  <c r="AQ31" i="29"/>
  <c r="AF141" i="29"/>
  <c r="AF33" i="29"/>
  <c r="AF55" i="29"/>
  <c r="AG141" i="29"/>
  <c r="AG33" i="29"/>
  <c r="AH141" i="29"/>
  <c r="AH33" i="29"/>
  <c r="AI141" i="29"/>
  <c r="AI33" i="29"/>
  <c r="AJ141" i="29"/>
  <c r="AJ33" i="29"/>
  <c r="AK141" i="29"/>
  <c r="AK33" i="29"/>
  <c r="AL141" i="29"/>
  <c r="AL33" i="29"/>
  <c r="AM141" i="29"/>
  <c r="AM33" i="29"/>
  <c r="AN141" i="29"/>
  <c r="AN33" i="29"/>
  <c r="AF143" i="29"/>
  <c r="AF35" i="29"/>
  <c r="AG143" i="29"/>
  <c r="AG35" i="29"/>
  <c r="AH143" i="29"/>
  <c r="AH35" i="29"/>
  <c r="AI143" i="29"/>
  <c r="AJ143" i="29"/>
  <c r="AJ35" i="29"/>
  <c r="AK143" i="29"/>
  <c r="AK35" i="29"/>
  <c r="AL143" i="29"/>
  <c r="AL35" i="29"/>
  <c r="AM143" i="29"/>
  <c r="AM35" i="29"/>
  <c r="AN143" i="29"/>
  <c r="AN35" i="29"/>
  <c r="AF144" i="29"/>
  <c r="AF36" i="29"/>
  <c r="AG144" i="29"/>
  <c r="AG36" i="29"/>
  <c r="AH144" i="29"/>
  <c r="AH36" i="29"/>
  <c r="AI144" i="29"/>
  <c r="AI36" i="29"/>
  <c r="AJ144" i="29"/>
  <c r="AJ36" i="29"/>
  <c r="AK144" i="29"/>
  <c r="AK36" i="29"/>
  <c r="AL144" i="29"/>
  <c r="AL36" i="29"/>
  <c r="AM144" i="29"/>
  <c r="AM36" i="29"/>
  <c r="AN144" i="29"/>
  <c r="AN36" i="29"/>
  <c r="AF145" i="29"/>
  <c r="AF37" i="29"/>
  <c r="AG145" i="29"/>
  <c r="AG37" i="29"/>
  <c r="AH145" i="29"/>
  <c r="AH37" i="29"/>
  <c r="AI145" i="29"/>
  <c r="AI37" i="29"/>
  <c r="AJ145" i="29"/>
  <c r="AJ37" i="29"/>
  <c r="AK145" i="29"/>
  <c r="AK37" i="29"/>
  <c r="AL145" i="29"/>
  <c r="AL37" i="29"/>
  <c r="AM145" i="29"/>
  <c r="AM37" i="29"/>
  <c r="AN145" i="29"/>
  <c r="AN37" i="29"/>
  <c r="AF146" i="29"/>
  <c r="AF38" i="29"/>
  <c r="AG146" i="29"/>
  <c r="AG38" i="29"/>
  <c r="AH146" i="29"/>
  <c r="AH38" i="29"/>
  <c r="AI146" i="29"/>
  <c r="AI38" i="29"/>
  <c r="AJ146" i="29"/>
  <c r="AJ38" i="29"/>
  <c r="AK146" i="29"/>
  <c r="AK38" i="29"/>
  <c r="AL146" i="29"/>
  <c r="AL38" i="29"/>
  <c r="AM146" i="29"/>
  <c r="AM38" i="29"/>
  <c r="AN146" i="29"/>
  <c r="AN38" i="29"/>
  <c r="AF147" i="29"/>
  <c r="AF39" i="29"/>
  <c r="AG147" i="29"/>
  <c r="AG39" i="29"/>
  <c r="AH147" i="29"/>
  <c r="AH39" i="29"/>
  <c r="AI147" i="29"/>
  <c r="AI39" i="29"/>
  <c r="AJ147" i="29"/>
  <c r="AJ39" i="29"/>
  <c r="AK147" i="29"/>
  <c r="AK39" i="29"/>
  <c r="AL147" i="29"/>
  <c r="AL39" i="29"/>
  <c r="AM147" i="29"/>
  <c r="AM39" i="29"/>
  <c r="AN147" i="29"/>
  <c r="AN39" i="29"/>
  <c r="AF148" i="29"/>
  <c r="AF40" i="29"/>
  <c r="AG148" i="29"/>
  <c r="AG40" i="29"/>
  <c r="AH148" i="29"/>
  <c r="AH40" i="29"/>
  <c r="AI148" i="29"/>
  <c r="AI40" i="29"/>
  <c r="AJ148" i="29"/>
  <c r="AJ40" i="29"/>
  <c r="AK148" i="29"/>
  <c r="AK40" i="29"/>
  <c r="AL148" i="29"/>
  <c r="AL40" i="29"/>
  <c r="AM148" i="29"/>
  <c r="AM40" i="29"/>
  <c r="AN148" i="29"/>
  <c r="AN40" i="29"/>
  <c r="AF149" i="29"/>
  <c r="AF41" i="29"/>
  <c r="AG149" i="29"/>
  <c r="AG41" i="29"/>
  <c r="AH149" i="29"/>
  <c r="AH41" i="29"/>
  <c r="AI149" i="29"/>
  <c r="AI41" i="29"/>
  <c r="AJ149" i="29"/>
  <c r="AJ41" i="29"/>
  <c r="AK149" i="29"/>
  <c r="AK41" i="29"/>
  <c r="AL149" i="29"/>
  <c r="AL41" i="29"/>
  <c r="AM149" i="29"/>
  <c r="AM41" i="29"/>
  <c r="AN149" i="29"/>
  <c r="AN41" i="29"/>
  <c r="AO149" i="29"/>
  <c r="AO41" i="29"/>
  <c r="AP149" i="29"/>
  <c r="AP41" i="29"/>
  <c r="AQ149" i="29"/>
  <c r="AQ41" i="29"/>
  <c r="AF151" i="29"/>
  <c r="AF42" i="29"/>
  <c r="AG151" i="29"/>
  <c r="AG42" i="29"/>
  <c r="AH151" i="29"/>
  <c r="AH42" i="29"/>
  <c r="AI151" i="29"/>
  <c r="AI42" i="29"/>
  <c r="AJ151" i="29"/>
  <c r="AJ42" i="29"/>
  <c r="AK151" i="29"/>
  <c r="AK42" i="29"/>
  <c r="AL151" i="29"/>
  <c r="AL42" i="29"/>
  <c r="AM151" i="29"/>
  <c r="AM42" i="29"/>
  <c r="AN151" i="29"/>
  <c r="AN42" i="29"/>
  <c r="AL152" i="29"/>
  <c r="AM152" i="29"/>
  <c r="AN152" i="29"/>
  <c r="AF153" i="29"/>
  <c r="AG153" i="29"/>
  <c r="AH153" i="29"/>
  <c r="AI153" i="29"/>
  <c r="AJ153" i="29"/>
  <c r="AK153" i="29"/>
  <c r="AL153" i="29"/>
  <c r="AM153" i="29"/>
  <c r="AN153" i="29"/>
  <c r="AF154" i="29"/>
  <c r="AG154" i="29"/>
  <c r="AH154" i="29"/>
  <c r="AI154" i="29"/>
  <c r="AJ154" i="29"/>
  <c r="AK154" i="29"/>
  <c r="AL154" i="29"/>
  <c r="AM154" i="29"/>
  <c r="AN154" i="29"/>
  <c r="AF160" i="29"/>
  <c r="AG160" i="29"/>
  <c r="AH160" i="29"/>
  <c r="AP164" i="29"/>
  <c r="AP165" i="29"/>
  <c r="AQ165" i="29"/>
  <c r="AF167" i="29"/>
  <c r="AG167" i="29"/>
  <c r="AH167" i="29"/>
  <c r="AI167" i="29"/>
  <c r="AJ167" i="29"/>
  <c r="AK167" i="29"/>
  <c r="AL167" i="29"/>
  <c r="AM167" i="29"/>
  <c r="AN167" i="29"/>
  <c r="AO167" i="29"/>
  <c r="AF174" i="29"/>
  <c r="AG174" i="29"/>
  <c r="AH174" i="29"/>
  <c r="AI174" i="29"/>
  <c r="AJ174" i="29"/>
  <c r="AK174" i="29"/>
  <c r="AL174" i="29"/>
  <c r="AM174" i="29"/>
  <c r="AN174" i="29"/>
  <c r="AF178" i="29"/>
  <c r="AG178" i="29"/>
  <c r="AG171" i="29"/>
  <c r="AH178" i="29"/>
  <c r="AI178" i="29"/>
  <c r="AI171" i="29"/>
  <c r="AJ178" i="29"/>
  <c r="AJ171" i="29"/>
  <c r="AK178" i="29"/>
  <c r="AK171" i="29"/>
  <c r="AL178" i="29"/>
  <c r="AL171" i="29"/>
  <c r="AM178" i="29"/>
  <c r="AM171" i="29"/>
  <c r="AN178" i="29"/>
  <c r="AN171" i="29"/>
  <c r="AO178" i="29"/>
  <c r="AF188" i="29"/>
  <c r="AF172" i="29"/>
  <c r="AG188" i="29"/>
  <c r="AG172" i="29"/>
  <c r="AH188" i="29"/>
  <c r="AH172" i="29"/>
  <c r="AI188" i="29"/>
  <c r="AI172" i="29"/>
  <c r="AJ188" i="29"/>
  <c r="AJ172" i="29"/>
  <c r="AK188" i="29"/>
  <c r="AK172" i="29"/>
  <c r="AL188" i="29"/>
  <c r="AL172" i="29"/>
  <c r="AM188" i="29"/>
  <c r="AM172" i="29"/>
  <c r="AN188" i="29"/>
  <c r="AN172" i="29"/>
  <c r="AO188" i="29"/>
  <c r="AO172" i="29"/>
  <c r="AF194" i="29"/>
  <c r="AG194" i="29"/>
  <c r="AH194" i="29"/>
  <c r="AI194" i="29"/>
  <c r="AJ194" i="29"/>
  <c r="AK194" i="29"/>
  <c r="AL194" i="29"/>
  <c r="AM194" i="29"/>
  <c r="AN194" i="29"/>
  <c r="AH210" i="29"/>
  <c r="AJ210" i="29"/>
  <c r="AL210" i="29"/>
  <c r="AN210" i="29"/>
  <c r="AP210" i="29"/>
  <c r="AF211" i="29"/>
  <c r="AJ211" i="29"/>
  <c r="AL211" i="29"/>
  <c r="AN211" i="29"/>
  <c r="AP211" i="29"/>
  <c r="AF212" i="29"/>
  <c r="AG212" i="29"/>
  <c r="AG213" i="29"/>
  <c r="AP216" i="29"/>
  <c r="AP217" i="29"/>
  <c r="AF219" i="29"/>
  <c r="AG219" i="29"/>
  <c r="AH219" i="29"/>
  <c r="AI219" i="29"/>
  <c r="AJ219" i="29"/>
  <c r="AK219" i="29"/>
  <c r="AL219" i="29"/>
  <c r="AM219" i="29"/>
  <c r="AN219" i="29"/>
  <c r="AO219" i="29"/>
  <c r="AF226" i="29"/>
  <c r="AG226" i="29"/>
  <c r="AH226" i="29"/>
  <c r="AI226" i="29"/>
  <c r="AJ226" i="29"/>
  <c r="AK226" i="29"/>
  <c r="AL226" i="29"/>
  <c r="AM226" i="29"/>
  <c r="AN226" i="29"/>
  <c r="AO226" i="29"/>
  <c r="AF230" i="29"/>
  <c r="AF223" i="29"/>
  <c r="AG230" i="29"/>
  <c r="AH230" i="29"/>
  <c r="AI230" i="29"/>
  <c r="AJ230" i="29"/>
  <c r="AJ223" i="29"/>
  <c r="AK230" i="29"/>
  <c r="AK223" i="29"/>
  <c r="AL230" i="29"/>
  <c r="AL223" i="29"/>
  <c r="AM230" i="29"/>
  <c r="AN230" i="29"/>
  <c r="AO230" i="29"/>
  <c r="AF240" i="29"/>
  <c r="AF224" i="29"/>
  <c r="AG240" i="29"/>
  <c r="AG224" i="29"/>
  <c r="AH240" i="29"/>
  <c r="AH224" i="29"/>
  <c r="AI240" i="29"/>
  <c r="AI224" i="29"/>
  <c r="AJ240" i="29"/>
  <c r="AJ224" i="29"/>
  <c r="AK240" i="29"/>
  <c r="AK224" i="29"/>
  <c r="AL240" i="29"/>
  <c r="AL224" i="29"/>
  <c r="AM240" i="29"/>
  <c r="AM224" i="29"/>
  <c r="AN240" i="29"/>
  <c r="AN224" i="29"/>
  <c r="AO240" i="29"/>
  <c r="AO224" i="29"/>
  <c r="AL246" i="29"/>
  <c r="AM246" i="29"/>
  <c r="AN246" i="29"/>
  <c r="AF256" i="29"/>
  <c r="AF152" i="29"/>
  <c r="AF44" i="29"/>
  <c r="AG256" i="29"/>
  <c r="AG152" i="29"/>
  <c r="AG44" i="29"/>
  <c r="AH256" i="29"/>
  <c r="AH152" i="29"/>
  <c r="AH44" i="29"/>
  <c r="AI256" i="29"/>
  <c r="AI152" i="29"/>
  <c r="AI44" i="29"/>
  <c r="AJ256" i="29"/>
  <c r="AJ152" i="29"/>
  <c r="AJ44" i="29"/>
  <c r="AK256" i="29"/>
  <c r="AK152" i="29"/>
  <c r="AF262" i="29"/>
  <c r="AG262" i="29"/>
  <c r="AH262" i="29"/>
  <c r="AI262" i="29"/>
  <c r="AJ262" i="29"/>
  <c r="AK262" i="29"/>
  <c r="AL262" i="29"/>
  <c r="AM262" i="29"/>
  <c r="AN262" i="29"/>
  <c r="AO262" i="29"/>
  <c r="AQ262" i="29"/>
  <c r="AF263" i="29"/>
  <c r="AG263" i="29"/>
  <c r="AH263" i="29"/>
  <c r="AI263" i="29"/>
  <c r="AJ263" i="29"/>
  <c r="AK263" i="29"/>
  <c r="AL263" i="29"/>
  <c r="AM263" i="29"/>
  <c r="AN263" i="29"/>
  <c r="AO263" i="29"/>
  <c r="AQ263" i="29"/>
  <c r="AF264" i="29"/>
  <c r="AG264" i="29"/>
  <c r="AE194" i="29"/>
  <c r="AE188" i="29"/>
  <c r="AE178" i="29"/>
  <c r="AE177" i="29"/>
  <c r="AE174" i="29"/>
  <c r="AE172" i="29"/>
  <c r="AE167" i="29"/>
  <c r="AE154" i="29"/>
  <c r="AE153" i="29"/>
  <c r="AE152" i="29"/>
  <c r="AE151" i="29"/>
  <c r="AE149" i="29"/>
  <c r="AE148" i="29"/>
  <c r="AE147" i="29"/>
  <c r="AE146" i="29"/>
  <c r="AE145" i="29"/>
  <c r="AE144" i="29"/>
  <c r="AE143" i="29"/>
  <c r="AE141" i="29"/>
  <c r="AE140" i="29"/>
  <c r="AE31" i="29"/>
  <c r="AE139" i="29"/>
  <c r="AE138" i="29"/>
  <c r="AE29" i="29"/>
  <c r="AE137" i="29"/>
  <c r="AE135" i="29"/>
  <c r="AE134" i="29"/>
  <c r="AE133" i="29"/>
  <c r="AE132" i="29"/>
  <c r="AE131" i="29"/>
  <c r="AE22" i="29"/>
  <c r="AE130" i="29"/>
  <c r="AE129" i="29"/>
  <c r="AE20" i="29"/>
  <c r="AE128" i="29"/>
  <c r="AE127" i="29"/>
  <c r="AE124" i="29"/>
  <c r="AE123" i="29"/>
  <c r="AE118" i="29"/>
  <c r="AE117" i="29"/>
  <c r="AE8" i="29"/>
  <c r="AE116" i="29"/>
  <c r="AE7" i="29"/>
  <c r="AE114" i="29"/>
  <c r="AE5" i="29"/>
  <c r="AE113" i="29"/>
  <c r="AE112" i="29"/>
  <c r="AE89" i="29"/>
  <c r="AD89" i="29"/>
  <c r="AC89" i="29"/>
  <c r="AB89" i="29"/>
  <c r="AA89" i="29"/>
  <c r="Z89" i="29"/>
  <c r="Y89" i="29"/>
  <c r="X89" i="29"/>
  <c r="W89" i="29"/>
  <c r="V89" i="29"/>
  <c r="U89" i="29"/>
  <c r="T89" i="29"/>
  <c r="AE83" i="29"/>
  <c r="AE67" i="29"/>
  <c r="AD83" i="29"/>
  <c r="AD67" i="29"/>
  <c r="AC83" i="29"/>
  <c r="AB83" i="29"/>
  <c r="AB67" i="29"/>
  <c r="AA83" i="29"/>
  <c r="AA67" i="29"/>
  <c r="Z83" i="29"/>
  <c r="Z67" i="29"/>
  <c r="Y83" i="29"/>
  <c r="X83" i="29"/>
  <c r="X67" i="29"/>
  <c r="W83" i="29"/>
  <c r="W67" i="29"/>
  <c r="V83" i="29"/>
  <c r="V72" i="29"/>
  <c r="U83" i="29"/>
  <c r="T83" i="29"/>
  <c r="T67" i="29"/>
  <c r="AE73" i="29"/>
  <c r="AE72" i="29"/>
  <c r="AD73" i="29"/>
  <c r="AC73" i="29"/>
  <c r="AB73" i="29"/>
  <c r="AA73" i="29"/>
  <c r="AA72" i="29"/>
  <c r="Z73" i="29"/>
  <c r="Z72" i="29"/>
  <c r="Y73" i="29"/>
  <c r="X73" i="29"/>
  <c r="X72" i="29"/>
  <c r="W73" i="29"/>
  <c r="W72" i="29"/>
  <c r="V73" i="29"/>
  <c r="V66" i="29"/>
  <c r="U73" i="29"/>
  <c r="T73" i="29"/>
  <c r="T66" i="29"/>
  <c r="Y72" i="29"/>
  <c r="AD70" i="29"/>
  <c r="AD69" i="29"/>
  <c r="AC70" i="29"/>
  <c r="AC69" i="29"/>
  <c r="AE69" i="29"/>
  <c r="AB69" i="29"/>
  <c r="AA69" i="29"/>
  <c r="Z69" i="29"/>
  <c r="Y69" i="29"/>
  <c r="Y68" i="29"/>
  <c r="Y102" i="29"/>
  <c r="X69" i="29"/>
  <c r="W69" i="29"/>
  <c r="V69" i="29"/>
  <c r="U69" i="29"/>
  <c r="T69" i="29"/>
  <c r="Y67" i="29"/>
  <c r="AE66" i="29"/>
  <c r="AC66" i="29"/>
  <c r="Y66" i="29"/>
  <c r="X66" i="29"/>
  <c r="W66" i="29"/>
  <c r="U66" i="29"/>
  <c r="AD60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AE44" i="29"/>
  <c r="AE34" i="29"/>
  <c r="AD44" i="29"/>
  <c r="AD34" i="29"/>
  <c r="AC44" i="29"/>
  <c r="AC34" i="29"/>
  <c r="AB44" i="29"/>
  <c r="AB34" i="29"/>
  <c r="AA44" i="29"/>
  <c r="AA34" i="29"/>
  <c r="Z44" i="29"/>
  <c r="Z34" i="29"/>
  <c r="Y44" i="29"/>
  <c r="Y34" i="29"/>
  <c r="X44" i="29"/>
  <c r="X34" i="29"/>
  <c r="W44" i="29"/>
  <c r="W34" i="29"/>
  <c r="V44" i="29"/>
  <c r="V34" i="29"/>
  <c r="U44" i="29"/>
  <c r="U34" i="29"/>
  <c r="T44" i="29"/>
  <c r="T34" i="29"/>
  <c r="S34" i="29"/>
  <c r="R34" i="29"/>
  <c r="Q34" i="29"/>
  <c r="P34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AD31" i="29"/>
  <c r="AC31" i="29"/>
  <c r="AB31" i="29"/>
  <c r="AA31" i="29"/>
  <c r="Z31" i="29"/>
  <c r="Y31" i="29"/>
  <c r="X31" i="29"/>
  <c r="W31" i="29"/>
  <c r="V31" i="29"/>
  <c r="U31" i="29"/>
  <c r="T31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AD29" i="29"/>
  <c r="AC29" i="29"/>
  <c r="AB29" i="29"/>
  <c r="AA29" i="29"/>
  <c r="Z29" i="29"/>
  <c r="Y29" i="29"/>
  <c r="X29" i="29"/>
  <c r="W29" i="29"/>
  <c r="V29" i="29"/>
  <c r="U29" i="29"/>
  <c r="T29" i="29"/>
  <c r="AE28" i="29"/>
  <c r="AD28" i="29"/>
  <c r="AD27" i="29"/>
  <c r="AC28" i="29"/>
  <c r="AC27" i="29"/>
  <c r="AB28" i="29"/>
  <c r="AA28" i="29"/>
  <c r="Z28" i="29"/>
  <c r="Y28" i="29"/>
  <c r="X28" i="29"/>
  <c r="W28" i="29"/>
  <c r="V28" i="29"/>
  <c r="V27" i="29"/>
  <c r="U28" i="29"/>
  <c r="U27" i="29"/>
  <c r="T28" i="29"/>
  <c r="Z27" i="29"/>
  <c r="S27" i="29"/>
  <c r="R27" i="29"/>
  <c r="Q27" i="29"/>
  <c r="P27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AD22" i="29"/>
  <c r="AC22" i="29"/>
  <c r="AB22" i="29"/>
  <c r="AA22" i="29"/>
  <c r="Z22" i="29"/>
  <c r="Y22" i="29"/>
  <c r="X22" i="29"/>
  <c r="W22" i="29"/>
  <c r="V22" i="29"/>
  <c r="U22" i="29"/>
  <c r="T22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AD20" i="29"/>
  <c r="AC20" i="29"/>
  <c r="AB20" i="29"/>
  <c r="AA20" i="29"/>
  <c r="Z20" i="29"/>
  <c r="Y20" i="29"/>
  <c r="X20" i="29"/>
  <c r="W20" i="29"/>
  <c r="V20" i="29"/>
  <c r="U20" i="29"/>
  <c r="T20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7" i="29"/>
  <c r="R17" i="29"/>
  <c r="R16" i="29"/>
  <c r="Q17" i="29"/>
  <c r="P17" i="29"/>
  <c r="O17" i="29"/>
  <c r="O16" i="29"/>
  <c r="N17" i="29"/>
  <c r="N16" i="29"/>
  <c r="AE15" i="29"/>
  <c r="AD15" i="29"/>
  <c r="AC15" i="29"/>
  <c r="AB15" i="29"/>
  <c r="AA15" i="29"/>
  <c r="Z15" i="29"/>
  <c r="Z11" i="29"/>
  <c r="Y15" i="29"/>
  <c r="X15" i="29"/>
  <c r="W15" i="29"/>
  <c r="V15" i="29"/>
  <c r="U15" i="29"/>
  <c r="T15" i="29"/>
  <c r="AE14" i="29"/>
  <c r="AD14" i="29"/>
  <c r="AC14" i="29"/>
  <c r="AC13" i="29"/>
  <c r="AB14" i="29"/>
  <c r="AA14" i="29"/>
  <c r="Z14" i="29"/>
  <c r="Y14" i="29"/>
  <c r="X14" i="29"/>
  <c r="W14" i="29"/>
  <c r="V14" i="29"/>
  <c r="U14" i="29"/>
  <c r="U13" i="29"/>
  <c r="T14" i="29"/>
  <c r="S13" i="29"/>
  <c r="R13" i="29"/>
  <c r="Q13" i="29"/>
  <c r="P13" i="29"/>
  <c r="O13" i="29"/>
  <c r="N13" i="29"/>
  <c r="AE9" i="29"/>
  <c r="AD9" i="29"/>
  <c r="AC9" i="29"/>
  <c r="AB9" i="29"/>
  <c r="AA9" i="29"/>
  <c r="Z9" i="29"/>
  <c r="Y9" i="29"/>
  <c r="X9" i="29"/>
  <c r="W9" i="29"/>
  <c r="V9" i="29"/>
  <c r="U9" i="29"/>
  <c r="T9" i="29"/>
  <c r="AD8" i="29"/>
  <c r="AC8" i="29"/>
  <c r="AB8" i="29"/>
  <c r="AA8" i="29"/>
  <c r="Z8" i="29"/>
  <c r="Y8" i="29"/>
  <c r="X8" i="29"/>
  <c r="W8" i="29"/>
  <c r="V8" i="29"/>
  <c r="U8" i="29"/>
  <c r="T8" i="29"/>
  <c r="AD7" i="29"/>
  <c r="AC7" i="29"/>
  <c r="AB7" i="29"/>
  <c r="AA7" i="29"/>
  <c r="Z7" i="29"/>
  <c r="Y7" i="29"/>
  <c r="X7" i="29"/>
  <c r="W7" i="29"/>
  <c r="V7" i="29"/>
  <c r="U7" i="29"/>
  <c r="T7" i="29"/>
  <c r="AE4" i="29"/>
  <c r="AD4" i="29"/>
  <c r="N4" i="29"/>
  <c r="O4" i="29"/>
  <c r="P4" i="29"/>
  <c r="Q4" i="29"/>
  <c r="R4" i="29"/>
  <c r="S4" i="29"/>
  <c r="AE3" i="29"/>
  <c r="AD3" i="29"/>
  <c r="AC3" i="29"/>
  <c r="AB3" i="29"/>
  <c r="AA3" i="29"/>
  <c r="Z3" i="29"/>
  <c r="Y3" i="29"/>
  <c r="X3" i="29"/>
  <c r="W3" i="29"/>
  <c r="V3" i="29"/>
  <c r="U3" i="29"/>
  <c r="T3" i="29"/>
  <c r="M121" i="21"/>
  <c r="E82" i="14"/>
  <c r="AK115" i="29"/>
  <c r="AE171" i="29"/>
  <c r="N12" i="29"/>
  <c r="X68" i="29"/>
  <c r="X102" i="29"/>
  <c r="AO6" i="29"/>
  <c r="AG6" i="29"/>
  <c r="AP166" i="29"/>
  <c r="V67" i="29"/>
  <c r="AE173" i="29"/>
  <c r="AE207" i="29"/>
  <c r="AF177" i="29"/>
  <c r="X27" i="29"/>
  <c r="AJ246" i="29"/>
  <c r="AH229" i="29"/>
  <c r="AH225" i="29"/>
  <c r="AN136" i="29"/>
  <c r="Y27" i="29"/>
  <c r="Y11" i="29"/>
  <c r="Z13" i="29"/>
  <c r="W27" i="29"/>
  <c r="AE11" i="29"/>
  <c r="Y17" i="29"/>
  <c r="AO177" i="29"/>
  <c r="AF171" i="29"/>
  <c r="AN27" i="29"/>
  <c r="AM126" i="29"/>
  <c r="AG115" i="29"/>
  <c r="AE27" i="29"/>
  <c r="AP263" i="29"/>
  <c r="AG161" i="29"/>
  <c r="AF115" i="29"/>
  <c r="AO30" i="29"/>
  <c r="O12" i="29"/>
  <c r="AO229" i="29"/>
  <c r="AI229" i="29"/>
  <c r="AI225" i="29"/>
  <c r="AQ217" i="29"/>
  <c r="AF161" i="29"/>
  <c r="AM136" i="29"/>
  <c r="AM120" i="29"/>
  <c r="AA13" i="29"/>
  <c r="Q16" i="29"/>
  <c r="AG229" i="29"/>
  <c r="AG225" i="29"/>
  <c r="AI223" i="29"/>
  <c r="AM177" i="29"/>
  <c r="AM173" i="29"/>
  <c r="AM207" i="29"/>
  <c r="AL177" i="29"/>
  <c r="AL173" i="29"/>
  <c r="AL207" i="29"/>
  <c r="AP262" i="29"/>
  <c r="AN229" i="29"/>
  <c r="AH212" i="29"/>
  <c r="AI212" i="29"/>
  <c r="AM122" i="29"/>
  <c r="AO115" i="29"/>
  <c r="AG72" i="29"/>
  <c r="AP145" i="29"/>
  <c r="AP37" i="29"/>
  <c r="AM229" i="29"/>
  <c r="AM225" i="29"/>
  <c r="AM259" i="29"/>
  <c r="AL229" i="29"/>
  <c r="AL225" i="29"/>
  <c r="AL259" i="29"/>
  <c r="AL122" i="29"/>
  <c r="AN115" i="29"/>
  <c r="AH161" i="29"/>
  <c r="AK229" i="29"/>
  <c r="AK225" i="29"/>
  <c r="AO136" i="29"/>
  <c r="AO120" i="29"/>
  <c r="AJ6" i="29"/>
  <c r="AP61" i="29"/>
  <c r="CN31" i="30"/>
  <c r="AQ154" i="29"/>
  <c r="AO225" i="29"/>
  <c r="AO4" i="30"/>
  <c r="AP4" i="30"/>
  <c r="AQ4" i="30"/>
  <c r="AR4" i="30"/>
  <c r="AS4" i="30"/>
  <c r="AT4" i="30"/>
  <c r="AU4" i="30"/>
  <c r="AV4" i="30"/>
  <c r="AW4" i="30"/>
  <c r="AX4" i="30"/>
  <c r="AY4" i="30"/>
  <c r="AZ4" i="30"/>
  <c r="BA4" i="30"/>
  <c r="BB4" i="30"/>
  <c r="BC4" i="30"/>
  <c r="BD4" i="30"/>
  <c r="BE4" i="30"/>
  <c r="BF4" i="30"/>
  <c r="BG4" i="30"/>
  <c r="BH4" i="30"/>
  <c r="BI4" i="30"/>
  <c r="BJ4" i="30"/>
  <c r="BK4" i="30"/>
  <c r="BL4" i="30"/>
  <c r="BM4" i="30"/>
  <c r="BN4" i="30"/>
  <c r="BO4" i="30"/>
  <c r="BP4" i="30"/>
  <c r="BQ4" i="30"/>
  <c r="BR4" i="30"/>
  <c r="BS4" i="30"/>
  <c r="BT4" i="30"/>
  <c r="BU4" i="30"/>
  <c r="BV4" i="30"/>
  <c r="BW4" i="30"/>
  <c r="BX4" i="30"/>
  <c r="BY4" i="30"/>
  <c r="BZ4" i="30"/>
  <c r="CA4" i="30"/>
  <c r="CB4" i="30"/>
  <c r="CC4" i="30"/>
  <c r="CD4" i="30"/>
  <c r="CE4" i="30"/>
  <c r="CF4" i="30"/>
  <c r="CG4" i="30"/>
  <c r="CH4" i="30"/>
  <c r="CI4" i="30"/>
  <c r="CJ4" i="30"/>
  <c r="CK4" i="30"/>
  <c r="CL4" i="30"/>
  <c r="CM4" i="30"/>
  <c r="CN4" i="30"/>
  <c r="CO4" i="30"/>
  <c r="CP4" i="30"/>
  <c r="CQ4" i="30"/>
  <c r="CR4" i="30"/>
  <c r="CS4" i="30"/>
  <c r="CT4" i="30"/>
  <c r="CU4" i="30"/>
  <c r="CV4" i="30"/>
  <c r="CW4" i="30"/>
  <c r="CX4" i="30"/>
  <c r="AO45" i="29"/>
  <c r="AQ152" i="29"/>
  <c r="AQ44" i="29"/>
  <c r="AO246" i="29"/>
  <c r="AP218" i="29"/>
  <c r="AQ45" i="29"/>
  <c r="AP45" i="29"/>
  <c r="I36" i="30"/>
  <c r="I37" i="30"/>
  <c r="I38" i="30"/>
  <c r="Q38" i="30"/>
  <c r="Q36" i="30"/>
  <c r="Q37" i="30"/>
  <c r="AG38" i="30"/>
  <c r="AG36" i="30"/>
  <c r="AG37" i="30"/>
  <c r="AP5" i="30"/>
  <c r="Y38" i="30"/>
  <c r="Y36" i="30"/>
  <c r="Y37" i="30"/>
  <c r="AE10" i="30"/>
  <c r="AE8" i="30"/>
  <c r="J38" i="30"/>
  <c r="J36" i="30"/>
  <c r="J37" i="30"/>
  <c r="AH38" i="30"/>
  <c r="AH36" i="30"/>
  <c r="AH37" i="30"/>
  <c r="K38" i="30"/>
  <c r="K36" i="30"/>
  <c r="K37" i="30"/>
  <c r="S38" i="30"/>
  <c r="S36" i="30"/>
  <c r="S37" i="30"/>
  <c r="AA38" i="30"/>
  <c r="AA36" i="30"/>
  <c r="AA37" i="30"/>
  <c r="AI38" i="30"/>
  <c r="AI36" i="30"/>
  <c r="AI37" i="30"/>
  <c r="M38" i="30"/>
  <c r="M36" i="30"/>
  <c r="M37" i="30"/>
  <c r="U38" i="30"/>
  <c r="U36" i="30"/>
  <c r="U37" i="30"/>
  <c r="AC38" i="30"/>
  <c r="AC36" i="30"/>
  <c r="AC37" i="30"/>
  <c r="AK36" i="30"/>
  <c r="AK37" i="30"/>
  <c r="AK38" i="30"/>
  <c r="AN17" i="30"/>
  <c r="AO18" i="30"/>
  <c r="R38" i="30"/>
  <c r="R36" i="30"/>
  <c r="R37" i="30"/>
  <c r="Z38" i="30"/>
  <c r="Z36" i="30"/>
  <c r="Z37" i="30"/>
  <c r="G38" i="30"/>
  <c r="G36" i="30"/>
  <c r="G37" i="30"/>
  <c r="O38" i="30"/>
  <c r="O36" i="30"/>
  <c r="O37" i="30"/>
  <c r="W36" i="30"/>
  <c r="W37" i="30"/>
  <c r="W38" i="30"/>
  <c r="AM38" i="30"/>
  <c r="AM36" i="30"/>
  <c r="AM37" i="30"/>
  <c r="H38" i="30"/>
  <c r="H36" i="30"/>
  <c r="H37" i="30"/>
  <c r="P38" i="30"/>
  <c r="P36" i="30"/>
  <c r="P37" i="30"/>
  <c r="X38" i="30"/>
  <c r="X36" i="30"/>
  <c r="X37" i="30"/>
  <c r="AF38" i="30"/>
  <c r="AF36" i="30"/>
  <c r="AF37" i="30"/>
  <c r="AZ21" i="30"/>
  <c r="BA21" i="30"/>
  <c r="BB21" i="30"/>
  <c r="BC21" i="30"/>
  <c r="BD21" i="30"/>
  <c r="BE21" i="30"/>
  <c r="BF21" i="30"/>
  <c r="BG21" i="30"/>
  <c r="BH21" i="30"/>
  <c r="BI21" i="30"/>
  <c r="BJ21" i="30"/>
  <c r="BK21" i="30"/>
  <c r="L38" i="30"/>
  <c r="L36" i="30"/>
  <c r="L37" i="30"/>
  <c r="T38" i="30"/>
  <c r="T36" i="30"/>
  <c r="T37" i="30"/>
  <c r="AB38" i="30"/>
  <c r="AB36" i="30"/>
  <c r="AB37" i="30"/>
  <c r="AJ38" i="30"/>
  <c r="AJ36" i="30"/>
  <c r="AJ37" i="30"/>
  <c r="AY24" i="30"/>
  <c r="N38" i="30"/>
  <c r="N36" i="30"/>
  <c r="N37" i="30"/>
  <c r="V38" i="30"/>
  <c r="V36" i="30"/>
  <c r="V37" i="30"/>
  <c r="AD38" i="30"/>
  <c r="AD36" i="30"/>
  <c r="AD37" i="30"/>
  <c r="AL36" i="30"/>
  <c r="AL37" i="30"/>
  <c r="AL31" i="30"/>
  <c r="AL38" i="30"/>
  <c r="AH264" i="29"/>
  <c r="AG265" i="29"/>
  <c r="AN225" i="29"/>
  <c r="AN259" i="29"/>
  <c r="AH157" i="29"/>
  <c r="AH159" i="29"/>
  <c r="AM156" i="29"/>
  <c r="AM158" i="29"/>
  <c r="AM210" i="29"/>
  <c r="AG156" i="29"/>
  <c r="AG158" i="29"/>
  <c r="AG210" i="29"/>
  <c r="AH171" i="29"/>
  <c r="AH177" i="29"/>
  <c r="AI246" i="29"/>
  <c r="AH223" i="29"/>
  <c r="AO157" i="29"/>
  <c r="AO159" i="29"/>
  <c r="AO211" i="29"/>
  <c r="AG157" i="29"/>
  <c r="AG159" i="29"/>
  <c r="AG211" i="29"/>
  <c r="AF156" i="29"/>
  <c r="AF158" i="29"/>
  <c r="AH246" i="29"/>
  <c r="AH259" i="29"/>
  <c r="AJ229" i="29"/>
  <c r="AJ225" i="29"/>
  <c r="AJ259" i="29"/>
  <c r="AO223" i="29"/>
  <c r="AG223" i="29"/>
  <c r="AN157" i="29"/>
  <c r="AN159" i="29"/>
  <c r="AF157" i="29"/>
  <c r="AF159" i="29"/>
  <c r="AG246" i="29"/>
  <c r="AG259" i="29"/>
  <c r="AN223" i="29"/>
  <c r="AH213" i="29"/>
  <c r="AM157" i="29"/>
  <c r="AM159" i="29"/>
  <c r="AM211" i="29"/>
  <c r="AQ210" i="29"/>
  <c r="AQ156" i="29"/>
  <c r="AQ158" i="29"/>
  <c r="AK156" i="29"/>
  <c r="AK158" i="29"/>
  <c r="AK210" i="29"/>
  <c r="AP157" i="29"/>
  <c r="AP52" i="29"/>
  <c r="AF265" i="29"/>
  <c r="AF246" i="29"/>
  <c r="AM223" i="29"/>
  <c r="AF213" i="29"/>
  <c r="AL157" i="29"/>
  <c r="AL159" i="29"/>
  <c r="AP156" i="29"/>
  <c r="AP51" i="29"/>
  <c r="AJ156" i="29"/>
  <c r="AJ158" i="29"/>
  <c r="AQ147" i="29"/>
  <c r="AQ39" i="29"/>
  <c r="AK157" i="29"/>
  <c r="AK159" i="29"/>
  <c r="AK211" i="29"/>
  <c r="AI156" i="29"/>
  <c r="AI158" i="29"/>
  <c r="AI210" i="29"/>
  <c r="AP134" i="29"/>
  <c r="AP25" i="29"/>
  <c r="AF229" i="29"/>
  <c r="AF225" i="29"/>
  <c r="AF210" i="29"/>
  <c r="AJ157" i="29"/>
  <c r="AJ159" i="29"/>
  <c r="AO156" i="29"/>
  <c r="AO158" i="29"/>
  <c r="AO210" i="29"/>
  <c r="AH156" i="29"/>
  <c r="AH158" i="29"/>
  <c r="AQ145" i="29"/>
  <c r="AQ37" i="29"/>
  <c r="AP143" i="29"/>
  <c r="AP35" i="29"/>
  <c r="AM5" i="29"/>
  <c r="AM6" i="29"/>
  <c r="AM115" i="29"/>
  <c r="AK246" i="29"/>
  <c r="AH211" i="29"/>
  <c r="AQ157" i="29"/>
  <c r="AQ159" i="29"/>
  <c r="AQ211" i="29"/>
  <c r="AI157" i="29"/>
  <c r="AI159" i="29"/>
  <c r="AI211" i="29"/>
  <c r="AN156" i="29"/>
  <c r="AN158" i="29"/>
  <c r="AO153" i="29"/>
  <c r="AO143" i="29"/>
  <c r="AO35" i="29"/>
  <c r="AO194" i="29"/>
  <c r="AF173" i="29"/>
  <c r="AF207" i="29"/>
  <c r="AL156" i="29"/>
  <c r="AL158" i="29"/>
  <c r="AO148" i="29"/>
  <c r="AO40" i="29"/>
  <c r="AQ129" i="29"/>
  <c r="AQ20" i="29"/>
  <c r="AK177" i="29"/>
  <c r="AP152" i="29"/>
  <c r="AP44" i="29"/>
  <c r="AO145" i="29"/>
  <c r="AO37" i="29"/>
  <c r="AQ138" i="29"/>
  <c r="AQ29" i="29"/>
  <c r="AP129" i="29"/>
  <c r="AP20" i="29"/>
  <c r="AJ177" i="29"/>
  <c r="AJ173" i="29"/>
  <c r="AJ207" i="29"/>
  <c r="AP123" i="29"/>
  <c r="AP14" i="29"/>
  <c r="AK173" i="29"/>
  <c r="AK207" i="29"/>
  <c r="AO152" i="29"/>
  <c r="AO44" i="29"/>
  <c r="AP147" i="29"/>
  <c r="AP39" i="29"/>
  <c r="AQ144" i="29"/>
  <c r="AQ36" i="29"/>
  <c r="AP138" i="29"/>
  <c r="AP29" i="29"/>
  <c r="AI177" i="29"/>
  <c r="AI173" i="29"/>
  <c r="AI207" i="29"/>
  <c r="AO123" i="29"/>
  <c r="AO14" i="29"/>
  <c r="AO171" i="29"/>
  <c r="AP154" i="29"/>
  <c r="AO147" i="29"/>
  <c r="AO39" i="29"/>
  <c r="AP144" i="29"/>
  <c r="AP36" i="29"/>
  <c r="AO134" i="29"/>
  <c r="AO25" i="29"/>
  <c r="AO17" i="29"/>
  <c r="AQ113" i="29"/>
  <c r="AQ4" i="29"/>
  <c r="AO154" i="29"/>
  <c r="AO144" i="29"/>
  <c r="AO36" i="29"/>
  <c r="AQ141" i="29"/>
  <c r="AQ33" i="29"/>
  <c r="AG177" i="29"/>
  <c r="AG173" i="29"/>
  <c r="AG207" i="29"/>
  <c r="AH173" i="29"/>
  <c r="AH207" i="29"/>
  <c r="AP113" i="29"/>
  <c r="AI160" i="29"/>
  <c r="AF28" i="29"/>
  <c r="AF27" i="29"/>
  <c r="AF11" i="29"/>
  <c r="AF136" i="29"/>
  <c r="AF120" i="29"/>
  <c r="AQ153" i="29"/>
  <c r="AO151" i="29"/>
  <c r="AO42" i="29"/>
  <c r="AQ143" i="29"/>
  <c r="AQ35" i="29"/>
  <c r="AP141" i="29"/>
  <c r="AP33" i="29"/>
  <c r="AN177" i="29"/>
  <c r="AN173" i="29"/>
  <c r="AN207" i="29"/>
  <c r="AO174" i="29"/>
  <c r="AP153" i="29"/>
  <c r="AO146" i="29"/>
  <c r="AO38" i="29"/>
  <c r="AO141" i="29"/>
  <c r="AO33" i="29"/>
  <c r="AF34" i="29"/>
  <c r="AN142" i="29"/>
  <c r="AI14" i="29"/>
  <c r="AI122" i="29"/>
  <c r="AL5" i="29"/>
  <c r="AL6" i="29"/>
  <c r="AL115" i="29"/>
  <c r="AM53" i="29"/>
  <c r="AM54" i="29"/>
  <c r="AP118" i="29"/>
  <c r="AP9" i="29"/>
  <c r="AM142" i="29"/>
  <c r="AL27" i="29"/>
  <c r="AL136" i="29"/>
  <c r="AL120" i="29"/>
  <c r="AL126" i="29"/>
  <c r="AL125" i="29"/>
  <c r="AL121" i="29"/>
  <c r="AH14" i="29"/>
  <c r="AH122" i="29"/>
  <c r="AL53" i="29"/>
  <c r="AL54" i="29"/>
  <c r="AO106" i="29"/>
  <c r="AQ105" i="29"/>
  <c r="AQ166" i="29"/>
  <c r="AP112" i="29"/>
  <c r="AL142" i="29"/>
  <c r="AJ136" i="29"/>
  <c r="AJ120" i="29"/>
  <c r="AI18" i="29"/>
  <c r="AI17" i="29"/>
  <c r="AI126" i="29"/>
  <c r="AI119" i="29"/>
  <c r="AJ126" i="29"/>
  <c r="AN106" i="29"/>
  <c r="AJ142" i="29"/>
  <c r="AJ27" i="29"/>
  <c r="AH136" i="29"/>
  <c r="AH120" i="29"/>
  <c r="AH18" i="29"/>
  <c r="AH17" i="29"/>
  <c r="AH126" i="29"/>
  <c r="AH107" i="29"/>
  <c r="AG108" i="29"/>
  <c r="AP105" i="29"/>
  <c r="AJ34" i="29"/>
  <c r="AH142" i="29"/>
  <c r="AI28" i="29"/>
  <c r="AI27" i="29"/>
  <c r="AI11" i="29"/>
  <c r="AI136" i="29"/>
  <c r="AI120" i="29"/>
  <c r="AO105" i="29"/>
  <c r="AM44" i="29"/>
  <c r="AM34" i="29"/>
  <c r="AM89" i="29"/>
  <c r="AH72" i="29"/>
  <c r="AH68" i="29"/>
  <c r="AH102" i="29"/>
  <c r="AH66" i="29"/>
  <c r="AI35" i="29"/>
  <c r="AI34" i="29"/>
  <c r="AI142" i="29"/>
  <c r="AF142" i="29"/>
  <c r="AH27" i="29"/>
  <c r="AN18" i="29"/>
  <c r="AN17" i="29"/>
  <c r="AN16" i="29"/>
  <c r="AN126" i="29"/>
  <c r="AN125" i="29"/>
  <c r="AF18" i="29"/>
  <c r="AF17" i="29"/>
  <c r="AF10" i="29"/>
  <c r="AF126" i="29"/>
  <c r="AI115" i="29"/>
  <c r="AN105" i="29"/>
  <c r="AH34" i="29"/>
  <c r="AG55" i="29"/>
  <c r="AF56" i="29"/>
  <c r="AL11" i="29"/>
  <c r="AH115" i="29"/>
  <c r="AL44" i="29"/>
  <c r="AL34" i="29"/>
  <c r="AL89" i="29"/>
  <c r="AM25" i="29"/>
  <c r="AG34" i="29"/>
  <c r="AK142" i="29"/>
  <c r="AG27" i="29"/>
  <c r="AG11" i="29"/>
  <c r="AK136" i="29"/>
  <c r="AK120" i="29"/>
  <c r="AG17" i="29"/>
  <c r="AG10" i="29"/>
  <c r="AK126" i="29"/>
  <c r="AG13" i="29"/>
  <c r="AK122" i="29"/>
  <c r="AK54" i="29"/>
  <c r="AK53" i="29"/>
  <c r="AK44" i="29"/>
  <c r="AK34" i="29"/>
  <c r="AK89" i="29"/>
  <c r="AQ24" i="29"/>
  <c r="AO69" i="29"/>
  <c r="AJ11" i="29"/>
  <c r="AN13" i="29"/>
  <c r="AN10" i="29"/>
  <c r="AF13" i="29"/>
  <c r="AJ122" i="29"/>
  <c r="AJ54" i="29"/>
  <c r="AJ53" i="29"/>
  <c r="AM13" i="29"/>
  <c r="AM119" i="29"/>
  <c r="AI6" i="29"/>
  <c r="AI54" i="29"/>
  <c r="AI53" i="29"/>
  <c r="AO89" i="29"/>
  <c r="AH53" i="29"/>
  <c r="AL17" i="29"/>
  <c r="AL16" i="29"/>
  <c r="AH11" i="29"/>
  <c r="AL13" i="29"/>
  <c r="AH6" i="29"/>
  <c r="AO28" i="29"/>
  <c r="AO83" i="29"/>
  <c r="AO67" i="29"/>
  <c r="AM73" i="29"/>
  <c r="AG142" i="29"/>
  <c r="AK27" i="29"/>
  <c r="AK11" i="29"/>
  <c r="AG136" i="29"/>
  <c r="AG120" i="29"/>
  <c r="AK17" i="29"/>
  <c r="AG126" i="29"/>
  <c r="AK13" i="29"/>
  <c r="AG122" i="29"/>
  <c r="AK119" i="29"/>
  <c r="AG53" i="29"/>
  <c r="AG54" i="29"/>
  <c r="AJ17" i="29"/>
  <c r="AJ16" i="29"/>
  <c r="AN11" i="29"/>
  <c r="AJ13" i="29"/>
  <c r="AN122" i="29"/>
  <c r="AN121" i="29"/>
  <c r="AN155" i="29"/>
  <c r="AF122" i="29"/>
  <c r="AN120" i="29"/>
  <c r="AJ119" i="29"/>
  <c r="AJ115" i="29"/>
  <c r="AN6" i="29"/>
  <c r="AF6" i="29"/>
  <c r="AF53" i="29"/>
  <c r="AF54" i="29"/>
  <c r="AN44" i="29"/>
  <c r="AN34" i="29"/>
  <c r="AN89" i="29"/>
  <c r="AI72" i="29"/>
  <c r="AI68" i="29"/>
  <c r="AI102" i="29"/>
  <c r="AM30" i="29"/>
  <c r="AM27" i="29"/>
  <c r="AM11" i="29"/>
  <c r="AP24" i="29"/>
  <c r="AN72" i="29"/>
  <c r="AN68" i="29"/>
  <c r="AF72" i="29"/>
  <c r="AF68" i="29"/>
  <c r="AF102" i="29"/>
  <c r="AG68" i="29"/>
  <c r="AG102" i="29"/>
  <c r="AQ61" i="29"/>
  <c r="AM24" i="29"/>
  <c r="AM23" i="29"/>
  <c r="AO29" i="29"/>
  <c r="AM83" i="29"/>
  <c r="AM67" i="29"/>
  <c r="AJ72" i="29"/>
  <c r="AJ68" i="29"/>
  <c r="AJ102" i="29"/>
  <c r="AP4" i="29"/>
  <c r="AO73" i="29"/>
  <c r="AL72" i="29"/>
  <c r="AL68" i="29"/>
  <c r="AK72" i="29"/>
  <c r="AK68" i="29"/>
  <c r="AG66" i="29"/>
  <c r="AP3" i="29"/>
  <c r="Q12" i="29"/>
  <c r="AA17" i="29"/>
  <c r="W17" i="29"/>
  <c r="W16" i="29"/>
  <c r="P16" i="29"/>
  <c r="P12" i="29"/>
  <c r="U11" i="29"/>
  <c r="AC11" i="29"/>
  <c r="AD17" i="29"/>
  <c r="AD16" i="29"/>
  <c r="AC17" i="29"/>
  <c r="AC10" i="29"/>
  <c r="Y13" i="29"/>
  <c r="AE17" i="29"/>
  <c r="AD11" i="29"/>
  <c r="U17" i="29"/>
  <c r="U10" i="29"/>
  <c r="V11" i="29"/>
  <c r="W11" i="29"/>
  <c r="R12" i="29"/>
  <c r="Z17" i="29"/>
  <c r="Z10" i="29"/>
  <c r="Z66" i="29"/>
  <c r="AB72" i="29"/>
  <c r="AB68" i="29"/>
  <c r="AB102" i="29"/>
  <c r="AB66" i="29"/>
  <c r="V17" i="29"/>
  <c r="V16" i="29"/>
  <c r="W13" i="29"/>
  <c r="AE13" i="29"/>
  <c r="X13" i="29"/>
  <c r="S16" i="29"/>
  <c r="S12" i="29"/>
  <c r="Z68" i="29"/>
  <c r="Z102" i="29"/>
  <c r="T72" i="29"/>
  <c r="T68" i="29"/>
  <c r="T102" i="29"/>
  <c r="AE126" i="29"/>
  <c r="AE119" i="29"/>
  <c r="AA27" i="29"/>
  <c r="AA11" i="29"/>
  <c r="AE136" i="29"/>
  <c r="AE142" i="29"/>
  <c r="AE115" i="29"/>
  <c r="AE16" i="29"/>
  <c r="AA10" i="29"/>
  <c r="AD13" i="29"/>
  <c r="AE6" i="29"/>
  <c r="Y10" i="29"/>
  <c r="AC60" i="29"/>
  <c r="AD61" i="29"/>
  <c r="AD5" i="29"/>
  <c r="AD6" i="29"/>
  <c r="AE122" i="29"/>
  <c r="AE120" i="29"/>
  <c r="T17" i="29"/>
  <c r="T10" i="29"/>
  <c r="U72" i="29"/>
  <c r="U67" i="29"/>
  <c r="AC72" i="29"/>
  <c r="AC68" i="29"/>
  <c r="AC102" i="29"/>
  <c r="AC67" i="29"/>
  <c r="V68" i="29"/>
  <c r="V102" i="29"/>
  <c r="AD72" i="29"/>
  <c r="AD68" i="29"/>
  <c r="AD102" i="29"/>
  <c r="AD66" i="29"/>
  <c r="AE10" i="29"/>
  <c r="V13" i="29"/>
  <c r="AB17" i="29"/>
  <c r="W68" i="29"/>
  <c r="W102" i="29"/>
  <c r="AE68" i="29"/>
  <c r="AE102" i="29"/>
  <c r="AA68" i="29"/>
  <c r="AA102" i="29"/>
  <c r="U68" i="29"/>
  <c r="U102" i="29"/>
  <c r="AB27" i="29"/>
  <c r="AB11" i="29"/>
  <c r="X17" i="29"/>
  <c r="T27" i="29"/>
  <c r="T11" i="29"/>
  <c r="T13" i="29"/>
  <c r="AB13" i="29"/>
  <c r="AB10" i="29"/>
  <c r="X11" i="29"/>
  <c r="AA66" i="29"/>
  <c r="M425" i="21"/>
  <c r="M365" i="21"/>
  <c r="M305" i="21"/>
  <c r="M245" i="21"/>
  <c r="M185" i="21"/>
  <c r="L364" i="21"/>
  <c r="K364" i="21"/>
  <c r="M364" i="21"/>
  <c r="L184" i="21"/>
  <c r="K184" i="21"/>
  <c r="M184" i="21"/>
  <c r="L244" i="21"/>
  <c r="K244" i="21"/>
  <c r="M244" i="21"/>
  <c r="L304" i="21"/>
  <c r="K304" i="21"/>
  <c r="M304" i="21"/>
  <c r="P223" i="22"/>
  <c r="P170" i="22"/>
  <c r="P69" i="22"/>
  <c r="P64" i="22"/>
  <c r="AC16" i="29"/>
  <c r="AC12" i="29"/>
  <c r="AC50" i="29"/>
  <c r="AQ218" i="29"/>
  <c r="AG125" i="29"/>
  <c r="AE125" i="29"/>
  <c r="AE121" i="29"/>
  <c r="AM17" i="29"/>
  <c r="AM10" i="29"/>
  <c r="AK16" i="29"/>
  <c r="AP194" i="29"/>
  <c r="AA16" i="29"/>
  <c r="AA12" i="29"/>
  <c r="AA50" i="29"/>
  <c r="AF259" i="29"/>
  <c r="U16" i="29"/>
  <c r="U12" i="29"/>
  <c r="U50" i="29"/>
  <c r="AN12" i="29"/>
  <c r="AN50" i="29"/>
  <c r="AE12" i="29"/>
  <c r="AE50" i="29"/>
  <c r="AF125" i="29"/>
  <c r="AF121" i="29"/>
  <c r="AF155" i="29"/>
  <c r="Y16" i="29"/>
  <c r="Y12" i="29"/>
  <c r="Y50" i="29"/>
  <c r="AI259" i="29"/>
  <c r="AK125" i="29"/>
  <c r="AK259" i="29"/>
  <c r="AO173" i="29"/>
  <c r="AP53" i="29"/>
  <c r="AI213" i="29"/>
  <c r="AJ212" i="29"/>
  <c r="AF12" i="29"/>
  <c r="AF50" i="29"/>
  <c r="AF16" i="29"/>
  <c r="AK121" i="29"/>
  <c r="AK155" i="29"/>
  <c r="AD10" i="29"/>
  <c r="Z16" i="29"/>
  <c r="Z12" i="29"/>
  <c r="Z50" i="29"/>
  <c r="AL119" i="29"/>
  <c r="AN119" i="29"/>
  <c r="AI16" i="29"/>
  <c r="T16" i="29"/>
  <c r="AD12" i="29"/>
  <c r="AD50" i="29"/>
  <c r="AH16" i="29"/>
  <c r="AM125" i="29"/>
  <c r="AM121" i="29"/>
  <c r="AM155" i="29"/>
  <c r="AO259" i="29"/>
  <c r="AQ51" i="29"/>
  <c r="AQ53" i="29"/>
  <c r="AN52" i="29"/>
  <c r="AN54" i="29"/>
  <c r="AK102" i="29"/>
  <c r="AQ52" i="29"/>
  <c r="AQ54" i="29"/>
  <c r="AO52" i="29"/>
  <c r="AO54" i="29"/>
  <c r="AO207" i="29"/>
  <c r="AP148" i="29"/>
  <c r="AP40" i="29"/>
  <c r="AP151" i="29"/>
  <c r="AL102" i="29"/>
  <c r="AN51" i="29"/>
  <c r="AN53" i="29"/>
  <c r="AP114" i="29"/>
  <c r="AP5" i="29"/>
  <c r="AP6" i="29"/>
  <c r="AP18" i="30"/>
  <c r="AO17" i="30"/>
  <c r="AO9" i="30"/>
  <c r="AQ5" i="30"/>
  <c r="BK24" i="30"/>
  <c r="AN10" i="30"/>
  <c r="AN9" i="30"/>
  <c r="BL21" i="30"/>
  <c r="BM21" i="30"/>
  <c r="BN21" i="30"/>
  <c r="BO21" i="30"/>
  <c r="BP21" i="30"/>
  <c r="BQ21" i="30"/>
  <c r="BR21" i="30"/>
  <c r="BS21" i="30"/>
  <c r="BT21" i="30"/>
  <c r="BU21" i="30"/>
  <c r="BV21" i="30"/>
  <c r="BW21" i="30"/>
  <c r="BX21" i="30"/>
  <c r="BY21" i="30"/>
  <c r="BZ21" i="30"/>
  <c r="AE38" i="30"/>
  <c r="AE36" i="30"/>
  <c r="AE37" i="30"/>
  <c r="AO25" i="30"/>
  <c r="AM16" i="29"/>
  <c r="AM12" i="29"/>
  <c r="AM50" i="29"/>
  <c r="AO13" i="29"/>
  <c r="AO10" i="29"/>
  <c r="AO34" i="29"/>
  <c r="AO126" i="29"/>
  <c r="AO125" i="29"/>
  <c r="AO27" i="29"/>
  <c r="AO11" i="29"/>
  <c r="AF119" i="29"/>
  <c r="AG121" i="29"/>
  <c r="AG155" i="29"/>
  <c r="AG56" i="29"/>
  <c r="AH55" i="29"/>
  <c r="AH125" i="29"/>
  <c r="AH119" i="29"/>
  <c r="AH121" i="29"/>
  <c r="AH155" i="29"/>
  <c r="AP159" i="29"/>
  <c r="AK12" i="29"/>
  <c r="AK50" i="29"/>
  <c r="AH13" i="29"/>
  <c r="AH12" i="29"/>
  <c r="AH50" i="29"/>
  <c r="AH10" i="29"/>
  <c r="AL155" i="29"/>
  <c r="AJ12" i="29"/>
  <c r="AJ50" i="29"/>
  <c r="AK10" i="29"/>
  <c r="AG16" i="29"/>
  <c r="AG12" i="29"/>
  <c r="AG50" i="29"/>
  <c r="AO51" i="29"/>
  <c r="AO53" i="29"/>
  <c r="AP54" i="29"/>
  <c r="AO122" i="29"/>
  <c r="AP115" i="29"/>
  <c r="AO72" i="29"/>
  <c r="AO68" i="29"/>
  <c r="AO102" i="29"/>
  <c r="AN102" i="29"/>
  <c r="AJ10" i="29"/>
  <c r="AL12" i="29"/>
  <c r="AL50" i="29"/>
  <c r="AO66" i="29"/>
  <c r="AG119" i="29"/>
  <c r="AI107" i="29"/>
  <c r="AH108" i="29"/>
  <c r="AJ125" i="29"/>
  <c r="AJ121" i="29"/>
  <c r="AJ155" i="29"/>
  <c r="AQ114" i="29"/>
  <c r="AQ115" i="29"/>
  <c r="AI13" i="29"/>
  <c r="AI10" i="29"/>
  <c r="AJ160" i="29"/>
  <c r="AI161" i="29"/>
  <c r="AP158" i="29"/>
  <c r="AI264" i="29"/>
  <c r="AH265" i="29"/>
  <c r="AM66" i="29"/>
  <c r="AM72" i="29"/>
  <c r="AM68" i="29"/>
  <c r="AM102" i="29"/>
  <c r="AL10" i="29"/>
  <c r="AI125" i="29"/>
  <c r="AI121" i="29"/>
  <c r="AI155" i="29"/>
  <c r="AO142" i="29"/>
  <c r="V10" i="29"/>
  <c r="AE155" i="29"/>
  <c r="W10" i="29"/>
  <c r="W12" i="29"/>
  <c r="W50" i="29"/>
  <c r="V12" i="29"/>
  <c r="V50" i="29"/>
  <c r="AC61" i="29"/>
  <c r="AC5" i="29"/>
  <c r="AB60" i="29"/>
  <c r="AC4" i="29"/>
  <c r="T12" i="29"/>
  <c r="T50" i="29"/>
  <c r="AB16" i="29"/>
  <c r="AB12" i="29"/>
  <c r="AB50" i="29"/>
  <c r="X16" i="29"/>
  <c r="X12" i="29"/>
  <c r="X50" i="29"/>
  <c r="X10" i="29"/>
  <c r="J111" i="21"/>
  <c r="AP116" i="29"/>
  <c r="AP7" i="29"/>
  <c r="AQ151" i="29"/>
  <c r="AQ42" i="29"/>
  <c r="AP188" i="29"/>
  <c r="AQ148" i="29"/>
  <c r="AQ40" i="29"/>
  <c r="AQ246" i="29"/>
  <c r="AP89" i="29"/>
  <c r="AP42" i="29"/>
  <c r="AI12" i="29"/>
  <c r="AI50" i="29"/>
  <c r="AK212" i="29"/>
  <c r="AJ213" i="29"/>
  <c r="AO119" i="29"/>
  <c r="AO121" i="29"/>
  <c r="AO155" i="29"/>
  <c r="AP146" i="29"/>
  <c r="AP246" i="29"/>
  <c r="AP130" i="29"/>
  <c r="AP21" i="29"/>
  <c r="AP139" i="29"/>
  <c r="AP30" i="29"/>
  <c r="AN38" i="30"/>
  <c r="AN36" i="30"/>
  <c r="AN37" i="30"/>
  <c r="AP25" i="30"/>
  <c r="AR5" i="30"/>
  <c r="BW24" i="30"/>
  <c r="AP17" i="30"/>
  <c r="AP9" i="30"/>
  <c r="AQ18" i="30"/>
  <c r="AI55" i="29"/>
  <c r="AH56" i="29"/>
  <c r="AJ264" i="29"/>
  <c r="AI265" i="29"/>
  <c r="AJ107" i="29"/>
  <c r="AI108" i="29"/>
  <c r="AP73" i="29"/>
  <c r="AP106" i="29"/>
  <c r="AK160" i="29"/>
  <c r="AJ161" i="29"/>
  <c r="AQ146" i="29"/>
  <c r="AQ142" i="29"/>
  <c r="AQ194" i="29"/>
  <c r="AO16" i="29"/>
  <c r="AO12" i="29"/>
  <c r="AO50" i="29"/>
  <c r="AP83" i="29"/>
  <c r="AQ5" i="29"/>
  <c r="AQ6" i="29"/>
  <c r="AQ116" i="29"/>
  <c r="AQ7" i="29"/>
  <c r="AQ89" i="29"/>
  <c r="AC6" i="29"/>
  <c r="AB4" i="29"/>
  <c r="AA60" i="29"/>
  <c r="AB61" i="29"/>
  <c r="AB5" i="29"/>
  <c r="AB6" i="29"/>
  <c r="M421" i="21"/>
  <c r="M361" i="21"/>
  <c r="M301" i="21"/>
  <c r="M241" i="21"/>
  <c r="M181" i="21"/>
  <c r="C250" i="14"/>
  <c r="D250" i="14"/>
  <c r="C247" i="14"/>
  <c r="D247" i="14"/>
  <c r="C176" i="14"/>
  <c r="C170" i="14"/>
  <c r="D170" i="14"/>
  <c r="D168" i="14"/>
  <c r="C165" i="14"/>
  <c r="D165" i="14"/>
  <c r="P222" i="22"/>
  <c r="P271" i="22"/>
  <c r="P266" i="22"/>
  <c r="P268" i="22" s="1"/>
  <c r="P218" i="22"/>
  <c r="P213" i="22"/>
  <c r="P169" i="22"/>
  <c r="P164" i="22"/>
  <c r="P160" i="22"/>
  <c r="P163" i="22" s="1"/>
  <c r="P58" i="22"/>
  <c r="P56" i="22"/>
  <c r="AP127" i="29"/>
  <c r="AP131" i="29"/>
  <c r="AP22" i="29"/>
  <c r="AQ130" i="29"/>
  <c r="AQ21" i="29"/>
  <c r="AQ139" i="29"/>
  <c r="AQ30" i="29"/>
  <c r="AQ131" i="29"/>
  <c r="AP240" i="29"/>
  <c r="AK213" i="29"/>
  <c r="AL212" i="29"/>
  <c r="AO11" i="30"/>
  <c r="AO10" i="30"/>
  <c r="AQ38" i="29"/>
  <c r="AQ34" i="29"/>
  <c r="AP137" i="29"/>
  <c r="AP136" i="29"/>
  <c r="AP124" i="29"/>
  <c r="AP230" i="29"/>
  <c r="AQ117" i="29"/>
  <c r="AP117" i="29"/>
  <c r="AP8" i="29"/>
  <c r="AP38" i="29"/>
  <c r="AP34" i="29"/>
  <c r="AP142" i="29"/>
  <c r="P57" i="22"/>
  <c r="AQ25" i="30"/>
  <c r="AS5" i="30"/>
  <c r="AR18" i="30"/>
  <c r="AQ17" i="30"/>
  <c r="AQ9" i="30"/>
  <c r="AJ265" i="29"/>
  <c r="AK264" i="29"/>
  <c r="AP67" i="29"/>
  <c r="AP69" i="29"/>
  <c r="AP172" i="29"/>
  <c r="AP174" i="29"/>
  <c r="AP178" i="29"/>
  <c r="AQ127" i="29"/>
  <c r="AJ108" i="29"/>
  <c r="AK107" i="29"/>
  <c r="AQ83" i="29"/>
  <c r="AQ137" i="29"/>
  <c r="AQ188" i="29"/>
  <c r="AP72" i="29"/>
  <c r="AP66" i="29"/>
  <c r="AP18" i="29"/>
  <c r="AL160" i="29"/>
  <c r="AK161" i="29"/>
  <c r="AQ106" i="29"/>
  <c r="AQ22" i="29"/>
  <c r="AI56" i="29"/>
  <c r="AJ55" i="29"/>
  <c r="Z60" i="29"/>
  <c r="AA61" i="29"/>
  <c r="AA5" i="29"/>
  <c r="AA4" i="29"/>
  <c r="AO8" i="30"/>
  <c r="AQ136" i="29"/>
  <c r="AQ240" i="29"/>
  <c r="AQ118" i="29"/>
  <c r="AQ9" i="29"/>
  <c r="AL213" i="29"/>
  <c r="AM212" i="29"/>
  <c r="AQ28" i="29"/>
  <c r="AQ27" i="29"/>
  <c r="AP28" i="29"/>
  <c r="AP27" i="29"/>
  <c r="AP223" i="29"/>
  <c r="AP229" i="29"/>
  <c r="AP11" i="30"/>
  <c r="AP8" i="30"/>
  <c r="AQ224" i="29"/>
  <c r="AP224" i="29"/>
  <c r="AP226" i="29"/>
  <c r="AQ134" i="29"/>
  <c r="AQ25" i="29"/>
  <c r="AP128" i="29"/>
  <c r="AT5" i="30"/>
  <c r="AR25" i="30"/>
  <c r="AS18" i="30"/>
  <c r="AR17" i="30"/>
  <c r="AR9" i="30"/>
  <c r="AO38" i="30"/>
  <c r="AO36" i="30"/>
  <c r="AO37" i="30"/>
  <c r="AQ67" i="29"/>
  <c r="AQ123" i="29"/>
  <c r="AQ14" i="29"/>
  <c r="AQ174" i="29"/>
  <c r="AM160" i="29"/>
  <c r="AL161" i="29"/>
  <c r="AQ178" i="29"/>
  <c r="AQ177" i="29"/>
  <c r="AP177" i="29"/>
  <c r="AP173" i="29"/>
  <c r="AP207" i="29"/>
  <c r="AP171" i="29"/>
  <c r="AQ73" i="29"/>
  <c r="AQ72" i="29"/>
  <c r="AP68" i="29"/>
  <c r="AP102" i="29"/>
  <c r="AK265" i="29"/>
  <c r="AL264" i="29"/>
  <c r="AQ8" i="29"/>
  <c r="AQ69" i="29"/>
  <c r="AJ56" i="29"/>
  <c r="AK55" i="29"/>
  <c r="AQ172" i="29"/>
  <c r="AK108" i="29"/>
  <c r="AL107" i="29"/>
  <c r="AQ18" i="29"/>
  <c r="AP120" i="29"/>
  <c r="AP122" i="29"/>
  <c r="AP15" i="29"/>
  <c r="AA6" i="29"/>
  <c r="Y60" i="29"/>
  <c r="Z4" i="29"/>
  <c r="Z61" i="29"/>
  <c r="Z5" i="29"/>
  <c r="M415" i="21"/>
  <c r="M413" i="21"/>
  <c r="M355" i="21"/>
  <c r="M353" i="21"/>
  <c r="M295" i="21"/>
  <c r="M293" i="21"/>
  <c r="M235" i="21"/>
  <c r="M233" i="21"/>
  <c r="M175" i="21"/>
  <c r="M105" i="21"/>
  <c r="M103" i="21"/>
  <c r="AI10" i="20"/>
  <c r="P38" i="27"/>
  <c r="P44" i="27"/>
  <c r="P20" i="27"/>
  <c r="Z6" i="29"/>
  <c r="AM213" i="29"/>
  <c r="AN212" i="29"/>
  <c r="AQ230" i="29"/>
  <c r="AQ229" i="29"/>
  <c r="AP10" i="30"/>
  <c r="AP38" i="30"/>
  <c r="AQ68" i="29"/>
  <c r="AQ102" i="29"/>
  <c r="AQ66" i="29"/>
  <c r="AQ124" i="29"/>
  <c r="AQ120" i="29"/>
  <c r="AQ128" i="29"/>
  <c r="AP19" i="29"/>
  <c r="AP17" i="29"/>
  <c r="AP126" i="29"/>
  <c r="AQ226" i="29"/>
  <c r="AP225" i="29"/>
  <c r="AP259" i="29"/>
  <c r="AQ11" i="30"/>
  <c r="AU5" i="30"/>
  <c r="AS17" i="30"/>
  <c r="AS9" i="30"/>
  <c r="AT18" i="30"/>
  <c r="AS25" i="30"/>
  <c r="AQ171" i="29"/>
  <c r="AL265" i="29"/>
  <c r="AM264" i="29"/>
  <c r="AN160" i="29"/>
  <c r="AM161" i="29"/>
  <c r="AP11" i="29"/>
  <c r="AP13" i="29"/>
  <c r="AL108" i="29"/>
  <c r="AM107" i="29"/>
  <c r="AK56" i="29"/>
  <c r="AL55" i="29"/>
  <c r="AQ173" i="29"/>
  <c r="AQ207" i="29"/>
  <c r="Y61" i="29"/>
  <c r="Y5" i="29"/>
  <c r="X60" i="29"/>
  <c r="Y4" i="29"/>
  <c r="AP36" i="30"/>
  <c r="AP37" i="30"/>
  <c r="AO212" i="29"/>
  <c r="AN213" i="29"/>
  <c r="E27" i="27"/>
  <c r="AQ223" i="29"/>
  <c r="AQ225" i="29"/>
  <c r="AQ259" i="29"/>
  <c r="AQ122" i="29"/>
  <c r="AQ15" i="29"/>
  <c r="AQ11" i="29"/>
  <c r="I27" i="27"/>
  <c r="L27" i="27"/>
  <c r="AR11" i="30"/>
  <c r="AR10" i="30"/>
  <c r="M27" i="27"/>
  <c r="J27" i="27"/>
  <c r="H27" i="27"/>
  <c r="AP125" i="29"/>
  <c r="AP121" i="29"/>
  <c r="AP155" i="29"/>
  <c r="AP119" i="29"/>
  <c r="AP16" i="29"/>
  <c r="AP12" i="29"/>
  <c r="AP50" i="29"/>
  <c r="AP10" i="29"/>
  <c r="AQ126" i="29"/>
  <c r="AQ19" i="29"/>
  <c r="AQ17" i="29"/>
  <c r="G27" i="27"/>
  <c r="O27" i="27"/>
  <c r="N27" i="27"/>
  <c r="K27" i="27"/>
  <c r="AT25" i="30"/>
  <c r="AV5" i="30"/>
  <c r="AQ10" i="30"/>
  <c r="AQ8" i="30"/>
  <c r="AU18" i="30"/>
  <c r="AT17" i="30"/>
  <c r="AT9" i="30"/>
  <c r="AN161" i="29"/>
  <c r="AO160" i="29"/>
  <c r="AN107" i="29"/>
  <c r="AM108" i="29"/>
  <c r="AM55" i="29"/>
  <c r="AL56" i="29"/>
  <c r="AM265" i="29"/>
  <c r="AN264" i="29"/>
  <c r="X61" i="29"/>
  <c r="X5" i="29"/>
  <c r="X4" i="29"/>
  <c r="W60" i="29"/>
  <c r="Y6" i="29"/>
  <c r="D85" i="27"/>
  <c r="P16" i="27"/>
  <c r="P17" i="27"/>
  <c r="C98" i="27"/>
  <c r="B26" i="27"/>
  <c r="B25" i="27"/>
  <c r="B24" i="27"/>
  <c r="B23" i="27"/>
  <c r="B21" i="27"/>
  <c r="B19" i="27"/>
  <c r="B18" i="27"/>
  <c r="B98" i="27"/>
  <c r="P85" i="27"/>
  <c r="AR8" i="30"/>
  <c r="AQ13" i="29"/>
  <c r="F27" i="27"/>
  <c r="AO213" i="29"/>
  <c r="AP212" i="29"/>
  <c r="P3" i="27"/>
  <c r="P21" i="27"/>
  <c r="P19" i="27"/>
  <c r="P15" i="27"/>
  <c r="P24" i="27"/>
  <c r="P23" i="27"/>
  <c r="AQ125" i="29"/>
  <c r="AQ121" i="29"/>
  <c r="AQ155" i="29"/>
  <c r="AQ119" i="29"/>
  <c r="AQ16" i="29"/>
  <c r="AQ12" i="29"/>
  <c r="AQ50" i="29"/>
  <c r="AQ10" i="29"/>
  <c r="AS11" i="30"/>
  <c r="AS10" i="30"/>
  <c r="AQ38" i="30"/>
  <c r="AQ36" i="30"/>
  <c r="AQ37" i="30"/>
  <c r="AR38" i="30"/>
  <c r="AR36" i="30"/>
  <c r="AR37" i="30"/>
  <c r="AU25" i="30"/>
  <c r="AU17" i="30"/>
  <c r="AU9" i="30"/>
  <c r="AV18" i="30"/>
  <c r="AW5" i="30"/>
  <c r="AO107" i="29"/>
  <c r="AN108" i="29"/>
  <c r="AO161" i="29"/>
  <c r="AP160" i="29"/>
  <c r="AO264" i="29"/>
  <c r="AN265" i="29"/>
  <c r="AN55" i="29"/>
  <c r="AM56" i="29"/>
  <c r="X6" i="29"/>
  <c r="V60" i="29"/>
  <c r="W61" i="29"/>
  <c r="W5" i="29"/>
  <c r="W4" i="29"/>
  <c r="P14" i="27"/>
  <c r="T85" i="27"/>
  <c r="S85" i="27"/>
  <c r="R21" i="27"/>
  <c r="Q21" i="27"/>
  <c r="R20" i="27"/>
  <c r="Q20" i="27"/>
  <c r="R12" i="27"/>
  <c r="Q12" i="27"/>
  <c r="R25" i="27"/>
  <c r="Q25" i="27"/>
  <c r="R14" i="27"/>
  <c r="Q14" i="27"/>
  <c r="R16" i="27"/>
  <c r="Q16" i="27"/>
  <c r="R22" i="27"/>
  <c r="Q22" i="27"/>
  <c r="R24" i="27"/>
  <c r="Q24" i="27"/>
  <c r="R15" i="27"/>
  <c r="Q15" i="27"/>
  <c r="R4" i="27"/>
  <c r="Q4" i="27"/>
  <c r="R17" i="27"/>
  <c r="Q17" i="27"/>
  <c r="R19" i="27"/>
  <c r="Q19" i="27"/>
  <c r="R23" i="27"/>
  <c r="Q23" i="27"/>
  <c r="AP213" i="29"/>
  <c r="AQ212" i="29"/>
  <c r="AQ213" i="29"/>
  <c r="AS8" i="30"/>
  <c r="AT11" i="30"/>
  <c r="AT10" i="30"/>
  <c r="AV25" i="30"/>
  <c r="AX5" i="30"/>
  <c r="AW18" i="30"/>
  <c r="AV17" i="30"/>
  <c r="AV9" i="30"/>
  <c r="AS38" i="30"/>
  <c r="AS36" i="30"/>
  <c r="AS37" i="30"/>
  <c r="AO55" i="29"/>
  <c r="AN56" i="29"/>
  <c r="AP107" i="29"/>
  <c r="AO108" i="29"/>
  <c r="AP264" i="29"/>
  <c r="AO265" i="29"/>
  <c r="AP161" i="29"/>
  <c r="AQ160" i="29"/>
  <c r="AQ161" i="29"/>
  <c r="U60" i="29"/>
  <c r="V4" i="29"/>
  <c r="V61" i="29"/>
  <c r="V5" i="29"/>
  <c r="W6" i="29"/>
  <c r="B15" i="27"/>
  <c r="B16" i="27"/>
  <c r="B17" i="27"/>
  <c r="B14" i="27"/>
  <c r="B4" i="27"/>
  <c r="B8" i="27"/>
  <c r="AT8" i="30"/>
  <c r="S12" i="27"/>
  <c r="T12" i="27"/>
  <c r="B13" i="27"/>
  <c r="AW25" i="30"/>
  <c r="AT38" i="30"/>
  <c r="AT36" i="30"/>
  <c r="AT37" i="30"/>
  <c r="AY5" i="30"/>
  <c r="AX18" i="30"/>
  <c r="AW17" i="30"/>
  <c r="AW9" i="30"/>
  <c r="AU11" i="30"/>
  <c r="AQ264" i="29"/>
  <c r="AQ265" i="29"/>
  <c r="AP265" i="29"/>
  <c r="AQ107" i="29"/>
  <c r="AQ108" i="29"/>
  <c r="AP108" i="29"/>
  <c r="AO56" i="29"/>
  <c r="AP55" i="29"/>
  <c r="V6" i="29"/>
  <c r="T60" i="29"/>
  <c r="U4" i="29"/>
  <c r="U61" i="29"/>
  <c r="U5" i="29"/>
  <c r="AI20" i="20"/>
  <c r="AJ20" i="20"/>
  <c r="AK20" i="20"/>
  <c r="AJ125" i="20"/>
  <c r="M462" i="21"/>
  <c r="M463" i="21"/>
  <c r="J463" i="21"/>
  <c r="M450" i="21"/>
  <c r="M436" i="21"/>
  <c r="J436" i="21"/>
  <c r="M440" i="21"/>
  <c r="M390" i="21"/>
  <c r="J390" i="21"/>
  <c r="M376" i="21"/>
  <c r="J376" i="21"/>
  <c r="M380" i="21"/>
  <c r="J380" i="21"/>
  <c r="M342" i="21"/>
  <c r="J342" i="21"/>
  <c r="M343" i="21"/>
  <c r="J343" i="21"/>
  <c r="M330" i="21"/>
  <c r="J330" i="21"/>
  <c r="M316" i="21"/>
  <c r="J316" i="21"/>
  <c r="J320" i="21"/>
  <c r="M222" i="21"/>
  <c r="J222" i="21"/>
  <c r="M223" i="21"/>
  <c r="M283" i="21"/>
  <c r="J283" i="21"/>
  <c r="M282" i="21"/>
  <c r="J282" i="21"/>
  <c r="M270" i="21"/>
  <c r="J270" i="21"/>
  <c r="M256" i="21"/>
  <c r="J256" i="21"/>
  <c r="M260" i="21"/>
  <c r="J260" i="21"/>
  <c r="M210" i="21"/>
  <c r="J210" i="21"/>
  <c r="AK125" i="20"/>
  <c r="AI125" i="20"/>
  <c r="M196" i="21"/>
  <c r="M200" i="21"/>
  <c r="J200" i="21"/>
  <c r="AT102" i="25"/>
  <c r="AS102" i="25"/>
  <c r="AR102" i="25"/>
  <c r="N314" i="14"/>
  <c r="S314" i="14"/>
  <c r="AQ102" i="25"/>
  <c r="M314" i="14"/>
  <c r="AP102" i="25"/>
  <c r="L314" i="14"/>
  <c r="AO102" i="25"/>
  <c r="K314" i="14"/>
  <c r="AN102" i="25"/>
  <c r="J314" i="14"/>
  <c r="AM102" i="25"/>
  <c r="I314" i="14"/>
  <c r="AL102" i="25"/>
  <c r="H314" i="14"/>
  <c r="AJ102" i="25"/>
  <c r="F314" i="14"/>
  <c r="AT96" i="25"/>
  <c r="AT16" i="25"/>
  <c r="AS96" i="25"/>
  <c r="AS16" i="25"/>
  <c r="AR96" i="25"/>
  <c r="AQ96" i="25"/>
  <c r="AP96" i="25"/>
  <c r="AO96" i="25"/>
  <c r="AN96" i="25"/>
  <c r="AM96" i="25"/>
  <c r="AL96" i="25"/>
  <c r="AK96" i="25"/>
  <c r="AJ96" i="25"/>
  <c r="AT91" i="25"/>
  <c r="AS91" i="25"/>
  <c r="AR91" i="25"/>
  <c r="N304" i="14"/>
  <c r="S304" i="14"/>
  <c r="AQ91" i="25"/>
  <c r="M304" i="14"/>
  <c r="AP91" i="25"/>
  <c r="L304" i="14"/>
  <c r="AO91" i="25"/>
  <c r="K304" i="14"/>
  <c r="AN91" i="25"/>
  <c r="J304" i="14"/>
  <c r="AM91" i="25"/>
  <c r="I304" i="14"/>
  <c r="AL91" i="25"/>
  <c r="H304" i="14"/>
  <c r="AK91" i="25"/>
  <c r="G304" i="14"/>
  <c r="AJ91" i="25"/>
  <c r="AT88" i="25"/>
  <c r="AS88" i="25"/>
  <c r="O301" i="14"/>
  <c r="AR88" i="25"/>
  <c r="N301" i="14"/>
  <c r="S301" i="14"/>
  <c r="AQ88" i="25"/>
  <c r="AP88" i="25"/>
  <c r="AO88" i="25"/>
  <c r="K301" i="14"/>
  <c r="AN88" i="25"/>
  <c r="AL88" i="25"/>
  <c r="AK88" i="25"/>
  <c r="AJ88" i="25"/>
  <c r="AS62" i="25"/>
  <c r="AR62" i="25"/>
  <c r="AQ62" i="25"/>
  <c r="AQ78" i="25"/>
  <c r="AP62" i="25"/>
  <c r="AO62" i="25"/>
  <c r="AN62" i="25"/>
  <c r="AN78" i="25"/>
  <c r="AJ62" i="25"/>
  <c r="AJ78" i="25"/>
  <c r="AT44" i="25"/>
  <c r="AT41" i="25"/>
  <c r="AS21" i="25"/>
  <c r="AR44" i="25"/>
  <c r="AR41" i="25"/>
  <c r="AQ44" i="25"/>
  <c r="AQ41" i="25"/>
  <c r="AP44" i="25"/>
  <c r="AP41" i="25"/>
  <c r="AO44" i="25"/>
  <c r="AO41" i="25"/>
  <c r="AN44" i="25"/>
  <c r="AN41" i="25"/>
  <c r="AM44" i="25"/>
  <c r="AM41" i="25"/>
  <c r="AL44" i="25"/>
  <c r="AL21" i="25"/>
  <c r="H279" i="14"/>
  <c r="AK44" i="25"/>
  <c r="AJ44" i="25"/>
  <c r="AJ21" i="25"/>
  <c r="F279" i="14"/>
  <c r="AT38" i="25"/>
  <c r="AS38" i="25"/>
  <c r="AR38" i="25"/>
  <c r="AQ38" i="25"/>
  <c r="AQ52" i="25"/>
  <c r="AP38" i="25"/>
  <c r="AO38" i="25"/>
  <c r="AN38" i="25"/>
  <c r="AN52" i="25"/>
  <c r="AM38" i="25"/>
  <c r="AM52" i="25"/>
  <c r="AK38" i="25"/>
  <c r="AK52" i="25"/>
  <c r="AJ38" i="25"/>
  <c r="AJ52" i="25"/>
  <c r="AT20" i="25"/>
  <c r="P278" i="14"/>
  <c r="AS20" i="25"/>
  <c r="N278" i="14"/>
  <c r="M278" i="14"/>
  <c r="AP20" i="25"/>
  <c r="L278" i="14"/>
  <c r="AO20" i="25"/>
  <c r="K278" i="14"/>
  <c r="AN20" i="25"/>
  <c r="J278" i="14"/>
  <c r="AM20" i="25"/>
  <c r="I278" i="14"/>
  <c r="AL20" i="25"/>
  <c r="H278" i="14"/>
  <c r="AK20" i="25"/>
  <c r="G278" i="14"/>
  <c r="AJ20" i="25"/>
  <c r="F278" i="14"/>
  <c r="AT24" i="25"/>
  <c r="P283" i="14"/>
  <c r="AS24" i="25"/>
  <c r="AR24" i="25"/>
  <c r="N283" i="14"/>
  <c r="AQ24" i="25"/>
  <c r="M283" i="14"/>
  <c r="AP24" i="25"/>
  <c r="L283" i="14"/>
  <c r="AO24" i="25"/>
  <c r="K283" i="14"/>
  <c r="AN24" i="25"/>
  <c r="J283" i="14"/>
  <c r="AM24" i="25"/>
  <c r="I283" i="14"/>
  <c r="AL24" i="25"/>
  <c r="H283" i="14"/>
  <c r="AK24" i="25"/>
  <c r="G283" i="14"/>
  <c r="AJ24" i="25"/>
  <c r="F283" i="14"/>
  <c r="AT23" i="25"/>
  <c r="P277" i="14"/>
  <c r="AS23" i="25"/>
  <c r="O277" i="14"/>
  <c r="AR23" i="25"/>
  <c r="N277" i="14"/>
  <c r="AQ23" i="25"/>
  <c r="M277" i="14"/>
  <c r="AP23" i="25"/>
  <c r="L277" i="14"/>
  <c r="AO23" i="25"/>
  <c r="K277" i="14"/>
  <c r="AN23" i="25"/>
  <c r="J277" i="14"/>
  <c r="AM23" i="25"/>
  <c r="I277" i="14"/>
  <c r="AK23" i="25"/>
  <c r="G277" i="14"/>
  <c r="AJ23" i="25"/>
  <c r="F277" i="14"/>
  <c r="AT19" i="25"/>
  <c r="P276" i="14"/>
  <c r="AR19" i="25"/>
  <c r="N276" i="14"/>
  <c r="AQ19" i="25"/>
  <c r="M276" i="14"/>
  <c r="AP19" i="25"/>
  <c r="L276" i="14"/>
  <c r="AO19" i="25"/>
  <c r="K276" i="14"/>
  <c r="AN19" i="25"/>
  <c r="J276" i="14"/>
  <c r="I276" i="14"/>
  <c r="AL19" i="25"/>
  <c r="H276" i="14"/>
  <c r="AK19" i="25"/>
  <c r="AJ19" i="25"/>
  <c r="F276" i="14"/>
  <c r="AT17" i="25"/>
  <c r="AS17" i="25"/>
  <c r="AR17" i="25"/>
  <c r="AQ17" i="25"/>
  <c r="AP17" i="25"/>
  <c r="AO17" i="25"/>
  <c r="AN17" i="25"/>
  <c r="AM17" i="25"/>
  <c r="AL17" i="25"/>
  <c r="AK17" i="25"/>
  <c r="AJ17" i="25"/>
  <c r="AT13" i="25"/>
  <c r="AS13" i="25"/>
  <c r="AR13" i="25"/>
  <c r="AQ13" i="25"/>
  <c r="AP13" i="25"/>
  <c r="AO13" i="25"/>
  <c r="AN13" i="25"/>
  <c r="AM13" i="25"/>
  <c r="AL13" i="25"/>
  <c r="AK13" i="25"/>
  <c r="AJ13" i="25"/>
  <c r="AT12" i="25"/>
  <c r="AS12" i="25"/>
  <c r="AR12" i="25"/>
  <c r="AQ12" i="25"/>
  <c r="AP12" i="25"/>
  <c r="AO12" i="25"/>
  <c r="AN12" i="25"/>
  <c r="AM12" i="25"/>
  <c r="AL12" i="25"/>
  <c r="AK12" i="25"/>
  <c r="AJ12" i="25"/>
  <c r="AT7" i="25"/>
  <c r="AS7" i="25"/>
  <c r="AR7" i="25"/>
  <c r="AQ7" i="25"/>
  <c r="AH7" i="25"/>
  <c r="AP7" i="25"/>
  <c r="AO7" i="25"/>
  <c r="AN7" i="25"/>
  <c r="AM7" i="25"/>
  <c r="AI7" i="25"/>
  <c r="AL7" i="25"/>
  <c r="AK7" i="25"/>
  <c r="AJ7" i="25"/>
  <c r="AI91" i="25"/>
  <c r="AI82" i="25"/>
  <c r="S283" i="14"/>
  <c r="R283" i="14"/>
  <c r="S276" i="14"/>
  <c r="R276" i="14"/>
  <c r="S278" i="14"/>
  <c r="R278" i="14"/>
  <c r="S277" i="14"/>
  <c r="R277" i="14"/>
  <c r="O275" i="14"/>
  <c r="AT21" i="25"/>
  <c r="P279" i="14"/>
  <c r="P289" i="14"/>
  <c r="AT82" i="25"/>
  <c r="AT81" i="25"/>
  <c r="AL82" i="25"/>
  <c r="L301" i="14"/>
  <c r="AP82" i="25"/>
  <c r="AR16" i="25"/>
  <c r="N308" i="14"/>
  <c r="S308" i="14"/>
  <c r="M301" i="14"/>
  <c r="R301" i="14"/>
  <c r="AQ82" i="25"/>
  <c r="R314" i="14"/>
  <c r="R304" i="14"/>
  <c r="AP52" i="25"/>
  <c r="L289" i="14"/>
  <c r="AO78" i="25"/>
  <c r="K290" i="14"/>
  <c r="AP78" i="25"/>
  <c r="L290" i="14"/>
  <c r="AO52" i="25"/>
  <c r="K289" i="14"/>
  <c r="J289" i="14"/>
  <c r="M289" i="14"/>
  <c r="F290" i="14"/>
  <c r="AO16" i="25"/>
  <c r="K308" i="14"/>
  <c r="AP16" i="25"/>
  <c r="L308" i="14"/>
  <c r="AQ16" i="25"/>
  <c r="AQ9" i="25"/>
  <c r="M308" i="14"/>
  <c r="M290" i="14"/>
  <c r="L295" i="14"/>
  <c r="AO82" i="25"/>
  <c r="K295" i="14"/>
  <c r="AN16" i="25"/>
  <c r="AN9" i="25"/>
  <c r="J308" i="14"/>
  <c r="AN82" i="25"/>
  <c r="J301" i="14"/>
  <c r="AN21" i="25"/>
  <c r="J279" i="14"/>
  <c r="J275" i="14"/>
  <c r="J196" i="21"/>
  <c r="D8" i="27"/>
  <c r="P8" i="27"/>
  <c r="R8" i="27"/>
  <c r="Q8" i="27"/>
  <c r="J223" i="21"/>
  <c r="D18" i="27"/>
  <c r="D13" i="27"/>
  <c r="J440" i="21"/>
  <c r="J450" i="21"/>
  <c r="J462" i="21"/>
  <c r="M456" i="21"/>
  <c r="J456" i="21"/>
  <c r="AS41" i="25"/>
  <c r="AS51" i="25"/>
  <c r="AM82" i="25"/>
  <c r="AM81" i="25"/>
  <c r="I294" i="14"/>
  <c r="AJ82" i="25"/>
  <c r="F295" i="14"/>
  <c r="AR82" i="25"/>
  <c r="N295" i="14"/>
  <c r="AK82" i="25"/>
  <c r="AK81" i="25"/>
  <c r="AS82" i="25"/>
  <c r="I301" i="14"/>
  <c r="AR21" i="25"/>
  <c r="N279" i="14"/>
  <c r="F301" i="14"/>
  <c r="E304" i="14"/>
  <c r="G301" i="14"/>
  <c r="AL41" i="25"/>
  <c r="AL51" i="25"/>
  <c r="AR9" i="25"/>
  <c r="AP21" i="25"/>
  <c r="L279" i="14"/>
  <c r="J290" i="14"/>
  <c r="M336" i="21"/>
  <c r="J336" i="21"/>
  <c r="M276" i="21"/>
  <c r="J276" i="21"/>
  <c r="M216" i="21"/>
  <c r="J216" i="21"/>
  <c r="AL11" i="25"/>
  <c r="AT11" i="25"/>
  <c r="AM16" i="25"/>
  <c r="AM9" i="25"/>
  <c r="I308" i="14"/>
  <c r="AT9" i="25"/>
  <c r="AO15" i="25"/>
  <c r="P275" i="14"/>
  <c r="F275" i="14"/>
  <c r="G276" i="14"/>
  <c r="F289" i="14"/>
  <c r="AH38" i="25"/>
  <c r="AK41" i="25"/>
  <c r="AK51" i="25"/>
  <c r="AK21" i="25"/>
  <c r="H295" i="14"/>
  <c r="H301" i="14"/>
  <c r="F304" i="14"/>
  <c r="AL16" i="25"/>
  <c r="AL9" i="25"/>
  <c r="H308" i="14"/>
  <c r="H275" i="14"/>
  <c r="I289" i="14"/>
  <c r="I290" i="14"/>
  <c r="AK16" i="25"/>
  <c r="AK9" i="25"/>
  <c r="G308" i="14"/>
  <c r="AJ16" i="25"/>
  <c r="AJ9" i="25"/>
  <c r="F308" i="14"/>
  <c r="AJ41" i="25"/>
  <c r="AJ51" i="25"/>
  <c r="AP11" i="25"/>
  <c r="AR51" i="25"/>
  <c r="AL18" i="25"/>
  <c r="AT18" i="25"/>
  <c r="AO21" i="25"/>
  <c r="K279" i="14"/>
  <c r="K275" i="14"/>
  <c r="AT51" i="25"/>
  <c r="AQ21" i="25"/>
  <c r="M279" i="14"/>
  <c r="AN51" i="25"/>
  <c r="AR77" i="25"/>
  <c r="AK11" i="25"/>
  <c r="AS11" i="25"/>
  <c r="AM21" i="25"/>
  <c r="AS18" i="25"/>
  <c r="AJ18" i="25"/>
  <c r="AJ77" i="25"/>
  <c r="AV11" i="30"/>
  <c r="AV8" i="30"/>
  <c r="AZ5" i="30"/>
  <c r="AX25" i="30"/>
  <c r="AU10" i="30"/>
  <c r="AU8" i="30"/>
  <c r="AX17" i="30"/>
  <c r="AX9" i="30"/>
  <c r="AY18" i="30"/>
  <c r="AQ55" i="29"/>
  <c r="AQ56" i="29"/>
  <c r="AP56" i="29"/>
  <c r="U6" i="29"/>
  <c r="T61" i="29"/>
  <c r="T5" i="29"/>
  <c r="T4" i="29"/>
  <c r="AO81" i="25"/>
  <c r="AP15" i="25"/>
  <c r="AS77" i="25"/>
  <c r="AL77" i="25"/>
  <c r="AT77" i="25"/>
  <c r="N290" i="14"/>
  <c r="P290" i="14"/>
  <c r="AM77" i="25"/>
  <c r="AO77" i="25"/>
  <c r="AP9" i="25"/>
  <c r="AM11" i="25"/>
  <c r="H289" i="14"/>
  <c r="AJ11" i="25"/>
  <c r="AR11" i="25"/>
  <c r="AO11" i="25"/>
  <c r="AS9" i="25"/>
  <c r="AQ11" i="25"/>
  <c r="G289" i="14"/>
  <c r="AQ51" i="25"/>
  <c r="AN11" i="25"/>
  <c r="AM51" i="25"/>
  <c r="N289" i="14"/>
  <c r="AN77" i="25"/>
  <c r="AP77" i="25"/>
  <c r="AO51" i="25"/>
  <c r="AO9" i="25"/>
  <c r="AP51" i="25"/>
  <c r="AQ77" i="25"/>
  <c r="S275" i="14"/>
  <c r="R275" i="14"/>
  <c r="S279" i="14"/>
  <c r="R279" i="14"/>
  <c r="AT15" i="25"/>
  <c r="AT14" i="25"/>
  <c r="AT30" i="25"/>
  <c r="AT31" i="25"/>
  <c r="AS15" i="25"/>
  <c r="O295" i="14"/>
  <c r="R308" i="14"/>
  <c r="AS81" i="25"/>
  <c r="G295" i="14"/>
  <c r="AR81" i="25"/>
  <c r="N294" i="14"/>
  <c r="S295" i="14"/>
  <c r="N275" i="14"/>
  <c r="AO14" i="25"/>
  <c r="AO10" i="25"/>
  <c r="AR18" i="25"/>
  <c r="AN18" i="25"/>
  <c r="AQ15" i="25"/>
  <c r="AQ14" i="25"/>
  <c r="AQ10" i="25"/>
  <c r="M295" i="14"/>
  <c r="M275" i="14"/>
  <c r="T308" i="14"/>
  <c r="L275" i="14"/>
  <c r="K294" i="14"/>
  <c r="K273" i="14"/>
  <c r="K272" i="14"/>
  <c r="K288" i="14"/>
  <c r="AN81" i="25"/>
  <c r="J295" i="14"/>
  <c r="AP18" i="25"/>
  <c r="AO8" i="25"/>
  <c r="T304" i="14"/>
  <c r="X304" i="14"/>
  <c r="AL15" i="25"/>
  <c r="AL14" i="25"/>
  <c r="AL10" i="25"/>
  <c r="AL30" i="25"/>
  <c r="AL31" i="25"/>
  <c r="AR15" i="25"/>
  <c r="AR14" i="25"/>
  <c r="AR10" i="25"/>
  <c r="AJ15" i="25"/>
  <c r="AJ14" i="25"/>
  <c r="AJ10" i="25"/>
  <c r="AJ30" i="25"/>
  <c r="AJ31" i="25"/>
  <c r="AQ18" i="25"/>
  <c r="AJ81" i="25"/>
  <c r="AJ109" i="25"/>
  <c r="F321" i="14"/>
  <c r="AL81" i="25"/>
  <c r="AL109" i="25"/>
  <c r="H321" i="14"/>
  <c r="J273" i="14"/>
  <c r="AN15" i="25"/>
  <c r="AN8" i="25"/>
  <c r="AV10" i="30"/>
  <c r="AV36" i="30"/>
  <c r="AV37" i="30"/>
  <c r="AK15" i="25"/>
  <c r="AK8" i="25"/>
  <c r="AM15" i="25"/>
  <c r="I295" i="14"/>
  <c r="AO109" i="25"/>
  <c r="K321" i="14"/>
  <c r="AT109" i="25"/>
  <c r="P273" i="14"/>
  <c r="AO18" i="25"/>
  <c r="N273" i="14"/>
  <c r="T301" i="14"/>
  <c r="G279" i="14"/>
  <c r="AK18" i="25"/>
  <c r="AM18" i="25"/>
  <c r="I279" i="14"/>
  <c r="I275" i="14"/>
  <c r="AM109" i="25"/>
  <c r="I321" i="14"/>
  <c r="I273" i="14"/>
  <c r="AK109" i="25"/>
  <c r="G321" i="14"/>
  <c r="G273" i="14"/>
  <c r="G294" i="14"/>
  <c r="D98" i="27"/>
  <c r="P98" i="27"/>
  <c r="AQ81" i="25"/>
  <c r="M294" i="14"/>
  <c r="AT8" i="25"/>
  <c r="AW11" i="30"/>
  <c r="AW10" i="30"/>
  <c r="P18" i="27"/>
  <c r="AU38" i="30"/>
  <c r="AU36" i="30"/>
  <c r="AU37" i="30"/>
  <c r="BA5" i="30"/>
  <c r="AY17" i="30"/>
  <c r="AY9" i="30"/>
  <c r="AZ18" i="30"/>
  <c r="AY25" i="30"/>
  <c r="T6" i="29"/>
  <c r="AP81" i="25"/>
  <c r="AP8" i="25"/>
  <c r="AP14" i="25"/>
  <c r="AS14" i="25"/>
  <c r="AS10" i="25"/>
  <c r="AS30" i="25"/>
  <c r="AS31" i="25"/>
  <c r="AS8" i="25"/>
  <c r="P272" i="14"/>
  <c r="S273" i="14"/>
  <c r="AS109" i="25"/>
  <c r="O321" i="14"/>
  <c r="O294" i="14"/>
  <c r="O273" i="14"/>
  <c r="R273" i="14"/>
  <c r="AR109" i="25"/>
  <c r="N321" i="14"/>
  <c r="S321" i="14"/>
  <c r="R295" i="14"/>
  <c r="S294" i="14"/>
  <c r="R294" i="14"/>
  <c r="N272" i="14"/>
  <c r="AR30" i="25"/>
  <c r="AR31" i="25"/>
  <c r="AQ8" i="25"/>
  <c r="AP10" i="25"/>
  <c r="AP30" i="25"/>
  <c r="AP31" i="25"/>
  <c r="L273" i="14"/>
  <c r="L272" i="14"/>
  <c r="L288" i="14"/>
  <c r="L294" i="14"/>
  <c r="K284" i="14"/>
  <c r="J294" i="14"/>
  <c r="AN109" i="25"/>
  <c r="J321" i="14"/>
  <c r="J272" i="14"/>
  <c r="J284" i="14"/>
  <c r="W304" i="14"/>
  <c r="AR8" i="25"/>
  <c r="AJ8" i="25"/>
  <c r="AL8" i="25"/>
  <c r="AQ30" i="25"/>
  <c r="AQ31" i="25"/>
  <c r="F273" i="14"/>
  <c r="F272" i="14"/>
  <c r="AK14" i="25"/>
  <c r="AK10" i="25"/>
  <c r="AK30" i="25"/>
  <c r="AK31" i="25"/>
  <c r="F294" i="14"/>
  <c r="AO30" i="25"/>
  <c r="AO31" i="25"/>
  <c r="H294" i="14"/>
  <c r="H273" i="14"/>
  <c r="AN14" i="25"/>
  <c r="AN10" i="25"/>
  <c r="AN30" i="25"/>
  <c r="AN31" i="25"/>
  <c r="AV38" i="30"/>
  <c r="AM8" i="25"/>
  <c r="AM14" i="25"/>
  <c r="AM10" i="25"/>
  <c r="AM30" i="25"/>
  <c r="AM31" i="25"/>
  <c r="I272" i="14"/>
  <c r="I288" i="14"/>
  <c r="AP109" i="25"/>
  <c r="L321" i="14"/>
  <c r="AQ109" i="25"/>
  <c r="M321" i="14"/>
  <c r="R321" i="14"/>
  <c r="M273" i="14"/>
  <c r="G275" i="14"/>
  <c r="W301" i="14"/>
  <c r="X301" i="14"/>
  <c r="P288" i="14"/>
  <c r="P284" i="14"/>
  <c r="P13" i="27"/>
  <c r="R13" i="27"/>
  <c r="Q13" i="27"/>
  <c r="R18" i="27"/>
  <c r="Q18" i="27"/>
  <c r="G272" i="14"/>
  <c r="X308" i="14"/>
  <c r="W308" i="14"/>
  <c r="AW8" i="30"/>
  <c r="AX11" i="30"/>
  <c r="AX10" i="30"/>
  <c r="BB5" i="30"/>
  <c r="AZ25" i="30"/>
  <c r="AW38" i="30"/>
  <c r="AW36" i="30"/>
  <c r="AW37" i="30"/>
  <c r="BA18" i="30"/>
  <c r="AZ17" i="30"/>
  <c r="AZ9" i="30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P15" i="23"/>
  <c r="P14" i="23"/>
  <c r="P13" i="23"/>
  <c r="P11" i="23"/>
  <c r="P10" i="23"/>
  <c r="P9" i="23"/>
  <c r="P8" i="23"/>
  <c r="P7" i="23"/>
  <c r="P11" i="28"/>
  <c r="P8" i="28"/>
  <c r="P7" i="28"/>
  <c r="P6" i="28"/>
  <c r="P5" i="28"/>
  <c r="P3" i="28"/>
  <c r="Q4" i="28"/>
  <c r="Q9" i="28"/>
  <c r="Q12" i="28"/>
  <c r="R4" i="28"/>
  <c r="R9" i="28"/>
  <c r="S9" i="28"/>
  <c r="S12" i="28"/>
  <c r="T4" i="28"/>
  <c r="T9" i="28"/>
  <c r="T12" i="28"/>
  <c r="U4" i="28"/>
  <c r="U9" i="28"/>
  <c r="V4" i="28"/>
  <c r="V9" i="28"/>
  <c r="W4" i="28"/>
  <c r="W9" i="28"/>
  <c r="W12" i="28"/>
  <c r="X4" i="28"/>
  <c r="X9" i="28"/>
  <c r="Y4" i="28"/>
  <c r="Y9" i="28"/>
  <c r="Z4" i="28"/>
  <c r="Z9" i="28"/>
  <c r="Z12" i="28"/>
  <c r="AA4" i="28"/>
  <c r="AA9" i="28"/>
  <c r="AB4" i="28"/>
  <c r="AB9" i="28"/>
  <c r="S272" i="14"/>
  <c r="R272" i="14"/>
  <c r="P4" i="28"/>
  <c r="Z25" i="28"/>
  <c r="O272" i="14"/>
  <c r="N284" i="14"/>
  <c r="N288" i="14"/>
  <c r="M272" i="14"/>
  <c r="M288" i="14"/>
  <c r="L284" i="14"/>
  <c r="P12" i="28"/>
  <c r="J288" i="14"/>
  <c r="H272" i="14"/>
  <c r="I284" i="14"/>
  <c r="F284" i="14"/>
  <c r="F288" i="14"/>
  <c r="G288" i="14"/>
  <c r="G284" i="14"/>
  <c r="Q98" i="27"/>
  <c r="S98" i="27"/>
  <c r="R98" i="27"/>
  <c r="T98" i="27"/>
  <c r="AY11" i="30"/>
  <c r="AY10" i="30"/>
  <c r="AX8" i="30"/>
  <c r="P9" i="28"/>
  <c r="BC5" i="30"/>
  <c r="BA25" i="30"/>
  <c r="AX38" i="30"/>
  <c r="AX36" i="30"/>
  <c r="AX37" i="30"/>
  <c r="BA17" i="30"/>
  <c r="BA9" i="30"/>
  <c r="BB18" i="30"/>
  <c r="O288" i="14"/>
  <c r="R288" i="14"/>
  <c r="O284" i="14"/>
  <c r="R284" i="14"/>
  <c r="M284" i="14"/>
  <c r="H284" i="14"/>
  <c r="H288" i="14"/>
  <c r="AY8" i="30"/>
  <c r="AY38" i="30"/>
  <c r="AY36" i="30"/>
  <c r="AY37" i="30"/>
  <c r="AZ11" i="30"/>
  <c r="BC18" i="30"/>
  <c r="BB17" i="30"/>
  <c r="BB9" i="30"/>
  <c r="BD5" i="30"/>
  <c r="BB25" i="30"/>
  <c r="AH22" i="25"/>
  <c r="AH27" i="25"/>
  <c r="AH28" i="25"/>
  <c r="AH29" i="25"/>
  <c r="AH42" i="25"/>
  <c r="AH49" i="25"/>
  <c r="AH45" i="25"/>
  <c r="AH46" i="25"/>
  <c r="AH47" i="25"/>
  <c r="AH50" i="25"/>
  <c r="AH43" i="25"/>
  <c r="AH53" i="25"/>
  <c r="AH63" i="25"/>
  <c r="AH64" i="25"/>
  <c r="AH65" i="25"/>
  <c r="AH67" i="25"/>
  <c r="AH75" i="25"/>
  <c r="AH73" i="25"/>
  <c r="AH74" i="25"/>
  <c r="AH76" i="25"/>
  <c r="AH68" i="25"/>
  <c r="AH79" i="25"/>
  <c r="AH83" i="25"/>
  <c r="AH84" i="25"/>
  <c r="AH89" i="25"/>
  <c r="AH90" i="25"/>
  <c r="AH91" i="25"/>
  <c r="AH92" i="25"/>
  <c r="AH93" i="25"/>
  <c r="AH94" i="25"/>
  <c r="AH97" i="25"/>
  <c r="AH98" i="25"/>
  <c r="AH99" i="25"/>
  <c r="AH100" i="25"/>
  <c r="AH44" i="25"/>
  <c r="AI102" i="25"/>
  <c r="AI16" i="25"/>
  <c r="AH16" i="25"/>
  <c r="AH66" i="25"/>
  <c r="AI62" i="25"/>
  <c r="AI78" i="25"/>
  <c r="AI38" i="25"/>
  <c r="AI52" i="25"/>
  <c r="AI20" i="25"/>
  <c r="AI24" i="25"/>
  <c r="AI23" i="25"/>
  <c r="E277" i="14"/>
  <c r="T277" i="14"/>
  <c r="AI19" i="25"/>
  <c r="E276" i="14"/>
  <c r="T276" i="14"/>
  <c r="AI17" i="25"/>
  <c r="AH17" i="25"/>
  <c r="AI13" i="25"/>
  <c r="AH13" i="25"/>
  <c r="AI12" i="25"/>
  <c r="AH12" i="25"/>
  <c r="AB13" i="25"/>
  <c r="BG91" i="10"/>
  <c r="AQ13" i="1"/>
  <c r="AQ10" i="1"/>
  <c r="AQ40" i="1"/>
  <c r="AJ10" i="1"/>
  <c r="AK10" i="1"/>
  <c r="AL10" i="1"/>
  <c r="AM10" i="1"/>
  <c r="AN10" i="1"/>
  <c r="AO10" i="1"/>
  <c r="AP10" i="1"/>
  <c r="AR10" i="1"/>
  <c r="AS10" i="1"/>
  <c r="AT10" i="1"/>
  <c r="AI10" i="1"/>
  <c r="AT37" i="1"/>
  <c r="AJ37" i="1"/>
  <c r="AK37" i="1"/>
  <c r="AL37" i="1"/>
  <c r="AM37" i="1"/>
  <c r="AN37" i="1"/>
  <c r="AO37" i="1"/>
  <c r="AP37" i="1"/>
  <c r="AQ37" i="1"/>
  <c r="AR37" i="1"/>
  <c r="AS37" i="1"/>
  <c r="AI37" i="1"/>
  <c r="AT30" i="1"/>
  <c r="W276" i="14"/>
  <c r="W277" i="14"/>
  <c r="AI15" i="25"/>
  <c r="AH15" i="25"/>
  <c r="E295" i="14"/>
  <c r="T295" i="14"/>
  <c r="AH102" i="25"/>
  <c r="E314" i="14"/>
  <c r="T314" i="14"/>
  <c r="AH62" i="25"/>
  <c r="AH24" i="25"/>
  <c r="E283" i="14"/>
  <c r="T283" i="14"/>
  <c r="AH20" i="25"/>
  <c r="E278" i="14"/>
  <c r="T278" i="14"/>
  <c r="E289" i="14"/>
  <c r="AH52" i="25"/>
  <c r="AH23" i="25"/>
  <c r="AH19" i="25"/>
  <c r="AI18" i="25"/>
  <c r="AH18" i="25"/>
  <c r="BA11" i="30"/>
  <c r="BA8" i="30"/>
  <c r="BC25" i="30"/>
  <c r="BE5" i="30"/>
  <c r="BC17" i="30"/>
  <c r="BC9" i="30"/>
  <c r="BD18" i="30"/>
  <c r="AZ10" i="30"/>
  <c r="AZ8" i="30"/>
  <c r="AH96" i="25"/>
  <c r="AH88" i="25"/>
  <c r="AH82" i="25"/>
  <c r="AI9" i="25"/>
  <c r="AH9" i="25"/>
  <c r="AI14" i="25"/>
  <c r="AH14" i="25"/>
  <c r="AI81" i="25"/>
  <c r="AI77" i="25"/>
  <c r="AH77" i="25"/>
  <c r="AI11" i="25"/>
  <c r="AI8" i="25"/>
  <c r="AH8" i="25"/>
  <c r="BA10" i="30"/>
  <c r="BA38" i="30"/>
  <c r="W283" i="14"/>
  <c r="W278" i="14"/>
  <c r="E273" i="14"/>
  <c r="T273" i="14"/>
  <c r="E294" i="14"/>
  <c r="T294" i="14"/>
  <c r="X314" i="14"/>
  <c r="W314" i="14"/>
  <c r="W295" i="14"/>
  <c r="X295" i="14"/>
  <c r="BB11" i="30"/>
  <c r="BB10" i="30"/>
  <c r="AH11" i="25"/>
  <c r="AI10" i="25"/>
  <c r="E290" i="14"/>
  <c r="AH78" i="25"/>
  <c r="E279" i="14"/>
  <c r="T279" i="14"/>
  <c r="AH21" i="25"/>
  <c r="AI51" i="25"/>
  <c r="AH51" i="25"/>
  <c r="AH41" i="25"/>
  <c r="BE18" i="30"/>
  <c r="BD17" i="30"/>
  <c r="BD9" i="30"/>
  <c r="BD25" i="30"/>
  <c r="AZ38" i="30"/>
  <c r="AZ36" i="30"/>
  <c r="AZ37" i="30"/>
  <c r="BF5" i="30"/>
  <c r="AI109" i="25"/>
  <c r="AH109" i="25"/>
  <c r="AH81" i="25"/>
  <c r="E272" i="14"/>
  <c r="T272" i="14"/>
  <c r="W273" i="14"/>
  <c r="AH10" i="25"/>
  <c r="AI30" i="25"/>
  <c r="AI31" i="25"/>
  <c r="BA36" i="30"/>
  <c r="BA37" i="30"/>
  <c r="BB8" i="30"/>
  <c r="W279" i="14"/>
  <c r="E321" i="14"/>
  <c r="T321" i="14"/>
  <c r="W294" i="14"/>
  <c r="X294" i="14"/>
  <c r="E275" i="14"/>
  <c r="T275" i="14"/>
  <c r="BC11" i="30"/>
  <c r="BC8" i="30"/>
  <c r="BB38" i="30"/>
  <c r="BB36" i="30"/>
  <c r="BB37" i="30"/>
  <c r="BE25" i="30"/>
  <c r="BG5" i="30"/>
  <c r="BF18" i="30"/>
  <c r="BE17" i="30"/>
  <c r="BE9" i="30"/>
  <c r="K432" i="21"/>
  <c r="K372" i="21"/>
  <c r="B7" i="27"/>
  <c r="B6" i="27"/>
  <c r="M234" i="21"/>
  <c r="M414" i="21"/>
  <c r="M354" i="21"/>
  <c r="M294" i="21"/>
  <c r="W272" i="14"/>
  <c r="W275" i="14"/>
  <c r="W321" i="14"/>
  <c r="X321" i="14"/>
  <c r="BC10" i="30"/>
  <c r="BC38" i="30"/>
  <c r="BD11" i="30"/>
  <c r="BD8" i="30"/>
  <c r="BF17" i="30"/>
  <c r="BF9" i="30"/>
  <c r="BG18" i="30"/>
  <c r="BF25" i="30"/>
  <c r="BH5" i="30"/>
  <c r="M174" i="21"/>
  <c r="M104" i="21"/>
  <c r="AB5" i="41"/>
  <c r="AN5" i="41"/>
  <c r="M447" i="21"/>
  <c r="M435" i="21"/>
  <c r="J435" i="21"/>
  <c r="M387" i="21"/>
  <c r="M375" i="21"/>
  <c r="J375" i="21"/>
  <c r="R51" i="1"/>
  <c r="R52" i="1"/>
  <c r="R53" i="1"/>
  <c r="R54" i="1"/>
  <c r="R55" i="1"/>
  <c r="R56" i="1"/>
  <c r="R57" i="1"/>
  <c r="R58" i="1"/>
  <c r="R15" i="1"/>
  <c r="R16" i="1"/>
  <c r="R18" i="1"/>
  <c r="R19" i="1"/>
  <c r="R21" i="1"/>
  <c r="R22" i="1"/>
  <c r="R24" i="1"/>
  <c r="R25" i="1"/>
  <c r="R27" i="1"/>
  <c r="R28" i="1"/>
  <c r="R40" i="1"/>
  <c r="R38" i="1"/>
  <c r="R46" i="1"/>
  <c r="S32" i="1"/>
  <c r="S26" i="1"/>
  <c r="R26" i="1"/>
  <c r="S23" i="1"/>
  <c r="R23" i="1"/>
  <c r="S20" i="1"/>
  <c r="R20" i="1"/>
  <c r="S17" i="1"/>
  <c r="R17" i="1"/>
  <c r="S14" i="1"/>
  <c r="AU7" i="1"/>
  <c r="AU8" i="1"/>
  <c r="AU10" i="1"/>
  <c r="AU11" i="1"/>
  <c r="AU12" i="1"/>
  <c r="AU13" i="1"/>
  <c r="AU15" i="1"/>
  <c r="AU16" i="1"/>
  <c r="AU18" i="1"/>
  <c r="AU19" i="1"/>
  <c r="AU21" i="1"/>
  <c r="AU22" i="1"/>
  <c r="AU24" i="1"/>
  <c r="AU25" i="1"/>
  <c r="AU27" i="1"/>
  <c r="AU28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4" i="1"/>
  <c r="AU45" i="1"/>
  <c r="AU46" i="1"/>
  <c r="AU47" i="1"/>
  <c r="AU48" i="1"/>
  <c r="AU49" i="1"/>
  <c r="AU50" i="1"/>
  <c r="AU52" i="1"/>
  <c r="AU53" i="1"/>
  <c r="AU54" i="1"/>
  <c r="AU55" i="1"/>
  <c r="AU56" i="1"/>
  <c r="AU57" i="1"/>
  <c r="AU58" i="1"/>
  <c r="AJ26" i="1"/>
  <c r="AK26" i="1"/>
  <c r="AL26" i="1"/>
  <c r="AM26" i="1"/>
  <c r="AN26" i="1"/>
  <c r="AO26" i="1"/>
  <c r="AP26" i="1"/>
  <c r="AQ26" i="1"/>
  <c r="AR26" i="1"/>
  <c r="AS26" i="1"/>
  <c r="AT26" i="1"/>
  <c r="AI26" i="1"/>
  <c r="AU26" i="1"/>
  <c r="AJ23" i="1"/>
  <c r="AK23" i="1"/>
  <c r="AL23" i="1"/>
  <c r="AU23" i="1"/>
  <c r="AM23" i="1"/>
  <c r="AN23" i="1"/>
  <c r="AO23" i="1"/>
  <c r="AP23" i="1"/>
  <c r="AQ23" i="1"/>
  <c r="AR23" i="1"/>
  <c r="AS23" i="1"/>
  <c r="AT23" i="1"/>
  <c r="AI23" i="1"/>
  <c r="AJ20" i="1"/>
  <c r="AK20" i="1"/>
  <c r="AL20" i="1"/>
  <c r="AM20" i="1"/>
  <c r="AN20" i="1"/>
  <c r="AO20" i="1"/>
  <c r="AP20" i="1"/>
  <c r="AQ20" i="1"/>
  <c r="AR20" i="1"/>
  <c r="AS20" i="1"/>
  <c r="AT20" i="1"/>
  <c r="AI20" i="1"/>
  <c r="AU20" i="1"/>
  <c r="AJ17" i="1"/>
  <c r="AK17" i="1"/>
  <c r="AL17" i="1"/>
  <c r="AM17" i="1"/>
  <c r="AN17" i="1"/>
  <c r="AO17" i="1"/>
  <c r="AP17" i="1"/>
  <c r="AQ17" i="1"/>
  <c r="AR17" i="1"/>
  <c r="AS17" i="1"/>
  <c r="AT17" i="1"/>
  <c r="AI17" i="1"/>
  <c r="AU17" i="1"/>
  <c r="AI14" i="1"/>
  <c r="AM51" i="1"/>
  <c r="AJ51" i="1"/>
  <c r="AK51" i="1"/>
  <c r="AL51" i="1"/>
  <c r="AN51" i="1"/>
  <c r="AO51" i="1"/>
  <c r="AP51" i="1"/>
  <c r="AQ51" i="1"/>
  <c r="AR51" i="1"/>
  <c r="AS51" i="1"/>
  <c r="AT51" i="1"/>
  <c r="AI51" i="1"/>
  <c r="AU51" i="1"/>
  <c r="M327" i="21"/>
  <c r="M315" i="21"/>
  <c r="M312" i="21"/>
  <c r="J312" i="21"/>
  <c r="J315" i="21"/>
  <c r="M318" i="21"/>
  <c r="J318" i="21"/>
  <c r="J327" i="21"/>
  <c r="M378" i="21"/>
  <c r="J378" i="21"/>
  <c r="J387" i="21"/>
  <c r="J447" i="21"/>
  <c r="M438" i="21"/>
  <c r="BD10" i="30"/>
  <c r="BD38" i="30"/>
  <c r="BC36" i="30"/>
  <c r="BC37" i="30"/>
  <c r="BE11" i="30"/>
  <c r="BE10" i="30"/>
  <c r="M432" i="21"/>
  <c r="J432" i="21"/>
  <c r="BH18" i="30"/>
  <c r="BG17" i="30"/>
  <c r="BG9" i="30"/>
  <c r="BF11" i="30"/>
  <c r="BI5" i="30"/>
  <c r="BG25" i="30"/>
  <c r="M372" i="21"/>
  <c r="M311" i="21"/>
  <c r="J311" i="21"/>
  <c r="M308" i="21"/>
  <c r="J308" i="21"/>
  <c r="M371" i="21"/>
  <c r="J371" i="21"/>
  <c r="J372" i="21"/>
  <c r="J438" i="21"/>
  <c r="BD36" i="30"/>
  <c r="BD37" i="30"/>
  <c r="BE8" i="30"/>
  <c r="M431" i="21"/>
  <c r="J431" i="21"/>
  <c r="BG11" i="30"/>
  <c r="BH25" i="30"/>
  <c r="BJ5" i="30"/>
  <c r="BF10" i="30"/>
  <c r="BF8" i="30"/>
  <c r="BE38" i="30"/>
  <c r="BE36" i="30"/>
  <c r="BE37" i="30"/>
  <c r="BI18" i="30"/>
  <c r="BH17" i="30"/>
  <c r="BH9" i="30"/>
  <c r="M267" i="21"/>
  <c r="M255" i="21"/>
  <c r="J255" i="21"/>
  <c r="M207" i="21"/>
  <c r="M198" i="21"/>
  <c r="J207" i="21"/>
  <c r="M258" i="21"/>
  <c r="J258" i="21"/>
  <c r="J267" i="21"/>
  <c r="BK5" i="30"/>
  <c r="BF38" i="30"/>
  <c r="BF36" i="30"/>
  <c r="BF37" i="30"/>
  <c r="BI25" i="30"/>
  <c r="BG10" i="30"/>
  <c r="BG8" i="30"/>
  <c r="BI17" i="30"/>
  <c r="BI9" i="30"/>
  <c r="BJ18" i="30"/>
  <c r="M252" i="21"/>
  <c r="M195" i="21"/>
  <c r="J195" i="21"/>
  <c r="J198" i="21"/>
  <c r="D10" i="27"/>
  <c r="P10" i="27"/>
  <c r="R10" i="27"/>
  <c r="Q10" i="27"/>
  <c r="M248" i="21"/>
  <c r="J248" i="21"/>
  <c r="J252" i="21"/>
  <c r="BH11" i="30"/>
  <c r="BH10" i="30"/>
  <c r="BJ25" i="30"/>
  <c r="BI11" i="30"/>
  <c r="BK18" i="30"/>
  <c r="BJ17" i="30"/>
  <c r="BJ9" i="30"/>
  <c r="BG38" i="30"/>
  <c r="BG36" i="30"/>
  <c r="BG37" i="30"/>
  <c r="BL5" i="30"/>
  <c r="M192" i="21"/>
  <c r="M251" i="21"/>
  <c r="J251" i="21"/>
  <c r="J192" i="21"/>
  <c r="D7" i="27"/>
  <c r="D6" i="27"/>
  <c r="BH8" i="30"/>
  <c r="BK17" i="30"/>
  <c r="BK9" i="30"/>
  <c r="BL18" i="30"/>
  <c r="BJ11" i="30"/>
  <c r="BI10" i="30"/>
  <c r="BI8" i="30"/>
  <c r="BK25" i="30"/>
  <c r="BM5" i="30"/>
  <c r="BH38" i="30"/>
  <c r="BH36" i="30"/>
  <c r="BH37" i="30"/>
  <c r="M191" i="21"/>
  <c r="AJ3" i="1"/>
  <c r="AK3" i="1"/>
  <c r="AL3" i="1"/>
  <c r="AM3" i="1"/>
  <c r="AN3" i="1"/>
  <c r="AO3" i="1"/>
  <c r="AP3" i="1"/>
  <c r="AQ3" i="1"/>
  <c r="AR3" i="1"/>
  <c r="AS3" i="1"/>
  <c r="AT3" i="1"/>
  <c r="AI3" i="1"/>
  <c r="P287" i="22"/>
  <c r="P240" i="22"/>
  <c r="P250" i="22"/>
  <c r="P197" i="22"/>
  <c r="P189" i="22" s="1"/>
  <c r="D37" i="27" s="1"/>
  <c r="D36" i="27" s="1"/>
  <c r="P187" i="22"/>
  <c r="P182" i="22" s="1"/>
  <c r="AJ14" i="1"/>
  <c r="AK14" i="1"/>
  <c r="AL14" i="1"/>
  <c r="AO14" i="1"/>
  <c r="AQ14" i="1"/>
  <c r="AR14" i="1"/>
  <c r="AS14" i="1"/>
  <c r="AT14" i="1"/>
  <c r="AM14" i="1"/>
  <c r="AN14" i="1"/>
  <c r="AP14" i="1"/>
  <c r="P75" i="22"/>
  <c r="P91" i="22"/>
  <c r="M119" i="21"/>
  <c r="E80" i="14"/>
  <c r="M120" i="21"/>
  <c r="N3" i="21"/>
  <c r="O3" i="21"/>
  <c r="P3" i="21"/>
  <c r="Q3" i="21"/>
  <c r="R3" i="21"/>
  <c r="S3" i="21"/>
  <c r="K5" i="14"/>
  <c r="T3" i="21"/>
  <c r="L5" i="14"/>
  <c r="U3" i="21"/>
  <c r="N5" i="14"/>
  <c r="W3" i="21"/>
  <c r="O5" i="14"/>
  <c r="X3" i="21"/>
  <c r="P5" i="14"/>
  <c r="R4" i="21"/>
  <c r="S4" i="21"/>
  <c r="K6" i="14"/>
  <c r="T4" i="21"/>
  <c r="L6" i="14"/>
  <c r="U4" i="21"/>
  <c r="M6" i="14"/>
  <c r="V4" i="21"/>
  <c r="W4" i="21"/>
  <c r="O6" i="14"/>
  <c r="X4" i="21"/>
  <c r="P6" i="14"/>
  <c r="N10" i="21"/>
  <c r="O10" i="21"/>
  <c r="P10" i="21"/>
  <c r="Q10" i="21"/>
  <c r="R10" i="21"/>
  <c r="S10" i="21"/>
  <c r="K8" i="14"/>
  <c r="U10" i="21"/>
  <c r="M8" i="14"/>
  <c r="N8" i="14"/>
  <c r="W10" i="21"/>
  <c r="X10" i="21"/>
  <c r="P8" i="14"/>
  <c r="N9" i="21"/>
  <c r="O9" i="21"/>
  <c r="P9" i="21"/>
  <c r="H10" i="14"/>
  <c r="Q9" i="21"/>
  <c r="R9" i="21"/>
  <c r="S9" i="21"/>
  <c r="K10" i="14"/>
  <c r="U9" i="21"/>
  <c r="M10" i="14"/>
  <c r="N10" i="14"/>
  <c r="W9" i="21"/>
  <c r="O10" i="14"/>
  <c r="X9" i="21"/>
  <c r="M9" i="21"/>
  <c r="R5" i="14"/>
  <c r="R6" i="14"/>
  <c r="P10" i="14"/>
  <c r="R10" i="14"/>
  <c r="X16" i="21"/>
  <c r="X17" i="21"/>
  <c r="O8" i="14"/>
  <c r="R8" i="14"/>
  <c r="W16" i="21"/>
  <c r="W17" i="21"/>
  <c r="N6" i="14"/>
  <c r="M5" i="14"/>
  <c r="N11" i="14"/>
  <c r="M11" i="14"/>
  <c r="M13" i="14"/>
  <c r="M17" i="14"/>
  <c r="U16" i="21"/>
  <c r="U17" i="21"/>
  <c r="K11" i="14"/>
  <c r="K13" i="14"/>
  <c r="S16" i="21"/>
  <c r="S17" i="21"/>
  <c r="J9" i="21"/>
  <c r="M188" i="21"/>
  <c r="J188" i="21"/>
  <c r="J191" i="21"/>
  <c r="AU14" i="1"/>
  <c r="O5" i="21"/>
  <c r="O16" i="21"/>
  <c r="O17" i="21"/>
  <c r="BI38" i="30"/>
  <c r="BI36" i="30"/>
  <c r="BI37" i="30"/>
  <c r="BJ10" i="30"/>
  <c r="BJ8" i="30"/>
  <c r="BL25" i="30"/>
  <c r="BL17" i="30"/>
  <c r="BL9" i="30"/>
  <c r="BM18" i="30"/>
  <c r="BN5" i="30"/>
  <c r="P7" i="27"/>
  <c r="N5" i="21"/>
  <c r="N16" i="21"/>
  <c r="N17" i="21"/>
  <c r="Q5" i="21"/>
  <c r="Q16" i="21"/>
  <c r="Q17" i="21"/>
  <c r="P5" i="21"/>
  <c r="P16" i="21"/>
  <c r="P17" i="21"/>
  <c r="R16" i="21"/>
  <c r="R17" i="21"/>
  <c r="P11" i="14"/>
  <c r="P13" i="14"/>
  <c r="O11" i="14"/>
  <c r="N13" i="14"/>
  <c r="L17" i="14"/>
  <c r="R7" i="27"/>
  <c r="Q7" i="27"/>
  <c r="P6" i="27"/>
  <c r="BJ36" i="30"/>
  <c r="BJ37" i="30"/>
  <c r="BJ38" i="30"/>
  <c r="BM25" i="30"/>
  <c r="BO5" i="30"/>
  <c r="BN18" i="30"/>
  <c r="BM17" i="30"/>
  <c r="BM9" i="30"/>
  <c r="BK11" i="30"/>
  <c r="M85" i="21"/>
  <c r="J85" i="21"/>
  <c r="AG82" i="10"/>
  <c r="AH82" i="10"/>
  <c r="AI82" i="10"/>
  <c r="AJ82" i="10"/>
  <c r="AK82" i="10"/>
  <c r="AL82" i="10"/>
  <c r="AM82" i="10"/>
  <c r="AN82" i="10"/>
  <c r="AO82" i="10"/>
  <c r="AP82" i="10"/>
  <c r="AQ82" i="10"/>
  <c r="AF82" i="10"/>
  <c r="AF77" i="10"/>
  <c r="M34" i="21"/>
  <c r="M35" i="21"/>
  <c r="J35" i="21"/>
  <c r="M36" i="21"/>
  <c r="J36" i="21"/>
  <c r="M48" i="21"/>
  <c r="J48" i="21"/>
  <c r="R11" i="14"/>
  <c r="P17" i="14"/>
  <c r="O13" i="14"/>
  <c r="R13" i="14"/>
  <c r="N17" i="14"/>
  <c r="J34" i="21"/>
  <c r="M31" i="21"/>
  <c r="J31" i="21"/>
  <c r="M75" i="21"/>
  <c r="J75" i="21"/>
  <c r="M78" i="21"/>
  <c r="M51" i="21"/>
  <c r="J51" i="21"/>
  <c r="R6" i="27"/>
  <c r="Q6" i="27"/>
  <c r="BL11" i="30"/>
  <c r="BL8" i="30"/>
  <c r="E96" i="14"/>
  <c r="M331" i="21"/>
  <c r="M271" i="21"/>
  <c r="M391" i="21"/>
  <c r="J391" i="21"/>
  <c r="M451" i="21"/>
  <c r="M211" i="21"/>
  <c r="BP5" i="30"/>
  <c r="BK10" i="30"/>
  <c r="BK8" i="30"/>
  <c r="BN25" i="30"/>
  <c r="BN17" i="30"/>
  <c r="BN9" i="30"/>
  <c r="BO18" i="30"/>
  <c r="M25" i="21"/>
  <c r="J25" i="21"/>
  <c r="M26" i="21"/>
  <c r="O17" i="14"/>
  <c r="R17" i="14"/>
  <c r="K17" i="14"/>
  <c r="M4" i="21"/>
  <c r="J4" i="21"/>
  <c r="J26" i="21"/>
  <c r="M209" i="21"/>
  <c r="M197" i="21"/>
  <c r="J197" i="21"/>
  <c r="J211" i="21"/>
  <c r="J451" i="21"/>
  <c r="M449" i="21"/>
  <c r="M269" i="21"/>
  <c r="J269" i="21"/>
  <c r="J271" i="21"/>
  <c r="M329" i="21"/>
  <c r="J329" i="21"/>
  <c r="J331" i="21"/>
  <c r="M76" i="21"/>
  <c r="J78" i="21"/>
  <c r="M389" i="21"/>
  <c r="M49" i="21"/>
  <c r="M29" i="21"/>
  <c r="J29" i="21"/>
  <c r="BL10" i="30"/>
  <c r="BL36" i="30"/>
  <c r="BL37" i="30"/>
  <c r="BM11" i="30"/>
  <c r="BM10" i="30"/>
  <c r="BK38" i="30"/>
  <c r="BK36" i="30"/>
  <c r="BK37" i="30"/>
  <c r="BO25" i="30"/>
  <c r="BP18" i="30"/>
  <c r="BO17" i="30"/>
  <c r="BO9" i="30"/>
  <c r="BQ5" i="30"/>
  <c r="M27" i="21"/>
  <c r="M257" i="21"/>
  <c r="J257" i="21"/>
  <c r="M309" i="21"/>
  <c r="J309" i="21"/>
  <c r="J209" i="21"/>
  <c r="D11" i="27"/>
  <c r="D9" i="27"/>
  <c r="M249" i="21"/>
  <c r="J249" i="21"/>
  <c r="M189" i="21"/>
  <c r="J189" i="21"/>
  <c r="M317" i="21"/>
  <c r="M310" i="21"/>
  <c r="M43" i="21"/>
  <c r="J27" i="21"/>
  <c r="M71" i="21"/>
  <c r="J71" i="21"/>
  <c r="J49" i="21"/>
  <c r="M377" i="21"/>
  <c r="M370" i="21"/>
  <c r="J389" i="21"/>
  <c r="M97" i="21"/>
  <c r="J97" i="21"/>
  <c r="J76" i="21"/>
  <c r="J449" i="21"/>
  <c r="M437" i="21"/>
  <c r="BL38" i="30"/>
  <c r="BM8" i="30"/>
  <c r="M190" i="21"/>
  <c r="BN11" i="30"/>
  <c r="BN10" i="30"/>
  <c r="BQ18" i="30"/>
  <c r="BP17" i="30"/>
  <c r="BP9" i="30"/>
  <c r="BR5" i="30"/>
  <c r="BM38" i="30"/>
  <c r="BM36" i="30"/>
  <c r="BM37" i="30"/>
  <c r="BP25" i="30"/>
  <c r="L145" i="21"/>
  <c r="L143" i="21"/>
  <c r="L87" i="21"/>
  <c r="BF75" i="10"/>
  <c r="BG75" i="10"/>
  <c r="BF84" i="10"/>
  <c r="BG84" i="10"/>
  <c r="AT94" i="10"/>
  <c r="AT82" i="10"/>
  <c r="AU55" i="10"/>
  <c r="AV55" i="10"/>
  <c r="AW55" i="10"/>
  <c r="AX55" i="10"/>
  <c r="AY55" i="10"/>
  <c r="AZ55" i="10"/>
  <c r="BA55" i="10"/>
  <c r="BB55" i="10"/>
  <c r="BC55" i="10"/>
  <c r="BD55" i="10"/>
  <c r="BE55" i="10"/>
  <c r="AT55" i="10"/>
  <c r="BF56" i="10"/>
  <c r="BG56" i="10"/>
  <c r="AU46" i="10"/>
  <c r="AV46" i="10"/>
  <c r="AW46" i="10"/>
  <c r="AX46" i="10"/>
  <c r="AY46" i="10"/>
  <c r="AZ46" i="10"/>
  <c r="BA46" i="10"/>
  <c r="BB46" i="10"/>
  <c r="BC46" i="10"/>
  <c r="BD46" i="10"/>
  <c r="BE46" i="10"/>
  <c r="AT46" i="10"/>
  <c r="BF47" i="10"/>
  <c r="BG47" i="10"/>
  <c r="K126" i="21"/>
  <c r="AU94" i="10"/>
  <c r="AV94" i="10"/>
  <c r="AW94" i="10"/>
  <c r="AX94" i="10"/>
  <c r="AY94" i="10"/>
  <c r="AZ94" i="10"/>
  <c r="BA94" i="10"/>
  <c r="BB94" i="10"/>
  <c r="BC94" i="10"/>
  <c r="BD94" i="10"/>
  <c r="BE94" i="10"/>
  <c r="M129" i="21"/>
  <c r="M10" i="21"/>
  <c r="J10" i="21"/>
  <c r="AS73" i="10"/>
  <c r="BE17" i="10"/>
  <c r="AT17" i="10"/>
  <c r="BB23" i="10"/>
  <c r="BB22" i="10"/>
  <c r="AA31" i="10"/>
  <c r="AB31" i="10"/>
  <c r="AB38" i="10"/>
  <c r="AB46" i="10"/>
  <c r="Z55" i="10"/>
  <c r="AA55" i="10"/>
  <c r="AB55" i="10"/>
  <c r="AA46" i="10"/>
  <c r="Z46" i="10"/>
  <c r="V16" i="10"/>
  <c r="D5" i="27"/>
  <c r="J310" i="21"/>
  <c r="M347" i="21"/>
  <c r="J347" i="21"/>
  <c r="M250" i="21"/>
  <c r="M287" i="21"/>
  <c r="J287" i="21"/>
  <c r="P11" i="27"/>
  <c r="R11" i="27"/>
  <c r="Q11" i="27"/>
  <c r="J317" i="21"/>
  <c r="J43" i="21"/>
  <c r="J44" i="21"/>
  <c r="M44" i="21"/>
  <c r="M126" i="21"/>
  <c r="M559" i="21"/>
  <c r="J129" i="21"/>
  <c r="L123" i="21"/>
  <c r="D63" i="14"/>
  <c r="D31" i="14"/>
  <c r="M227" i="21"/>
  <c r="J227" i="21"/>
  <c r="J190" i="21"/>
  <c r="M407" i="21"/>
  <c r="J370" i="21"/>
  <c r="J437" i="21"/>
  <c r="M430" i="21"/>
  <c r="M368" i="21"/>
  <c r="J368" i="21"/>
  <c r="J377" i="21"/>
  <c r="K125" i="21"/>
  <c r="K122" i="21"/>
  <c r="BN8" i="30"/>
  <c r="BG94" i="10"/>
  <c r="P9" i="27"/>
  <c r="BQ17" i="30"/>
  <c r="BQ9" i="30"/>
  <c r="BR18" i="30"/>
  <c r="BS5" i="30"/>
  <c r="BQ25" i="30"/>
  <c r="BO11" i="30"/>
  <c r="BN38" i="30"/>
  <c r="BN36" i="30"/>
  <c r="BN37" i="30"/>
  <c r="AT45" i="10"/>
  <c r="P51" i="1"/>
  <c r="O51" i="1"/>
  <c r="L51" i="1"/>
  <c r="K51" i="1"/>
  <c r="J51" i="1"/>
  <c r="I51" i="1"/>
  <c r="F51" i="1"/>
  <c r="E51" i="1"/>
  <c r="L45" i="1"/>
  <c r="L43" i="1"/>
  <c r="J45" i="1"/>
  <c r="J43" i="1"/>
  <c r="I45" i="1"/>
  <c r="I43" i="1"/>
  <c r="P43" i="1"/>
  <c r="O43" i="1"/>
  <c r="N43" i="1"/>
  <c r="M43" i="1"/>
  <c r="K43" i="1"/>
  <c r="H43" i="1"/>
  <c r="G43" i="1"/>
  <c r="F43" i="1"/>
  <c r="E43" i="1"/>
  <c r="M40" i="1"/>
  <c r="M37" i="1"/>
  <c r="L40" i="1"/>
  <c r="L37" i="1"/>
  <c r="J39" i="1"/>
  <c r="J38" i="1"/>
  <c r="F38" i="1"/>
  <c r="F37" i="1"/>
  <c r="P37" i="1"/>
  <c r="O37" i="1"/>
  <c r="N37" i="1"/>
  <c r="K37" i="1"/>
  <c r="I37" i="1"/>
  <c r="H37" i="1"/>
  <c r="G37" i="1"/>
  <c r="E37" i="1"/>
  <c r="P32" i="1"/>
  <c r="O32" i="1"/>
  <c r="L32" i="1"/>
  <c r="F32" i="1"/>
  <c r="I31" i="1"/>
  <c r="G31" i="1"/>
  <c r="G32" i="1"/>
  <c r="P23" i="1"/>
  <c r="O23" i="1"/>
  <c r="N23" i="1"/>
  <c r="M23" i="1"/>
  <c r="L23" i="1"/>
  <c r="K23" i="1"/>
  <c r="J23" i="1"/>
  <c r="I23" i="1"/>
  <c r="H23" i="1"/>
  <c r="G23" i="1"/>
  <c r="F23" i="1"/>
  <c r="E23" i="1"/>
  <c r="P20" i="1"/>
  <c r="O20" i="1"/>
  <c r="N20" i="1"/>
  <c r="M20" i="1"/>
  <c r="L20" i="1"/>
  <c r="K20" i="1"/>
  <c r="P17" i="1"/>
  <c r="O17" i="1"/>
  <c r="N17" i="1"/>
  <c r="M17" i="1"/>
  <c r="L17" i="1"/>
  <c r="K17" i="1"/>
  <c r="J17" i="1"/>
  <c r="I17" i="1"/>
  <c r="H17" i="1"/>
  <c r="G17" i="1"/>
  <c r="F17" i="1"/>
  <c r="E17" i="1"/>
  <c r="P14" i="1"/>
  <c r="O14" i="1"/>
  <c r="N14" i="1"/>
  <c r="M14" i="1"/>
  <c r="L14" i="1"/>
  <c r="K14" i="1"/>
  <c r="J14" i="1"/>
  <c r="I14" i="1"/>
  <c r="H14" i="1"/>
  <c r="G14" i="1"/>
  <c r="F14" i="1"/>
  <c r="E14" i="1"/>
  <c r="P13" i="1"/>
  <c r="O13" i="1"/>
  <c r="N13" i="1"/>
  <c r="M13" i="1"/>
  <c r="L13" i="1"/>
  <c r="K13" i="1"/>
  <c r="J13" i="1"/>
  <c r="I13" i="1"/>
  <c r="H13" i="1"/>
  <c r="G13" i="1"/>
  <c r="F13" i="1"/>
  <c r="E13" i="1"/>
  <c r="J12" i="1"/>
  <c r="P11" i="1"/>
  <c r="O11" i="1"/>
  <c r="N11" i="1"/>
  <c r="M11" i="1"/>
  <c r="L11" i="1"/>
  <c r="K11" i="1"/>
  <c r="J11" i="1"/>
  <c r="I11" i="1"/>
  <c r="H11" i="1"/>
  <c r="G11" i="1"/>
  <c r="F11" i="1"/>
  <c r="E11" i="1"/>
  <c r="Z10" i="10"/>
  <c r="M141" i="21"/>
  <c r="AB20" i="41"/>
  <c r="AN20" i="41"/>
  <c r="AB15" i="41"/>
  <c r="AN15" i="41"/>
  <c r="AB14" i="41"/>
  <c r="AN14" i="41"/>
  <c r="M574" i="21"/>
  <c r="J250" i="21"/>
  <c r="M125" i="21"/>
  <c r="AB12" i="41"/>
  <c r="AN12" i="41"/>
  <c r="M132" i="21"/>
  <c r="J141" i="21"/>
  <c r="M467" i="21"/>
  <c r="J467" i="21"/>
  <c r="J430" i="21"/>
  <c r="E59" i="14"/>
  <c r="J126" i="21"/>
  <c r="R9" i="27"/>
  <c r="Q9" i="27"/>
  <c r="P5" i="27"/>
  <c r="R5" i="27"/>
  <c r="Q5" i="27"/>
  <c r="T11" i="27"/>
  <c r="D27" i="27"/>
  <c r="BR25" i="30"/>
  <c r="BT5" i="30"/>
  <c r="BS18" i="30"/>
  <c r="BR17" i="30"/>
  <c r="BR9" i="30"/>
  <c r="BP11" i="30"/>
  <c r="BO10" i="30"/>
  <c r="BO8" i="30"/>
  <c r="J37" i="1"/>
  <c r="R16" i="22"/>
  <c r="G23" i="14" s="1"/>
  <c r="P16" i="22"/>
  <c r="P20" i="22"/>
  <c r="P19" i="22"/>
  <c r="P5" i="22"/>
  <c r="P3" i="22"/>
  <c r="C130" i="14"/>
  <c r="M122" i="21"/>
  <c r="O20" i="41"/>
  <c r="AA20" i="41"/>
  <c r="M565" i="21"/>
  <c r="M595" i="21"/>
  <c r="E58" i="14"/>
  <c r="M555" i="21"/>
  <c r="J555" i="21"/>
  <c r="J574" i="21"/>
  <c r="O12" i="41"/>
  <c r="AA12" i="41"/>
  <c r="J559" i="21"/>
  <c r="M6" i="21"/>
  <c r="J6" i="21"/>
  <c r="M558" i="21"/>
  <c r="J125" i="21"/>
  <c r="AB11" i="41"/>
  <c r="AN11" i="41"/>
  <c r="M3" i="21"/>
  <c r="J3" i="21"/>
  <c r="J122" i="21"/>
  <c r="M131" i="21"/>
  <c r="M124" i="21"/>
  <c r="E62" i="14"/>
  <c r="J132" i="21"/>
  <c r="T62" i="14"/>
  <c r="P27" i="27"/>
  <c r="BS17" i="30"/>
  <c r="BS9" i="30"/>
  <c r="BT18" i="30"/>
  <c r="BS25" i="30"/>
  <c r="BU5" i="30"/>
  <c r="BO38" i="30"/>
  <c r="BO36" i="30"/>
  <c r="BO37" i="30"/>
  <c r="BQ11" i="30"/>
  <c r="BP10" i="30"/>
  <c r="BP8" i="30"/>
  <c r="P52" i="19"/>
  <c r="M52" i="19" s="1"/>
  <c r="O305" i="22"/>
  <c r="O287" i="22"/>
  <c r="O276" i="22"/>
  <c r="O270" i="22"/>
  <c r="N270" i="22"/>
  <c r="O268" i="22"/>
  <c r="N268" i="22"/>
  <c r="O269" i="22"/>
  <c r="N269" i="22"/>
  <c r="O252" i="22"/>
  <c r="O249" i="22"/>
  <c r="O242" i="22" s="1"/>
  <c r="O239" i="22"/>
  <c r="O235" i="22" s="1"/>
  <c r="O223" i="22"/>
  <c r="N223" i="22"/>
  <c r="O217" i="22"/>
  <c r="N217" i="22"/>
  <c r="O215" i="22"/>
  <c r="N215" i="22"/>
  <c r="O216" i="22"/>
  <c r="N216" i="22"/>
  <c r="O199" i="22"/>
  <c r="C48" i="27" s="1"/>
  <c r="C101" i="27" s="1"/>
  <c r="O196" i="22"/>
  <c r="O189" i="22" s="1"/>
  <c r="N182" i="22"/>
  <c r="N181" i="22" s="1"/>
  <c r="O186" i="22"/>
  <c r="O182" i="22" s="1"/>
  <c r="C34" i="27" s="1"/>
  <c r="O170" i="22"/>
  <c r="N170" i="22"/>
  <c r="O164" i="22"/>
  <c r="N164" i="22"/>
  <c r="O93" i="22"/>
  <c r="O75" i="22"/>
  <c r="O90" i="22"/>
  <c r="O64" i="22"/>
  <c r="N64" i="22"/>
  <c r="O58" i="22"/>
  <c r="N58" i="22"/>
  <c r="O56" i="22"/>
  <c r="N56" i="22"/>
  <c r="O57" i="22"/>
  <c r="N57" i="22"/>
  <c r="O16" i="22"/>
  <c r="D23" i="14" s="1"/>
  <c r="N16" i="22"/>
  <c r="C23" i="14" s="1"/>
  <c r="O20" i="22"/>
  <c r="N20" i="22"/>
  <c r="O19" i="22"/>
  <c r="N19" i="22"/>
  <c r="O5" i="22"/>
  <c r="N5" i="22"/>
  <c r="O4" i="22"/>
  <c r="N4" i="22"/>
  <c r="O3" i="22"/>
  <c r="N3" i="22"/>
  <c r="J93" i="14"/>
  <c r="I93" i="14"/>
  <c r="H93" i="14"/>
  <c r="G93" i="14"/>
  <c r="F93" i="14"/>
  <c r="E93" i="14"/>
  <c r="D93" i="14"/>
  <c r="J92" i="14"/>
  <c r="I92" i="14"/>
  <c r="H92" i="14"/>
  <c r="G92" i="14"/>
  <c r="F92" i="14"/>
  <c r="E92" i="14"/>
  <c r="D92" i="14"/>
  <c r="J91" i="14"/>
  <c r="I91" i="14"/>
  <c r="H91" i="14"/>
  <c r="G91" i="14"/>
  <c r="F91" i="14"/>
  <c r="E91" i="14"/>
  <c r="D91" i="14"/>
  <c r="J90" i="14"/>
  <c r="I90" i="14"/>
  <c r="H90" i="14"/>
  <c r="G90" i="14"/>
  <c r="F90" i="14"/>
  <c r="E90" i="14"/>
  <c r="D90" i="14"/>
  <c r="C92" i="14"/>
  <c r="C90" i="14"/>
  <c r="J102" i="14"/>
  <c r="I102" i="14"/>
  <c r="H102" i="14"/>
  <c r="G102" i="14"/>
  <c r="F102" i="14"/>
  <c r="E102" i="14"/>
  <c r="J100" i="14"/>
  <c r="I100" i="14"/>
  <c r="H100" i="14"/>
  <c r="G100" i="14"/>
  <c r="F100" i="14"/>
  <c r="E100" i="14"/>
  <c r="J97" i="14"/>
  <c r="I97" i="14"/>
  <c r="H97" i="14"/>
  <c r="G97" i="14"/>
  <c r="F97" i="14"/>
  <c r="E97" i="14"/>
  <c r="J96" i="14"/>
  <c r="J89" i="14"/>
  <c r="I89" i="14"/>
  <c r="H89" i="14"/>
  <c r="G89" i="14"/>
  <c r="F89" i="14"/>
  <c r="E89" i="14"/>
  <c r="J88" i="14"/>
  <c r="I88" i="14"/>
  <c r="H88" i="14"/>
  <c r="G88" i="14"/>
  <c r="F88" i="14"/>
  <c r="E88" i="14"/>
  <c r="O14" i="41"/>
  <c r="AA14" i="41"/>
  <c r="O15" i="41"/>
  <c r="AA15" i="41"/>
  <c r="E443" i="14"/>
  <c r="E444" i="14"/>
  <c r="E61" i="14"/>
  <c r="E57" i="14"/>
  <c r="E76" i="14"/>
  <c r="E78" i="14"/>
  <c r="J565" i="21"/>
  <c r="M564" i="21"/>
  <c r="J564" i="21"/>
  <c r="O11" i="41"/>
  <c r="AA11" i="41"/>
  <c r="J558" i="21"/>
  <c r="M5" i="21"/>
  <c r="J5" i="21"/>
  <c r="AB10" i="41"/>
  <c r="AN10" i="41"/>
  <c r="AN28" i="41"/>
  <c r="J131" i="21"/>
  <c r="M7" i="21"/>
  <c r="J7" i="21"/>
  <c r="F95" i="14"/>
  <c r="BT25" i="30"/>
  <c r="BR11" i="30"/>
  <c r="BQ10" i="30"/>
  <c r="BQ8" i="30"/>
  <c r="BV5" i="30"/>
  <c r="BP38" i="30"/>
  <c r="BP36" i="30"/>
  <c r="BP37" i="30"/>
  <c r="BU18" i="30"/>
  <c r="BT17" i="30"/>
  <c r="BT9" i="30"/>
  <c r="I87" i="14"/>
  <c r="H87" i="14"/>
  <c r="F87" i="14"/>
  <c r="J95" i="14"/>
  <c r="G95" i="14"/>
  <c r="I95" i="14"/>
  <c r="J87" i="14"/>
  <c r="E95" i="14"/>
  <c r="H95" i="14"/>
  <c r="G87" i="14"/>
  <c r="E87" i="14"/>
  <c r="M557" i="21"/>
  <c r="M594" i="21"/>
  <c r="J594" i="21"/>
  <c r="O10" i="41"/>
  <c r="AA10" i="41"/>
  <c r="M16" i="21"/>
  <c r="J16" i="21"/>
  <c r="J17" i="21"/>
  <c r="AB28" i="41"/>
  <c r="M166" i="21"/>
  <c r="J124" i="21"/>
  <c r="BS11" i="30"/>
  <c r="BS10" i="30"/>
  <c r="BW5" i="30"/>
  <c r="BQ38" i="30"/>
  <c r="BQ36" i="30"/>
  <c r="BQ37" i="30"/>
  <c r="BV18" i="30"/>
  <c r="BU17" i="30"/>
  <c r="BU9" i="30"/>
  <c r="BR10" i="30"/>
  <c r="BR8" i="30"/>
  <c r="BU25" i="30"/>
  <c r="I99" i="14"/>
  <c r="H99" i="14"/>
  <c r="F99" i="14"/>
  <c r="G99" i="14"/>
  <c r="E99" i="14"/>
  <c r="J99" i="14"/>
  <c r="C75" i="14"/>
  <c r="C74" i="14"/>
  <c r="C72" i="14"/>
  <c r="C71" i="14"/>
  <c r="C70" i="14"/>
  <c r="C38" i="14"/>
  <c r="C69" i="14"/>
  <c r="C37" i="14"/>
  <c r="C68" i="14"/>
  <c r="C36" i="14"/>
  <c r="C67" i="14"/>
  <c r="C66" i="14"/>
  <c r="C60" i="14"/>
  <c r="C56" i="14"/>
  <c r="J10" i="14"/>
  <c r="I10" i="14"/>
  <c r="G10" i="14"/>
  <c r="F10" i="14"/>
  <c r="E10" i="14"/>
  <c r="J8" i="14"/>
  <c r="I8" i="14"/>
  <c r="H8" i="14"/>
  <c r="G8" i="14"/>
  <c r="F8" i="14"/>
  <c r="E8" i="14"/>
  <c r="J6" i="14"/>
  <c r="I6" i="14"/>
  <c r="H6" i="14"/>
  <c r="G6" i="14"/>
  <c r="F6" i="14"/>
  <c r="E6" i="14"/>
  <c r="J5" i="14"/>
  <c r="I5" i="14"/>
  <c r="H5" i="14"/>
  <c r="G5" i="14"/>
  <c r="F5" i="14"/>
  <c r="E5" i="14"/>
  <c r="AA28" i="41"/>
  <c r="J11" i="14"/>
  <c r="J557" i="21"/>
  <c r="O28" i="41"/>
  <c r="M17" i="21"/>
  <c r="J101" i="14"/>
  <c r="J166" i="21"/>
  <c r="J167" i="21"/>
  <c r="M167" i="21"/>
  <c r="I101" i="14"/>
  <c r="T96" i="14"/>
  <c r="H101" i="14"/>
  <c r="G101" i="14"/>
  <c r="F101" i="14"/>
  <c r="BS8" i="30"/>
  <c r="E101" i="14"/>
  <c r="T70" i="14"/>
  <c r="T38" i="14"/>
  <c r="BT11" i="30"/>
  <c r="BT8" i="30"/>
  <c r="BS38" i="30"/>
  <c r="BS36" i="30"/>
  <c r="BS37" i="30"/>
  <c r="BR38" i="30"/>
  <c r="BR36" i="30"/>
  <c r="BR37" i="30"/>
  <c r="BV25" i="30"/>
  <c r="BV17" i="30"/>
  <c r="BV9" i="30"/>
  <c r="BW18" i="30"/>
  <c r="BX5" i="30"/>
  <c r="H7" i="14"/>
  <c r="H11" i="14"/>
  <c r="H13" i="14"/>
  <c r="H17" i="14"/>
  <c r="E7" i="14"/>
  <c r="F7" i="14"/>
  <c r="G7" i="14"/>
  <c r="I7" i="14"/>
  <c r="C65" i="14"/>
  <c r="P568" i="19"/>
  <c r="Q568" i="19"/>
  <c r="R568" i="19"/>
  <c r="S568" i="19"/>
  <c r="T568" i="19"/>
  <c r="Q560" i="19"/>
  <c r="Q561" i="19" s="1"/>
  <c r="R560" i="19"/>
  <c r="S560" i="19"/>
  <c r="T560" i="19"/>
  <c r="Q521" i="19"/>
  <c r="Q522" i="19" s="1"/>
  <c r="R521" i="19"/>
  <c r="R522" i="19" s="1"/>
  <c r="H68" i="24" s="1"/>
  <c r="S521" i="19"/>
  <c r="S522" i="19" s="1"/>
  <c r="I68" i="24" s="1"/>
  <c r="T521" i="19"/>
  <c r="T522" i="19" s="1"/>
  <c r="J68" i="24" s="1"/>
  <c r="Q219" i="19"/>
  <c r="F390" i="14" s="1"/>
  <c r="R219" i="19"/>
  <c r="G390" i="14" s="1"/>
  <c r="S219" i="19"/>
  <c r="H390" i="14" s="1"/>
  <c r="T219" i="19"/>
  <c r="P100" i="19"/>
  <c r="Q100" i="19"/>
  <c r="R100" i="19"/>
  <c r="S100" i="19"/>
  <c r="T100" i="19"/>
  <c r="P95" i="19"/>
  <c r="Q95" i="19"/>
  <c r="R95" i="19"/>
  <c r="S95" i="19"/>
  <c r="T95" i="19"/>
  <c r="O570" i="19"/>
  <c r="N570" i="19"/>
  <c r="N568" i="19"/>
  <c r="O560" i="19"/>
  <c r="N560" i="19"/>
  <c r="N534" i="19"/>
  <c r="N533" i="19" s="1"/>
  <c r="O543" i="19"/>
  <c r="E89" i="24" s="1"/>
  <c r="D206" i="14" s="1"/>
  <c r="D492" i="14"/>
  <c r="O536" i="19"/>
  <c r="O529" i="19"/>
  <c r="N529" i="19"/>
  <c r="O524" i="19"/>
  <c r="N524" i="19"/>
  <c r="O521" i="19"/>
  <c r="O522" i="19" s="1"/>
  <c r="E68" i="24" s="1"/>
  <c r="N521" i="19"/>
  <c r="N495" i="19"/>
  <c r="N494" i="19" s="1"/>
  <c r="O492" i="19"/>
  <c r="D190" i="14" s="1"/>
  <c r="N492" i="19"/>
  <c r="C190" i="14" s="1"/>
  <c r="O504" i="19"/>
  <c r="D176" i="14"/>
  <c r="O498" i="19"/>
  <c r="O24" i="19" s="1"/>
  <c r="O497" i="19"/>
  <c r="O495" i="19" s="1"/>
  <c r="O484" i="19"/>
  <c r="D171" i="14" s="1"/>
  <c r="N484" i="19"/>
  <c r="C171" i="14" s="1"/>
  <c r="O490" i="19"/>
  <c r="D169" i="14" s="1"/>
  <c r="N490" i="19"/>
  <c r="C169" i="14" s="1"/>
  <c r="O485" i="19"/>
  <c r="N485" i="19"/>
  <c r="N297" i="19"/>
  <c r="C448" i="14" s="1"/>
  <c r="O297" i="19"/>
  <c r="D448" i="14" s="1"/>
  <c r="O309" i="19"/>
  <c r="O295" i="19"/>
  <c r="O290" i="19"/>
  <c r="D444" i="14" s="1"/>
  <c r="N290" i="19"/>
  <c r="C444" i="14" s="1"/>
  <c r="O288" i="19"/>
  <c r="D248" i="14"/>
  <c r="N288" i="19"/>
  <c r="C248" i="14"/>
  <c r="O258" i="19"/>
  <c r="D419" i="14" s="1"/>
  <c r="N258" i="19"/>
  <c r="C419" i="14" s="1"/>
  <c r="O273" i="19"/>
  <c r="D407" i="14" s="1"/>
  <c r="O270" i="19"/>
  <c r="N261" i="19"/>
  <c r="N260" i="19" s="1"/>
  <c r="C402" i="14" s="1"/>
  <c r="O263" i="19"/>
  <c r="O219" i="19"/>
  <c r="D390" i="14" s="1"/>
  <c r="N219" i="19"/>
  <c r="C390" i="14" s="1"/>
  <c r="O231" i="19"/>
  <c r="D376" i="14" s="1"/>
  <c r="O224" i="19"/>
  <c r="P222" i="19" s="1"/>
  <c r="P221" i="19" s="1"/>
  <c r="O212" i="19"/>
  <c r="N212" i="19"/>
  <c r="N180" i="19"/>
  <c r="O180" i="19"/>
  <c r="P180" i="19"/>
  <c r="Q180" i="19"/>
  <c r="R180" i="19"/>
  <c r="S180" i="19"/>
  <c r="T180" i="19"/>
  <c r="D53" i="24" s="1"/>
  <c r="O197" i="19"/>
  <c r="E35" i="24" s="1"/>
  <c r="D150" i="14" s="1"/>
  <c r="O192" i="19"/>
  <c r="E30" i="24" s="1"/>
  <c r="D145" i="14" s="1"/>
  <c r="O185" i="19"/>
  <c r="O183" i="19" s="1"/>
  <c r="O182" i="19" s="1"/>
  <c r="N178" i="19"/>
  <c r="O178" i="19"/>
  <c r="P178" i="19"/>
  <c r="Q178" i="19"/>
  <c r="R178" i="19"/>
  <c r="S178" i="19"/>
  <c r="T178" i="19"/>
  <c r="N173" i="19"/>
  <c r="O173" i="19"/>
  <c r="P173" i="19"/>
  <c r="Q173" i="19"/>
  <c r="R173" i="19"/>
  <c r="S173" i="19"/>
  <c r="T173" i="19"/>
  <c r="N141" i="19"/>
  <c r="B79" i="27" s="1"/>
  <c r="O141" i="19"/>
  <c r="C79" i="27" s="1"/>
  <c r="O153" i="19"/>
  <c r="N144" i="19"/>
  <c r="N143" i="19" s="1"/>
  <c r="B62" i="27" s="1"/>
  <c r="N655" i="19"/>
  <c r="O146" i="19"/>
  <c r="P144" i="19" s="1"/>
  <c r="P143" i="19" s="1"/>
  <c r="D62" i="27" s="1"/>
  <c r="N139" i="19"/>
  <c r="B60" i="27" s="1"/>
  <c r="P139" i="19"/>
  <c r="D60" i="27" s="1"/>
  <c r="N132" i="19"/>
  <c r="O132" i="19"/>
  <c r="N102" i="19"/>
  <c r="O102" i="19"/>
  <c r="P102" i="19"/>
  <c r="O107" i="19"/>
  <c r="P105" i="19" s="1"/>
  <c r="N95" i="19"/>
  <c r="N100" i="19"/>
  <c r="O100" i="19"/>
  <c r="O95" i="19"/>
  <c r="N93" i="19"/>
  <c r="C413" i="14"/>
  <c r="O93" i="19"/>
  <c r="D413" i="14"/>
  <c r="P93" i="19"/>
  <c r="E413" i="14"/>
  <c r="Q93" i="19"/>
  <c r="F413" i="14"/>
  <c r="R93" i="19"/>
  <c r="G413" i="14"/>
  <c r="S93" i="19"/>
  <c r="H413" i="14"/>
  <c r="O68" i="19"/>
  <c r="O66" i="19" s="1"/>
  <c r="O65" i="19" s="1"/>
  <c r="O56" i="19"/>
  <c r="N54" i="19"/>
  <c r="O52" i="19"/>
  <c r="O7" i="19" s="1"/>
  <c r="AG44" i="25"/>
  <c r="AG41" i="25"/>
  <c r="V41" i="25"/>
  <c r="W41" i="25"/>
  <c r="X41" i="25"/>
  <c r="Y41" i="25"/>
  <c r="AG19" i="25"/>
  <c r="O6" i="28"/>
  <c r="N226" i="19"/>
  <c r="C374" i="14" s="1"/>
  <c r="O609" i="19"/>
  <c r="D535" i="14" s="1"/>
  <c r="D467" i="14"/>
  <c r="N232" i="19"/>
  <c r="C396" i="14" s="1"/>
  <c r="N622" i="19"/>
  <c r="O622" i="19"/>
  <c r="D443" i="14"/>
  <c r="O608" i="19"/>
  <c r="D534" i="14" s="1"/>
  <c r="D471" i="14"/>
  <c r="N608" i="19"/>
  <c r="C534" i="14" s="1"/>
  <c r="C471" i="14"/>
  <c r="O655" i="19"/>
  <c r="D342" i="14"/>
  <c r="O602" i="19"/>
  <c r="O139" i="19"/>
  <c r="C60" i="27" s="1"/>
  <c r="D457" i="14"/>
  <c r="N616" i="19"/>
  <c r="C519" i="14" s="1"/>
  <c r="O616" i="19"/>
  <c r="D519" i="14" s="1"/>
  <c r="D440" i="14"/>
  <c r="D521" i="14"/>
  <c r="O300" i="19"/>
  <c r="O299" i="19" s="1"/>
  <c r="N300" i="19"/>
  <c r="N299" i="19" s="1"/>
  <c r="D368" i="14"/>
  <c r="O568" i="19"/>
  <c r="T608" i="19"/>
  <c r="I534" i="14" s="1"/>
  <c r="I471" i="14"/>
  <c r="S608" i="19"/>
  <c r="H534" i="14" s="1"/>
  <c r="H471" i="14"/>
  <c r="R608" i="19"/>
  <c r="G534" i="14" s="1"/>
  <c r="G471" i="14"/>
  <c r="Q608" i="19"/>
  <c r="F534" i="14" s="1"/>
  <c r="F471" i="14"/>
  <c r="P608" i="19"/>
  <c r="E534" i="14" s="1"/>
  <c r="E471" i="14"/>
  <c r="J13" i="14"/>
  <c r="I11" i="14"/>
  <c r="I13" i="14"/>
  <c r="I17" i="14"/>
  <c r="W38" i="14"/>
  <c r="X38" i="14"/>
  <c r="J103" i="14"/>
  <c r="I103" i="14"/>
  <c r="H103" i="14"/>
  <c r="G11" i="14"/>
  <c r="G103" i="14"/>
  <c r="F11" i="14"/>
  <c r="F103" i="14"/>
  <c r="BT10" i="30"/>
  <c r="BT38" i="30"/>
  <c r="BU11" i="30"/>
  <c r="BU10" i="30"/>
  <c r="E103" i="14"/>
  <c r="E11" i="14"/>
  <c r="BW25" i="30"/>
  <c r="BY5" i="30"/>
  <c r="BX18" i="30"/>
  <c r="BW17" i="30"/>
  <c r="BW9" i="30"/>
  <c r="BV11" i="30"/>
  <c r="D477" i="14"/>
  <c r="N183" i="19"/>
  <c r="N182" i="19" s="1"/>
  <c r="C477" i="14"/>
  <c r="O232" i="19"/>
  <c r="D396" i="14" s="1"/>
  <c r="N256" i="19"/>
  <c r="O101" i="19"/>
  <c r="C166" i="14"/>
  <c r="D166" i="14"/>
  <c r="D382" i="14"/>
  <c r="O154" i="19"/>
  <c r="N154" i="19"/>
  <c r="J17" i="14"/>
  <c r="BT36" i="30"/>
  <c r="BT37" i="30"/>
  <c r="G13" i="14"/>
  <c r="F13" i="14"/>
  <c r="BU8" i="30"/>
  <c r="E13" i="14"/>
  <c r="BY18" i="30"/>
  <c r="BX17" i="30"/>
  <c r="BX9" i="30"/>
  <c r="BV10" i="30"/>
  <c r="BV8" i="30"/>
  <c r="BZ5" i="30"/>
  <c r="BU36" i="30"/>
  <c r="BU37" i="30"/>
  <c r="BU38" i="30"/>
  <c r="BX25" i="30"/>
  <c r="BW11" i="30"/>
  <c r="O612" i="19"/>
  <c r="O611" i="19" s="1"/>
  <c r="E84" i="14"/>
  <c r="BY17" i="30"/>
  <c r="BY9" i="30"/>
  <c r="BZ18" i="30"/>
  <c r="BX11" i="30"/>
  <c r="CA5" i="30"/>
  <c r="BY25" i="30"/>
  <c r="BW10" i="30"/>
  <c r="BW8" i="30"/>
  <c r="BV38" i="30"/>
  <c r="BV36" i="30"/>
  <c r="BV37" i="30"/>
  <c r="G84" i="14"/>
  <c r="F84" i="14"/>
  <c r="CA18" i="30"/>
  <c r="BZ17" i="30"/>
  <c r="BZ9" i="30"/>
  <c r="BW38" i="30"/>
  <c r="BW36" i="30"/>
  <c r="BW37" i="30"/>
  <c r="BZ25" i="30"/>
  <c r="CB5" i="30"/>
  <c r="BX10" i="30"/>
  <c r="BX8" i="30"/>
  <c r="C10" i="23"/>
  <c r="C11" i="23"/>
  <c r="BY11" i="30"/>
  <c r="BY10" i="30"/>
  <c r="BX38" i="30"/>
  <c r="BX36" i="30"/>
  <c r="BX37" i="30"/>
  <c r="CA25" i="30"/>
  <c r="CC5" i="30"/>
  <c r="CA17" i="30"/>
  <c r="CA9" i="30"/>
  <c r="CB18" i="30"/>
  <c r="L446" i="21"/>
  <c r="L438" i="21"/>
  <c r="L437" i="21"/>
  <c r="L434" i="21"/>
  <c r="L432" i="21"/>
  <c r="L431" i="21"/>
  <c r="L386" i="21"/>
  <c r="L378" i="21"/>
  <c r="L377" i="21"/>
  <c r="L374" i="21"/>
  <c r="L372" i="21"/>
  <c r="L326" i="21"/>
  <c r="L318" i="21"/>
  <c r="L317" i="21"/>
  <c r="L314" i="21"/>
  <c r="L312" i="21"/>
  <c r="L266" i="21"/>
  <c r="L258" i="21"/>
  <c r="L254" i="21"/>
  <c r="L252" i="21"/>
  <c r="L206" i="21"/>
  <c r="L198" i="21"/>
  <c r="L194" i="21"/>
  <c r="L192" i="21"/>
  <c r="L141" i="21"/>
  <c r="L140" i="21"/>
  <c r="L128" i="21"/>
  <c r="L126" i="21"/>
  <c r="D59" i="14"/>
  <c r="D58" i="14"/>
  <c r="L197" i="21"/>
  <c r="C10" i="27"/>
  <c r="C9" i="27"/>
  <c r="C7" i="27"/>
  <c r="C6" i="27"/>
  <c r="L308" i="21"/>
  <c r="L248" i="21"/>
  <c r="L132" i="21"/>
  <c r="BY8" i="30"/>
  <c r="CD5" i="30"/>
  <c r="CC18" i="30"/>
  <c r="CB17" i="30"/>
  <c r="CB9" i="30"/>
  <c r="BY38" i="30"/>
  <c r="BY36" i="30"/>
  <c r="BY37" i="30"/>
  <c r="CB25" i="30"/>
  <c r="BZ11" i="30"/>
  <c r="L335" i="21"/>
  <c r="L275" i="21"/>
  <c r="L215" i="21"/>
  <c r="L149" i="21"/>
  <c r="D75" i="14"/>
  <c r="C5" i="27"/>
  <c r="C24" i="27"/>
  <c r="L131" i="21"/>
  <c r="D62" i="14"/>
  <c r="L122" i="21"/>
  <c r="CD18" i="30"/>
  <c r="CC17" i="30"/>
  <c r="CC9" i="30"/>
  <c r="CC25" i="30"/>
  <c r="BZ10" i="30"/>
  <c r="BZ8" i="30"/>
  <c r="CE5" i="30"/>
  <c r="CA11" i="30"/>
  <c r="D61" i="14"/>
  <c r="D57" i="14"/>
  <c r="D76" i="14"/>
  <c r="D78" i="14"/>
  <c r="CF5" i="30"/>
  <c r="CE18" i="30"/>
  <c r="CD17" i="30"/>
  <c r="CD9" i="30"/>
  <c r="CB11" i="30"/>
  <c r="CD25" i="30"/>
  <c r="BZ38" i="30"/>
  <c r="BZ36" i="30"/>
  <c r="BZ37" i="30"/>
  <c r="CA10" i="30"/>
  <c r="CA8" i="30"/>
  <c r="CC11" i="30"/>
  <c r="CC8" i="30"/>
  <c r="CA38" i="30"/>
  <c r="CA36" i="30"/>
  <c r="CA37" i="30"/>
  <c r="CF18" i="30"/>
  <c r="CE17" i="30"/>
  <c r="CE9" i="30"/>
  <c r="CB10" i="30"/>
  <c r="CB8" i="30"/>
  <c r="CG5" i="30"/>
  <c r="CE25" i="30"/>
  <c r="CC10" i="30"/>
  <c r="CC38" i="30"/>
  <c r="CD11" i="30"/>
  <c r="CD10" i="30"/>
  <c r="CB38" i="30"/>
  <c r="CB36" i="30"/>
  <c r="CB37" i="30"/>
  <c r="CF25" i="30"/>
  <c r="CG18" i="30"/>
  <c r="CF17" i="30"/>
  <c r="CF9" i="30"/>
  <c r="CH5" i="30"/>
  <c r="AI62" i="20"/>
  <c r="AJ62" i="20"/>
  <c r="AK62" i="20"/>
  <c r="CC36" i="30"/>
  <c r="CC37" i="30"/>
  <c r="CD8" i="30"/>
  <c r="CE11" i="30"/>
  <c r="CE10" i="30"/>
  <c r="CI5" i="30"/>
  <c r="CD38" i="30"/>
  <c r="CD36" i="30"/>
  <c r="CD37" i="30"/>
  <c r="CG25" i="30"/>
  <c r="CH18" i="30"/>
  <c r="CG17" i="30"/>
  <c r="CG9" i="30"/>
  <c r="E12" i="28"/>
  <c r="F12" i="28"/>
  <c r="G12" i="28"/>
  <c r="H12" i="28"/>
  <c r="I12" i="28"/>
  <c r="J12" i="28"/>
  <c r="K12" i="28"/>
  <c r="L12" i="28"/>
  <c r="M12" i="28"/>
  <c r="N12" i="28"/>
  <c r="D12" i="28"/>
  <c r="D9" i="28"/>
  <c r="E9" i="28"/>
  <c r="F9" i="28"/>
  <c r="G9" i="28"/>
  <c r="H9" i="28"/>
  <c r="I9" i="28"/>
  <c r="J9" i="28"/>
  <c r="K9" i="28"/>
  <c r="L9" i="28"/>
  <c r="M9" i="28"/>
  <c r="N9" i="28"/>
  <c r="C8" i="28"/>
  <c r="E10" i="28"/>
  <c r="F10" i="28"/>
  <c r="G10" i="28"/>
  <c r="H10" i="28"/>
  <c r="I10" i="28"/>
  <c r="J10" i="28"/>
  <c r="K10" i="28"/>
  <c r="L10" i="28"/>
  <c r="M10" i="28"/>
  <c r="N10" i="28"/>
  <c r="O10" i="28"/>
  <c r="D10" i="28"/>
  <c r="C5" i="28"/>
  <c r="C7" i="28"/>
  <c r="C11" i="28"/>
  <c r="D4" i="28"/>
  <c r="E4" i="28"/>
  <c r="F4" i="28"/>
  <c r="G4" i="28"/>
  <c r="H4" i="28"/>
  <c r="I4" i="28"/>
  <c r="J4" i="28"/>
  <c r="K4" i="28"/>
  <c r="L4" i="28"/>
  <c r="M4" i="28"/>
  <c r="N4" i="28"/>
  <c r="C6" i="28"/>
  <c r="K9" i="21"/>
  <c r="C10" i="14"/>
  <c r="L9" i="21"/>
  <c r="D10" i="14"/>
  <c r="G20" i="21"/>
  <c r="G21" i="21"/>
  <c r="G22" i="21"/>
  <c r="G23" i="21"/>
  <c r="K23" i="21"/>
  <c r="L23" i="21"/>
  <c r="G24" i="21"/>
  <c r="K34" i="21"/>
  <c r="L34" i="21"/>
  <c r="K35" i="21"/>
  <c r="L35" i="21"/>
  <c r="K36" i="21"/>
  <c r="C97" i="14"/>
  <c r="L36" i="21"/>
  <c r="D97" i="14"/>
  <c r="G39" i="21"/>
  <c r="C100" i="14"/>
  <c r="D100" i="14"/>
  <c r="G40" i="21"/>
  <c r="G41" i="21"/>
  <c r="G42" i="21"/>
  <c r="G43" i="21"/>
  <c r="G46" i="21"/>
  <c r="G47" i="21"/>
  <c r="G53" i="21"/>
  <c r="G54" i="21"/>
  <c r="G55" i="21"/>
  <c r="G56" i="21"/>
  <c r="G57" i="21"/>
  <c r="G58" i="21"/>
  <c r="G59" i="21"/>
  <c r="G60" i="21"/>
  <c r="G61" i="21"/>
  <c r="K61" i="21"/>
  <c r="K57" i="21"/>
  <c r="G49" i="21"/>
  <c r="G50" i="21"/>
  <c r="G51" i="21"/>
  <c r="G64" i="21"/>
  <c r="G65" i="21"/>
  <c r="G66" i="21"/>
  <c r="G67" i="21"/>
  <c r="G68" i="21"/>
  <c r="G69" i="21"/>
  <c r="G71" i="21"/>
  <c r="G73" i="21"/>
  <c r="G74" i="21"/>
  <c r="G80" i="21"/>
  <c r="G79" i="21"/>
  <c r="G81" i="21"/>
  <c r="G82" i="21"/>
  <c r="G83" i="21"/>
  <c r="G84" i="21"/>
  <c r="G85" i="21"/>
  <c r="G86" i="21"/>
  <c r="G87" i="21"/>
  <c r="K87" i="21"/>
  <c r="L85" i="21"/>
  <c r="G88" i="21"/>
  <c r="G76" i="21"/>
  <c r="G77" i="21"/>
  <c r="G78" i="21"/>
  <c r="G90" i="21"/>
  <c r="G91" i="21"/>
  <c r="G92" i="21"/>
  <c r="G93" i="21"/>
  <c r="G94" i="21"/>
  <c r="G95" i="21"/>
  <c r="G97" i="21"/>
  <c r="L103" i="21"/>
  <c r="L116" i="21"/>
  <c r="K106" i="21"/>
  <c r="L106" i="21"/>
  <c r="D55" i="14"/>
  <c r="K111" i="21"/>
  <c r="K120" i="21"/>
  <c r="L111" i="21"/>
  <c r="L120" i="21"/>
  <c r="K119" i="21"/>
  <c r="C80" i="14"/>
  <c r="L119" i="21"/>
  <c r="D80" i="14"/>
  <c r="K121" i="21"/>
  <c r="C82" i="14"/>
  <c r="L121" i="21"/>
  <c r="D82" i="14"/>
  <c r="C59" i="14"/>
  <c r="K145" i="21"/>
  <c r="G162" i="21"/>
  <c r="C77" i="14"/>
  <c r="G163" i="21"/>
  <c r="G164" i="21"/>
  <c r="G165" i="21"/>
  <c r="G166" i="21"/>
  <c r="G169" i="21"/>
  <c r="G170" i="21"/>
  <c r="G171" i="21"/>
  <c r="G174" i="21"/>
  <c r="L174" i="21"/>
  <c r="G172" i="21"/>
  <c r="G173" i="21"/>
  <c r="G175" i="21"/>
  <c r="L175" i="21"/>
  <c r="L185" i="21"/>
  <c r="G176" i="21"/>
  <c r="K176" i="21"/>
  <c r="B3" i="27"/>
  <c r="L180" i="21"/>
  <c r="G177" i="21"/>
  <c r="K181" i="21"/>
  <c r="L181" i="21"/>
  <c r="G188" i="21"/>
  <c r="G193" i="21"/>
  <c r="G194" i="21"/>
  <c r="G195" i="21"/>
  <c r="G192" i="21"/>
  <c r="L191" i="21"/>
  <c r="L188" i="21"/>
  <c r="G200" i="21"/>
  <c r="G198" i="21"/>
  <c r="G201" i="21"/>
  <c r="G202" i="21"/>
  <c r="G203" i="21"/>
  <c r="G199" i="21"/>
  <c r="K199" i="21"/>
  <c r="K198" i="21"/>
  <c r="G204" i="21"/>
  <c r="G189" i="21"/>
  <c r="G196" i="21"/>
  <c r="G190" i="21"/>
  <c r="G191" i="21"/>
  <c r="G197" i="21"/>
  <c r="G216" i="21"/>
  <c r="G219" i="21"/>
  <c r="G224" i="21"/>
  <c r="G217" i="21"/>
  <c r="G225" i="21"/>
  <c r="G223" i="21"/>
  <c r="G222" i="21"/>
  <c r="G220" i="21"/>
  <c r="G226" i="21"/>
  <c r="G218" i="21"/>
  <c r="G215" i="21"/>
  <c r="G227" i="21"/>
  <c r="G229" i="21"/>
  <c r="G230" i="21"/>
  <c r="G231" i="21"/>
  <c r="G234" i="21"/>
  <c r="K234" i="21"/>
  <c r="L234" i="21"/>
  <c r="G232" i="21"/>
  <c r="G233" i="21"/>
  <c r="K233" i="21"/>
  <c r="L233" i="21"/>
  <c r="G235" i="21"/>
  <c r="K235" i="21"/>
  <c r="L235" i="21"/>
  <c r="G245" i="21"/>
  <c r="K241" i="21"/>
  <c r="L241" i="21"/>
  <c r="G244" i="21"/>
  <c r="G248" i="21"/>
  <c r="G253" i="21"/>
  <c r="G254" i="21"/>
  <c r="G255" i="21"/>
  <c r="G252" i="21"/>
  <c r="L251" i="21"/>
  <c r="G260" i="21"/>
  <c r="G258" i="21"/>
  <c r="G261" i="21"/>
  <c r="G262" i="21"/>
  <c r="G263" i="21"/>
  <c r="G259" i="21"/>
  <c r="G264" i="21"/>
  <c r="G249" i="21"/>
  <c r="G256" i="21"/>
  <c r="L271" i="21"/>
  <c r="L269" i="21"/>
  <c r="G250" i="21"/>
  <c r="G251" i="21"/>
  <c r="G257" i="21"/>
  <c r="G289" i="21"/>
  <c r="G290" i="21"/>
  <c r="G291" i="21"/>
  <c r="G294" i="21"/>
  <c r="G292" i="21"/>
  <c r="G293" i="21"/>
  <c r="L293" i="21"/>
  <c r="G295" i="21"/>
  <c r="K295" i="21"/>
  <c r="L305" i="21"/>
  <c r="G296" i="21"/>
  <c r="L296" i="21"/>
  <c r="L294" i="21"/>
  <c r="L300" i="21"/>
  <c r="G297" i="21"/>
  <c r="K301" i="21"/>
  <c r="L301" i="21"/>
  <c r="G313" i="21"/>
  <c r="G314" i="21"/>
  <c r="G315" i="21"/>
  <c r="L311" i="21"/>
  <c r="G320" i="21"/>
  <c r="G318" i="21"/>
  <c r="G321" i="21"/>
  <c r="G322" i="21"/>
  <c r="G323" i="21"/>
  <c r="G319" i="21"/>
  <c r="G324" i="21"/>
  <c r="G316" i="21"/>
  <c r="G332" i="21"/>
  <c r="G317" i="21"/>
  <c r="G339" i="21"/>
  <c r="G344" i="21"/>
  <c r="G337" i="21"/>
  <c r="G345" i="21"/>
  <c r="G343" i="21"/>
  <c r="G342" i="21"/>
  <c r="G340" i="21"/>
  <c r="G346" i="21"/>
  <c r="G338" i="21"/>
  <c r="G335" i="21"/>
  <c r="G347" i="21"/>
  <c r="G349" i="21"/>
  <c r="G350" i="21"/>
  <c r="G351" i="21"/>
  <c r="G354" i="21"/>
  <c r="K354" i="21"/>
  <c r="L354" i="21"/>
  <c r="G352" i="21"/>
  <c r="G353" i="21"/>
  <c r="K353" i="21"/>
  <c r="L353" i="21"/>
  <c r="G355" i="21"/>
  <c r="K355" i="21"/>
  <c r="L355" i="21"/>
  <c r="G356" i="21"/>
  <c r="G357" i="21"/>
  <c r="K361" i="21"/>
  <c r="L361" i="21"/>
  <c r="G368" i="21"/>
  <c r="G373" i="21"/>
  <c r="G374" i="21"/>
  <c r="G375" i="21"/>
  <c r="G372" i="21"/>
  <c r="K371" i="21"/>
  <c r="L371" i="21"/>
  <c r="G380" i="21"/>
  <c r="G378" i="21"/>
  <c r="G381" i="21"/>
  <c r="G382" i="21"/>
  <c r="G383" i="21"/>
  <c r="G379" i="21"/>
  <c r="G369" i="21"/>
  <c r="G376" i="21"/>
  <c r="G370" i="21"/>
  <c r="G371" i="21"/>
  <c r="G377" i="21"/>
  <c r="G406" i="21"/>
  <c r="G407" i="21"/>
  <c r="G409" i="21"/>
  <c r="G410" i="21"/>
  <c r="G411" i="21"/>
  <c r="K414" i="21"/>
  <c r="G414" i="21"/>
  <c r="G412" i="21"/>
  <c r="G413" i="21"/>
  <c r="L413" i="21"/>
  <c r="G415" i="21"/>
  <c r="K415" i="21"/>
  <c r="G416" i="21"/>
  <c r="L416" i="21"/>
  <c r="L415" i="21"/>
  <c r="G417" i="21"/>
  <c r="K421" i="21"/>
  <c r="L421" i="21"/>
  <c r="G435" i="21"/>
  <c r="G432" i="21"/>
  <c r="K431" i="21"/>
  <c r="K430" i="21"/>
  <c r="K467" i="21"/>
  <c r="G440" i="21"/>
  <c r="G438" i="21"/>
  <c r="G441" i="21"/>
  <c r="G442" i="21"/>
  <c r="G443" i="21"/>
  <c r="G439" i="21"/>
  <c r="G436" i="21"/>
  <c r="G430" i="21"/>
  <c r="G431" i="21"/>
  <c r="G437" i="21"/>
  <c r="G464" i="21"/>
  <c r="G465" i="21"/>
  <c r="G463" i="21"/>
  <c r="G462" i="21"/>
  <c r="G460" i="21"/>
  <c r="G466" i="21"/>
  <c r="G467" i="21"/>
  <c r="G470" i="21"/>
  <c r="G471" i="21"/>
  <c r="G472" i="21"/>
  <c r="C58" i="14"/>
  <c r="L31" i="21"/>
  <c r="L10" i="21"/>
  <c r="D8" i="14"/>
  <c r="K31" i="21"/>
  <c r="K10" i="21"/>
  <c r="C8" i="14"/>
  <c r="B85" i="27"/>
  <c r="K197" i="21"/>
  <c r="B10" i="27"/>
  <c r="L310" i="21"/>
  <c r="L347" i="21"/>
  <c r="L249" i="21"/>
  <c r="L257" i="21"/>
  <c r="K143" i="21"/>
  <c r="C63" i="14"/>
  <c r="L75" i="21"/>
  <c r="L78" i="21"/>
  <c r="L76" i="21"/>
  <c r="L97" i="21"/>
  <c r="K48" i="21"/>
  <c r="K51" i="21"/>
  <c r="L51" i="21"/>
  <c r="L48" i="21"/>
  <c r="C93" i="14"/>
  <c r="CE8" i="30"/>
  <c r="L370" i="21"/>
  <c r="L407" i="21"/>
  <c r="L430" i="21"/>
  <c r="L467" i="21"/>
  <c r="CF11" i="30"/>
  <c r="CF10" i="30"/>
  <c r="D96" i="14"/>
  <c r="C96" i="14"/>
  <c r="C95" i="14"/>
  <c r="L190" i="21"/>
  <c r="L227" i="21"/>
  <c r="CI18" i="30"/>
  <c r="CH17" i="30"/>
  <c r="CH9" i="30"/>
  <c r="CE38" i="30"/>
  <c r="CE36" i="30"/>
  <c r="CE37" i="30"/>
  <c r="CG11" i="30"/>
  <c r="CJ5" i="30"/>
  <c r="CH25" i="30"/>
  <c r="D102" i="14"/>
  <c r="L295" i="21"/>
  <c r="K368" i="21"/>
  <c r="C79" i="14"/>
  <c r="L104" i="21"/>
  <c r="K85" i="21"/>
  <c r="C91" i="14"/>
  <c r="C102" i="14"/>
  <c r="K104" i="21"/>
  <c r="C55" i="14"/>
  <c r="L125" i="21"/>
  <c r="O4" i="28"/>
  <c r="O9" i="28"/>
  <c r="O12" i="28"/>
  <c r="L368" i="21"/>
  <c r="K413" i="21"/>
  <c r="C10" i="28"/>
  <c r="L414" i="21"/>
  <c r="K251" i="21"/>
  <c r="K250" i="21"/>
  <c r="K287" i="21"/>
  <c r="K174" i="21"/>
  <c r="L25" i="21"/>
  <c r="D88" i="14"/>
  <c r="C4" i="28"/>
  <c r="C9" i="28"/>
  <c r="K105" i="21"/>
  <c r="K293" i="21"/>
  <c r="K294" i="21"/>
  <c r="K191" i="21"/>
  <c r="K188" i="21"/>
  <c r="L26" i="21"/>
  <c r="L4" i="21"/>
  <c r="K175" i="21"/>
  <c r="K6" i="21"/>
  <c r="L105" i="21"/>
  <c r="C61" i="14"/>
  <c r="C57" i="14"/>
  <c r="C76" i="14"/>
  <c r="C78" i="14"/>
  <c r="C84" i="14"/>
  <c r="C31" i="14"/>
  <c r="K131" i="21"/>
  <c r="K124" i="21"/>
  <c r="K166" i="21"/>
  <c r="K123" i="21"/>
  <c r="L6" i="21"/>
  <c r="L124" i="21"/>
  <c r="L166" i="21"/>
  <c r="L49" i="21"/>
  <c r="L29" i="21"/>
  <c r="L7" i="21"/>
  <c r="K49" i="21"/>
  <c r="K75" i="21"/>
  <c r="K78" i="21"/>
  <c r="CF8" i="30"/>
  <c r="C27" i="27"/>
  <c r="K370" i="21"/>
  <c r="L250" i="21"/>
  <c r="D95" i="14"/>
  <c r="K190" i="21"/>
  <c r="B9" i="27"/>
  <c r="CG10" i="30"/>
  <c r="CG8" i="30"/>
  <c r="CJ18" i="30"/>
  <c r="CI17" i="30"/>
  <c r="CI9" i="30"/>
  <c r="CK5" i="30"/>
  <c r="CI25" i="30"/>
  <c r="CF38" i="30"/>
  <c r="CF36" i="30"/>
  <c r="CF37" i="30"/>
  <c r="K26" i="21"/>
  <c r="D6" i="14"/>
  <c r="D89" i="14"/>
  <c r="L3" i="21"/>
  <c r="D5" i="14"/>
  <c r="L27" i="21"/>
  <c r="L43" i="21"/>
  <c r="K407" i="21"/>
  <c r="L71" i="21"/>
  <c r="L167" i="21"/>
  <c r="L44" i="21"/>
  <c r="K76" i="21"/>
  <c r="K167" i="21"/>
  <c r="L287" i="21"/>
  <c r="K227" i="21"/>
  <c r="K71" i="21"/>
  <c r="K4" i="21"/>
  <c r="C6" i="14"/>
  <c r="K29" i="21"/>
  <c r="K7" i="21"/>
  <c r="K25" i="21"/>
  <c r="B5" i="27"/>
  <c r="B27" i="27"/>
  <c r="D87" i="14"/>
  <c r="CK18" i="30"/>
  <c r="CJ17" i="30"/>
  <c r="CJ9" i="30"/>
  <c r="CJ25" i="30"/>
  <c r="CL5" i="30"/>
  <c r="CH11" i="30"/>
  <c r="CG38" i="30"/>
  <c r="CG36" i="30"/>
  <c r="CG37" i="30"/>
  <c r="C89" i="14"/>
  <c r="D7" i="14"/>
  <c r="L5" i="21"/>
  <c r="L16" i="21"/>
  <c r="L17" i="21"/>
  <c r="T88" i="14"/>
  <c r="K97" i="21"/>
  <c r="C88" i="14"/>
  <c r="C87" i="14"/>
  <c r="C99" i="14"/>
  <c r="C101" i="14"/>
  <c r="C103" i="14"/>
  <c r="K3" i="21"/>
  <c r="C5" i="14"/>
  <c r="C7" i="14"/>
  <c r="C11" i="14"/>
  <c r="C13" i="14"/>
  <c r="C17" i="14"/>
  <c r="K27" i="21"/>
  <c r="K43" i="21"/>
  <c r="D99" i="14"/>
  <c r="CI11" i="30"/>
  <c r="CI10" i="30"/>
  <c r="D11" i="14"/>
  <c r="CM5" i="30"/>
  <c r="CK25" i="30"/>
  <c r="CH10" i="30"/>
  <c r="CH8" i="30"/>
  <c r="CL18" i="30"/>
  <c r="CK17" i="30"/>
  <c r="CK9" i="30"/>
  <c r="K44" i="21"/>
  <c r="K5" i="21"/>
  <c r="K16" i="21"/>
  <c r="K17" i="21"/>
  <c r="CI8" i="30"/>
  <c r="D101" i="14"/>
  <c r="CJ11" i="30"/>
  <c r="CJ10" i="30"/>
  <c r="D13" i="14"/>
  <c r="CI38" i="30"/>
  <c r="CI36" i="30"/>
  <c r="CI37" i="30"/>
  <c r="CM18" i="30"/>
  <c r="CL17" i="30"/>
  <c r="CL9" i="30"/>
  <c r="CL25" i="30"/>
  <c r="CH38" i="30"/>
  <c r="CH36" i="30"/>
  <c r="CH37" i="30"/>
  <c r="CN5" i="30"/>
  <c r="AI41" i="20"/>
  <c r="AJ41" i="20"/>
  <c r="AK41" i="20"/>
  <c r="CJ8" i="30"/>
  <c r="CK11" i="30"/>
  <c r="CK10" i="30"/>
  <c r="D103" i="14"/>
  <c r="D17" i="14"/>
  <c r="D84" i="14"/>
  <c r="CO5" i="30"/>
  <c r="CN18" i="30"/>
  <c r="CM17" i="30"/>
  <c r="CM9" i="30"/>
  <c r="CM25" i="30"/>
  <c r="CJ38" i="30"/>
  <c r="CJ36" i="30"/>
  <c r="CJ37" i="30"/>
  <c r="AN190" i="20"/>
  <c r="AM190" i="20"/>
  <c r="CK8" i="30"/>
  <c r="CL11" i="30"/>
  <c r="CL10" i="30"/>
  <c r="CK38" i="30"/>
  <c r="CK36" i="30"/>
  <c r="CK37" i="30"/>
  <c r="CM11" i="30"/>
  <c r="CP5" i="30"/>
  <c r="CO18" i="30"/>
  <c r="CN17" i="30"/>
  <c r="CN9" i="30"/>
  <c r="CN25" i="30"/>
  <c r="AQ190" i="20"/>
  <c r="AP190" i="20"/>
  <c r="CL8" i="30"/>
  <c r="CO25" i="30"/>
  <c r="CQ5" i="30"/>
  <c r="CO17" i="30"/>
  <c r="CO9" i="30"/>
  <c r="CP18" i="30"/>
  <c r="CM10" i="30"/>
  <c r="CM8" i="30"/>
  <c r="CL38" i="30"/>
  <c r="CL36" i="30"/>
  <c r="CL37" i="30"/>
  <c r="CN11" i="30"/>
  <c r="CP25" i="30"/>
  <c r="CQ18" i="30"/>
  <c r="CP17" i="30"/>
  <c r="CP9" i="30"/>
  <c r="CR5" i="30"/>
  <c r="CM38" i="30"/>
  <c r="CM36" i="30"/>
  <c r="CM37" i="30"/>
  <c r="CO11" i="30"/>
  <c r="CO10" i="30"/>
  <c r="CP11" i="30"/>
  <c r="CQ25" i="30"/>
  <c r="CQ17" i="30"/>
  <c r="CQ9" i="30"/>
  <c r="CR18" i="30"/>
  <c r="CS5" i="30"/>
  <c r="CN10" i="30"/>
  <c r="CN8" i="30"/>
  <c r="CO8" i="30"/>
  <c r="CS18" i="30"/>
  <c r="CR17" i="30"/>
  <c r="CR9" i="30"/>
  <c r="CP10" i="30"/>
  <c r="CP8" i="30"/>
  <c r="CN38" i="30"/>
  <c r="CN36" i="30"/>
  <c r="CN37" i="30"/>
  <c r="CR25" i="30"/>
  <c r="CT5" i="30"/>
  <c r="CO38" i="30"/>
  <c r="CO36" i="30"/>
  <c r="CO37" i="30"/>
  <c r="AB82" i="10"/>
  <c r="AB77" i="10"/>
  <c r="CP38" i="30"/>
  <c r="CP36" i="30"/>
  <c r="CP37" i="30"/>
  <c r="CS25" i="30"/>
  <c r="CU5" i="30"/>
  <c r="CT18" i="30"/>
  <c r="CS17" i="30"/>
  <c r="CS9" i="30"/>
  <c r="CR11" i="30"/>
  <c r="CQ11" i="30"/>
  <c r="AB17" i="10"/>
  <c r="AB67" i="10"/>
  <c r="AB45" i="10"/>
  <c r="AB24" i="10"/>
  <c r="AB21" i="10"/>
  <c r="AB16" i="10"/>
  <c r="CV5" i="30"/>
  <c r="CU18" i="30"/>
  <c r="CT17" i="30"/>
  <c r="CT9" i="30"/>
  <c r="CT25" i="30"/>
  <c r="CQ10" i="30"/>
  <c r="CQ8" i="30"/>
  <c r="CR8" i="30"/>
  <c r="CR10" i="30"/>
  <c r="AB59" i="10"/>
  <c r="AB30" i="10"/>
  <c r="AB66" i="10" s="1"/>
  <c r="AB74" i="10" s="1"/>
  <c r="AB99" i="10" s="1"/>
  <c r="AB100" i="10" s="1"/>
  <c r="CS11" i="30"/>
  <c r="CR38" i="30"/>
  <c r="CR36" i="30"/>
  <c r="CR37" i="30"/>
  <c r="CV18" i="30"/>
  <c r="CU17" i="30"/>
  <c r="CU9" i="30"/>
  <c r="CU25" i="30"/>
  <c r="CQ38" i="30"/>
  <c r="CQ36" i="30"/>
  <c r="CQ37" i="30"/>
  <c r="CW5" i="30"/>
  <c r="CT11" i="30"/>
  <c r="CT10" i="30"/>
  <c r="CV17" i="30"/>
  <c r="CV9" i="30"/>
  <c r="CW18" i="30"/>
  <c r="CX5" i="30"/>
  <c r="CV25" i="30"/>
  <c r="CS10" i="30"/>
  <c r="CS8" i="30"/>
  <c r="AG62" i="25"/>
  <c r="AG66" i="25"/>
  <c r="AG56" i="25"/>
  <c r="CT8" i="30"/>
  <c r="CU11" i="30"/>
  <c r="CU8" i="30"/>
  <c r="CS38" i="30"/>
  <c r="CS36" i="30"/>
  <c r="CS37" i="30"/>
  <c r="CX25" i="30"/>
  <c r="CW25" i="30"/>
  <c r="CW17" i="30"/>
  <c r="CW9" i="30"/>
  <c r="CX18" i="30"/>
  <c r="CX17" i="30"/>
  <c r="CX9" i="30"/>
  <c r="CT38" i="30"/>
  <c r="CT36" i="30"/>
  <c r="CT37" i="30"/>
  <c r="AG77" i="25"/>
  <c r="AG78" i="25"/>
  <c r="AD43" i="1"/>
  <c r="AD37" i="1"/>
  <c r="AD30" i="1"/>
  <c r="AD29" i="1"/>
  <c r="AD10" i="1"/>
  <c r="AD9" i="1"/>
  <c r="AD5" i="1"/>
  <c r="AJ115" i="20"/>
  <c r="AJ52" i="20"/>
  <c r="AK115" i="20"/>
  <c r="AI115" i="20"/>
  <c r="AI52" i="20"/>
  <c r="AK31" i="20"/>
  <c r="AJ31" i="20"/>
  <c r="AI31" i="20"/>
  <c r="AK10" i="20"/>
  <c r="CU10" i="30"/>
  <c r="CU38" i="30"/>
  <c r="CV11" i="30"/>
  <c r="CV10" i="30"/>
  <c r="CV8" i="30"/>
  <c r="CU36" i="30"/>
  <c r="CU37" i="30"/>
  <c r="CX11" i="30"/>
  <c r="CX10" i="30"/>
  <c r="CV38" i="30"/>
  <c r="CV36" i="30"/>
  <c r="CV37" i="30"/>
  <c r="CW11" i="30"/>
  <c r="AD59" i="1"/>
  <c r="CX8" i="30"/>
  <c r="CX38" i="30"/>
  <c r="CX36" i="30"/>
  <c r="CX37" i="30"/>
  <c r="CW10" i="30"/>
  <c r="CW8" i="30"/>
  <c r="AH125" i="20"/>
  <c r="X125" i="20"/>
  <c r="AA125" i="20"/>
  <c r="AD125" i="20"/>
  <c r="AG125" i="20"/>
  <c r="AF125" i="20"/>
  <c r="AH62" i="20"/>
  <c r="AG62" i="20"/>
  <c r="L62" i="20"/>
  <c r="O62" i="20"/>
  <c r="R62" i="20"/>
  <c r="U62" i="20"/>
  <c r="X62" i="20"/>
  <c r="AA62" i="20"/>
  <c r="AD62" i="20"/>
  <c r="AF62" i="20"/>
  <c r="AH41" i="20"/>
  <c r="AG41" i="20"/>
  <c r="AG20" i="20"/>
  <c r="AD20" i="20"/>
  <c r="AA20" i="20"/>
  <c r="X20" i="20"/>
  <c r="U20" i="20"/>
  <c r="R20" i="20"/>
  <c r="O20" i="20"/>
  <c r="AH20" i="20"/>
  <c r="AF20" i="20"/>
  <c r="CW38" i="30"/>
  <c r="CW36" i="30"/>
  <c r="CW37" i="30"/>
  <c r="AB6" i="10"/>
  <c r="P141" i="19"/>
  <c r="D79" i="27" s="1"/>
  <c r="U65" i="25"/>
  <c r="P622" i="19"/>
  <c r="S18" i="27"/>
  <c r="S15" i="27"/>
  <c r="T17" i="27"/>
  <c r="S16" i="27"/>
  <c r="S11" i="27"/>
  <c r="S8" i="27"/>
  <c r="T4" i="27"/>
  <c r="S4" i="27"/>
  <c r="T15" i="27"/>
  <c r="S17" i="27"/>
  <c r="T21" i="27"/>
  <c r="S23" i="27"/>
  <c r="S14" i="27"/>
  <c r="S20" i="27"/>
  <c r="S19" i="27"/>
  <c r="T19" i="27"/>
  <c r="T14" i="27"/>
  <c r="T16" i="27"/>
  <c r="T18" i="27"/>
  <c r="T8" i="27"/>
  <c r="S21" i="27"/>
  <c r="R27" i="27"/>
  <c r="Q27" i="27"/>
  <c r="T13" i="27"/>
  <c r="S13" i="27"/>
  <c r="AF44" i="25"/>
  <c r="AE88" i="25"/>
  <c r="AE82" i="25"/>
  <c r="AF88" i="25"/>
  <c r="AF82" i="25"/>
  <c r="AA82" i="10"/>
  <c r="AA77" i="10"/>
  <c r="AF48" i="25"/>
  <c r="AF41" i="25"/>
  <c r="N9" i="23"/>
  <c r="F106" i="25"/>
  <c r="F74" i="25"/>
  <c r="F79" i="25"/>
  <c r="F48" i="25"/>
  <c r="F22" i="25"/>
  <c r="AF62" i="25"/>
  <c r="AB22" i="25"/>
  <c r="AC22" i="25"/>
  <c r="AD22" i="25"/>
  <c r="AE22" i="25"/>
  <c r="AF22" i="25"/>
  <c r="AA22" i="25"/>
  <c r="AA67" i="10"/>
  <c r="AA59" i="10"/>
  <c r="AA45" i="10"/>
  <c r="AA38" i="10"/>
  <c r="AA30" i="10"/>
  <c r="AA66" i="10" s="1"/>
  <c r="AA74" i="10" s="1"/>
  <c r="AA99" i="10" s="1"/>
  <c r="AA100" i="10" s="1"/>
  <c r="AA24" i="10"/>
  <c r="AA21" i="10"/>
  <c r="AA17" i="10"/>
  <c r="AA16" i="10"/>
  <c r="AA6" i="10"/>
  <c r="AF115" i="20"/>
  <c r="AG115" i="20"/>
  <c r="AH115" i="20"/>
  <c r="AG73" i="20"/>
  <c r="AF73" i="20"/>
  <c r="AG52" i="20"/>
  <c r="AF52" i="20"/>
  <c r="AG31" i="20"/>
  <c r="AH31" i="20"/>
  <c r="AF31" i="20"/>
  <c r="AG10" i="20"/>
  <c r="AH10" i="20"/>
  <c r="AF10" i="20"/>
  <c r="AC10" i="1"/>
  <c r="Q529" i="19"/>
  <c r="R529" i="19"/>
  <c r="S529" i="19"/>
  <c r="T529" i="19"/>
  <c r="P529" i="19"/>
  <c r="Q490" i="19"/>
  <c r="F169" i="14" s="1"/>
  <c r="R490" i="19"/>
  <c r="G169" i="14" s="1"/>
  <c r="S490" i="19"/>
  <c r="H169" i="14" s="1"/>
  <c r="T490" i="19"/>
  <c r="I169" i="14" s="1"/>
  <c r="P490" i="19"/>
  <c r="E169" i="14" s="1"/>
  <c r="S139" i="19"/>
  <c r="G60" i="27" s="1"/>
  <c r="R139" i="19"/>
  <c r="F60" i="27" s="1"/>
  <c r="Q139" i="19"/>
  <c r="E60" i="27" s="1"/>
  <c r="T139" i="19"/>
  <c r="H60" i="27" s="1"/>
  <c r="AC30" i="1"/>
  <c r="AC43" i="1"/>
  <c r="AC37" i="1"/>
  <c r="AC5" i="1"/>
  <c r="R256" i="19"/>
  <c r="G400" i="14" s="1"/>
  <c r="Q256" i="19"/>
  <c r="F400" i="14" s="1"/>
  <c r="P256" i="19"/>
  <c r="E400" i="14" s="1"/>
  <c r="T256" i="19"/>
  <c r="I400" i="14" s="1"/>
  <c r="T249" i="19"/>
  <c r="T265" i="19"/>
  <c r="I403" i="14" s="1"/>
  <c r="S256" i="19"/>
  <c r="H400" i="14" s="1"/>
  <c r="AC29" i="1"/>
  <c r="AC9" i="1"/>
  <c r="T310" i="19"/>
  <c r="T583" i="19"/>
  <c r="AC59" i="1"/>
  <c r="AC64" i="1"/>
  <c r="J319" i="19"/>
  <c r="M318" i="19"/>
  <c r="Q443" i="14" s="1"/>
  <c r="J318" i="19"/>
  <c r="J314" i="19"/>
  <c r="M311" i="19"/>
  <c r="Q436" i="14" s="1"/>
  <c r="J311" i="19"/>
  <c r="M316" i="19"/>
  <c r="Q441" i="14" s="1"/>
  <c r="J316" i="19"/>
  <c r="M313" i="19"/>
  <c r="Q438" i="14" s="1"/>
  <c r="J313" i="19"/>
  <c r="J310" i="19"/>
  <c r="J312" i="19"/>
  <c r="M309" i="19"/>
  <c r="J309" i="19"/>
  <c r="J307" i="19"/>
  <c r="J306" i="19"/>
  <c r="J305" i="19"/>
  <c r="J304" i="19"/>
  <c r="M303" i="19"/>
  <c r="J303" i="19"/>
  <c r="J302" i="19"/>
  <c r="M301" i="19"/>
  <c r="J301" i="19"/>
  <c r="M291" i="19"/>
  <c r="J291" i="19"/>
  <c r="T290" i="19"/>
  <c r="U300" i="19"/>
  <c r="U299" i="19" s="1"/>
  <c r="J166" i="14"/>
  <c r="S290" i="19"/>
  <c r="T300" i="19"/>
  <c r="T299" i="19" s="1"/>
  <c r="I166" i="14"/>
  <c r="R290" i="19"/>
  <c r="S300" i="19"/>
  <c r="S299" i="19" s="1"/>
  <c r="P290" i="19"/>
  <c r="J290" i="19"/>
  <c r="J289" i="19"/>
  <c r="T288" i="19"/>
  <c r="I248" i="14"/>
  <c r="S288" i="19"/>
  <c r="H248" i="14"/>
  <c r="R288" i="19"/>
  <c r="Q288" i="19"/>
  <c r="P288" i="19"/>
  <c r="M287" i="19"/>
  <c r="J287" i="19"/>
  <c r="M286" i="19"/>
  <c r="T108" i="24" s="1"/>
  <c r="J286" i="19"/>
  <c r="M285" i="19"/>
  <c r="J285" i="19"/>
  <c r="M283" i="19"/>
  <c r="J283" i="19"/>
  <c r="J282" i="19"/>
  <c r="P300" i="19"/>
  <c r="P299" i="19" s="1"/>
  <c r="E431" i="14" s="1"/>
  <c r="H166" i="14"/>
  <c r="C455" i="14"/>
  <c r="AB10" i="10"/>
  <c r="M302" i="19"/>
  <c r="E247" i="14"/>
  <c r="V17" i="25"/>
  <c r="W17" i="25"/>
  <c r="X17" i="25"/>
  <c r="Y17" i="25"/>
  <c r="Z17" i="25"/>
  <c r="AA17" i="25"/>
  <c r="AB17" i="25"/>
  <c r="AC17" i="25"/>
  <c r="AD17" i="25"/>
  <c r="AE17" i="25"/>
  <c r="AF17" i="25"/>
  <c r="AG17" i="25"/>
  <c r="E29" i="23"/>
  <c r="D29" i="23"/>
  <c r="AE62" i="25"/>
  <c r="AJ193" i="20"/>
  <c r="AH190" i="20"/>
  <c r="AG190" i="20"/>
  <c r="AF190" i="20"/>
  <c r="AI190" i="20"/>
  <c r="Z52" i="20"/>
  <c r="AC125" i="20"/>
  <c r="AE125" i="20"/>
  <c r="AD83" i="20"/>
  <c r="AC83" i="20"/>
  <c r="AE83" i="20"/>
  <c r="AC62" i="20"/>
  <c r="AE62" i="20"/>
  <c r="AC41" i="20"/>
  <c r="AD41" i="20"/>
  <c r="AE41" i="20"/>
  <c r="AC20" i="20"/>
  <c r="AE20" i="20"/>
  <c r="Z45" i="10"/>
  <c r="Z82" i="10"/>
  <c r="Z67" i="10"/>
  <c r="Z59" i="10"/>
  <c r="Z38" i="10"/>
  <c r="Z24" i="10"/>
  <c r="Z31" i="10"/>
  <c r="Z30" i="10"/>
  <c r="Z77" i="10"/>
  <c r="Z17" i="10"/>
  <c r="Z21" i="10"/>
  <c r="Z16" i="10"/>
  <c r="Z66" i="10"/>
  <c r="Z74" i="10" s="1"/>
  <c r="Z99" i="10" s="1"/>
  <c r="Z100" i="10" s="1"/>
  <c r="Z6" i="10"/>
  <c r="M56" i="19"/>
  <c r="AE68" i="25"/>
  <c r="AE78" i="25"/>
  <c r="AC102" i="25"/>
  <c r="AD102" i="25"/>
  <c r="AC94" i="20"/>
  <c r="AD94" i="20"/>
  <c r="AE94" i="20"/>
  <c r="AC115" i="20"/>
  <c r="AD115" i="20"/>
  <c r="AE115" i="20"/>
  <c r="AC73" i="20"/>
  <c r="AD73" i="20"/>
  <c r="AC52" i="20"/>
  <c r="AD52" i="20"/>
  <c r="AC31" i="20"/>
  <c r="AD31" i="20"/>
  <c r="AE31" i="20"/>
  <c r="AC10" i="20"/>
  <c r="AD10" i="20"/>
  <c r="AE10" i="20"/>
  <c r="AE56" i="25"/>
  <c r="AF56" i="25"/>
  <c r="AF38" i="25"/>
  <c r="AG38" i="25"/>
  <c r="AF21" i="25"/>
  <c r="AF7" i="25"/>
  <c r="AG7" i="25"/>
  <c r="AF12" i="25"/>
  <c r="AG12" i="25"/>
  <c r="AF13" i="25"/>
  <c r="AG13" i="25"/>
  <c r="AF19" i="25"/>
  <c r="AF23" i="25"/>
  <c r="AG23" i="25"/>
  <c r="AF24" i="25"/>
  <c r="AG24" i="25"/>
  <c r="AF20" i="25"/>
  <c r="AG20" i="25"/>
  <c r="AE102" i="25"/>
  <c r="AF102" i="25"/>
  <c r="AG102" i="25"/>
  <c r="D314" i="14"/>
  <c r="AE96" i="25"/>
  <c r="AE16" i="25"/>
  <c r="AF96" i="25"/>
  <c r="AG96" i="25"/>
  <c r="D308" i="14"/>
  <c r="AG88" i="25"/>
  <c r="AG82" i="25"/>
  <c r="AE66" i="25"/>
  <c r="AF66" i="25"/>
  <c r="AE38" i="25"/>
  <c r="AE44" i="25"/>
  <c r="AE7" i="25"/>
  <c r="AE12" i="25"/>
  <c r="AE13" i="25"/>
  <c r="AE19" i="25"/>
  <c r="AE23" i="25"/>
  <c r="AE24" i="25"/>
  <c r="AE20" i="25"/>
  <c r="D301" i="14"/>
  <c r="AE21" i="25"/>
  <c r="AE41" i="25"/>
  <c r="AF16" i="25"/>
  <c r="AF9" i="25"/>
  <c r="AF81" i="25"/>
  <c r="AG16" i="25"/>
  <c r="AG9" i="25"/>
  <c r="AG21" i="25"/>
  <c r="D279" i="14"/>
  <c r="AG52" i="25"/>
  <c r="AF15" i="25"/>
  <c r="AF78" i="25"/>
  <c r="AF51" i="25"/>
  <c r="AF77" i="25"/>
  <c r="AF11" i="25"/>
  <c r="AF52" i="25"/>
  <c r="AE15" i="25"/>
  <c r="AE14" i="25"/>
  <c r="AE81" i="25"/>
  <c r="AE77" i="25"/>
  <c r="AF18" i="25"/>
  <c r="AG51" i="25"/>
  <c r="AG11" i="25"/>
  <c r="AE9" i="25"/>
  <c r="AE51" i="25"/>
  <c r="AE18" i="25"/>
  <c r="AE52" i="25"/>
  <c r="AE11" i="25"/>
  <c r="AG81" i="25"/>
  <c r="D294" i="14"/>
  <c r="D295" i="14"/>
  <c r="AF14" i="25"/>
  <c r="AF10" i="25"/>
  <c r="AF30" i="25"/>
  <c r="AF31" i="25"/>
  <c r="AG15" i="25"/>
  <c r="AG14" i="25"/>
  <c r="AG10" i="25"/>
  <c r="AG18" i="25"/>
  <c r="AG109" i="25"/>
  <c r="D321" i="14"/>
  <c r="AE8" i="25"/>
  <c r="AF109" i="25"/>
  <c r="AF8" i="25"/>
  <c r="AE109" i="25"/>
  <c r="AE10" i="25"/>
  <c r="AE30" i="25"/>
  <c r="AE31" i="25"/>
  <c r="AG30" i="25"/>
  <c r="AG31" i="25"/>
  <c r="AG8" i="25"/>
  <c r="AB43" i="1"/>
  <c r="AB37" i="1"/>
  <c r="AB30" i="1"/>
  <c r="AB29" i="1"/>
  <c r="AB10" i="1"/>
  <c r="AB9" i="1"/>
  <c r="AB5" i="1"/>
  <c r="AB59" i="1"/>
  <c r="M279" i="19"/>
  <c r="Q414" i="14" s="1"/>
  <c r="M272" i="19"/>
  <c r="Q408" i="14" s="1"/>
  <c r="M277" i="19"/>
  <c r="M274" i="19"/>
  <c r="Q409" i="14" s="1"/>
  <c r="M264" i="19"/>
  <c r="P219" i="19"/>
  <c r="E390" i="14" s="1"/>
  <c r="M263" i="19"/>
  <c r="M262" i="19"/>
  <c r="M252" i="19"/>
  <c r="T251" i="19"/>
  <c r="I408" i="14"/>
  <c r="J250" i="19"/>
  <c r="J249" i="19"/>
  <c r="M248" i="19"/>
  <c r="J248" i="19"/>
  <c r="M247" i="19"/>
  <c r="J247" i="19"/>
  <c r="J246" i="19"/>
  <c r="M244" i="19"/>
  <c r="J244" i="19"/>
  <c r="J243" i="19"/>
  <c r="AA10" i="20"/>
  <c r="AB10" i="20"/>
  <c r="Z10" i="20"/>
  <c r="AA31" i="20"/>
  <c r="AB31" i="20"/>
  <c r="Z31" i="20"/>
  <c r="AA52" i="20"/>
  <c r="AA115" i="20"/>
  <c r="AB115" i="20"/>
  <c r="Z115" i="20"/>
  <c r="X115" i="20"/>
  <c r="Y115" i="20"/>
  <c r="Z94" i="20"/>
  <c r="AA94" i="20"/>
  <c r="AB94" i="20"/>
  <c r="AA73" i="20"/>
  <c r="Z73" i="20"/>
  <c r="Z125" i="20"/>
  <c r="AB125" i="20"/>
  <c r="W125" i="20"/>
  <c r="Y125" i="20"/>
  <c r="T125" i="20"/>
  <c r="U125" i="20"/>
  <c r="Z83" i="20"/>
  <c r="AA83" i="20"/>
  <c r="AB83" i="20"/>
  <c r="T83" i="20"/>
  <c r="U83" i="20"/>
  <c r="Z62" i="20"/>
  <c r="AB62" i="20"/>
  <c r="T62" i="20"/>
  <c r="X52" i="20"/>
  <c r="Z41" i="20"/>
  <c r="AA41" i="20"/>
  <c r="AB41" i="20"/>
  <c r="W41" i="20"/>
  <c r="T41" i="20"/>
  <c r="U41" i="20"/>
  <c r="Z20" i="20"/>
  <c r="AB20" i="20"/>
  <c r="T20" i="20"/>
  <c r="X10" i="20"/>
  <c r="M169" i="19"/>
  <c r="X108" i="24" s="1"/>
  <c r="M130" i="19"/>
  <c r="P56" i="27" s="1"/>
  <c r="M91" i="19"/>
  <c r="V261" i="14"/>
  <c r="X261" i="14"/>
  <c r="W261" i="14"/>
  <c r="Q284" i="14"/>
  <c r="S284" i="14"/>
  <c r="Q288" i="14"/>
  <c r="S288" i="14"/>
  <c r="Y45" i="10"/>
  <c r="Y17" i="10"/>
  <c r="Y24" i="10"/>
  <c r="Y21" i="10"/>
  <c r="Y16" i="10"/>
  <c r="Y82" i="10"/>
  <c r="Y77" i="10" s="1"/>
  <c r="C67" i="11" s="1"/>
  <c r="E67" i="11" s="1"/>
  <c r="Y30" i="10"/>
  <c r="Y66" i="10" s="1"/>
  <c r="Y74" i="10" s="1"/>
  <c r="AD46" i="25"/>
  <c r="G165" i="14"/>
  <c r="Q9" i="14"/>
  <c r="S9" i="14"/>
  <c r="Q10" i="14"/>
  <c r="S10" i="14"/>
  <c r="G368" i="14"/>
  <c r="G342" i="14"/>
  <c r="G340" i="14"/>
  <c r="G361" i="14" s="1"/>
  <c r="G250" i="14"/>
  <c r="G249" i="14"/>
  <c r="G248" i="14"/>
  <c r="G247" i="14"/>
  <c r="G170" i="14"/>
  <c r="G168" i="14"/>
  <c r="Q6" i="14"/>
  <c r="S6" i="14"/>
  <c r="Q5" i="14"/>
  <c r="S5" i="14"/>
  <c r="Q8" i="14"/>
  <c r="S8" i="14"/>
  <c r="Q7" i="14"/>
  <c r="S7" i="14"/>
  <c r="Q11" i="14"/>
  <c r="S11" i="14"/>
  <c r="Q13" i="14"/>
  <c r="S13" i="14"/>
  <c r="Q103" i="14"/>
  <c r="S103" i="14"/>
  <c r="AD89" i="25"/>
  <c r="AA43" i="1"/>
  <c r="AA37" i="1"/>
  <c r="AA30" i="1"/>
  <c r="AA5" i="1"/>
  <c r="AA29" i="1"/>
  <c r="Q17" i="14"/>
  <c r="S17" i="14"/>
  <c r="S3" i="27"/>
  <c r="T3" i="27"/>
  <c r="AA10" i="1"/>
  <c r="AA9" i="1"/>
  <c r="AA59" i="1"/>
  <c r="AD88" i="25"/>
  <c r="AD82" i="25"/>
  <c r="AD56" i="25"/>
  <c r="AD96" i="25"/>
  <c r="AD16" i="25"/>
  <c r="AD66" i="25"/>
  <c r="AD62" i="25"/>
  <c r="AD44" i="25"/>
  <c r="AD41" i="25"/>
  <c r="AD38" i="25"/>
  <c r="AD7" i="25"/>
  <c r="AD12" i="25"/>
  <c r="AD13" i="25"/>
  <c r="AD24" i="25"/>
  <c r="AD20" i="25"/>
  <c r="AD15" i="25"/>
  <c r="AD9" i="25"/>
  <c r="AD21" i="25"/>
  <c r="AD52" i="25"/>
  <c r="AD78" i="25"/>
  <c r="AD77" i="25"/>
  <c r="AD81" i="25"/>
  <c r="AD109" i="25"/>
  <c r="AD11" i="25"/>
  <c r="AD14" i="25"/>
  <c r="AD10" i="25"/>
  <c r="AD8" i="25"/>
  <c r="Y6" i="10"/>
  <c r="B9" i="11"/>
  <c r="C7" i="11"/>
  <c r="B7" i="11"/>
  <c r="F368" i="14"/>
  <c r="H368" i="14"/>
  <c r="I368" i="14"/>
  <c r="J368" i="14"/>
  <c r="K368" i="14"/>
  <c r="L368" i="14"/>
  <c r="M368" i="14"/>
  <c r="N368" i="14"/>
  <c r="P368" i="14"/>
  <c r="E368" i="14"/>
  <c r="AC190" i="20"/>
  <c r="AD190" i="20"/>
  <c r="AE190" i="20"/>
  <c r="X82" i="10"/>
  <c r="X77" i="10"/>
  <c r="X17" i="10"/>
  <c r="X45" i="10"/>
  <c r="X24" i="10"/>
  <c r="X21" i="10"/>
  <c r="X16" i="10"/>
  <c r="W289" i="14"/>
  <c r="X6" i="10"/>
  <c r="X30" i="10"/>
  <c r="AC91" i="25"/>
  <c r="F347" i="14"/>
  <c r="F342" i="14"/>
  <c r="E342" i="14"/>
  <c r="F340" i="14"/>
  <c r="E340" i="14"/>
  <c r="E361" i="14" s="1"/>
  <c r="AC46" i="25"/>
  <c r="AC96" i="25"/>
  <c r="AC88" i="25"/>
  <c r="AC82" i="25"/>
  <c r="AC81" i="25"/>
  <c r="AC109" i="25"/>
  <c r="Z10" i="1"/>
  <c r="Z9" i="1"/>
  <c r="Z43" i="1"/>
  <c r="Z37" i="1"/>
  <c r="Z30" i="1"/>
  <c r="Z29" i="1"/>
  <c r="Z5" i="1"/>
  <c r="AC56" i="25"/>
  <c r="AC44" i="25"/>
  <c r="AC7" i="25"/>
  <c r="AC12" i="25"/>
  <c r="AC13" i="25"/>
  <c r="AC15" i="25"/>
  <c r="AC16" i="25"/>
  <c r="AC24" i="25"/>
  <c r="AC20" i="25"/>
  <c r="AC66" i="25"/>
  <c r="AC62" i="25"/>
  <c r="AC38" i="25"/>
  <c r="AC21" i="25"/>
  <c r="AC41" i="25"/>
  <c r="AC78" i="25"/>
  <c r="AC52" i="25"/>
  <c r="AC77" i="25"/>
  <c r="Z59" i="1"/>
  <c r="AC14" i="25"/>
  <c r="AC9" i="25"/>
  <c r="AC8" i="25"/>
  <c r="AC11" i="25"/>
  <c r="X10" i="10"/>
  <c r="AC10" i="25"/>
  <c r="F168" i="14"/>
  <c r="E168" i="14"/>
  <c r="F46" i="25"/>
  <c r="F47" i="25"/>
  <c r="F50" i="25"/>
  <c r="F43" i="25"/>
  <c r="F51" i="25"/>
  <c r="F52" i="25"/>
  <c r="F53" i="25"/>
  <c r="F54" i="25"/>
  <c r="F55" i="25"/>
  <c r="F56" i="25"/>
  <c r="F57" i="25"/>
  <c r="F58" i="25"/>
  <c r="F62" i="25"/>
  <c r="F63" i="25"/>
  <c r="F64" i="25"/>
  <c r="F65" i="25"/>
  <c r="F66" i="25"/>
  <c r="F67" i="25"/>
  <c r="F75" i="25"/>
  <c r="F73" i="25"/>
  <c r="F76" i="25"/>
  <c r="F68" i="25"/>
  <c r="F77" i="25"/>
  <c r="F78" i="25"/>
  <c r="F80" i="25"/>
  <c r="F81" i="25"/>
  <c r="F82" i="25"/>
  <c r="F83" i="25"/>
  <c r="F84" i="25"/>
  <c r="F88" i="25"/>
  <c r="F89" i="25"/>
  <c r="F90" i="25"/>
  <c r="F91" i="25"/>
  <c r="F92" i="25"/>
  <c r="F93" i="25"/>
  <c r="F94" i="25"/>
  <c r="F96" i="25"/>
  <c r="F97" i="25"/>
  <c r="F98" i="25"/>
  <c r="F99" i="25"/>
  <c r="F100" i="25"/>
  <c r="F101" i="25"/>
  <c r="F102" i="25"/>
  <c r="F103" i="25"/>
  <c r="F107" i="25"/>
  <c r="F105" i="25"/>
  <c r="F108" i="25"/>
  <c r="F104" i="25"/>
  <c r="F109" i="25"/>
  <c r="F111" i="25"/>
  <c r="F112" i="25"/>
  <c r="F113" i="25"/>
  <c r="F10" i="25"/>
  <c r="F11" i="25"/>
  <c r="F12" i="25"/>
  <c r="F13" i="25"/>
  <c r="F14" i="25"/>
  <c r="F15" i="25"/>
  <c r="F16" i="25"/>
  <c r="F17" i="25"/>
  <c r="F18" i="25"/>
  <c r="F19" i="25"/>
  <c r="F23" i="25"/>
  <c r="F21" i="25"/>
  <c r="F24" i="25"/>
  <c r="F20" i="25"/>
  <c r="F25" i="25"/>
  <c r="F26" i="25"/>
  <c r="F27" i="25"/>
  <c r="F28" i="25"/>
  <c r="F29" i="25"/>
  <c r="F30" i="25"/>
  <c r="F32" i="25"/>
  <c r="F33" i="25"/>
  <c r="F38" i="25"/>
  <c r="F39" i="25"/>
  <c r="F40" i="25"/>
  <c r="F41" i="25"/>
  <c r="F42" i="25"/>
  <c r="F49" i="25"/>
  <c r="F44" i="25"/>
  <c r="F45" i="25"/>
  <c r="F8" i="25"/>
  <c r="F9" i="25"/>
  <c r="F7" i="25"/>
  <c r="AB46" i="25"/>
  <c r="W82" i="10"/>
  <c r="W17" i="10"/>
  <c r="W16" i="10"/>
  <c r="U115" i="20"/>
  <c r="U94" i="20"/>
  <c r="U73" i="20"/>
  <c r="U52" i="20"/>
  <c r="U31" i="20"/>
  <c r="U10" i="20"/>
  <c r="V125" i="20"/>
  <c r="V83" i="20"/>
  <c r="V62" i="20"/>
  <c r="V41" i="20"/>
  <c r="W115" i="20"/>
  <c r="W94" i="20"/>
  <c r="W73" i="20"/>
  <c r="W31" i="20"/>
  <c r="R10" i="20"/>
  <c r="Q10" i="20"/>
  <c r="J6" i="19"/>
  <c r="J7" i="19"/>
  <c r="J8" i="19"/>
  <c r="J9" i="19"/>
  <c r="J10" i="19"/>
  <c r="J11" i="19"/>
  <c r="J12" i="19"/>
  <c r="J14" i="19"/>
  <c r="J19" i="19"/>
  <c r="J20" i="19"/>
  <c r="J22" i="19"/>
  <c r="J23" i="19"/>
  <c r="J21" i="19"/>
  <c r="J24" i="19"/>
  <c r="J25" i="19"/>
  <c r="J26" i="19"/>
  <c r="J27" i="19"/>
  <c r="J28" i="19"/>
  <c r="J30" i="19"/>
  <c r="J33" i="19"/>
  <c r="J31" i="19"/>
  <c r="J34" i="19"/>
  <c r="J37" i="19"/>
  <c r="J32" i="19"/>
  <c r="J35" i="19"/>
  <c r="J39" i="19"/>
  <c r="J41" i="19"/>
  <c r="J42" i="19"/>
  <c r="J43" i="19"/>
  <c r="J44" i="19"/>
  <c r="J48" i="19"/>
  <c r="J49" i="19"/>
  <c r="J51" i="19"/>
  <c r="J52" i="19"/>
  <c r="J53" i="19"/>
  <c r="J54" i="19"/>
  <c r="J55" i="19"/>
  <c r="J56" i="19"/>
  <c r="J57" i="19"/>
  <c r="J59" i="19"/>
  <c r="J64" i="19"/>
  <c r="J65" i="19"/>
  <c r="J67" i="19"/>
  <c r="J68" i="19"/>
  <c r="J66" i="19"/>
  <c r="J69" i="19"/>
  <c r="J70" i="19"/>
  <c r="J71" i="19"/>
  <c r="J72" i="19"/>
  <c r="J73" i="19"/>
  <c r="J75" i="19"/>
  <c r="J78" i="19"/>
  <c r="J76" i="19"/>
  <c r="J79" i="19"/>
  <c r="J82" i="19"/>
  <c r="J77" i="19"/>
  <c r="J80" i="19"/>
  <c r="J84" i="19"/>
  <c r="J63" i="19"/>
  <c r="J85" i="19"/>
  <c r="J87" i="19"/>
  <c r="J88" i="19"/>
  <c r="J90" i="19"/>
  <c r="J91" i="19"/>
  <c r="J92" i="19"/>
  <c r="J93" i="19"/>
  <c r="J94" i="19"/>
  <c r="J95" i="19"/>
  <c r="J96" i="19"/>
  <c r="J98" i="19"/>
  <c r="J103" i="19"/>
  <c r="J104" i="19"/>
  <c r="J106" i="19"/>
  <c r="J107" i="19"/>
  <c r="J105" i="19"/>
  <c r="J108" i="19"/>
  <c r="J109" i="19"/>
  <c r="J110" i="19"/>
  <c r="J111" i="19"/>
  <c r="J112" i="19"/>
  <c r="J114" i="19"/>
  <c r="J117" i="19"/>
  <c r="J115" i="19"/>
  <c r="J118" i="19"/>
  <c r="J121" i="19"/>
  <c r="J119" i="19"/>
  <c r="J123" i="19"/>
  <c r="J124" i="19"/>
  <c r="J126" i="19"/>
  <c r="J127" i="19"/>
  <c r="J129" i="19"/>
  <c r="J130" i="19"/>
  <c r="J132" i="19"/>
  <c r="J133" i="19"/>
  <c r="J134" i="19"/>
  <c r="J135" i="19"/>
  <c r="J137" i="19"/>
  <c r="J163" i="19"/>
  <c r="J165" i="19"/>
  <c r="J166" i="19"/>
  <c r="J168" i="19"/>
  <c r="J169" i="19"/>
  <c r="J170" i="19"/>
  <c r="J171" i="19"/>
  <c r="J172" i="19"/>
  <c r="J173" i="19"/>
  <c r="J181" i="19"/>
  <c r="J182" i="19"/>
  <c r="J184" i="19"/>
  <c r="J185" i="19"/>
  <c r="J183" i="19"/>
  <c r="J186" i="19"/>
  <c r="J187" i="19"/>
  <c r="J188" i="19"/>
  <c r="J189" i="19"/>
  <c r="J190" i="19"/>
  <c r="J192" i="19"/>
  <c r="J195" i="19"/>
  <c r="J193" i="19"/>
  <c r="J196" i="19"/>
  <c r="J199" i="19"/>
  <c r="J194" i="19"/>
  <c r="J197" i="19"/>
  <c r="J201" i="19"/>
  <c r="J180" i="19"/>
  <c r="J202" i="19"/>
  <c r="J204" i="19"/>
  <c r="J205" i="19"/>
  <c r="J207" i="19"/>
  <c r="J208" i="19"/>
  <c r="J209" i="19"/>
  <c r="J210" i="19"/>
  <c r="J211" i="19"/>
  <c r="J212" i="19"/>
  <c r="J213" i="19"/>
  <c r="J477" i="19"/>
  <c r="J478" i="19"/>
  <c r="J480" i="19"/>
  <c r="J481" i="19"/>
  <c r="J482" i="19"/>
  <c r="J519" i="19"/>
  <c r="J520" i="19"/>
  <c r="J521" i="19"/>
  <c r="J522" i="19"/>
  <c r="J523" i="19"/>
  <c r="J524" i="19"/>
  <c r="J525" i="19"/>
  <c r="J556" i="19"/>
  <c r="J557" i="19"/>
  <c r="J558" i="19"/>
  <c r="J559" i="19"/>
  <c r="J560" i="19"/>
  <c r="J561" i="19"/>
  <c r="J562" i="19"/>
  <c r="J563" i="19"/>
  <c r="J564" i="19"/>
  <c r="J566" i="19"/>
  <c r="J572" i="19"/>
  <c r="J574" i="19"/>
  <c r="J575" i="19"/>
  <c r="J573" i="19"/>
  <c r="J576" i="19"/>
  <c r="J577" i="19"/>
  <c r="J578" i="19"/>
  <c r="J579" i="19"/>
  <c r="J580" i="19"/>
  <c r="J582" i="19"/>
  <c r="J585" i="19"/>
  <c r="J583" i="19"/>
  <c r="J586" i="19"/>
  <c r="J589" i="19"/>
  <c r="J584" i="19"/>
  <c r="J587" i="19"/>
  <c r="J591" i="19"/>
  <c r="J592" i="19"/>
  <c r="J4" i="19"/>
  <c r="I7" i="23"/>
  <c r="AB102" i="25"/>
  <c r="AB91" i="25"/>
  <c r="Q20" i="20"/>
  <c r="S20" i="20"/>
  <c r="R31" i="20"/>
  <c r="Q31" i="20"/>
  <c r="Q41" i="20"/>
  <c r="R41" i="20"/>
  <c r="S41" i="20"/>
  <c r="R115" i="20"/>
  <c r="Q115" i="20"/>
  <c r="R125" i="20"/>
  <c r="S125" i="20"/>
  <c r="Q125" i="20"/>
  <c r="R94" i="20"/>
  <c r="Q94" i="20"/>
  <c r="R73" i="20"/>
  <c r="Q73" i="20"/>
  <c r="R52" i="20"/>
  <c r="Q52" i="20"/>
  <c r="V190" i="20"/>
  <c r="Y190" i="20"/>
  <c r="W190" i="20"/>
  <c r="X190" i="20"/>
  <c r="N41" i="20"/>
  <c r="W21" i="10"/>
  <c r="W24" i="10"/>
  <c r="W45" i="10"/>
  <c r="W77" i="10"/>
  <c r="W106" i="10" s="1"/>
  <c r="AB56" i="25"/>
  <c r="Y43" i="1"/>
  <c r="Y37" i="1"/>
  <c r="Y30" i="1"/>
  <c r="Y10" i="1"/>
  <c r="Y5" i="1"/>
  <c r="AB90" i="25"/>
  <c r="AB96" i="25"/>
  <c r="AB16" i="25"/>
  <c r="AB66" i="25"/>
  <c r="AB44" i="25"/>
  <c r="AB41" i="25"/>
  <c r="AB38" i="25"/>
  <c r="AB62" i="25"/>
  <c r="AB7" i="25"/>
  <c r="AB12" i="25"/>
  <c r="AB24" i="25"/>
  <c r="AB20" i="25"/>
  <c r="Y29" i="1"/>
  <c r="AB21" i="25"/>
  <c r="AB89" i="25"/>
  <c r="AB88" i="25"/>
  <c r="AB82" i="25"/>
  <c r="AB52" i="25"/>
  <c r="AB78" i="25"/>
  <c r="AB77" i="25"/>
  <c r="W6" i="10"/>
  <c r="W30" i="10"/>
  <c r="W66" i="10"/>
  <c r="W74" i="10" s="1"/>
  <c r="W99" i="10" s="1"/>
  <c r="W100" i="10" s="1"/>
  <c r="Y9" i="1"/>
  <c r="AB9" i="25"/>
  <c r="AB11" i="25"/>
  <c r="Y59" i="1"/>
  <c r="AB81" i="25"/>
  <c r="V24" i="25"/>
  <c r="AA102" i="25"/>
  <c r="J20" i="25"/>
  <c r="J18" i="25"/>
  <c r="K20" i="25"/>
  <c r="K18" i="25"/>
  <c r="L20" i="25"/>
  <c r="L18" i="25"/>
  <c r="M20" i="25"/>
  <c r="M18" i="25"/>
  <c r="N20" i="25"/>
  <c r="N18" i="25"/>
  <c r="O20" i="25"/>
  <c r="O18" i="25"/>
  <c r="P20" i="25"/>
  <c r="P18" i="25"/>
  <c r="Q20" i="25"/>
  <c r="Q18" i="25"/>
  <c r="R20" i="25"/>
  <c r="R18" i="25"/>
  <c r="S20" i="25"/>
  <c r="S18" i="25"/>
  <c r="T20" i="25"/>
  <c r="I20" i="25"/>
  <c r="I18" i="25"/>
  <c r="W19" i="25"/>
  <c r="X19" i="25"/>
  <c r="W23" i="25"/>
  <c r="X23" i="25"/>
  <c r="W21" i="25"/>
  <c r="X21" i="25"/>
  <c r="Y21" i="25"/>
  <c r="W24" i="25"/>
  <c r="X24" i="25"/>
  <c r="Y24" i="25"/>
  <c r="Z24" i="25"/>
  <c r="AA24" i="25"/>
  <c r="W20" i="25"/>
  <c r="X20" i="25"/>
  <c r="Y20" i="25"/>
  <c r="Z20" i="25"/>
  <c r="AA20" i="25"/>
  <c r="V20" i="25"/>
  <c r="V23" i="25"/>
  <c r="V21" i="25"/>
  <c r="V19" i="25"/>
  <c r="J17" i="25"/>
  <c r="K17" i="25"/>
  <c r="L17" i="25"/>
  <c r="M17" i="25"/>
  <c r="N17" i="25"/>
  <c r="O17" i="25"/>
  <c r="P17" i="25"/>
  <c r="Q17" i="25"/>
  <c r="R17" i="25"/>
  <c r="S17" i="25"/>
  <c r="T17" i="25"/>
  <c r="I17" i="25"/>
  <c r="S102" i="25"/>
  <c r="Q96" i="25"/>
  <c r="Q16" i="25"/>
  <c r="R96" i="25"/>
  <c r="R16" i="25"/>
  <c r="S96" i="25"/>
  <c r="S16" i="25"/>
  <c r="T96" i="25"/>
  <c r="T16" i="25"/>
  <c r="V96" i="25"/>
  <c r="V16" i="25"/>
  <c r="W96" i="25"/>
  <c r="W16" i="25"/>
  <c r="X96" i="25"/>
  <c r="X16" i="25"/>
  <c r="Y96" i="25"/>
  <c r="Y16" i="25"/>
  <c r="Z96" i="25"/>
  <c r="Z16" i="25"/>
  <c r="AA96" i="25"/>
  <c r="AA16" i="25"/>
  <c r="U93" i="25"/>
  <c r="AA13" i="25"/>
  <c r="Z13" i="25"/>
  <c r="Y13" i="25"/>
  <c r="X13" i="25"/>
  <c r="W13" i="25"/>
  <c r="V13" i="25"/>
  <c r="T13" i="25"/>
  <c r="S13" i="25"/>
  <c r="R13" i="25"/>
  <c r="Q13" i="25"/>
  <c r="P13" i="25"/>
  <c r="O13" i="25"/>
  <c r="N13" i="25"/>
  <c r="M13" i="25"/>
  <c r="AA12" i="25"/>
  <c r="Z12" i="25"/>
  <c r="Y12" i="25"/>
  <c r="X12" i="25"/>
  <c r="W12" i="25"/>
  <c r="V12" i="25"/>
  <c r="T12" i="25"/>
  <c r="S12" i="25"/>
  <c r="R12" i="25"/>
  <c r="Q12" i="25"/>
  <c r="P12" i="25"/>
  <c r="O12" i="25"/>
  <c r="N12" i="25"/>
  <c r="M12" i="25"/>
  <c r="L12" i="25"/>
  <c r="K12" i="25"/>
  <c r="I12" i="25"/>
  <c r="AA7" i="25"/>
  <c r="Z7" i="25"/>
  <c r="Y7" i="25"/>
  <c r="X7" i="25"/>
  <c r="W7" i="25"/>
  <c r="V7" i="25"/>
  <c r="S7" i="25"/>
  <c r="R7" i="25"/>
  <c r="Q7" i="25"/>
  <c r="P7" i="25"/>
  <c r="O7" i="25"/>
  <c r="N7" i="25"/>
  <c r="M7" i="25"/>
  <c r="L7" i="25"/>
  <c r="K7" i="25"/>
  <c r="J7" i="25"/>
  <c r="I7" i="25"/>
  <c r="AA66" i="25"/>
  <c r="Z66" i="25"/>
  <c r="Y66" i="25"/>
  <c r="X66" i="25"/>
  <c r="W66" i="25"/>
  <c r="V66" i="25"/>
  <c r="T66" i="25"/>
  <c r="S66" i="25"/>
  <c r="R66" i="25"/>
  <c r="Q66" i="25"/>
  <c r="P66" i="25"/>
  <c r="O66" i="25"/>
  <c r="N66" i="25"/>
  <c r="M66" i="25"/>
  <c r="L66" i="25"/>
  <c r="K66" i="25"/>
  <c r="J66" i="25"/>
  <c r="Z102" i="25"/>
  <c r="Y102" i="25"/>
  <c r="X102" i="25"/>
  <c r="W102" i="25"/>
  <c r="V102" i="25"/>
  <c r="U102" i="25"/>
  <c r="T102" i="25"/>
  <c r="R102" i="25"/>
  <c r="Q102" i="25"/>
  <c r="P102" i="25"/>
  <c r="O102" i="25"/>
  <c r="N102" i="25"/>
  <c r="M102" i="25"/>
  <c r="L102" i="25"/>
  <c r="K102" i="25"/>
  <c r="J102" i="25"/>
  <c r="I102" i="25"/>
  <c r="U43" i="25"/>
  <c r="U50" i="25"/>
  <c r="U47" i="25"/>
  <c r="U20" i="25"/>
  <c r="U12" i="25"/>
  <c r="U13" i="25"/>
  <c r="U16" i="25"/>
  <c r="W11" i="25"/>
  <c r="N11" i="25"/>
  <c r="AB109" i="25"/>
  <c r="AB15" i="25"/>
  <c r="O11" i="25"/>
  <c r="X11" i="25"/>
  <c r="X18" i="25"/>
  <c r="W18" i="25"/>
  <c r="V18" i="25"/>
  <c r="U24" i="25"/>
  <c r="M11" i="25"/>
  <c r="S11" i="25"/>
  <c r="T11" i="25"/>
  <c r="V11" i="25"/>
  <c r="AA9" i="25"/>
  <c r="Z9" i="25"/>
  <c r="Y9" i="25"/>
  <c r="X9" i="25"/>
  <c r="W9" i="25"/>
  <c r="V9" i="25"/>
  <c r="T9" i="25"/>
  <c r="S9" i="25"/>
  <c r="R9" i="25"/>
  <c r="Q9" i="25"/>
  <c r="Q11" i="25"/>
  <c r="AA11" i="25"/>
  <c r="P11" i="25"/>
  <c r="Z11" i="25"/>
  <c r="R11" i="25"/>
  <c r="Y11" i="25"/>
  <c r="U11" i="25"/>
  <c r="U9" i="25"/>
  <c r="AB14" i="25"/>
  <c r="AB10" i="25"/>
  <c r="AB8" i="25"/>
  <c r="U29" i="25"/>
  <c r="U28" i="25"/>
  <c r="U27" i="25"/>
  <c r="U26" i="25"/>
  <c r="AA46" i="25"/>
  <c r="V45" i="25"/>
  <c r="U45" i="25"/>
  <c r="Z44" i="25"/>
  <c r="Z41" i="25"/>
  <c r="T21" i="25"/>
  <c r="U68" i="25"/>
  <c r="U75" i="25"/>
  <c r="U67" i="25"/>
  <c r="U100" i="25"/>
  <c r="U99" i="25"/>
  <c r="P99" i="25"/>
  <c r="O99" i="25"/>
  <c r="N99" i="25"/>
  <c r="N96" i="25"/>
  <c r="N16" i="25"/>
  <c r="N9" i="25"/>
  <c r="M99" i="25"/>
  <c r="M96" i="25"/>
  <c r="M16" i="25"/>
  <c r="M9" i="25"/>
  <c r="L99" i="25"/>
  <c r="L96" i="25"/>
  <c r="L16" i="25"/>
  <c r="K99" i="25"/>
  <c r="K96" i="25"/>
  <c r="K16" i="25"/>
  <c r="J99" i="25"/>
  <c r="J96" i="25"/>
  <c r="J16" i="25"/>
  <c r="I99" i="25"/>
  <c r="I96" i="25"/>
  <c r="I16" i="25"/>
  <c r="U98" i="25"/>
  <c r="O98" i="25"/>
  <c r="U97" i="25"/>
  <c r="W92" i="25"/>
  <c r="W91" i="25"/>
  <c r="V92" i="25"/>
  <c r="AA91" i="25"/>
  <c r="Z91" i="25"/>
  <c r="Y91" i="25"/>
  <c r="X91" i="25"/>
  <c r="W90" i="25"/>
  <c r="U90" i="25"/>
  <c r="AA89" i="25"/>
  <c r="AA88" i="25"/>
  <c r="Y89" i="25"/>
  <c r="Y88" i="25"/>
  <c r="Y82" i="25"/>
  <c r="Z88" i="25"/>
  <c r="X88" i="25"/>
  <c r="X82" i="25"/>
  <c r="V88" i="25"/>
  <c r="T88" i="25"/>
  <c r="T82" i="25"/>
  <c r="S88" i="25"/>
  <c r="S82" i="25"/>
  <c r="R88" i="25"/>
  <c r="R82" i="25"/>
  <c r="Q88" i="25"/>
  <c r="Q82" i="25"/>
  <c r="P88" i="25"/>
  <c r="P82" i="25"/>
  <c r="O88" i="25"/>
  <c r="O82" i="25"/>
  <c r="N88" i="25"/>
  <c r="N82" i="25"/>
  <c r="M88" i="25"/>
  <c r="M82" i="25"/>
  <c r="L88" i="25"/>
  <c r="L82" i="25"/>
  <c r="K88" i="25"/>
  <c r="K82" i="25"/>
  <c r="J88" i="25"/>
  <c r="J82" i="25"/>
  <c r="I88" i="25"/>
  <c r="I82" i="25"/>
  <c r="I81" i="25"/>
  <c r="U84" i="25"/>
  <c r="AA62" i="25"/>
  <c r="Z62" i="25"/>
  <c r="Y62" i="25"/>
  <c r="X62" i="25"/>
  <c r="W62" i="25"/>
  <c r="V62" i="25"/>
  <c r="V77" i="25"/>
  <c r="T77" i="25"/>
  <c r="S62" i="25"/>
  <c r="R62" i="25"/>
  <c r="Q62" i="25"/>
  <c r="P62" i="25"/>
  <c r="O62" i="25"/>
  <c r="N62" i="25"/>
  <c r="M62" i="25"/>
  <c r="U64" i="25"/>
  <c r="L64" i="25"/>
  <c r="K64" i="25"/>
  <c r="J64" i="25"/>
  <c r="J13" i="25"/>
  <c r="I64" i="25"/>
  <c r="U63" i="25"/>
  <c r="J63" i="25"/>
  <c r="U58" i="25"/>
  <c r="U57" i="25"/>
  <c r="AA56" i="25"/>
  <c r="U56" i="25"/>
  <c r="Z56" i="25"/>
  <c r="Y56" i="25"/>
  <c r="X56" i="25"/>
  <c r="W56" i="25"/>
  <c r="V56" i="25"/>
  <c r="T56" i="25"/>
  <c r="T55" i="25"/>
  <c r="T7" i="25"/>
  <c r="S56" i="25"/>
  <c r="R56" i="25"/>
  <c r="Q56" i="25"/>
  <c r="P56" i="25"/>
  <c r="O56" i="25"/>
  <c r="N56" i="25"/>
  <c r="M56" i="25"/>
  <c r="L56" i="25"/>
  <c r="K56" i="25"/>
  <c r="J56" i="25"/>
  <c r="I56" i="25"/>
  <c r="U55" i="25"/>
  <c r="AA38" i="25"/>
  <c r="Z38" i="25"/>
  <c r="Y38" i="25"/>
  <c r="X38" i="25"/>
  <c r="X51" i="25"/>
  <c r="W38" i="25"/>
  <c r="V38" i="25"/>
  <c r="V51" i="25"/>
  <c r="T38" i="25"/>
  <c r="T52" i="25"/>
  <c r="S38" i="25"/>
  <c r="S52" i="25"/>
  <c r="R38" i="25"/>
  <c r="R52" i="25"/>
  <c r="Q38" i="25"/>
  <c r="Q52" i="25"/>
  <c r="P38" i="25"/>
  <c r="O38" i="25"/>
  <c r="N38" i="25"/>
  <c r="M38" i="25"/>
  <c r="L38" i="25"/>
  <c r="K38" i="25"/>
  <c r="K52" i="25"/>
  <c r="J38" i="25"/>
  <c r="J52" i="25"/>
  <c r="I38" i="25"/>
  <c r="U40" i="25"/>
  <c r="U39" i="25"/>
  <c r="U34" i="25"/>
  <c r="X1" i="25"/>
  <c r="F250" i="14"/>
  <c r="E250" i="14"/>
  <c r="F248" i="14"/>
  <c r="E248" i="14"/>
  <c r="F247" i="14"/>
  <c r="F176" i="14"/>
  <c r="F170" i="14"/>
  <c r="E170" i="14"/>
  <c r="E166" i="14"/>
  <c r="F165" i="14"/>
  <c r="E165" i="14"/>
  <c r="X262" i="14"/>
  <c r="H327" i="14"/>
  <c r="I327" i="14"/>
  <c r="J327" i="14"/>
  <c r="I329" i="14"/>
  <c r="J329" i="14"/>
  <c r="I330" i="14"/>
  <c r="J330" i="14"/>
  <c r="I331" i="14"/>
  <c r="J331" i="14"/>
  <c r="I332" i="14"/>
  <c r="J332" i="14"/>
  <c r="I333" i="14"/>
  <c r="J333" i="14"/>
  <c r="U194" i="20"/>
  <c r="U192" i="20"/>
  <c r="T190" i="20"/>
  <c r="U190" i="20"/>
  <c r="I194" i="20"/>
  <c r="L194" i="20"/>
  <c r="O194" i="20"/>
  <c r="R194" i="20"/>
  <c r="I192" i="20"/>
  <c r="L192" i="20"/>
  <c r="O192" i="20"/>
  <c r="R192" i="20"/>
  <c r="Z82" i="25"/>
  <c r="Z81" i="25"/>
  <c r="Z109" i="25"/>
  <c r="AA82" i="25"/>
  <c r="U25" i="25"/>
  <c r="U62" i="25"/>
  <c r="W51" i="25"/>
  <c r="W52" i="25"/>
  <c r="AA81" i="25"/>
  <c r="AA109" i="25"/>
  <c r="Y52" i="25"/>
  <c r="Z52" i="25"/>
  <c r="AA52" i="25"/>
  <c r="Y81" i="25"/>
  <c r="Y109" i="25"/>
  <c r="Z21" i="25"/>
  <c r="E271" i="14"/>
  <c r="T271" i="14"/>
  <c r="X289" i="14"/>
  <c r="X286" i="14"/>
  <c r="X290" i="14"/>
  <c r="X287" i="14"/>
  <c r="X279" i="14"/>
  <c r="X269" i="14"/>
  <c r="U66" i="25"/>
  <c r="T329" i="14"/>
  <c r="E261" i="14"/>
  <c r="U193" i="20"/>
  <c r="U195" i="20"/>
  <c r="K81" i="25"/>
  <c r="L81" i="25"/>
  <c r="L109" i="25"/>
  <c r="L15" i="25"/>
  <c r="M81" i="25"/>
  <c r="M109" i="25"/>
  <c r="M15" i="25"/>
  <c r="N81" i="25"/>
  <c r="N109" i="25"/>
  <c r="N15" i="25"/>
  <c r="O15" i="25"/>
  <c r="P15" i="25"/>
  <c r="P98" i="25"/>
  <c r="P96" i="25"/>
  <c r="O96" i="25"/>
  <c r="J9" i="25"/>
  <c r="T18" i="25"/>
  <c r="K62" i="25"/>
  <c r="K78" i="25"/>
  <c r="K13" i="25"/>
  <c r="L62" i="25"/>
  <c r="L77" i="25"/>
  <c r="L13" i="25"/>
  <c r="J12" i="25"/>
  <c r="I62" i="25"/>
  <c r="I77" i="25"/>
  <c r="I13" i="25"/>
  <c r="O78" i="25"/>
  <c r="O77" i="25"/>
  <c r="X78" i="25"/>
  <c r="X77" i="25"/>
  <c r="P78" i="25"/>
  <c r="P77" i="25"/>
  <c r="Y78" i="25"/>
  <c r="Y77" i="25"/>
  <c r="Q78" i="25"/>
  <c r="Q77" i="25"/>
  <c r="Z78" i="25"/>
  <c r="Z77" i="25"/>
  <c r="R78" i="25"/>
  <c r="R77" i="25"/>
  <c r="AA78" i="25"/>
  <c r="AA77" i="25"/>
  <c r="S78" i="25"/>
  <c r="S77" i="25"/>
  <c r="M78" i="25"/>
  <c r="M77" i="25"/>
  <c r="N78" i="25"/>
  <c r="N77" i="25"/>
  <c r="W78" i="25"/>
  <c r="W77" i="25"/>
  <c r="AA44" i="25"/>
  <c r="AA41" i="25"/>
  <c r="U46" i="25"/>
  <c r="U92" i="25"/>
  <c r="W88" i="25"/>
  <c r="W82" i="25"/>
  <c r="N52" i="25"/>
  <c r="J62" i="25"/>
  <c r="U89" i="25"/>
  <c r="O52" i="25"/>
  <c r="V52" i="25"/>
  <c r="L52" i="25"/>
  <c r="M52" i="25"/>
  <c r="V78" i="25"/>
  <c r="T78" i="25"/>
  <c r="P52" i="25"/>
  <c r="X52" i="25"/>
  <c r="U38" i="25"/>
  <c r="I52" i="25"/>
  <c r="V91" i="25"/>
  <c r="V82" i="25"/>
  <c r="T332" i="14"/>
  <c r="T331" i="14"/>
  <c r="G258" i="14"/>
  <c r="T330" i="14"/>
  <c r="T333" i="14"/>
  <c r="J328" i="14"/>
  <c r="J334" i="14"/>
  <c r="T327" i="14"/>
  <c r="I328" i="14"/>
  <c r="H258" i="14"/>
  <c r="X268" i="14"/>
  <c r="X263" i="14"/>
  <c r="X272" i="14"/>
  <c r="E284" i="14"/>
  <c r="T284" i="14"/>
  <c r="W271" i="14"/>
  <c r="E288" i="14"/>
  <c r="T288" i="14"/>
  <c r="AA15" i="25"/>
  <c r="AA8" i="25"/>
  <c r="Y15" i="25"/>
  <c r="Y14" i="25"/>
  <c r="Y10" i="25"/>
  <c r="Z15" i="25"/>
  <c r="Z8" i="25"/>
  <c r="K77" i="25"/>
  <c r="L78" i="25"/>
  <c r="I78" i="25"/>
  <c r="U17" i="25"/>
  <c r="W290" i="14"/>
  <c r="X266" i="14"/>
  <c r="T328" i="14"/>
  <c r="I334" i="14"/>
  <c r="T334" i="14"/>
  <c r="X267" i="14"/>
  <c r="U91" i="25"/>
  <c r="U44" i="25"/>
  <c r="AA21" i="25"/>
  <c r="I11" i="25"/>
  <c r="I9" i="25"/>
  <c r="J11" i="25"/>
  <c r="L11" i="25"/>
  <c r="L9" i="25"/>
  <c r="K11" i="25"/>
  <c r="K9" i="25"/>
  <c r="O16" i="25"/>
  <c r="O9" i="25"/>
  <c r="O81" i="25"/>
  <c r="O109" i="25"/>
  <c r="P16" i="25"/>
  <c r="P9" i="25"/>
  <c r="P81" i="25"/>
  <c r="P109" i="25"/>
  <c r="X81" i="25"/>
  <c r="X109" i="25"/>
  <c r="X15" i="25"/>
  <c r="T81" i="25"/>
  <c r="T109" i="25"/>
  <c r="T15" i="25"/>
  <c r="S81" i="25"/>
  <c r="S109" i="25"/>
  <c r="S15" i="25"/>
  <c r="R81" i="25"/>
  <c r="R109" i="25"/>
  <c r="R15" i="25"/>
  <c r="Q81" i="25"/>
  <c r="Q109" i="25"/>
  <c r="Q15" i="25"/>
  <c r="P8" i="25"/>
  <c r="O8" i="25"/>
  <c r="N8" i="25"/>
  <c r="N14" i="25"/>
  <c r="N10" i="25"/>
  <c r="N30" i="25"/>
  <c r="N31" i="25"/>
  <c r="M8" i="25"/>
  <c r="M14" i="25"/>
  <c r="M10" i="25"/>
  <c r="M30" i="25"/>
  <c r="M31" i="25"/>
  <c r="L8" i="25"/>
  <c r="L14" i="25"/>
  <c r="K109" i="25"/>
  <c r="K15" i="25"/>
  <c r="J81" i="25"/>
  <c r="J109" i="25"/>
  <c r="J15" i="25"/>
  <c r="I109" i="25"/>
  <c r="I15" i="25"/>
  <c r="U78" i="25"/>
  <c r="J78" i="25"/>
  <c r="J77" i="25"/>
  <c r="U52" i="25"/>
  <c r="U88" i="25"/>
  <c r="X278" i="14"/>
  <c r="X265" i="14"/>
  <c r="U82" i="25"/>
  <c r="U81" i="25"/>
  <c r="AA14" i="25"/>
  <c r="Y8" i="25"/>
  <c r="W288" i="14"/>
  <c r="W284" i="14"/>
  <c r="Z14" i="25"/>
  <c r="Z10" i="25"/>
  <c r="P14" i="25"/>
  <c r="P10" i="25"/>
  <c r="P30" i="25"/>
  <c r="P31" i="25"/>
  <c r="U21" i="25"/>
  <c r="O14" i="25"/>
  <c r="O10" i="25"/>
  <c r="O30" i="25"/>
  <c r="O31" i="25"/>
  <c r="AA10" i="25"/>
  <c r="I14" i="25"/>
  <c r="I10" i="25"/>
  <c r="I30" i="25"/>
  <c r="I31" i="25"/>
  <c r="I8" i="25"/>
  <c r="J14" i="25"/>
  <c r="J10" i="25"/>
  <c r="J30" i="25"/>
  <c r="J31" i="25"/>
  <c r="J8" i="25"/>
  <c r="K8" i="25"/>
  <c r="K14" i="25"/>
  <c r="K10" i="25"/>
  <c r="K30" i="25"/>
  <c r="K31" i="25"/>
  <c r="Q8" i="25"/>
  <c r="Q14" i="25"/>
  <c r="Q10" i="25"/>
  <c r="Q30" i="25"/>
  <c r="Q31" i="25"/>
  <c r="R8" i="25"/>
  <c r="R14" i="25"/>
  <c r="R10" i="25"/>
  <c r="R30" i="25"/>
  <c r="R31" i="25"/>
  <c r="S8" i="25"/>
  <c r="S14" i="25"/>
  <c r="S10" i="25"/>
  <c r="S30" i="25"/>
  <c r="S31" i="25"/>
  <c r="T8" i="25"/>
  <c r="T14" i="25"/>
  <c r="X8" i="25"/>
  <c r="X14" i="25"/>
  <c r="X10" i="25"/>
  <c r="X30" i="25"/>
  <c r="X31" i="25"/>
  <c r="L10" i="25"/>
  <c r="L30" i="25"/>
  <c r="L31" i="25"/>
  <c r="W81" i="25"/>
  <c r="W109" i="25"/>
  <c r="W15" i="25"/>
  <c r="V81" i="25"/>
  <c r="V109" i="25"/>
  <c r="V15" i="25"/>
  <c r="X264" i="14"/>
  <c r="X271" i="14"/>
  <c r="X283" i="14"/>
  <c r="X284" i="14"/>
  <c r="U15" i="25"/>
  <c r="T10" i="25"/>
  <c r="T30" i="25"/>
  <c r="T31" i="25"/>
  <c r="V8" i="25"/>
  <c r="V14" i="25"/>
  <c r="W8" i="25"/>
  <c r="W14" i="25"/>
  <c r="W10" i="25"/>
  <c r="W30" i="25"/>
  <c r="W31" i="25"/>
  <c r="U8" i="25"/>
  <c r="V10" i="25"/>
  <c r="V30" i="25"/>
  <c r="V31" i="25"/>
  <c r="U14" i="25"/>
  <c r="C68" i="10"/>
  <c r="U10" i="25"/>
  <c r="C4" i="23"/>
  <c r="C5" i="23"/>
  <c r="T24" i="27"/>
  <c r="S24" i="27"/>
  <c r="V82" i="10"/>
  <c r="V77" i="10" s="1"/>
  <c r="V17" i="10"/>
  <c r="M314" i="19"/>
  <c r="Q439" i="14" s="1"/>
  <c r="M275" i="19"/>
  <c r="Q410" i="14" s="1"/>
  <c r="Q102" i="19"/>
  <c r="T77" i="14"/>
  <c r="T100" i="14"/>
  <c r="X77" i="14"/>
  <c r="T102" i="14"/>
  <c r="X102" i="14"/>
  <c r="T79" i="14"/>
  <c r="W79" i="14"/>
  <c r="W77" i="14"/>
  <c r="X100" i="14"/>
  <c r="W100" i="14"/>
  <c r="V45" i="10"/>
  <c r="V24" i="10"/>
  <c r="V21" i="10"/>
  <c r="M545" i="19"/>
  <c r="M199" i="19"/>
  <c r="M194" i="19"/>
  <c r="M77" i="19"/>
  <c r="M79" i="19"/>
  <c r="AN64" i="14"/>
  <c r="AR64" i="14"/>
  <c r="AQ64" i="14"/>
  <c r="W102" i="14"/>
  <c r="X79" i="14"/>
  <c r="V10" i="10"/>
  <c r="V6" i="10"/>
  <c r="M196" i="19"/>
  <c r="V30" i="10"/>
  <c r="V66" i="10" s="1"/>
  <c r="V74" i="10" s="1"/>
  <c r="V99" i="10" s="1"/>
  <c r="V100" i="10" s="1"/>
  <c r="X10" i="1"/>
  <c r="X9" i="1"/>
  <c r="X37" i="1"/>
  <c r="W30" i="1"/>
  <c r="X30" i="1"/>
  <c r="X43" i="1"/>
  <c r="X29" i="1"/>
  <c r="X5" i="1"/>
  <c r="X59" i="1"/>
  <c r="T97" i="14"/>
  <c r="X97" i="14"/>
  <c r="W10" i="10"/>
  <c r="Y10" i="10"/>
  <c r="M233" i="19"/>
  <c r="Q378" i="14" s="1"/>
  <c r="M238" i="19"/>
  <c r="Q383" i="14" s="1"/>
  <c r="M235" i="19"/>
  <c r="Q380" i="14" s="1"/>
  <c r="M234" i="19"/>
  <c r="M225" i="19"/>
  <c r="M224" i="19"/>
  <c r="M223" i="19"/>
  <c r="M213" i="19"/>
  <c r="T212" i="19"/>
  <c r="S212" i="19"/>
  <c r="R212" i="19"/>
  <c r="Q212" i="19"/>
  <c r="P212" i="19"/>
  <c r="M209" i="19"/>
  <c r="M208" i="19"/>
  <c r="Q367" i="14" s="1"/>
  <c r="M205" i="19"/>
  <c r="P616" i="19"/>
  <c r="E519" i="14" s="1"/>
  <c r="Q616" i="19"/>
  <c r="F519" i="14" s="1"/>
  <c r="R616" i="19"/>
  <c r="G519" i="14" s="1"/>
  <c r="S616" i="19"/>
  <c r="H519" i="14" s="1"/>
  <c r="T616" i="19"/>
  <c r="I519" i="14" s="1"/>
  <c r="E382" i="14"/>
  <c r="M236" i="19"/>
  <c r="Q381" i="14" s="1"/>
  <c r="M509" i="19"/>
  <c r="T181" i="14" s="1"/>
  <c r="W181" i="14" s="1"/>
  <c r="T183" i="19"/>
  <c r="T182" i="19" s="1"/>
  <c r="S183" i="19"/>
  <c r="S182" i="19" s="1"/>
  <c r="R183" i="19"/>
  <c r="R182" i="19" s="1"/>
  <c r="Q183" i="19"/>
  <c r="Q182" i="19" s="1"/>
  <c r="O63" i="19"/>
  <c r="N63" i="19"/>
  <c r="T154" i="19"/>
  <c r="S154" i="19"/>
  <c r="R154" i="19"/>
  <c r="Q154" i="19"/>
  <c r="P154" i="19"/>
  <c r="U16" i="10"/>
  <c r="F477" i="14"/>
  <c r="U82" i="10"/>
  <c r="U77" i="10"/>
  <c r="U17" i="10"/>
  <c r="I6" i="23"/>
  <c r="I12" i="23"/>
  <c r="J6" i="23"/>
  <c r="J12" i="23"/>
  <c r="K6" i="23"/>
  <c r="K12" i="23"/>
  <c r="L6" i="23"/>
  <c r="L12" i="23"/>
  <c r="M6" i="23"/>
  <c r="M12" i="23"/>
  <c r="N6" i="23"/>
  <c r="N12" i="23"/>
  <c r="O6" i="23"/>
  <c r="O12" i="23"/>
  <c r="H6" i="23"/>
  <c r="G6" i="23"/>
  <c r="L20" i="20"/>
  <c r="H12" i="23"/>
  <c r="C9" i="23"/>
  <c r="C8" i="23"/>
  <c r="C7" i="23"/>
  <c r="G12" i="23"/>
  <c r="F6" i="23"/>
  <c r="F12" i="23"/>
  <c r="E6" i="23"/>
  <c r="E12" i="23"/>
  <c r="D6" i="23"/>
  <c r="D12" i="23"/>
  <c r="C25" i="23"/>
  <c r="C24" i="23"/>
  <c r="C23" i="23"/>
  <c r="H22" i="23"/>
  <c r="H26" i="23"/>
  <c r="F22" i="23"/>
  <c r="F26" i="23"/>
  <c r="E22" i="23"/>
  <c r="E26" i="23"/>
  <c r="D22" i="23"/>
  <c r="D26" i="23"/>
  <c r="C21" i="23"/>
  <c r="C14" i="23"/>
  <c r="C16" i="23"/>
  <c r="C17" i="23"/>
  <c r="C18" i="23"/>
  <c r="E15" i="23"/>
  <c r="F15" i="23"/>
  <c r="G15" i="23"/>
  <c r="H15" i="23"/>
  <c r="I15" i="23"/>
  <c r="J15" i="23"/>
  <c r="K15" i="23"/>
  <c r="L15" i="23"/>
  <c r="M15" i="23"/>
  <c r="N15" i="23"/>
  <c r="O15" i="23"/>
  <c r="D15" i="23"/>
  <c r="C26" i="23"/>
  <c r="C6" i="23"/>
  <c r="C22" i="23"/>
  <c r="C12" i="23"/>
  <c r="H19" i="23"/>
  <c r="C15" i="23"/>
  <c r="M481" i="19"/>
  <c r="T165" i="14" s="1"/>
  <c r="U45" i="10"/>
  <c r="U24" i="10"/>
  <c r="U10" i="10"/>
  <c r="K41" i="20"/>
  <c r="L94" i="20"/>
  <c r="U6" i="10"/>
  <c r="U30" i="10"/>
  <c r="U66" i="10"/>
  <c r="U74" i="10" s="1"/>
  <c r="U99" i="10" s="1"/>
  <c r="U100" i="10" s="1"/>
  <c r="B104" i="20"/>
  <c r="U112" i="14"/>
  <c r="U230" i="14"/>
  <c r="V112" i="14"/>
  <c r="V230" i="14"/>
  <c r="W117" i="14"/>
  <c r="U115" i="14"/>
  <c r="V115" i="14"/>
  <c r="Q190" i="20"/>
  <c r="R190" i="20"/>
  <c r="S190" i="20"/>
  <c r="V111" i="14"/>
  <c r="V132" i="14"/>
  <c r="U111" i="14"/>
  <c r="U132" i="14"/>
  <c r="R193" i="20"/>
  <c r="R195" i="20"/>
  <c r="Y94" i="20"/>
  <c r="X94" i="20"/>
  <c r="O94" i="20"/>
  <c r="N94" i="20"/>
  <c r="K94" i="20"/>
  <c r="I94" i="20"/>
  <c r="H94" i="20"/>
  <c r="F94" i="20"/>
  <c r="E94" i="20"/>
  <c r="C94" i="20"/>
  <c r="B94" i="20"/>
  <c r="O52" i="20"/>
  <c r="T484" i="19"/>
  <c r="I171" i="14" s="1"/>
  <c r="S484" i="19"/>
  <c r="H171" i="14" s="1"/>
  <c r="T530" i="19"/>
  <c r="T102" i="19"/>
  <c r="D51" i="24" s="1"/>
  <c r="T141" i="19"/>
  <c r="H79" i="27" s="1"/>
  <c r="T485" i="19"/>
  <c r="T622" i="19"/>
  <c r="W10" i="1"/>
  <c r="W43" i="1"/>
  <c r="W37" i="1"/>
  <c r="W5" i="1"/>
  <c r="C57" i="24"/>
  <c r="W29" i="1"/>
  <c r="W9" i="1"/>
  <c r="T524" i="19"/>
  <c r="T232" i="19"/>
  <c r="W59" i="1"/>
  <c r="R59" i="1"/>
  <c r="E176" i="14"/>
  <c r="M478" i="19"/>
  <c r="M498" i="19"/>
  <c r="T16" i="10"/>
  <c r="C18" i="10"/>
  <c r="C19" i="10"/>
  <c r="C20" i="10"/>
  <c r="C22" i="10"/>
  <c r="C28" i="10"/>
  <c r="C29" i="10"/>
  <c r="C32" i="10"/>
  <c r="C33" i="10"/>
  <c r="C34" i="10"/>
  <c r="C35" i="10"/>
  <c r="C36" i="10"/>
  <c r="C37" i="10"/>
  <c r="C39" i="10"/>
  <c r="C40" i="10"/>
  <c r="C41" i="10"/>
  <c r="C42" i="10"/>
  <c r="C43" i="10"/>
  <c r="C44" i="10"/>
  <c r="C48" i="10"/>
  <c r="C49" i="10"/>
  <c r="C50" i="10"/>
  <c r="C51" i="10"/>
  <c r="C52" i="10"/>
  <c r="C53" i="10"/>
  <c r="C54" i="10"/>
  <c r="C57" i="10"/>
  <c r="C58" i="10"/>
  <c r="C60" i="10"/>
  <c r="C61" i="10"/>
  <c r="C62" i="10"/>
  <c r="C63" i="10"/>
  <c r="C64" i="10"/>
  <c r="C65" i="10"/>
  <c r="C69" i="10"/>
  <c r="C70" i="10"/>
  <c r="C71" i="10"/>
  <c r="C72" i="10"/>
  <c r="C73" i="10"/>
  <c r="C79" i="10"/>
  <c r="C80" i="10"/>
  <c r="C81" i="10"/>
  <c r="C82" i="10"/>
  <c r="C83" i="10"/>
  <c r="C85" i="10"/>
  <c r="C86" i="10"/>
  <c r="C87" i="10"/>
  <c r="C88" i="10"/>
  <c r="C89" i="10"/>
  <c r="C90" i="10"/>
  <c r="C91" i="10"/>
  <c r="C92" i="10"/>
  <c r="C94" i="10"/>
  <c r="C95" i="10"/>
  <c r="C96" i="10"/>
  <c r="C97" i="10"/>
  <c r="C98" i="10"/>
  <c r="Q6" i="1"/>
  <c r="T17" i="10"/>
  <c r="T77" i="10"/>
  <c r="T349" i="19"/>
  <c r="T62" i="19"/>
  <c r="H41" i="20"/>
  <c r="I83" i="20"/>
  <c r="D19" i="23"/>
  <c r="E19" i="23"/>
  <c r="F19" i="23"/>
  <c r="G19" i="23"/>
  <c r="I19" i="23"/>
  <c r="J19" i="23"/>
  <c r="K19" i="23"/>
  <c r="L19" i="23"/>
  <c r="M19" i="23"/>
  <c r="N19" i="23"/>
  <c r="O19" i="23"/>
  <c r="M186" i="19"/>
  <c r="M184" i="19"/>
  <c r="M170" i="19"/>
  <c r="P190" i="20"/>
  <c r="O190" i="20"/>
  <c r="N190" i="20"/>
  <c r="U9" i="14"/>
  <c r="U61" i="14"/>
  <c r="U58" i="14"/>
  <c r="AP58" i="14"/>
  <c r="S102" i="19"/>
  <c r="S141" i="19"/>
  <c r="G79" i="27" s="1"/>
  <c r="R141" i="19"/>
  <c r="F79" i="27" s="1"/>
  <c r="S485" i="19"/>
  <c r="S54" i="19"/>
  <c r="R56" i="19"/>
  <c r="S56" i="19"/>
  <c r="S524" i="19"/>
  <c r="R484" i="19"/>
  <c r="G171" i="14" s="1"/>
  <c r="Q484" i="19"/>
  <c r="F171" i="14" s="1"/>
  <c r="M195" i="19"/>
  <c r="M185" i="19"/>
  <c r="M174" i="19"/>
  <c r="M166" i="19"/>
  <c r="C35" i="11"/>
  <c r="T21" i="10"/>
  <c r="C65" i="11"/>
  <c r="E65" i="11" s="1"/>
  <c r="V10" i="1"/>
  <c r="V43" i="1"/>
  <c r="V37" i="1"/>
  <c r="V30" i="1"/>
  <c r="V5" i="1"/>
  <c r="B73" i="20"/>
  <c r="P41" i="20"/>
  <c r="O41" i="20"/>
  <c r="M41" i="20"/>
  <c r="P62" i="20"/>
  <c r="N62" i="20"/>
  <c r="O73" i="20"/>
  <c r="N73" i="20"/>
  <c r="L73" i="20"/>
  <c r="K73" i="20"/>
  <c r="P20" i="20"/>
  <c r="N20" i="20"/>
  <c r="M20" i="20"/>
  <c r="K20" i="20"/>
  <c r="O10" i="20"/>
  <c r="N10" i="20"/>
  <c r="L10" i="20"/>
  <c r="K10" i="20"/>
  <c r="J20" i="20"/>
  <c r="I20" i="20"/>
  <c r="H20" i="20"/>
  <c r="O31" i="20"/>
  <c r="N31" i="20"/>
  <c r="L31" i="20"/>
  <c r="H31" i="20"/>
  <c r="I31" i="20"/>
  <c r="J41" i="20"/>
  <c r="M62" i="20"/>
  <c r="K62" i="20"/>
  <c r="N52" i="20"/>
  <c r="L52" i="20"/>
  <c r="K52" i="20"/>
  <c r="H52" i="20"/>
  <c r="J62" i="20"/>
  <c r="H62" i="20"/>
  <c r="B83" i="20"/>
  <c r="F83" i="20"/>
  <c r="F73" i="20"/>
  <c r="H83" i="20"/>
  <c r="J83" i="20"/>
  <c r="C73" i="20"/>
  <c r="I73" i="20"/>
  <c r="D83" i="20"/>
  <c r="C83" i="20"/>
  <c r="E83" i="20"/>
  <c r="H73" i="20"/>
  <c r="G83" i="20"/>
  <c r="Q570" i="19"/>
  <c r="Q141" i="19"/>
  <c r="E79" i="27" s="1"/>
  <c r="R570" i="19"/>
  <c r="S16" i="10"/>
  <c r="B31" i="11"/>
  <c r="B69" i="11"/>
  <c r="B49" i="11"/>
  <c r="S17" i="10"/>
  <c r="U10" i="1"/>
  <c r="U9" i="1"/>
  <c r="B190" i="20"/>
  <c r="D190" i="20"/>
  <c r="E190" i="20"/>
  <c r="F190" i="20"/>
  <c r="G190" i="20"/>
  <c r="H190" i="20"/>
  <c r="I190" i="20"/>
  <c r="J190" i="20"/>
  <c r="K190" i="20"/>
  <c r="L190" i="20"/>
  <c r="M190" i="20"/>
  <c r="C190" i="20"/>
  <c r="I10" i="20"/>
  <c r="E73" i="20"/>
  <c r="F11" i="20"/>
  <c r="H10" i="20"/>
  <c r="R102" i="19"/>
  <c r="S59" i="10"/>
  <c r="S21" i="10"/>
  <c r="S24" i="10"/>
  <c r="B35" i="11"/>
  <c r="B34" i="11"/>
  <c r="S67" i="10"/>
  <c r="R132" i="19"/>
  <c r="R54" i="19"/>
  <c r="R524" i="19"/>
  <c r="R485" i="19"/>
  <c r="AE32" i="1"/>
  <c r="U30" i="1"/>
  <c r="U43" i="1"/>
  <c r="U37" i="1"/>
  <c r="U5" i="1"/>
  <c r="U10" i="14"/>
  <c r="T43" i="1"/>
  <c r="BF20" i="10"/>
  <c r="I14" i="11" s="1"/>
  <c r="R17" i="10"/>
  <c r="P97" i="10"/>
  <c r="H86" i="11" s="1"/>
  <c r="R16" i="10"/>
  <c r="B78" i="11"/>
  <c r="R59" i="10"/>
  <c r="R38" i="10"/>
  <c r="P572" i="19"/>
  <c r="R24" i="10"/>
  <c r="R21" i="10"/>
  <c r="P492" i="19"/>
  <c r="E190" i="14" s="1"/>
  <c r="U5" i="14"/>
  <c r="X56" i="14"/>
  <c r="W55" i="14"/>
  <c r="AQ55" i="14"/>
  <c r="V10" i="14"/>
  <c r="V9" i="14"/>
  <c r="X14" i="14"/>
  <c r="X12" i="14"/>
  <c r="Q54" i="19"/>
  <c r="Q524" i="19"/>
  <c r="Q56" i="19"/>
  <c r="M508" i="19"/>
  <c r="Q485" i="19"/>
  <c r="T37" i="1"/>
  <c r="T29" i="1"/>
  <c r="T5" i="1"/>
  <c r="T10" i="1"/>
  <c r="T9" i="1"/>
  <c r="T75" i="14"/>
  <c r="AN61" i="14"/>
  <c r="AR61" i="14"/>
  <c r="T74" i="14"/>
  <c r="T72" i="14"/>
  <c r="T69" i="14"/>
  <c r="T37" i="14"/>
  <c r="T68" i="14"/>
  <c r="T36" i="14"/>
  <c r="T67" i="14"/>
  <c r="T66" i="14"/>
  <c r="T60" i="14"/>
  <c r="W97" i="14"/>
  <c r="P61" i="10"/>
  <c r="P69" i="10"/>
  <c r="P62" i="10"/>
  <c r="H54" i="11" s="1"/>
  <c r="C7" i="10"/>
  <c r="C8" i="10"/>
  <c r="C9" i="10"/>
  <c r="C12" i="10"/>
  <c r="C13" i="10"/>
  <c r="C11" i="10"/>
  <c r="P495" i="19"/>
  <c r="P494" i="19" s="1"/>
  <c r="E173" i="14" s="1"/>
  <c r="C27" i="10"/>
  <c r="C26" i="10"/>
  <c r="C78" i="10"/>
  <c r="C25" i="10"/>
  <c r="B14" i="11"/>
  <c r="B16" i="11"/>
  <c r="B22" i="11"/>
  <c r="B23" i="11"/>
  <c r="B30" i="11"/>
  <c r="B36" i="11"/>
  <c r="B37" i="11"/>
  <c r="B41" i="11"/>
  <c r="B42" i="11"/>
  <c r="B43" i="11"/>
  <c r="B44" i="11"/>
  <c r="B45" i="11"/>
  <c r="B46" i="11"/>
  <c r="B47" i="11"/>
  <c r="B50" i="11"/>
  <c r="B52" i="11"/>
  <c r="B53" i="11"/>
  <c r="B54" i="11"/>
  <c r="B55" i="11"/>
  <c r="B56" i="11"/>
  <c r="B57" i="11"/>
  <c r="B60" i="11"/>
  <c r="B61" i="11"/>
  <c r="B62" i="11"/>
  <c r="B63" i="11"/>
  <c r="B64" i="11"/>
  <c r="B65" i="11"/>
  <c r="B70" i="11"/>
  <c r="B71" i="11"/>
  <c r="B73" i="11"/>
  <c r="B75" i="11"/>
  <c r="B79" i="11"/>
  <c r="B80" i="11"/>
  <c r="B86" i="11"/>
  <c r="P87" i="10"/>
  <c r="H76" i="11" s="1"/>
  <c r="B76" i="11"/>
  <c r="P88" i="10"/>
  <c r="H77" i="11" s="1"/>
  <c r="B77" i="11"/>
  <c r="Y83" i="20"/>
  <c r="X83" i="20"/>
  <c r="W83" i="20"/>
  <c r="S83" i="20"/>
  <c r="R83" i="20"/>
  <c r="Q83" i="20"/>
  <c r="P83" i="20"/>
  <c r="O83" i="20"/>
  <c r="N83" i="20"/>
  <c r="M83" i="20"/>
  <c r="L83" i="20"/>
  <c r="K83" i="20"/>
  <c r="Y73" i="20"/>
  <c r="X73" i="20"/>
  <c r="Y62" i="20"/>
  <c r="W62" i="20"/>
  <c r="S62" i="20"/>
  <c r="Q62" i="20"/>
  <c r="Y41" i="20"/>
  <c r="X41" i="20"/>
  <c r="Y31" i="20"/>
  <c r="X31" i="20"/>
  <c r="Y20" i="20"/>
  <c r="W20" i="20"/>
  <c r="V20" i="20"/>
  <c r="B17" i="11"/>
  <c r="P95" i="10"/>
  <c r="B85" i="11"/>
  <c r="B84" i="11"/>
  <c r="P39" i="10"/>
  <c r="P44" i="10"/>
  <c r="H38" i="11" s="1"/>
  <c r="P35" i="10"/>
  <c r="H29" i="11" s="1"/>
  <c r="P32" i="10"/>
  <c r="B26" i="11"/>
  <c r="P33" i="10"/>
  <c r="P98" i="10"/>
  <c r="H87" i="11" s="1"/>
  <c r="P93" i="10"/>
  <c r="H82" i="11" s="1"/>
  <c r="P85" i="10"/>
  <c r="B12" i="11"/>
  <c r="Q21" i="10"/>
  <c r="P15" i="10"/>
  <c r="H9" i="11" s="1"/>
  <c r="P20" i="10"/>
  <c r="H14" i="11" s="1"/>
  <c r="P22" i="10"/>
  <c r="P23" i="10"/>
  <c r="H17" i="11" s="1"/>
  <c r="P28" i="10"/>
  <c r="P29" i="10"/>
  <c r="P36" i="10"/>
  <c r="H30" i="11" s="1"/>
  <c r="P42" i="10"/>
  <c r="H36" i="11" s="1"/>
  <c r="P43" i="10"/>
  <c r="H37" i="11" s="1"/>
  <c r="P49" i="10"/>
  <c r="P50" i="10"/>
  <c r="P51" i="10"/>
  <c r="P52" i="10"/>
  <c r="H45" i="11" s="1"/>
  <c r="P53" i="10"/>
  <c r="H46" i="11" s="1"/>
  <c r="P63" i="10"/>
  <c r="H55" i="11" s="1"/>
  <c r="P64" i="10"/>
  <c r="P65" i="10"/>
  <c r="H57" i="11" s="1"/>
  <c r="P71" i="10"/>
  <c r="H63" i="11" s="1"/>
  <c r="P72" i="10"/>
  <c r="P80" i="10"/>
  <c r="P81" i="10"/>
  <c r="H71" i="11" s="1"/>
  <c r="P86" i="10"/>
  <c r="H75" i="11" s="1"/>
  <c r="P91" i="10"/>
  <c r="B91" i="10" s="1"/>
  <c r="P485" i="19"/>
  <c r="B38" i="11"/>
  <c r="B13" i="11"/>
  <c r="B81" i="11"/>
  <c r="B33" i="11"/>
  <c r="B28" i="11"/>
  <c r="B29" i="11"/>
  <c r="B74" i="11"/>
  <c r="B87" i="11"/>
  <c r="B27" i="11"/>
  <c r="P560" i="19"/>
  <c r="P521" i="19"/>
  <c r="P524" i="19"/>
  <c r="T12" i="15"/>
  <c r="T13" i="15"/>
  <c r="T14" i="15"/>
  <c r="T15" i="15"/>
  <c r="T16" i="15"/>
  <c r="T17" i="15"/>
  <c r="T18" i="15"/>
  <c r="T19" i="15"/>
  <c r="T20" i="15"/>
  <c r="T21" i="15"/>
  <c r="T22" i="15"/>
  <c r="T23" i="15"/>
  <c r="T24" i="15"/>
  <c r="T25" i="15"/>
  <c r="T26" i="15"/>
  <c r="T27" i="15"/>
  <c r="T28" i="15"/>
  <c r="T29" i="15"/>
  <c r="T30" i="15"/>
  <c r="T31" i="15"/>
  <c r="T32" i="15"/>
  <c r="T33" i="15"/>
  <c r="T34" i="15"/>
  <c r="T35" i="15"/>
  <c r="T36" i="15"/>
  <c r="T37" i="15"/>
  <c r="T38" i="15"/>
  <c r="T39" i="15"/>
  <c r="T40" i="15"/>
  <c r="T41" i="15"/>
  <c r="T42" i="15"/>
  <c r="T43" i="15"/>
  <c r="T44" i="15"/>
  <c r="T45" i="15"/>
  <c r="T46" i="15"/>
  <c r="T47" i="15"/>
  <c r="T48" i="15"/>
  <c r="T49" i="15"/>
  <c r="T50" i="15"/>
  <c r="T51" i="15"/>
  <c r="T52" i="15"/>
  <c r="T53" i="15"/>
  <c r="T54" i="15"/>
  <c r="T55" i="15"/>
  <c r="T56" i="15"/>
  <c r="T57" i="15"/>
  <c r="T58" i="15"/>
  <c r="T59" i="15"/>
  <c r="T60" i="15"/>
  <c r="T61" i="15"/>
  <c r="T62" i="15"/>
  <c r="T63" i="15"/>
  <c r="T64" i="15"/>
  <c r="T65" i="15"/>
  <c r="T66" i="15"/>
  <c r="T67" i="15"/>
  <c r="T68" i="15"/>
  <c r="T69" i="15"/>
  <c r="T70" i="15"/>
  <c r="T71" i="15"/>
  <c r="T72" i="15"/>
  <c r="T73" i="15"/>
  <c r="T74" i="15"/>
  <c r="T75" i="15"/>
  <c r="T76" i="15"/>
  <c r="T77" i="15"/>
  <c r="T78" i="15"/>
  <c r="T79" i="15"/>
  <c r="T80" i="15"/>
  <c r="T81" i="15"/>
  <c r="T82" i="15"/>
  <c r="T83" i="15"/>
  <c r="T84" i="15"/>
  <c r="T85" i="15"/>
  <c r="T86" i="15"/>
  <c r="T87" i="15"/>
  <c r="T88" i="15"/>
  <c r="T89" i="15"/>
  <c r="T90" i="15"/>
  <c r="T91" i="15"/>
  <c r="T92" i="15"/>
  <c r="T93" i="15"/>
  <c r="T94" i="15"/>
  <c r="T95" i="15"/>
  <c r="T96" i="15"/>
  <c r="T97" i="15"/>
  <c r="T98" i="15"/>
  <c r="T99" i="15"/>
  <c r="T100" i="15"/>
  <c r="T101" i="15"/>
  <c r="T102" i="15"/>
  <c r="T103" i="15"/>
  <c r="T104" i="15"/>
  <c r="T105" i="15"/>
  <c r="T106" i="15"/>
  <c r="T107" i="15"/>
  <c r="T108" i="15"/>
  <c r="T109" i="15"/>
  <c r="T110" i="15"/>
  <c r="T111" i="15"/>
  <c r="T112" i="15"/>
  <c r="T113" i="15"/>
  <c r="T114" i="15"/>
  <c r="T115" i="15"/>
  <c r="T116" i="15"/>
  <c r="T117" i="15"/>
  <c r="T118" i="15"/>
  <c r="T119" i="15"/>
  <c r="T120" i="15"/>
  <c r="T121" i="15"/>
  <c r="T122" i="15"/>
  <c r="T123" i="15"/>
  <c r="T124" i="15"/>
  <c r="T125" i="15"/>
  <c r="T126" i="15"/>
  <c r="T127" i="15"/>
  <c r="T128" i="15"/>
  <c r="T129" i="15"/>
  <c r="T130" i="15"/>
  <c r="T131" i="15"/>
  <c r="T132" i="15"/>
  <c r="T133" i="15"/>
  <c r="T134" i="15"/>
  <c r="T135" i="15"/>
  <c r="T136" i="15"/>
  <c r="T137" i="15"/>
  <c r="T138" i="15"/>
  <c r="T139" i="15"/>
  <c r="T140" i="15"/>
  <c r="T141" i="15"/>
  <c r="T142" i="15"/>
  <c r="T143" i="15"/>
  <c r="T144" i="15"/>
  <c r="T145" i="15"/>
  <c r="T146" i="15"/>
  <c r="T147" i="15"/>
  <c r="T148" i="15"/>
  <c r="T149" i="15"/>
  <c r="T150" i="15"/>
  <c r="T151" i="15"/>
  <c r="T152" i="15"/>
  <c r="T153" i="15"/>
  <c r="T154" i="15"/>
  <c r="T155" i="15"/>
  <c r="T156" i="15"/>
  <c r="T157" i="15"/>
  <c r="T158" i="15"/>
  <c r="T159" i="15"/>
  <c r="T160" i="15"/>
  <c r="T161" i="15"/>
  <c r="T162" i="15"/>
  <c r="T163" i="15"/>
  <c r="T164" i="15"/>
  <c r="T165" i="15"/>
  <c r="T166" i="15"/>
  <c r="T167" i="15"/>
  <c r="T168" i="15"/>
  <c r="T169" i="15"/>
  <c r="T170" i="15"/>
  <c r="T171" i="15"/>
  <c r="T172" i="15"/>
  <c r="T173" i="15"/>
  <c r="T174" i="15"/>
  <c r="T175" i="15"/>
  <c r="T176" i="15"/>
  <c r="T177" i="15"/>
  <c r="T178" i="15"/>
  <c r="T179" i="15"/>
  <c r="T180" i="15"/>
  <c r="T181" i="15"/>
  <c r="T182" i="15"/>
  <c r="T183" i="15"/>
  <c r="T184" i="15"/>
  <c r="T185" i="15"/>
  <c r="T186" i="15"/>
  <c r="T187" i="15"/>
  <c r="T188" i="15"/>
  <c r="T189" i="15"/>
  <c r="T190" i="15"/>
  <c r="T191" i="15"/>
  <c r="T192" i="15"/>
  <c r="T193" i="15"/>
  <c r="T194" i="15"/>
  <c r="T195" i="15"/>
  <c r="T196" i="15"/>
  <c r="T197" i="15"/>
  <c r="T198" i="15"/>
  <c r="T199" i="15"/>
  <c r="T200" i="15"/>
  <c r="T201" i="15"/>
  <c r="T202" i="15"/>
  <c r="T203" i="15"/>
  <c r="T204" i="15"/>
  <c r="T205" i="15"/>
  <c r="T206" i="15"/>
  <c r="T207" i="15"/>
  <c r="T208" i="15"/>
  <c r="T209" i="15"/>
  <c r="T210" i="15"/>
  <c r="T211" i="15"/>
  <c r="T212" i="15"/>
  <c r="T213" i="15"/>
  <c r="T214" i="15"/>
  <c r="T215" i="15"/>
  <c r="T216" i="15"/>
  <c r="T217" i="15"/>
  <c r="T218" i="15"/>
  <c r="T219" i="15"/>
  <c r="T220" i="15"/>
  <c r="T221" i="15"/>
  <c r="T222" i="15"/>
  <c r="T223" i="15"/>
  <c r="T224" i="15"/>
  <c r="T225" i="15"/>
  <c r="T226" i="15"/>
  <c r="T227" i="15"/>
  <c r="T228" i="15"/>
  <c r="T229" i="15"/>
  <c r="T230" i="15"/>
  <c r="T231" i="15"/>
  <c r="T232" i="15"/>
  <c r="T233" i="15"/>
  <c r="T234" i="15"/>
  <c r="T235" i="15"/>
  <c r="T236" i="15"/>
  <c r="T237" i="15"/>
  <c r="T238" i="15"/>
  <c r="T239" i="15"/>
  <c r="T240" i="15"/>
  <c r="T241" i="15"/>
  <c r="T242" i="15"/>
  <c r="T243" i="15"/>
  <c r="T244" i="15"/>
  <c r="T245" i="15"/>
  <c r="T246" i="15"/>
  <c r="T247" i="15"/>
  <c r="T248" i="15"/>
  <c r="T249" i="15"/>
  <c r="T250" i="15"/>
  <c r="T251" i="15"/>
  <c r="T252" i="15"/>
  <c r="T253" i="15"/>
  <c r="T254" i="15"/>
  <c r="T255" i="15"/>
  <c r="T256" i="15"/>
  <c r="T257" i="15"/>
  <c r="T258" i="15"/>
  <c r="T259" i="15"/>
  <c r="T260" i="15"/>
  <c r="T261" i="15"/>
  <c r="T262" i="15"/>
  <c r="T263" i="15"/>
  <c r="T264" i="15"/>
  <c r="T265" i="15"/>
  <c r="T266" i="15"/>
  <c r="T267" i="15"/>
  <c r="T268" i="15"/>
  <c r="T269" i="15"/>
  <c r="T270" i="15"/>
  <c r="T271" i="15"/>
  <c r="T272" i="15"/>
  <c r="T273" i="15"/>
  <c r="T274" i="15"/>
  <c r="T275" i="15"/>
  <c r="T276" i="15"/>
  <c r="T277" i="15"/>
  <c r="T278" i="15"/>
  <c r="T279" i="15"/>
  <c r="T280" i="15"/>
  <c r="T281" i="15"/>
  <c r="T282" i="15"/>
  <c r="T283" i="15"/>
  <c r="T284" i="15"/>
  <c r="T285" i="15"/>
  <c r="T286" i="15"/>
  <c r="T287" i="15"/>
  <c r="T288" i="15"/>
  <c r="T289" i="15"/>
  <c r="T290" i="15"/>
  <c r="T291" i="15"/>
  <c r="T292" i="15"/>
  <c r="T293" i="15"/>
  <c r="T294" i="15"/>
  <c r="T295" i="15"/>
  <c r="T296" i="15"/>
  <c r="T297" i="15"/>
  <c r="T298" i="15"/>
  <c r="T299" i="15"/>
  <c r="T300" i="15"/>
  <c r="T301" i="15"/>
  <c r="T302" i="15"/>
  <c r="T303" i="15"/>
  <c r="T304" i="15"/>
  <c r="T305" i="15"/>
  <c r="T306" i="15"/>
  <c r="T307" i="15"/>
  <c r="T308" i="15"/>
  <c r="T309" i="15"/>
  <c r="T310" i="15"/>
  <c r="T311" i="15"/>
  <c r="T312" i="15"/>
  <c r="T313" i="15"/>
  <c r="T314" i="15"/>
  <c r="T315" i="15"/>
  <c r="T316" i="15"/>
  <c r="T317" i="15"/>
  <c r="T318" i="15"/>
  <c r="T319" i="15"/>
  <c r="T320" i="15"/>
  <c r="T321" i="15"/>
  <c r="T322" i="15"/>
  <c r="T323" i="15"/>
  <c r="T324" i="15"/>
  <c r="T325" i="15"/>
  <c r="T326" i="15"/>
  <c r="T327" i="15"/>
  <c r="T328" i="15"/>
  <c r="T329" i="15"/>
  <c r="T330" i="15"/>
  <c r="T331" i="15"/>
  <c r="T332" i="15"/>
  <c r="T333" i="15"/>
  <c r="T334" i="15"/>
  <c r="T335" i="15"/>
  <c r="T336" i="15"/>
  <c r="T337" i="15"/>
  <c r="T338" i="15"/>
  <c r="T339" i="15"/>
  <c r="T340" i="15"/>
  <c r="T341" i="15"/>
  <c r="T342" i="15"/>
  <c r="T343" i="15"/>
  <c r="T344" i="15"/>
  <c r="T345" i="15"/>
  <c r="T346" i="15"/>
  <c r="T347" i="15"/>
  <c r="T348" i="15"/>
  <c r="T349" i="15"/>
  <c r="T350" i="15"/>
  <c r="T351" i="15"/>
  <c r="T352" i="15"/>
  <c r="T353" i="15"/>
  <c r="T354" i="15"/>
  <c r="T355" i="15"/>
  <c r="T356" i="15"/>
  <c r="T357" i="15"/>
  <c r="T358" i="15"/>
  <c r="T359" i="15"/>
  <c r="T360" i="15"/>
  <c r="T361" i="15"/>
  <c r="T362" i="15"/>
  <c r="T363" i="15"/>
  <c r="T364" i="15"/>
  <c r="T365" i="15"/>
  <c r="T366" i="15"/>
  <c r="T367" i="15"/>
  <c r="T368" i="15"/>
  <c r="T369" i="15"/>
  <c r="T370" i="15"/>
  <c r="T371" i="15"/>
  <c r="T372" i="15"/>
  <c r="T373" i="15"/>
  <c r="T374" i="15"/>
  <c r="T375" i="15"/>
  <c r="T376" i="15"/>
  <c r="T377" i="15"/>
  <c r="T378" i="15"/>
  <c r="T379" i="15"/>
  <c r="T380" i="15"/>
  <c r="T381" i="15"/>
  <c r="T382" i="15"/>
  <c r="T383" i="15"/>
  <c r="T384" i="15"/>
  <c r="T385" i="15"/>
  <c r="T386" i="15"/>
  <c r="T387" i="15"/>
  <c r="T388" i="15"/>
  <c r="T389" i="15"/>
  <c r="T390" i="15"/>
  <c r="T391" i="15"/>
  <c r="T392" i="15"/>
  <c r="T393" i="15"/>
  <c r="T394" i="15"/>
  <c r="T395" i="15"/>
  <c r="T396" i="15"/>
  <c r="T397" i="15"/>
  <c r="T398" i="15"/>
  <c r="T399" i="15"/>
  <c r="T400" i="15"/>
  <c r="T401" i="15"/>
  <c r="T402" i="15"/>
  <c r="T403" i="15"/>
  <c r="T404" i="15"/>
  <c r="T405" i="15"/>
  <c r="T406" i="15"/>
  <c r="T407" i="15"/>
  <c r="T408" i="15"/>
  <c r="T409" i="15"/>
  <c r="T410" i="15"/>
  <c r="T411" i="15"/>
  <c r="T412" i="15"/>
  <c r="T413" i="15"/>
  <c r="T8" i="15"/>
  <c r="T9" i="15"/>
  <c r="T10" i="15"/>
  <c r="T11" i="15"/>
  <c r="T7" i="15"/>
  <c r="BF14" i="10"/>
  <c r="I8" i="11" s="1"/>
  <c r="T570" i="19"/>
  <c r="D58" i="24" s="1"/>
  <c r="S570" i="19"/>
  <c r="P570" i="19"/>
  <c r="M587" i="19"/>
  <c r="M584" i="19"/>
  <c r="M589" i="19"/>
  <c r="M576" i="19"/>
  <c r="M574" i="19"/>
  <c r="Q572" i="19"/>
  <c r="M559" i="19"/>
  <c r="M558" i="19"/>
  <c r="S531" i="19"/>
  <c r="S61" i="19"/>
  <c r="M550" i="19"/>
  <c r="M546" i="19"/>
  <c r="M520" i="19"/>
  <c r="T492" i="19"/>
  <c r="I190" i="14" s="1"/>
  <c r="S492" i="19"/>
  <c r="H190" i="14" s="1"/>
  <c r="Q492" i="19"/>
  <c r="F190" i="14" s="1"/>
  <c r="M511" i="19"/>
  <c r="T182" i="14" s="1"/>
  <c r="W182" i="14" s="1"/>
  <c r="M496" i="19"/>
  <c r="M480" i="19"/>
  <c r="M155" i="19"/>
  <c r="P68" i="27" s="1"/>
  <c r="M160" i="19"/>
  <c r="P72" i="27" s="1"/>
  <c r="M157" i="19"/>
  <c r="P69" i="27" s="1"/>
  <c r="M149" i="19"/>
  <c r="M156" i="19"/>
  <c r="P67" i="27" s="1"/>
  <c r="M147" i="19"/>
  <c r="M146" i="19"/>
  <c r="M145" i="19"/>
  <c r="T132" i="19"/>
  <c r="S132" i="19"/>
  <c r="Q132" i="19"/>
  <c r="P132" i="19"/>
  <c r="M127" i="19"/>
  <c r="M116" i="19"/>
  <c r="M121" i="19"/>
  <c r="M118" i="19"/>
  <c r="M117" i="19"/>
  <c r="M110" i="19"/>
  <c r="M108" i="19"/>
  <c r="M106" i="19"/>
  <c r="M71" i="19"/>
  <c r="M67" i="19"/>
  <c r="M57" i="19"/>
  <c r="M53" i="19"/>
  <c r="M51" i="19"/>
  <c r="R6" i="1"/>
  <c r="R8" i="1"/>
  <c r="R12" i="1"/>
  <c r="B12" i="1"/>
  <c r="C12" i="1"/>
  <c r="R13" i="1"/>
  <c r="R14" i="1"/>
  <c r="R31" i="1"/>
  <c r="R32" i="1"/>
  <c r="R33" i="1"/>
  <c r="R34" i="1"/>
  <c r="R35" i="1"/>
  <c r="R36" i="1"/>
  <c r="R39" i="1"/>
  <c r="R42" i="1"/>
  <c r="R44" i="1"/>
  <c r="R45" i="1"/>
  <c r="R47" i="1"/>
  <c r="R48" i="1"/>
  <c r="R49" i="1"/>
  <c r="R50" i="1"/>
  <c r="AE6" i="1"/>
  <c r="AE7" i="1"/>
  <c r="AE8" i="1"/>
  <c r="AE11" i="1"/>
  <c r="AE12" i="1"/>
  <c r="AE14" i="1"/>
  <c r="AE17" i="1"/>
  <c r="AE20" i="1"/>
  <c r="AE26" i="1"/>
  <c r="AE31" i="1"/>
  <c r="AE33" i="1"/>
  <c r="AE34" i="1"/>
  <c r="AE35" i="1"/>
  <c r="AE36" i="1"/>
  <c r="AE38" i="1"/>
  <c r="AE39" i="1"/>
  <c r="AE42" i="1"/>
  <c r="AE44" i="1"/>
  <c r="AE45" i="1"/>
  <c r="AE47" i="1"/>
  <c r="AE48" i="1"/>
  <c r="AE49" i="1"/>
  <c r="AE50" i="1"/>
  <c r="AE51" i="1"/>
  <c r="AE13" i="1"/>
  <c r="R11" i="1"/>
  <c r="B11" i="1"/>
  <c r="C11" i="1"/>
  <c r="S43" i="1"/>
  <c r="S37" i="1"/>
  <c r="S30" i="1"/>
  <c r="S10" i="1"/>
  <c r="S9" i="1"/>
  <c r="S5" i="1"/>
  <c r="M535" i="19"/>
  <c r="D12" i="11"/>
  <c r="D13" i="11"/>
  <c r="D14" i="11"/>
  <c r="D16" i="11"/>
  <c r="D17" i="11"/>
  <c r="D19" i="11"/>
  <c r="D20" i="11"/>
  <c r="D21" i="11"/>
  <c r="D22" i="11"/>
  <c r="D23" i="11"/>
  <c r="D26" i="11"/>
  <c r="D27" i="11"/>
  <c r="D28" i="11"/>
  <c r="D29" i="11"/>
  <c r="D30" i="11"/>
  <c r="D31" i="11"/>
  <c r="D33" i="11"/>
  <c r="D34" i="11"/>
  <c r="D35" i="11"/>
  <c r="D36" i="11"/>
  <c r="D37" i="11"/>
  <c r="D38" i="11"/>
  <c r="D41" i="11"/>
  <c r="D42" i="11"/>
  <c r="D43" i="11"/>
  <c r="D44" i="11"/>
  <c r="D45" i="11"/>
  <c r="D46" i="11"/>
  <c r="D47" i="11"/>
  <c r="D49" i="11"/>
  <c r="D50" i="11"/>
  <c r="D52" i="11"/>
  <c r="D53" i="11"/>
  <c r="D54" i="11"/>
  <c r="D55" i="11"/>
  <c r="D56" i="11"/>
  <c r="D57" i="11"/>
  <c r="D60" i="11"/>
  <c r="D61" i="11"/>
  <c r="D62" i="11"/>
  <c r="D63" i="11"/>
  <c r="D64" i="11"/>
  <c r="D65" i="11"/>
  <c r="D68" i="11"/>
  <c r="D69" i="11"/>
  <c r="D70" i="11"/>
  <c r="D71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C87" i="11"/>
  <c r="C86" i="11"/>
  <c r="C85" i="11"/>
  <c r="C84" i="11"/>
  <c r="E84" i="11" s="1"/>
  <c r="F84" i="11" s="1"/>
  <c r="C83" i="11"/>
  <c r="C81" i="11"/>
  <c r="E81" i="11" s="1"/>
  <c r="F81" i="11" s="1"/>
  <c r="C80" i="11"/>
  <c r="E80" i="11" s="1"/>
  <c r="F80" i="11" s="1"/>
  <c r="C79" i="11"/>
  <c r="G79" i="11" s="1"/>
  <c r="C78" i="11"/>
  <c r="E78" i="11" s="1"/>
  <c r="C77" i="11"/>
  <c r="C76" i="11"/>
  <c r="E76" i="11" s="1"/>
  <c r="C75" i="11"/>
  <c r="E75" i="11" s="1"/>
  <c r="C74" i="11"/>
  <c r="C73" i="11"/>
  <c r="G73" i="11" s="1"/>
  <c r="C71" i="11"/>
  <c r="C70" i="11"/>
  <c r="E70" i="11" s="1"/>
  <c r="C69" i="11"/>
  <c r="E69" i="11" s="1"/>
  <c r="F69" i="11" s="1"/>
  <c r="C64" i="11"/>
  <c r="C63" i="11"/>
  <c r="E63" i="11" s="1"/>
  <c r="C62" i="11"/>
  <c r="E62" i="11" s="1"/>
  <c r="F62" i="11" s="1"/>
  <c r="C61" i="11"/>
  <c r="E61" i="11" s="1"/>
  <c r="C57" i="11"/>
  <c r="C56" i="11"/>
  <c r="G56" i="11" s="1"/>
  <c r="C55" i="11"/>
  <c r="E55" i="11" s="1"/>
  <c r="C54" i="11"/>
  <c r="E54" i="11" s="1"/>
  <c r="C53" i="11"/>
  <c r="G53" i="11" s="1"/>
  <c r="C52" i="11"/>
  <c r="E52" i="11" s="1"/>
  <c r="F52" i="11" s="1"/>
  <c r="C50" i="11"/>
  <c r="C49" i="11"/>
  <c r="E49" i="11" s="1"/>
  <c r="C47" i="11"/>
  <c r="E47" i="11" s="1"/>
  <c r="C46" i="11"/>
  <c r="E46" i="11" s="1"/>
  <c r="C45" i="11"/>
  <c r="C44" i="11"/>
  <c r="G44" i="11" s="1"/>
  <c r="C43" i="11"/>
  <c r="E43" i="11" s="1"/>
  <c r="F43" i="11" s="1"/>
  <c r="C42" i="11"/>
  <c r="G42" i="11" s="1"/>
  <c r="C41" i="11"/>
  <c r="E41" i="11" s="1"/>
  <c r="F41" i="11" s="1"/>
  <c r="C38" i="11"/>
  <c r="E38" i="11" s="1"/>
  <c r="C37" i="11"/>
  <c r="E37" i="11" s="1"/>
  <c r="F37" i="11" s="1"/>
  <c r="C36" i="11"/>
  <c r="G36" i="11" s="1"/>
  <c r="C34" i="11"/>
  <c r="E34" i="11" s="1"/>
  <c r="F34" i="11" s="1"/>
  <c r="C33" i="11"/>
  <c r="E33" i="11" s="1"/>
  <c r="F33" i="11" s="1"/>
  <c r="C31" i="11"/>
  <c r="C30" i="11"/>
  <c r="E30" i="11" s="1"/>
  <c r="C29" i="11"/>
  <c r="G29" i="11" s="1"/>
  <c r="C28" i="11"/>
  <c r="C27" i="11"/>
  <c r="E27" i="11" s="1"/>
  <c r="C26" i="11"/>
  <c r="E26" i="11" s="1"/>
  <c r="F26" i="11" s="1"/>
  <c r="C23" i="11"/>
  <c r="E23" i="11" s="1"/>
  <c r="C22" i="11"/>
  <c r="E22" i="11" s="1"/>
  <c r="F22" i="11" s="1"/>
  <c r="C19" i="11"/>
  <c r="G19" i="11" s="1"/>
  <c r="C17" i="11"/>
  <c r="C16" i="11"/>
  <c r="G16" i="11" s="1"/>
  <c r="C14" i="11"/>
  <c r="E14" i="11" s="1"/>
  <c r="C13" i="11"/>
  <c r="C12" i="11"/>
  <c r="E12" i="11" s="1"/>
  <c r="C10" i="11"/>
  <c r="E10" i="11" s="1"/>
  <c r="C9" i="11"/>
  <c r="BG18" i="10"/>
  <c r="J12" i="11" s="1"/>
  <c r="BG19" i="10"/>
  <c r="J13" i="11" s="1"/>
  <c r="BG20" i="10"/>
  <c r="BG22" i="10"/>
  <c r="J16" i="11" s="1"/>
  <c r="BG23" i="10"/>
  <c r="BG25" i="10"/>
  <c r="J19" i="11" s="1"/>
  <c r="BG26" i="10"/>
  <c r="J20" i="11" s="1"/>
  <c r="BG27" i="10"/>
  <c r="J21" i="11" s="1"/>
  <c r="BG28" i="10"/>
  <c r="J22" i="11"/>
  <c r="BG29" i="10"/>
  <c r="J23" i="11" s="1"/>
  <c r="BG32" i="10"/>
  <c r="J26" i="11" s="1"/>
  <c r="BG33" i="10"/>
  <c r="J27" i="11" s="1"/>
  <c r="BG34" i="10"/>
  <c r="J28" i="11" s="1"/>
  <c r="BG35" i="10"/>
  <c r="BG36" i="10"/>
  <c r="J30" i="11" s="1"/>
  <c r="BG37" i="10"/>
  <c r="J31" i="11" s="1"/>
  <c r="BG39" i="10"/>
  <c r="J33" i="11" s="1"/>
  <c r="BG40" i="10"/>
  <c r="J34" i="11" s="1"/>
  <c r="BG41" i="10"/>
  <c r="J35" i="11" s="1"/>
  <c r="BG42" i="10"/>
  <c r="J36" i="11" s="1"/>
  <c r="BG43" i="10"/>
  <c r="BG44" i="10"/>
  <c r="J38" i="11" s="1"/>
  <c r="BG48" i="10"/>
  <c r="J41" i="11"/>
  <c r="BG49" i="10"/>
  <c r="BG50" i="10"/>
  <c r="J43" i="11" s="1"/>
  <c r="BG51" i="10"/>
  <c r="J44" i="11" s="1"/>
  <c r="BG52" i="10"/>
  <c r="J45" i="11" s="1"/>
  <c r="BG53" i="10"/>
  <c r="J46" i="11" s="1"/>
  <c r="BG54" i="10"/>
  <c r="BG57" i="10"/>
  <c r="J49" i="11" s="1"/>
  <c r="BG58" i="10"/>
  <c r="J50" i="11" s="1"/>
  <c r="BG60" i="10"/>
  <c r="J52" i="11" s="1"/>
  <c r="BG61" i="10"/>
  <c r="J53" i="11" s="1"/>
  <c r="BG62" i="10"/>
  <c r="BG63" i="10"/>
  <c r="J55" i="11" s="1"/>
  <c r="BG64" i="10"/>
  <c r="BG65" i="10"/>
  <c r="BG68" i="10"/>
  <c r="J60" i="11" s="1"/>
  <c r="BG69" i="10"/>
  <c r="J61" i="11"/>
  <c r="BG70" i="10"/>
  <c r="J62" i="11" s="1"/>
  <c r="BG71" i="10"/>
  <c r="J63" i="11" s="1"/>
  <c r="BG72" i="10"/>
  <c r="J64" i="11" s="1"/>
  <c r="BG73" i="10"/>
  <c r="J65" i="11"/>
  <c r="BG78" i="10"/>
  <c r="J68" i="11" s="1"/>
  <c r="BG79" i="10"/>
  <c r="BG80" i="10"/>
  <c r="J70" i="11" s="1"/>
  <c r="BG81" i="10"/>
  <c r="J71" i="11" s="1"/>
  <c r="BG83" i="10"/>
  <c r="BG85" i="10"/>
  <c r="J74" i="11" s="1"/>
  <c r="BG86" i="10"/>
  <c r="J75" i="11" s="1"/>
  <c r="BG87" i="10"/>
  <c r="J76" i="11" s="1"/>
  <c r="BG88" i="10"/>
  <c r="J77" i="11" s="1"/>
  <c r="BG89" i="10"/>
  <c r="J78" i="11" s="1"/>
  <c r="BG90" i="10"/>
  <c r="J79" i="11"/>
  <c r="J80" i="11"/>
  <c r="BG92" i="10"/>
  <c r="J81" i="11" s="1"/>
  <c r="BG93" i="10"/>
  <c r="J82" i="11"/>
  <c r="J83" i="11"/>
  <c r="BG95" i="10"/>
  <c r="J84" i="11" s="1"/>
  <c r="BG96" i="10"/>
  <c r="BG97" i="10"/>
  <c r="BG98" i="10"/>
  <c r="BG14" i="10"/>
  <c r="BF18" i="10"/>
  <c r="I12" i="11" s="1"/>
  <c r="BF19" i="10"/>
  <c r="I13" i="11" s="1"/>
  <c r="BF22" i="10"/>
  <c r="I16" i="11" s="1"/>
  <c r="BF23" i="10"/>
  <c r="I17" i="11" s="1"/>
  <c r="BF25" i="10"/>
  <c r="I19" i="11" s="1"/>
  <c r="BF26" i="10"/>
  <c r="I20" i="11" s="1"/>
  <c r="BF27" i="10"/>
  <c r="I21" i="11" s="1"/>
  <c r="BF28" i="10"/>
  <c r="I22" i="11" s="1"/>
  <c r="BF29" i="10"/>
  <c r="I23" i="11" s="1"/>
  <c r="BF32" i="10"/>
  <c r="I26" i="11" s="1"/>
  <c r="BF33" i="10"/>
  <c r="I27" i="11" s="1"/>
  <c r="BF34" i="10"/>
  <c r="I28" i="11" s="1"/>
  <c r="BF35" i="10"/>
  <c r="I29" i="11" s="1"/>
  <c r="BF36" i="10"/>
  <c r="I30" i="11" s="1"/>
  <c r="BF37" i="10"/>
  <c r="I31" i="11" s="1"/>
  <c r="BF39" i="10"/>
  <c r="I33" i="11" s="1"/>
  <c r="BF40" i="10"/>
  <c r="I34" i="11" s="1"/>
  <c r="BF41" i="10"/>
  <c r="I35" i="11" s="1"/>
  <c r="BF42" i="10"/>
  <c r="I36" i="11" s="1"/>
  <c r="BF43" i="10"/>
  <c r="I37" i="11" s="1"/>
  <c r="BF44" i="10"/>
  <c r="I38" i="11" s="1"/>
  <c r="BF48" i="10"/>
  <c r="I41" i="11" s="1"/>
  <c r="BF49" i="10"/>
  <c r="I42" i="11" s="1"/>
  <c r="BF50" i="10"/>
  <c r="I43" i="11" s="1"/>
  <c r="BF51" i="10"/>
  <c r="I44" i="11" s="1"/>
  <c r="BF52" i="10"/>
  <c r="I45" i="11" s="1"/>
  <c r="BF53" i="10"/>
  <c r="I46" i="11" s="1"/>
  <c r="BF54" i="10"/>
  <c r="I47" i="11" s="1"/>
  <c r="BF57" i="10"/>
  <c r="I49" i="11" s="1"/>
  <c r="BF58" i="10"/>
  <c r="I50" i="11" s="1"/>
  <c r="BF60" i="10"/>
  <c r="I52" i="11" s="1"/>
  <c r="BF61" i="10"/>
  <c r="I53" i="11" s="1"/>
  <c r="BF62" i="10"/>
  <c r="I54" i="11" s="1"/>
  <c r="BF63" i="10"/>
  <c r="I55" i="11" s="1"/>
  <c r="BF64" i="10"/>
  <c r="I56" i="11" s="1"/>
  <c r="BF65" i="10"/>
  <c r="I57" i="11" s="1"/>
  <c r="BF68" i="10"/>
  <c r="I60" i="11" s="1"/>
  <c r="BF69" i="10"/>
  <c r="I61" i="11" s="1"/>
  <c r="BF70" i="10"/>
  <c r="I62" i="11" s="1"/>
  <c r="BF71" i="10"/>
  <c r="I63" i="11" s="1"/>
  <c r="BF72" i="10"/>
  <c r="I64" i="11" s="1"/>
  <c r="BF73" i="10"/>
  <c r="I65" i="11" s="1"/>
  <c r="BF78" i="10"/>
  <c r="I68" i="11" s="1"/>
  <c r="BF79" i="10"/>
  <c r="I69" i="11" s="1"/>
  <c r="BF80" i="10"/>
  <c r="I70" i="11" s="1"/>
  <c r="BF81" i="10"/>
  <c r="I71" i="11" s="1"/>
  <c r="BF83" i="10"/>
  <c r="I73" i="11" s="1"/>
  <c r="BF85" i="10"/>
  <c r="I74" i="11" s="1"/>
  <c r="BF86" i="10"/>
  <c r="I75" i="11" s="1"/>
  <c r="BF87" i="10"/>
  <c r="I76" i="11" s="1"/>
  <c r="BF88" i="10"/>
  <c r="I77" i="11" s="1"/>
  <c r="BF89" i="10"/>
  <c r="I78" i="11" s="1"/>
  <c r="BF90" i="10"/>
  <c r="I79" i="11" s="1"/>
  <c r="BF91" i="10"/>
  <c r="I80" i="11" s="1"/>
  <c r="BF92" i="10"/>
  <c r="I81" i="11" s="1"/>
  <c r="BF93" i="10"/>
  <c r="I82" i="11" s="1"/>
  <c r="BF94" i="10"/>
  <c r="I83" i="11" s="1"/>
  <c r="BF95" i="10"/>
  <c r="I84" i="11" s="1"/>
  <c r="BF96" i="10"/>
  <c r="I85" i="11" s="1"/>
  <c r="BF97" i="10"/>
  <c r="I86" i="11" s="1"/>
  <c r="BF98" i="10"/>
  <c r="I87" i="11" s="1"/>
  <c r="AR14" i="10"/>
  <c r="AU82" i="10"/>
  <c r="AU77" i="10"/>
  <c r="AV82" i="10"/>
  <c r="AV77" i="10"/>
  <c r="AW82" i="10"/>
  <c r="AW77" i="10"/>
  <c r="AX82" i="10"/>
  <c r="AX77" i="10"/>
  <c r="AY82" i="10"/>
  <c r="AY77" i="10"/>
  <c r="AZ82" i="10"/>
  <c r="AZ77" i="10"/>
  <c r="BA82" i="10"/>
  <c r="BA77" i="10"/>
  <c r="BB82" i="10"/>
  <c r="BB77" i="10"/>
  <c r="BC82" i="10"/>
  <c r="BC77" i="10"/>
  <c r="BD82" i="10"/>
  <c r="BD77" i="10"/>
  <c r="BE82" i="10"/>
  <c r="BE77" i="10"/>
  <c r="AT77" i="10"/>
  <c r="AU67" i="10"/>
  <c r="AV67" i="10"/>
  <c r="AW67" i="10"/>
  <c r="AX67" i="10"/>
  <c r="AY67" i="10"/>
  <c r="AZ67" i="10"/>
  <c r="BA67" i="10"/>
  <c r="BB67" i="10"/>
  <c r="BC67" i="10"/>
  <c r="BD67" i="10"/>
  <c r="BE67" i="10"/>
  <c r="AT67" i="10"/>
  <c r="AU59" i="10"/>
  <c r="AV59" i="10"/>
  <c r="AW59" i="10"/>
  <c r="AX59" i="10"/>
  <c r="AY59" i="10"/>
  <c r="AZ59" i="10"/>
  <c r="BA59" i="10"/>
  <c r="BB59" i="10"/>
  <c r="BC59" i="10"/>
  <c r="BD59" i="10"/>
  <c r="BE59" i="10"/>
  <c r="AT59" i="10"/>
  <c r="D51" i="11"/>
  <c r="AV45" i="10"/>
  <c r="D48" i="11"/>
  <c r="AZ45" i="10"/>
  <c r="BD45" i="10"/>
  <c r="AU38" i="10"/>
  <c r="AV38" i="10"/>
  <c r="AW38" i="10"/>
  <c r="AX38" i="10"/>
  <c r="AY38" i="10"/>
  <c r="AZ38" i="10"/>
  <c r="BA38" i="10"/>
  <c r="BB38" i="10"/>
  <c r="BC38" i="10"/>
  <c r="BD38" i="10"/>
  <c r="BE38" i="10"/>
  <c r="AT38" i="10"/>
  <c r="AU31" i="10"/>
  <c r="AV31" i="10"/>
  <c r="AW31" i="10"/>
  <c r="AX31" i="10"/>
  <c r="AY31" i="10"/>
  <c r="AZ31" i="10"/>
  <c r="BA31" i="10"/>
  <c r="BB31" i="10"/>
  <c r="BC31" i="10"/>
  <c r="BD31" i="10"/>
  <c r="BE31" i="10"/>
  <c r="AT31" i="10"/>
  <c r="AU24" i="10"/>
  <c r="AV24" i="10"/>
  <c r="AW24" i="10"/>
  <c r="AX24" i="10"/>
  <c r="AY24" i="10"/>
  <c r="AZ24" i="10"/>
  <c r="BA24" i="10"/>
  <c r="BB24" i="10"/>
  <c r="BC24" i="10"/>
  <c r="BD24" i="10"/>
  <c r="BE24" i="10"/>
  <c r="AT24" i="10"/>
  <c r="BG24" i="10" s="1"/>
  <c r="J18" i="11" s="1"/>
  <c r="AU21" i="10"/>
  <c r="AV21" i="10"/>
  <c r="AW21" i="10"/>
  <c r="AX21" i="10"/>
  <c r="AY21" i="10"/>
  <c r="AZ21" i="10"/>
  <c r="BA21" i="10"/>
  <c r="BB21" i="10"/>
  <c r="BB16" i="10" s="1"/>
  <c r="BC21" i="10"/>
  <c r="BD21" i="10"/>
  <c r="BE21" i="10"/>
  <c r="AT21" i="10"/>
  <c r="AU17" i="10"/>
  <c r="AV17" i="10"/>
  <c r="AW17" i="10"/>
  <c r="AX17" i="10"/>
  <c r="AY17" i="10"/>
  <c r="AZ17" i="10"/>
  <c r="BA17" i="10"/>
  <c r="BB17" i="10"/>
  <c r="BC17" i="10"/>
  <c r="BD17" i="10"/>
  <c r="D11" i="11"/>
  <c r="C15" i="10"/>
  <c r="AS14" i="10"/>
  <c r="AS15" i="10"/>
  <c r="AR15" i="10"/>
  <c r="AL38" i="10"/>
  <c r="AR18" i="10"/>
  <c r="AR19" i="10"/>
  <c r="AR20" i="10"/>
  <c r="AR22" i="10"/>
  <c r="AR23" i="10"/>
  <c r="AR25" i="10"/>
  <c r="AR26" i="10"/>
  <c r="AR27" i="10"/>
  <c r="AR28" i="10"/>
  <c r="AR29" i="10"/>
  <c r="AR32" i="10"/>
  <c r="AR33" i="10"/>
  <c r="AR34" i="10"/>
  <c r="AR35" i="10"/>
  <c r="AR36" i="10"/>
  <c r="AR37" i="10"/>
  <c r="AR39" i="10"/>
  <c r="AR40" i="10"/>
  <c r="AR41" i="10"/>
  <c r="AR42" i="10"/>
  <c r="AR43" i="10"/>
  <c r="AR44" i="10"/>
  <c r="AR48" i="10"/>
  <c r="AR49" i="10"/>
  <c r="AR50" i="10"/>
  <c r="AR51" i="10"/>
  <c r="AR52" i="10"/>
  <c r="AR53" i="10"/>
  <c r="AR54" i="10"/>
  <c r="AR57" i="10"/>
  <c r="AR58" i="10"/>
  <c r="AR60" i="10"/>
  <c r="AR61" i="10"/>
  <c r="AR62" i="10"/>
  <c r="AR63" i="10"/>
  <c r="AR64" i="10"/>
  <c r="AR65" i="10"/>
  <c r="AR68" i="10"/>
  <c r="AR69" i="10"/>
  <c r="AR70" i="10"/>
  <c r="AR71" i="10"/>
  <c r="AR72" i="10"/>
  <c r="AR73" i="10"/>
  <c r="AR78" i="10"/>
  <c r="AR79" i="10"/>
  <c r="AR80" i="10"/>
  <c r="AR81" i="10"/>
  <c r="AR82" i="10"/>
  <c r="AR83" i="10"/>
  <c r="AR85" i="10"/>
  <c r="AR86" i="10"/>
  <c r="AR87" i="10"/>
  <c r="AR88" i="10"/>
  <c r="AR89" i="10"/>
  <c r="AR90" i="10"/>
  <c r="AR91" i="10"/>
  <c r="AR92" i="10"/>
  <c r="AR93" i="10"/>
  <c r="AR94" i="10"/>
  <c r="AR95" i="10"/>
  <c r="AR96" i="10"/>
  <c r="AR97" i="10"/>
  <c r="AR98" i="10"/>
  <c r="AS18" i="10"/>
  <c r="AS19" i="10"/>
  <c r="AS20" i="10"/>
  <c r="AS22" i="10"/>
  <c r="AS23" i="10"/>
  <c r="AS25" i="10"/>
  <c r="AS26" i="10"/>
  <c r="AS27" i="10"/>
  <c r="AS28" i="10"/>
  <c r="AS29" i="10"/>
  <c r="AS32" i="10"/>
  <c r="AS33" i="10"/>
  <c r="AS34" i="10"/>
  <c r="AS35" i="10"/>
  <c r="AS36" i="10"/>
  <c r="AS37" i="10"/>
  <c r="AS39" i="10"/>
  <c r="AS40" i="10"/>
  <c r="AS41" i="10"/>
  <c r="AS42" i="10"/>
  <c r="AS43" i="10"/>
  <c r="AS44" i="10"/>
  <c r="AS48" i="10"/>
  <c r="AS49" i="10"/>
  <c r="AS50" i="10"/>
  <c r="AS51" i="10"/>
  <c r="AS52" i="10"/>
  <c r="AS53" i="10"/>
  <c r="AS54" i="10"/>
  <c r="AS57" i="10"/>
  <c r="AS58" i="10"/>
  <c r="AS60" i="10"/>
  <c r="AS61" i="10"/>
  <c r="AS62" i="10"/>
  <c r="AS63" i="10"/>
  <c r="AS64" i="10"/>
  <c r="AS65" i="10"/>
  <c r="AS68" i="10"/>
  <c r="AS69" i="10"/>
  <c r="AS70" i="10"/>
  <c r="AS71" i="10"/>
  <c r="AS72" i="10"/>
  <c r="AS78" i="10"/>
  <c r="AS79" i="10"/>
  <c r="AS80" i="10"/>
  <c r="AS81" i="10"/>
  <c r="AS82" i="10"/>
  <c r="AS83" i="10"/>
  <c r="AS85" i="10"/>
  <c r="AS86" i="10"/>
  <c r="AS87" i="10"/>
  <c r="AS88" i="10"/>
  <c r="AS89" i="10"/>
  <c r="AS90" i="10"/>
  <c r="AS91" i="10"/>
  <c r="AS92" i="10"/>
  <c r="AS93" i="10"/>
  <c r="AS94" i="10"/>
  <c r="AS95" i="10"/>
  <c r="AS96" i="10"/>
  <c r="AS97" i="10"/>
  <c r="AS98" i="10"/>
  <c r="C82" i="11"/>
  <c r="E82" i="11" s="1"/>
  <c r="B82" i="11"/>
  <c r="C68" i="11"/>
  <c r="E68" i="11" s="1"/>
  <c r="F68" i="11" s="1"/>
  <c r="B68" i="11"/>
  <c r="B40" i="11"/>
  <c r="B10" i="11"/>
  <c r="AF21" i="10"/>
  <c r="AQ59" i="10"/>
  <c r="AP17" i="10"/>
  <c r="AQ17" i="10"/>
  <c r="AP59" i="10"/>
  <c r="AP67" i="10"/>
  <c r="AG59" i="10"/>
  <c r="AH59" i="10"/>
  <c r="AI59" i="10"/>
  <c r="AJ59" i="10"/>
  <c r="AK59" i="10"/>
  <c r="AL59" i="10"/>
  <c r="AM59" i="10"/>
  <c r="AN59" i="10"/>
  <c r="AO59" i="10"/>
  <c r="AF59" i="10"/>
  <c r="AG77" i="10"/>
  <c r="AH77" i="10"/>
  <c r="AI77" i="10"/>
  <c r="AJ77" i="10"/>
  <c r="AK77" i="10"/>
  <c r="AL77" i="10"/>
  <c r="AM77" i="10"/>
  <c r="AN77" i="10"/>
  <c r="AO77" i="10"/>
  <c r="AP77" i="10"/>
  <c r="AQ77" i="10"/>
  <c r="AG46" i="10"/>
  <c r="AH46" i="10"/>
  <c r="AI46" i="10"/>
  <c r="AJ46" i="10"/>
  <c r="AK46" i="10"/>
  <c r="AL46" i="10"/>
  <c r="AM46" i="10"/>
  <c r="AN46" i="10"/>
  <c r="AO46" i="10"/>
  <c r="AP46" i="10"/>
  <c r="AQ46" i="10"/>
  <c r="AF46" i="10"/>
  <c r="AG24" i="10"/>
  <c r="AH24" i="10"/>
  <c r="AI24" i="10"/>
  <c r="AJ24" i="10"/>
  <c r="AK24" i="10"/>
  <c r="AL24" i="10"/>
  <c r="AM24" i="10"/>
  <c r="AN24" i="10"/>
  <c r="AO24" i="10"/>
  <c r="AP24" i="10"/>
  <c r="AQ24" i="10"/>
  <c r="AF24" i="10"/>
  <c r="AG21" i="10"/>
  <c r="AH21" i="10"/>
  <c r="AI21" i="10"/>
  <c r="AJ21" i="10"/>
  <c r="AK21" i="10"/>
  <c r="AL21" i="10"/>
  <c r="AM21" i="10"/>
  <c r="AN21" i="10"/>
  <c r="AO21" i="10"/>
  <c r="AP21" i="10"/>
  <c r="AQ21" i="10"/>
  <c r="AG17" i="10"/>
  <c r="AH17" i="10"/>
  <c r="AI17" i="10"/>
  <c r="AJ17" i="10"/>
  <c r="AK17" i="10"/>
  <c r="AL17" i="10"/>
  <c r="AM17" i="10"/>
  <c r="AN17" i="10"/>
  <c r="AO17" i="10"/>
  <c r="AF17" i="10"/>
  <c r="AJ55" i="10"/>
  <c r="AG55" i="10"/>
  <c r="AH55" i="10"/>
  <c r="AI55" i="10"/>
  <c r="AK55" i="10"/>
  <c r="AL55" i="10"/>
  <c r="AM55" i="10"/>
  <c r="AN55" i="10"/>
  <c r="AN45" i="10"/>
  <c r="AO55" i="10"/>
  <c r="AP55" i="10"/>
  <c r="AQ55" i="10"/>
  <c r="AF55" i="10"/>
  <c r="AG31" i="10"/>
  <c r="AH31" i="10"/>
  <c r="AI31" i="10"/>
  <c r="AJ31" i="10"/>
  <c r="AK31" i="10"/>
  <c r="AL31" i="10"/>
  <c r="AM31" i="10"/>
  <c r="AN31" i="10"/>
  <c r="AO31" i="10"/>
  <c r="AP31" i="10"/>
  <c r="AQ31" i="10"/>
  <c r="AF31" i="10"/>
  <c r="AG38" i="10"/>
  <c r="AH38" i="10"/>
  <c r="AI38" i="10"/>
  <c r="AJ38" i="10"/>
  <c r="AK38" i="10"/>
  <c r="AM38" i="10"/>
  <c r="AN38" i="10"/>
  <c r="AO38" i="10"/>
  <c r="AP38" i="10"/>
  <c r="AQ38" i="10"/>
  <c r="AF38" i="10"/>
  <c r="AG67" i="10"/>
  <c r="AH67" i="10"/>
  <c r="AI67" i="10"/>
  <c r="AJ67" i="10"/>
  <c r="AK67" i="10"/>
  <c r="AL67" i="10"/>
  <c r="AM67" i="10"/>
  <c r="AN67" i="10"/>
  <c r="AO67" i="10"/>
  <c r="AQ67" i="10"/>
  <c r="AF67" i="10"/>
  <c r="C70" i="1"/>
  <c r="AJ43" i="1"/>
  <c r="AK43" i="1"/>
  <c r="AL43" i="1"/>
  <c r="AM43" i="1"/>
  <c r="AN43" i="1"/>
  <c r="AO43" i="1"/>
  <c r="AP43" i="1"/>
  <c r="AQ43" i="1"/>
  <c r="AR43" i="1"/>
  <c r="AS43" i="1"/>
  <c r="AT43" i="1"/>
  <c r="AT29" i="1"/>
  <c r="AI43" i="1"/>
  <c r="AU43" i="1"/>
  <c r="AP30" i="1"/>
  <c r="AQ30" i="1"/>
  <c r="AQ29" i="1"/>
  <c r="AS30" i="1"/>
  <c r="AS29" i="1"/>
  <c r="AO30" i="1"/>
  <c r="AM30" i="1"/>
  <c r="AI30" i="1"/>
  <c r="AJ30" i="1"/>
  <c r="AJ29" i="1"/>
  <c r="AL30" i="1"/>
  <c r="AL29" i="1"/>
  <c r="AN30" i="1"/>
  <c r="AN29" i="1"/>
  <c r="AR30" i="1"/>
  <c r="AR29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AK30" i="1"/>
  <c r="AK29" i="1"/>
  <c r="Q33" i="1"/>
  <c r="D51" i="1"/>
  <c r="D23" i="1"/>
  <c r="D75" i="1"/>
  <c r="O10" i="1"/>
  <c r="M30" i="1"/>
  <c r="M29" i="1"/>
  <c r="N30" i="1"/>
  <c r="N29" i="1"/>
  <c r="D17" i="1"/>
  <c r="D73" i="1"/>
  <c r="Q31" i="1"/>
  <c r="D14" i="1"/>
  <c r="D74" i="1"/>
  <c r="L30" i="1"/>
  <c r="L29" i="1"/>
  <c r="H10" i="1"/>
  <c r="H9" i="1"/>
  <c r="E30" i="1"/>
  <c r="E29" i="1"/>
  <c r="D33" i="1"/>
  <c r="D34" i="1"/>
  <c r="Q39" i="1"/>
  <c r="K10" i="1"/>
  <c r="K9" i="1"/>
  <c r="D8" i="1"/>
  <c r="D68" i="1"/>
  <c r="D6" i="1"/>
  <c r="D67" i="1"/>
  <c r="Q42" i="1"/>
  <c r="M10" i="1"/>
  <c r="M9" i="1"/>
  <c r="N10" i="1"/>
  <c r="N9" i="1"/>
  <c r="P10" i="1"/>
  <c r="P9" i="1"/>
  <c r="J10" i="1"/>
  <c r="J9" i="1"/>
  <c r="I10" i="1"/>
  <c r="I9" i="1"/>
  <c r="Q11" i="1"/>
  <c r="G10" i="1"/>
  <c r="G9" i="1"/>
  <c r="G5" i="1"/>
  <c r="F10" i="1"/>
  <c r="F9" i="1"/>
  <c r="E10" i="1"/>
  <c r="E9" i="1"/>
  <c r="Q38" i="1"/>
  <c r="E5" i="1"/>
  <c r="D45" i="1"/>
  <c r="M5" i="1"/>
  <c r="C60" i="1"/>
  <c r="C61" i="1"/>
  <c r="D7" i="1"/>
  <c r="AJ9" i="1"/>
  <c r="AK9" i="1"/>
  <c r="AL9" i="1"/>
  <c r="AM9" i="1"/>
  <c r="AN9" i="1"/>
  <c r="AO9" i="1"/>
  <c r="AP9" i="1"/>
  <c r="AQ9" i="1"/>
  <c r="AR9" i="1"/>
  <c r="AS9" i="1"/>
  <c r="AT9" i="1"/>
  <c r="Q43" i="1"/>
  <c r="D43" i="1"/>
  <c r="L5" i="1"/>
  <c r="AU6" i="1"/>
  <c r="C67" i="1"/>
  <c r="D37" i="1"/>
  <c r="G3" i="1"/>
  <c r="D32" i="1"/>
  <c r="D12" i="1"/>
  <c r="D13" i="1"/>
  <c r="D20" i="1"/>
  <c r="D44" i="1"/>
  <c r="D48" i="1"/>
  <c r="D49" i="1"/>
  <c r="D50" i="1"/>
  <c r="D31" i="1"/>
  <c r="Q7" i="1"/>
  <c r="Q8" i="1"/>
  <c r="Q12" i="1"/>
  <c r="Q13" i="1"/>
  <c r="Q20" i="1"/>
  <c r="Q32" i="1"/>
  <c r="Q44" i="1"/>
  <c r="Q45" i="1"/>
  <c r="Q48" i="1"/>
  <c r="Q49" i="1"/>
  <c r="Q50" i="1"/>
  <c r="Q51" i="1"/>
  <c r="D47" i="1"/>
  <c r="F30" i="1"/>
  <c r="F29" i="1"/>
  <c r="G30" i="1"/>
  <c r="H30" i="1"/>
  <c r="H29" i="1"/>
  <c r="I30" i="1"/>
  <c r="I29" i="1"/>
  <c r="J30" i="1"/>
  <c r="J29" i="1"/>
  <c r="K30" i="1"/>
  <c r="K29" i="1"/>
  <c r="O30" i="1"/>
  <c r="O29" i="1"/>
  <c r="P30" i="1"/>
  <c r="P29" i="1"/>
  <c r="C74" i="1"/>
  <c r="C73" i="1"/>
  <c r="C75" i="1"/>
  <c r="AJ5" i="1"/>
  <c r="AK5" i="1"/>
  <c r="AL5" i="1"/>
  <c r="AM5" i="1"/>
  <c r="AN5" i="1"/>
  <c r="AO5" i="1"/>
  <c r="AP5" i="1"/>
  <c r="AQ5" i="1"/>
  <c r="AR5" i="1"/>
  <c r="AS5" i="1"/>
  <c r="AT5" i="1"/>
  <c r="AI5" i="1"/>
  <c r="F5" i="1"/>
  <c r="H5" i="1"/>
  <c r="I5" i="1"/>
  <c r="J5" i="1"/>
  <c r="K5" i="1"/>
  <c r="N5" i="1"/>
  <c r="O5" i="1"/>
  <c r="P5" i="1"/>
  <c r="AP59" i="14"/>
  <c r="AP57" i="14"/>
  <c r="AP65" i="14"/>
  <c r="U57" i="14"/>
  <c r="U76" i="14"/>
  <c r="P226" i="19"/>
  <c r="E374" i="14" s="1"/>
  <c r="Q226" i="19"/>
  <c r="F374" i="14" s="1"/>
  <c r="R226" i="19"/>
  <c r="G374" i="14" s="1"/>
  <c r="S226" i="19"/>
  <c r="H374" i="14" s="1"/>
  <c r="Q622" i="19"/>
  <c r="R622" i="19"/>
  <c r="S622" i="19"/>
  <c r="O226" i="19"/>
  <c r="D374" i="14" s="1"/>
  <c r="C50" i="24"/>
  <c r="S334" i="19"/>
  <c r="I458" i="14" s="1"/>
  <c r="Q366" i="19"/>
  <c r="P655" i="19"/>
  <c r="Q232" i="19"/>
  <c r="P366" i="19"/>
  <c r="R232" i="19"/>
  <c r="E477" i="14"/>
  <c r="W67" i="14"/>
  <c r="W36" i="14"/>
  <c r="X36" i="14"/>
  <c r="W37" i="14"/>
  <c r="X37" i="14"/>
  <c r="AI45" i="10"/>
  <c r="BE16" i="10"/>
  <c r="BE15" i="10"/>
  <c r="V29" i="1"/>
  <c r="B15" i="11"/>
  <c r="U29" i="1"/>
  <c r="C15" i="11"/>
  <c r="E15" i="11" s="1"/>
  <c r="W66" i="14"/>
  <c r="T59" i="1"/>
  <c r="P232" i="19"/>
  <c r="AI29" i="1"/>
  <c r="AU30" i="1"/>
  <c r="AM29" i="1"/>
  <c r="AO29" i="1"/>
  <c r="S29" i="1"/>
  <c r="S59" i="1"/>
  <c r="E59" i="1"/>
  <c r="AP29" i="1"/>
  <c r="F70" i="1"/>
  <c r="E70" i="1"/>
  <c r="AN59" i="1"/>
  <c r="AN62" i="1"/>
  <c r="BC62" i="1"/>
  <c r="F3" i="1"/>
  <c r="I3" i="1"/>
  <c r="AM59" i="1"/>
  <c r="AM62" i="1"/>
  <c r="BB62" i="1"/>
  <c r="AP59" i="1"/>
  <c r="AP62" i="1"/>
  <c r="BE62" i="1"/>
  <c r="AS59" i="1"/>
  <c r="AS62" i="1"/>
  <c r="BH62" i="1"/>
  <c r="P59" i="1"/>
  <c r="AJ59" i="1"/>
  <c r="AJ62" i="1"/>
  <c r="AY62" i="1"/>
  <c r="AQ59" i="1"/>
  <c r="AQ62" i="1"/>
  <c r="BF62" i="1"/>
  <c r="AO59" i="1"/>
  <c r="AO62" i="1"/>
  <c r="BD62" i="1"/>
  <c r="AK59" i="1"/>
  <c r="AK62" i="1"/>
  <c r="AZ62" i="1"/>
  <c r="B32" i="1"/>
  <c r="C32" i="1"/>
  <c r="B42" i="1"/>
  <c r="C42" i="1"/>
  <c r="B13" i="1"/>
  <c r="C13" i="1"/>
  <c r="C72" i="1"/>
  <c r="AI9" i="1"/>
  <c r="AU9" i="1"/>
  <c r="AL59" i="1"/>
  <c r="AL62" i="1"/>
  <c r="BA62" i="1"/>
  <c r="C68" i="1"/>
  <c r="AU5" i="1"/>
  <c r="AP45" i="10"/>
  <c r="AP30" i="10"/>
  <c r="AQ16" i="10"/>
  <c r="AK45" i="10"/>
  <c r="AK30" i="10"/>
  <c r="AQ45" i="10"/>
  <c r="AQ30" i="10"/>
  <c r="AT30" i="10"/>
  <c r="AJ45" i="10"/>
  <c r="AJ30" i="10"/>
  <c r="AK16" i="10"/>
  <c r="AG45" i="10"/>
  <c r="AG30" i="10"/>
  <c r="AI16" i="10"/>
  <c r="AM45" i="10"/>
  <c r="D18" i="11"/>
  <c r="D32" i="11"/>
  <c r="AR38" i="10"/>
  <c r="AM16" i="10"/>
  <c r="AL16" i="10"/>
  <c r="AH45" i="10"/>
  <c r="AH30" i="10"/>
  <c r="AO45" i="10"/>
  <c r="C6" i="10"/>
  <c r="AS21" i="10"/>
  <c r="AO16" i="10"/>
  <c r="AJ16" i="10"/>
  <c r="AR46" i="10"/>
  <c r="AR59" i="10"/>
  <c r="AG16" i="10"/>
  <c r="AY45" i="10"/>
  <c r="AY30" i="10"/>
  <c r="BC45" i="10"/>
  <c r="BC30" i="10"/>
  <c r="AS38" i="10"/>
  <c r="AN30" i="10"/>
  <c r="AS55" i="10"/>
  <c r="AN16" i="10"/>
  <c r="AS77" i="10"/>
  <c r="AS31" i="10"/>
  <c r="D72" i="11"/>
  <c r="AR67" i="10"/>
  <c r="AR31" i="10"/>
  <c r="AI30" i="10"/>
  <c r="AP16" i="10"/>
  <c r="AL45" i="10"/>
  <c r="AL30" i="10"/>
  <c r="D15" i="11"/>
  <c r="AT16" i="10"/>
  <c r="AR17" i="10"/>
  <c r="AH16" i="10"/>
  <c r="AR24" i="10"/>
  <c r="AR77" i="10"/>
  <c r="AR21" i="10"/>
  <c r="BA45" i="10"/>
  <c r="BA30" i="10"/>
  <c r="BE45" i="10"/>
  <c r="BE30" i="10"/>
  <c r="D25" i="11"/>
  <c r="BD30" i="10"/>
  <c r="BD66" i="10" s="1"/>
  <c r="BD74" i="10" s="1"/>
  <c r="BD99" i="10" s="1"/>
  <c r="BD100" i="10" s="1"/>
  <c r="D59" i="11"/>
  <c r="AY16" i="10"/>
  <c r="AY15" i="10"/>
  <c r="AX16" i="10"/>
  <c r="AX15" i="10"/>
  <c r="BA16" i="10"/>
  <c r="BA15" i="10"/>
  <c r="AU16" i="10"/>
  <c r="AU15" i="10"/>
  <c r="AV16" i="10"/>
  <c r="AV15" i="10"/>
  <c r="BG17" i="10"/>
  <c r="J11" i="11" s="1"/>
  <c r="AE43" i="1"/>
  <c r="R43" i="1"/>
  <c r="R37" i="1"/>
  <c r="R30" i="1"/>
  <c r="AE5" i="1"/>
  <c r="K59" i="1"/>
  <c r="F59" i="1"/>
  <c r="M59" i="1"/>
  <c r="H59" i="1"/>
  <c r="P16" i="10"/>
  <c r="R31" i="10"/>
  <c r="BF46" i="10"/>
  <c r="I40" i="11" s="1"/>
  <c r="AX45" i="10"/>
  <c r="AX30" i="10"/>
  <c r="BB45" i="10"/>
  <c r="BB30" i="10"/>
  <c r="AW16" i="10"/>
  <c r="AW15" i="10"/>
  <c r="AZ16" i="10"/>
  <c r="AZ15" i="10"/>
  <c r="AV30" i="10"/>
  <c r="D40" i="11"/>
  <c r="R67" i="10"/>
  <c r="BD16" i="10"/>
  <c r="BD15" i="10"/>
  <c r="AZ30" i="10"/>
  <c r="BC16" i="10"/>
  <c r="BC15" i="10"/>
  <c r="BF17" i="10"/>
  <c r="I11" i="11" s="1"/>
  <c r="AU45" i="10"/>
  <c r="AU30" i="10"/>
  <c r="E347" i="14"/>
  <c r="L193" i="20"/>
  <c r="L195" i="20"/>
  <c r="I193" i="20"/>
  <c r="I195" i="20"/>
  <c r="O193" i="20"/>
  <c r="O195" i="20"/>
  <c r="M548" i="19"/>
  <c r="P78" i="10"/>
  <c r="B78" i="10" s="1"/>
  <c r="U99" i="14"/>
  <c r="U101" i="14"/>
  <c r="U103" i="14"/>
  <c r="M197" i="19"/>
  <c r="M80" i="19"/>
  <c r="C71" i="1"/>
  <c r="N59" i="1"/>
  <c r="C66" i="1"/>
  <c r="F74" i="1"/>
  <c r="E74" i="1"/>
  <c r="J59" i="1"/>
  <c r="AE30" i="1"/>
  <c r="U59" i="1"/>
  <c r="E73" i="1"/>
  <c r="F73" i="1"/>
  <c r="AR59" i="1"/>
  <c r="AR62" i="1"/>
  <c r="BG62" i="1"/>
  <c r="P68" i="1"/>
  <c r="E68" i="1"/>
  <c r="F68" i="1"/>
  <c r="E67" i="1"/>
  <c r="F67" i="1"/>
  <c r="D66" i="1"/>
  <c r="E75" i="1"/>
  <c r="F75" i="1"/>
  <c r="AT59" i="1"/>
  <c r="AT62" i="1"/>
  <c r="BI62" i="1"/>
  <c r="AE37" i="1"/>
  <c r="B45" i="1"/>
  <c r="C45" i="1"/>
  <c r="B34" i="1"/>
  <c r="C34" i="1"/>
  <c r="B17" i="1"/>
  <c r="C17" i="1"/>
  <c r="I59" i="1"/>
  <c r="D5" i="1"/>
  <c r="D30" i="1"/>
  <c r="J3" i="1"/>
  <c r="O9" i="1"/>
  <c r="O59" i="1"/>
  <c r="G29" i="1"/>
  <c r="Q29" i="1"/>
  <c r="M3" i="1"/>
  <c r="AE23" i="1"/>
  <c r="B44" i="1"/>
  <c r="C44" i="1"/>
  <c r="B33" i="1"/>
  <c r="C33" i="1"/>
  <c r="B14" i="1"/>
  <c r="C14" i="1"/>
  <c r="H3" i="1"/>
  <c r="Q23" i="1"/>
  <c r="D11" i="1"/>
  <c r="Q17" i="1"/>
  <c r="B51" i="1"/>
  <c r="C51" i="1"/>
  <c r="B39" i="1"/>
  <c r="C39" i="1"/>
  <c r="B31" i="1"/>
  <c r="C31" i="1"/>
  <c r="R5" i="1"/>
  <c r="B50" i="1"/>
  <c r="C50" i="1"/>
  <c r="B38" i="1"/>
  <c r="C38" i="1"/>
  <c r="Q30" i="1"/>
  <c r="Q37" i="1"/>
  <c r="Q5" i="1"/>
  <c r="Q47" i="1"/>
  <c r="L10" i="1"/>
  <c r="L9" i="1"/>
  <c r="L59" i="1"/>
  <c r="B49" i="1"/>
  <c r="C49" i="1"/>
  <c r="B26" i="1"/>
  <c r="B8" i="1"/>
  <c r="C8" i="1"/>
  <c r="B48" i="1"/>
  <c r="C48" i="1"/>
  <c r="B36" i="1"/>
  <c r="B23" i="1"/>
  <c r="C23" i="1"/>
  <c r="B7" i="1"/>
  <c r="C7" i="1"/>
  <c r="Q14" i="1"/>
  <c r="B47" i="1"/>
  <c r="C47" i="1"/>
  <c r="B35" i="1"/>
  <c r="B20" i="1"/>
  <c r="C20" i="1"/>
  <c r="B6" i="1"/>
  <c r="C6" i="1"/>
  <c r="V9" i="1"/>
  <c r="V59" i="1"/>
  <c r="D67" i="11"/>
  <c r="X9" i="14"/>
  <c r="R6" i="10"/>
  <c r="M119" i="19"/>
  <c r="T6" i="10"/>
  <c r="M158" i="19"/>
  <c r="P70" i="27" s="1"/>
  <c r="M191" i="20"/>
  <c r="S6" i="10"/>
  <c r="P66" i="19"/>
  <c r="P65" i="19" s="1"/>
  <c r="S10" i="10"/>
  <c r="T10" i="10"/>
  <c r="C46" i="10"/>
  <c r="B83" i="11"/>
  <c r="AO30" i="10"/>
  <c r="AR55" i="10"/>
  <c r="AF16" i="10"/>
  <c r="AS59" i="10"/>
  <c r="BG59" i="10"/>
  <c r="J51" i="11" s="1"/>
  <c r="C60" i="11"/>
  <c r="G60" i="11" s="1"/>
  <c r="P40" i="10"/>
  <c r="P9" i="10"/>
  <c r="P73" i="10"/>
  <c r="H65" i="11" s="1"/>
  <c r="S45" i="10"/>
  <c r="C55" i="10"/>
  <c r="C38" i="10"/>
  <c r="AW45" i="10"/>
  <c r="BG38" i="10"/>
  <c r="J32" i="11"/>
  <c r="P11" i="10"/>
  <c r="P70" i="10"/>
  <c r="H62" i="11" s="1"/>
  <c r="AM30" i="10"/>
  <c r="AF45" i="10"/>
  <c r="AS67" i="10"/>
  <c r="AS46" i="10"/>
  <c r="BF21" i="10"/>
  <c r="I15" i="11" s="1"/>
  <c r="P21" i="10"/>
  <c r="H15" i="11" s="1"/>
  <c r="P34" i="10"/>
  <c r="H28" i="11" s="1"/>
  <c r="P37" i="10"/>
  <c r="H31" i="11" s="1"/>
  <c r="P19" i="10"/>
  <c r="B19" i="10" s="1"/>
  <c r="C10" i="10"/>
  <c r="P13" i="10"/>
  <c r="C67" i="10"/>
  <c r="AS17" i="10"/>
  <c r="AS24" i="10"/>
  <c r="C17" i="10"/>
  <c r="C59" i="10"/>
  <c r="BG31" i="10"/>
  <c r="J25" i="11"/>
  <c r="P18" i="10"/>
  <c r="H12" i="11" s="1"/>
  <c r="P57" i="10"/>
  <c r="B57" i="10" s="1"/>
  <c r="P79" i="10"/>
  <c r="H69" i="11" s="1"/>
  <c r="P92" i="10"/>
  <c r="H81" i="11" s="1"/>
  <c r="C19" i="23"/>
  <c r="X67" i="14"/>
  <c r="V61" i="14"/>
  <c r="W56" i="14"/>
  <c r="AQ56" i="14"/>
  <c r="X60" i="14"/>
  <c r="X75" i="14"/>
  <c r="V6" i="14"/>
  <c r="V5" i="14"/>
  <c r="U8" i="14"/>
  <c r="X72" i="14"/>
  <c r="W12" i="14"/>
  <c r="W75" i="14"/>
  <c r="AQ61" i="14"/>
  <c r="V58" i="14"/>
  <c r="X96" i="14"/>
  <c r="X55" i="14"/>
  <c r="W96" i="14"/>
  <c r="W14" i="14"/>
  <c r="C48" i="11"/>
  <c r="P58" i="10"/>
  <c r="B58" i="10" s="1"/>
  <c r="C24" i="10"/>
  <c r="Q17" i="10"/>
  <c r="P17" i="10" s="1"/>
  <c r="B11" i="11"/>
  <c r="U6" i="14"/>
  <c r="U7" i="14"/>
  <c r="W60" i="14"/>
  <c r="X66" i="14"/>
  <c r="BF59" i="10"/>
  <c r="I51" i="11" s="1"/>
  <c r="Q24" i="10"/>
  <c r="C31" i="10"/>
  <c r="C23" i="10"/>
  <c r="C77" i="10"/>
  <c r="C93" i="10"/>
  <c r="BG46" i="10"/>
  <c r="J40" i="11"/>
  <c r="X74" i="14"/>
  <c r="W74" i="14"/>
  <c r="X16" i="14"/>
  <c r="W16" i="14"/>
  <c r="W72" i="14"/>
  <c r="T10" i="14"/>
  <c r="R10" i="10"/>
  <c r="T63" i="14"/>
  <c r="T31" i="14"/>
  <c r="P7" i="10"/>
  <c r="T95" i="14"/>
  <c r="X15" i="14"/>
  <c r="W15" i="14"/>
  <c r="T30" i="10"/>
  <c r="T66" i="10" s="1"/>
  <c r="T74" i="10" s="1"/>
  <c r="T99" i="10" s="1"/>
  <c r="T100" i="10" s="1"/>
  <c r="W69" i="14"/>
  <c r="X69" i="14"/>
  <c r="W68" i="14"/>
  <c r="X68" i="14"/>
  <c r="R10" i="1"/>
  <c r="AE10" i="1"/>
  <c r="BG21" i="10"/>
  <c r="J15" i="11" s="1"/>
  <c r="Q31" i="10"/>
  <c r="P31" i="10" s="1"/>
  <c r="J14" i="11"/>
  <c r="J42" i="11"/>
  <c r="BF55" i="10"/>
  <c r="I48" i="11" s="1"/>
  <c r="BF31" i="10"/>
  <c r="I25" i="11" s="1"/>
  <c r="Q59" i="10"/>
  <c r="B51" i="11"/>
  <c r="R45" i="10"/>
  <c r="B48" i="11"/>
  <c r="J56" i="11"/>
  <c r="BF82" i="10"/>
  <c r="I72" i="11" s="1"/>
  <c r="J87" i="11"/>
  <c r="Q10" i="10"/>
  <c r="P48" i="10"/>
  <c r="H41" i="11" s="1"/>
  <c r="BF38" i="10"/>
  <c r="I32" i="11" s="1"/>
  <c r="P60" i="10"/>
  <c r="B60" i="10" s="1"/>
  <c r="P90" i="10"/>
  <c r="BF67" i="10"/>
  <c r="I59" i="11" s="1"/>
  <c r="BG67" i="10"/>
  <c r="J59" i="11" s="1"/>
  <c r="P41" i="10"/>
  <c r="H35" i="11" s="1"/>
  <c r="Q38" i="10"/>
  <c r="C32" i="11"/>
  <c r="G32" i="11" s="1"/>
  <c r="P8" i="10"/>
  <c r="Q6" i="10"/>
  <c r="P6" i="10" s="1"/>
  <c r="Q82" i="10"/>
  <c r="P83" i="10"/>
  <c r="H73" i="11" s="1"/>
  <c r="P68" i="10"/>
  <c r="H60" i="11" s="1"/>
  <c r="Q67" i="10"/>
  <c r="BG77" i="10"/>
  <c r="J67" i="11" s="1"/>
  <c r="BF77" i="10"/>
  <c r="I67" i="11" s="1"/>
  <c r="J85" i="11"/>
  <c r="J69" i="11"/>
  <c r="J57" i="11"/>
  <c r="J47" i="11"/>
  <c r="J37" i="11"/>
  <c r="J17" i="11"/>
  <c r="R82" i="10"/>
  <c r="R77" i="10" s="1"/>
  <c r="P89" i="10"/>
  <c r="H78" i="11" s="1"/>
  <c r="BG82" i="10"/>
  <c r="J72" i="11" s="1"/>
  <c r="BG55" i="10"/>
  <c r="E380" i="14"/>
  <c r="S232" i="19"/>
  <c r="U78" i="14"/>
  <c r="U84" i="14"/>
  <c r="X31" i="14"/>
  <c r="W31" i="14"/>
  <c r="V57" i="14"/>
  <c r="V76" i="14"/>
  <c r="AQ66" i="10"/>
  <c r="AQ74" i="10"/>
  <c r="AQ99" i="10"/>
  <c r="AQ100" i="10"/>
  <c r="B21" i="11"/>
  <c r="AJ66" i="10"/>
  <c r="AJ74" i="10"/>
  <c r="AJ99" i="10"/>
  <c r="AJ100" i="10"/>
  <c r="AX66" i="10"/>
  <c r="AX74" i="10" s="1"/>
  <c r="AX99" i="10" s="1"/>
  <c r="AX100" i="10" s="1"/>
  <c r="AM66" i="10"/>
  <c r="AM74" i="10"/>
  <c r="AM99" i="10"/>
  <c r="AM100" i="10"/>
  <c r="AH66" i="10"/>
  <c r="AH74" i="10"/>
  <c r="AH99" i="10"/>
  <c r="AH100" i="10"/>
  <c r="BA66" i="10"/>
  <c r="BA74" i="10" s="1"/>
  <c r="BA99" i="10" s="1"/>
  <c r="BA100" i="10" s="1"/>
  <c r="AP66" i="10"/>
  <c r="AP74" i="10"/>
  <c r="AP99" i="10"/>
  <c r="AP100" i="10"/>
  <c r="B59" i="11"/>
  <c r="B32" i="11"/>
  <c r="B25" i="11"/>
  <c r="C72" i="11"/>
  <c r="C59" i="11"/>
  <c r="E59" i="11" s="1"/>
  <c r="F59" i="11" s="1"/>
  <c r="AU29" i="1"/>
  <c r="C25" i="11"/>
  <c r="E25" i="11" s="1"/>
  <c r="AT74" i="10"/>
  <c r="B30" i="1"/>
  <c r="C30" i="1"/>
  <c r="B43" i="1"/>
  <c r="C43" i="1"/>
  <c r="B37" i="1"/>
  <c r="C37" i="1"/>
  <c r="D10" i="1"/>
  <c r="D72" i="1"/>
  <c r="E72" i="1"/>
  <c r="B10" i="1"/>
  <c r="C10" i="1"/>
  <c r="AE9" i="1"/>
  <c r="B5" i="1"/>
  <c r="C5" i="1"/>
  <c r="R9" i="1"/>
  <c r="B9" i="1"/>
  <c r="C9" i="1"/>
  <c r="AG66" i="10"/>
  <c r="AG74" i="10"/>
  <c r="AG99" i="10"/>
  <c r="AG100" i="10"/>
  <c r="AK66" i="10"/>
  <c r="AK74" i="10"/>
  <c r="AK99" i="10"/>
  <c r="AK100" i="10"/>
  <c r="BC66" i="10"/>
  <c r="BC74" i="10"/>
  <c r="BC99" i="10" s="1"/>
  <c r="AY66" i="10"/>
  <c r="AY74" i="10" s="1"/>
  <c r="AZ66" i="10"/>
  <c r="AZ74" i="10"/>
  <c r="AZ99" i="10" s="1"/>
  <c r="AZ100" i="10" s="1"/>
  <c r="AL66" i="10"/>
  <c r="AL74" i="10"/>
  <c r="AL99" i="10"/>
  <c r="AL100" i="10"/>
  <c r="AU66" i="10"/>
  <c r="AU74" i="10"/>
  <c r="AI66" i="10"/>
  <c r="AI74" i="10"/>
  <c r="AI99" i="10"/>
  <c r="AI100" i="10"/>
  <c r="AV66" i="10"/>
  <c r="AV74" i="10" s="1"/>
  <c r="BE66" i="10"/>
  <c r="BE74" i="10"/>
  <c r="BE99" i="10" s="1"/>
  <c r="BE100" i="10" s="1"/>
  <c r="AN66" i="10"/>
  <c r="AN74" i="10"/>
  <c r="AN99" i="10"/>
  <c r="AN100" i="10"/>
  <c r="AO66" i="10"/>
  <c r="AO74" i="10"/>
  <c r="AO99" i="10"/>
  <c r="AO100" i="10"/>
  <c r="D39" i="11"/>
  <c r="C11" i="11"/>
  <c r="C51" i="11"/>
  <c r="G51" i="11" s="1"/>
  <c r="P54" i="10"/>
  <c r="B54" i="10" s="1"/>
  <c r="C40" i="11"/>
  <c r="E40" i="11" s="1"/>
  <c r="D29" i="1"/>
  <c r="D69" i="1"/>
  <c r="D9" i="1"/>
  <c r="Q9" i="1"/>
  <c r="P67" i="10"/>
  <c r="F17" i="14"/>
  <c r="G17" i="14"/>
  <c r="P55" i="10"/>
  <c r="V99" i="14"/>
  <c r="V101" i="14"/>
  <c r="V103" i="14"/>
  <c r="P38" i="10"/>
  <c r="S30" i="10"/>
  <c r="S66" i="10" s="1"/>
  <c r="S74" i="10" s="1"/>
  <c r="S99" i="10" s="1"/>
  <c r="S100" i="10" s="1"/>
  <c r="C69" i="1"/>
  <c r="E69" i="1"/>
  <c r="AI59" i="1"/>
  <c r="Q10" i="1"/>
  <c r="AE29" i="1"/>
  <c r="R29" i="1"/>
  <c r="F66" i="1"/>
  <c r="E66" i="1"/>
  <c r="N3" i="1"/>
  <c r="G59" i="1"/>
  <c r="D59" i="1"/>
  <c r="D61" i="1"/>
  <c r="X70" i="14"/>
  <c r="W70" i="14"/>
  <c r="W9" i="14"/>
  <c r="C21" i="10"/>
  <c r="O3" i="10"/>
  <c r="T8" i="14"/>
  <c r="W8" i="14"/>
  <c r="C45" i="10"/>
  <c r="AS45" i="10"/>
  <c r="AF30" i="10"/>
  <c r="AR45" i="10"/>
  <c r="AW30" i="10"/>
  <c r="AS16" i="10"/>
  <c r="AR16" i="10"/>
  <c r="V8" i="14"/>
  <c r="V7" i="14"/>
  <c r="U11" i="14"/>
  <c r="U13" i="14"/>
  <c r="U17" i="14"/>
  <c r="BF45" i="10"/>
  <c r="I39" i="11" s="1"/>
  <c r="BG45" i="10"/>
  <c r="J39" i="11" s="1"/>
  <c r="C30" i="10"/>
  <c r="X63" i="14"/>
  <c r="W63" i="14"/>
  <c r="W10" i="14"/>
  <c r="X10" i="14"/>
  <c r="T6" i="14"/>
  <c r="X95" i="14"/>
  <c r="W95" i="14"/>
  <c r="T61" i="14"/>
  <c r="AN59" i="14"/>
  <c r="AR59" i="14"/>
  <c r="X62" i="14"/>
  <c r="W62" i="14"/>
  <c r="AE59" i="1"/>
  <c r="R30" i="10"/>
  <c r="B39" i="11"/>
  <c r="P96" i="10"/>
  <c r="H85" i="11" s="1"/>
  <c r="J48" i="11"/>
  <c r="B72" i="11"/>
  <c r="P334" i="19"/>
  <c r="F458" i="14" s="1"/>
  <c r="R530" i="19"/>
  <c r="R531" i="19"/>
  <c r="R61" i="19"/>
  <c r="F367" i="14"/>
  <c r="E367" i="14"/>
  <c r="V78" i="14"/>
  <c r="V84" i="14"/>
  <c r="C20" i="11"/>
  <c r="E20" i="11" s="1"/>
  <c r="C21" i="11"/>
  <c r="E21" i="11" s="1"/>
  <c r="AU99" i="10"/>
  <c r="AU100" i="10"/>
  <c r="AY99" i="10"/>
  <c r="AY100" i="10" s="1"/>
  <c r="AV99" i="10"/>
  <c r="AV100" i="10" s="1"/>
  <c r="BC100" i="10"/>
  <c r="AI62" i="1"/>
  <c r="AX62" i="1"/>
  <c r="AU59" i="1"/>
  <c r="AU65" i="1"/>
  <c r="B29" i="1"/>
  <c r="C29" i="1"/>
  <c r="F72" i="1"/>
  <c r="D71" i="1"/>
  <c r="Q59" i="1"/>
  <c r="C16" i="10"/>
  <c r="T89" i="14"/>
  <c r="S10" i="27"/>
  <c r="T10" i="27"/>
  <c r="T7" i="27"/>
  <c r="S7" i="27"/>
  <c r="E17" i="14"/>
  <c r="F71" i="1"/>
  <c r="E71" i="1"/>
  <c r="B59" i="1"/>
  <c r="C59" i="1"/>
  <c r="F69" i="1"/>
  <c r="C14" i="10"/>
  <c r="C76" i="1"/>
  <c r="D76" i="1"/>
  <c r="X88" i="14"/>
  <c r="W88" i="14"/>
  <c r="X8" i="14"/>
  <c r="AS30" i="10"/>
  <c r="AR30" i="10"/>
  <c r="AF66" i="10"/>
  <c r="D24" i="11"/>
  <c r="V11" i="14"/>
  <c r="V13" i="14"/>
  <c r="V17" i="14"/>
  <c r="X6" i="14"/>
  <c r="W6" i="14"/>
  <c r="X61" i="14"/>
  <c r="W61" i="14"/>
  <c r="AQ59" i="14"/>
  <c r="P94" i="10"/>
  <c r="R66" i="10"/>
  <c r="P46" i="10"/>
  <c r="C39" i="11"/>
  <c r="G39" i="11" s="1"/>
  <c r="B67" i="11"/>
  <c r="P249" i="19"/>
  <c r="Q249" i="19"/>
  <c r="R334" i="19"/>
  <c r="H458" i="14" s="1"/>
  <c r="R63" i="19"/>
  <c r="Q63" i="19"/>
  <c r="C18" i="11"/>
  <c r="G18" i="11" s="1"/>
  <c r="T87" i="14"/>
  <c r="T99" i="14"/>
  <c r="X89" i="14"/>
  <c r="W89" i="14"/>
  <c r="T9" i="27"/>
  <c r="S9" i="27"/>
  <c r="S6" i="27"/>
  <c r="T6" i="27"/>
  <c r="F76" i="1"/>
  <c r="E76" i="1"/>
  <c r="AF74" i="10"/>
  <c r="AF99" i="10"/>
  <c r="AR66" i="10"/>
  <c r="AS66" i="10"/>
  <c r="C66" i="10"/>
  <c r="C74" i="10"/>
  <c r="R74" i="10"/>
  <c r="R99" i="10" s="1"/>
  <c r="R100" i="10" s="1"/>
  <c r="P45" i="10"/>
  <c r="B45" i="10" s="1"/>
  <c r="P530" i="19"/>
  <c r="S349" i="19"/>
  <c r="S62" i="19"/>
  <c r="Q76" i="19"/>
  <c r="Q265" i="19"/>
  <c r="Q251" i="19"/>
  <c r="F408" i="14"/>
  <c r="P265" i="19"/>
  <c r="P251" i="19"/>
  <c r="E408" i="14"/>
  <c r="P63" i="19"/>
  <c r="X87" i="14"/>
  <c r="W87" i="14"/>
  <c r="C24" i="11"/>
  <c r="E24" i="11" s="1"/>
  <c r="T101" i="14"/>
  <c r="X99" i="14"/>
  <c r="W99" i="14"/>
  <c r="T27" i="27"/>
  <c r="T5" i="27"/>
  <c r="S5" i="27"/>
  <c r="S27" i="27"/>
  <c r="AS74" i="10"/>
  <c r="AR74" i="10"/>
  <c r="C99" i="10"/>
  <c r="C58" i="11"/>
  <c r="O334" i="19"/>
  <c r="E458" i="14" s="1"/>
  <c r="P310" i="19"/>
  <c r="Q310" i="19"/>
  <c r="R349" i="19"/>
  <c r="R62" i="19"/>
  <c r="W101" i="14"/>
  <c r="W103" i="14"/>
  <c r="T103" i="14"/>
  <c r="X103" i="14"/>
  <c r="X101" i="14"/>
  <c r="AS99" i="10"/>
  <c r="AR99" i="10"/>
  <c r="AF100" i="10"/>
  <c r="AR100" i="10"/>
  <c r="C100" i="10"/>
  <c r="P583" i="19"/>
  <c r="Q583" i="19"/>
  <c r="AS100" i="10"/>
  <c r="M123" i="19"/>
  <c r="M162" i="19"/>
  <c r="P74" i="27" s="1"/>
  <c r="M201" i="19"/>
  <c r="M240" i="19"/>
  <c r="Q385" i="14" s="1"/>
  <c r="M513" i="19"/>
  <c r="T185" i="14" s="1"/>
  <c r="W185" i="14" s="1"/>
  <c r="M591" i="19"/>
  <c r="V191" i="14"/>
  <c r="U191" i="14"/>
  <c r="M552" i="19"/>
  <c r="U221" i="14"/>
  <c r="T59" i="14"/>
  <c r="T58" i="14"/>
  <c r="X59" i="14"/>
  <c r="W59" i="14"/>
  <c r="W58" i="14"/>
  <c r="AQ58" i="14"/>
  <c r="AN58" i="14"/>
  <c r="X58" i="14"/>
  <c r="T57" i="14"/>
  <c r="X57" i="14"/>
  <c r="T5" i="14"/>
  <c r="X5" i="14"/>
  <c r="AN57" i="14"/>
  <c r="AR58" i="14"/>
  <c r="W57" i="14"/>
  <c r="AQ57" i="14"/>
  <c r="W5" i="14"/>
  <c r="T7" i="14"/>
  <c r="AR57" i="14"/>
  <c r="AO59" i="14"/>
  <c r="AO60" i="14"/>
  <c r="AO61" i="14"/>
  <c r="AO64" i="14"/>
  <c r="AO57" i="14"/>
  <c r="AO58" i="14"/>
  <c r="X7" i="14"/>
  <c r="T11" i="14"/>
  <c r="W7" i="14"/>
  <c r="X11" i="14"/>
  <c r="W11" i="14"/>
  <c r="T13" i="14"/>
  <c r="X13" i="14"/>
  <c r="T17" i="14"/>
  <c r="X17" i="14"/>
  <c r="W13" i="14"/>
  <c r="W17" i="14"/>
  <c r="O368" i="14"/>
  <c r="AA10" i="10"/>
  <c r="P12" i="10"/>
  <c r="AA23" i="25"/>
  <c r="Z23" i="25"/>
  <c r="U49" i="25"/>
  <c r="Y23" i="25"/>
  <c r="AB23" i="25"/>
  <c r="AC23" i="25"/>
  <c r="AD23" i="25"/>
  <c r="U23" i="25"/>
  <c r="X277" i="14"/>
  <c r="U42" i="25"/>
  <c r="U41" i="25"/>
  <c r="AD19" i="25"/>
  <c r="AD18" i="25"/>
  <c r="AD30" i="25"/>
  <c r="AD31" i="25"/>
  <c r="Z19" i="25"/>
  <c r="Z18" i="25"/>
  <c r="Z30" i="25"/>
  <c r="Z31" i="25"/>
  <c r="AC19" i="25"/>
  <c r="AA19" i="25"/>
  <c r="AA18" i="25"/>
  <c r="AA30" i="25"/>
  <c r="AA31" i="25"/>
  <c r="AB19" i="25"/>
  <c r="AB18" i="25"/>
  <c r="AB30" i="25"/>
  <c r="AB31" i="25"/>
  <c r="Y19" i="25"/>
  <c r="Y18" i="25"/>
  <c r="Y30" i="25"/>
  <c r="Y31" i="25"/>
  <c r="AC51" i="25"/>
  <c r="AD51" i="25"/>
  <c r="AB51" i="25"/>
  <c r="Z51" i="25"/>
  <c r="Y51" i="25"/>
  <c r="AA51" i="25"/>
  <c r="AC18" i="25"/>
  <c r="AC30" i="25"/>
  <c r="AC31" i="25"/>
  <c r="U19" i="25"/>
  <c r="U51" i="25"/>
  <c r="U18" i="25"/>
  <c r="U30" i="25"/>
  <c r="U31" i="25"/>
  <c r="X276" i="14"/>
  <c r="X275" i="14"/>
  <c r="X285" i="14"/>
  <c r="M547" i="19"/>
  <c r="X288" i="14"/>
  <c r="U160" i="14"/>
  <c r="Q297" i="19"/>
  <c r="F448" i="14" s="1"/>
  <c r="Q290" i="19"/>
  <c r="R300" i="19"/>
  <c r="R299" i="19" s="1"/>
  <c r="Q300" i="19"/>
  <c r="F426" i="14"/>
  <c r="Q530" i="19"/>
  <c r="Q531" i="19"/>
  <c r="Q61" i="19"/>
  <c r="F166" i="14"/>
  <c r="G166" i="14"/>
  <c r="Q334" i="19"/>
  <c r="G458" i="14" s="1"/>
  <c r="M84" i="19"/>
  <c r="N612" i="19"/>
  <c r="N611" i="19" s="1"/>
  <c r="P6" i="23"/>
  <c r="M82" i="19"/>
  <c r="T334" i="19"/>
  <c r="J458" i="14" s="1"/>
  <c r="U77" i="25"/>
  <c r="Q396" i="21"/>
  <c r="J402" i="21"/>
  <c r="Q407" i="21"/>
  <c r="J396" i="21"/>
  <c r="K71" i="14"/>
  <c r="J154" i="21"/>
  <c r="T71" i="14"/>
  <c r="K65" i="14"/>
  <c r="J407" i="21"/>
  <c r="T65" i="14"/>
  <c r="X71" i="14"/>
  <c r="W71" i="14"/>
  <c r="K76" i="14"/>
  <c r="AE63" i="14"/>
  <c r="AE62" i="14"/>
  <c r="AE65" i="14"/>
  <c r="AN63" i="14"/>
  <c r="W65" i="14"/>
  <c r="W76" i="14"/>
  <c r="T76" i="14"/>
  <c r="X65" i="14"/>
  <c r="AR63" i="14"/>
  <c r="AO63" i="14"/>
  <c r="K78" i="14"/>
  <c r="AN62" i="14"/>
  <c r="AO62" i="14"/>
  <c r="AL63" i="14"/>
  <c r="AL62" i="14"/>
  <c r="AL65" i="14"/>
  <c r="AM63" i="14"/>
  <c r="AM62" i="14"/>
  <c r="AM65" i="14"/>
  <c r="AQ63" i="14"/>
  <c r="AQ62" i="14"/>
  <c r="AQ65" i="14"/>
  <c r="T78" i="14"/>
  <c r="T84" i="14"/>
  <c r="X84" i="14"/>
  <c r="X76" i="14"/>
  <c r="K84" i="14"/>
  <c r="AR62" i="14"/>
  <c r="AN65" i="14"/>
  <c r="W78" i="14"/>
  <c r="W84" i="14"/>
  <c r="X78" i="14"/>
  <c r="AR65" i="14"/>
  <c r="AO65" i="14"/>
  <c r="K247" i="14"/>
  <c r="K249" i="14"/>
  <c r="O217" i="19"/>
  <c r="D371" i="14" s="1"/>
  <c r="S249" i="19"/>
  <c r="O249" i="19"/>
  <c r="R249" i="19"/>
  <c r="O251" i="19"/>
  <c r="D408" i="14"/>
  <c r="N251" i="19"/>
  <c r="C408" i="14"/>
  <c r="N249" i="19"/>
  <c r="N217" i="19"/>
  <c r="C371" i="14" s="1"/>
  <c r="Q217" i="19"/>
  <c r="F371" i="14" s="1"/>
  <c r="P217" i="19"/>
  <c r="E371" i="14" s="1"/>
  <c r="S251" i="19"/>
  <c r="H408" i="14"/>
  <c r="R251" i="19"/>
  <c r="G408" i="14"/>
  <c r="S265" i="19"/>
  <c r="R265" i="19"/>
  <c r="O265" i="19"/>
  <c r="D428" i="14" s="1"/>
  <c r="N265" i="19"/>
  <c r="C428" i="14" s="1"/>
  <c r="N76" i="19"/>
  <c r="R217" i="19"/>
  <c r="G371" i="14" s="1"/>
  <c r="S217" i="19"/>
  <c r="H371" i="14" s="1"/>
  <c r="T217" i="19"/>
  <c r="I371" i="14" s="1"/>
  <c r="N310" i="19"/>
  <c r="O310" i="19"/>
  <c r="R310" i="19"/>
  <c r="S310" i="19"/>
  <c r="O583" i="19"/>
  <c r="R583" i="19"/>
  <c r="S583" i="19"/>
  <c r="N583" i="19"/>
  <c r="AA217" i="19"/>
  <c r="Z217" i="19"/>
  <c r="Y217" i="19"/>
  <c r="N371" i="14" s="1"/>
  <c r="V217" i="19"/>
  <c r="K371" i="14" s="1"/>
  <c r="R76" i="19"/>
  <c r="M409" i="14"/>
  <c r="O140" i="19"/>
  <c r="C78" i="27" s="1"/>
  <c r="N140" i="19"/>
  <c r="B78" i="27" s="1"/>
  <c r="S140" i="19"/>
  <c r="G78" i="27" s="1"/>
  <c r="T140" i="19"/>
  <c r="H78" i="27" s="1"/>
  <c r="R140" i="19"/>
  <c r="F78" i="27" s="1"/>
  <c r="D409" i="14"/>
  <c r="E409" i="14"/>
  <c r="F409" i="14"/>
  <c r="G409" i="14"/>
  <c r="H409" i="14"/>
  <c r="I409" i="14"/>
  <c r="J409" i="14"/>
  <c r="K409" i="14"/>
  <c r="L409" i="14"/>
  <c r="N409" i="14"/>
  <c r="O409" i="14"/>
  <c r="P409" i="14"/>
  <c r="C409" i="14"/>
  <c r="J438" i="14"/>
  <c r="F455" i="14"/>
  <c r="E455" i="14"/>
  <c r="P438" i="14"/>
  <c r="O438" i="14"/>
  <c r="N438" i="14"/>
  <c r="M438" i="14"/>
  <c r="L438" i="14"/>
  <c r="K438" i="14"/>
  <c r="I438" i="14"/>
  <c r="H438" i="14"/>
  <c r="G438" i="14"/>
  <c r="F438" i="14"/>
  <c r="E438" i="14"/>
  <c r="U382" i="19"/>
  <c r="V382" i="19"/>
  <c r="W382" i="19"/>
  <c r="Y382" i="19"/>
  <c r="Z382" i="19"/>
  <c r="AA382" i="19"/>
  <c r="U327" i="19"/>
  <c r="V327" i="19"/>
  <c r="W327" i="19"/>
  <c r="Y327" i="19"/>
  <c r="Z327" i="19"/>
  <c r="AA327" i="19"/>
  <c r="U171" i="19"/>
  <c r="U271" i="19"/>
  <c r="U257" i="19"/>
  <c r="J418" i="14" s="1"/>
  <c r="V171" i="19"/>
  <c r="V271" i="19"/>
  <c r="V257" i="19"/>
  <c r="K418" i="14" s="1"/>
  <c r="W171" i="19"/>
  <c r="W257" i="19"/>
  <c r="L418" i="14" s="1"/>
  <c r="Y171" i="19"/>
  <c r="Y271" i="19"/>
  <c r="Y257" i="19"/>
  <c r="N418" i="14" s="1"/>
  <c r="Z171" i="19"/>
  <c r="Z271" i="19"/>
  <c r="Z257" i="19"/>
  <c r="O418" i="14" s="1"/>
  <c r="AA171" i="19"/>
  <c r="AA257" i="19"/>
  <c r="V646" i="19"/>
  <c r="U646" i="19"/>
  <c r="Y544" i="19"/>
  <c r="X382" i="19"/>
  <c r="X544" i="19"/>
  <c r="X171" i="19"/>
  <c r="X271" i="19"/>
  <c r="X257" i="19"/>
  <c r="M418" i="14" s="1"/>
  <c r="Z646" i="19"/>
  <c r="M646" i="19" s="1"/>
  <c r="W646" i="19"/>
  <c r="AA646" i="19"/>
  <c r="X492" i="19"/>
  <c r="M190" i="14" s="1"/>
  <c r="Z538" i="19"/>
  <c r="W544" i="19"/>
  <c r="V538" i="19"/>
  <c r="U538" i="19"/>
  <c r="Y538" i="19"/>
  <c r="U544" i="19"/>
  <c r="W538" i="19"/>
  <c r="AA538" i="19"/>
  <c r="Z544" i="19"/>
  <c r="V544" i="19"/>
  <c r="AA544" i="19"/>
  <c r="Y646" i="19"/>
  <c r="W492" i="19"/>
  <c r="L190" i="14" s="1"/>
  <c r="X646" i="19"/>
  <c r="X538" i="19"/>
  <c r="X327" i="19"/>
  <c r="Q544" i="19"/>
  <c r="O544" i="19"/>
  <c r="P544" i="19"/>
  <c r="N544" i="19"/>
  <c r="R544" i="19"/>
  <c r="S544" i="19"/>
  <c r="T544" i="19"/>
  <c r="Q193" i="19"/>
  <c r="P193" i="19"/>
  <c r="C52" i="24"/>
  <c r="N382" i="19"/>
  <c r="O382" i="19"/>
  <c r="P382" i="19"/>
  <c r="Q382" i="19"/>
  <c r="R382" i="19"/>
  <c r="S382" i="19"/>
  <c r="T382" i="19"/>
  <c r="S538" i="19"/>
  <c r="H367" i="14"/>
  <c r="I367" i="14"/>
  <c r="T327" i="19"/>
  <c r="S327" i="19"/>
  <c r="R327" i="19"/>
  <c r="Q327" i="19"/>
  <c r="O327" i="19"/>
  <c r="N327" i="19"/>
  <c r="C438" i="14"/>
  <c r="T538" i="19"/>
  <c r="R538" i="19"/>
  <c r="Q538" i="19"/>
  <c r="P538" i="19"/>
  <c r="O538" i="19"/>
  <c r="N538" i="19"/>
  <c r="W134" i="19"/>
  <c r="W148" i="19"/>
  <c r="V134" i="19"/>
  <c r="V148" i="19"/>
  <c r="J63" i="27" s="1"/>
  <c r="N171" i="19"/>
  <c r="N271" i="19"/>
  <c r="C431" i="14" s="1"/>
  <c r="N257" i="19"/>
  <c r="C418" i="14" s="1"/>
  <c r="D438" i="14"/>
  <c r="O171" i="19"/>
  <c r="O257" i="19"/>
  <c r="D418" i="14" s="1"/>
  <c r="P171" i="19"/>
  <c r="P271" i="19"/>
  <c r="P257" i="19"/>
  <c r="E418" i="14" s="1"/>
  <c r="R171" i="19"/>
  <c r="R271" i="19"/>
  <c r="R257" i="19"/>
  <c r="G418" i="14" s="1"/>
  <c r="S171" i="19"/>
  <c r="S257" i="19"/>
  <c r="H418" i="14" s="1"/>
  <c r="T171" i="19"/>
  <c r="T271" i="19"/>
  <c r="T257" i="19"/>
  <c r="I418" i="14" s="1"/>
  <c r="Q171" i="19"/>
  <c r="Q271" i="19"/>
  <c r="Q257" i="19"/>
  <c r="F418" i="14" s="1"/>
  <c r="C367" i="14"/>
  <c r="D367" i="14"/>
  <c r="S134" i="19"/>
  <c r="S148" i="19"/>
  <c r="G63" i="27" s="1"/>
  <c r="U134" i="19"/>
  <c r="U148" i="19"/>
  <c r="I63" i="27" s="1"/>
  <c r="X134" i="19"/>
  <c r="X148" i="19"/>
  <c r="L63" i="27" s="1"/>
  <c r="T134" i="19"/>
  <c r="T148" i="19"/>
  <c r="H63" i="27" s="1"/>
  <c r="O646" i="19"/>
  <c r="N646" i="19"/>
  <c r="N366" i="19"/>
  <c r="N573" i="19"/>
  <c r="N134" i="19"/>
  <c r="N148" i="19"/>
  <c r="B63" i="27" s="1"/>
  <c r="O134" i="19"/>
  <c r="O148" i="19"/>
  <c r="C63" i="27" s="1"/>
  <c r="O366" i="19"/>
  <c r="O573" i="19"/>
  <c r="O572" i="19" s="1"/>
  <c r="O349" i="19"/>
  <c r="O62" i="19"/>
  <c r="N62" i="19"/>
  <c r="N349" i="19"/>
  <c r="N607" i="19"/>
  <c r="N109" i="19"/>
  <c r="O607" i="19"/>
  <c r="D516" i="14" s="1"/>
  <c r="O109" i="19"/>
  <c r="P646" i="19"/>
  <c r="S646" i="19"/>
  <c r="Q646" i="19"/>
  <c r="R646" i="19"/>
  <c r="Y109" i="19"/>
  <c r="Y607" i="19"/>
  <c r="N516" i="14" s="1"/>
  <c r="X109" i="19"/>
  <c r="X607" i="19"/>
  <c r="M516" i="14" s="1"/>
  <c r="U109" i="19"/>
  <c r="U607" i="19"/>
  <c r="W109" i="19"/>
  <c r="W607" i="19"/>
  <c r="L516" i="14" s="1"/>
  <c r="V109" i="19"/>
  <c r="V607" i="19"/>
  <c r="K516" i="14" s="1"/>
  <c r="AA109" i="19"/>
  <c r="AA607" i="19"/>
  <c r="Z109" i="19"/>
  <c r="Z607" i="19"/>
  <c r="T109" i="19"/>
  <c r="T607" i="19"/>
  <c r="S109" i="19"/>
  <c r="S607" i="19"/>
  <c r="H516" i="14" s="1"/>
  <c r="Z368" i="19"/>
  <c r="Z210" i="19"/>
  <c r="Y368" i="19"/>
  <c r="Y210" i="19"/>
  <c r="V368" i="19"/>
  <c r="V210" i="19"/>
  <c r="U368" i="19"/>
  <c r="U210" i="19"/>
  <c r="W368" i="19"/>
  <c r="W210" i="19"/>
  <c r="AA368" i="19"/>
  <c r="AA210" i="19"/>
  <c r="Z134" i="19"/>
  <c r="Z148" i="19"/>
  <c r="N63" i="27" s="1"/>
  <c r="Y134" i="19"/>
  <c r="M134" i="19" s="1"/>
  <c r="Y148" i="19"/>
  <c r="M63" i="27" s="1"/>
  <c r="G367" i="14"/>
  <c r="T646" i="19"/>
  <c r="C58" i="24"/>
  <c r="T368" i="19"/>
  <c r="T210" i="19"/>
  <c r="R134" i="19"/>
  <c r="R148" i="19"/>
  <c r="F63" i="27" s="1"/>
  <c r="Q134" i="19"/>
  <c r="Q148" i="19"/>
  <c r="E63" i="27" s="1"/>
  <c r="P134" i="19"/>
  <c r="P148" i="19"/>
  <c r="D63" i="27" s="1"/>
  <c r="P349" i="19"/>
  <c r="P62" i="19"/>
  <c r="Q349" i="19"/>
  <c r="Q62" i="19"/>
  <c r="AA140" i="19"/>
  <c r="Z140" i="19"/>
  <c r="N78" i="27" s="1"/>
  <c r="Y140" i="19"/>
  <c r="M78" i="27" s="1"/>
  <c r="N563" i="19"/>
  <c r="N105" i="19"/>
  <c r="W140" i="19"/>
  <c r="K78" i="27" s="1"/>
  <c r="V140" i="19"/>
  <c r="J78" i="27" s="1"/>
  <c r="U140" i="19"/>
  <c r="I78" i="27" s="1"/>
  <c r="Q140" i="19"/>
  <c r="E78" i="27" s="1"/>
  <c r="P607" i="19"/>
  <c r="P109" i="19"/>
  <c r="T366" i="19"/>
  <c r="T573" i="19"/>
  <c r="T572" i="19" s="1"/>
  <c r="N368" i="19"/>
  <c r="N210" i="19"/>
  <c r="P140" i="19"/>
  <c r="D78" i="27" s="1"/>
  <c r="Q563" i="19"/>
  <c r="Q105" i="19"/>
  <c r="W563" i="19"/>
  <c r="W105" i="19"/>
  <c r="W104" i="19" s="1"/>
  <c r="X368" i="19"/>
  <c r="X210" i="19"/>
  <c r="X140" i="19"/>
  <c r="L78" i="27" s="1"/>
  <c r="R563" i="19"/>
  <c r="R105" i="19"/>
  <c r="Q368" i="19"/>
  <c r="Q210" i="19"/>
  <c r="S368" i="19"/>
  <c r="S210" i="19"/>
  <c r="O368" i="19"/>
  <c r="O210" i="19"/>
  <c r="R368" i="19"/>
  <c r="R210" i="19"/>
  <c r="U563" i="19"/>
  <c r="U105" i="19"/>
  <c r="U104" i="19" s="1"/>
  <c r="O563" i="19"/>
  <c r="S366" i="19"/>
  <c r="S573" i="19"/>
  <c r="S572" i="19" s="1"/>
  <c r="S563" i="19"/>
  <c r="S105" i="19"/>
  <c r="S104" i="19" s="1"/>
  <c r="P327" i="19"/>
  <c r="AA148" i="19"/>
  <c r="O63" i="27" s="1"/>
  <c r="AA134" i="19"/>
  <c r="R366" i="19"/>
  <c r="R573" i="19"/>
  <c r="Q109" i="19"/>
  <c r="Q607" i="19"/>
  <c r="F516" i="14" s="1"/>
  <c r="R109" i="19"/>
  <c r="R607" i="19"/>
  <c r="G516" i="14" s="1"/>
  <c r="T563" i="19"/>
  <c r="T105" i="19"/>
  <c r="T104" i="19" s="1"/>
  <c r="P368" i="19"/>
  <c r="P210" i="19"/>
  <c r="X563" i="19"/>
  <c r="X105" i="19"/>
  <c r="X104" i="19" s="1"/>
  <c r="V563" i="19"/>
  <c r="V105" i="19"/>
  <c r="V104" i="19" s="1"/>
  <c r="P563" i="19"/>
  <c r="D380" i="14"/>
  <c r="F380" i="14"/>
  <c r="N531" i="19"/>
  <c r="N61" i="19"/>
  <c r="J380" i="14"/>
  <c r="K380" i="14"/>
  <c r="W490" i="19"/>
  <c r="L169" i="14" s="1"/>
  <c r="X490" i="19"/>
  <c r="M169" i="14" s="1"/>
  <c r="D455" i="14"/>
  <c r="N530" i="19"/>
  <c r="O530" i="19"/>
  <c r="S530" i="19"/>
  <c r="Y101" i="19"/>
  <c r="H455" i="14"/>
  <c r="I455" i="14"/>
  <c r="G455" i="14"/>
  <c r="W101" i="19"/>
  <c r="J455" i="14"/>
  <c r="K455" i="14"/>
  <c r="U531" i="19"/>
  <c r="U61" i="19"/>
  <c r="N101" i="19"/>
  <c r="T531" i="19"/>
  <c r="D57" i="24" s="1"/>
  <c r="O531" i="19"/>
  <c r="O61" i="19"/>
  <c r="S63" i="19"/>
  <c r="P531" i="19"/>
  <c r="P61" i="19"/>
  <c r="E249" i="14"/>
  <c r="D249" i="14"/>
  <c r="I249" i="14"/>
  <c r="F249" i="14"/>
  <c r="C249" i="14"/>
  <c r="O466" i="14"/>
  <c r="N466" i="14"/>
  <c r="T61" i="19"/>
  <c r="B20" i="11"/>
  <c r="V63" i="19"/>
  <c r="U63" i="19"/>
  <c r="W63" i="19"/>
  <c r="V101" i="19"/>
  <c r="U101" i="19"/>
  <c r="T63" i="19"/>
  <c r="D50" i="24" s="1"/>
  <c r="C466" i="14"/>
  <c r="F466" i="14"/>
  <c r="G466" i="14"/>
  <c r="D466" i="14"/>
  <c r="E466" i="14"/>
  <c r="H466" i="14"/>
  <c r="B19" i="11"/>
  <c r="B18" i="11"/>
  <c r="J466" i="14"/>
  <c r="K466" i="14"/>
  <c r="L466" i="14"/>
  <c r="I466" i="14"/>
  <c r="AA101" i="19"/>
  <c r="Z101" i="19"/>
  <c r="T101" i="19"/>
  <c r="S101" i="19"/>
  <c r="R101" i="19"/>
  <c r="Q101" i="19"/>
  <c r="P101" i="19"/>
  <c r="F14" i="24"/>
  <c r="E139" i="14" s="1"/>
  <c r="S375" i="19"/>
  <c r="J14" i="24"/>
  <c r="I139" i="14" s="1"/>
  <c r="G14" i="24"/>
  <c r="F139" i="14" s="1"/>
  <c r="AA375" i="19"/>
  <c r="Q14" i="24"/>
  <c r="P139" i="14" s="1"/>
  <c r="P14" i="24"/>
  <c r="O139" i="14" s="1"/>
  <c r="T375" i="19"/>
  <c r="U375" i="19"/>
  <c r="I14" i="24"/>
  <c r="H139" i="14" s="1"/>
  <c r="K14" i="24"/>
  <c r="J139" i="14" s="1"/>
  <c r="E14" i="24"/>
  <c r="D139" i="14" s="1"/>
  <c r="H14" i="24"/>
  <c r="G139" i="14" s="1"/>
  <c r="O14" i="24"/>
  <c r="O710" i="19"/>
  <c r="Y179" i="22"/>
  <c r="Y29" i="22"/>
  <c r="Y25" i="22" s="1"/>
  <c r="N114" i="14"/>
  <c r="N28" i="14" s="1"/>
  <c r="M188" i="22"/>
  <c r="M35" i="27"/>
  <c r="N247" i="14"/>
  <c r="M41" i="19"/>
  <c r="T247" i="14" s="1"/>
  <c r="M42" i="19"/>
  <c r="T248" i="14" s="1"/>
  <c r="X248" i="14" s="1"/>
  <c r="N248" i="14"/>
  <c r="Y40" i="19"/>
  <c r="V531" i="19"/>
  <c r="V61" i="19"/>
  <c r="O93" i="24"/>
  <c r="N210" i="14" s="1"/>
  <c r="M93" i="24"/>
  <c r="L210" i="14" s="1"/>
  <c r="N93" i="24"/>
  <c r="M210" i="14" s="1"/>
  <c r="M525" i="14"/>
  <c r="L525" i="14"/>
  <c r="L93" i="24"/>
  <c r="K210" i="14" s="1"/>
  <c r="K525" i="14"/>
  <c r="N525" i="14"/>
  <c r="X622" i="19"/>
  <c r="Y622" i="19"/>
  <c r="W622" i="19"/>
  <c r="M625" i="19"/>
  <c r="Q525" i="14" s="1"/>
  <c r="V622" i="19"/>
  <c r="M90" i="22"/>
  <c r="Z37" i="22"/>
  <c r="Z83" i="22"/>
  <c r="L12" i="11" l="1"/>
  <c r="AT66" i="10"/>
  <c r="AT15" i="10"/>
  <c r="B95" i="10"/>
  <c r="B51" i="10"/>
  <c r="B64" i="10"/>
  <c r="B72" i="10"/>
  <c r="Q30" i="10"/>
  <c r="P10" i="10"/>
  <c r="P82" i="10"/>
  <c r="B49" i="10"/>
  <c r="B39" i="10"/>
  <c r="L38" i="11"/>
  <c r="L17" i="11"/>
  <c r="L45" i="11"/>
  <c r="B80" i="10"/>
  <c r="B61" i="10"/>
  <c r="B33" i="10"/>
  <c r="B85" i="10"/>
  <c r="B22" i="10"/>
  <c r="B28" i="10"/>
  <c r="B29" i="10"/>
  <c r="L75" i="11"/>
  <c r="L37" i="11"/>
  <c r="L71" i="11"/>
  <c r="G86" i="11"/>
  <c r="C66" i="11"/>
  <c r="Y99" i="10"/>
  <c r="F21" i="43"/>
  <c r="F22" i="43"/>
  <c r="F24" i="43"/>
  <c r="A67" i="43"/>
  <c r="AB218" i="22"/>
  <c r="AB324" i="22"/>
  <c r="V217" i="22"/>
  <c r="A41" i="43"/>
  <c r="A42" i="43"/>
  <c r="A69" i="43"/>
  <c r="E34" i="43"/>
  <c r="A46" i="43"/>
  <c r="A70" i="43"/>
  <c r="A64" i="43"/>
  <c r="A65" i="43"/>
  <c r="E35" i="43"/>
  <c r="A43" i="43"/>
  <c r="E59" i="43"/>
  <c r="A44" i="43"/>
  <c r="E60" i="43"/>
  <c r="E3" i="43"/>
  <c r="E33" i="43"/>
  <c r="M361" i="22"/>
  <c r="M150" i="24" s="1"/>
  <c r="Y359" i="22"/>
  <c r="S42" i="14"/>
  <c r="Q33" i="14"/>
  <c r="Q44" i="14" s="1"/>
  <c r="Q46" i="14" s="1"/>
  <c r="Q51" i="14" s="1"/>
  <c r="U13" i="22"/>
  <c r="W164" i="22"/>
  <c r="AB271" i="22"/>
  <c r="E13" i="42" s="1"/>
  <c r="Y13" i="22"/>
  <c r="Z359" i="22"/>
  <c r="M165" i="22"/>
  <c r="W111" i="24" s="1"/>
  <c r="Z216" i="22"/>
  <c r="AA13" i="22"/>
  <c r="M93" i="22"/>
  <c r="I149" i="24" s="1"/>
  <c r="AB59" i="22"/>
  <c r="E4" i="42" s="1"/>
  <c r="M366" i="22"/>
  <c r="W216" i="22"/>
  <c r="N240" i="14"/>
  <c r="AB165" i="22"/>
  <c r="E5" i="42" s="1"/>
  <c r="P270" i="22"/>
  <c r="Q9" i="22"/>
  <c r="Q8" i="22" s="1"/>
  <c r="W13" i="22"/>
  <c r="Z13" i="22"/>
  <c r="E10" i="42"/>
  <c r="M59" i="22"/>
  <c r="Q111" i="24" s="1"/>
  <c r="E18" i="42"/>
  <c r="F18" i="42" s="1"/>
  <c r="G9" i="43"/>
  <c r="E33" i="42"/>
  <c r="G10" i="43"/>
  <c r="E23" i="42"/>
  <c r="G6" i="43"/>
  <c r="G12" i="43"/>
  <c r="M81" i="22"/>
  <c r="E11" i="42"/>
  <c r="E12" i="42"/>
  <c r="E8" i="42"/>
  <c r="G7" i="43"/>
  <c r="G13" i="43"/>
  <c r="G11" i="43"/>
  <c r="E29" i="42"/>
  <c r="F29" i="42" s="1"/>
  <c r="E6" i="42"/>
  <c r="G5" i="43"/>
  <c r="E7" i="42"/>
  <c r="E9" i="42"/>
  <c r="E17" i="42"/>
  <c r="G8" i="43"/>
  <c r="E30" i="43"/>
  <c r="A68" i="43"/>
  <c r="A45" i="43"/>
  <c r="E32" i="43"/>
  <c r="E37" i="43"/>
  <c r="E39" i="43"/>
  <c r="E54" i="43"/>
  <c r="E66" i="43"/>
  <c r="E56" i="43"/>
  <c r="E57" i="43"/>
  <c r="E63" i="43"/>
  <c r="E58" i="43"/>
  <c r="G6" i="24"/>
  <c r="F123" i="24"/>
  <c r="P486" i="14"/>
  <c r="J6" i="24"/>
  <c r="P407" i="14"/>
  <c r="M585" i="19"/>
  <c r="M168" i="19"/>
  <c r="P32" i="24"/>
  <c r="O147" i="14" s="1"/>
  <c r="L437" i="14"/>
  <c r="X40" i="19"/>
  <c r="AB543" i="19"/>
  <c r="AB537" i="19"/>
  <c r="M75" i="19"/>
  <c r="E128" i="24"/>
  <c r="W310" i="19"/>
  <c r="K30" i="24"/>
  <c r="J145" i="14" s="1"/>
  <c r="O33" i="19"/>
  <c r="D236" i="14" s="1"/>
  <c r="H32" i="24"/>
  <c r="G147" i="14" s="1"/>
  <c r="K248" i="14"/>
  <c r="K32" i="24"/>
  <c r="J147" i="14" s="1"/>
  <c r="N492" i="14"/>
  <c r="Y30" i="19"/>
  <c r="AB390" i="19"/>
  <c r="P73" i="24"/>
  <c r="O200" i="14" s="1"/>
  <c r="AA271" i="19"/>
  <c r="P33" i="19"/>
  <c r="H6" i="24"/>
  <c r="P83" i="24"/>
  <c r="M348" i="19"/>
  <c r="R123" i="24" s="1"/>
  <c r="R122" i="24" s="1"/>
  <c r="H112" i="24"/>
  <c r="H137" i="24" s="1"/>
  <c r="D386" i="14"/>
  <c r="J77" i="27"/>
  <c r="C427" i="14"/>
  <c r="A55" i="43"/>
  <c r="A31" i="43"/>
  <c r="A36" i="43"/>
  <c r="A61" i="43"/>
  <c r="S17" i="19"/>
  <c r="K533" i="14"/>
  <c r="P359" i="14"/>
  <c r="L487" i="14"/>
  <c r="L504" i="14" s="1"/>
  <c r="AB686" i="19"/>
  <c r="Q501" i="14"/>
  <c r="V25" i="19"/>
  <c r="AB641" i="19"/>
  <c r="X610" i="19"/>
  <c r="M537" i="19"/>
  <c r="M582" i="19"/>
  <c r="V583" i="19"/>
  <c r="L90" i="24" s="1"/>
  <c r="Y23" i="19"/>
  <c r="Z21" i="19" s="1"/>
  <c r="M114" i="19"/>
  <c r="H65" i="24"/>
  <c r="H30" i="24"/>
  <c r="G145" i="14" s="1"/>
  <c r="O83" i="24"/>
  <c r="L91" i="24"/>
  <c r="K209" i="14" s="1"/>
  <c r="AC52" i="19"/>
  <c r="M78" i="19"/>
  <c r="O144" i="19"/>
  <c r="O143" i="19" s="1"/>
  <c r="O82" i="24"/>
  <c r="O486" i="14"/>
  <c r="O503" i="14" s="1"/>
  <c r="Z33" i="19"/>
  <c r="Z31" i="19" s="1"/>
  <c r="F32" i="24"/>
  <c r="E147" i="14" s="1"/>
  <c r="E146" i="14" s="1"/>
  <c r="O494" i="19"/>
  <c r="S64" i="19"/>
  <c r="E350" i="14"/>
  <c r="E348" i="14" s="1"/>
  <c r="S33" i="19"/>
  <c r="H236" i="14" s="1"/>
  <c r="Y534" i="19"/>
  <c r="Y533" i="19" s="1"/>
  <c r="O271" i="19"/>
  <c r="J405" i="14"/>
  <c r="M129" i="19"/>
  <c r="U33" i="19"/>
  <c r="J236" i="14" s="1"/>
  <c r="AB527" i="19"/>
  <c r="P54" i="19"/>
  <c r="F9" i="24" s="1"/>
  <c r="M207" i="19"/>
  <c r="C6" i="24" s="1"/>
  <c r="M466" i="14"/>
  <c r="M660" i="19"/>
  <c r="T124" i="24" s="1"/>
  <c r="Y611" i="19"/>
  <c r="Y610" i="19" s="1"/>
  <c r="Y631" i="19" s="1"/>
  <c r="T454" i="19"/>
  <c r="T475" i="19" s="1"/>
  <c r="AB231" i="19"/>
  <c r="O222" i="19"/>
  <c r="O221" i="19" s="1"/>
  <c r="D373" i="14" s="1"/>
  <c r="P463" i="14"/>
  <c r="N30" i="24"/>
  <c r="M145" i="14" s="1"/>
  <c r="M390" i="19"/>
  <c r="Z611" i="19"/>
  <c r="Z610" i="19" s="1"/>
  <c r="O76" i="19"/>
  <c r="D350" i="14"/>
  <c r="D348" i="14" s="1"/>
  <c r="O30" i="19"/>
  <c r="P7" i="19"/>
  <c r="J347" i="14"/>
  <c r="P521" i="14"/>
  <c r="AB348" i="19"/>
  <c r="D32" i="24"/>
  <c r="C147" i="14" s="1"/>
  <c r="G65" i="11"/>
  <c r="L97" i="27"/>
  <c r="R454" i="19"/>
  <c r="Q346" i="14"/>
  <c r="F415" i="14"/>
  <c r="F359" i="14"/>
  <c r="T64" i="19"/>
  <c r="T85" i="19" s="1"/>
  <c r="AC7" i="19"/>
  <c r="D8" i="42"/>
  <c r="F99" i="27"/>
  <c r="J100" i="27"/>
  <c r="K474" i="14"/>
  <c r="F100" i="27"/>
  <c r="D5" i="42"/>
  <c r="D11" i="42"/>
  <c r="E345" i="14"/>
  <c r="U17" i="19"/>
  <c r="D6" i="42"/>
  <c r="D12" i="42"/>
  <c r="W64" i="19"/>
  <c r="D35" i="42"/>
  <c r="S259" i="19"/>
  <c r="S280" i="19" s="1"/>
  <c r="D7" i="42"/>
  <c r="D13" i="42"/>
  <c r="AB378" i="19"/>
  <c r="P64" i="19"/>
  <c r="D96" i="27"/>
  <c r="D9" i="42"/>
  <c r="AB173" i="19"/>
  <c r="P25" i="19"/>
  <c r="H95" i="27"/>
  <c r="D10" i="42"/>
  <c r="A28" i="42"/>
  <c r="E28" i="42" s="1"/>
  <c r="A21" i="42"/>
  <c r="E21" i="42" s="1"/>
  <c r="A22" i="42"/>
  <c r="E22" i="42" s="1"/>
  <c r="A32" i="42"/>
  <c r="E32" i="42" s="1"/>
  <c r="D24" i="42"/>
  <c r="A16" i="42"/>
  <c r="A34" i="42"/>
  <c r="E34" i="42" s="1"/>
  <c r="A30" i="42"/>
  <c r="A31" i="42"/>
  <c r="A35" i="42"/>
  <c r="A19" i="42"/>
  <c r="K238" i="14"/>
  <c r="L240" i="14"/>
  <c r="E149" i="24"/>
  <c r="G149" i="24"/>
  <c r="U216" i="22"/>
  <c r="J30" i="27"/>
  <c r="J86" i="27" s="1"/>
  <c r="J84" i="27" s="1"/>
  <c r="Y164" i="22"/>
  <c r="Y216" i="22"/>
  <c r="G111" i="24"/>
  <c r="G107" i="24" s="1"/>
  <c r="AA164" i="22"/>
  <c r="AA216" i="22"/>
  <c r="AA217" i="22"/>
  <c r="W9" i="22"/>
  <c r="L106" i="14" s="1"/>
  <c r="L20" i="14" s="1"/>
  <c r="Z127" i="22"/>
  <c r="Z156" i="22" s="1"/>
  <c r="G240" i="14"/>
  <c r="U180" i="22"/>
  <c r="U209" i="22" s="1"/>
  <c r="P14" i="22"/>
  <c r="E109" i="14" s="1"/>
  <c r="E108" i="14" s="1"/>
  <c r="R42" i="14"/>
  <c r="U74" i="22"/>
  <c r="U103" i="22" s="1"/>
  <c r="M238" i="14"/>
  <c r="N286" i="22"/>
  <c r="N315" i="22" s="1"/>
  <c r="U231" i="22"/>
  <c r="B40" i="27"/>
  <c r="N8" i="22"/>
  <c r="O14" i="22"/>
  <c r="D109" i="14" s="1"/>
  <c r="D228" i="14" s="1"/>
  <c r="Q339" i="22"/>
  <c r="Q368" i="22" s="1"/>
  <c r="T339" i="22"/>
  <c r="T368" i="22" s="1"/>
  <c r="Q14" i="22"/>
  <c r="F109" i="14" s="1"/>
  <c r="F108" i="14" s="1"/>
  <c r="V23" i="22"/>
  <c r="K130" i="14" s="1"/>
  <c r="O181" i="22"/>
  <c r="O180" i="22" s="1"/>
  <c r="O209" i="22" s="1"/>
  <c r="R122" i="14"/>
  <c r="P18" i="22"/>
  <c r="L150" i="24"/>
  <c r="Z25" i="22"/>
  <c r="N233" i="22"/>
  <c r="N262" i="22" s="1"/>
  <c r="N14" i="22"/>
  <c r="C109" i="14" s="1"/>
  <c r="C108" i="14" s="1"/>
  <c r="I236" i="14"/>
  <c r="G50" i="27"/>
  <c r="K33" i="27"/>
  <c r="K32" i="27" s="1"/>
  <c r="D114" i="14"/>
  <c r="D28" i="14" s="1"/>
  <c r="P114" i="14"/>
  <c r="R114" i="14" s="1"/>
  <c r="C33" i="27"/>
  <c r="C90" i="27" s="1"/>
  <c r="R41" i="14"/>
  <c r="AA181" i="22"/>
  <c r="AA180" i="22" s="1"/>
  <c r="M240" i="14"/>
  <c r="L238" i="14"/>
  <c r="C236" i="14"/>
  <c r="K23" i="14"/>
  <c r="O22" i="14"/>
  <c r="J240" i="14"/>
  <c r="J239" i="14"/>
  <c r="S286" i="22"/>
  <c r="S315" i="22" s="1"/>
  <c r="E33" i="27"/>
  <c r="E32" i="27" s="1"/>
  <c r="F49" i="14"/>
  <c r="M22" i="14"/>
  <c r="Y21" i="22"/>
  <c r="N128" i="14" s="1"/>
  <c r="Z180" i="22"/>
  <c r="Z209" i="22" s="1"/>
  <c r="I136" i="24"/>
  <c r="I132" i="24" s="1"/>
  <c r="O286" i="22"/>
  <c r="O315" i="22" s="1"/>
  <c r="Q266" i="22"/>
  <c r="Q269" i="22" s="1"/>
  <c r="H22" i="14"/>
  <c r="T131" i="24"/>
  <c r="M114" i="14"/>
  <c r="M28" i="14" s="1"/>
  <c r="V14" i="22"/>
  <c r="V22" i="22" s="1"/>
  <c r="O231" i="22"/>
  <c r="Q322" i="22"/>
  <c r="AA14" i="22"/>
  <c r="AA22" i="22" s="1"/>
  <c r="AA233" i="22"/>
  <c r="G121" i="24" s="1"/>
  <c r="F84" i="27"/>
  <c r="D88" i="27"/>
  <c r="D101" i="27"/>
  <c r="E100" i="27"/>
  <c r="I94" i="27"/>
  <c r="G97" i="27"/>
  <c r="P162" i="22"/>
  <c r="Q56" i="22"/>
  <c r="T231" i="22"/>
  <c r="N178" i="22"/>
  <c r="V131" i="24"/>
  <c r="V127" i="24" s="1"/>
  <c r="Y180" i="22"/>
  <c r="Y209" i="22" s="1"/>
  <c r="J114" i="14"/>
  <c r="J28" i="14" s="1"/>
  <c r="S28" i="14" s="1"/>
  <c r="N180" i="22"/>
  <c r="N209" i="22" s="1"/>
  <c r="Q57" i="22"/>
  <c r="F110" i="14"/>
  <c r="R120" i="14"/>
  <c r="L33" i="27"/>
  <c r="L32" i="27" s="1"/>
  <c r="S21" i="14"/>
  <c r="AM21" i="14" s="1"/>
  <c r="AE21" i="14"/>
  <c r="M179" i="22"/>
  <c r="L50" i="27"/>
  <c r="L91" i="27"/>
  <c r="O7" i="22"/>
  <c r="N231" i="22"/>
  <c r="T30" i="22"/>
  <c r="I116" i="14" s="1"/>
  <c r="I30" i="14" s="1"/>
  <c r="I29" i="14" s="1"/>
  <c r="R40" i="14"/>
  <c r="C50" i="27"/>
  <c r="Z286" i="22"/>
  <c r="Z315" i="22" s="1"/>
  <c r="AA28" i="22"/>
  <c r="P113" i="14" s="1"/>
  <c r="O242" i="14"/>
  <c r="K243" i="14"/>
  <c r="K241" i="14"/>
  <c r="K239" i="14"/>
  <c r="J238" i="14"/>
  <c r="C93" i="27"/>
  <c r="C49" i="14"/>
  <c r="Q23" i="22"/>
  <c r="F130" i="14" s="1"/>
  <c r="G136" i="24"/>
  <c r="W131" i="24"/>
  <c r="U339" i="22"/>
  <c r="U368" i="22" s="1"/>
  <c r="M241" i="14"/>
  <c r="L243" i="14"/>
  <c r="L239" i="14"/>
  <c r="N28" i="22"/>
  <c r="C113" i="14" s="1"/>
  <c r="C27" i="14" s="1"/>
  <c r="F48" i="14"/>
  <c r="N7" i="22"/>
  <c r="M119" i="14"/>
  <c r="M33" i="14" s="1"/>
  <c r="Y11" i="22"/>
  <c r="Z72" i="22"/>
  <c r="E99" i="27"/>
  <c r="G95" i="27"/>
  <c r="K236" i="14"/>
  <c r="O243" i="14"/>
  <c r="J243" i="14"/>
  <c r="J242" i="14"/>
  <c r="I238" i="14"/>
  <c r="B150" i="24"/>
  <c r="M197" i="22"/>
  <c r="F40" i="27"/>
  <c r="K50" i="27"/>
  <c r="S23" i="22"/>
  <c r="H130" i="14" s="1"/>
  <c r="N243" i="14"/>
  <c r="H91" i="27"/>
  <c r="O240" i="14"/>
  <c r="F114" i="14"/>
  <c r="F28" i="14" s="1"/>
  <c r="J254" i="14"/>
  <c r="L241" i="14"/>
  <c r="T337" i="22"/>
  <c r="J40" i="27"/>
  <c r="Y14" i="22"/>
  <c r="N109" i="14" s="1"/>
  <c r="Z30" i="22"/>
  <c r="O116" i="14" s="1"/>
  <c r="O30" i="14" s="1"/>
  <c r="O29" i="14" s="1"/>
  <c r="W41" i="22"/>
  <c r="AA11" i="22"/>
  <c r="O33" i="27"/>
  <c r="O90" i="27" s="1"/>
  <c r="Z231" i="22"/>
  <c r="X76" i="22"/>
  <c r="X75" i="22" s="1"/>
  <c r="D99" i="27"/>
  <c r="F95" i="27"/>
  <c r="Q231" i="22"/>
  <c r="M37" i="22"/>
  <c r="P43" i="27"/>
  <c r="E50" i="14"/>
  <c r="AA337" i="22"/>
  <c r="G101" i="27"/>
  <c r="K94" i="27"/>
  <c r="F136" i="24"/>
  <c r="M243" i="14"/>
  <c r="G91" i="27"/>
  <c r="R8" i="22"/>
  <c r="T286" i="22"/>
  <c r="T315" i="22" s="1"/>
  <c r="T74" i="22"/>
  <c r="T103" i="22" s="1"/>
  <c r="R337" i="22"/>
  <c r="U233" i="22"/>
  <c r="U262" i="22" s="1"/>
  <c r="H119" i="14"/>
  <c r="H33" i="14" s="1"/>
  <c r="H41" i="14"/>
  <c r="X284" i="22"/>
  <c r="X286" i="22"/>
  <c r="X315" i="22" s="1"/>
  <c r="X340" i="22"/>
  <c r="X339" i="22" s="1"/>
  <c r="X368" i="22" s="1"/>
  <c r="X337" i="22"/>
  <c r="Y337" i="22"/>
  <c r="Y340" i="22"/>
  <c r="Y339" i="22" s="1"/>
  <c r="G119" i="14"/>
  <c r="G33" i="14" s="1"/>
  <c r="G34" i="14"/>
  <c r="C114" i="14"/>
  <c r="C28" i="14" s="1"/>
  <c r="V41" i="22"/>
  <c r="Z11" i="22"/>
  <c r="M39" i="22"/>
  <c r="T118" i="14" s="1"/>
  <c r="K240" i="14"/>
  <c r="F91" i="27"/>
  <c r="U337" i="22"/>
  <c r="H50" i="27"/>
  <c r="X41" i="22"/>
  <c r="X231" i="22"/>
  <c r="I22" i="14"/>
  <c r="M200" i="22"/>
  <c r="J151" i="24" s="1"/>
  <c r="V339" i="22"/>
  <c r="V368" i="22" s="1"/>
  <c r="Z75" i="22"/>
  <c r="Z74" i="22" s="1"/>
  <c r="Z103" i="22" s="1"/>
  <c r="M338" i="22"/>
  <c r="W339" i="22"/>
  <c r="W368" i="22" s="1"/>
  <c r="M356" i="22"/>
  <c r="W337" i="22"/>
  <c r="Z110" i="22"/>
  <c r="N239" i="14"/>
  <c r="P35" i="27"/>
  <c r="C106" i="14"/>
  <c r="C20" i="14" s="1"/>
  <c r="G21" i="14"/>
  <c r="G49" i="14" s="1"/>
  <c r="E22" i="14"/>
  <c r="E48" i="14" s="1"/>
  <c r="M232" i="22"/>
  <c r="M348" i="22"/>
  <c r="J22" i="14"/>
  <c r="J48" i="14" s="1"/>
  <c r="U30" i="22"/>
  <c r="J116" i="14" s="1"/>
  <c r="J115" i="14" s="1"/>
  <c r="P45" i="27"/>
  <c r="K114" i="14"/>
  <c r="K28" i="14" s="1"/>
  <c r="Y41" i="22"/>
  <c r="M242" i="14"/>
  <c r="M239" i="14"/>
  <c r="F151" i="24"/>
  <c r="B151" i="24" s="1"/>
  <c r="B94" i="27"/>
  <c r="B93" i="27" s="1"/>
  <c r="Q28" i="22"/>
  <c r="F113" i="14" s="1"/>
  <c r="C40" i="27"/>
  <c r="Z28" i="22"/>
  <c r="P21" i="22"/>
  <c r="E128" i="14" s="1"/>
  <c r="Q178" i="22"/>
  <c r="M346" i="22"/>
  <c r="N242" i="14"/>
  <c r="W181" i="22"/>
  <c r="W180" i="22" s="1"/>
  <c r="W209" i="22" s="1"/>
  <c r="Y286" i="22"/>
  <c r="Y315" i="22" s="1"/>
  <c r="H84" i="27"/>
  <c r="G100" i="27"/>
  <c r="M96" i="27"/>
  <c r="E95" i="27"/>
  <c r="I97" i="27"/>
  <c r="Q21" i="22"/>
  <c r="F128" i="14" s="1"/>
  <c r="G110" i="14"/>
  <c r="S74" i="22"/>
  <c r="S103" i="22" s="1"/>
  <c r="Q30" i="22"/>
  <c r="F116" i="14" s="1"/>
  <c r="S30" i="22"/>
  <c r="H116" i="14" s="1"/>
  <c r="U178" i="22"/>
  <c r="X14" i="22"/>
  <c r="M109" i="14" s="1"/>
  <c r="M228" i="14" s="1"/>
  <c r="Y18" i="22"/>
  <c r="R124" i="14"/>
  <c r="AA339" i="22"/>
  <c r="AA368" i="22" s="1"/>
  <c r="E88" i="27"/>
  <c r="E101" i="27"/>
  <c r="J94" i="27"/>
  <c r="H97" i="27"/>
  <c r="D91" i="27"/>
  <c r="E114" i="14"/>
  <c r="E28" i="14" s="1"/>
  <c r="R14" i="22"/>
  <c r="C84" i="27"/>
  <c r="Q234" i="22"/>
  <c r="Q233" i="22" s="1"/>
  <c r="Q262" i="22" s="1"/>
  <c r="S233" i="22"/>
  <c r="S262" i="22" s="1"/>
  <c r="N30" i="22"/>
  <c r="C116" i="14" s="1"/>
  <c r="M34" i="22"/>
  <c r="N41" i="22"/>
  <c r="Z18" i="22"/>
  <c r="W178" i="22"/>
  <c r="Z339" i="22"/>
  <c r="K96" i="27"/>
  <c r="I91" i="27"/>
  <c r="B84" i="27"/>
  <c r="N21" i="22"/>
  <c r="C128" i="14" s="1"/>
  <c r="D106" i="14"/>
  <c r="D20" i="14" s="1"/>
  <c r="N6" i="22"/>
  <c r="R319" i="22"/>
  <c r="Q18" i="22"/>
  <c r="K150" i="24"/>
  <c r="N34" i="27"/>
  <c r="N33" i="27" s="1"/>
  <c r="N90" i="27" s="1"/>
  <c r="R107" i="14"/>
  <c r="U11" i="22"/>
  <c r="V18" i="22"/>
  <c r="D100" i="27"/>
  <c r="H94" i="27"/>
  <c r="J96" i="27"/>
  <c r="P131" i="14"/>
  <c r="B34" i="27"/>
  <c r="B33" i="27" s="1"/>
  <c r="H114" i="14"/>
  <c r="H28" i="14" s="1"/>
  <c r="R39" i="14"/>
  <c r="R286" i="22"/>
  <c r="R315" i="22" s="1"/>
  <c r="H33" i="27"/>
  <c r="H32" i="27" s="1"/>
  <c r="M73" i="22"/>
  <c r="I40" i="27"/>
  <c r="H40" i="27"/>
  <c r="G40" i="27"/>
  <c r="T107" i="14"/>
  <c r="Z337" i="22"/>
  <c r="R125" i="14"/>
  <c r="D84" i="27"/>
  <c r="G94" i="27"/>
  <c r="P239" i="14"/>
  <c r="S239" i="14" s="1"/>
  <c r="E242" i="14"/>
  <c r="E241" i="14"/>
  <c r="E240" i="14"/>
  <c r="T178" i="22"/>
  <c r="M20" i="22"/>
  <c r="Q74" i="22"/>
  <c r="Q103" i="22" s="1"/>
  <c r="M33" i="22"/>
  <c r="J150" i="24"/>
  <c r="N110" i="14"/>
  <c r="AA231" i="22"/>
  <c r="J136" i="24"/>
  <c r="F40" i="14"/>
  <c r="F119" i="14"/>
  <c r="F33" i="14" s="1"/>
  <c r="P286" i="22"/>
  <c r="M287" i="22"/>
  <c r="P216" i="22"/>
  <c r="P9" i="22"/>
  <c r="M218" i="22"/>
  <c r="B147" i="24"/>
  <c r="M147" i="24"/>
  <c r="H147" i="24" s="1"/>
  <c r="T8" i="22"/>
  <c r="T23" i="22"/>
  <c r="I130" i="14" s="1"/>
  <c r="T14" i="22"/>
  <c r="I23" i="14"/>
  <c r="R234" i="22"/>
  <c r="R233" i="22" s="1"/>
  <c r="R262" i="22" s="1"/>
  <c r="R231" i="22"/>
  <c r="Q284" i="22"/>
  <c r="Q286" i="22"/>
  <c r="Q315" i="22" s="1"/>
  <c r="E23" i="14"/>
  <c r="E49" i="14" s="1"/>
  <c r="P23" i="22"/>
  <c r="E130" i="14" s="1"/>
  <c r="M16" i="22"/>
  <c r="M271" i="22"/>
  <c r="P269" i="22"/>
  <c r="W242" i="22"/>
  <c r="W231" i="22" s="1"/>
  <c r="W38" i="22"/>
  <c r="W30" i="22" s="1"/>
  <c r="L116" i="14" s="1"/>
  <c r="J34" i="14"/>
  <c r="J119" i="14"/>
  <c r="J33" i="14" s="1"/>
  <c r="P217" i="22"/>
  <c r="O21" i="22"/>
  <c r="D128" i="14" s="1"/>
  <c r="D107" i="14"/>
  <c r="O23" i="22"/>
  <c r="D130" i="14" s="1"/>
  <c r="O91" i="27"/>
  <c r="N40" i="27"/>
  <c r="N94" i="27"/>
  <c r="N93" i="27" s="1"/>
  <c r="P38" i="22"/>
  <c r="P242" i="22"/>
  <c r="M250" i="22"/>
  <c r="T25" i="22"/>
  <c r="I114" i="14"/>
  <c r="I28" i="14" s="1"/>
  <c r="M29" i="22"/>
  <c r="T114" i="14" s="1"/>
  <c r="P235" i="22"/>
  <c r="P28" i="22" s="1"/>
  <c r="M240" i="22"/>
  <c r="R35" i="14"/>
  <c r="S35" i="14"/>
  <c r="O234" i="22"/>
  <c r="O233" i="22" s="1"/>
  <c r="O262" i="22" s="1"/>
  <c r="O28" i="22"/>
  <c r="S28" i="22"/>
  <c r="S178" i="22"/>
  <c r="G34" i="27"/>
  <c r="G33" i="27" s="1"/>
  <c r="G32" i="27" s="1"/>
  <c r="S181" i="22"/>
  <c r="S180" i="22" s="1"/>
  <c r="S209" i="22" s="1"/>
  <c r="O37" i="22"/>
  <c r="O30" i="22" s="1"/>
  <c r="D116" i="14" s="1"/>
  <c r="O83" i="22"/>
  <c r="O72" i="22" s="1"/>
  <c r="C37" i="27"/>
  <c r="C36" i="27" s="1"/>
  <c r="C91" i="27" s="1"/>
  <c r="O178" i="22"/>
  <c r="Q131" i="24"/>
  <c r="I150" i="24"/>
  <c r="J131" i="14"/>
  <c r="M17" i="22"/>
  <c r="J24" i="14"/>
  <c r="J50" i="14" s="1"/>
  <c r="O35" i="14"/>
  <c r="O119" i="14"/>
  <c r="O33" i="14" s="1"/>
  <c r="R178" i="22"/>
  <c r="R28" i="22"/>
  <c r="F34" i="27"/>
  <c r="F33" i="27" s="1"/>
  <c r="F32" i="27" s="1"/>
  <c r="V11" i="22"/>
  <c r="M131" i="14"/>
  <c r="M107" i="14"/>
  <c r="K110" i="14"/>
  <c r="V21" i="22"/>
  <c r="K128" i="14" s="1"/>
  <c r="S121" i="14"/>
  <c r="P35" i="14"/>
  <c r="R121" i="14"/>
  <c r="Y231" i="22"/>
  <c r="Y234" i="22"/>
  <c r="Y233" i="22" s="1"/>
  <c r="Y262" i="22" s="1"/>
  <c r="I126" i="24"/>
  <c r="I122" i="24" s="1"/>
  <c r="F149" i="24"/>
  <c r="C119" i="14"/>
  <c r="C33" i="14" s="1"/>
  <c r="P41" i="27"/>
  <c r="E40" i="27"/>
  <c r="D40" i="27"/>
  <c r="P42" i="27"/>
  <c r="V323" i="22"/>
  <c r="M324" i="22"/>
  <c r="W23" i="22"/>
  <c r="L130" i="14" s="1"/>
  <c r="L107" i="14"/>
  <c r="L226" i="14" s="1"/>
  <c r="S123" i="14"/>
  <c r="P40" i="14"/>
  <c r="R123" i="14"/>
  <c r="S340" i="22"/>
  <c r="S339" i="22" s="1"/>
  <c r="S368" i="22" s="1"/>
  <c r="M341" i="22"/>
  <c r="Z23" i="22"/>
  <c r="O130" i="14" s="1"/>
  <c r="O23" i="14"/>
  <c r="Z14" i="22"/>
  <c r="C48" i="14"/>
  <c r="C50" i="14"/>
  <c r="Q181" i="22"/>
  <c r="Q180" i="22" s="1"/>
  <c r="Q209" i="22" s="1"/>
  <c r="I131" i="14"/>
  <c r="T21" i="22"/>
  <c r="I128" i="14" s="1"/>
  <c r="I107" i="14"/>
  <c r="M43" i="22"/>
  <c r="T126" i="14" s="1"/>
  <c r="N72" i="22"/>
  <c r="N74" i="22"/>
  <c r="N103" i="22" s="1"/>
  <c r="E123" i="14"/>
  <c r="M49" i="22"/>
  <c r="T123" i="14" s="1"/>
  <c r="D119" i="14"/>
  <c r="D33" i="14" s="1"/>
  <c r="F50" i="14"/>
  <c r="K22" i="14"/>
  <c r="O118" i="14"/>
  <c r="O233" i="14" s="1"/>
  <c r="AI231" i="14" s="1"/>
  <c r="O241" i="14"/>
  <c r="L242" i="14"/>
  <c r="I119" i="14"/>
  <c r="I33" i="14" s="1"/>
  <c r="R181" i="22"/>
  <c r="R180" i="22" s="1"/>
  <c r="R209" i="22" s="1"/>
  <c r="T41" i="22"/>
  <c r="M42" i="22"/>
  <c r="U58" i="22"/>
  <c r="U9" i="22"/>
  <c r="X11" i="22"/>
  <c r="X13" i="22"/>
  <c r="X40" i="22"/>
  <c r="M127" i="14" s="1"/>
  <c r="M43" i="14" s="1"/>
  <c r="F88" i="27"/>
  <c r="K242" i="14"/>
  <c r="O40" i="22"/>
  <c r="D127" i="14" s="1"/>
  <c r="D43" i="14" s="1"/>
  <c r="M199" i="22"/>
  <c r="F48" i="27"/>
  <c r="F101" i="27" s="1"/>
  <c r="R40" i="22"/>
  <c r="G127" i="14" s="1"/>
  <c r="G43" i="14" s="1"/>
  <c r="E127" i="14"/>
  <c r="E43" i="14" s="1"/>
  <c r="S131" i="24"/>
  <c r="V234" i="22"/>
  <c r="P13" i="22"/>
  <c r="M32" i="22"/>
  <c r="M47" i="22"/>
  <c r="T121" i="14" s="1"/>
  <c r="F50" i="27"/>
  <c r="R18" i="22"/>
  <c r="N119" i="14"/>
  <c r="N33" i="14" s="1"/>
  <c r="N35" i="14"/>
  <c r="K131" i="14"/>
  <c r="X23" i="22"/>
  <c r="M130" i="14" s="1"/>
  <c r="AA178" i="22"/>
  <c r="X216" i="22"/>
  <c r="X270" i="22"/>
  <c r="M305" i="22"/>
  <c r="G84" i="27"/>
  <c r="L96" i="27"/>
  <c r="D95" i="27"/>
  <c r="J241" i="14"/>
  <c r="O6" i="22"/>
  <c r="O8" i="22"/>
  <c r="D34" i="27"/>
  <c r="P181" i="22"/>
  <c r="P178" i="22"/>
  <c r="M15" i="22"/>
  <c r="R339" i="22"/>
  <c r="H106" i="14"/>
  <c r="H20" i="14" s="1"/>
  <c r="S8" i="22"/>
  <c r="S337" i="22"/>
  <c r="M285" i="22"/>
  <c r="P23" i="14"/>
  <c r="X164" i="22"/>
  <c r="X9" i="22"/>
  <c r="L30" i="27"/>
  <c r="L86" i="27" s="1"/>
  <c r="X323" i="22"/>
  <c r="Y28" i="22"/>
  <c r="C34" i="14"/>
  <c r="S14" i="22"/>
  <c r="M94" i="22"/>
  <c r="I151" i="24" s="1"/>
  <c r="R30" i="22"/>
  <c r="G116" i="14" s="1"/>
  <c r="P41" i="22"/>
  <c r="S122" i="14"/>
  <c r="P39" i="14"/>
  <c r="AA23" i="22"/>
  <c r="P130" i="14" s="1"/>
  <c r="L114" i="14"/>
  <c r="L28" i="14" s="1"/>
  <c r="W25" i="22"/>
  <c r="W234" i="22"/>
  <c r="X38" i="22"/>
  <c r="X30" i="22" s="1"/>
  <c r="M116" i="14" s="1"/>
  <c r="X83" i="22"/>
  <c r="Y38" i="22"/>
  <c r="Y30" i="22" s="1"/>
  <c r="N116" i="14" s="1"/>
  <c r="Y83" i="22"/>
  <c r="Y72" i="22" s="1"/>
  <c r="P39" i="27"/>
  <c r="E84" i="27"/>
  <c r="M19" i="22"/>
  <c r="U315" i="22"/>
  <c r="P47" i="27"/>
  <c r="X234" i="22"/>
  <c r="X233" i="22" s="1"/>
  <c r="X262" i="22" s="1"/>
  <c r="M35" i="22"/>
  <c r="Q41" i="22"/>
  <c r="M45" i="22"/>
  <c r="T122" i="14" s="1"/>
  <c r="B50" i="27"/>
  <c r="V9" i="22"/>
  <c r="AA41" i="22"/>
  <c r="M44" i="22"/>
  <c r="T120" i="14" s="1"/>
  <c r="V72" i="22"/>
  <c r="V74" i="22"/>
  <c r="V103" i="22" s="1"/>
  <c r="W28" i="22"/>
  <c r="W75" i="22"/>
  <c r="W72" i="22"/>
  <c r="S56" i="22"/>
  <c r="S57" i="22"/>
  <c r="T54" i="22"/>
  <c r="Q126" i="24"/>
  <c r="U28" i="22"/>
  <c r="I34" i="27"/>
  <c r="I33" i="27" s="1"/>
  <c r="I32" i="27" s="1"/>
  <c r="O93" i="27"/>
  <c r="AA286" i="22"/>
  <c r="V38" i="22"/>
  <c r="V30" i="22" s="1"/>
  <c r="K116" i="14" s="1"/>
  <c r="V242" i="22"/>
  <c r="V231" i="22" s="1"/>
  <c r="AA72" i="22"/>
  <c r="AA75" i="22"/>
  <c r="AA74" i="22" s="1"/>
  <c r="E243" i="14"/>
  <c r="E239" i="14"/>
  <c r="D238" i="14"/>
  <c r="AA9" i="22"/>
  <c r="C146" i="24"/>
  <c r="D111" i="24"/>
  <c r="D107" i="24" s="1"/>
  <c r="AA58" i="22"/>
  <c r="S124" i="14"/>
  <c r="E91" i="27"/>
  <c r="M91" i="22"/>
  <c r="P83" i="22"/>
  <c r="R266" i="22"/>
  <c r="P4" i="22"/>
  <c r="P6" i="22" s="1"/>
  <c r="Q160" i="22"/>
  <c r="R56" i="22"/>
  <c r="R57" i="22"/>
  <c r="G114" i="14"/>
  <c r="G28" i="14" s="1"/>
  <c r="R25" i="22"/>
  <c r="G236" i="14"/>
  <c r="M36" i="22"/>
  <c r="M31" i="22"/>
  <c r="O41" i="22"/>
  <c r="M48" i="22"/>
  <c r="T125" i="14" s="1"/>
  <c r="M40" i="27"/>
  <c r="I50" i="27"/>
  <c r="U18" i="22"/>
  <c r="S21" i="22"/>
  <c r="H128" i="14" s="1"/>
  <c r="H107" i="14"/>
  <c r="R110" i="14"/>
  <c r="S110" i="14"/>
  <c r="P119" i="14"/>
  <c r="S120" i="14"/>
  <c r="P34" i="14"/>
  <c r="P42" i="14"/>
  <c r="S126" i="14"/>
  <c r="R126" i="14"/>
  <c r="U40" i="22"/>
  <c r="J127" i="14" s="1"/>
  <c r="J43" i="14" s="1"/>
  <c r="O24" i="14"/>
  <c r="O131" i="14"/>
  <c r="Z178" i="22"/>
  <c r="N37" i="27"/>
  <c r="N36" i="27" s="1"/>
  <c r="N91" i="27" s="1"/>
  <c r="V182" i="22"/>
  <c r="M187" i="22"/>
  <c r="M189" i="22"/>
  <c r="P215" i="22"/>
  <c r="Q213" i="22"/>
  <c r="G131" i="14"/>
  <c r="R21" i="22"/>
  <c r="G128" i="14" s="1"/>
  <c r="R23" i="22"/>
  <c r="G130" i="14" s="1"/>
  <c r="M46" i="22"/>
  <c r="T124" i="14" s="1"/>
  <c r="M306" i="22"/>
  <c r="V337" i="22"/>
  <c r="N24" i="14"/>
  <c r="N131" i="14"/>
  <c r="W286" i="22"/>
  <c r="W315" i="22" s="1"/>
  <c r="Z9" i="22"/>
  <c r="N30" i="27"/>
  <c r="N86" i="27" s="1"/>
  <c r="N84" i="27" s="1"/>
  <c r="AA323" i="22"/>
  <c r="G146" i="24"/>
  <c r="O48" i="27"/>
  <c r="O101" i="27" s="1"/>
  <c r="D149" i="24"/>
  <c r="R74" i="22"/>
  <c r="R103" i="22" s="1"/>
  <c r="M252" i="22"/>
  <c r="M253" i="22"/>
  <c r="K151" i="24" s="1"/>
  <c r="K40" i="27"/>
  <c r="V13" i="22"/>
  <c r="Y178" i="22"/>
  <c r="M34" i="27"/>
  <c r="M33" i="27" s="1"/>
  <c r="M32" i="27" s="1"/>
  <c r="I96" i="27"/>
  <c r="K99" i="27"/>
  <c r="M95" i="27"/>
  <c r="C149" i="24"/>
  <c r="AA40" i="22"/>
  <c r="P127" i="14" s="1"/>
  <c r="P234" i="14" s="1"/>
  <c r="D126" i="24"/>
  <c r="L40" i="27"/>
  <c r="Z41" i="22"/>
  <c r="D153" i="24"/>
  <c r="AA18" i="22"/>
  <c r="M358" i="22"/>
  <c r="T28" i="22"/>
  <c r="T234" i="22"/>
  <c r="T233" i="22" s="1"/>
  <c r="T262" i="22" s="1"/>
  <c r="S41" i="22"/>
  <c r="U21" i="22"/>
  <c r="J128" i="14" s="1"/>
  <c r="U14" i="22"/>
  <c r="O40" i="27"/>
  <c r="O21" i="14"/>
  <c r="AA30" i="22"/>
  <c r="P116" i="14" s="1"/>
  <c r="X181" i="22"/>
  <c r="X180" i="22" s="1"/>
  <c r="X209" i="22" s="1"/>
  <c r="X178" i="22"/>
  <c r="W11" i="22"/>
  <c r="M303" i="22"/>
  <c r="V295" i="22"/>
  <c r="V284" i="22" s="1"/>
  <c r="J91" i="27"/>
  <c r="S231" i="22"/>
  <c r="R41" i="22"/>
  <c r="J23" i="14"/>
  <c r="J49" i="14" s="1"/>
  <c r="U23" i="22"/>
  <c r="J130" i="14" s="1"/>
  <c r="L119" i="14"/>
  <c r="L33" i="14" s="1"/>
  <c r="X21" i="22"/>
  <c r="M128" i="14" s="1"/>
  <c r="Y23" i="22"/>
  <c r="N130" i="14" s="1"/>
  <c r="N107" i="14"/>
  <c r="W14" i="22"/>
  <c r="L110" i="14"/>
  <c r="W21" i="22"/>
  <c r="L128" i="14" s="1"/>
  <c r="L131" i="14"/>
  <c r="L24" i="14"/>
  <c r="U41" i="22"/>
  <c r="S107" i="14"/>
  <c r="K119" i="14"/>
  <c r="K33" i="14" s="1"/>
  <c r="Z233" i="22"/>
  <c r="Z262" i="22" s="1"/>
  <c r="AA21" i="22"/>
  <c r="P128" i="14" s="1"/>
  <c r="K84" i="27"/>
  <c r="I88" i="27"/>
  <c r="K92" i="27"/>
  <c r="K101" i="27"/>
  <c r="P238" i="14"/>
  <c r="S238" i="14" s="1"/>
  <c r="D243" i="14"/>
  <c r="D242" i="14"/>
  <c r="D241" i="14"/>
  <c r="D240" i="14"/>
  <c r="C239" i="14"/>
  <c r="C238" i="14"/>
  <c r="J111" i="24"/>
  <c r="N111" i="24" s="1"/>
  <c r="D146" i="24"/>
  <c r="O30" i="27"/>
  <c r="O86" i="27" s="1"/>
  <c r="O84" i="27" s="1"/>
  <c r="F127" i="24"/>
  <c r="T181" i="22"/>
  <c r="T180" i="22" s="1"/>
  <c r="T209" i="22" s="1"/>
  <c r="P22" i="14"/>
  <c r="Z21" i="22"/>
  <c r="O128" i="14" s="1"/>
  <c r="H88" i="27"/>
  <c r="J101" i="27"/>
  <c r="I100" i="27"/>
  <c r="M94" i="27"/>
  <c r="K97" i="27"/>
  <c r="O238" i="14"/>
  <c r="C243" i="14"/>
  <c r="C242" i="14"/>
  <c r="C241" i="14"/>
  <c r="C240" i="14"/>
  <c r="N238" i="14"/>
  <c r="F236" i="14"/>
  <c r="N131" i="24"/>
  <c r="E236" i="14"/>
  <c r="I101" i="27"/>
  <c r="Y9" i="22"/>
  <c r="Y270" i="22"/>
  <c r="I84" i="27"/>
  <c r="G88" i="27"/>
  <c r="H101" i="27"/>
  <c r="H100" i="27"/>
  <c r="L94" i="27"/>
  <c r="J97" i="27"/>
  <c r="N236" i="14"/>
  <c r="O239" i="14"/>
  <c r="N241" i="14"/>
  <c r="F146" i="24"/>
  <c r="AA270" i="22"/>
  <c r="F107" i="24"/>
  <c r="M88" i="27"/>
  <c r="P88" i="27" s="1"/>
  <c r="F94" i="27"/>
  <c r="H96" i="27"/>
  <c r="I243" i="14"/>
  <c r="I242" i="14"/>
  <c r="I241" i="14"/>
  <c r="I239" i="14"/>
  <c r="H238" i="14"/>
  <c r="L101" i="27"/>
  <c r="E94" i="27"/>
  <c r="G96" i="27"/>
  <c r="I99" i="27"/>
  <c r="K95" i="27"/>
  <c r="E253" i="14"/>
  <c r="H243" i="14"/>
  <c r="H242" i="14"/>
  <c r="H241" i="14"/>
  <c r="H240" i="14"/>
  <c r="H239" i="14"/>
  <c r="G238" i="14"/>
  <c r="M84" i="27"/>
  <c r="M92" i="27"/>
  <c r="L100" i="27"/>
  <c r="D94" i="27"/>
  <c r="F96" i="27"/>
  <c r="H99" i="27"/>
  <c r="J95" i="27"/>
  <c r="G243" i="14"/>
  <c r="G242" i="14"/>
  <c r="G241" i="14"/>
  <c r="G239" i="14"/>
  <c r="F238" i="14"/>
  <c r="L92" i="27"/>
  <c r="M101" i="27"/>
  <c r="K100" i="27"/>
  <c r="E96" i="27"/>
  <c r="G99" i="27"/>
  <c r="I95" i="27"/>
  <c r="M97" i="27"/>
  <c r="P240" i="14"/>
  <c r="S240" i="14" s="1"/>
  <c r="F243" i="14"/>
  <c r="F242" i="14"/>
  <c r="F241" i="14"/>
  <c r="F240" i="14"/>
  <c r="F239" i="14"/>
  <c r="E238" i="14"/>
  <c r="D136" i="24"/>
  <c r="L415" i="14"/>
  <c r="H473" i="14"/>
  <c r="M531" i="14"/>
  <c r="J415" i="14"/>
  <c r="I107" i="24"/>
  <c r="I398" i="14"/>
  <c r="F122" i="24"/>
  <c r="D41" i="24"/>
  <c r="C159" i="14" s="1"/>
  <c r="C430" i="14"/>
  <c r="F369" i="14"/>
  <c r="AA25" i="19"/>
  <c r="G388" i="14"/>
  <c r="F398" i="14"/>
  <c r="D127" i="24"/>
  <c r="G127" i="24"/>
  <c r="C199" i="14"/>
  <c r="K358" i="14"/>
  <c r="L493" i="14"/>
  <c r="D100" i="24"/>
  <c r="C220" i="14" s="1"/>
  <c r="I415" i="14"/>
  <c r="I456" i="14"/>
  <c r="O64" i="19"/>
  <c r="I531" i="14"/>
  <c r="O25" i="19"/>
  <c r="L41" i="24"/>
  <c r="K159" i="14" s="1"/>
  <c r="F112" i="24"/>
  <c r="F137" i="24" s="1"/>
  <c r="N25" i="19"/>
  <c r="D40" i="24"/>
  <c r="C158" i="14" s="1"/>
  <c r="G533" i="14"/>
  <c r="S571" i="19"/>
  <c r="S592" i="19" s="1"/>
  <c r="F487" i="14"/>
  <c r="F504" i="14" s="1"/>
  <c r="V21" i="19"/>
  <c r="V20" i="19" s="1"/>
  <c r="AB29" i="19"/>
  <c r="B63" i="10"/>
  <c r="Q351" i="14"/>
  <c r="G172" i="14"/>
  <c r="G8" i="11"/>
  <c r="C133" i="24"/>
  <c r="X181" i="19"/>
  <c r="X202" i="19" s="1"/>
  <c r="K446" i="14"/>
  <c r="R214" i="14"/>
  <c r="X21" i="19"/>
  <c r="X20" i="19" s="1"/>
  <c r="S649" i="19"/>
  <c r="S670" i="19" s="1"/>
  <c r="L369" i="14"/>
  <c r="X103" i="19"/>
  <c r="X124" i="19" s="1"/>
  <c r="O337" i="19"/>
  <c r="J506" i="14"/>
  <c r="Q129" i="24"/>
  <c r="H487" i="14"/>
  <c r="H504" i="14" s="1"/>
  <c r="AB288" i="19"/>
  <c r="Y649" i="19"/>
  <c r="Y670" i="19" s="1"/>
  <c r="C487" i="14"/>
  <c r="C504" i="14" s="1"/>
  <c r="P446" i="14"/>
  <c r="K70" i="24"/>
  <c r="K186" i="14"/>
  <c r="I138" i="14"/>
  <c r="O376" i="19"/>
  <c r="O397" i="19" s="1"/>
  <c r="N171" i="14"/>
  <c r="U298" i="19"/>
  <c r="U319" i="19" s="1"/>
  <c r="O446" i="14"/>
  <c r="E359" i="14"/>
  <c r="N376" i="19"/>
  <c r="N397" i="19" s="1"/>
  <c r="J490" i="14"/>
  <c r="G435" i="14"/>
  <c r="E16" i="11"/>
  <c r="F16" i="11" s="1"/>
  <c r="F77" i="27"/>
  <c r="AB115" i="19"/>
  <c r="AB212" i="19"/>
  <c r="AB494" i="19"/>
  <c r="N18" i="19"/>
  <c r="P31" i="19"/>
  <c r="AB693" i="19"/>
  <c r="H406" i="14"/>
  <c r="P571" i="19"/>
  <c r="H77" i="27"/>
  <c r="AB63" i="19"/>
  <c r="N446" i="14"/>
  <c r="AB466" i="19"/>
  <c r="X17" i="19"/>
  <c r="C135" i="24"/>
  <c r="E107" i="24"/>
  <c r="P398" i="14"/>
  <c r="E502" i="14"/>
  <c r="F493" i="14"/>
  <c r="H531" i="14"/>
  <c r="O188" i="14"/>
  <c r="AB101" i="19"/>
  <c r="E237" i="14"/>
  <c r="K29" i="11"/>
  <c r="F427" i="14"/>
  <c r="V376" i="19"/>
  <c r="V397" i="19" s="1"/>
  <c r="E493" i="14"/>
  <c r="G531" i="14"/>
  <c r="L253" i="14"/>
  <c r="J359" i="14"/>
  <c r="J345" i="14"/>
  <c r="G77" i="27"/>
  <c r="U649" i="19"/>
  <c r="U670" i="19" s="1"/>
  <c r="M217" i="14"/>
  <c r="F531" i="14"/>
  <c r="C72" i="24"/>
  <c r="H359" i="14"/>
  <c r="C134" i="24"/>
  <c r="N188" i="14"/>
  <c r="H58" i="27"/>
  <c r="AB183" i="19"/>
  <c r="K188" i="14"/>
  <c r="M348" i="14"/>
  <c r="C372" i="14"/>
  <c r="W248" i="14"/>
  <c r="S14" i="24"/>
  <c r="D246" i="14"/>
  <c r="P610" i="19"/>
  <c r="G43" i="11"/>
  <c r="P190" i="14"/>
  <c r="M212" i="19"/>
  <c r="O610" i="19"/>
  <c r="O631" i="19" s="1"/>
  <c r="T181" i="19"/>
  <c r="T202" i="19" s="1"/>
  <c r="I459" i="14"/>
  <c r="M343" i="19"/>
  <c r="Q461" i="14" s="1"/>
  <c r="K398" i="14"/>
  <c r="I358" i="14"/>
  <c r="N427" i="14"/>
  <c r="O187" i="14"/>
  <c r="V298" i="19"/>
  <c r="V319" i="19" s="1"/>
  <c r="L155" i="14"/>
  <c r="J186" i="14"/>
  <c r="M386" i="14"/>
  <c r="L531" i="14"/>
  <c r="Q405" i="14"/>
  <c r="N493" i="14"/>
  <c r="G58" i="27"/>
  <c r="F345" i="14"/>
  <c r="D70" i="24"/>
  <c r="E490" i="14"/>
  <c r="P337" i="19"/>
  <c r="Q354" i="14"/>
  <c r="D369" i="14"/>
  <c r="J487" i="14"/>
  <c r="J504" i="14" s="1"/>
  <c r="W493" i="19"/>
  <c r="W514" i="19" s="1"/>
  <c r="L514" i="14"/>
  <c r="K531" i="14"/>
  <c r="K522" i="14"/>
  <c r="J344" i="14"/>
  <c r="J343" i="14" s="1"/>
  <c r="K90" i="24"/>
  <c r="F475" i="14"/>
  <c r="N298" i="19"/>
  <c r="M344" i="14"/>
  <c r="K514" i="14"/>
  <c r="J531" i="14"/>
  <c r="Z454" i="19"/>
  <c r="Z475" i="19" s="1"/>
  <c r="O16" i="24"/>
  <c r="N140" i="14" s="1"/>
  <c r="M61" i="27"/>
  <c r="Q463" i="14"/>
  <c r="I254" i="14"/>
  <c r="J156" i="14"/>
  <c r="Y298" i="19"/>
  <c r="Y319" i="19" s="1"/>
  <c r="E388" i="14"/>
  <c r="F27" i="11"/>
  <c r="E42" i="11"/>
  <c r="F42" i="11" s="1"/>
  <c r="C456" i="14"/>
  <c r="I167" i="14"/>
  <c r="O298" i="19"/>
  <c r="O319" i="19" s="1"/>
  <c r="Q353" i="14"/>
  <c r="D417" i="14"/>
  <c r="O386" i="14"/>
  <c r="M345" i="14"/>
  <c r="I155" i="14"/>
  <c r="C14" i="24"/>
  <c r="E216" i="14"/>
  <c r="V649" i="19"/>
  <c r="V670" i="19" s="1"/>
  <c r="C254" i="14"/>
  <c r="L21" i="24"/>
  <c r="F31" i="24"/>
  <c r="N532" i="19"/>
  <c r="N553" i="19" s="1"/>
  <c r="N64" i="19"/>
  <c r="N85" i="19" s="1"/>
  <c r="AB648" i="19"/>
  <c r="D84" i="24"/>
  <c r="C204" i="14" s="1"/>
  <c r="D11" i="24"/>
  <c r="C388" i="14"/>
  <c r="X250" i="14"/>
  <c r="F187" i="14"/>
  <c r="D493" i="14"/>
  <c r="F522" i="14"/>
  <c r="G70" i="24"/>
  <c r="T103" i="19"/>
  <c r="T124" i="19" s="1"/>
  <c r="C345" i="14"/>
  <c r="H42" i="11"/>
  <c r="K42" i="11" s="1"/>
  <c r="O493" i="14"/>
  <c r="E531" i="14"/>
  <c r="O66" i="27"/>
  <c r="E66" i="27"/>
  <c r="AB32" i="19"/>
  <c r="E456" i="14"/>
  <c r="F15" i="11"/>
  <c r="G80" i="11"/>
  <c r="G20" i="11"/>
  <c r="E487" i="14"/>
  <c r="E504" i="14" s="1"/>
  <c r="Q340" i="14"/>
  <c r="O406" i="14"/>
  <c r="O359" i="14"/>
  <c r="AB524" i="19"/>
  <c r="AB569" i="19"/>
  <c r="M172" i="14"/>
  <c r="F514" i="14"/>
  <c r="P531" i="14"/>
  <c r="D531" i="14"/>
  <c r="U108" i="24"/>
  <c r="U107" i="24" s="1"/>
  <c r="V415" i="19"/>
  <c r="V436" i="19" s="1"/>
  <c r="W18" i="19"/>
  <c r="W21" i="19"/>
  <c r="W20" i="19" s="1"/>
  <c r="C234" i="14"/>
  <c r="M188" i="14"/>
  <c r="E75" i="24"/>
  <c r="D201" i="14" s="1"/>
  <c r="D218" i="14" s="1"/>
  <c r="S103" i="19"/>
  <c r="S124" i="19" s="1"/>
  <c r="X182" i="14"/>
  <c r="H70" i="24"/>
  <c r="Q491" i="14"/>
  <c r="G100" i="24"/>
  <c r="F220" i="14" s="1"/>
  <c r="E514" i="14"/>
  <c r="C522" i="14"/>
  <c r="E79" i="11"/>
  <c r="F79" i="11" s="1"/>
  <c r="M76" i="19"/>
  <c r="E99" i="24"/>
  <c r="D219" i="14" s="1"/>
  <c r="N337" i="19"/>
  <c r="N358" i="19" s="1"/>
  <c r="K344" i="14"/>
  <c r="F21" i="11"/>
  <c r="I417" i="14"/>
  <c r="E369" i="14"/>
  <c r="N456" i="14"/>
  <c r="P237" i="14"/>
  <c r="S237" i="14" s="1"/>
  <c r="V610" i="19"/>
  <c r="G34" i="11"/>
  <c r="F82" i="11"/>
  <c r="J361" i="14"/>
  <c r="Q493" i="19"/>
  <c r="Q514" i="19" s="1"/>
  <c r="U64" i="19"/>
  <c r="L456" i="14"/>
  <c r="AB570" i="19"/>
  <c r="Z377" i="19"/>
  <c r="Z376" i="19" s="1"/>
  <c r="Z397" i="19" s="1"/>
  <c r="M357" i="14"/>
  <c r="M336" i="14"/>
  <c r="J532" i="14"/>
  <c r="AB452" i="19"/>
  <c r="X454" i="19"/>
  <c r="K456" i="14"/>
  <c r="F533" i="14"/>
  <c r="E77" i="27"/>
  <c r="O649" i="19"/>
  <c r="O670" i="19" s="1"/>
  <c r="I345" i="14"/>
  <c r="L217" i="14"/>
  <c r="F464" i="14"/>
  <c r="L188" i="14"/>
  <c r="L533" i="14"/>
  <c r="Q16" i="24"/>
  <c r="P140" i="14" s="1"/>
  <c r="P157" i="14" s="1"/>
  <c r="E56" i="11"/>
  <c r="F56" i="11" s="1"/>
  <c r="F417" i="14"/>
  <c r="H464" i="14"/>
  <c r="D487" i="14"/>
  <c r="D504" i="14" s="1"/>
  <c r="I487" i="14"/>
  <c r="I504" i="14" s="1"/>
  <c r="M427" i="14"/>
  <c r="H415" i="14"/>
  <c r="T376" i="19"/>
  <c r="T397" i="19" s="1"/>
  <c r="H337" i="14"/>
  <c r="M216" i="14"/>
  <c r="AB638" i="19"/>
  <c r="T649" i="19"/>
  <c r="T670" i="19" s="1"/>
  <c r="C531" i="14"/>
  <c r="Y376" i="19"/>
  <c r="Y397" i="19" s="1"/>
  <c r="U25" i="19"/>
  <c r="C435" i="14"/>
  <c r="Q496" i="14"/>
  <c r="G47" i="11"/>
  <c r="O181" i="19"/>
  <c r="D233" i="14"/>
  <c r="F217" i="14"/>
  <c r="I464" i="14"/>
  <c r="C403" i="14"/>
  <c r="N490" i="14"/>
  <c r="H53" i="11"/>
  <c r="L53" i="11" s="1"/>
  <c r="P108" i="24"/>
  <c r="H398" i="14"/>
  <c r="U181" i="19"/>
  <c r="U202" i="19" s="1"/>
  <c r="S214" i="14"/>
  <c r="E254" i="14"/>
  <c r="Q21" i="19"/>
  <c r="Q20" i="19" s="1"/>
  <c r="T25" i="19"/>
  <c r="I369" i="14"/>
  <c r="I187" i="14"/>
  <c r="N359" i="14"/>
  <c r="K133" i="24"/>
  <c r="K132" i="24" s="1"/>
  <c r="G41" i="24"/>
  <c r="F159" i="14" s="1"/>
  <c r="Q454" i="19"/>
  <c r="Q475" i="19" s="1"/>
  <c r="O18" i="19"/>
  <c r="F460" i="14"/>
  <c r="Q337" i="19"/>
  <c r="Q358" i="19" s="1"/>
  <c r="V31" i="19"/>
  <c r="E83" i="11"/>
  <c r="F83" i="11" s="1"/>
  <c r="M148" i="19"/>
  <c r="P63" i="27" s="1"/>
  <c r="R63" i="27" s="1"/>
  <c r="Q63" i="27" s="1"/>
  <c r="S63" i="27" s="1"/>
  <c r="D52" i="24"/>
  <c r="C87" i="24"/>
  <c r="AB102" i="19"/>
  <c r="D485" i="14"/>
  <c r="AB26" i="19"/>
  <c r="Z25" i="19"/>
  <c r="M684" i="19"/>
  <c r="C75" i="24" s="1"/>
  <c r="AB684" i="19"/>
  <c r="J112" i="24"/>
  <c r="K137" i="24" s="1"/>
  <c r="M32" i="19"/>
  <c r="J80" i="24"/>
  <c r="T533" i="19"/>
  <c r="Q40" i="24"/>
  <c r="P158" i="14" s="1"/>
  <c r="E40" i="24"/>
  <c r="D158" i="14" s="1"/>
  <c r="W532" i="19"/>
  <c r="Y220" i="19"/>
  <c r="Y241" i="19" s="1"/>
  <c r="N373" i="14"/>
  <c r="M254" i="14"/>
  <c r="M253" i="14"/>
  <c r="AB34" i="19"/>
  <c r="W17" i="19"/>
  <c r="Q25" i="19"/>
  <c r="Y31" i="19"/>
  <c r="O687" i="19"/>
  <c r="O708" i="19" s="1"/>
  <c r="Q687" i="19"/>
  <c r="X18" i="19"/>
  <c r="D518" i="14"/>
  <c r="D517" i="14" s="1"/>
  <c r="G21" i="24"/>
  <c r="D533" i="14"/>
  <c r="D506" i="14"/>
  <c r="G517" i="14"/>
  <c r="N406" i="14"/>
  <c r="K207" i="14"/>
  <c r="R649" i="19"/>
  <c r="R670" i="19" s="1"/>
  <c r="U454" i="19"/>
  <c r="U475" i="19" s="1"/>
  <c r="V18" i="19"/>
  <c r="K254" i="14"/>
  <c r="AB685" i="19"/>
  <c r="AA649" i="19"/>
  <c r="R220" i="19"/>
  <c r="R241" i="19" s="1"/>
  <c r="Q181" i="19"/>
  <c r="Q202" i="19" s="1"/>
  <c r="O372" i="14"/>
  <c r="K415" i="14"/>
  <c r="G473" i="14"/>
  <c r="U18" i="19"/>
  <c r="J253" i="14"/>
  <c r="E246" i="14"/>
  <c r="N431" i="14"/>
  <c r="N430" i="14" s="1"/>
  <c r="E518" i="14"/>
  <c r="E517" i="14" s="1"/>
  <c r="H360" i="14"/>
  <c r="H361" i="14"/>
  <c r="K445" i="14"/>
  <c r="P649" i="19"/>
  <c r="X337" i="19"/>
  <c r="X358" i="19" s="1"/>
  <c r="N172" i="14"/>
  <c r="N474" i="14"/>
  <c r="N415" i="19"/>
  <c r="N436" i="19" s="1"/>
  <c r="W454" i="19"/>
  <c r="W475" i="19" s="1"/>
  <c r="T18" i="19"/>
  <c r="T17" i="19"/>
  <c r="E430" i="14"/>
  <c r="F61" i="27"/>
  <c r="G490" i="14"/>
  <c r="R181" i="19"/>
  <c r="R202" i="19" s="1"/>
  <c r="Q415" i="14"/>
  <c r="I225" i="14"/>
  <c r="M459" i="14"/>
  <c r="O415" i="19"/>
  <c r="G81" i="11"/>
  <c r="P138" i="14"/>
  <c r="L254" i="14"/>
  <c r="X298" i="19"/>
  <c r="X319" i="19" s="1"/>
  <c r="N31" i="19"/>
  <c r="L75" i="24"/>
  <c r="K201" i="14" s="1"/>
  <c r="K218" i="14" s="1"/>
  <c r="H490" i="14"/>
  <c r="Z16" i="19"/>
  <c r="C65" i="24"/>
  <c r="S181" i="19"/>
  <c r="S202" i="19" s="1"/>
  <c r="W108" i="24"/>
  <c r="W107" i="24" s="1"/>
  <c r="C77" i="27"/>
  <c r="I393" i="14"/>
  <c r="AB304" i="19"/>
  <c r="AB336" i="19"/>
  <c r="AB374" i="19"/>
  <c r="R185" i="14"/>
  <c r="L186" i="14"/>
  <c r="F473" i="14"/>
  <c r="AB375" i="19"/>
  <c r="I388" i="14"/>
  <c r="M249" i="19"/>
  <c r="P85" i="19"/>
  <c r="C94" i="24"/>
  <c r="T211" i="14" s="1"/>
  <c r="X211" i="14" s="1"/>
  <c r="F173" i="14"/>
  <c r="F172" i="14" s="1"/>
  <c r="Q512" i="14"/>
  <c r="H427" i="14"/>
  <c r="AB54" i="19"/>
  <c r="E155" i="14"/>
  <c r="H177" i="14"/>
  <c r="U220" i="19"/>
  <c r="U241" i="19" s="1"/>
  <c r="F199" i="14"/>
  <c r="J217" i="14"/>
  <c r="E51" i="11"/>
  <c r="F51" i="11" s="1"/>
  <c r="T178" i="14"/>
  <c r="N237" i="14"/>
  <c r="H372" i="14"/>
  <c r="H388" i="14"/>
  <c r="G68" i="11"/>
  <c r="D358" i="14"/>
  <c r="C246" i="14"/>
  <c r="C188" i="14"/>
  <c r="R532" i="19"/>
  <c r="E485" i="14"/>
  <c r="E505" i="14"/>
  <c r="U407" i="14"/>
  <c r="AA64" i="19"/>
  <c r="AA85" i="19" s="1"/>
  <c r="F41" i="24"/>
  <c r="E159" i="14" s="1"/>
  <c r="P435" i="14"/>
  <c r="E473" i="14"/>
  <c r="L216" i="14"/>
  <c r="P514" i="14"/>
  <c r="V142" i="19"/>
  <c r="V163" i="19" s="1"/>
  <c r="K490" i="14"/>
  <c r="M9" i="24"/>
  <c r="R493" i="19"/>
  <c r="R514" i="19" s="1"/>
  <c r="I253" i="14"/>
  <c r="C475" i="14"/>
  <c r="G487" i="14"/>
  <c r="G504" i="14" s="1"/>
  <c r="J84" i="24"/>
  <c r="I204" i="14" s="1"/>
  <c r="K341" i="14"/>
  <c r="G415" i="14"/>
  <c r="R376" i="19"/>
  <c r="R397" i="19" s="1"/>
  <c r="O487" i="14"/>
  <c r="O504" i="14" s="1"/>
  <c r="K156" i="14"/>
  <c r="N386" i="14"/>
  <c r="P473" i="14"/>
  <c r="AB602" i="19"/>
  <c r="M100" i="24"/>
  <c r="L220" i="14" s="1"/>
  <c r="K216" i="14"/>
  <c r="O532" i="14"/>
  <c r="P415" i="19"/>
  <c r="AB5" i="19"/>
  <c r="S18" i="19"/>
  <c r="H253" i="14"/>
  <c r="U21" i="19"/>
  <c r="U20" i="19" s="1"/>
  <c r="Y25" i="19"/>
  <c r="M417" i="14"/>
  <c r="G134" i="24"/>
  <c r="K487" i="14"/>
  <c r="K504" i="14" s="1"/>
  <c r="P40" i="24"/>
  <c r="O158" i="14" s="1"/>
  <c r="I233" i="14"/>
  <c r="F406" i="14"/>
  <c r="M616" i="19"/>
  <c r="Q519" i="14" s="1"/>
  <c r="N485" i="14"/>
  <c r="P502" i="14"/>
  <c r="D514" i="14"/>
  <c r="E156" i="14"/>
  <c r="G75" i="24"/>
  <c r="F201" i="14" s="1"/>
  <c r="F218" i="14" s="1"/>
  <c r="H446" i="14"/>
  <c r="H435" i="14"/>
  <c r="Q259" i="19"/>
  <c r="E167" i="14"/>
  <c r="D77" i="27"/>
  <c r="G348" i="14"/>
  <c r="K387" i="14"/>
  <c r="R175" i="14"/>
  <c r="N417" i="14"/>
  <c r="AB388" i="19"/>
  <c r="AB100" i="19"/>
  <c r="J388" i="14"/>
  <c r="P41" i="24"/>
  <c r="O159" i="14" s="1"/>
  <c r="L386" i="14"/>
  <c r="C415" i="14"/>
  <c r="AB40" i="19"/>
  <c r="I522" i="14"/>
  <c r="N454" i="19"/>
  <c r="N475" i="19" s="1"/>
  <c r="Y128" i="24"/>
  <c r="Y127" i="24" s="1"/>
  <c r="F253" i="14"/>
  <c r="T21" i="19"/>
  <c r="T20" i="19" s="1"/>
  <c r="R21" i="19"/>
  <c r="R20" i="19" s="1"/>
  <c r="C73" i="24"/>
  <c r="E134" i="24"/>
  <c r="L31" i="24"/>
  <c r="Q495" i="14"/>
  <c r="P369" i="14"/>
  <c r="Q649" i="19"/>
  <c r="Q670" i="19" s="1"/>
  <c r="W259" i="19"/>
  <c r="D216" i="14"/>
  <c r="AA18" i="19"/>
  <c r="L84" i="24"/>
  <c r="K204" i="14" s="1"/>
  <c r="N246" i="14"/>
  <c r="AH235" i="14" s="1"/>
  <c r="M573" i="19"/>
  <c r="M572" i="19" s="1"/>
  <c r="Q386" i="14"/>
  <c r="N387" i="14"/>
  <c r="J167" i="14"/>
  <c r="I67" i="24"/>
  <c r="M304" i="19"/>
  <c r="Q432" i="14" s="1"/>
  <c r="J246" i="14"/>
  <c r="J417" i="14"/>
  <c r="W181" i="19"/>
  <c r="W202" i="19" s="1"/>
  <c r="D186" i="14"/>
  <c r="J386" i="14"/>
  <c r="K386" i="14"/>
  <c r="E377" i="14"/>
  <c r="J377" i="14"/>
  <c r="N435" i="14"/>
  <c r="M473" i="14"/>
  <c r="H216" i="14"/>
  <c r="M655" i="19"/>
  <c r="C502" i="14"/>
  <c r="G493" i="14"/>
  <c r="H493" i="14"/>
  <c r="H514" i="14"/>
  <c r="R475" i="19"/>
  <c r="AB14" i="19"/>
  <c r="S25" i="19"/>
  <c r="G90" i="24"/>
  <c r="C155" i="14"/>
  <c r="M207" i="14"/>
  <c r="I475" i="14"/>
  <c r="Y103" i="19"/>
  <c r="Y124" i="19" s="1"/>
  <c r="C490" i="14"/>
  <c r="Q376" i="19"/>
  <c r="Q397" i="19" s="1"/>
  <c r="K506" i="14"/>
  <c r="Q352" i="14"/>
  <c r="E386" i="14"/>
  <c r="F234" i="14"/>
  <c r="M387" i="14"/>
  <c r="N181" i="19"/>
  <c r="N202" i="19" s="1"/>
  <c r="N649" i="19"/>
  <c r="N670" i="19" s="1"/>
  <c r="M577" i="19"/>
  <c r="L475" i="14"/>
  <c r="V181" i="19"/>
  <c r="V202" i="19" s="1"/>
  <c r="L359" i="14"/>
  <c r="Y181" i="19"/>
  <c r="Y202" i="19" s="1"/>
  <c r="G155" i="14"/>
  <c r="D377" i="14"/>
  <c r="H377" i="14"/>
  <c r="P415" i="14"/>
  <c r="N415" i="14"/>
  <c r="P406" i="14"/>
  <c r="D199" i="14"/>
  <c r="H99" i="24"/>
  <c r="G219" i="14" s="1"/>
  <c r="I100" i="24"/>
  <c r="H220" i="14" s="1"/>
  <c r="G485" i="14"/>
  <c r="C71" i="24"/>
  <c r="Z181" i="19"/>
  <c r="Z202" i="19" s="1"/>
  <c r="P253" i="14"/>
  <c r="R25" i="19"/>
  <c r="AB36" i="19"/>
  <c r="C74" i="24"/>
  <c r="B77" i="27"/>
  <c r="J446" i="14"/>
  <c r="I514" i="14"/>
  <c r="R415" i="19"/>
  <c r="E122" i="24"/>
  <c r="P345" i="14"/>
  <c r="D345" i="14"/>
  <c r="P31" i="24"/>
  <c r="L506" i="14"/>
  <c r="G37" i="11"/>
  <c r="G22" i="11"/>
  <c r="I246" i="14"/>
  <c r="O193" i="19"/>
  <c r="F386" i="14"/>
  <c r="AB232" i="19"/>
  <c r="AB490" i="19"/>
  <c r="C137" i="14"/>
  <c r="C138" i="14" s="1"/>
  <c r="J435" i="14"/>
  <c r="J464" i="14"/>
  <c r="S454" i="19"/>
  <c r="S475" i="19" s="1"/>
  <c r="AB12" i="19"/>
  <c r="AB22" i="19"/>
  <c r="AB35" i="19"/>
  <c r="C127" i="24"/>
  <c r="D99" i="24"/>
  <c r="C219" i="14" s="1"/>
  <c r="J122" i="24"/>
  <c r="N123" i="24"/>
  <c r="F138" i="14"/>
  <c r="E62" i="27"/>
  <c r="Q142" i="19"/>
  <c r="Q163" i="19" s="1"/>
  <c r="Q299" i="19"/>
  <c r="M300" i="19"/>
  <c r="Q497" i="14"/>
  <c r="P261" i="19"/>
  <c r="M261" i="19" s="1"/>
  <c r="M260" i="19" s="1"/>
  <c r="O261" i="19"/>
  <c r="O260" i="19" s="1"/>
  <c r="D402" i="14" s="1"/>
  <c r="D426" i="14"/>
  <c r="J492" i="14"/>
  <c r="K89" i="24"/>
  <c r="J206" i="14" s="1"/>
  <c r="O253" i="14"/>
  <c r="Z17" i="19"/>
  <c r="O534" i="19"/>
  <c r="O533" i="19" s="1"/>
  <c r="D489" i="14" s="1"/>
  <c r="E82" i="24"/>
  <c r="H173" i="14"/>
  <c r="H172" i="14" s="1"/>
  <c r="S493" i="19"/>
  <c r="S514" i="19" s="1"/>
  <c r="L187" i="14"/>
  <c r="AB154" i="19"/>
  <c r="J133" i="24"/>
  <c r="J132" i="24" s="1"/>
  <c r="I377" i="14"/>
  <c r="O521" i="14"/>
  <c r="P89" i="24"/>
  <c r="O206" i="14" s="1"/>
  <c r="R206" i="14" s="1"/>
  <c r="Z30" i="19"/>
  <c r="G254" i="14"/>
  <c r="G253" i="14"/>
  <c r="M36" i="19"/>
  <c r="I240" i="14"/>
  <c r="L207" i="14"/>
  <c r="H21" i="24"/>
  <c r="G358" i="14"/>
  <c r="O454" i="19"/>
  <c r="O475" i="19" s="1"/>
  <c r="N207" i="14"/>
  <c r="L464" i="14"/>
  <c r="M327" i="19"/>
  <c r="M435" i="14"/>
  <c r="AB456" i="19"/>
  <c r="M11" i="24"/>
  <c r="L16" i="24"/>
  <c r="K140" i="14" s="1"/>
  <c r="K157" i="14" s="1"/>
  <c r="O189" i="14"/>
  <c r="AB491" i="19"/>
  <c r="N464" i="14"/>
  <c r="H475" i="14"/>
  <c r="W11" i="19"/>
  <c r="K11" i="24"/>
  <c r="D9" i="24"/>
  <c r="T337" i="19"/>
  <c r="T358" i="19" s="1"/>
  <c r="M115" i="19"/>
  <c r="L173" i="14"/>
  <c r="L172" i="14" s="1"/>
  <c r="C65" i="27"/>
  <c r="O416" i="14"/>
  <c r="M40" i="24"/>
  <c r="L158" i="14" s="1"/>
  <c r="M502" i="14"/>
  <c r="E522" i="14"/>
  <c r="O522" i="14"/>
  <c r="O74" i="24"/>
  <c r="O100" i="24" s="1"/>
  <c r="N220" i="14" s="1"/>
  <c r="Y529" i="19"/>
  <c r="N487" i="14" s="1"/>
  <c r="N504" i="14" s="1"/>
  <c r="Y15" i="19"/>
  <c r="Y18" i="19" s="1"/>
  <c r="AB528" i="19"/>
  <c r="Y531" i="19"/>
  <c r="AB531" i="19" s="1"/>
  <c r="AB426" i="19"/>
  <c r="M426" i="19"/>
  <c r="U123" i="24" s="1"/>
  <c r="U122" i="24" s="1"/>
  <c r="X113" i="24"/>
  <c r="Z113" i="24" s="1"/>
  <c r="K112" i="24"/>
  <c r="J233" i="14"/>
  <c r="F254" i="14"/>
  <c r="F237" i="14"/>
  <c r="Q31" i="19"/>
  <c r="N21" i="24"/>
  <c r="G464" i="14"/>
  <c r="C401" i="14"/>
  <c r="C253" i="14"/>
  <c r="Y532" i="19"/>
  <c r="Y553" i="19" s="1"/>
  <c r="P298" i="19"/>
  <c r="Y11" i="19"/>
  <c r="P220" i="19"/>
  <c r="K517" i="14"/>
  <c r="J9" i="24"/>
  <c r="D55" i="24"/>
  <c r="AB327" i="19"/>
  <c r="N506" i="14"/>
  <c r="R259" i="19"/>
  <c r="R280" i="19" s="1"/>
  <c r="P493" i="19"/>
  <c r="M193" i="19"/>
  <c r="M583" i="19"/>
  <c r="Q349" i="14"/>
  <c r="D435" i="14"/>
  <c r="C464" i="14"/>
  <c r="O23" i="19"/>
  <c r="O21" i="19" s="1"/>
  <c r="O20" i="19" s="1"/>
  <c r="O54" i="19"/>
  <c r="O9" i="19" s="1"/>
  <c r="D339" i="14"/>
  <c r="C417" i="14"/>
  <c r="M187" i="19"/>
  <c r="M398" i="14"/>
  <c r="N360" i="14"/>
  <c r="N361" i="14"/>
  <c r="N341" i="14"/>
  <c r="K427" i="14"/>
  <c r="G427" i="14"/>
  <c r="L167" i="14"/>
  <c r="M401" i="14"/>
  <c r="X388" i="19"/>
  <c r="N31" i="24" s="1"/>
  <c r="X8" i="19"/>
  <c r="L40" i="24"/>
  <c r="K158" i="14" s="1"/>
  <c r="N41" i="24"/>
  <c r="M159" i="14" s="1"/>
  <c r="N80" i="24"/>
  <c r="Q484" i="14"/>
  <c r="M505" i="14"/>
  <c r="C505" i="14"/>
  <c r="C485" i="14"/>
  <c r="C506" i="14"/>
  <c r="M493" i="14"/>
  <c r="I435" i="14"/>
  <c r="AB622" i="19"/>
  <c r="I344" i="14"/>
  <c r="O464" i="14"/>
  <c r="Q104" i="19"/>
  <c r="F344" i="14" s="1"/>
  <c r="M504" i="14"/>
  <c r="K21" i="24"/>
  <c r="N75" i="24"/>
  <c r="M201" i="14" s="1"/>
  <c r="M218" i="14" s="1"/>
  <c r="O435" i="14"/>
  <c r="K388" i="14"/>
  <c r="Q425" i="14"/>
  <c r="E32" i="24"/>
  <c r="D147" i="14" s="1"/>
  <c r="D146" i="14" s="1"/>
  <c r="G11" i="24"/>
  <c r="H345" i="14"/>
  <c r="L358" i="14"/>
  <c r="I6" i="24"/>
  <c r="L199" i="14"/>
  <c r="W376" i="19"/>
  <c r="W397" i="19" s="1"/>
  <c r="M67" i="24"/>
  <c r="O155" i="14"/>
  <c r="O89" i="24"/>
  <c r="N206" i="14" s="1"/>
  <c r="N234" i="14" s="1"/>
  <c r="AH232" i="14" s="1"/>
  <c r="K493" i="14"/>
  <c r="X33" i="19"/>
  <c r="M26" i="24"/>
  <c r="W26" i="19"/>
  <c r="W25" i="19" s="1"/>
  <c r="W19" i="19" s="1"/>
  <c r="W226" i="19"/>
  <c r="M25" i="24" s="1"/>
  <c r="L143" i="14" s="1"/>
  <c r="AA529" i="19"/>
  <c r="P487" i="14" s="1"/>
  <c r="P504" i="14" s="1"/>
  <c r="Q73" i="24"/>
  <c r="P200" i="14" s="1"/>
  <c r="G85" i="11"/>
  <c r="E85" i="11"/>
  <c r="F85" i="11" s="1"/>
  <c r="G9" i="24"/>
  <c r="J422" i="14"/>
  <c r="C369" i="14"/>
  <c r="S6" i="19"/>
  <c r="M5" i="19"/>
  <c r="M28" i="19"/>
  <c r="U687" i="19"/>
  <c r="U708" i="19" s="1"/>
  <c r="AB300" i="19"/>
  <c r="AA299" i="19"/>
  <c r="G456" i="14"/>
  <c r="C359" i="14"/>
  <c r="M210" i="19"/>
  <c r="K187" i="14"/>
  <c r="R176" i="14"/>
  <c r="M521" i="14"/>
  <c r="M621" i="19"/>
  <c r="V687" i="19"/>
  <c r="V708" i="19" s="1"/>
  <c r="AA349" i="19"/>
  <c r="Q31" i="24" s="1"/>
  <c r="AA33" i="19"/>
  <c r="P236" i="14" s="1"/>
  <c r="Q32" i="24"/>
  <c r="P147" i="14" s="1"/>
  <c r="S147" i="14" s="1"/>
  <c r="M351" i="19"/>
  <c r="Q466" i="14" s="1"/>
  <c r="G112" i="24"/>
  <c r="T113" i="24"/>
  <c r="T112" i="24" s="1"/>
  <c r="I112" i="24"/>
  <c r="N116" i="24"/>
  <c r="I359" i="14"/>
  <c r="H138" i="24"/>
  <c r="R142" i="19"/>
  <c r="R163" i="19" s="1"/>
  <c r="X631" i="19"/>
  <c r="K79" i="24"/>
  <c r="J203" i="14" s="1"/>
  <c r="J518" i="14"/>
  <c r="J517" i="14" s="1"/>
  <c r="D80" i="24"/>
  <c r="F90" i="24"/>
  <c r="D341" i="14"/>
  <c r="P416" i="14"/>
  <c r="R30" i="19"/>
  <c r="R6" i="19"/>
  <c r="K80" i="24"/>
  <c r="M155" i="14"/>
  <c r="X30" i="19"/>
  <c r="S337" i="19"/>
  <c r="S358" i="19" s="1"/>
  <c r="X142" i="19"/>
  <c r="X163" i="19" s="1"/>
  <c r="M406" i="14"/>
  <c r="H344" i="14"/>
  <c r="M173" i="19"/>
  <c r="M543" i="19"/>
  <c r="M156" i="14"/>
  <c r="F360" i="14"/>
  <c r="F361" i="14"/>
  <c r="S108" i="24"/>
  <c r="Q396" i="14"/>
  <c r="J25" i="24"/>
  <c r="I143" i="14" s="1"/>
  <c r="M360" i="14"/>
  <c r="M361" i="14"/>
  <c r="P6" i="19"/>
  <c r="F6" i="24"/>
  <c r="I32" i="24"/>
  <c r="H147" i="14" s="1"/>
  <c r="H146" i="14" s="1"/>
  <c r="S76" i="19"/>
  <c r="I31" i="24" s="1"/>
  <c r="H350" i="14"/>
  <c r="H348" i="14" s="1"/>
  <c r="Q524" i="14"/>
  <c r="Q522" i="14" s="1"/>
  <c r="M622" i="19"/>
  <c r="P129" i="24"/>
  <c r="X649" i="19"/>
  <c r="X670" i="19" s="1"/>
  <c r="I518" i="14"/>
  <c r="I517" i="14" s="1"/>
  <c r="T610" i="19"/>
  <c r="T631" i="19" s="1"/>
  <c r="M32" i="24"/>
  <c r="L147" i="14" s="1"/>
  <c r="W33" i="19"/>
  <c r="L407" i="14"/>
  <c r="L406" i="14" s="1"/>
  <c r="P16" i="24"/>
  <c r="O140" i="14" s="1"/>
  <c r="O157" i="14" s="1"/>
  <c r="H456" i="14"/>
  <c r="H254" i="14"/>
  <c r="D456" i="14"/>
  <c r="R31" i="19"/>
  <c r="O105" i="19"/>
  <c r="O104" i="19" s="1"/>
  <c r="O103" i="19" s="1"/>
  <c r="O124" i="19" s="1"/>
  <c r="J20" i="24"/>
  <c r="I142" i="14" s="1"/>
  <c r="H62" i="27"/>
  <c r="N19" i="19"/>
  <c r="W271" i="19"/>
  <c r="M31" i="24" s="1"/>
  <c r="E435" i="14"/>
  <c r="F38" i="11"/>
  <c r="M153" i="19"/>
  <c r="M70" i="19"/>
  <c r="P187" i="14"/>
  <c r="L387" i="14"/>
  <c r="E23" i="24"/>
  <c r="E70" i="24"/>
  <c r="G398" i="14"/>
  <c r="G417" i="14"/>
  <c r="G345" i="14"/>
  <c r="Q6" i="19"/>
  <c r="AA182" i="19"/>
  <c r="AA181" i="19" s="1"/>
  <c r="W298" i="19"/>
  <c r="W319" i="19" s="1"/>
  <c r="AB616" i="19"/>
  <c r="L503" i="14"/>
  <c r="C493" i="14"/>
  <c r="J493" i="14"/>
  <c r="P493" i="14"/>
  <c r="J522" i="14"/>
  <c r="L522" i="14"/>
  <c r="N66" i="27"/>
  <c r="B66" i="27"/>
  <c r="V116" i="24"/>
  <c r="F75" i="24"/>
  <c r="E201" i="14" s="1"/>
  <c r="E516" i="14"/>
  <c r="E533" i="14" s="1"/>
  <c r="P534" i="19"/>
  <c r="M534" i="19" s="1"/>
  <c r="I402" i="14"/>
  <c r="I401" i="14" s="1"/>
  <c r="T259" i="19"/>
  <c r="T280" i="19" s="1"/>
  <c r="H246" i="14"/>
  <c r="H417" i="14"/>
  <c r="E339" i="14"/>
  <c r="F7" i="24"/>
  <c r="E136" i="14" s="1"/>
  <c r="S21" i="19"/>
  <c r="S20" i="19" s="1"/>
  <c r="L61" i="27"/>
  <c r="H90" i="24"/>
  <c r="F456" i="14"/>
  <c r="E18" i="11"/>
  <c r="F18" i="11" s="1"/>
  <c r="M521" i="19"/>
  <c r="P522" i="19"/>
  <c r="H11" i="24"/>
  <c r="J187" i="14"/>
  <c r="K369" i="14"/>
  <c r="AB251" i="19"/>
  <c r="M251" i="19"/>
  <c r="L156" i="14"/>
  <c r="M4" i="19"/>
  <c r="M7" i="19"/>
  <c r="P18" i="19"/>
  <c r="M27" i="19"/>
  <c r="K464" i="14"/>
  <c r="Z11" i="19"/>
  <c r="E475" i="14"/>
  <c r="E13" i="11"/>
  <c r="F13" i="11" s="1"/>
  <c r="G13" i="11"/>
  <c r="M75" i="24"/>
  <c r="L201" i="14" s="1"/>
  <c r="L218" i="14" s="1"/>
  <c r="O11" i="24"/>
  <c r="D75" i="24"/>
  <c r="C201" i="14" s="1"/>
  <c r="C218" i="14" s="1"/>
  <c r="C516" i="14"/>
  <c r="C533" i="14" s="1"/>
  <c r="C449" i="14"/>
  <c r="C33" i="24"/>
  <c r="T148" i="14" s="1"/>
  <c r="X148" i="14" s="1"/>
  <c r="U30" i="19"/>
  <c r="N502" i="14"/>
  <c r="P466" i="14"/>
  <c r="P464" i="14" s="1"/>
  <c r="R610" i="19"/>
  <c r="R631" i="19" s="1"/>
  <c r="N16" i="19"/>
  <c r="E90" i="24"/>
  <c r="C98" i="24"/>
  <c r="T215" i="14" s="1"/>
  <c r="W215" i="14" s="1"/>
  <c r="G176" i="14"/>
  <c r="Q99" i="24"/>
  <c r="P219" i="14" s="1"/>
  <c r="Z8" i="19"/>
  <c r="V226" i="19"/>
  <c r="L25" i="24" s="1"/>
  <c r="K143" i="14" s="1"/>
  <c r="L26" i="24"/>
  <c r="Q30" i="24"/>
  <c r="P145" i="14" s="1"/>
  <c r="S145" i="14" s="1"/>
  <c r="AB153" i="19"/>
  <c r="O65" i="27"/>
  <c r="X249" i="14"/>
  <c r="U142" i="19"/>
  <c r="U163" i="19" s="1"/>
  <c r="W16" i="19"/>
  <c r="F11" i="24"/>
  <c r="N533" i="14"/>
  <c r="F435" i="14"/>
  <c r="N388" i="14"/>
  <c r="C406" i="14"/>
  <c r="G24" i="11"/>
  <c r="M495" i="19"/>
  <c r="M494" i="19" s="1"/>
  <c r="T173" i="14" s="1"/>
  <c r="G82" i="11"/>
  <c r="G69" i="11"/>
  <c r="M273" i="19"/>
  <c r="M271" i="19" s="1"/>
  <c r="E7" i="24"/>
  <c r="D136" i="14" s="1"/>
  <c r="L417" i="14"/>
  <c r="G25" i="24"/>
  <c r="F143" i="14" s="1"/>
  <c r="H233" i="14"/>
  <c r="N32" i="24"/>
  <c r="M147" i="14" s="1"/>
  <c r="M146" i="14" s="1"/>
  <c r="N473" i="14"/>
  <c r="D464" i="14"/>
  <c r="M227" i="19"/>
  <c r="M226" i="19" s="1"/>
  <c r="Q374" i="14" s="1"/>
  <c r="S213" i="14"/>
  <c r="R213" i="14"/>
  <c r="N89" i="24"/>
  <c r="M206" i="14" s="1"/>
  <c r="J350" i="14"/>
  <c r="T350" i="14" s="1"/>
  <c r="U76" i="19"/>
  <c r="K31" i="24" s="1"/>
  <c r="C398" i="14"/>
  <c r="H84" i="24"/>
  <c r="G204" i="14" s="1"/>
  <c r="AA670" i="19"/>
  <c r="G369" i="14"/>
  <c r="E417" i="14"/>
  <c r="P188" i="14"/>
  <c r="N8" i="19"/>
  <c r="F459" i="14"/>
  <c r="G492" i="14"/>
  <c r="M246" i="14"/>
  <c r="AG235" i="14" s="1"/>
  <c r="AB310" i="19"/>
  <c r="M475" i="14"/>
  <c r="M138" i="14"/>
  <c r="O534" i="14"/>
  <c r="AB608" i="19"/>
  <c r="AB178" i="19"/>
  <c r="AA571" i="19"/>
  <c r="AA592" i="19" s="1"/>
  <c r="K337" i="14"/>
  <c r="L473" i="14"/>
  <c r="K485" i="14"/>
  <c r="E75" i="27"/>
  <c r="E97" i="27"/>
  <c r="N26" i="24"/>
  <c r="X226" i="19"/>
  <c r="M374" i="14" s="1"/>
  <c r="V103" i="19"/>
  <c r="V124" i="19" s="1"/>
  <c r="I11" i="24"/>
  <c r="S376" i="19"/>
  <c r="S397" i="19" s="1"/>
  <c r="M446" i="14"/>
  <c r="Z532" i="19"/>
  <c r="Z553" i="19" s="1"/>
  <c r="AA376" i="19"/>
  <c r="AA397" i="19" s="1"/>
  <c r="K435" i="14"/>
  <c r="G27" i="11"/>
  <c r="P8" i="19"/>
  <c r="Q494" i="14"/>
  <c r="K361" i="14"/>
  <c r="I406" i="14"/>
  <c r="F188" i="14"/>
  <c r="N445" i="14"/>
  <c r="H89" i="24"/>
  <c r="G206" i="14" s="1"/>
  <c r="AB93" i="19"/>
  <c r="I337" i="14"/>
  <c r="M80" i="24"/>
  <c r="W650" i="19"/>
  <c r="W649" i="19" s="1"/>
  <c r="W670" i="19" s="1"/>
  <c r="K377" i="14"/>
  <c r="M21" i="24"/>
  <c r="L517" i="14"/>
  <c r="G446" i="14"/>
  <c r="O31" i="24"/>
  <c r="L435" i="14"/>
  <c r="K406" i="14"/>
  <c r="D90" i="24"/>
  <c r="N259" i="19"/>
  <c r="C425" i="14" s="1"/>
  <c r="F16" i="24"/>
  <c r="E140" i="14" s="1"/>
  <c r="E157" i="14" s="1"/>
  <c r="H393" i="14"/>
  <c r="G26" i="11"/>
  <c r="T532" i="19"/>
  <c r="T553" i="19" s="1"/>
  <c r="P183" i="19"/>
  <c r="F21" i="24" s="1"/>
  <c r="C8" i="24"/>
  <c r="D490" i="14"/>
  <c r="G233" i="14"/>
  <c r="E459" i="14"/>
  <c r="G376" i="14"/>
  <c r="M231" i="19"/>
  <c r="M192" i="19"/>
  <c r="X123" i="24" s="1"/>
  <c r="X122" i="24" s="1"/>
  <c r="G133" i="24"/>
  <c r="X571" i="19"/>
  <c r="X592" i="19" s="1"/>
  <c r="J199" i="14"/>
  <c r="H522" i="14"/>
  <c r="J58" i="27"/>
  <c r="J88" i="27"/>
  <c r="Z24" i="19"/>
  <c r="AB24" i="19" s="1"/>
  <c r="M615" i="19"/>
  <c r="C83" i="24" s="1"/>
  <c r="AB339" i="19"/>
  <c r="X415" i="19"/>
  <c r="X436" i="19" s="1"/>
  <c r="V17" i="19"/>
  <c r="K253" i="14"/>
  <c r="H123" i="24"/>
  <c r="H122" i="24" s="1"/>
  <c r="J70" i="24"/>
  <c r="P11" i="24"/>
  <c r="H533" i="14"/>
  <c r="O9" i="24"/>
  <c r="J406" i="14"/>
  <c r="H31" i="24"/>
  <c r="F388" i="14"/>
  <c r="J475" i="14"/>
  <c r="G38" i="11"/>
  <c r="H133" i="24"/>
  <c r="H132" i="24" s="1"/>
  <c r="AB599" i="19"/>
  <c r="K99" i="24"/>
  <c r="J219" i="14" s="1"/>
  <c r="J99" i="24"/>
  <c r="I219" i="14" s="1"/>
  <c r="I198" i="14"/>
  <c r="I217" i="14" s="1"/>
  <c r="N99" i="24"/>
  <c r="M219" i="14" s="1"/>
  <c r="N217" i="14"/>
  <c r="AB533" i="19"/>
  <c r="E127" i="24"/>
  <c r="K127" i="24"/>
  <c r="AB413" i="19"/>
  <c r="O436" i="19"/>
  <c r="AA21" i="19"/>
  <c r="AA20" i="19" s="1"/>
  <c r="S165" i="14"/>
  <c r="R165" i="14"/>
  <c r="AB132" i="19"/>
  <c r="AB329" i="19"/>
  <c r="M41" i="24"/>
  <c r="L159" i="14" s="1"/>
  <c r="K357" i="14"/>
  <c r="G357" i="14"/>
  <c r="Q70" i="24"/>
  <c r="O99" i="24"/>
  <c r="N219" i="14" s="1"/>
  <c r="G207" i="14"/>
  <c r="M661" i="19"/>
  <c r="M359" i="14"/>
  <c r="AB405" i="19"/>
  <c r="G177" i="14"/>
  <c r="K167" i="14"/>
  <c r="M382" i="19"/>
  <c r="I77" i="27"/>
  <c r="W571" i="19"/>
  <c r="W592" i="19" s="1"/>
  <c r="F155" i="14"/>
  <c r="R181" i="14"/>
  <c r="S181" i="14"/>
  <c r="F337" i="14"/>
  <c r="I357" i="14"/>
  <c r="M99" i="24"/>
  <c r="L219" i="14" s="1"/>
  <c r="M199" i="14"/>
  <c r="G514" i="14"/>
  <c r="Y415" i="19"/>
  <c r="Y436" i="19" s="1"/>
  <c r="M421" i="19"/>
  <c r="G49" i="11"/>
  <c r="M109" i="19"/>
  <c r="O417" i="14"/>
  <c r="F446" i="14"/>
  <c r="I427" i="14"/>
  <c r="D459" i="14"/>
  <c r="H386" i="14"/>
  <c r="H234" i="14"/>
  <c r="J11" i="24"/>
  <c r="N475" i="14"/>
  <c r="AB577" i="19"/>
  <c r="H357" i="14"/>
  <c r="N216" i="14"/>
  <c r="U128" i="24"/>
  <c r="U127" i="24" s="1"/>
  <c r="AB27" i="19"/>
  <c r="F84" i="24"/>
  <c r="E204" i="14" s="1"/>
  <c r="Q80" i="24"/>
  <c r="W112" i="24"/>
  <c r="D473" i="14"/>
  <c r="I76" i="27"/>
  <c r="O58" i="27"/>
  <c r="C58" i="27"/>
  <c r="M99" i="27"/>
  <c r="M75" i="27"/>
  <c r="G75" i="27"/>
  <c r="AB261" i="19"/>
  <c r="R687" i="19"/>
  <c r="R708" i="19" s="1"/>
  <c r="Q708" i="19"/>
  <c r="M699" i="19"/>
  <c r="AA30" i="19"/>
  <c r="C446" i="14"/>
  <c r="O445" i="14"/>
  <c r="L234" i="14"/>
  <c r="AF232" i="14" s="1"/>
  <c r="D133" i="24"/>
  <c r="AA493" i="19"/>
  <c r="C120" i="24" s="1"/>
  <c r="U571" i="19"/>
  <c r="U592" i="19" s="1"/>
  <c r="AB521" i="19"/>
  <c r="R4" i="24"/>
  <c r="F233" i="14"/>
  <c r="N186" i="14"/>
  <c r="E186" i="14"/>
  <c r="F357" i="14"/>
  <c r="V8" i="19"/>
  <c r="AB609" i="19"/>
  <c r="V493" i="19"/>
  <c r="V514" i="19" s="1"/>
  <c r="AB621" i="19"/>
  <c r="AB414" i="19"/>
  <c r="AB4" i="19"/>
  <c r="W687" i="19"/>
  <c r="W708" i="19" s="1"/>
  <c r="AA415" i="19"/>
  <c r="AA436" i="19" s="1"/>
  <c r="AB75" i="19"/>
  <c r="D123" i="24"/>
  <c r="G123" i="24"/>
  <c r="G122" i="24" s="1"/>
  <c r="S112" i="24"/>
  <c r="C228" i="14"/>
  <c r="N100" i="24"/>
  <c r="M220" i="14" s="1"/>
  <c r="I207" i="14"/>
  <c r="X687" i="19"/>
  <c r="X708" i="19" s="1"/>
  <c r="AB222" i="19"/>
  <c r="AB7" i="19"/>
  <c r="N687" i="19"/>
  <c r="N708" i="19" s="1"/>
  <c r="H518" i="14"/>
  <c r="H517" i="14" s="1"/>
  <c r="S610" i="19"/>
  <c r="S631" i="19" s="1"/>
  <c r="C62" i="27"/>
  <c r="C61" i="27" s="1"/>
  <c r="O142" i="19"/>
  <c r="O163" i="19" s="1"/>
  <c r="T298" i="19"/>
  <c r="T319" i="19" s="1"/>
  <c r="I431" i="14"/>
  <c r="I430" i="14" s="1"/>
  <c r="D76" i="24"/>
  <c r="C518" i="14"/>
  <c r="C517" i="14" s="1"/>
  <c r="N610" i="19"/>
  <c r="N631" i="19" s="1"/>
  <c r="C66" i="24"/>
  <c r="T197" i="14" s="1"/>
  <c r="Q109" i="24"/>
  <c r="W165" i="14"/>
  <c r="X165" i="14"/>
  <c r="G460" i="14"/>
  <c r="G459" i="14" s="1"/>
  <c r="R337" i="19"/>
  <c r="R358" i="19" s="1"/>
  <c r="Z688" i="19"/>
  <c r="AB689" i="19"/>
  <c r="Z64" i="19"/>
  <c r="Z85" i="19" s="1"/>
  <c r="AB65" i="19"/>
  <c r="O344" i="14"/>
  <c r="U31" i="19"/>
  <c r="I237" i="14"/>
  <c r="T31" i="19"/>
  <c r="G475" i="14"/>
  <c r="F372" i="14"/>
  <c r="R18" i="19"/>
  <c r="H9" i="24"/>
  <c r="R104" i="19"/>
  <c r="G344" i="14" s="1"/>
  <c r="M35" i="19"/>
  <c r="M22" i="19"/>
  <c r="N572" i="19"/>
  <c r="C489" i="14" s="1"/>
  <c r="B61" i="27"/>
  <c r="E446" i="14"/>
  <c r="M39" i="19"/>
  <c r="Q17" i="19"/>
  <c r="G31" i="11"/>
  <c r="E31" i="11"/>
  <c r="F31" i="11" s="1"/>
  <c r="E45" i="11"/>
  <c r="F45" i="11" s="1"/>
  <c r="G45" i="11"/>
  <c r="S9" i="19"/>
  <c r="J369" i="14"/>
  <c r="Q368" i="14"/>
  <c r="Q369" i="14" s="1"/>
  <c r="J387" i="14"/>
  <c r="S249" i="14"/>
  <c r="R249" i="14"/>
  <c r="M197" i="14"/>
  <c r="U66" i="24"/>
  <c r="L76" i="27"/>
  <c r="L88" i="27"/>
  <c r="J75" i="27"/>
  <c r="J99" i="27"/>
  <c r="L95" i="27"/>
  <c r="L66" i="27"/>
  <c r="D97" i="27"/>
  <c r="D75" i="27"/>
  <c r="AB651" i="19"/>
  <c r="Z650" i="19"/>
  <c r="AB650" i="19" s="1"/>
  <c r="P80" i="24"/>
  <c r="M456" i="19"/>
  <c r="M455" i="19" s="1"/>
  <c r="D254" i="14"/>
  <c r="S687" i="19"/>
  <c r="S708" i="19" s="1"/>
  <c r="M34" i="19"/>
  <c r="J16" i="24"/>
  <c r="I140" i="14" s="1"/>
  <c r="I157" i="14" s="1"/>
  <c r="K20" i="24"/>
  <c r="J142" i="14" s="1"/>
  <c r="J456" i="14"/>
  <c r="Q455" i="14"/>
  <c r="Q456" i="14" s="1"/>
  <c r="N345" i="14"/>
  <c r="G373" i="14"/>
  <c r="G372" i="14" s="1"/>
  <c r="I84" i="24"/>
  <c r="H204" i="14" s="1"/>
  <c r="P84" i="24"/>
  <c r="O204" i="14" s="1"/>
  <c r="AB134" i="19"/>
  <c r="Q18" i="19"/>
  <c r="P17" i="19"/>
  <c r="Q347" i="14"/>
  <c r="Q499" i="14"/>
  <c r="C96" i="24"/>
  <c r="T213" i="14" s="1"/>
  <c r="X213" i="14" s="1"/>
  <c r="I448" i="14"/>
  <c r="E233" i="14"/>
  <c r="K76" i="27"/>
  <c r="K88" i="27"/>
  <c r="M66" i="27"/>
  <c r="M80" i="27" s="1"/>
  <c r="M100" i="27"/>
  <c r="M612" i="19"/>
  <c r="X25" i="19"/>
  <c r="AB6" i="19"/>
  <c r="F156" i="14"/>
  <c r="U103" i="19"/>
  <c r="U124" i="19" s="1"/>
  <c r="D475" i="14"/>
  <c r="O371" i="14"/>
  <c r="O388" i="14" s="1"/>
  <c r="R17" i="19"/>
  <c r="X16" i="19"/>
  <c r="I489" i="14"/>
  <c r="G406" i="14"/>
  <c r="P11" i="19"/>
  <c r="L446" i="14"/>
  <c r="I506" i="14"/>
  <c r="M66" i="19"/>
  <c r="M65" i="19" s="1"/>
  <c r="E86" i="11"/>
  <c r="F86" i="11" s="1"/>
  <c r="E57" i="11"/>
  <c r="F57" i="11" s="1"/>
  <c r="G57" i="11"/>
  <c r="E77" i="11"/>
  <c r="F77" i="11" s="1"/>
  <c r="G77" i="11"/>
  <c r="H369" i="14"/>
  <c r="G80" i="24"/>
  <c r="Q533" i="19"/>
  <c r="F489" i="14" s="1"/>
  <c r="AA337" i="19"/>
  <c r="E118" i="24" s="1"/>
  <c r="P460" i="14"/>
  <c r="AB338" i="19"/>
  <c r="S247" i="14"/>
  <c r="P246" i="14"/>
  <c r="AJ235" i="14" s="1"/>
  <c r="C93" i="24"/>
  <c r="T210" i="14" s="1"/>
  <c r="W210" i="14" s="1"/>
  <c r="M522" i="14"/>
  <c r="P16" i="19"/>
  <c r="W553" i="19"/>
  <c r="J431" i="14"/>
  <c r="J430" i="14" s="1"/>
  <c r="I9" i="24"/>
  <c r="L490" i="14"/>
  <c r="M84" i="24"/>
  <c r="L204" i="14" s="1"/>
  <c r="E60" i="11"/>
  <c r="F60" i="11" s="1"/>
  <c r="R64" i="19"/>
  <c r="R85" i="19" s="1"/>
  <c r="C35" i="24"/>
  <c r="T150" i="14" s="1"/>
  <c r="W150" i="14" s="1"/>
  <c r="M560" i="19"/>
  <c r="F78" i="11"/>
  <c r="E87" i="11"/>
  <c r="F87" i="11" s="1"/>
  <c r="G87" i="11"/>
  <c r="H26" i="11"/>
  <c r="L26" i="11" s="1"/>
  <c r="B32" i="10"/>
  <c r="C341" i="14"/>
  <c r="C361" i="14"/>
  <c r="J416" i="14"/>
  <c r="P445" i="14"/>
  <c r="P427" i="14"/>
  <c r="K77" i="27"/>
  <c r="AB180" i="19"/>
  <c r="Z337" i="19"/>
  <c r="Z358" i="19" s="1"/>
  <c r="O460" i="14"/>
  <c r="O459" i="14" s="1"/>
  <c r="P70" i="24"/>
  <c r="AB563" i="19"/>
  <c r="L460" i="14"/>
  <c r="L459" i="14" s="1"/>
  <c r="L478" i="14" s="1"/>
  <c r="W337" i="19"/>
  <c r="W358" i="19" s="1"/>
  <c r="O16" i="19"/>
  <c r="O387" i="14"/>
  <c r="O369" i="14"/>
  <c r="I493" i="14"/>
  <c r="D522" i="14"/>
  <c r="D536" i="14" s="1"/>
  <c r="AB105" i="19"/>
  <c r="Q21" i="24"/>
  <c r="AA104" i="19"/>
  <c r="AB104" i="19" s="1"/>
  <c r="F246" i="14"/>
  <c r="E16" i="24"/>
  <c r="D140" i="14" s="1"/>
  <c r="P9" i="24"/>
  <c r="M154" i="19"/>
  <c r="D173" i="14"/>
  <c r="D172" i="14" s="1"/>
  <c r="O493" i="19"/>
  <c r="O514" i="19" s="1"/>
  <c r="AA533" i="19"/>
  <c r="AA532" i="19" s="1"/>
  <c r="H80" i="24"/>
  <c r="R572" i="19"/>
  <c r="G489" i="14" s="1"/>
  <c r="G488" i="14" s="1"/>
  <c r="O571" i="19"/>
  <c r="O592" i="19" s="1"/>
  <c r="K63" i="27"/>
  <c r="K91" i="27" s="1"/>
  <c r="W142" i="19"/>
  <c r="W163" i="19" s="1"/>
  <c r="U9" i="19"/>
  <c r="E48" i="11"/>
  <c r="F48" i="11" s="1"/>
  <c r="E73" i="11"/>
  <c r="F73" i="11" s="1"/>
  <c r="C59" i="24"/>
  <c r="L361" i="14"/>
  <c r="L341" i="14"/>
  <c r="L360" i="14"/>
  <c r="K503" i="14"/>
  <c r="AB38" i="19"/>
  <c r="P242" i="14"/>
  <c r="Q242" i="14" s="1"/>
  <c r="R553" i="19"/>
  <c r="G403" i="14"/>
  <c r="G401" i="14" s="1"/>
  <c r="K9" i="24"/>
  <c r="F377" i="14"/>
  <c r="Q516" i="14"/>
  <c r="M533" i="14"/>
  <c r="N220" i="19"/>
  <c r="N241" i="19" s="1"/>
  <c r="M373" i="14"/>
  <c r="I80" i="24"/>
  <c r="AB271" i="19"/>
  <c r="P75" i="24"/>
  <c r="O201" i="14" s="1"/>
  <c r="Z298" i="19"/>
  <c r="Z319" i="19" s="1"/>
  <c r="O431" i="14"/>
  <c r="O430" i="14" s="1"/>
  <c r="O449" i="14" s="1"/>
  <c r="G31" i="24"/>
  <c r="F67" i="11"/>
  <c r="S8" i="19"/>
  <c r="H16" i="24"/>
  <c r="G140" i="14" s="1"/>
  <c r="T11" i="19"/>
  <c r="Q123" i="24"/>
  <c r="E71" i="11"/>
  <c r="F71" i="11" s="1"/>
  <c r="E35" i="11"/>
  <c r="F35" i="11" s="1"/>
  <c r="G35" i="11"/>
  <c r="Z108" i="24"/>
  <c r="X107" i="24"/>
  <c r="H187" i="14"/>
  <c r="H167" i="14"/>
  <c r="P522" i="14"/>
  <c r="Y65" i="19"/>
  <c r="O21" i="24"/>
  <c r="AA610" i="19"/>
  <c r="P518" i="14"/>
  <c r="P517" i="14" s="1"/>
  <c r="G16" i="24"/>
  <c r="F140" i="14" s="1"/>
  <c r="F157" i="14" s="1"/>
  <c r="P142" i="19"/>
  <c r="U11" i="19"/>
  <c r="O358" i="19"/>
  <c r="Q483" i="14"/>
  <c r="I16" i="24"/>
  <c r="H140" i="14" s="1"/>
  <c r="D359" i="14"/>
  <c r="C22" i="24"/>
  <c r="M76" i="27"/>
  <c r="M58" i="27"/>
  <c r="K359" i="14"/>
  <c r="P156" i="14"/>
  <c r="J474" i="14"/>
  <c r="K431" i="14"/>
  <c r="K430" i="14" s="1"/>
  <c r="K25" i="24"/>
  <c r="J143" i="14" s="1"/>
  <c r="W610" i="19"/>
  <c r="T142" i="19"/>
  <c r="T163" i="19" s="1"/>
  <c r="O516" i="14"/>
  <c r="O533" i="14" s="1"/>
  <c r="Q16" i="19"/>
  <c r="Z103" i="19"/>
  <c r="Z124" i="19" s="1"/>
  <c r="P25" i="24"/>
  <c r="O143" i="14" s="1"/>
  <c r="P561" i="19"/>
  <c r="D31" i="24"/>
  <c r="F403" i="14"/>
  <c r="F401" i="14" s="1"/>
  <c r="C92" i="24"/>
  <c r="T208" i="14" s="1"/>
  <c r="E25" i="24"/>
  <c r="D143" i="14" s="1"/>
  <c r="E9" i="11"/>
  <c r="F9" i="11" s="1"/>
  <c r="O173" i="14"/>
  <c r="R173" i="14" s="1"/>
  <c r="G421" i="14"/>
  <c r="N142" i="19"/>
  <c r="N163" i="19" s="1"/>
  <c r="R210" i="14"/>
  <c r="S210" i="14"/>
  <c r="I502" i="14"/>
  <c r="Z18" i="19"/>
  <c r="O254" i="14"/>
  <c r="K75" i="27"/>
  <c r="K66" i="27"/>
  <c r="N90" i="24"/>
  <c r="K475" i="14"/>
  <c r="N20" i="24"/>
  <c r="M142" i="14" s="1"/>
  <c r="D253" i="14"/>
  <c r="O490" i="14"/>
  <c r="L431" i="14"/>
  <c r="L430" i="14" s="1"/>
  <c r="K345" i="14"/>
  <c r="K343" i="14" s="1"/>
  <c r="E373" i="14"/>
  <c r="E372" i="14" s="1"/>
  <c r="S16" i="19"/>
  <c r="G119" i="24"/>
  <c r="H25" i="24"/>
  <c r="G143" i="14" s="1"/>
  <c r="O25" i="24"/>
  <c r="N143" i="14" s="1"/>
  <c r="P516" i="14"/>
  <c r="P533" i="14" s="1"/>
  <c r="I446" i="14"/>
  <c r="G84" i="24"/>
  <c r="F204" i="14" s="1"/>
  <c r="F133" i="24"/>
  <c r="Q11" i="19"/>
  <c r="Q434" i="14"/>
  <c r="T123" i="24"/>
  <c r="T493" i="19"/>
  <c r="T514" i="19" s="1"/>
  <c r="I174" i="14"/>
  <c r="I172" i="14" s="1"/>
  <c r="P386" i="14"/>
  <c r="P377" i="14"/>
  <c r="J393" i="14"/>
  <c r="K100" i="24"/>
  <c r="J220" i="14" s="1"/>
  <c r="J100" i="24"/>
  <c r="I220" i="14" s="1"/>
  <c r="AB15" i="19"/>
  <c r="P254" i="14"/>
  <c r="AB144" i="19"/>
  <c r="AA143" i="19"/>
  <c r="AB143" i="19" s="1"/>
  <c r="N522" i="14"/>
  <c r="D403" i="14"/>
  <c r="Q25" i="24"/>
  <c r="P143" i="14" s="1"/>
  <c r="S143" i="14" s="1"/>
  <c r="V631" i="19"/>
  <c r="I75" i="24"/>
  <c r="H201" i="14" s="1"/>
  <c r="L70" i="24"/>
  <c r="AB140" i="19"/>
  <c r="AB109" i="19"/>
  <c r="F226" i="14"/>
  <c r="F167" i="14"/>
  <c r="E403" i="14"/>
  <c r="M144" i="19"/>
  <c r="M143" i="19" s="1"/>
  <c r="F70" i="24"/>
  <c r="P110" i="24"/>
  <c r="P107" i="24" s="1"/>
  <c r="F25" i="24"/>
  <c r="E143" i="14" s="1"/>
  <c r="P403" i="14"/>
  <c r="P401" i="14" s="1"/>
  <c r="P420" i="14" s="1"/>
  <c r="AA259" i="19"/>
  <c r="AA280" i="19" s="1"/>
  <c r="S152" i="14"/>
  <c r="R152" i="14"/>
  <c r="M337" i="14"/>
  <c r="L337" i="14"/>
  <c r="L502" i="14"/>
  <c r="Q513" i="14"/>
  <c r="Q514" i="14" s="1"/>
  <c r="M514" i="14"/>
  <c r="M532" i="14"/>
  <c r="G522" i="14"/>
  <c r="AB495" i="19"/>
  <c r="AB453" i="19"/>
  <c r="Y17" i="19"/>
  <c r="M37" i="19"/>
  <c r="C86" i="24"/>
  <c r="M538" i="19"/>
  <c r="P358" i="14"/>
  <c r="N40" i="24"/>
  <c r="M158" i="14" s="1"/>
  <c r="S13" i="24"/>
  <c r="T129" i="24"/>
  <c r="Q486" i="14"/>
  <c r="M503" i="14"/>
  <c r="K502" i="14"/>
  <c r="AB534" i="19"/>
  <c r="N372" i="14"/>
  <c r="D372" i="14"/>
  <c r="Q8" i="19"/>
  <c r="S15" i="24"/>
  <c r="H217" i="14"/>
  <c r="H199" i="14"/>
  <c r="J502" i="14"/>
  <c r="I490" i="14"/>
  <c r="G68" i="24"/>
  <c r="N9" i="24"/>
  <c r="G64" i="11"/>
  <c r="E64" i="11"/>
  <c r="F64" i="11" s="1"/>
  <c r="C81" i="24"/>
  <c r="J172" i="14"/>
  <c r="K417" i="14"/>
  <c r="O360" i="14"/>
  <c r="O361" i="14"/>
  <c r="M60" i="27"/>
  <c r="M77" i="27" s="1"/>
  <c r="M139" i="19"/>
  <c r="P60" i="27" s="1"/>
  <c r="R60" i="27" s="1"/>
  <c r="Q60" i="27" s="1"/>
  <c r="K459" i="14"/>
  <c r="S7" i="24"/>
  <c r="N136" i="14"/>
  <c r="G137" i="14"/>
  <c r="G156" i="14" s="1"/>
  <c r="H40" i="24"/>
  <c r="G158" i="14" s="1"/>
  <c r="P532" i="14"/>
  <c r="S220" i="19"/>
  <c r="S241" i="19" s="1"/>
  <c r="M70" i="24"/>
  <c r="N11" i="19"/>
  <c r="AB210" i="19"/>
  <c r="J90" i="24"/>
  <c r="K246" i="14"/>
  <c r="AE235" i="14" s="1"/>
  <c r="G48" i="11"/>
  <c r="G55" i="11"/>
  <c r="G41" i="11"/>
  <c r="Q571" i="19"/>
  <c r="Q592" i="19" s="1"/>
  <c r="T180" i="14"/>
  <c r="W180" i="14" s="1"/>
  <c r="M505" i="19"/>
  <c r="P135" i="24" s="1"/>
  <c r="M222" i="19"/>
  <c r="M221" i="19" s="1"/>
  <c r="X128" i="24"/>
  <c r="F358" i="14"/>
  <c r="E188" i="14"/>
  <c r="G67" i="24"/>
  <c r="L77" i="27"/>
  <c r="J461" i="14"/>
  <c r="J459" i="14" s="1"/>
  <c r="U337" i="19"/>
  <c r="U358" i="19" s="1"/>
  <c r="AB485" i="19"/>
  <c r="E464" i="14"/>
  <c r="N70" i="24"/>
  <c r="I21" i="24"/>
  <c r="Q220" i="19"/>
  <c r="Q241" i="19" s="1"/>
  <c r="J79" i="24"/>
  <c r="I203" i="14" s="1"/>
  <c r="I90" i="24"/>
  <c r="D406" i="14"/>
  <c r="G83" i="11"/>
  <c r="G23" i="11"/>
  <c r="C12" i="24"/>
  <c r="E172" i="14"/>
  <c r="P172" i="14"/>
  <c r="S173" i="14"/>
  <c r="S172" i="14" s="1"/>
  <c r="P260" i="19"/>
  <c r="E402" i="14" s="1"/>
  <c r="F421" i="14" s="1"/>
  <c r="AB62" i="19"/>
  <c r="N253" i="14"/>
  <c r="L402" i="14"/>
  <c r="L401" i="14" s="1"/>
  <c r="AB258" i="19"/>
  <c r="AB296" i="19"/>
  <c r="P447" i="14"/>
  <c r="AB366" i="19"/>
  <c r="C63" i="24"/>
  <c r="AB70" i="19"/>
  <c r="Y337" i="19"/>
  <c r="Y358" i="19" s="1"/>
  <c r="N460" i="14"/>
  <c r="N459" i="14" s="1"/>
  <c r="M136" i="14"/>
  <c r="U7" i="24"/>
  <c r="N155" i="14"/>
  <c r="AB417" i="19"/>
  <c r="Z416" i="19"/>
  <c r="L138" i="24"/>
  <c r="M29" i="19"/>
  <c r="M679" i="19"/>
  <c r="C70" i="24" s="1"/>
  <c r="AB679" i="19"/>
  <c r="T176" i="14"/>
  <c r="X176" i="14" s="1"/>
  <c r="P125" i="24"/>
  <c r="C91" i="24"/>
  <c r="T209" i="14" s="1"/>
  <c r="K172" i="14"/>
  <c r="G246" i="14"/>
  <c r="G225" i="14"/>
  <c r="J31" i="24"/>
  <c r="M265" i="19"/>
  <c r="K233" i="14"/>
  <c r="AE231" i="14" s="1"/>
  <c r="I234" i="14"/>
  <c r="O456" i="14"/>
  <c r="O474" i="14"/>
  <c r="V533" i="19"/>
  <c r="V532" i="19" s="1"/>
  <c r="V553" i="19" s="1"/>
  <c r="L80" i="24"/>
  <c r="J21" i="24"/>
  <c r="K75" i="24"/>
  <c r="J201" i="14" s="1"/>
  <c r="J218" i="14" s="1"/>
  <c r="U376" i="19"/>
  <c r="U397" i="19" s="1"/>
  <c r="D388" i="14"/>
  <c r="P592" i="19"/>
  <c r="P372" i="14"/>
  <c r="T128" i="24"/>
  <c r="O35" i="19"/>
  <c r="D188" i="14"/>
  <c r="E67" i="24"/>
  <c r="C85" i="24"/>
  <c r="D28" i="24"/>
  <c r="M416" i="14"/>
  <c r="N167" i="14"/>
  <c r="N187" i="14"/>
  <c r="O357" i="14"/>
  <c r="F20" i="11"/>
  <c r="Q473" i="14"/>
  <c r="D155" i="14"/>
  <c r="D67" i="24"/>
  <c r="C27" i="24"/>
  <c r="Q427" i="14"/>
  <c r="M187" i="14"/>
  <c r="E415" i="14"/>
  <c r="S209" i="14"/>
  <c r="R209" i="14"/>
  <c r="G66" i="27"/>
  <c r="AB10" i="19"/>
  <c r="G54" i="11"/>
  <c r="F54" i="11"/>
  <c r="H358" i="14"/>
  <c r="H341" i="14"/>
  <c r="K416" i="14"/>
  <c r="E427" i="14"/>
  <c r="R212" i="14"/>
  <c r="S212" i="14"/>
  <c r="P216" i="14"/>
  <c r="S216" i="14" s="1"/>
  <c r="N76" i="27"/>
  <c r="N58" i="27"/>
  <c r="L75" i="27"/>
  <c r="L99" i="27"/>
  <c r="F75" i="27"/>
  <c r="F97" i="27"/>
  <c r="AB226" i="19"/>
  <c r="L146" i="14"/>
  <c r="H505" i="14"/>
  <c r="H485" i="14"/>
  <c r="O531" i="14"/>
  <c r="F67" i="24"/>
  <c r="D77" i="24"/>
  <c r="N358" i="14"/>
  <c r="T8" i="19"/>
  <c r="J67" i="24"/>
  <c r="C95" i="24"/>
  <c r="T212" i="14" s="1"/>
  <c r="Q498" i="14"/>
  <c r="Q502" i="14" s="1"/>
  <c r="C358" i="14"/>
  <c r="E398" i="14"/>
  <c r="C28" i="24"/>
  <c r="L398" i="14"/>
  <c r="AB249" i="19"/>
  <c r="AB568" i="19"/>
  <c r="N190" i="14"/>
  <c r="AB492" i="19"/>
  <c r="O70" i="24"/>
  <c r="O415" i="14"/>
  <c r="C473" i="14"/>
  <c r="O473" i="14"/>
  <c r="I485" i="14"/>
  <c r="N531" i="14"/>
  <c r="AB612" i="19"/>
  <c r="M341" i="14"/>
  <c r="M358" i="14"/>
  <c r="AB256" i="19"/>
  <c r="P400" i="14"/>
  <c r="P417" i="14" s="1"/>
  <c r="I386" i="14"/>
  <c r="M599" i="19"/>
  <c r="F502" i="14"/>
  <c r="L532" i="14"/>
  <c r="G146" i="14"/>
  <c r="AB76" i="19"/>
  <c r="P456" i="14"/>
  <c r="P474" i="14"/>
  <c r="Z220" i="19"/>
  <c r="Z241" i="19" s="1"/>
  <c r="R180" i="14"/>
  <c r="R197" i="14"/>
  <c r="S197" i="14"/>
  <c r="L100" i="24"/>
  <c r="K220" i="14" s="1"/>
  <c r="C459" i="14"/>
  <c r="J398" i="14"/>
  <c r="P475" i="14"/>
  <c r="O377" i="14"/>
  <c r="O391" i="14" s="1"/>
  <c r="J402" i="14"/>
  <c r="J401" i="14" s="1"/>
  <c r="U259" i="19"/>
  <c r="U280" i="19" s="1"/>
  <c r="M233" i="14"/>
  <c r="AG231" i="14" s="1"/>
  <c r="N146" i="14"/>
  <c r="S149" i="14"/>
  <c r="R149" i="14"/>
  <c r="C177" i="14"/>
  <c r="L177" i="14"/>
  <c r="D177" i="14"/>
  <c r="C348" i="14"/>
  <c r="O348" i="14"/>
  <c r="L336" i="14"/>
  <c r="E357" i="14"/>
  <c r="M288" i="19"/>
  <c r="M339" i="19"/>
  <c r="M338" i="19" s="1"/>
  <c r="AB661" i="19"/>
  <c r="X64" i="19"/>
  <c r="X85" i="19" s="1"/>
  <c r="AB219" i="19"/>
  <c r="N67" i="24"/>
  <c r="Q41" i="24"/>
  <c r="H155" i="14"/>
  <c r="N357" i="14"/>
  <c r="L99" i="24"/>
  <c r="K219" i="14" s="1"/>
  <c r="P485" i="14"/>
  <c r="P505" i="14"/>
  <c r="M427" i="19"/>
  <c r="AB446" i="19"/>
  <c r="P687" i="19"/>
  <c r="R8" i="19"/>
  <c r="C233" i="14"/>
  <c r="D398" i="14"/>
  <c r="O167" i="14"/>
  <c r="O234" i="14"/>
  <c r="AI232" i="14" s="1"/>
  <c r="AB583" i="19"/>
  <c r="L68" i="24"/>
  <c r="M489" i="14"/>
  <c r="W8" i="19"/>
  <c r="W522" i="19"/>
  <c r="K348" i="14"/>
  <c r="J337" i="14"/>
  <c r="M415" i="14"/>
  <c r="K473" i="14"/>
  <c r="P99" i="24"/>
  <c r="O219" i="14" s="1"/>
  <c r="O76" i="27"/>
  <c r="I58" i="27"/>
  <c r="T415" i="19"/>
  <c r="T436" i="19" s="1"/>
  <c r="AA454" i="19"/>
  <c r="AA475" i="19" s="1"/>
  <c r="G360" i="14"/>
  <c r="C23" i="24"/>
  <c r="C167" i="14"/>
  <c r="L427" i="14"/>
  <c r="L246" i="14"/>
  <c r="AF235" i="14" s="1"/>
  <c r="AB334" i="19"/>
  <c r="AB61" i="19"/>
  <c r="Z493" i="19"/>
  <c r="Z514" i="19" s="1"/>
  <c r="L489" i="14"/>
  <c r="U493" i="19"/>
  <c r="U514" i="19" s="1"/>
  <c r="H186" i="14"/>
  <c r="L348" i="14"/>
  <c r="J473" i="14"/>
  <c r="Q531" i="14"/>
  <c r="U415" i="19"/>
  <c r="U436" i="19" s="1"/>
  <c r="Q444" i="14"/>
  <c r="O427" i="14"/>
  <c r="M167" i="14"/>
  <c r="N233" i="14"/>
  <c r="O475" i="14"/>
  <c r="AB530" i="19"/>
  <c r="L138" i="14"/>
  <c r="Y493" i="19"/>
  <c r="Y514" i="19" s="1"/>
  <c r="AB505" i="19"/>
  <c r="J489" i="14"/>
  <c r="J488" i="14" s="1"/>
  <c r="U8" i="19"/>
  <c r="G40" i="24"/>
  <c r="F158" i="14" s="1"/>
  <c r="I41" i="24"/>
  <c r="H159" i="14" s="1"/>
  <c r="K155" i="14"/>
  <c r="R178" i="14"/>
  <c r="G186" i="14"/>
  <c r="G337" i="14"/>
  <c r="J357" i="14"/>
  <c r="R63" i="24"/>
  <c r="I216" i="14"/>
  <c r="G377" i="14"/>
  <c r="O398" i="14"/>
  <c r="AB95" i="19"/>
  <c r="N77" i="27"/>
  <c r="AB187" i="19"/>
  <c r="AB290" i="19"/>
  <c r="F40" i="24"/>
  <c r="E158" i="14" s="1"/>
  <c r="H41" i="24"/>
  <c r="G159" i="14" s="1"/>
  <c r="R179" i="14"/>
  <c r="I186" i="14"/>
  <c r="AB460" i="19"/>
  <c r="Y687" i="19"/>
  <c r="Y708" i="19" s="1"/>
  <c r="AB66" i="19"/>
  <c r="L474" i="14"/>
  <c r="AB179" i="19"/>
  <c r="L67" i="24"/>
  <c r="S12" i="24"/>
  <c r="J177" i="14"/>
  <c r="M186" i="14"/>
  <c r="P186" i="14"/>
  <c r="I348" i="14"/>
  <c r="P357" i="14"/>
  <c r="D357" i="14"/>
  <c r="N377" i="14"/>
  <c r="J216" i="14"/>
  <c r="K532" i="14"/>
  <c r="V454" i="19"/>
  <c r="V475" i="19" s="1"/>
  <c r="M460" i="19"/>
  <c r="T687" i="19"/>
  <c r="T708" i="19" s="1"/>
  <c r="M693" i="19"/>
  <c r="AA687" i="19"/>
  <c r="AA708" i="19" s="1"/>
  <c r="C107" i="24"/>
  <c r="F99" i="24"/>
  <c r="E219" i="14" s="1"/>
  <c r="I99" i="24"/>
  <c r="H219" i="14" s="1"/>
  <c r="E100" i="24"/>
  <c r="D220" i="14" s="1"/>
  <c r="D502" i="14"/>
  <c r="C514" i="14"/>
  <c r="W415" i="19"/>
  <c r="W436" i="19" s="1"/>
  <c r="L133" i="24"/>
  <c r="AB23" i="19"/>
  <c r="AB28" i="19"/>
  <c r="E207" i="14"/>
  <c r="N503" i="14"/>
  <c r="O502" i="14"/>
  <c r="H66" i="27"/>
  <c r="J66" i="27"/>
  <c r="B75" i="27"/>
  <c r="D66" i="27"/>
  <c r="M405" i="19"/>
  <c r="C10" i="24"/>
  <c r="C207" i="14"/>
  <c r="C386" i="14"/>
  <c r="D415" i="14"/>
  <c r="AB647" i="19"/>
  <c r="P58" i="27"/>
  <c r="R58" i="27" s="1"/>
  <c r="K58" i="27"/>
  <c r="E58" i="27"/>
  <c r="I66" i="27"/>
  <c r="O75" i="27"/>
  <c r="I75" i="27"/>
  <c r="Q415" i="19"/>
  <c r="Q436" i="19" s="1"/>
  <c r="AB421" i="19"/>
  <c r="AB427" i="19"/>
  <c r="AB444" i="19"/>
  <c r="P454" i="19"/>
  <c r="M689" i="19"/>
  <c r="M688" i="19" s="1"/>
  <c r="G216" i="14"/>
  <c r="L485" i="14"/>
  <c r="J76" i="27"/>
  <c r="B58" i="27"/>
  <c r="D58" i="27"/>
  <c r="N75" i="27"/>
  <c r="H75" i="27"/>
  <c r="C122" i="24"/>
  <c r="N108" i="24"/>
  <c r="B20" i="10"/>
  <c r="L14" i="11"/>
  <c r="B88" i="10"/>
  <c r="H33" i="11"/>
  <c r="L33" i="11" s="1"/>
  <c r="K14" i="11"/>
  <c r="H74" i="11"/>
  <c r="K74" i="11" s="1"/>
  <c r="H64" i="11"/>
  <c r="K64" i="11" s="1"/>
  <c r="K60" i="11"/>
  <c r="B37" i="10"/>
  <c r="K17" i="11"/>
  <c r="K76" i="11"/>
  <c r="H22" i="11"/>
  <c r="L22" i="11" s="1"/>
  <c r="H27" i="11"/>
  <c r="L27" i="11" s="1"/>
  <c r="H47" i="11"/>
  <c r="L47" i="11" s="1"/>
  <c r="B79" i="10"/>
  <c r="H84" i="11"/>
  <c r="L84" i="11" s="1"/>
  <c r="B89" i="10"/>
  <c r="H52" i="11"/>
  <c r="L52" i="11" s="1"/>
  <c r="K75" i="11"/>
  <c r="K78" i="11"/>
  <c r="B81" i="10"/>
  <c r="K57" i="11"/>
  <c r="B68" i="10"/>
  <c r="H56" i="11"/>
  <c r="L56" i="11" s="1"/>
  <c r="H68" i="11"/>
  <c r="K68" i="11" s="1"/>
  <c r="K87" i="11"/>
  <c r="K63" i="11"/>
  <c r="B96" i="10"/>
  <c r="B41" i="10"/>
  <c r="H50" i="11"/>
  <c r="K50" i="11" s="1"/>
  <c r="K86" i="11"/>
  <c r="L41" i="11"/>
  <c r="K41" i="11"/>
  <c r="F10" i="11"/>
  <c r="B93" i="10"/>
  <c r="G30" i="11"/>
  <c r="E53" i="11"/>
  <c r="F53" i="11" s="1"/>
  <c r="H70" i="11"/>
  <c r="F23" i="11"/>
  <c r="F46" i="11"/>
  <c r="G62" i="11"/>
  <c r="G46" i="11"/>
  <c r="K8" i="11"/>
  <c r="F30" i="11"/>
  <c r="H80" i="11"/>
  <c r="B97" i="10"/>
  <c r="B44" i="10"/>
  <c r="G61" i="11"/>
  <c r="G76" i="11"/>
  <c r="F63" i="11"/>
  <c r="B34" i="10"/>
  <c r="G15" i="11"/>
  <c r="G78" i="11"/>
  <c r="G33" i="11"/>
  <c r="K35" i="11"/>
  <c r="G40" i="11"/>
  <c r="H13" i="11"/>
  <c r="L13" i="11" s="1"/>
  <c r="E19" i="11"/>
  <c r="F19" i="11" s="1"/>
  <c r="L63" i="11"/>
  <c r="L60" i="11"/>
  <c r="K38" i="11"/>
  <c r="G63" i="11"/>
  <c r="F65" i="11"/>
  <c r="G70" i="11"/>
  <c r="B98" i="10"/>
  <c r="G75" i="11"/>
  <c r="G52" i="11"/>
  <c r="B23" i="10"/>
  <c r="F61" i="11"/>
  <c r="K12" i="11"/>
  <c r="G59" i="11"/>
  <c r="K45" i="11"/>
  <c r="G14" i="11"/>
  <c r="F75" i="11"/>
  <c r="G84" i="11"/>
  <c r="K54" i="11"/>
  <c r="K31" i="11"/>
  <c r="L31" i="11"/>
  <c r="K36" i="11"/>
  <c r="K69" i="11"/>
  <c r="L69" i="11"/>
  <c r="B87" i="10"/>
  <c r="H23" i="11"/>
  <c r="K23" i="11" s="1"/>
  <c r="K81" i="11"/>
  <c r="L78" i="11"/>
  <c r="H44" i="11"/>
  <c r="H16" i="11"/>
  <c r="K16" i="11" s="1"/>
  <c r="K82" i="11"/>
  <c r="B65" i="10"/>
  <c r="B48" i="10"/>
  <c r="B36" i="10"/>
  <c r="H39" i="11"/>
  <c r="L82" i="11"/>
  <c r="B42" i="10"/>
  <c r="L76" i="11"/>
  <c r="B18" i="10"/>
  <c r="B43" i="10"/>
  <c r="K37" i="11"/>
  <c r="K55" i="11"/>
  <c r="L55" i="11"/>
  <c r="B70" i="10"/>
  <c r="B71" i="10"/>
  <c r="B86" i="10"/>
  <c r="H49" i="11"/>
  <c r="L49" i="11" s="1"/>
  <c r="B73" i="10"/>
  <c r="B52" i="10"/>
  <c r="T246" i="14"/>
  <c r="X247" i="14"/>
  <c r="W247" i="14"/>
  <c r="W246" i="14" s="1"/>
  <c r="AQ235" i="14" s="1"/>
  <c r="Q84" i="24"/>
  <c r="P204" i="14" s="1"/>
  <c r="P490" i="14"/>
  <c r="N62" i="27"/>
  <c r="N61" i="27" s="1"/>
  <c r="I61" i="27"/>
  <c r="AT99" i="10"/>
  <c r="H61" i="27"/>
  <c r="X532" i="19"/>
  <c r="N84" i="24"/>
  <c r="M204" i="14" s="1"/>
  <c r="M490" i="14"/>
  <c r="Q379" i="14"/>
  <c r="Q377" i="14" s="1"/>
  <c r="M232" i="19"/>
  <c r="D431" i="14"/>
  <c r="D430" i="14" s="1"/>
  <c r="D449" i="14" s="1"/>
  <c r="K85" i="11"/>
  <c r="L85" i="11"/>
  <c r="BB15" i="10"/>
  <c r="D10" i="11"/>
  <c r="G10" i="11" s="1"/>
  <c r="BB66" i="10"/>
  <c r="BG16" i="10"/>
  <c r="J10" i="11" s="1"/>
  <c r="BF16" i="10"/>
  <c r="I10" i="11" s="1"/>
  <c r="H431" i="14"/>
  <c r="H430" i="14" s="1"/>
  <c r="H449" i="14" s="1"/>
  <c r="I20" i="24"/>
  <c r="H142" i="14" s="1"/>
  <c r="S298" i="19"/>
  <c r="S319" i="19" s="1"/>
  <c r="I156" i="14"/>
  <c r="M20" i="24"/>
  <c r="L142" i="14" s="1"/>
  <c r="W103" i="19"/>
  <c r="L344" i="14"/>
  <c r="P104" i="19"/>
  <c r="M105" i="19"/>
  <c r="I373" i="14"/>
  <c r="J392" i="14" s="1"/>
  <c r="T220" i="19"/>
  <c r="AB646" i="19"/>
  <c r="X376" i="19"/>
  <c r="N25" i="24"/>
  <c r="M143" i="14" s="1"/>
  <c r="AB257" i="19"/>
  <c r="P418" i="14"/>
  <c r="N319" i="19"/>
  <c r="P30" i="10"/>
  <c r="Q66" i="10"/>
  <c r="O90" i="24"/>
  <c r="AB368" i="19"/>
  <c r="AA11" i="19"/>
  <c r="M368" i="19"/>
  <c r="Q11" i="24"/>
  <c r="L11" i="24"/>
  <c r="V11" i="19"/>
  <c r="I516" i="14"/>
  <c r="I533" i="14" s="1"/>
  <c r="J75" i="24"/>
  <c r="I201" i="14" s="1"/>
  <c r="L345" i="14"/>
  <c r="R298" i="19"/>
  <c r="R319" i="19" s="1"/>
  <c r="G431" i="14"/>
  <c r="G430" i="14" s="1"/>
  <c r="G449" i="14" s="1"/>
  <c r="M90" i="24"/>
  <c r="M40" i="19"/>
  <c r="J138" i="14"/>
  <c r="E138" i="14"/>
  <c r="U16" i="19"/>
  <c r="K16" i="24"/>
  <c r="J140" i="14" s="1"/>
  <c r="F518" i="14"/>
  <c r="F517" i="14" s="1"/>
  <c r="F536" i="14" s="1"/>
  <c r="Q610" i="19"/>
  <c r="Q631" i="19" s="1"/>
  <c r="O138" i="14"/>
  <c r="O156" i="14"/>
  <c r="Z142" i="19"/>
  <c r="N139" i="14"/>
  <c r="H75" i="24"/>
  <c r="G201" i="14" s="1"/>
  <c r="D61" i="27"/>
  <c r="AB382" i="19"/>
  <c r="J516" i="14"/>
  <c r="J533" i="14" s="1"/>
  <c r="T16" i="19"/>
  <c r="T571" i="19"/>
  <c r="Y142" i="19"/>
  <c r="F490" i="14"/>
  <c r="X9" i="19"/>
  <c r="Q90" i="24"/>
  <c r="D134" i="24"/>
  <c r="AB171" i="19"/>
  <c r="Q9" i="24"/>
  <c r="P75" i="27"/>
  <c r="K72" i="11"/>
  <c r="L72" i="11"/>
  <c r="B17" i="10"/>
  <c r="H11" i="11"/>
  <c r="K62" i="11"/>
  <c r="L62" i="11"/>
  <c r="B83" i="10"/>
  <c r="J73" i="11"/>
  <c r="L73" i="11" s="1"/>
  <c r="K30" i="11"/>
  <c r="L30" i="11"/>
  <c r="H61" i="11"/>
  <c r="B69" i="10"/>
  <c r="V16" i="19"/>
  <c r="S142" i="19"/>
  <c r="M91" i="27"/>
  <c r="O78" i="27"/>
  <c r="P59" i="10"/>
  <c r="D16" i="24"/>
  <c r="C140" i="14" s="1"/>
  <c r="E84" i="24"/>
  <c r="D204" i="14" s="1"/>
  <c r="H10" i="11"/>
  <c r="B16" i="10"/>
  <c r="Q412" i="14"/>
  <c r="AW66" i="10"/>
  <c r="BG30" i="10"/>
  <c r="J24" i="11" s="1"/>
  <c r="G25" i="11"/>
  <c r="F25" i="11"/>
  <c r="F393" i="14"/>
  <c r="G393" i="14"/>
  <c r="J29" i="11"/>
  <c r="L29" i="11" s="1"/>
  <c r="B35" i="10"/>
  <c r="AB607" i="19"/>
  <c r="E61" i="27"/>
  <c r="N11" i="24"/>
  <c r="X11" i="19"/>
  <c r="M171" i="19"/>
  <c r="R9" i="19"/>
  <c r="O11" i="19"/>
  <c r="E11" i="24"/>
  <c r="G187" i="14"/>
  <c r="G167" i="14"/>
  <c r="G188" i="14"/>
  <c r="X185" i="14"/>
  <c r="T186" i="14"/>
  <c r="X186" i="14" s="1"/>
  <c r="B90" i="10"/>
  <c r="H79" i="11"/>
  <c r="K15" i="11"/>
  <c r="L15" i="11"/>
  <c r="BF30" i="10"/>
  <c r="I24" i="11" s="1"/>
  <c r="B14" i="10"/>
  <c r="J8" i="11"/>
  <c r="L8" i="11" s="1"/>
  <c r="L20" i="24"/>
  <c r="K142" i="14" s="1"/>
  <c r="O220" i="19"/>
  <c r="O241" i="19" s="1"/>
  <c r="AB148" i="19"/>
  <c r="C39" i="24"/>
  <c r="T154" i="14" s="1"/>
  <c r="Q356" i="14"/>
  <c r="T63" i="27"/>
  <c r="O84" i="24"/>
  <c r="N204" i="14" s="1"/>
  <c r="AB538" i="19"/>
  <c r="H25" i="11"/>
  <c r="B31" i="10"/>
  <c r="U532" i="19"/>
  <c r="K84" i="24"/>
  <c r="J204" i="14" s="1"/>
  <c r="J61" i="27"/>
  <c r="AB217" i="19"/>
  <c r="P371" i="14"/>
  <c r="P388" i="14" s="1"/>
  <c r="K73" i="11"/>
  <c r="E341" i="14"/>
  <c r="E360" i="14"/>
  <c r="Q108" i="24"/>
  <c r="Q339" i="14"/>
  <c r="C7" i="24"/>
  <c r="T136" i="14" s="1"/>
  <c r="H403" i="14"/>
  <c r="O345" i="14"/>
  <c r="U610" i="19"/>
  <c r="U631" i="19" s="1"/>
  <c r="J372" i="14"/>
  <c r="J391" i="14" s="1"/>
  <c r="T9" i="19"/>
  <c r="P66" i="27"/>
  <c r="R66" i="27" s="1"/>
  <c r="Q66" i="27" s="1"/>
  <c r="B62" i="10"/>
  <c r="J54" i="11"/>
  <c r="E44" i="11"/>
  <c r="F44" i="11" s="1"/>
  <c r="M430" i="14"/>
  <c r="N79" i="24"/>
  <c r="M203" i="14" s="1"/>
  <c r="M518" i="14"/>
  <c r="M517" i="14" s="1"/>
  <c r="AB544" i="19"/>
  <c r="P90" i="24"/>
  <c r="E39" i="11"/>
  <c r="F39" i="11" s="1"/>
  <c r="B55" i="10"/>
  <c r="H48" i="11"/>
  <c r="R73" i="27"/>
  <c r="Q73" i="27" s="1"/>
  <c r="S73" i="27" s="1"/>
  <c r="R59" i="27"/>
  <c r="R70" i="27"/>
  <c r="R78" i="27"/>
  <c r="Q78" i="27" s="1"/>
  <c r="S78" i="27" s="1"/>
  <c r="R57" i="27"/>
  <c r="R71" i="27"/>
  <c r="R68" i="27"/>
  <c r="Q68" i="27" s="1"/>
  <c r="S68" i="27" s="1"/>
  <c r="R72" i="27"/>
  <c r="S56" i="27"/>
  <c r="R77" i="27"/>
  <c r="Q77" i="27" s="1"/>
  <c r="S77" i="27" s="1"/>
  <c r="R79" i="27"/>
  <c r="Q79" i="27" s="1"/>
  <c r="S79" i="27" s="1"/>
  <c r="R64" i="27"/>
  <c r="R67" i="27"/>
  <c r="Q67" i="27" s="1"/>
  <c r="T56" i="27"/>
  <c r="R69" i="27"/>
  <c r="T69" i="27" s="1"/>
  <c r="R74" i="27"/>
  <c r="R76" i="27"/>
  <c r="Q76" i="27" s="1"/>
  <c r="S76" i="27" s="1"/>
  <c r="N493" i="19"/>
  <c r="N514" i="19" s="1"/>
  <c r="C173" i="14"/>
  <c r="C172" i="14" s="1"/>
  <c r="D54" i="24"/>
  <c r="I390" i="14"/>
  <c r="S144" i="14"/>
  <c r="P233" i="14"/>
  <c r="R144" i="14"/>
  <c r="P113" i="24"/>
  <c r="P112" i="24" s="1"/>
  <c r="C112" i="24"/>
  <c r="M366" i="19"/>
  <c r="Q9" i="19"/>
  <c r="N104" i="19"/>
  <c r="D21" i="24"/>
  <c r="I25" i="24"/>
  <c r="H143" i="14" s="1"/>
  <c r="G61" i="27"/>
  <c r="S11" i="19"/>
  <c r="B21" i="10"/>
  <c r="E28" i="11"/>
  <c r="F28" i="11" s="1"/>
  <c r="G28" i="11"/>
  <c r="R11" i="19"/>
  <c r="N9" i="19"/>
  <c r="L9" i="24"/>
  <c r="V9" i="19"/>
  <c r="M544" i="19"/>
  <c r="B94" i="10"/>
  <c r="H83" i="11"/>
  <c r="G72" i="11"/>
  <c r="E72" i="11"/>
  <c r="F72" i="11" s="1"/>
  <c r="E32" i="11"/>
  <c r="F32" i="11" s="1"/>
  <c r="E36" i="11"/>
  <c r="F36" i="11" s="1"/>
  <c r="Q350" i="14"/>
  <c r="Q128" i="24"/>
  <c r="H40" i="11"/>
  <c r="B46" i="10"/>
  <c r="G359" i="14"/>
  <c r="R16" i="19"/>
  <c r="K65" i="11"/>
  <c r="L65" i="11"/>
  <c r="H43" i="11"/>
  <c r="B50" i="10"/>
  <c r="L77" i="11"/>
  <c r="K77" i="11"/>
  <c r="I70" i="24"/>
  <c r="AB299" i="19"/>
  <c r="C37" i="24"/>
  <c r="T152" i="14" s="1"/>
  <c r="E406" i="14"/>
  <c r="B53" i="10"/>
  <c r="K28" i="11"/>
  <c r="L28" i="11"/>
  <c r="F12" i="11"/>
  <c r="G12" i="11"/>
  <c r="E112" i="24"/>
  <c r="R113" i="24"/>
  <c r="R112" i="24" s="1"/>
  <c r="E50" i="11"/>
  <c r="F50" i="11" s="1"/>
  <c r="G50" i="11"/>
  <c r="E74" i="11"/>
  <c r="F74" i="11" s="1"/>
  <c r="G74" i="11"/>
  <c r="K71" i="11"/>
  <c r="I421" i="14"/>
  <c r="H421" i="14"/>
  <c r="Y9" i="19"/>
  <c r="Q280" i="19"/>
  <c r="L35" i="11"/>
  <c r="BF15" i="10"/>
  <c r="I9" i="11" s="1"/>
  <c r="K9" i="11" s="1"/>
  <c r="E17" i="11"/>
  <c r="F17" i="11" s="1"/>
  <c r="G17" i="11"/>
  <c r="L57" i="11"/>
  <c r="B38" i="10"/>
  <c r="H32" i="11"/>
  <c r="H34" i="11"/>
  <c r="B40" i="10"/>
  <c r="S533" i="19"/>
  <c r="AB655" i="19"/>
  <c r="C146" i="14"/>
  <c r="F24" i="11"/>
  <c r="L36" i="11"/>
  <c r="Q64" i="19"/>
  <c r="X181" i="14"/>
  <c r="M310" i="19"/>
  <c r="Q440" i="14"/>
  <c r="Q435" i="14" s="1"/>
  <c r="Q342" i="14"/>
  <c r="Q341" i="14" s="1"/>
  <c r="J358" i="14"/>
  <c r="C24" i="24"/>
  <c r="O186" i="14"/>
  <c r="R184" i="14"/>
  <c r="R182" i="14"/>
  <c r="S182" i="14"/>
  <c r="P177" i="14"/>
  <c r="G21" i="11"/>
  <c r="G67" i="11"/>
  <c r="B67" i="10"/>
  <c r="H59" i="11"/>
  <c r="E11" i="11"/>
  <c r="F11" i="11" s="1"/>
  <c r="G11" i="11"/>
  <c r="BF66" i="10"/>
  <c r="I58" i="11" s="1"/>
  <c r="L54" i="11"/>
  <c r="C4" i="24"/>
  <c r="X66" i="10"/>
  <c r="E58" i="11" s="1"/>
  <c r="F58" i="11" s="1"/>
  <c r="B24" i="11"/>
  <c r="H188" i="14"/>
  <c r="W184" i="14"/>
  <c r="X184" i="14"/>
  <c r="Q467" i="14"/>
  <c r="G386" i="14"/>
  <c r="J341" i="14"/>
  <c r="X166" i="14"/>
  <c r="W166" i="14"/>
  <c r="S150" i="14"/>
  <c r="R150" i="14"/>
  <c r="P155" i="14"/>
  <c r="W213" i="14"/>
  <c r="L46" i="11"/>
  <c r="K46" i="11"/>
  <c r="L87" i="11"/>
  <c r="N199" i="14"/>
  <c r="C34" i="24"/>
  <c r="T149" i="14" s="1"/>
  <c r="Z123" i="24"/>
  <c r="Y571" i="19"/>
  <c r="Y592" i="19" s="1"/>
  <c r="AB572" i="19"/>
  <c r="L233" i="14"/>
  <c r="AF231" i="14" s="1"/>
  <c r="J86" i="11"/>
  <c r="L86" i="11" s="1"/>
  <c r="E29" i="11"/>
  <c r="F29" i="11" s="1"/>
  <c r="M388" i="14"/>
  <c r="N369" i="14"/>
  <c r="O8" i="19"/>
  <c r="M445" i="14"/>
  <c r="M388" i="19"/>
  <c r="I146" i="14"/>
  <c r="M456" i="14"/>
  <c r="M474" i="14"/>
  <c r="AB141" i="19"/>
  <c r="O79" i="27"/>
  <c r="R145" i="14"/>
  <c r="N348" i="14"/>
  <c r="F70" i="11"/>
  <c r="F76" i="11"/>
  <c r="E358" i="14"/>
  <c r="L388" i="14"/>
  <c r="S248" i="14"/>
  <c r="R248" i="14"/>
  <c r="K40" i="24"/>
  <c r="J158" i="14" s="1"/>
  <c r="J40" i="24"/>
  <c r="I158" i="14" s="1"/>
  <c r="Z260" i="19"/>
  <c r="P21" i="24"/>
  <c r="L81" i="11"/>
  <c r="F14" i="11"/>
  <c r="P128" i="24"/>
  <c r="E187" i="14"/>
  <c r="M369" i="14"/>
  <c r="C36" i="24"/>
  <c r="T151" i="14" s="1"/>
  <c r="N398" i="14"/>
  <c r="N416" i="14"/>
  <c r="I360" i="14"/>
  <c r="I341" i="14"/>
  <c r="O60" i="27"/>
  <c r="O77" i="27" s="1"/>
  <c r="AB139" i="19"/>
  <c r="V571" i="19"/>
  <c r="R211" i="14"/>
  <c r="S211" i="14"/>
  <c r="P207" i="14"/>
  <c r="J207" i="14"/>
  <c r="R208" i="14"/>
  <c r="O207" i="14"/>
  <c r="P360" i="14"/>
  <c r="P341" i="14"/>
  <c r="R166" i="14"/>
  <c r="AB343" i="19"/>
  <c r="P461" i="14"/>
  <c r="N489" i="14"/>
  <c r="N488" i="14" s="1"/>
  <c r="S10" i="24"/>
  <c r="N137" i="14"/>
  <c r="O40" i="24"/>
  <c r="N158" i="14" s="1"/>
  <c r="S148" i="14"/>
  <c r="R148" i="14"/>
  <c r="J155" i="14"/>
  <c r="O341" i="14"/>
  <c r="O358" i="14"/>
  <c r="S166" i="14"/>
  <c r="P167" i="14"/>
  <c r="O174" i="14"/>
  <c r="AB499" i="19"/>
  <c r="V64" i="19"/>
  <c r="E41" i="24"/>
  <c r="D159" i="14" s="1"/>
  <c r="D137" i="14"/>
  <c r="K41" i="24"/>
  <c r="J159" i="14" s="1"/>
  <c r="J41" i="24"/>
  <c r="I159" i="14" s="1"/>
  <c r="P387" i="14"/>
  <c r="J188" i="14"/>
  <c r="N402" i="14"/>
  <c r="N401" i="14" s="1"/>
  <c r="N420" i="14" s="1"/>
  <c r="Y259" i="19"/>
  <c r="Y280" i="19" s="1"/>
  <c r="AB560" i="19"/>
  <c r="O67" i="24"/>
  <c r="Y8" i="19"/>
  <c r="K199" i="14"/>
  <c r="K217" i="14"/>
  <c r="K226" i="14"/>
  <c r="Q77" i="10"/>
  <c r="P77" i="10" s="1"/>
  <c r="F40" i="11"/>
  <c r="F47" i="11"/>
  <c r="G71" i="11"/>
  <c r="W128" i="24"/>
  <c r="F55" i="11"/>
  <c r="J226" i="14"/>
  <c r="D167" i="14"/>
  <c r="C88" i="24"/>
  <c r="T205" i="14" s="1"/>
  <c r="W205" i="14" s="1"/>
  <c r="M499" i="19"/>
  <c r="T174" i="14" s="1"/>
  <c r="C29" i="24"/>
  <c r="T144" i="14" s="1"/>
  <c r="L416" i="14"/>
  <c r="M378" i="19"/>
  <c r="M377" i="19" s="1"/>
  <c r="P377" i="19"/>
  <c r="P376" i="19" s="1"/>
  <c r="N16" i="24"/>
  <c r="M140" i="14" s="1"/>
  <c r="O389" i="14"/>
  <c r="AB218" i="19"/>
  <c r="AB297" i="19"/>
  <c r="P448" i="14"/>
  <c r="AB335" i="19"/>
  <c r="P476" i="14"/>
  <c r="K138" i="14"/>
  <c r="K234" i="14"/>
  <c r="AE232" i="14" s="1"/>
  <c r="R153" i="14"/>
  <c r="S153" i="14"/>
  <c r="BF24" i="10"/>
  <c r="I18" i="11" s="1"/>
  <c r="F49" i="11"/>
  <c r="F341" i="14"/>
  <c r="G341" i="14"/>
  <c r="H67" i="24"/>
  <c r="J427" i="14"/>
  <c r="J445" i="14"/>
  <c r="O246" i="14"/>
  <c r="AI235" i="14" s="1"/>
  <c r="M16" i="24"/>
  <c r="L140" i="14" s="1"/>
  <c r="L157" i="14" s="1"/>
  <c r="S136" i="14"/>
  <c r="R136" i="14"/>
  <c r="F146" i="14"/>
  <c r="M464" i="14"/>
  <c r="M478" i="14" s="1"/>
  <c r="G99" i="24"/>
  <c r="F219" i="14" s="1"/>
  <c r="I188" i="14"/>
  <c r="H459" i="14"/>
  <c r="H478" i="14" s="1"/>
  <c r="V259" i="19"/>
  <c r="V280" i="19" s="1"/>
  <c r="K402" i="14"/>
  <c r="K401" i="14" s="1"/>
  <c r="AA8" i="19"/>
  <c r="AB8" i="19" s="1"/>
  <c r="AA522" i="19"/>
  <c r="Q68" i="24" s="1"/>
  <c r="Q67" i="24"/>
  <c r="R151" i="14"/>
  <c r="S151" i="14"/>
  <c r="F505" i="14"/>
  <c r="F485" i="14"/>
  <c r="W85" i="19"/>
  <c r="C377" i="14"/>
  <c r="C391" i="14" s="1"/>
  <c r="L377" i="14"/>
  <c r="R215" i="14"/>
  <c r="O216" i="14"/>
  <c r="M651" i="19"/>
  <c r="M650" i="19" s="1"/>
  <c r="O505" i="14"/>
  <c r="L445" i="14"/>
  <c r="O519" i="14"/>
  <c r="E133" i="24"/>
  <c r="AB295" i="19"/>
  <c r="K67" i="24"/>
  <c r="S8" i="24"/>
  <c r="T137" i="14"/>
  <c r="O146" i="14"/>
  <c r="E177" i="14"/>
  <c r="F177" i="14"/>
  <c r="L357" i="14"/>
  <c r="X214" i="14"/>
  <c r="R154" i="14"/>
  <c r="S154" i="14"/>
  <c r="T198" i="14"/>
  <c r="F207" i="14"/>
  <c r="F216" i="14"/>
  <c r="AB39" i="19"/>
  <c r="P243" i="14"/>
  <c r="P677" i="19"/>
  <c r="M676" i="19"/>
  <c r="R247" i="14"/>
  <c r="AB265" i="19"/>
  <c r="Z522" i="19"/>
  <c r="Z9" i="19" s="1"/>
  <c r="I40" i="24"/>
  <c r="H158" i="14" s="1"/>
  <c r="H137" i="14"/>
  <c r="O177" i="14"/>
  <c r="F186" i="14"/>
  <c r="X493" i="19"/>
  <c r="X514" i="19" s="1"/>
  <c r="P67" i="24"/>
  <c r="R137" i="14"/>
  <c r="O41" i="24"/>
  <c r="N159" i="14" s="1"/>
  <c r="K146" i="14"/>
  <c r="N177" i="14"/>
  <c r="AB13" i="19"/>
  <c r="AA17" i="19"/>
  <c r="AB17" i="19" s="1"/>
  <c r="AB37" i="19"/>
  <c r="P241" i="14"/>
  <c r="V337" i="19"/>
  <c r="V358" i="19" s="1"/>
  <c r="AB221" i="19"/>
  <c r="AA220" i="19"/>
  <c r="AB56" i="19"/>
  <c r="Z571" i="19"/>
  <c r="M177" i="14"/>
  <c r="F348" i="14"/>
  <c r="Q397" i="14"/>
  <c r="Q398" i="14" s="1"/>
  <c r="P226" i="14"/>
  <c r="R250" i="14"/>
  <c r="P477" i="14"/>
  <c r="X259" i="19"/>
  <c r="X280" i="19" s="1"/>
  <c r="AB484" i="19"/>
  <c r="J146" i="14"/>
  <c r="K177" i="14"/>
  <c r="R183" i="14"/>
  <c r="S183" i="14"/>
  <c r="P348" i="14"/>
  <c r="E198" i="14"/>
  <c r="H207" i="14"/>
  <c r="D207" i="14"/>
  <c r="AB182" i="19"/>
  <c r="AB193" i="19"/>
  <c r="O489" i="14"/>
  <c r="C357" i="14"/>
  <c r="I473" i="14"/>
  <c r="F100" i="24"/>
  <c r="E220" i="14" s="1"/>
  <c r="I177" i="14"/>
  <c r="Q100" i="24"/>
  <c r="M638" i="19"/>
  <c r="C186" i="14"/>
  <c r="J514" i="14"/>
  <c r="P503" i="14"/>
  <c r="O514" i="14"/>
  <c r="S179" i="14"/>
  <c r="M377" i="14"/>
  <c r="C69" i="24"/>
  <c r="S66" i="24"/>
  <c r="M407" i="19"/>
  <c r="AB407" i="19"/>
  <c r="M417" i="19"/>
  <c r="M416" i="19" s="1"/>
  <c r="AB699" i="19"/>
  <c r="W183" i="14"/>
  <c r="X183" i="14"/>
  <c r="O198" i="14"/>
  <c r="R198" i="14" s="1"/>
  <c r="C75" i="27"/>
  <c r="C66" i="27"/>
  <c r="C80" i="27" s="1"/>
  <c r="X475" i="19"/>
  <c r="J127" i="24"/>
  <c r="N128" i="24"/>
  <c r="X179" i="14"/>
  <c r="S205" i="14"/>
  <c r="R205" i="14"/>
  <c r="O80" i="24"/>
  <c r="F66" i="27"/>
  <c r="R436" i="19"/>
  <c r="M466" i="19"/>
  <c r="C64" i="24"/>
  <c r="N532" i="14"/>
  <c r="N514" i="14"/>
  <c r="P87" i="27"/>
  <c r="G198" i="14"/>
  <c r="H100" i="24"/>
  <c r="G220" i="14" s="1"/>
  <c r="P100" i="24"/>
  <c r="O220" i="14" s="1"/>
  <c r="G505" i="14"/>
  <c r="J485" i="14"/>
  <c r="J503" i="14"/>
  <c r="H502" i="14"/>
  <c r="S415" i="19"/>
  <c r="S436" i="19" s="1"/>
  <c r="Y454" i="19"/>
  <c r="AB455" i="19"/>
  <c r="E337" i="14"/>
  <c r="C216" i="14"/>
  <c r="G502" i="14"/>
  <c r="F58" i="27"/>
  <c r="M444" i="19"/>
  <c r="Q113" i="24"/>
  <c r="Q112" i="24" s="1"/>
  <c r="D112" i="24"/>
  <c r="M485" i="14"/>
  <c r="L58" i="27"/>
  <c r="Y113" i="24"/>
  <c r="Y112" i="24" s="1"/>
  <c r="N113" i="24"/>
  <c r="H72" i="11" l="1"/>
  <c r="B82" i="10"/>
  <c r="C88" i="11"/>
  <c r="Y100" i="10"/>
  <c r="C89" i="11" s="1"/>
  <c r="N136" i="24"/>
  <c r="Y368" i="22"/>
  <c r="E90" i="27"/>
  <c r="E89" i="27" s="1"/>
  <c r="W8" i="22"/>
  <c r="Q268" i="22"/>
  <c r="I115" i="14"/>
  <c r="J146" i="24"/>
  <c r="F106" i="14"/>
  <c r="Z368" i="22"/>
  <c r="G33" i="43"/>
  <c r="E53" i="43"/>
  <c r="E29" i="43"/>
  <c r="G39" i="43"/>
  <c r="G57" i="43"/>
  <c r="F10" i="42"/>
  <c r="I90" i="27"/>
  <c r="M359" i="22"/>
  <c r="M151" i="24" s="1"/>
  <c r="K90" i="27"/>
  <c r="L51" i="27"/>
  <c r="I146" i="24"/>
  <c r="F6" i="42"/>
  <c r="G63" i="43"/>
  <c r="F11" i="42"/>
  <c r="F132" i="24"/>
  <c r="P22" i="22"/>
  <c r="F7" i="42"/>
  <c r="F5" i="42"/>
  <c r="E3" i="42"/>
  <c r="F9" i="42"/>
  <c r="F12" i="42"/>
  <c r="Q22" i="22"/>
  <c r="G3" i="43"/>
  <c r="W127" i="24"/>
  <c r="F13" i="42"/>
  <c r="L225" i="14"/>
  <c r="AF225" i="14" s="1"/>
  <c r="E148" i="24"/>
  <c r="E154" i="24" s="1"/>
  <c r="F8" i="42"/>
  <c r="Y133" i="24"/>
  <c r="Y132" i="24" s="1"/>
  <c r="O485" i="14"/>
  <c r="AA16" i="19"/>
  <c r="AB16" i="19" s="1"/>
  <c r="R128" i="24"/>
  <c r="R127" i="24" s="1"/>
  <c r="F191" i="14"/>
  <c r="K478" i="14"/>
  <c r="M349" i="19"/>
  <c r="Q464" i="14"/>
  <c r="Q124" i="24"/>
  <c r="G132" i="24"/>
  <c r="AB349" i="19"/>
  <c r="Z131" i="24"/>
  <c r="C478" i="14"/>
  <c r="X19" i="19"/>
  <c r="I199" i="14"/>
  <c r="O518" i="14"/>
  <c r="O517" i="14" s="1"/>
  <c r="O536" i="14" s="1"/>
  <c r="C488" i="14"/>
  <c r="C507" i="14" s="1"/>
  <c r="E449" i="14"/>
  <c r="AB30" i="19"/>
  <c r="E132" i="24"/>
  <c r="C16" i="24"/>
  <c r="P127" i="24"/>
  <c r="AB85" i="19"/>
  <c r="V19" i="19"/>
  <c r="V46" i="19" s="1"/>
  <c r="E80" i="27"/>
  <c r="J348" i="14"/>
  <c r="J362" i="14" s="1"/>
  <c r="P459" i="14"/>
  <c r="P478" i="14" s="1"/>
  <c r="C32" i="24"/>
  <c r="T147" i="14" s="1"/>
  <c r="W147" i="14" s="1"/>
  <c r="Y16" i="19"/>
  <c r="AB529" i="19"/>
  <c r="U19" i="19"/>
  <c r="U45" i="19" s="1"/>
  <c r="O478" i="14"/>
  <c r="M376" i="19"/>
  <c r="M397" i="19" s="1"/>
  <c r="O229" i="14"/>
  <c r="Q357" i="14"/>
  <c r="O19" i="19"/>
  <c r="J364" i="14"/>
  <c r="AB377" i="19"/>
  <c r="O532" i="19"/>
  <c r="E78" i="24" s="1"/>
  <c r="Y21" i="19"/>
  <c r="Y20" i="19" s="1"/>
  <c r="Y19" i="19" s="1"/>
  <c r="Y45" i="19" s="1"/>
  <c r="Y46" i="19" s="1"/>
  <c r="C226" i="14"/>
  <c r="N191" i="14"/>
  <c r="G536" i="14"/>
  <c r="AB18" i="19"/>
  <c r="N157" i="14"/>
  <c r="M191" i="14"/>
  <c r="S31" i="19"/>
  <c r="J363" i="14"/>
  <c r="D229" i="14"/>
  <c r="G478" i="14"/>
  <c r="N507" i="14"/>
  <c r="J449" i="14"/>
  <c r="X112" i="24"/>
  <c r="AB611" i="19"/>
  <c r="I202" i="14"/>
  <c r="I221" i="14" s="1"/>
  <c r="O79" i="24"/>
  <c r="N203" i="14" s="1"/>
  <c r="N202" i="14" s="1"/>
  <c r="N221" i="14" s="1"/>
  <c r="F364" i="14"/>
  <c r="N518" i="14"/>
  <c r="N517" i="14" s="1"/>
  <c r="L191" i="14"/>
  <c r="E9" i="24"/>
  <c r="O85" i="19"/>
  <c r="U133" i="24"/>
  <c r="U132" i="24" s="1"/>
  <c r="AA358" i="19"/>
  <c r="AB358" i="19" s="1"/>
  <c r="E191" i="14"/>
  <c r="T19" i="19"/>
  <c r="T134" i="24"/>
  <c r="M449" i="14"/>
  <c r="F488" i="14"/>
  <c r="F507" i="14" s="1"/>
  <c r="X215" i="14"/>
  <c r="X133" i="24"/>
  <c r="X132" i="24" s="1"/>
  <c r="AA19" i="19"/>
  <c r="D132" i="24"/>
  <c r="G4" i="43"/>
  <c r="D4" i="42"/>
  <c r="F4" i="42" s="1"/>
  <c r="AA514" i="19"/>
  <c r="N45" i="19"/>
  <c r="I449" i="14"/>
  <c r="T133" i="24"/>
  <c r="L536" i="14"/>
  <c r="P79" i="24"/>
  <c r="O203" i="14" s="1"/>
  <c r="O202" i="14" s="1"/>
  <c r="O221" i="14" s="1"/>
  <c r="K191" i="14"/>
  <c r="N478" i="14"/>
  <c r="C536" i="14"/>
  <c r="O236" i="14"/>
  <c r="R236" i="14" s="1"/>
  <c r="M54" i="19"/>
  <c r="M26" i="19"/>
  <c r="M25" i="19" s="1"/>
  <c r="E31" i="24"/>
  <c r="F80" i="27"/>
  <c r="Z649" i="19"/>
  <c r="AC649" i="19" s="1"/>
  <c r="X127" i="24"/>
  <c r="M33" i="19"/>
  <c r="M31" i="19" s="1"/>
  <c r="I364" i="14"/>
  <c r="AB25" i="19"/>
  <c r="I141" i="14"/>
  <c r="I160" i="14" s="1"/>
  <c r="D344" i="14"/>
  <c r="D343" i="14" s="1"/>
  <c r="D362" i="14" s="1"/>
  <c r="K489" i="14"/>
  <c r="K488" i="14" s="1"/>
  <c r="K507" i="14" s="1"/>
  <c r="X210" i="14"/>
  <c r="C26" i="24"/>
  <c r="Q19" i="19"/>
  <c r="Q46" i="19" s="1"/>
  <c r="Q493" i="14"/>
  <c r="X397" i="19"/>
  <c r="G364" i="14"/>
  <c r="M343" i="14"/>
  <c r="M362" i="14" s="1"/>
  <c r="H157" i="14"/>
  <c r="D401" i="14"/>
  <c r="D420" i="14" s="1"/>
  <c r="F118" i="24"/>
  <c r="M372" i="14"/>
  <c r="M391" i="14" s="1"/>
  <c r="AB397" i="19"/>
  <c r="F478" i="14"/>
  <c r="P146" i="14"/>
  <c r="S246" i="14"/>
  <c r="AM235" i="14" s="1"/>
  <c r="W211" i="14"/>
  <c r="F343" i="14"/>
  <c r="F362" i="14" s="1"/>
  <c r="I191" i="14"/>
  <c r="O75" i="24"/>
  <c r="N201" i="14" s="1"/>
  <c r="N218" i="14" s="1"/>
  <c r="R239" i="14"/>
  <c r="N280" i="19"/>
  <c r="I536" i="14"/>
  <c r="C89" i="24"/>
  <c r="T206" i="14" s="1"/>
  <c r="X206" i="14" s="1"/>
  <c r="AB514" i="19"/>
  <c r="Q492" i="14"/>
  <c r="K229" i="14"/>
  <c r="K252" i="14" s="1"/>
  <c r="Q103" i="19"/>
  <c r="Q124" i="19" s="1"/>
  <c r="X72" i="22"/>
  <c r="J234" i="14"/>
  <c r="AB9" i="22"/>
  <c r="O244" i="14"/>
  <c r="AB339" i="22"/>
  <c r="E19" i="42" s="1"/>
  <c r="Q107" i="24"/>
  <c r="F90" i="27"/>
  <c r="F89" i="27" s="1"/>
  <c r="C225" i="14"/>
  <c r="P28" i="14"/>
  <c r="Q127" i="24"/>
  <c r="N127" i="24"/>
  <c r="L244" i="14"/>
  <c r="T243" i="14"/>
  <c r="X243" i="14" s="1"/>
  <c r="S114" i="14"/>
  <c r="R28" i="14"/>
  <c r="E228" i="14"/>
  <c r="M244" i="14"/>
  <c r="J244" i="14"/>
  <c r="C26" i="14"/>
  <c r="F228" i="14"/>
  <c r="F251" i="14" s="1"/>
  <c r="W136" i="24"/>
  <c r="O22" i="22"/>
  <c r="P109" i="14"/>
  <c r="P108" i="14" s="1"/>
  <c r="S108" i="14" s="1"/>
  <c r="O89" i="27"/>
  <c r="O104" i="27" s="1"/>
  <c r="AA27" i="22"/>
  <c r="AA26" i="22" s="1"/>
  <c r="AA50" i="22" s="1"/>
  <c r="G51" i="27"/>
  <c r="O115" i="14"/>
  <c r="O232" i="14" s="1"/>
  <c r="K109" i="14"/>
  <c r="K228" i="14" s="1"/>
  <c r="K251" i="14" s="1"/>
  <c r="J93" i="27"/>
  <c r="H93" i="27"/>
  <c r="H51" i="27"/>
  <c r="C89" i="27"/>
  <c r="C104" i="27" s="1"/>
  <c r="C32" i="27"/>
  <c r="C51" i="27" s="1"/>
  <c r="N112" i="24"/>
  <c r="N137" i="24" s="1"/>
  <c r="I244" i="14"/>
  <c r="C112" i="14"/>
  <c r="N27" i="22"/>
  <c r="N26" i="22" s="1"/>
  <c r="N50" i="22" s="1"/>
  <c r="K51" i="27"/>
  <c r="AA262" i="22"/>
  <c r="I51" i="27"/>
  <c r="T241" i="14"/>
  <c r="W241" i="14" s="1"/>
  <c r="T238" i="14"/>
  <c r="X238" i="14" s="1"/>
  <c r="N244" i="14"/>
  <c r="X74" i="22"/>
  <c r="X103" i="22" s="1"/>
  <c r="H225" i="14"/>
  <c r="P92" i="27"/>
  <c r="D234" i="14"/>
  <c r="J107" i="24"/>
  <c r="L90" i="27"/>
  <c r="L89" i="27" s="1"/>
  <c r="N24" i="22"/>
  <c r="N22" i="22"/>
  <c r="G235" i="14"/>
  <c r="K244" i="14"/>
  <c r="E234" i="14"/>
  <c r="D225" i="14"/>
  <c r="R240" i="14"/>
  <c r="M25" i="22"/>
  <c r="I235" i="14"/>
  <c r="F244" i="14"/>
  <c r="X22" i="22"/>
  <c r="T239" i="14"/>
  <c r="W239" i="14" s="1"/>
  <c r="K93" i="27"/>
  <c r="M51" i="27"/>
  <c r="Y22" i="22"/>
  <c r="R237" i="14"/>
  <c r="B127" i="24"/>
  <c r="M127" i="24" s="1"/>
  <c r="P86" i="27"/>
  <c r="S86" i="27" s="1"/>
  <c r="F140" i="24"/>
  <c r="X28" i="22"/>
  <c r="X24" i="22" s="1"/>
  <c r="J235" i="14"/>
  <c r="F138" i="24"/>
  <c r="V286" i="22"/>
  <c r="V315" i="22" s="1"/>
  <c r="E235" i="14"/>
  <c r="I93" i="27"/>
  <c r="E244" i="14"/>
  <c r="M76" i="22"/>
  <c r="T237" i="14"/>
  <c r="P96" i="27"/>
  <c r="F51" i="27"/>
  <c r="O32" i="27"/>
  <c r="O51" i="27" s="1"/>
  <c r="E93" i="27"/>
  <c r="R131" i="14"/>
  <c r="J30" i="14"/>
  <c r="R30" i="14" s="1"/>
  <c r="R321" i="22"/>
  <c r="S319" i="22"/>
  <c r="R322" i="22"/>
  <c r="C30" i="14"/>
  <c r="C29" i="14" s="1"/>
  <c r="C115" i="14"/>
  <c r="M234" i="14"/>
  <c r="AG232" i="14" s="1"/>
  <c r="C235" i="14"/>
  <c r="B32" i="27"/>
  <c r="B51" i="27" s="1"/>
  <c r="B90" i="27"/>
  <c r="B89" i="27" s="1"/>
  <c r="B104" i="27" s="1"/>
  <c r="F112" i="14"/>
  <c r="F27" i="14"/>
  <c r="F26" i="14" s="1"/>
  <c r="L84" i="27"/>
  <c r="P84" i="27" s="1"/>
  <c r="H235" i="14"/>
  <c r="M337" i="22"/>
  <c r="G244" i="14"/>
  <c r="F121" i="24"/>
  <c r="E140" i="24" s="1"/>
  <c r="M18" i="22"/>
  <c r="M40" i="22"/>
  <c r="T127" i="14" s="1"/>
  <c r="T43" i="14" s="1"/>
  <c r="H150" i="24"/>
  <c r="H244" i="14"/>
  <c r="G148" i="24"/>
  <c r="G154" i="24" s="1"/>
  <c r="M340" i="22"/>
  <c r="Q24" i="22"/>
  <c r="W107" i="14"/>
  <c r="X107" i="14"/>
  <c r="T21" i="14"/>
  <c r="R22" i="22"/>
  <c r="G109" i="14"/>
  <c r="H30" i="14"/>
  <c r="H29" i="14" s="1"/>
  <c r="H115" i="14"/>
  <c r="H232" i="14" s="1"/>
  <c r="F235" i="14"/>
  <c r="M14" i="22"/>
  <c r="S236" i="14"/>
  <c r="C244" i="14"/>
  <c r="D244" i="14"/>
  <c r="G90" i="27"/>
  <c r="G89" i="27" s="1"/>
  <c r="Q27" i="22"/>
  <c r="Q26" i="22" s="1"/>
  <c r="Q50" i="22" s="1"/>
  <c r="F115" i="14"/>
  <c r="F232" i="14" s="1"/>
  <c r="F30" i="14"/>
  <c r="F29" i="14" s="1"/>
  <c r="G50" i="14"/>
  <c r="H90" i="27"/>
  <c r="H89" i="27" s="1"/>
  <c r="E51" i="27"/>
  <c r="P101" i="27"/>
  <c r="B149" i="24"/>
  <c r="G48" i="14"/>
  <c r="O113" i="14"/>
  <c r="R113" i="14" s="1"/>
  <c r="Z24" i="22"/>
  <c r="Z27" i="22"/>
  <c r="Z26" i="22" s="1"/>
  <c r="Z50" i="22" s="1"/>
  <c r="I226" i="14"/>
  <c r="P94" i="27"/>
  <c r="M41" i="22"/>
  <c r="G93" i="27"/>
  <c r="S126" i="24"/>
  <c r="S122" i="24" s="1"/>
  <c r="M149" i="24"/>
  <c r="X124" i="14"/>
  <c r="W124" i="14"/>
  <c r="T41" i="14"/>
  <c r="J34" i="27"/>
  <c r="J33" i="27" s="1"/>
  <c r="V28" i="22"/>
  <c r="V181" i="22"/>
  <c r="V180" i="22" s="1"/>
  <c r="V209" i="22" s="1"/>
  <c r="V178" i="22"/>
  <c r="M178" i="22" s="1"/>
  <c r="M106" i="14"/>
  <c r="M20" i="14" s="1"/>
  <c r="X8" i="22"/>
  <c r="E113" i="14"/>
  <c r="P27" i="22"/>
  <c r="T42" i="14"/>
  <c r="W126" i="14"/>
  <c r="L146" i="24"/>
  <c r="V111" i="24"/>
  <c r="M108" i="14"/>
  <c r="M227" i="14" s="1"/>
  <c r="M21" i="14"/>
  <c r="M93" i="27"/>
  <c r="P180" i="22"/>
  <c r="AA209" i="22"/>
  <c r="D148" i="24"/>
  <c r="D154" i="24" s="1"/>
  <c r="J121" i="24"/>
  <c r="I21" i="14"/>
  <c r="I49" i="14" s="1"/>
  <c r="R49" i="14" s="1"/>
  <c r="S113" i="14"/>
  <c r="P27" i="14"/>
  <c r="P112" i="14"/>
  <c r="Q136" i="24"/>
  <c r="D21" i="14"/>
  <c r="D108" i="14"/>
  <c r="D113" i="14"/>
  <c r="O24" i="22"/>
  <c r="O27" i="22"/>
  <c r="O26" i="22" s="1"/>
  <c r="O50" i="22" s="1"/>
  <c r="T242" i="14"/>
  <c r="U242" i="14" s="1"/>
  <c r="U235" i="14" s="1"/>
  <c r="AP234" i="14" s="1"/>
  <c r="AP233" i="14" s="1"/>
  <c r="AP236" i="14" s="1"/>
  <c r="R238" i="14"/>
  <c r="P30" i="14"/>
  <c r="P29" i="14" s="1"/>
  <c r="P115" i="14"/>
  <c r="P232" i="14" s="1"/>
  <c r="S116" i="14"/>
  <c r="R116" i="14"/>
  <c r="H21" i="14"/>
  <c r="K30" i="14"/>
  <c r="K29" i="14" s="1"/>
  <c r="K115" i="14"/>
  <c r="K232" i="14" s="1"/>
  <c r="AE230" i="14" s="1"/>
  <c r="D33" i="27"/>
  <c r="P48" i="27"/>
  <c r="L21" i="14"/>
  <c r="Y74" i="22"/>
  <c r="Y103" i="22" s="1"/>
  <c r="F148" i="24"/>
  <c r="F154" i="24" s="1"/>
  <c r="AA315" i="22"/>
  <c r="I121" i="24"/>
  <c r="T136" i="24"/>
  <c r="R130" i="14"/>
  <c r="P30" i="27"/>
  <c r="J149" i="24"/>
  <c r="W126" i="24"/>
  <c r="U8" i="22"/>
  <c r="J106" i="14"/>
  <c r="M242" i="22"/>
  <c r="T240" i="14"/>
  <c r="Q215" i="22"/>
  <c r="R213" i="22"/>
  <c r="W74" i="22"/>
  <c r="W103" i="22" s="1"/>
  <c r="M75" i="22"/>
  <c r="X122" i="14"/>
  <c r="W122" i="14"/>
  <c r="T39" i="14"/>
  <c r="V233" i="22"/>
  <c r="V262" i="22" s="1"/>
  <c r="P37" i="27"/>
  <c r="M146" i="24"/>
  <c r="S111" i="24"/>
  <c r="S107" i="24" s="1"/>
  <c r="M38" i="22"/>
  <c r="P30" i="22"/>
  <c r="P24" i="22" s="1"/>
  <c r="P99" i="27"/>
  <c r="Z8" i="22"/>
  <c r="O106" i="14"/>
  <c r="AE26" i="14"/>
  <c r="R43" i="14"/>
  <c r="AL26" i="14" s="1"/>
  <c r="S43" i="14"/>
  <c r="AM26" i="14" s="1"/>
  <c r="W27" i="22"/>
  <c r="W26" i="22" s="1"/>
  <c r="W50" i="22" s="1"/>
  <c r="W24" i="22"/>
  <c r="L113" i="14"/>
  <c r="D115" i="14"/>
  <c r="D232" i="14" s="1"/>
  <c r="D30" i="14"/>
  <c r="D29" i="14" s="1"/>
  <c r="P36" i="27"/>
  <c r="M295" i="22"/>
  <c r="K146" i="24"/>
  <c r="T111" i="24"/>
  <c r="T107" i="24" s="1"/>
  <c r="O74" i="22"/>
  <c r="O103" i="22" s="1"/>
  <c r="R33" i="14"/>
  <c r="AL28" i="14" s="1"/>
  <c r="AL27" i="14" s="1"/>
  <c r="S33" i="14"/>
  <c r="AM28" i="14" s="1"/>
  <c r="AM27" i="14" s="1"/>
  <c r="AE28" i="14"/>
  <c r="AE27" i="14" s="1"/>
  <c r="M284" i="22"/>
  <c r="E106" i="14"/>
  <c r="E20" i="14" s="1"/>
  <c r="P7" i="22"/>
  <c r="M9" i="22"/>
  <c r="T106" i="14" s="1"/>
  <c r="T225" i="14" s="1"/>
  <c r="P8" i="22"/>
  <c r="U22" i="22"/>
  <c r="J109" i="14"/>
  <c r="Q162" i="22"/>
  <c r="Q163" i="22"/>
  <c r="Q4" i="22"/>
  <c r="R160" i="22"/>
  <c r="U24" i="22"/>
  <c r="U27" i="22"/>
  <c r="U26" i="22" s="1"/>
  <c r="U50" i="22" s="1"/>
  <c r="J113" i="14"/>
  <c r="Y24" i="22"/>
  <c r="N113" i="14"/>
  <c r="Y27" i="22"/>
  <c r="Y26" i="22" s="1"/>
  <c r="Y50" i="22" s="1"/>
  <c r="D93" i="27"/>
  <c r="K235" i="14"/>
  <c r="AE234" i="14" s="1"/>
  <c r="AE233" i="14" s="1"/>
  <c r="D122" i="24"/>
  <c r="N126" i="24"/>
  <c r="N122" i="24" s="1"/>
  <c r="P43" i="14"/>
  <c r="R127" i="14"/>
  <c r="S127" i="14"/>
  <c r="P106" i="14"/>
  <c r="B146" i="24"/>
  <c r="AA8" i="22"/>
  <c r="G115" i="14"/>
  <c r="G232" i="14" s="1"/>
  <c r="G30" i="14"/>
  <c r="G29" i="14" s="1"/>
  <c r="R34" i="14"/>
  <c r="S34" i="14"/>
  <c r="N235" i="14"/>
  <c r="AH234" i="14" s="1"/>
  <c r="AH233" i="14" s="1"/>
  <c r="R268" i="22"/>
  <c r="R269" i="22"/>
  <c r="S266" i="22"/>
  <c r="N30" i="14"/>
  <c r="N29" i="14" s="1"/>
  <c r="N115" i="14"/>
  <c r="N232" i="14" s="1"/>
  <c r="R368" i="22"/>
  <c r="M339" i="22"/>
  <c r="N32" i="27"/>
  <c r="N51" i="27" s="1"/>
  <c r="X123" i="14"/>
  <c r="T40" i="14"/>
  <c r="W123" i="14"/>
  <c r="O109" i="14"/>
  <c r="Z22" i="22"/>
  <c r="P231" i="22"/>
  <c r="M231" i="22" s="1"/>
  <c r="M235" i="22"/>
  <c r="P234" i="22"/>
  <c r="P95" i="27"/>
  <c r="M90" i="27"/>
  <c r="M89" i="27" s="1"/>
  <c r="W22" i="22"/>
  <c r="L109" i="14"/>
  <c r="L228" i="14" s="1"/>
  <c r="L251" i="14" s="1"/>
  <c r="T126" i="24"/>
  <c r="T122" i="24" s="1"/>
  <c r="K149" i="24"/>
  <c r="T34" i="14"/>
  <c r="X120" i="14"/>
  <c r="W120" i="14"/>
  <c r="T119" i="14"/>
  <c r="H109" i="14"/>
  <c r="H228" i="14" s="1"/>
  <c r="S22" i="22"/>
  <c r="V126" i="24"/>
  <c r="L149" i="24"/>
  <c r="E40" i="14"/>
  <c r="E119" i="14"/>
  <c r="E33" i="14" s="1"/>
  <c r="R24" i="22"/>
  <c r="G113" i="14"/>
  <c r="R27" i="22"/>
  <c r="R26" i="22" s="1"/>
  <c r="R50" i="22" s="1"/>
  <c r="L30" i="14"/>
  <c r="L29" i="14" s="1"/>
  <c r="L115" i="14"/>
  <c r="L232" i="14" s="1"/>
  <c r="AF230" i="14" s="1"/>
  <c r="P315" i="22"/>
  <c r="N107" i="24"/>
  <c r="N106" i="14"/>
  <c r="N20" i="14" s="1"/>
  <c r="Y8" i="22"/>
  <c r="N108" i="14"/>
  <c r="N21" i="14"/>
  <c r="T56" i="22"/>
  <c r="U54" i="22"/>
  <c r="T57" i="22"/>
  <c r="M30" i="14"/>
  <c r="M29" i="14" s="1"/>
  <c r="M115" i="14"/>
  <c r="M232" i="14" s="1"/>
  <c r="S24" i="22"/>
  <c r="H113" i="14"/>
  <c r="S27" i="22"/>
  <c r="S26" i="22" s="1"/>
  <c r="S50" i="22" s="1"/>
  <c r="I109" i="14"/>
  <c r="I228" i="14" s="1"/>
  <c r="T22" i="22"/>
  <c r="P100" i="27"/>
  <c r="M226" i="14"/>
  <c r="AG226" i="14" s="1"/>
  <c r="R128" i="14"/>
  <c r="T24" i="22"/>
  <c r="T27" i="22"/>
  <c r="T26" i="22" s="1"/>
  <c r="T50" i="22" s="1"/>
  <c r="I113" i="14"/>
  <c r="L151" i="24"/>
  <c r="V136" i="24"/>
  <c r="P33" i="14"/>
  <c r="S119" i="14"/>
  <c r="R119" i="14"/>
  <c r="P72" i="22"/>
  <c r="P74" i="22"/>
  <c r="M83" i="22"/>
  <c r="AA103" i="22"/>
  <c r="D121" i="24"/>
  <c r="D140" i="24" s="1"/>
  <c r="C148" i="24"/>
  <c r="K106" i="14"/>
  <c r="V8" i="22"/>
  <c r="W233" i="22"/>
  <c r="W262" i="22" s="1"/>
  <c r="M182" i="22"/>
  <c r="X121" i="14"/>
  <c r="T35" i="14"/>
  <c r="W121" i="14"/>
  <c r="AA24" i="22"/>
  <c r="P40" i="27"/>
  <c r="X114" i="14"/>
  <c r="T28" i="14"/>
  <c r="W114" i="14"/>
  <c r="L42" i="11"/>
  <c r="K536" i="14"/>
  <c r="G80" i="27"/>
  <c r="L449" i="14"/>
  <c r="C132" i="24"/>
  <c r="K53" i="11"/>
  <c r="P397" i="19"/>
  <c r="AC376" i="19"/>
  <c r="P475" i="19"/>
  <c r="AC454" i="19"/>
  <c r="P708" i="19"/>
  <c r="P436" i="19"/>
  <c r="P631" i="19"/>
  <c r="AC610" i="19"/>
  <c r="P358" i="19"/>
  <c r="AC337" i="19"/>
  <c r="J478" i="14"/>
  <c r="M299" i="19"/>
  <c r="Q431" i="14" s="1"/>
  <c r="Q430" i="14" s="1"/>
  <c r="Q449" i="14" s="1"/>
  <c r="P241" i="19"/>
  <c r="M571" i="19"/>
  <c r="M592" i="19" s="1"/>
  <c r="P319" i="19"/>
  <c r="P514" i="19"/>
  <c r="AC493" i="19"/>
  <c r="P163" i="19"/>
  <c r="P670" i="19"/>
  <c r="I478" i="14"/>
  <c r="R143" i="14"/>
  <c r="N254" i="14"/>
  <c r="E79" i="24"/>
  <c r="D203" i="14" s="1"/>
  <c r="D202" i="14" s="1"/>
  <c r="D221" i="14" s="1"/>
  <c r="L118" i="24"/>
  <c r="L117" i="24" s="1"/>
  <c r="S207" i="14"/>
  <c r="S11" i="24"/>
  <c r="H536" i="14"/>
  <c r="K138" i="24"/>
  <c r="S19" i="19"/>
  <c r="S45" i="19" s="1"/>
  <c r="E80" i="24"/>
  <c r="F420" i="14"/>
  <c r="R216" i="14"/>
  <c r="E391" i="14"/>
  <c r="T177" i="14"/>
  <c r="X177" i="14" s="1"/>
  <c r="J141" i="14"/>
  <c r="X180" i="14"/>
  <c r="E536" i="14"/>
  <c r="O202" i="19"/>
  <c r="C420" i="14"/>
  <c r="P20" i="24"/>
  <c r="O142" i="14" s="1"/>
  <c r="O141" i="14" s="1"/>
  <c r="O160" i="14" s="1"/>
  <c r="U85" i="19"/>
  <c r="K42" i="24" s="1"/>
  <c r="E229" i="14"/>
  <c r="G234" i="14"/>
  <c r="C30" i="24"/>
  <c r="T145" i="14" s="1"/>
  <c r="X145" i="14" s="1"/>
  <c r="AB21" i="19"/>
  <c r="Z20" i="19"/>
  <c r="Z19" i="19" s="1"/>
  <c r="AB11" i="19"/>
  <c r="E478" i="14"/>
  <c r="H343" i="14"/>
  <c r="H362" i="14" s="1"/>
  <c r="T155" i="14"/>
  <c r="W155" i="14" s="1"/>
  <c r="H364" i="14"/>
  <c r="AB532" i="19"/>
  <c r="D80" i="27"/>
  <c r="J420" i="14"/>
  <c r="T127" i="24"/>
  <c r="J191" i="14"/>
  <c r="D391" i="14"/>
  <c r="I343" i="14"/>
  <c r="I362" i="14" s="1"/>
  <c r="Q75" i="24"/>
  <c r="P201" i="14" s="1"/>
  <c r="N46" i="19"/>
  <c r="J137" i="24"/>
  <c r="N449" i="14"/>
  <c r="R133" i="24"/>
  <c r="R132" i="24" s="1"/>
  <c r="M536" i="14"/>
  <c r="X150" i="14"/>
  <c r="AB553" i="19"/>
  <c r="L64" i="11"/>
  <c r="F227" i="14"/>
  <c r="O259" i="19"/>
  <c r="E19" i="24" s="1"/>
  <c r="AB64" i="19"/>
  <c r="G420" i="14"/>
  <c r="M64" i="19"/>
  <c r="M85" i="19" s="1"/>
  <c r="G20" i="24"/>
  <c r="F142" i="14" s="1"/>
  <c r="F141" i="14" s="1"/>
  <c r="F160" i="14" s="1"/>
  <c r="E20" i="24"/>
  <c r="D142" i="14" s="1"/>
  <c r="M649" i="19"/>
  <c r="T119" i="24" s="1"/>
  <c r="E401" i="14"/>
  <c r="E420" i="14" s="1"/>
  <c r="J507" i="14"/>
  <c r="AB33" i="19"/>
  <c r="Q532" i="19"/>
  <c r="Q553" i="19" s="1"/>
  <c r="G101" i="24" s="1"/>
  <c r="L79" i="24"/>
  <c r="K203" i="14" s="1"/>
  <c r="K202" i="14" s="1"/>
  <c r="K221" i="14" s="1"/>
  <c r="C156" i="14"/>
  <c r="H391" i="14"/>
  <c r="S9" i="24"/>
  <c r="G507" i="14"/>
  <c r="S85" i="19"/>
  <c r="AB493" i="19"/>
  <c r="K26" i="11"/>
  <c r="C227" i="14"/>
  <c r="M611" i="19"/>
  <c r="Q518" i="14" s="1"/>
  <c r="Q517" i="14" s="1"/>
  <c r="L80" i="27"/>
  <c r="I420" i="14"/>
  <c r="E21" i="24"/>
  <c r="M415" i="19"/>
  <c r="M436" i="19" s="1"/>
  <c r="W176" i="14"/>
  <c r="G79" i="24"/>
  <c r="F203" i="14" s="1"/>
  <c r="F202" i="14" s="1"/>
  <c r="F221" i="14" s="1"/>
  <c r="AB376" i="19"/>
  <c r="AA31" i="19"/>
  <c r="K449" i="14"/>
  <c r="I363" i="14"/>
  <c r="AB337" i="19"/>
  <c r="K420" i="14"/>
  <c r="D79" i="24"/>
  <c r="C203" i="14" s="1"/>
  <c r="C202" i="14" s="1"/>
  <c r="C221" i="14" s="1"/>
  <c r="R147" i="14"/>
  <c r="R146" i="14" s="1"/>
  <c r="P191" i="14"/>
  <c r="O343" i="14"/>
  <c r="O362" i="14" s="1"/>
  <c r="N571" i="19"/>
  <c r="N592" i="19" s="1"/>
  <c r="D101" i="24" s="1"/>
  <c r="G191" i="14"/>
  <c r="M141" i="14"/>
  <c r="M160" i="14" s="1"/>
  <c r="Q485" i="14"/>
  <c r="D478" i="14"/>
  <c r="M420" i="14"/>
  <c r="X178" i="14"/>
  <c r="W178" i="14"/>
  <c r="P97" i="27"/>
  <c r="F391" i="14"/>
  <c r="Q122" i="24"/>
  <c r="R19" i="19"/>
  <c r="R45" i="19" s="1"/>
  <c r="Z631" i="19"/>
  <c r="AB631" i="19" s="1"/>
  <c r="AB610" i="19"/>
  <c r="M78" i="24"/>
  <c r="M79" i="24"/>
  <c r="L203" i="14" s="1"/>
  <c r="L202" i="14" s="1"/>
  <c r="L221" i="14" s="1"/>
  <c r="B80" i="27"/>
  <c r="J138" i="24"/>
  <c r="H363" i="14"/>
  <c r="G343" i="14"/>
  <c r="G362" i="14" s="1"/>
  <c r="G363" i="14"/>
  <c r="L420" i="14"/>
  <c r="P123" i="24"/>
  <c r="Q376" i="14"/>
  <c r="Q345" i="14"/>
  <c r="P124" i="24"/>
  <c r="Q521" i="14"/>
  <c r="R177" i="14"/>
  <c r="W148" i="14"/>
  <c r="P65" i="27"/>
  <c r="W123" i="24"/>
  <c r="C67" i="24"/>
  <c r="R246" i="14"/>
  <c r="AL235" i="14" s="1"/>
  <c r="H80" i="27"/>
  <c r="K19" i="24"/>
  <c r="K33" i="11"/>
  <c r="I232" i="14"/>
  <c r="H118" i="24"/>
  <c r="H117" i="24" s="1"/>
  <c r="H139" i="24" s="1"/>
  <c r="K374" i="14"/>
  <c r="K372" i="14" s="1"/>
  <c r="K391" i="14" s="1"/>
  <c r="V220" i="19"/>
  <c r="V241" i="19" s="1"/>
  <c r="Z116" i="24"/>
  <c r="Z112" i="24" s="1"/>
  <c r="V112" i="24"/>
  <c r="AB181" i="19"/>
  <c r="AA202" i="19"/>
  <c r="AB202" i="19" s="1"/>
  <c r="K118" i="24"/>
  <c r="K117" i="24" s="1"/>
  <c r="K139" i="24" s="1"/>
  <c r="M236" i="14"/>
  <c r="M235" i="14" s="1"/>
  <c r="AG234" i="14" s="1"/>
  <c r="AG233" i="14" s="1"/>
  <c r="X31" i="19"/>
  <c r="X45" i="19" s="1"/>
  <c r="X46" i="19" s="1"/>
  <c r="F431" i="14"/>
  <c r="F430" i="14" s="1"/>
  <c r="F449" i="14" s="1"/>
  <c r="Q298" i="19"/>
  <c r="Q319" i="19" s="1"/>
  <c r="I138" i="24"/>
  <c r="I137" i="24"/>
  <c r="W31" i="19"/>
  <c r="W45" i="19" s="1"/>
  <c r="W46" i="19" s="1"/>
  <c r="L236" i="14"/>
  <c r="L235" i="14" s="1"/>
  <c r="AF234" i="14" s="1"/>
  <c r="AF233" i="14" s="1"/>
  <c r="P21" i="19"/>
  <c r="M687" i="19"/>
  <c r="M708" i="19" s="1"/>
  <c r="P391" i="14"/>
  <c r="P536" i="14"/>
  <c r="D488" i="14"/>
  <c r="D507" i="14" s="1"/>
  <c r="G137" i="24"/>
  <c r="G138" i="24"/>
  <c r="M183" i="19"/>
  <c r="M182" i="19" s="1"/>
  <c r="M181" i="19" s="1"/>
  <c r="P182" i="19"/>
  <c r="P181" i="19" s="1"/>
  <c r="AA298" i="19"/>
  <c r="P431" i="14"/>
  <c r="P430" i="14" s="1"/>
  <c r="P449" i="14" s="1"/>
  <c r="R186" i="14"/>
  <c r="S128" i="24"/>
  <c r="S127" i="24" s="1"/>
  <c r="Q407" i="14"/>
  <c r="Q406" i="14" s="1"/>
  <c r="P199" i="14"/>
  <c r="P217" i="14"/>
  <c r="H191" i="14"/>
  <c r="T27" i="10"/>
  <c r="P27" i="10" s="1"/>
  <c r="M30" i="19"/>
  <c r="K362" i="14"/>
  <c r="J536" i="14"/>
  <c r="W280" i="19"/>
  <c r="G391" i="14"/>
  <c r="M24" i="19"/>
  <c r="F93" i="27"/>
  <c r="K61" i="27"/>
  <c r="K80" i="27" s="1"/>
  <c r="P533" i="19"/>
  <c r="F80" i="24"/>
  <c r="D446" i="14"/>
  <c r="D427" i="14"/>
  <c r="M488" i="14"/>
  <c r="M507" i="14" s="1"/>
  <c r="P134" i="24"/>
  <c r="L374" i="14"/>
  <c r="L372" i="14" s="1"/>
  <c r="L391" i="14" s="1"/>
  <c r="W220" i="19"/>
  <c r="W241" i="19" s="1"/>
  <c r="X220" i="19"/>
  <c r="X241" i="19" s="1"/>
  <c r="AF226" i="14"/>
  <c r="W212" i="14"/>
  <c r="W216" i="14" s="1"/>
  <c r="X212" i="14"/>
  <c r="N344" i="14"/>
  <c r="N343" i="14" s="1"/>
  <c r="N362" i="14" s="1"/>
  <c r="Y64" i="19"/>
  <c r="Y85" i="19" s="1"/>
  <c r="O20" i="24"/>
  <c r="N142" i="14" s="1"/>
  <c r="N141" i="14" s="1"/>
  <c r="N160" i="14" s="1"/>
  <c r="Z128" i="24"/>
  <c r="W631" i="19"/>
  <c r="M101" i="24" s="1"/>
  <c r="Q373" i="14"/>
  <c r="Q372" i="14" s="1"/>
  <c r="M220" i="19"/>
  <c r="P118" i="24" s="1"/>
  <c r="M68" i="24"/>
  <c r="W9" i="19"/>
  <c r="Q403" i="14"/>
  <c r="D25" i="24"/>
  <c r="C143" i="14" s="1"/>
  <c r="Q20" i="24"/>
  <c r="P142" i="14" s="1"/>
  <c r="AA142" i="19"/>
  <c r="AC142" i="19" s="1"/>
  <c r="O62" i="27"/>
  <c r="O61" i="27" s="1"/>
  <c r="O80" i="27" s="1"/>
  <c r="R571" i="19"/>
  <c r="AC571" i="19" s="1"/>
  <c r="H79" i="24"/>
  <c r="G203" i="14" s="1"/>
  <c r="G202" i="14" s="1"/>
  <c r="G221" i="14" s="1"/>
  <c r="M454" i="19"/>
  <c r="F392" i="14"/>
  <c r="W197" i="14"/>
  <c r="X197" i="14"/>
  <c r="AH231" i="14"/>
  <c r="AA233" i="14"/>
  <c r="Q460" i="14"/>
  <c r="Q459" i="14" s="1"/>
  <c r="Q478" i="14" s="1"/>
  <c r="M337" i="19"/>
  <c r="R118" i="24" s="1"/>
  <c r="R117" i="24" s="1"/>
  <c r="AB416" i="19"/>
  <c r="Z415" i="19"/>
  <c r="AC415" i="19" s="1"/>
  <c r="I488" i="14"/>
  <c r="I507" i="14" s="1"/>
  <c r="H20" i="24"/>
  <c r="G142" i="14" s="1"/>
  <c r="R103" i="19"/>
  <c r="R242" i="14"/>
  <c r="L132" i="24"/>
  <c r="N133" i="24"/>
  <c r="N132" i="24" s="1"/>
  <c r="Q402" i="14"/>
  <c r="M259" i="19"/>
  <c r="S118" i="24" s="1"/>
  <c r="H218" i="14"/>
  <c r="H229" i="14"/>
  <c r="P259" i="19"/>
  <c r="C84" i="24"/>
  <c r="T204" i="14" s="1"/>
  <c r="Q490" i="14"/>
  <c r="Z687" i="19"/>
  <c r="AB688" i="19"/>
  <c r="S186" i="14"/>
  <c r="T216" i="14"/>
  <c r="X216" i="14" s="1"/>
  <c r="G138" i="14"/>
  <c r="E119" i="24"/>
  <c r="E117" i="24" s="1"/>
  <c r="E139" i="24" s="1"/>
  <c r="S146" i="14"/>
  <c r="T207" i="14"/>
  <c r="X207" i="14" s="1"/>
  <c r="W209" i="14"/>
  <c r="X209" i="14"/>
  <c r="G157" i="14"/>
  <c r="P344" i="14"/>
  <c r="P343" i="14" s="1"/>
  <c r="P362" i="14" s="1"/>
  <c r="AA103" i="19"/>
  <c r="O488" i="14"/>
  <c r="O507" i="14" s="1"/>
  <c r="N391" i="14"/>
  <c r="M142" i="19"/>
  <c r="P62" i="27"/>
  <c r="G422" i="14"/>
  <c r="F229" i="14"/>
  <c r="F252" i="14" s="1"/>
  <c r="L488" i="14"/>
  <c r="L507" i="14" s="1"/>
  <c r="G392" i="14"/>
  <c r="I80" i="27"/>
  <c r="J421" i="14"/>
  <c r="H392" i="14"/>
  <c r="P489" i="14"/>
  <c r="P488" i="14" s="1"/>
  <c r="P507" i="14" s="1"/>
  <c r="Q79" i="24"/>
  <c r="P203" i="14" s="1"/>
  <c r="L93" i="27"/>
  <c r="C191" i="14"/>
  <c r="P159" i="14"/>
  <c r="O50" i="24"/>
  <c r="D239" i="14"/>
  <c r="D235" i="14" s="1"/>
  <c r="O31" i="19"/>
  <c r="F422" i="14"/>
  <c r="AA631" i="19"/>
  <c r="C119" i="24"/>
  <c r="S177" i="14"/>
  <c r="S191" i="14" s="1"/>
  <c r="N536" i="14"/>
  <c r="X208" i="14"/>
  <c r="W208" i="14"/>
  <c r="C25" i="24"/>
  <c r="T143" i="14" s="1"/>
  <c r="D191" i="14"/>
  <c r="L74" i="11"/>
  <c r="K52" i="11"/>
  <c r="L50" i="11"/>
  <c r="K27" i="11"/>
  <c r="K22" i="11"/>
  <c r="K84" i="11"/>
  <c r="L68" i="11"/>
  <c r="K47" i="11"/>
  <c r="K56" i="11"/>
  <c r="K13" i="11"/>
  <c r="K49" i="11"/>
  <c r="L70" i="11"/>
  <c r="K70" i="11"/>
  <c r="L80" i="11"/>
  <c r="K80" i="11"/>
  <c r="L44" i="11"/>
  <c r="K44" i="11"/>
  <c r="L16" i="11"/>
  <c r="L39" i="11"/>
  <c r="K39" i="11"/>
  <c r="L23" i="11"/>
  <c r="X144" i="14"/>
  <c r="W144" i="14"/>
  <c r="T233" i="14"/>
  <c r="L78" i="24"/>
  <c r="V592" i="19"/>
  <c r="L101" i="24" s="1"/>
  <c r="X152" i="14"/>
  <c r="W152" i="14"/>
  <c r="W173" i="14"/>
  <c r="T172" i="14"/>
  <c r="X173" i="14"/>
  <c r="X154" i="14"/>
  <c r="W154" i="14"/>
  <c r="K10" i="11"/>
  <c r="L10" i="11"/>
  <c r="C11" i="24"/>
  <c r="M104" i="19"/>
  <c r="D138" i="24"/>
  <c r="D137" i="24"/>
  <c r="AB220" i="19"/>
  <c r="C118" i="24"/>
  <c r="AA241" i="19"/>
  <c r="AB241" i="19" s="1"/>
  <c r="K11" i="11"/>
  <c r="L11" i="11"/>
  <c r="Z163" i="19"/>
  <c r="X174" i="14"/>
  <c r="W174" i="14"/>
  <c r="K59" i="11"/>
  <c r="L59" i="11"/>
  <c r="M493" i="19"/>
  <c r="T71" i="27"/>
  <c r="Q71" i="27"/>
  <c r="L79" i="11"/>
  <c r="K79" i="11"/>
  <c r="S3" i="10"/>
  <c r="E344" i="14"/>
  <c r="P103" i="19"/>
  <c r="BB74" i="10"/>
  <c r="D58" i="11"/>
  <c r="G58" i="11" s="1"/>
  <c r="P133" i="24"/>
  <c r="C31" i="24"/>
  <c r="N80" i="27"/>
  <c r="N89" i="27"/>
  <c r="N104" i="27" s="1"/>
  <c r="AE226" i="14"/>
  <c r="Q72" i="27"/>
  <c r="K48" i="11"/>
  <c r="L48" i="11"/>
  <c r="F68" i="24"/>
  <c r="P9" i="19"/>
  <c r="E138" i="24"/>
  <c r="E137" i="24"/>
  <c r="L40" i="11"/>
  <c r="K40" i="11"/>
  <c r="L83" i="11"/>
  <c r="K83" i="11"/>
  <c r="C137" i="24"/>
  <c r="C138" i="24"/>
  <c r="L25" i="11"/>
  <c r="K25" i="11"/>
  <c r="Y163" i="19"/>
  <c r="AA9" i="19"/>
  <c r="AB9" i="19" s="1"/>
  <c r="Q74" i="10"/>
  <c r="P66" i="10"/>
  <c r="O101" i="24"/>
  <c r="D119" i="24"/>
  <c r="Q78" i="24"/>
  <c r="AA553" i="19"/>
  <c r="R241" i="14"/>
  <c r="S241" i="14"/>
  <c r="S243" i="14"/>
  <c r="R243" i="14"/>
  <c r="P244" i="14"/>
  <c r="W149" i="14"/>
  <c r="X149" i="14"/>
  <c r="X74" i="10"/>
  <c r="B58" i="11"/>
  <c r="S60" i="27"/>
  <c r="T60" i="27"/>
  <c r="W133" i="24"/>
  <c r="Q74" i="27"/>
  <c r="T57" i="27"/>
  <c r="Q57" i="27"/>
  <c r="G218" i="14"/>
  <c r="G229" i="14"/>
  <c r="H24" i="11"/>
  <c r="B30" i="10"/>
  <c r="O78" i="24"/>
  <c r="H141" i="14"/>
  <c r="D9" i="11"/>
  <c r="G9" i="11" s="1"/>
  <c r="BG15" i="10"/>
  <c r="J160" i="14"/>
  <c r="AN235" i="14"/>
  <c r="X246" i="14"/>
  <c r="G199" i="14"/>
  <c r="G217" i="14"/>
  <c r="G226" i="14"/>
  <c r="B112" i="24"/>
  <c r="AJ226" i="14"/>
  <c r="S226" i="14"/>
  <c r="AM226" i="14" s="1"/>
  <c r="C90" i="24"/>
  <c r="Q134" i="24"/>
  <c r="Q69" i="27"/>
  <c r="O218" i="14"/>
  <c r="AW74" i="10"/>
  <c r="BG66" i="10"/>
  <c r="J58" i="11" s="1"/>
  <c r="K61" i="11"/>
  <c r="L61" i="11"/>
  <c r="R75" i="27"/>
  <c r="Q75" i="27" s="1"/>
  <c r="S75" i="27" s="1"/>
  <c r="S204" i="14"/>
  <c r="R204" i="14"/>
  <c r="S87" i="27"/>
  <c r="T87" i="27"/>
  <c r="X137" i="14"/>
  <c r="W137" i="14"/>
  <c r="D226" i="14"/>
  <c r="D138" i="14"/>
  <c r="D156" i="14"/>
  <c r="O402" i="14"/>
  <c r="O401" i="14" s="1"/>
  <c r="O420" i="14" s="1"/>
  <c r="Z259" i="19"/>
  <c r="AB260" i="19"/>
  <c r="S532" i="19"/>
  <c r="H489" i="14"/>
  <c r="H488" i="14" s="1"/>
  <c r="H507" i="14" s="1"/>
  <c r="I79" i="24"/>
  <c r="H203" i="14" s="1"/>
  <c r="H202" i="14" s="1"/>
  <c r="S233" i="14"/>
  <c r="AM231" i="14" s="1"/>
  <c r="R233" i="14"/>
  <c r="AJ231" i="14"/>
  <c r="Q70" i="27"/>
  <c r="J80" i="27"/>
  <c r="T592" i="19"/>
  <c r="J101" i="24" s="1"/>
  <c r="J78" i="24"/>
  <c r="P220" i="14"/>
  <c r="O51" i="24"/>
  <c r="E217" i="14"/>
  <c r="E226" i="14"/>
  <c r="E199" i="14"/>
  <c r="E227" i="14" s="1"/>
  <c r="M157" i="14"/>
  <c r="M229" i="14"/>
  <c r="R207" i="14"/>
  <c r="S234" i="14"/>
  <c r="AM232" i="14" s="1"/>
  <c r="B122" i="24"/>
  <c r="R234" i="14"/>
  <c r="AL232" i="14" s="1"/>
  <c r="AJ232" i="14"/>
  <c r="C80" i="24"/>
  <c r="M533" i="19"/>
  <c r="Q348" i="14"/>
  <c r="S67" i="27"/>
  <c r="J202" i="14"/>
  <c r="J221" i="14" s="1"/>
  <c r="J232" i="14"/>
  <c r="C9" i="24"/>
  <c r="T46" i="19"/>
  <c r="T45" i="19"/>
  <c r="P91" i="27"/>
  <c r="T226" i="14"/>
  <c r="X198" i="14"/>
  <c r="W198" i="14"/>
  <c r="V85" i="19"/>
  <c r="Q64" i="27"/>
  <c r="T64" i="27"/>
  <c r="Q58" i="27"/>
  <c r="S58" i="27" s="1"/>
  <c r="T58" i="27"/>
  <c r="H401" i="14"/>
  <c r="H420" i="14" s="1"/>
  <c r="I422" i="14"/>
  <c r="H422" i="14"/>
  <c r="U553" i="19"/>
  <c r="K101" i="24" s="1"/>
  <c r="K78" i="24"/>
  <c r="K141" i="14"/>
  <c r="K160" i="14" s="1"/>
  <c r="I19" i="24"/>
  <c r="S163" i="19"/>
  <c r="I218" i="14"/>
  <c r="I229" i="14"/>
  <c r="L343" i="14"/>
  <c r="L362" i="14" s="1"/>
  <c r="S16" i="24"/>
  <c r="N78" i="24"/>
  <c r="X553" i="19"/>
  <c r="N101" i="24" s="1"/>
  <c r="I392" i="14"/>
  <c r="I372" i="14"/>
  <c r="I391" i="14" s="1"/>
  <c r="Y475" i="19"/>
  <c r="AB475" i="19" s="1"/>
  <c r="AB454" i="19"/>
  <c r="H138" i="14"/>
  <c r="H156" i="14"/>
  <c r="N226" i="14"/>
  <c r="AH226" i="14" s="1"/>
  <c r="N138" i="14"/>
  <c r="W151" i="14"/>
  <c r="X151" i="14"/>
  <c r="Q244" i="14"/>
  <c r="Q235" i="14"/>
  <c r="Q245" i="14" s="1"/>
  <c r="Q255" i="14" s="1"/>
  <c r="S155" i="14"/>
  <c r="R155" i="14"/>
  <c r="L43" i="11"/>
  <c r="K43" i="11"/>
  <c r="Q59" i="27"/>
  <c r="S59" i="27" s="1"/>
  <c r="T59" i="27"/>
  <c r="E218" i="14"/>
  <c r="C157" i="14"/>
  <c r="C229" i="14"/>
  <c r="C252" i="14" s="1"/>
  <c r="P235" i="14"/>
  <c r="J229" i="14"/>
  <c r="J252" i="14" s="1"/>
  <c r="J157" i="14"/>
  <c r="Q133" i="24"/>
  <c r="W124" i="19"/>
  <c r="AT100" i="10"/>
  <c r="O217" i="14"/>
  <c r="O199" i="14"/>
  <c r="O226" i="14"/>
  <c r="AB571" i="19"/>
  <c r="Z592" i="19"/>
  <c r="R174" i="14"/>
  <c r="R172" i="14" s="1"/>
  <c r="O172" i="14"/>
  <c r="O191" i="14" s="1"/>
  <c r="S242" i="14"/>
  <c r="H226" i="14"/>
  <c r="K34" i="11"/>
  <c r="L34" i="11"/>
  <c r="M202" i="14"/>
  <c r="M221" i="14" s="1"/>
  <c r="T66" i="27"/>
  <c r="S66" i="27"/>
  <c r="T70" i="27"/>
  <c r="B59" i="10"/>
  <c r="H51" i="11"/>
  <c r="L229" i="14"/>
  <c r="L252" i="14" s="1"/>
  <c r="T74" i="27"/>
  <c r="L141" i="14"/>
  <c r="L160" i="14" s="1"/>
  <c r="T72" i="27"/>
  <c r="Q85" i="19"/>
  <c r="X136" i="14"/>
  <c r="W136" i="14"/>
  <c r="AB522" i="19"/>
  <c r="P68" i="24"/>
  <c r="M522" i="19"/>
  <c r="B77" i="10"/>
  <c r="H67" i="11"/>
  <c r="L32" i="11"/>
  <c r="K32" i="11"/>
  <c r="D20" i="24"/>
  <c r="C142" i="14" s="1"/>
  <c r="N103" i="19"/>
  <c r="C344" i="14"/>
  <c r="C343" i="14" s="1"/>
  <c r="C362" i="14" s="1"/>
  <c r="N228" i="14"/>
  <c r="N156" i="14"/>
  <c r="D157" i="14"/>
  <c r="T241" i="19"/>
  <c r="J42" i="24" s="1"/>
  <c r="J19" i="24"/>
  <c r="I89" i="27"/>
  <c r="D252" i="14" l="1"/>
  <c r="M368" i="22"/>
  <c r="W238" i="14"/>
  <c r="H151" i="24"/>
  <c r="M72" i="22"/>
  <c r="F20" i="14"/>
  <c r="F225" i="14"/>
  <c r="S136" i="24"/>
  <c r="W243" i="14"/>
  <c r="Z127" i="24"/>
  <c r="P227" i="14"/>
  <c r="O3" i="43"/>
  <c r="M3" i="42"/>
  <c r="N3" i="42" s="1"/>
  <c r="AB74" i="22"/>
  <c r="E15" i="42" s="1"/>
  <c r="AB180" i="22"/>
  <c r="E16" i="42" s="1"/>
  <c r="M113" i="14"/>
  <c r="M27" i="14" s="1"/>
  <c r="M26" i="14" s="1"/>
  <c r="M25" i="14" s="1"/>
  <c r="M44" i="14" s="1"/>
  <c r="M46" i="14" s="1"/>
  <c r="M51" i="14" s="1"/>
  <c r="E251" i="14"/>
  <c r="U46" i="19"/>
  <c r="O553" i="19"/>
  <c r="E101" i="24" s="1"/>
  <c r="T146" i="14"/>
  <c r="X146" i="14" s="1"/>
  <c r="X147" i="14"/>
  <c r="V45" i="19"/>
  <c r="W206" i="14"/>
  <c r="N42" i="24"/>
  <c r="AA45" i="19"/>
  <c r="AA46" i="19" s="1"/>
  <c r="U118" i="24"/>
  <c r="U117" i="24" s="1"/>
  <c r="U139" i="24" s="1"/>
  <c r="AB20" i="19"/>
  <c r="S46" i="19"/>
  <c r="N138" i="24"/>
  <c r="M670" i="19"/>
  <c r="M19" i="24"/>
  <c r="T236" i="14"/>
  <c r="W236" i="14" s="1"/>
  <c r="AC514" i="19"/>
  <c r="M42" i="24"/>
  <c r="L19" i="24"/>
  <c r="L42" i="24"/>
  <c r="Z133" i="24"/>
  <c r="W177" i="14"/>
  <c r="O235" i="14"/>
  <c r="AI234" i="14" s="1"/>
  <c r="AI233" i="14" s="1"/>
  <c r="M280" i="19"/>
  <c r="AC358" i="19"/>
  <c r="G37" i="43"/>
  <c r="L3" i="43"/>
  <c r="Z670" i="19"/>
  <c r="AB670" i="19" s="1"/>
  <c r="AB649" i="19"/>
  <c r="D3" i="42"/>
  <c r="P78" i="24"/>
  <c r="S78" i="24" s="1"/>
  <c r="T132" i="24"/>
  <c r="D23" i="42"/>
  <c r="F23" i="42" s="1"/>
  <c r="G38" i="43"/>
  <c r="D16" i="42"/>
  <c r="F16" i="42" s="1"/>
  <c r="G31" i="43"/>
  <c r="L139" i="24"/>
  <c r="G42" i="24"/>
  <c r="E104" i="27"/>
  <c r="I42" i="24"/>
  <c r="R139" i="24"/>
  <c r="Q45" i="19"/>
  <c r="Q19" i="24"/>
  <c r="P132" i="24"/>
  <c r="AC298" i="19"/>
  <c r="AC397" i="19"/>
  <c r="W207" i="14"/>
  <c r="AB142" i="19"/>
  <c r="D22" i="42"/>
  <c r="F22" i="42" s="1"/>
  <c r="N229" i="14"/>
  <c r="N252" i="14" s="1"/>
  <c r="F20" i="24"/>
  <c r="E142" i="14" s="1"/>
  <c r="E141" i="14" s="1"/>
  <c r="E160" i="14" s="1"/>
  <c r="R46" i="19"/>
  <c r="AC64" i="19"/>
  <c r="M298" i="19"/>
  <c r="P26" i="14"/>
  <c r="P25" i="14" s="1"/>
  <c r="P44" i="14" s="1"/>
  <c r="P46" i="14" s="1"/>
  <c r="P51" i="14" s="1"/>
  <c r="AB286" i="22"/>
  <c r="E24" i="42" s="1"/>
  <c r="F24" i="42" s="1"/>
  <c r="AB368" i="22"/>
  <c r="AB315" i="22"/>
  <c r="E35" i="42" s="1"/>
  <c r="F35" i="42" s="1"/>
  <c r="C232" i="14"/>
  <c r="K108" i="14"/>
  <c r="K227" i="14" s="1"/>
  <c r="C25" i="14"/>
  <c r="C44" i="14" s="1"/>
  <c r="C46" i="14" s="1"/>
  <c r="C51" i="14" s="1"/>
  <c r="H104" i="27"/>
  <c r="X27" i="22"/>
  <c r="X26" i="22" s="1"/>
  <c r="X50" i="22" s="1"/>
  <c r="S109" i="14"/>
  <c r="W132" i="24"/>
  <c r="P228" i="14"/>
  <c r="P251" i="14" s="1"/>
  <c r="W127" i="14"/>
  <c r="M28" i="22"/>
  <c r="T113" i="14" s="1"/>
  <c r="T112" i="14" s="1"/>
  <c r="F104" i="27"/>
  <c r="C111" i="14"/>
  <c r="C132" i="14" s="1"/>
  <c r="M104" i="27"/>
  <c r="I252" i="14"/>
  <c r="X241" i="14"/>
  <c r="S30" i="14"/>
  <c r="X239" i="14"/>
  <c r="J29" i="14"/>
  <c r="AE24" i="14" s="1"/>
  <c r="T84" i="27"/>
  <c r="S84" i="27"/>
  <c r="X127" i="14"/>
  <c r="G104" i="27"/>
  <c r="I251" i="14"/>
  <c r="N225" i="14"/>
  <c r="AH225" i="14" s="1"/>
  <c r="I104" i="27"/>
  <c r="W122" i="24"/>
  <c r="T86" i="27"/>
  <c r="D227" i="14"/>
  <c r="P34" i="27"/>
  <c r="R34" i="27" s="1"/>
  <c r="Q34" i="27" s="1"/>
  <c r="S34" i="27" s="1"/>
  <c r="M286" i="22"/>
  <c r="V121" i="24" s="1"/>
  <c r="X237" i="14"/>
  <c r="W237" i="14"/>
  <c r="M252" i="14"/>
  <c r="AG230" i="14"/>
  <c r="AG229" i="14"/>
  <c r="AA232" i="14"/>
  <c r="M251" i="14"/>
  <c r="H146" i="24"/>
  <c r="X21" i="14"/>
  <c r="W21" i="14"/>
  <c r="AQ21" i="14" s="1"/>
  <c r="AN21" i="14"/>
  <c r="AR21" i="14" s="1"/>
  <c r="M181" i="22"/>
  <c r="T319" i="22"/>
  <c r="S322" i="22"/>
  <c r="S321" i="22"/>
  <c r="H108" i="14"/>
  <c r="H227" i="14" s="1"/>
  <c r="M315" i="22"/>
  <c r="L108" i="14"/>
  <c r="L227" i="14" s="1"/>
  <c r="F117" i="24"/>
  <c r="F139" i="24" s="1"/>
  <c r="V242" i="14"/>
  <c r="X242" i="14" s="1"/>
  <c r="F25" i="14"/>
  <c r="F44" i="14" s="1"/>
  <c r="F46" i="14" s="1"/>
  <c r="F51" i="14" s="1"/>
  <c r="O112" i="14"/>
  <c r="O111" i="14" s="1"/>
  <c r="O132" i="14" s="1"/>
  <c r="O27" i="14"/>
  <c r="O26" i="14" s="1"/>
  <c r="O25" i="14" s="1"/>
  <c r="O44" i="14" s="1"/>
  <c r="O46" i="14" s="1"/>
  <c r="O51" i="14" s="1"/>
  <c r="F111" i="14"/>
  <c r="F132" i="14" s="1"/>
  <c r="H149" i="24"/>
  <c r="G108" i="14"/>
  <c r="G227" i="14" s="1"/>
  <c r="G228" i="14"/>
  <c r="G251" i="14" s="1"/>
  <c r="AJ229" i="14"/>
  <c r="S232" i="14"/>
  <c r="AM230" i="14" s="1"/>
  <c r="AJ230" i="14"/>
  <c r="L112" i="14"/>
  <c r="L27" i="14"/>
  <c r="L26" i="14" s="1"/>
  <c r="L25" i="14" s="1"/>
  <c r="L44" i="14" s="1"/>
  <c r="L46" i="14" s="1"/>
  <c r="L51" i="14" s="1"/>
  <c r="P111" i="14"/>
  <c r="S112" i="14"/>
  <c r="W35" i="14"/>
  <c r="X35" i="14"/>
  <c r="R163" i="22"/>
  <c r="R162" i="22"/>
  <c r="S160" i="22"/>
  <c r="R4" i="22"/>
  <c r="E116" i="14"/>
  <c r="M30" i="22"/>
  <c r="T116" i="14" s="1"/>
  <c r="I117" i="24"/>
  <c r="I139" i="24" s="1"/>
  <c r="J140" i="24"/>
  <c r="N121" i="24"/>
  <c r="P26" i="22"/>
  <c r="M122" i="24"/>
  <c r="V54" i="22"/>
  <c r="U56" i="22"/>
  <c r="U57" i="22"/>
  <c r="Q6" i="22"/>
  <c r="Q7" i="22"/>
  <c r="X240" i="14"/>
  <c r="W240" i="14"/>
  <c r="T244" i="14"/>
  <c r="E27" i="14"/>
  <c r="E26" i="14" s="1"/>
  <c r="E112" i="14"/>
  <c r="W242" i="14"/>
  <c r="U245" i="14"/>
  <c r="U255" i="14" s="1"/>
  <c r="S269" i="22"/>
  <c r="S268" i="22"/>
  <c r="T266" i="22"/>
  <c r="I108" i="14"/>
  <c r="I227" i="14" s="1"/>
  <c r="Z136" i="24"/>
  <c r="V132" i="24"/>
  <c r="H27" i="14"/>
  <c r="H26" i="14" s="1"/>
  <c r="H25" i="14" s="1"/>
  <c r="H44" i="14" s="1"/>
  <c r="H46" i="14" s="1"/>
  <c r="H51" i="14" s="1"/>
  <c r="H112" i="14"/>
  <c r="H111" i="14" s="1"/>
  <c r="H132" i="14" s="1"/>
  <c r="M225" i="14"/>
  <c r="AG225" i="14" s="1"/>
  <c r="R21" i="14"/>
  <c r="AL21" i="14" s="1"/>
  <c r="I48" i="14"/>
  <c r="R48" i="14" s="1"/>
  <c r="I50" i="14"/>
  <c r="R50" i="14" s="1"/>
  <c r="AH229" i="14"/>
  <c r="W28" i="14"/>
  <c r="X28" i="14"/>
  <c r="T33" i="14"/>
  <c r="W119" i="14"/>
  <c r="X119" i="14"/>
  <c r="O228" i="14"/>
  <c r="O251" i="14" s="1"/>
  <c r="O108" i="14"/>
  <c r="R108" i="14" s="1"/>
  <c r="N27" i="14"/>
  <c r="N26" i="14" s="1"/>
  <c r="N25" i="14" s="1"/>
  <c r="N44" i="14" s="1"/>
  <c r="N46" i="14" s="1"/>
  <c r="N51" i="14" s="1"/>
  <c r="N112" i="14"/>
  <c r="N111" i="14" s="1"/>
  <c r="N132" i="14" s="1"/>
  <c r="J108" i="14"/>
  <c r="J227" i="14" s="1"/>
  <c r="J228" i="14"/>
  <c r="J251" i="14" s="1"/>
  <c r="J20" i="14"/>
  <c r="J225" i="14"/>
  <c r="H48" i="14"/>
  <c r="H50" i="14"/>
  <c r="H49" i="14"/>
  <c r="D27" i="14"/>
  <c r="D26" i="14" s="1"/>
  <c r="D25" i="14" s="1"/>
  <c r="D44" i="14" s="1"/>
  <c r="D46" i="14" s="1"/>
  <c r="D51" i="14" s="1"/>
  <c r="D112" i="14"/>
  <c r="D111" i="14" s="1"/>
  <c r="D132" i="14" s="1"/>
  <c r="I140" i="24"/>
  <c r="H140" i="24"/>
  <c r="AH230" i="14"/>
  <c r="K20" i="14"/>
  <c r="K225" i="14"/>
  <c r="AE225" i="14" s="1"/>
  <c r="I27" i="14"/>
  <c r="I26" i="14" s="1"/>
  <c r="I25" i="14" s="1"/>
  <c r="I44" i="14" s="1"/>
  <c r="I46" i="14" s="1"/>
  <c r="I51" i="14" s="1"/>
  <c r="I112" i="14"/>
  <c r="G112" i="14"/>
  <c r="G111" i="14" s="1"/>
  <c r="G132" i="14" s="1"/>
  <c r="G27" i="14"/>
  <c r="G26" i="14" s="1"/>
  <c r="G25" i="14" s="1"/>
  <c r="G44" i="14" s="1"/>
  <c r="G46" i="14" s="1"/>
  <c r="G51" i="14" s="1"/>
  <c r="O20" i="14"/>
  <c r="O225" i="14"/>
  <c r="AI225" i="14" s="1"/>
  <c r="W39" i="14"/>
  <c r="X39" i="14"/>
  <c r="M74" i="22"/>
  <c r="P103" i="22"/>
  <c r="Z126" i="24"/>
  <c r="Z122" i="24" s="1"/>
  <c r="V122" i="24"/>
  <c r="Z111" i="24"/>
  <c r="Z107" i="24" s="1"/>
  <c r="V107" i="24"/>
  <c r="B148" i="24"/>
  <c r="B154" i="24" s="1"/>
  <c r="C154" i="24"/>
  <c r="W40" i="14"/>
  <c r="X40" i="14"/>
  <c r="R106" i="14"/>
  <c r="P20" i="14"/>
  <c r="S106" i="14"/>
  <c r="P225" i="14"/>
  <c r="D50" i="14"/>
  <c r="D48" i="14"/>
  <c r="D49" i="14"/>
  <c r="X42" i="14"/>
  <c r="W42" i="14"/>
  <c r="W41" i="14"/>
  <c r="X41" i="14"/>
  <c r="W34" i="14"/>
  <c r="X34" i="14"/>
  <c r="P233" i="22"/>
  <c r="AB233" i="22" s="1"/>
  <c r="E20" i="42" s="1"/>
  <c r="M234" i="22"/>
  <c r="T20" i="14"/>
  <c r="X106" i="14"/>
  <c r="W106" i="14"/>
  <c r="J27" i="14"/>
  <c r="J112" i="14"/>
  <c r="R36" i="27"/>
  <c r="R39" i="27"/>
  <c r="R31" i="27"/>
  <c r="R44" i="27"/>
  <c r="Q44" i="27" s="1"/>
  <c r="S44" i="27" s="1"/>
  <c r="R41" i="27"/>
  <c r="T30" i="27"/>
  <c r="S30" i="27"/>
  <c r="R38" i="27"/>
  <c r="Q38" i="27" s="1"/>
  <c r="S38" i="27" s="1"/>
  <c r="R45" i="27"/>
  <c r="R47" i="27"/>
  <c r="R42" i="27"/>
  <c r="R37" i="27"/>
  <c r="Q37" i="27" s="1"/>
  <c r="S37" i="27" s="1"/>
  <c r="R46" i="27"/>
  <c r="R40" i="27"/>
  <c r="Q40" i="27" s="1"/>
  <c r="S40" i="27" s="1"/>
  <c r="R48" i="27"/>
  <c r="Q48" i="27" s="1"/>
  <c r="S48" i="27" s="1"/>
  <c r="R35" i="27"/>
  <c r="R43" i="27"/>
  <c r="S115" i="14"/>
  <c r="R115" i="14"/>
  <c r="M180" i="22"/>
  <c r="P209" i="22"/>
  <c r="V24" i="22"/>
  <c r="M24" i="22" s="1"/>
  <c r="V27" i="22"/>
  <c r="V26" i="22" s="1"/>
  <c r="V50" i="22" s="1"/>
  <c r="K113" i="14"/>
  <c r="R215" i="22"/>
  <c r="S213" i="22"/>
  <c r="N227" i="14"/>
  <c r="S121" i="24"/>
  <c r="M148" i="24"/>
  <c r="M154" i="24" s="1"/>
  <c r="D32" i="27"/>
  <c r="P33" i="27"/>
  <c r="D90" i="27"/>
  <c r="R109" i="14"/>
  <c r="E225" i="14"/>
  <c r="AN26" i="14"/>
  <c r="AR26" i="14" s="1"/>
  <c r="X43" i="14"/>
  <c r="W43" i="14"/>
  <c r="AQ26" i="14" s="1"/>
  <c r="J32" i="27"/>
  <c r="J51" i="27" s="1"/>
  <c r="J90" i="27"/>
  <c r="J89" i="27" s="1"/>
  <c r="J104" i="27" s="1"/>
  <c r="N19" i="24"/>
  <c r="AC631" i="19"/>
  <c r="R191" i="14"/>
  <c r="P280" i="19"/>
  <c r="AC259" i="19"/>
  <c r="F231" i="14"/>
  <c r="F230" i="14" s="1"/>
  <c r="F245" i="14" s="1"/>
  <c r="F255" i="14" s="1"/>
  <c r="X155" i="14"/>
  <c r="P202" i="19"/>
  <c r="AC202" i="19" s="1"/>
  <c r="AC181" i="19"/>
  <c r="AC103" i="19"/>
  <c r="AC687" i="19"/>
  <c r="D21" i="42" s="1"/>
  <c r="F21" i="42" s="1"/>
  <c r="AC220" i="19"/>
  <c r="AC241" i="19"/>
  <c r="AC475" i="19"/>
  <c r="G78" i="24"/>
  <c r="AC85" i="19"/>
  <c r="G19" i="24"/>
  <c r="S133" i="24"/>
  <c r="S132" i="24" s="1"/>
  <c r="R142" i="14"/>
  <c r="R141" i="14" s="1"/>
  <c r="R160" i="14" s="1"/>
  <c r="D78" i="24"/>
  <c r="M610" i="19"/>
  <c r="M241" i="19"/>
  <c r="AB31" i="19"/>
  <c r="E252" i="14"/>
  <c r="W145" i="14"/>
  <c r="T234" i="14"/>
  <c r="Q536" i="14"/>
  <c r="D141" i="14"/>
  <c r="D160" i="14" s="1"/>
  <c r="D425" i="14"/>
  <c r="O280" i="19"/>
  <c r="E42" i="24" s="1"/>
  <c r="P218" i="14"/>
  <c r="P229" i="14"/>
  <c r="P252" i="14" s="1"/>
  <c r="P122" i="24"/>
  <c r="Q391" i="14"/>
  <c r="C21" i="24"/>
  <c r="G118" i="24"/>
  <c r="G117" i="24" s="1"/>
  <c r="G139" i="24" s="1"/>
  <c r="AA319" i="19"/>
  <c r="AB319" i="19" s="1"/>
  <c r="AB298" i="19"/>
  <c r="P20" i="19"/>
  <c r="P19" i="19" s="1"/>
  <c r="AC19" i="19" s="1"/>
  <c r="M21" i="19"/>
  <c r="M20" i="19" s="1"/>
  <c r="M19" i="19" s="1"/>
  <c r="M46" i="19" s="1"/>
  <c r="E489" i="14"/>
  <c r="E488" i="14" s="1"/>
  <c r="E507" i="14" s="1"/>
  <c r="F79" i="24"/>
  <c r="E203" i="14" s="1"/>
  <c r="E202" i="14" s="1"/>
  <c r="E221" i="14" s="1"/>
  <c r="P532" i="19"/>
  <c r="AC532" i="19" s="1"/>
  <c r="X118" i="24"/>
  <c r="M202" i="19"/>
  <c r="B27" i="10"/>
  <c r="H21" i="11"/>
  <c r="R65" i="27"/>
  <c r="K89" i="27"/>
  <c r="K104" i="27" s="1"/>
  <c r="Q132" i="24"/>
  <c r="O19" i="24"/>
  <c r="P93" i="27"/>
  <c r="G252" i="14"/>
  <c r="M358" i="19"/>
  <c r="C117" i="24"/>
  <c r="C139" i="24" s="1"/>
  <c r="Q401" i="14"/>
  <c r="Q420" i="14" s="1"/>
  <c r="T75" i="27"/>
  <c r="AB103" i="19"/>
  <c r="AA124" i="19"/>
  <c r="D118" i="24"/>
  <c r="D117" i="24" s="1"/>
  <c r="D139" i="24" s="1"/>
  <c r="J118" i="24"/>
  <c r="AA163" i="19"/>
  <c r="AB163" i="19" s="1"/>
  <c r="Z708" i="19"/>
  <c r="AB708" i="19" s="1"/>
  <c r="AB687" i="19"/>
  <c r="S142" i="14"/>
  <c r="S141" i="14" s="1"/>
  <c r="S160" i="14" s="1"/>
  <c r="P141" i="14"/>
  <c r="P160" i="14" s="1"/>
  <c r="P231" i="14"/>
  <c r="P61" i="27"/>
  <c r="R62" i="27"/>
  <c r="T62" i="27" s="1"/>
  <c r="R124" i="19"/>
  <c r="H42" i="24" s="1"/>
  <c r="H19" i="24"/>
  <c r="W204" i="14"/>
  <c r="X204" i="14"/>
  <c r="G141" i="14"/>
  <c r="G160" i="14" s="1"/>
  <c r="O42" i="24"/>
  <c r="S203" i="14"/>
  <c r="S202" i="14" s="1"/>
  <c r="S221" i="14" s="1"/>
  <c r="R203" i="14"/>
  <c r="R202" i="14" s="1"/>
  <c r="R221" i="14" s="1"/>
  <c r="P202" i="14"/>
  <c r="P221" i="14" s="1"/>
  <c r="W118" i="24"/>
  <c r="M163" i="19"/>
  <c r="Z436" i="19"/>
  <c r="AB436" i="19" s="1"/>
  <c r="AB415" i="19"/>
  <c r="Y118" i="24"/>
  <c r="Y117" i="24" s="1"/>
  <c r="Y139" i="24" s="1"/>
  <c r="M475" i="19"/>
  <c r="S235" i="14"/>
  <c r="AM234" i="14" s="1"/>
  <c r="AM233" i="14" s="1"/>
  <c r="L104" i="27"/>
  <c r="R235" i="14"/>
  <c r="AL234" i="14" s="1"/>
  <c r="AL233" i="14" s="1"/>
  <c r="Q101" i="24"/>
  <c r="X143" i="14"/>
  <c r="W143" i="14"/>
  <c r="O45" i="19"/>
  <c r="O46" i="19"/>
  <c r="R592" i="19"/>
  <c r="H78" i="24"/>
  <c r="S72" i="27"/>
  <c r="O107" i="24"/>
  <c r="AN225" i="14"/>
  <c r="AR225" i="14" s="1"/>
  <c r="W225" i="14"/>
  <c r="AQ225" i="14" s="1"/>
  <c r="X225" i="14"/>
  <c r="AB592" i="19"/>
  <c r="S553" i="19"/>
  <c r="I101" i="24" s="1"/>
  <c r="I78" i="24"/>
  <c r="AR235" i="14"/>
  <c r="M103" i="19"/>
  <c r="C20" i="24"/>
  <c r="T142" i="14" s="1"/>
  <c r="Q344" i="14"/>
  <c r="Q343" i="14" s="1"/>
  <c r="Q362" i="14" s="1"/>
  <c r="AI226" i="14"/>
  <c r="O252" i="14"/>
  <c r="C79" i="24"/>
  <c r="T203" i="14" s="1"/>
  <c r="Q489" i="14"/>
  <c r="Q488" i="14" s="1"/>
  <c r="Q507" i="14" s="1"/>
  <c r="M532" i="19"/>
  <c r="Z280" i="19"/>
  <c r="AB280" i="19" s="1"/>
  <c r="AB259" i="19"/>
  <c r="AW99" i="10"/>
  <c r="BG74" i="10"/>
  <c r="J66" i="11" s="1"/>
  <c r="BF74" i="10"/>
  <c r="I66" i="11" s="1"/>
  <c r="J9" i="11"/>
  <c r="L9" i="11" s="1"/>
  <c r="B15" i="10"/>
  <c r="Z45" i="19"/>
  <c r="AB19" i="19"/>
  <c r="X172" i="14"/>
  <c r="W172" i="14"/>
  <c r="T191" i="14"/>
  <c r="N124" i="19"/>
  <c r="D42" i="24" s="1"/>
  <c r="D19" i="24"/>
  <c r="S70" i="27"/>
  <c r="C231" i="14"/>
  <c r="C141" i="14"/>
  <c r="C160" i="14" s="1"/>
  <c r="L51" i="11"/>
  <c r="K51" i="11"/>
  <c r="AN226" i="14"/>
  <c r="AR226" i="14" s="1"/>
  <c r="W226" i="14"/>
  <c r="AQ226" i="14" s="1"/>
  <c r="X226" i="14"/>
  <c r="T25" i="10"/>
  <c r="H160" i="14"/>
  <c r="X99" i="10"/>
  <c r="B66" i="11"/>
  <c r="E66" i="11"/>
  <c r="F66" i="11" s="1"/>
  <c r="P120" i="24"/>
  <c r="M514" i="19"/>
  <c r="AL231" i="14"/>
  <c r="AB233" i="14"/>
  <c r="R226" i="14"/>
  <c r="AL226" i="14" s="1"/>
  <c r="H252" i="14"/>
  <c r="H251" i="14"/>
  <c r="S57" i="27"/>
  <c r="N251" i="14"/>
  <c r="L67" i="11"/>
  <c r="K67" i="11"/>
  <c r="S69" i="27"/>
  <c r="O112" i="24"/>
  <c r="AA112" i="24" s="1"/>
  <c r="M112" i="24"/>
  <c r="B66" i="10"/>
  <c r="H58" i="11"/>
  <c r="S74" i="27"/>
  <c r="Q99" i="10"/>
  <c r="P74" i="10"/>
  <c r="BB99" i="10"/>
  <c r="D66" i="11"/>
  <c r="G66" i="11" s="1"/>
  <c r="C68" i="24"/>
  <c r="D68" i="24"/>
  <c r="B132" i="24"/>
  <c r="M132" i="24" s="1"/>
  <c r="AJ234" i="14"/>
  <c r="AJ233" i="14" s="1"/>
  <c r="W146" i="14"/>
  <c r="L24" i="11"/>
  <c r="K24" i="11"/>
  <c r="S244" i="14"/>
  <c r="R244" i="14"/>
  <c r="P124" i="19"/>
  <c r="F19" i="24"/>
  <c r="S71" i="27"/>
  <c r="AI229" i="14"/>
  <c r="AI230" i="14"/>
  <c r="S64" i="27"/>
  <c r="R232" i="14"/>
  <c r="AL230" i="14" s="1"/>
  <c r="H221" i="14"/>
  <c r="T26" i="10"/>
  <c r="P26" i="10" s="1"/>
  <c r="E343" i="14"/>
  <c r="E362" i="14" s="1"/>
  <c r="F363" i="14"/>
  <c r="W233" i="14"/>
  <c r="AQ231" i="14" s="1"/>
  <c r="X233" i="14"/>
  <c r="AN231" i="14"/>
  <c r="P19" i="24"/>
  <c r="R140" i="24" l="1"/>
  <c r="T27" i="14"/>
  <c r="T26" i="14" s="1"/>
  <c r="M112" i="14"/>
  <c r="M231" i="14" s="1"/>
  <c r="E14" i="42"/>
  <c r="AC670" i="19"/>
  <c r="O127" i="24"/>
  <c r="AA127" i="24" s="1"/>
  <c r="X236" i="14"/>
  <c r="T235" i="14"/>
  <c r="W235" i="14" s="1"/>
  <c r="AQ234" i="14" s="1"/>
  <c r="AQ233" i="14" s="1"/>
  <c r="T19" i="24"/>
  <c r="U19" i="24"/>
  <c r="Z132" i="24"/>
  <c r="G36" i="43"/>
  <c r="D20" i="42"/>
  <c r="F20" i="42" s="1"/>
  <c r="G35" i="43"/>
  <c r="D17" i="42"/>
  <c r="F17" i="42" s="1"/>
  <c r="G32" i="43"/>
  <c r="D28" i="42"/>
  <c r="F28" i="42" s="1"/>
  <c r="G56" i="43"/>
  <c r="K3" i="42"/>
  <c r="F3" i="42"/>
  <c r="D19" i="42"/>
  <c r="F19" i="42" s="1"/>
  <c r="G34" i="43"/>
  <c r="D34" i="42"/>
  <c r="F34" i="42" s="1"/>
  <c r="G62" i="43"/>
  <c r="S19" i="24"/>
  <c r="AC436" i="19"/>
  <c r="D33" i="42" s="1"/>
  <c r="F33" i="42" s="1"/>
  <c r="AC319" i="19"/>
  <c r="T118" i="24"/>
  <c r="M319" i="19"/>
  <c r="Q454" i="14" s="1"/>
  <c r="D15" i="42"/>
  <c r="J14" i="42"/>
  <c r="AC280" i="19"/>
  <c r="AB26" i="22"/>
  <c r="M209" i="22"/>
  <c r="AB209" i="22"/>
  <c r="E27" i="42" s="1"/>
  <c r="M103" i="22"/>
  <c r="AB103" i="22"/>
  <c r="E26" i="42" s="1"/>
  <c r="C230" i="14"/>
  <c r="C245" i="14" s="1"/>
  <c r="C255" i="14" s="1"/>
  <c r="W113" i="14"/>
  <c r="S29" i="14"/>
  <c r="AM24" i="14" s="1"/>
  <c r="X113" i="14"/>
  <c r="D231" i="14"/>
  <c r="D230" i="14" s="1"/>
  <c r="D245" i="14" s="1"/>
  <c r="D255" i="14" s="1"/>
  <c r="R29" i="14"/>
  <c r="AL24" i="14" s="1"/>
  <c r="H231" i="14"/>
  <c r="H230" i="14" s="1"/>
  <c r="H245" i="14" s="1"/>
  <c r="H255" i="14" s="1"/>
  <c r="T48" i="27"/>
  <c r="O231" i="14"/>
  <c r="O230" i="14" s="1"/>
  <c r="AI227" i="14" s="1"/>
  <c r="V244" i="14"/>
  <c r="U244" i="14" s="1"/>
  <c r="W244" i="14" s="1"/>
  <c r="V235" i="14"/>
  <c r="L148" i="24"/>
  <c r="L154" i="24" s="1"/>
  <c r="T321" i="22"/>
  <c r="T322" i="22"/>
  <c r="U319" i="22"/>
  <c r="O227" i="14"/>
  <c r="R112" i="14"/>
  <c r="D89" i="27"/>
  <c r="D104" i="27" s="1"/>
  <c r="P90" i="27"/>
  <c r="AN28" i="14"/>
  <c r="X33" i="14"/>
  <c r="W33" i="14"/>
  <c r="AQ28" i="14" s="1"/>
  <c r="AQ27" i="14" s="1"/>
  <c r="X116" i="14"/>
  <c r="T30" i="14"/>
  <c r="T115" i="14"/>
  <c r="T111" i="14" s="1"/>
  <c r="W116" i="14"/>
  <c r="L111" i="14"/>
  <c r="L132" i="14" s="1"/>
  <c r="L231" i="14"/>
  <c r="S162" i="22"/>
  <c r="S163" i="22"/>
  <c r="T160" i="22"/>
  <c r="S4" i="22"/>
  <c r="T34" i="27"/>
  <c r="W54" i="22"/>
  <c r="V56" i="22"/>
  <c r="V57" i="22"/>
  <c r="S117" i="24"/>
  <c r="S139" i="24" s="1"/>
  <c r="W121" i="24"/>
  <c r="U140" i="24" s="1"/>
  <c r="J148" i="24"/>
  <c r="Q42" i="27"/>
  <c r="R95" i="27"/>
  <c r="T95" i="27" s="1"/>
  <c r="T42" i="27"/>
  <c r="Q36" i="27"/>
  <c r="R91" i="27"/>
  <c r="T91" i="27" s="1"/>
  <c r="D51" i="27"/>
  <c r="P32" i="27"/>
  <c r="Q47" i="27"/>
  <c r="R100" i="27"/>
  <c r="T100" i="27" s="1"/>
  <c r="T47" i="27"/>
  <c r="J111" i="14"/>
  <c r="J132" i="14" s="1"/>
  <c r="J231" i="14"/>
  <c r="J230" i="14" s="1"/>
  <c r="J245" i="14" s="1"/>
  <c r="J255" i="14" s="1"/>
  <c r="Q45" i="27"/>
  <c r="T45" i="27"/>
  <c r="R97" i="27"/>
  <c r="T97" i="27" s="1"/>
  <c r="S27" i="14"/>
  <c r="J26" i="14"/>
  <c r="R27" i="14"/>
  <c r="AE20" i="14"/>
  <c r="R20" i="14"/>
  <c r="AL20" i="14" s="1"/>
  <c r="S20" i="14"/>
  <c r="AM20" i="14" s="1"/>
  <c r="AA107" i="24"/>
  <c r="G231" i="14"/>
  <c r="G230" i="14" s="1"/>
  <c r="G245" i="14" s="1"/>
  <c r="G255" i="14" s="1"/>
  <c r="Q43" i="27"/>
  <c r="T43" i="27"/>
  <c r="R96" i="27"/>
  <c r="T96" i="27" s="1"/>
  <c r="E30" i="14"/>
  <c r="E29" i="14" s="1"/>
  <c r="E25" i="14" s="1"/>
  <c r="E44" i="14" s="1"/>
  <c r="E46" i="14" s="1"/>
  <c r="E51" i="14" s="1"/>
  <c r="E115" i="14"/>
  <c r="E232" i="14" s="1"/>
  <c r="R6" i="22"/>
  <c r="R7" i="22"/>
  <c r="T213" i="22"/>
  <c r="S215" i="22"/>
  <c r="Q35" i="27"/>
  <c r="S35" i="27" s="1"/>
  <c r="T35" i="27"/>
  <c r="Q41" i="27"/>
  <c r="T41" i="27"/>
  <c r="R94" i="27"/>
  <c r="I148" i="24"/>
  <c r="Q121" i="24"/>
  <c r="Q140" i="24" s="1"/>
  <c r="T268" i="22"/>
  <c r="T269" i="22"/>
  <c r="U266" i="22"/>
  <c r="P50" i="22"/>
  <c r="AB50" i="22" s="1"/>
  <c r="M26" i="22"/>
  <c r="V117" i="24"/>
  <c r="V139" i="24" s="1"/>
  <c r="W140" i="24"/>
  <c r="Z121" i="24"/>
  <c r="N231" i="14"/>
  <c r="T40" i="27"/>
  <c r="M27" i="22"/>
  <c r="K27" i="14"/>
  <c r="K26" i="14" s="1"/>
  <c r="K25" i="14" s="1"/>
  <c r="K44" i="14" s="1"/>
  <c r="K46" i="14" s="1"/>
  <c r="K51" i="14" s="1"/>
  <c r="K112" i="14"/>
  <c r="R33" i="27"/>
  <c r="Q33" i="27" s="1"/>
  <c r="S33" i="27" s="1"/>
  <c r="AN20" i="14"/>
  <c r="AR20" i="14" s="1"/>
  <c r="W20" i="14"/>
  <c r="AQ20" i="14" s="1"/>
  <c r="X20" i="14"/>
  <c r="T36" i="27"/>
  <c r="W27" i="14"/>
  <c r="X27" i="14"/>
  <c r="I111" i="14"/>
  <c r="I132" i="14" s="1"/>
  <c r="I231" i="14"/>
  <c r="I230" i="14" s="1"/>
  <c r="I245" i="14" s="1"/>
  <c r="I255" i="14" s="1"/>
  <c r="Q46" i="27"/>
  <c r="Q99" i="27" s="1"/>
  <c r="S99" i="27" s="1"/>
  <c r="R99" i="27"/>
  <c r="Q31" i="27"/>
  <c r="T31" i="27"/>
  <c r="R88" i="27"/>
  <c r="T88" i="27" s="1"/>
  <c r="T37" i="27"/>
  <c r="P132" i="14"/>
  <c r="R111" i="14"/>
  <c r="S111" i="14"/>
  <c r="W112" i="14"/>
  <c r="X112" i="14"/>
  <c r="Q39" i="27"/>
  <c r="T39" i="27"/>
  <c r="R92" i="27"/>
  <c r="P262" i="22"/>
  <c r="M233" i="22"/>
  <c r="AJ225" i="14"/>
  <c r="S225" i="14"/>
  <c r="AM225" i="14" s="1"/>
  <c r="R225" i="14"/>
  <c r="AL225" i="14" s="1"/>
  <c r="B107" i="24"/>
  <c r="M107" i="24" s="1"/>
  <c r="F42" i="24"/>
  <c r="AC124" i="19"/>
  <c r="AC163" i="19"/>
  <c r="AC708" i="19"/>
  <c r="H101" i="24"/>
  <c r="AC592" i="19"/>
  <c r="P101" i="24"/>
  <c r="O122" i="24"/>
  <c r="AA122" i="24" s="1"/>
  <c r="W234" i="14"/>
  <c r="AQ232" i="14" s="1"/>
  <c r="AN232" i="14"/>
  <c r="AR232" i="14" s="1"/>
  <c r="X234" i="14"/>
  <c r="P119" i="24"/>
  <c r="P117" i="24" s="1"/>
  <c r="P139" i="24" s="1"/>
  <c r="M631" i="19"/>
  <c r="L21" i="11"/>
  <c r="K21" i="11"/>
  <c r="Z118" i="24"/>
  <c r="X117" i="24"/>
  <c r="X139" i="24" s="1"/>
  <c r="P553" i="19"/>
  <c r="F78" i="24"/>
  <c r="P46" i="19"/>
  <c r="P45" i="19"/>
  <c r="Q65" i="27"/>
  <c r="R101" i="27"/>
  <c r="T101" i="27" s="1"/>
  <c r="M45" i="19"/>
  <c r="T65" i="27"/>
  <c r="E231" i="14"/>
  <c r="J117" i="24"/>
  <c r="J139" i="24" s="1"/>
  <c r="N118" i="24"/>
  <c r="N117" i="24" s="1"/>
  <c r="N139" i="24" s="1"/>
  <c r="P42" i="24"/>
  <c r="AB124" i="19"/>
  <c r="Q42" i="24"/>
  <c r="Q62" i="27"/>
  <c r="R61" i="27"/>
  <c r="T61" i="27" s="1"/>
  <c r="P80" i="27"/>
  <c r="P230" i="14"/>
  <c r="AJ228" i="14"/>
  <c r="S231" i="14"/>
  <c r="P99" i="10"/>
  <c r="Q100" i="10"/>
  <c r="B26" i="10"/>
  <c r="H20" i="11"/>
  <c r="X142" i="14"/>
  <c r="W142" i="14"/>
  <c r="T141" i="14"/>
  <c r="T231" i="14"/>
  <c r="M124" i="19"/>
  <c r="C19" i="24"/>
  <c r="Q118" i="24"/>
  <c r="X191" i="14"/>
  <c r="W191" i="14"/>
  <c r="M553" i="19"/>
  <c r="C78" i="24"/>
  <c r="Q119" i="24"/>
  <c r="W203" i="14"/>
  <c r="T202" i="14"/>
  <c r="X203" i="14"/>
  <c r="AW100" i="10"/>
  <c r="BG99" i="10"/>
  <c r="J88" i="11" s="1"/>
  <c r="BF99" i="10"/>
  <c r="I88" i="11" s="1"/>
  <c r="Z46" i="19"/>
  <c r="AB45" i="19"/>
  <c r="AB232" i="14"/>
  <c r="X100" i="10"/>
  <c r="B88" i="11"/>
  <c r="E88" i="11"/>
  <c r="F88" i="11" s="1"/>
  <c r="K58" i="11"/>
  <c r="L58" i="11"/>
  <c r="BB100" i="10"/>
  <c r="D89" i="11" s="1"/>
  <c r="G89" i="11" s="1"/>
  <c r="D88" i="11"/>
  <c r="G88" i="11" s="1"/>
  <c r="P25" i="10"/>
  <c r="T24" i="10"/>
  <c r="P24" i="10" s="1"/>
  <c r="H66" i="11"/>
  <c r="B74" i="10"/>
  <c r="M111" i="14" l="1"/>
  <c r="M132" i="14" s="1"/>
  <c r="M25" i="42"/>
  <c r="O53" i="43"/>
  <c r="O29" i="43"/>
  <c r="M14" i="42"/>
  <c r="N14" i="42" s="1"/>
  <c r="O132" i="24"/>
  <c r="AA132" i="24" s="1"/>
  <c r="AN234" i="14"/>
  <c r="AR234" i="14" s="1"/>
  <c r="G61" i="43"/>
  <c r="D27" i="42"/>
  <c r="F27" i="42" s="1"/>
  <c r="G55" i="43"/>
  <c r="D31" i="42"/>
  <c r="G59" i="43"/>
  <c r="G30" i="43"/>
  <c r="D32" i="42"/>
  <c r="F32" i="42" s="1"/>
  <c r="G60" i="43"/>
  <c r="D30" i="42"/>
  <c r="F30" i="42" s="1"/>
  <c r="G58" i="43"/>
  <c r="C42" i="24"/>
  <c r="C101" i="24"/>
  <c r="F15" i="42"/>
  <c r="D14" i="42"/>
  <c r="F14" i="42" s="1"/>
  <c r="M262" i="22"/>
  <c r="AB262" i="22"/>
  <c r="E31" i="42" s="1"/>
  <c r="E25" i="42" s="1"/>
  <c r="AI228" i="14"/>
  <c r="AK228" i="14" s="1"/>
  <c r="AK230" i="14"/>
  <c r="AK229" i="14"/>
  <c r="O245" i="14"/>
  <c r="O255" i="14" s="1"/>
  <c r="R231" i="14"/>
  <c r="AL228" i="14" s="1"/>
  <c r="AL227" i="14" s="1"/>
  <c r="AL236" i="14" s="1"/>
  <c r="X244" i="14"/>
  <c r="V245" i="14"/>
  <c r="V255" i="14" s="1"/>
  <c r="X235" i="14"/>
  <c r="R90" i="27"/>
  <c r="R89" i="27" s="1"/>
  <c r="W117" i="24"/>
  <c r="W139" i="24" s="1"/>
  <c r="V319" i="22"/>
  <c r="U321" i="22"/>
  <c r="U322" i="22"/>
  <c r="P89" i="27"/>
  <c r="P104" i="27" s="1"/>
  <c r="E111" i="14"/>
  <c r="E132" i="14" s="1"/>
  <c r="X26" i="14"/>
  <c r="W26" i="14"/>
  <c r="AQ23" i="14" s="1"/>
  <c r="AN23" i="14"/>
  <c r="AR23" i="14" s="1"/>
  <c r="P51" i="27"/>
  <c r="R32" i="27"/>
  <c r="N230" i="14"/>
  <c r="AA231" i="14"/>
  <c r="R132" i="14"/>
  <c r="S132" i="14"/>
  <c r="I154" i="24"/>
  <c r="X54" i="22"/>
  <c r="W56" i="22"/>
  <c r="W57" i="22"/>
  <c r="X115" i="14"/>
  <c r="W115" i="14"/>
  <c r="T232" i="14"/>
  <c r="T230" i="14" s="1"/>
  <c r="T94" i="27"/>
  <c r="R93" i="27"/>
  <c r="T93" i="27" s="1"/>
  <c r="Q91" i="27"/>
  <c r="S91" i="27" s="1"/>
  <c r="S36" i="27"/>
  <c r="T29" i="14"/>
  <c r="X30" i="14"/>
  <c r="W30" i="14"/>
  <c r="AF228" i="14"/>
  <c r="AF227" i="14" s="1"/>
  <c r="AF236" i="14" s="1"/>
  <c r="L230" i="14"/>
  <c r="L245" i="14" s="1"/>
  <c r="L255" i="14" s="1"/>
  <c r="J25" i="14"/>
  <c r="S26" i="14"/>
  <c r="AM23" i="14" s="1"/>
  <c r="AE23" i="14"/>
  <c r="R26" i="14"/>
  <c r="AL23" i="14" s="1"/>
  <c r="Z117" i="24"/>
  <c r="Z139" i="24" s="1"/>
  <c r="T121" i="24"/>
  <c r="T117" i="24" s="1"/>
  <c r="T139" i="24" s="1"/>
  <c r="K148" i="24"/>
  <c r="H148" i="24" s="1"/>
  <c r="H154" i="24" s="1"/>
  <c r="AG228" i="14"/>
  <c r="M230" i="14"/>
  <c r="T132" i="14"/>
  <c r="X132" i="14" s="1"/>
  <c r="X111" i="14"/>
  <c r="W111" i="14"/>
  <c r="W132" i="14" s="1"/>
  <c r="S47" i="27"/>
  <c r="Q100" i="27"/>
  <c r="S100" i="27" s="1"/>
  <c r="E230" i="14"/>
  <c r="E245" i="14" s="1"/>
  <c r="E255" i="14" s="1"/>
  <c r="S41" i="27"/>
  <c r="Q94" i="27"/>
  <c r="S43" i="27"/>
  <c r="Q96" i="27"/>
  <c r="S96" i="27" s="1"/>
  <c r="S45" i="27"/>
  <c r="Q97" i="27"/>
  <c r="S97" i="27" s="1"/>
  <c r="S31" i="27"/>
  <c r="Q88" i="27"/>
  <c r="S88" i="27" s="1"/>
  <c r="AC50" i="22"/>
  <c r="M50" i="22"/>
  <c r="S42" i="27"/>
  <c r="Q95" i="27"/>
  <c r="S95" i="27" s="1"/>
  <c r="S6" i="22"/>
  <c r="S7" i="22"/>
  <c r="K154" i="24"/>
  <c r="J154" i="24"/>
  <c r="T163" i="22"/>
  <c r="T162" i="22"/>
  <c r="U160" i="22"/>
  <c r="T4" i="22"/>
  <c r="AR28" i="14"/>
  <c r="AN27" i="14"/>
  <c r="AR27" i="14" s="1"/>
  <c r="AH228" i="14"/>
  <c r="S39" i="27"/>
  <c r="Q92" i="27"/>
  <c r="K111" i="14"/>
  <c r="K132" i="14" s="1"/>
  <c r="K231" i="14"/>
  <c r="V266" i="22"/>
  <c r="U268" i="22"/>
  <c r="U269" i="22"/>
  <c r="U213" i="22"/>
  <c r="T215" i="22"/>
  <c r="T33" i="27"/>
  <c r="F101" i="24"/>
  <c r="AC553" i="19"/>
  <c r="D26" i="42" s="1"/>
  <c r="Q117" i="24"/>
  <c r="Q139" i="24" s="1"/>
  <c r="Q101" i="27"/>
  <c r="S101" i="27" s="1"/>
  <c r="S65" i="27"/>
  <c r="AM228" i="14"/>
  <c r="AM227" i="14" s="1"/>
  <c r="AM236" i="14" s="1"/>
  <c r="S230" i="14"/>
  <c r="S245" i="14" s="1"/>
  <c r="S255" i="14" s="1"/>
  <c r="AJ227" i="14"/>
  <c r="AJ236" i="14" s="1"/>
  <c r="B117" i="24"/>
  <c r="P245" i="14"/>
  <c r="P255" i="14" s="1"/>
  <c r="AB46" i="19"/>
  <c r="AC46" i="19"/>
  <c r="Q61" i="27"/>
  <c r="R80" i="27"/>
  <c r="T80" i="27" s="1"/>
  <c r="Q90" i="27"/>
  <c r="S62" i="27"/>
  <c r="H88" i="11"/>
  <c r="B99" i="10"/>
  <c r="W202" i="14"/>
  <c r="T221" i="14"/>
  <c r="X202" i="14"/>
  <c r="B24" i="10"/>
  <c r="H18" i="11"/>
  <c r="B25" i="10"/>
  <c r="H19" i="11"/>
  <c r="X231" i="14"/>
  <c r="AN228" i="14"/>
  <c r="W231" i="14"/>
  <c r="AQ228" i="14" s="1"/>
  <c r="B89" i="11"/>
  <c r="E89" i="11"/>
  <c r="F89" i="11" s="1"/>
  <c r="AI236" i="14"/>
  <c r="AK236" i="14" s="1"/>
  <c r="AK231" i="14"/>
  <c r="AK232" i="14"/>
  <c r="AK227" i="14"/>
  <c r="AK234" i="14"/>
  <c r="AK235" i="14"/>
  <c r="AK233" i="14"/>
  <c r="X141" i="14"/>
  <c r="W141" i="14"/>
  <c r="T160" i="14"/>
  <c r="K66" i="11"/>
  <c r="L66" i="11"/>
  <c r="BF100" i="10"/>
  <c r="I89" i="11" s="1"/>
  <c r="BG100" i="10"/>
  <c r="J89" i="11" s="1"/>
  <c r="L20" i="11"/>
  <c r="K20" i="11"/>
  <c r="P100" i="10"/>
  <c r="N25" i="42" l="1"/>
  <c r="AN233" i="14"/>
  <c r="AR233" i="14" s="1"/>
  <c r="F31" i="42"/>
  <c r="G29" i="43"/>
  <c r="L29" i="43"/>
  <c r="F26" i="42"/>
  <c r="D25" i="42"/>
  <c r="J25" i="42"/>
  <c r="K14" i="42"/>
  <c r="T90" i="27"/>
  <c r="AB231" i="14"/>
  <c r="R230" i="14"/>
  <c r="R245" i="14" s="1"/>
  <c r="R255" i="14" s="1"/>
  <c r="V322" i="22"/>
  <c r="V321" i="22"/>
  <c r="W319" i="22"/>
  <c r="W232" i="14"/>
  <c r="AQ230" i="14" s="1"/>
  <c r="X232" i="14"/>
  <c r="AN230" i="14"/>
  <c r="AR230" i="14" s="1"/>
  <c r="AA230" i="14"/>
  <c r="AH227" i="14"/>
  <c r="AH236" i="14" s="1"/>
  <c r="N245" i="14"/>
  <c r="N255" i="14" s="1"/>
  <c r="AE228" i="14"/>
  <c r="AE227" i="14" s="1"/>
  <c r="AE236" i="14" s="1"/>
  <c r="K230" i="14"/>
  <c r="K245" i="14" s="1"/>
  <c r="K255" i="14" s="1"/>
  <c r="S94" i="27"/>
  <c r="Q93" i="27"/>
  <c r="S93" i="27" s="1"/>
  <c r="R51" i="27"/>
  <c r="Q51" i="27" s="1"/>
  <c r="Q32" i="27"/>
  <c r="S32" i="27" s="1"/>
  <c r="S51" i="27" s="1"/>
  <c r="X57" i="22"/>
  <c r="X56" i="22"/>
  <c r="Y54" i="22"/>
  <c r="W29" i="14"/>
  <c r="AQ24" i="14" s="1"/>
  <c r="X29" i="14"/>
  <c r="AN24" i="14"/>
  <c r="AR24" i="14" s="1"/>
  <c r="U215" i="22"/>
  <c r="V213" i="22"/>
  <c r="J44" i="14"/>
  <c r="AE22" i="14"/>
  <c r="AE30" i="14" s="1"/>
  <c r="R25" i="14"/>
  <c r="AL22" i="14" s="1"/>
  <c r="AL30" i="14" s="1"/>
  <c r="S25" i="14"/>
  <c r="AM22" i="14" s="1"/>
  <c r="AM30" i="14" s="1"/>
  <c r="T32" i="27"/>
  <c r="T7" i="22"/>
  <c r="T6" i="22"/>
  <c r="W266" i="22"/>
  <c r="V269" i="22"/>
  <c r="V268" i="22"/>
  <c r="V160" i="22"/>
  <c r="U162" i="22"/>
  <c r="U163" i="22"/>
  <c r="U4" i="22"/>
  <c r="M245" i="14"/>
  <c r="M255" i="14" s="1"/>
  <c r="AG227" i="14"/>
  <c r="AG236" i="14" s="1"/>
  <c r="T25" i="14"/>
  <c r="B139" i="24"/>
  <c r="M117" i="24"/>
  <c r="M139" i="24" s="1"/>
  <c r="R104" i="27"/>
  <c r="T104" i="27" s="1"/>
  <c r="T89" i="27"/>
  <c r="Q80" i="27"/>
  <c r="S80" i="27" s="1"/>
  <c r="S61" i="27"/>
  <c r="S90" i="27"/>
  <c r="Q89" i="27"/>
  <c r="O117" i="24"/>
  <c r="X230" i="14"/>
  <c r="T245" i="14"/>
  <c r="AA245" i="14" s="1"/>
  <c r="W230" i="14"/>
  <c r="AQ227" i="14" s="1"/>
  <c r="AQ236" i="14" s="1"/>
  <c r="L19" i="11"/>
  <c r="K19" i="11"/>
  <c r="L18" i="11"/>
  <c r="K18" i="11"/>
  <c r="L88" i="11"/>
  <c r="K88" i="11"/>
  <c r="W221" i="14"/>
  <c r="X221" i="14"/>
  <c r="H89" i="11"/>
  <c r="B100" i="10"/>
  <c r="W160" i="14"/>
  <c r="X160" i="14"/>
  <c r="AR228" i="14"/>
  <c r="G54" i="43" l="1"/>
  <c r="K25" i="42"/>
  <c r="F25" i="42"/>
  <c r="AB230" i="14"/>
  <c r="AC230" i="14"/>
  <c r="AN227" i="14"/>
  <c r="AO228" i="14" s="1"/>
  <c r="W321" i="22"/>
  <c r="X319" i="22"/>
  <c r="W322" i="22"/>
  <c r="U6" i="22"/>
  <c r="U7" i="22"/>
  <c r="T51" i="27"/>
  <c r="X266" i="22"/>
  <c r="W269" i="22"/>
  <c r="W268" i="22"/>
  <c r="J46" i="14"/>
  <c r="S44" i="14"/>
  <c r="R44" i="14"/>
  <c r="W160" i="22"/>
  <c r="V162" i="22"/>
  <c r="V163" i="22"/>
  <c r="V4" i="22"/>
  <c r="V215" i="22"/>
  <c r="W213" i="22"/>
  <c r="W25" i="14"/>
  <c r="AQ22" i="14" s="1"/>
  <c r="AN22" i="14"/>
  <c r="T44" i="14"/>
  <c r="X25" i="14"/>
  <c r="Z54" i="22"/>
  <c r="Y56" i="22"/>
  <c r="Y57" i="22"/>
  <c r="Q104" i="27"/>
  <c r="S89" i="27"/>
  <c r="S104" i="27" s="1"/>
  <c r="W245" i="14"/>
  <c r="W255" i="14" s="1"/>
  <c r="X245" i="14"/>
  <c r="T255" i="14"/>
  <c r="X255" i="14" s="1"/>
  <c r="K89" i="11"/>
  <c r="L89" i="11"/>
  <c r="AA117" i="24"/>
  <c r="O139" i="24"/>
  <c r="G53" i="43" l="1"/>
  <c r="L53" i="43"/>
  <c r="AO231" i="14"/>
  <c r="AR227" i="14"/>
  <c r="AO232" i="14"/>
  <c r="AO233" i="14"/>
  <c r="AO235" i="14"/>
  <c r="AN236" i="14"/>
  <c r="AO236" i="14" s="1"/>
  <c r="AO229" i="14"/>
  <c r="AO234" i="14"/>
  <c r="AO227" i="14"/>
  <c r="AO230" i="14"/>
  <c r="X321" i="22"/>
  <c r="Y319" i="22"/>
  <c r="X322" i="22"/>
  <c r="AA54" i="22"/>
  <c r="Z56" i="22"/>
  <c r="Z57" i="22"/>
  <c r="S46" i="14"/>
  <c r="S51" i="14" s="1"/>
  <c r="R46" i="14"/>
  <c r="R51" i="14" s="1"/>
  <c r="J51" i="14"/>
  <c r="W44" i="14"/>
  <c r="X44" i="14"/>
  <c r="T46" i="14"/>
  <c r="X160" i="22"/>
  <c r="W163" i="22"/>
  <c r="W162" i="22"/>
  <c r="W4" i="22"/>
  <c r="AT24" i="14"/>
  <c r="AN30" i="14"/>
  <c r="AR30" i="14" s="1"/>
  <c r="AR22" i="14"/>
  <c r="V6" i="22"/>
  <c r="V7" i="22"/>
  <c r="X268" i="22"/>
  <c r="Y266" i="22"/>
  <c r="X269" i="22"/>
  <c r="X213" i="22"/>
  <c r="W215" i="22"/>
  <c r="AR236" i="14" l="1"/>
  <c r="Y322" i="22"/>
  <c r="Z319" i="22"/>
  <c r="Y321" i="22"/>
  <c r="W6" i="22"/>
  <c r="W7" i="22"/>
  <c r="Z266" i="22"/>
  <c r="Y268" i="22"/>
  <c r="Y269" i="22"/>
  <c r="X46" i="14"/>
  <c r="W46" i="14"/>
  <c r="T51" i="14"/>
  <c r="Y213" i="22"/>
  <c r="X215" i="22"/>
  <c r="AA56" i="22"/>
  <c r="AA57" i="22"/>
  <c r="Y160" i="22"/>
  <c r="X162" i="22"/>
  <c r="X163" i="22"/>
  <c r="X4" i="22"/>
  <c r="AA319" i="22" l="1"/>
  <c r="Z321" i="22"/>
  <c r="Z322" i="22"/>
  <c r="W51" i="14"/>
  <c r="AQ30" i="14" s="1"/>
  <c r="X51" i="14"/>
  <c r="Z213" i="22"/>
  <c r="Y215" i="22"/>
  <c r="X6" i="22"/>
  <c r="X7" i="22"/>
  <c r="Y163" i="22"/>
  <c r="Z160" i="22"/>
  <c r="Y162" i="22"/>
  <c r="Y4" i="22"/>
  <c r="Z268" i="22"/>
  <c r="AA266" i="22"/>
  <c r="Z269" i="22"/>
  <c r="AA321" i="22" l="1"/>
  <c r="AA322" i="22"/>
  <c r="AA268" i="22"/>
  <c r="AA269" i="22"/>
  <c r="Y6" i="22"/>
  <c r="Y7" i="22"/>
  <c r="Z162" i="22"/>
  <c r="AA160" i="22"/>
  <c r="Z163" i="22"/>
  <c r="Z4" i="22"/>
  <c r="AA213" i="22"/>
  <c r="AA215" i="22" s="1"/>
  <c r="Z215" i="22"/>
  <c r="Z6" i="22" l="1"/>
  <c r="Z7" i="22"/>
  <c r="AA162" i="22"/>
  <c r="AA163" i="22"/>
  <c r="AA4" i="22"/>
  <c r="AA6" i="22" l="1"/>
  <c r="AA7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Nguyễn Thị Minh Trang (Lending Accountant)</author>
    <author>Trang Nguyễn (Lending Accountant)</author>
    <author>tc={7D97C6F7-3563-4D9E-B007-D32EED296FEC}</author>
    <author>tc={742D1C40-5B50-46DA-B79A-F59782DE7DDE}</author>
  </authors>
  <commentList>
    <comment ref="Y361" authorId="0" shapeId="0" xr:uid="{E0C8340B-55D4-4263-892B-D4F9F9727491}">
      <text>
        <r>
          <rPr>
            <sz val="11"/>
            <color theme="1"/>
            <rFont val="Calibri"/>
            <family val="2"/>
            <scheme val="minor"/>
          </rPr>
          <t xml:space="preserve">Nguyễn Thị Minh Trang (Lending Accountant):
Tiền thưởng thi đua MWG tháng 10: 129,660,000
</t>
        </r>
      </text>
    </comment>
    <comment ref="Z361" authorId="1" shapeId="0" xr:uid="{F616AD06-C36B-46AA-9BEC-ADF1DF95B3A5}">
      <text>
        <r>
          <rPr>
            <b/>
            <sz val="9"/>
            <color indexed="81"/>
            <rFont val="Tahoma"/>
            <family val="2"/>
          </rPr>
          <t>Trang Nguyễn (Lending Accountant):</t>
        </r>
        <r>
          <rPr>
            <sz val="9"/>
            <color indexed="81"/>
            <rFont val="Tahoma"/>
            <family val="2"/>
          </rPr>
          <t xml:space="preserve">
Số trước Danh báo là 180 tr
</t>
        </r>
      </text>
    </comment>
    <comment ref="AA361" authorId="2" shapeId="0" xr:uid="{7D97C6F7-3563-4D9E-B007-D32EED296FEC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Danh báo</t>
      </text>
    </comment>
    <comment ref="Z366" authorId="1" shapeId="0" xr:uid="{EDEB4199-1F53-4040-8941-88BCBE2C92F3}">
      <text>
        <r>
          <rPr>
            <b/>
            <sz val="9"/>
            <color indexed="81"/>
            <rFont val="Tahoma"/>
            <family val="2"/>
          </rPr>
          <t>Trang Nguyễn (Lending Accountant):</t>
        </r>
        <r>
          <rPr>
            <sz val="9"/>
            <color indexed="81"/>
            <rFont val="Tahoma"/>
            <family val="2"/>
          </rPr>
          <t xml:space="preserve">
87,2 tr là chi cashback MWG tháng 10
175,450tr là dự chi cashback tháng 11
</t>
        </r>
      </text>
    </comment>
    <comment ref="AA366" authorId="3" shapeId="0" xr:uid="{742D1C40-5B50-46DA-B79A-F59782DE7DDE}">
      <text>
        <t>[Threaded comment]
Your version of Excel allows you to read this threaded comment; however, any edits to it will get removed if the file is opened in a newer version of Excel. Learn more: https://go.microsoft.com/fwlink/?linkid=870924
Comment:
    Dự chi cashback tháng 12 MWG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 Nguyễn (General Accountant)</author>
  </authors>
  <commentList>
    <comment ref="X62" authorId="0" shapeId="0" xr:uid="{725AC61A-425D-4B2F-BCCF-7B33120700B7}">
      <text>
        <r>
          <rPr>
            <b/>
            <sz val="9"/>
            <color indexed="81"/>
            <rFont val="Tahoma"/>
            <family val="2"/>
          </rPr>
          <t>Huyền Nguyễn (General Accountant):</t>
        </r>
        <r>
          <rPr>
            <sz val="9"/>
            <color indexed="81"/>
            <rFont val="Tahoma"/>
            <family val="2"/>
          </rPr>
          <t xml:space="preserve">
dự chi tháng 12, hạch toán bổ sung chi phí trình xử lý do tutuka thiếu báo cáo hết hạn tra soát 2022,2023</t>
        </r>
      </text>
    </comment>
    <comment ref="X87" authorId="0" shapeId="0" xr:uid="{2684B12D-F675-430E-AED3-896CED216C5C}">
      <text>
        <r>
          <rPr>
            <b/>
            <sz val="9"/>
            <color indexed="81"/>
            <rFont val="Tahoma"/>
            <family val="2"/>
          </rPr>
          <t>Huyền Nguyễn (General Accountant):</t>
        </r>
        <r>
          <rPr>
            <sz val="9"/>
            <color indexed="81"/>
            <rFont val="Tahoma"/>
            <family val="2"/>
          </rPr>
          <t xml:space="preserve">
dự chi hóa đơn tháng 12</t>
        </r>
      </text>
    </comment>
    <comment ref="L89" authorId="0" shapeId="0" xr:uid="{519D678B-0A64-47A8-B3F5-F651E9B60625}">
      <text>
        <r>
          <rPr>
            <b/>
            <sz val="9"/>
            <color indexed="81"/>
            <rFont val="Tahoma"/>
            <family val="2"/>
          </rPr>
          <t>Huyền Nguyễn (General Accountant):</t>
        </r>
        <r>
          <rPr>
            <sz val="9"/>
            <color indexed="81"/>
            <rFont val="Tahoma"/>
            <family val="2"/>
          </rPr>
          <t xml:space="preserve">
Khoản hỗ trợ tiếp thị (Marketing Support) theo hợp đồng VN, CAKE (Debit): G22-0183</t>
        </r>
      </text>
    </comment>
    <comment ref="I134" authorId="0" shapeId="0" xr:uid="{0FBF67D9-4695-4CA5-B9E4-1D096FBA3D30}">
      <text>
        <r>
          <rPr>
            <b/>
            <sz val="9"/>
            <color indexed="81"/>
            <rFont val="Tahoma"/>
            <family val="2"/>
          </rPr>
          <t>Huyền Nguyễn (General Accountant):</t>
        </r>
        <r>
          <rPr>
            <sz val="9"/>
            <color indexed="81"/>
            <rFont val="Tahoma"/>
            <family val="2"/>
          </rPr>
          <t xml:space="preserve">
số trên báo cáo là số thực tế hạch toán PL52175 trên T24, theo ngày hạch toán, check số interchange theo GD check theo dash</t>
        </r>
      </text>
    </comment>
    <comment ref="T134" authorId="0" shapeId="0" xr:uid="{7CDBBD38-FC49-47CC-92A1-9EEB2B662E71}">
      <text>
        <r>
          <rPr>
            <b/>
            <sz val="9"/>
            <color indexed="81"/>
            <rFont val="Tahoma"/>
            <family val="2"/>
          </rPr>
          <t>Huyền Nguyễn (General Accountant):</t>
        </r>
        <r>
          <rPr>
            <sz val="9"/>
            <color indexed="81"/>
            <rFont val="Tahoma"/>
            <family val="2"/>
          </rPr>
          <t xml:space="preserve">
số trên báo cáo là số thực tế hạch toán PL52175 trên T24 theo ngày hạch toán trong tháng, ko phải theo ngày GD</t>
        </r>
      </text>
    </comment>
    <comment ref="U142" authorId="0" shapeId="0" xr:uid="{8CB1BBD3-301B-423C-A588-AE7C6FA37E0A}">
      <text>
        <r>
          <rPr>
            <b/>
            <sz val="9"/>
            <color indexed="81"/>
            <rFont val="Tahoma"/>
            <family val="2"/>
          </rPr>
          <t>Huyền Nguyễn (General Accountant):</t>
        </r>
        <r>
          <rPr>
            <sz val="9"/>
            <color indexed="81"/>
            <rFont val="Tahoma"/>
            <family val="2"/>
          </rPr>
          <t xml:space="preserve">
tiền hỗ trợ visa</t>
        </r>
      </text>
    </comment>
    <comment ref="X142" authorId="0" shapeId="0" xr:uid="{7A890F48-4431-46BF-9174-3B59C3212B02}">
      <text>
        <r>
          <rPr>
            <b/>
            <sz val="9"/>
            <color indexed="81"/>
            <rFont val="Tahoma"/>
            <family val="2"/>
          </rPr>
          <t>Huyền Nguyễn (General Accountant):</t>
        </r>
        <r>
          <rPr>
            <sz val="9"/>
            <color indexed="81"/>
            <rFont val="Tahoma"/>
            <family val="2"/>
          </rPr>
          <t xml:space="preserve">
khoản hỗ trợ tiếp thị visa+phí chia sẻ onus billing</t>
        </r>
      </text>
    </comment>
    <comment ref="X145" authorId="0" shapeId="0" xr:uid="{6CF0C63D-298C-478F-B644-897CC84868E6}">
      <text>
        <r>
          <rPr>
            <b/>
            <sz val="9"/>
            <color indexed="81"/>
            <rFont val="Tahoma"/>
            <family val="2"/>
          </rPr>
          <t>Huyền Nguyễn (General Accountant):</t>
        </r>
        <r>
          <rPr>
            <sz val="9"/>
            <color indexed="81"/>
            <rFont val="Tahoma"/>
            <family val="2"/>
          </rPr>
          <t xml:space="preserve">
dự chi hóa đơn tháng 12</t>
        </r>
      </text>
    </comment>
    <comment ref="R146" authorId="0" shapeId="0" xr:uid="{A189D634-DB0F-400F-9BF9-F01B7ACC1434}">
      <text>
        <r>
          <rPr>
            <b/>
            <sz val="9"/>
            <color indexed="81"/>
            <rFont val="Tahoma"/>
            <family val="2"/>
          </rPr>
          <t>Huyền Nguyễn (General Accountant):</t>
        </r>
        <r>
          <rPr>
            <sz val="9"/>
            <color indexed="81"/>
            <rFont val="Tahoma"/>
            <family val="2"/>
          </rPr>
          <t xml:space="preserve">
cb tháng 6 trả tháng 7</t>
        </r>
      </text>
    </comment>
    <comment ref="L148" authorId="0" shapeId="0" xr:uid="{4E11AAFE-F819-4371-A07C-F6F734D63A3F}">
      <text>
        <r>
          <rPr>
            <b/>
            <sz val="9"/>
            <color indexed="81"/>
            <rFont val="Tahoma"/>
            <family val="2"/>
          </rPr>
          <t>Huyền Nguyễn (General Accountant):</t>
        </r>
        <r>
          <rPr>
            <sz val="9"/>
            <color indexed="81"/>
            <rFont val="Tahoma"/>
            <family val="2"/>
          </rPr>
          <t xml:space="preserve">
Khoản hỗ trợ theo hợp đồng VN, CAKE: G21-0293: 3,073,704,440VND</t>
        </r>
      </text>
    </comment>
    <comment ref="Q148" authorId="0" shapeId="0" xr:uid="{E5028715-BA68-4131-9F50-1616C244D53A}">
      <text>
        <r>
          <rPr>
            <b/>
            <sz val="9"/>
            <color indexed="81"/>
            <rFont val="Tahoma"/>
            <family val="2"/>
          </rPr>
          <t>Huyền Nguyễn (General Accountant):</t>
        </r>
        <r>
          <rPr>
            <sz val="9"/>
            <color indexed="81"/>
            <rFont val="Tahoma"/>
            <family val="2"/>
          </rPr>
          <t xml:space="preserve">
2,3 tỷ phí tài trợ visa</t>
        </r>
      </text>
    </comment>
    <comment ref="X218" authorId="0" shapeId="0" xr:uid="{3D74ED09-C985-439D-956D-956167708D4C}">
      <text>
        <r>
          <rPr>
            <b/>
            <sz val="9"/>
            <color indexed="81"/>
            <rFont val="Tahoma"/>
            <family val="2"/>
          </rPr>
          <t>Huyền Nguyễn (General Accountant):</t>
        </r>
        <r>
          <rPr>
            <sz val="9"/>
            <color indexed="81"/>
            <rFont val="Tahoma"/>
            <family val="2"/>
          </rPr>
          <t xml:space="preserve">
dự chi</t>
        </r>
      </text>
    </comment>
    <comment ref="R272" authorId="0" shapeId="0" xr:uid="{B4F1864C-84A2-492A-B609-FF4C7876EEDA}">
      <text>
        <r>
          <rPr>
            <b/>
            <sz val="9"/>
            <color indexed="81"/>
            <rFont val="Tahoma"/>
            <family val="2"/>
          </rPr>
          <t>Huyền Nguyễn (General Accountant):</t>
        </r>
        <r>
          <rPr>
            <sz val="9"/>
            <color indexed="81"/>
            <rFont val="Tahoma"/>
            <family val="2"/>
          </rPr>
          <t xml:space="preserve">
cb tháng 6 trả tháng 7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Thịnh Nguyễn (Sr. Accountant)</author>
    <author>Hà Ngô (Business Finance Analyst)</author>
  </authors>
  <commentList>
    <comment ref="G4" authorId="0" shapeId="0" xr:uid="{791CF3ED-589C-4612-BBC9-BE73C3B249E2}">
      <text>
        <r>
          <rPr>
            <b/>
            <sz val="9"/>
            <color indexed="81"/>
            <rFont val="Tahoma"/>
            <family val="2"/>
          </rPr>
          <t>Thịnh Nguyễn (Sr. Accountant):</t>
        </r>
        <r>
          <rPr>
            <sz val="9"/>
            <color indexed="81"/>
            <rFont val="Tahoma"/>
            <family val="2"/>
          </rPr>
          <t xml:space="preserve">
My soul - Mỹ Tâm hồ Tràm</t>
        </r>
      </text>
    </comment>
    <comment ref="H4" authorId="0" shapeId="0" xr:uid="{322B39B2-110F-4814-91FE-4732AFC3B047}">
      <text>
        <r>
          <rPr>
            <b/>
            <sz val="9"/>
            <color indexed="81"/>
            <rFont val="Tahoma"/>
            <family val="2"/>
          </rPr>
          <t>Thịnh Nguyễn (Sr. Accountant):</t>
        </r>
        <r>
          <rPr>
            <sz val="9"/>
            <color indexed="81"/>
            <rFont val="Tahoma"/>
            <family val="2"/>
          </rPr>
          <t xml:space="preserve">
Tempest</t>
        </r>
      </text>
    </comment>
    <comment ref="I4" authorId="0" shapeId="0" xr:uid="{B2522708-82B0-480A-98D2-7FE836D9B545}">
      <text>
        <r>
          <rPr>
            <b/>
            <sz val="9"/>
            <color indexed="81"/>
            <rFont val="Tahoma"/>
            <family val="2"/>
          </rPr>
          <t>Thịnh Nguyễn (Sr. Accountant):</t>
        </r>
        <r>
          <rPr>
            <sz val="9"/>
            <color indexed="81"/>
            <rFont val="Tahoma"/>
            <family val="2"/>
          </rPr>
          <t xml:space="preserve">
deasung + My soul đà nẵng</t>
        </r>
      </text>
    </comment>
    <comment ref="B29" authorId="1" shapeId="0" xr:uid="{399DB6CC-D3A0-44D6-A57B-51730626B156}">
      <text>
        <r>
          <rPr>
            <b/>
            <sz val="9"/>
            <color indexed="81"/>
            <rFont val="Tahoma"/>
            <family val="2"/>
          </rPr>
          <t>Hà Ngô (Business Finance Analyst):</t>
        </r>
        <r>
          <rPr>
            <sz val="9"/>
            <color indexed="81"/>
            <rFont val="Tahoma"/>
            <family val="2"/>
          </rPr>
          <t xml:space="preserve">
Tách doanh thu tới từ nguồn nào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Lan Anh (Sr. Lending Accountant)</author>
    <author>Hà Ngô (Business Finance Analyst)</author>
    <author>Đỗ Lan Anh (Lending Accounting Supervisor)</author>
    <author>tc={679530B8-C520-4AC5-AC3F-FC02893AA145}</author>
  </authors>
  <commentList>
    <comment ref="S78" authorId="0" shapeId="0" xr:uid="{E5246338-99A1-494F-A2DB-BDB1BDD809C9}">
      <text>
        <r>
          <rPr>
            <sz val="11"/>
            <color theme="1"/>
            <rFont val="Calibri"/>
            <family val="2"/>
            <scheme val="minor"/>
          </rPr>
          <t>Đỗ Lan Anh (Sr. Lending Accountant):
tạm tính hoàn trả 10 tỷ</t>
        </r>
      </text>
    </comment>
    <comment ref="T78" authorId="0" shapeId="0" xr:uid="{DD64017C-3DDE-4569-9F99-C60E310B59FF}">
      <text>
        <r>
          <rPr>
            <sz val="11"/>
            <color theme="1"/>
            <rFont val="Calibri"/>
            <family val="2"/>
            <scheme val="minor"/>
          </rPr>
          <t>Đỗ Lan Anh (Sr. Lending Accountant):
tạm tính hoàn trả 4 tỷ</t>
        </r>
      </text>
    </comment>
    <comment ref="U78" authorId="0" shapeId="0" xr:uid="{732CB762-9B63-4B60-ACD1-F19843419D9F}">
      <text>
        <r>
          <rPr>
            <sz val="11"/>
            <color theme="1"/>
            <rFont val="Calibri"/>
            <family val="2"/>
            <scheme val="minor"/>
          </rPr>
          <t>Đỗ Lan Anh (Sr. Lending Accountant):
tạm tính hoàn trả 3 tỷ</t>
        </r>
      </text>
    </comment>
    <comment ref="V78" authorId="0" shapeId="0" xr:uid="{F7B563E7-4B50-4520-8052-9ED0A4C3F536}">
      <text>
        <r>
          <rPr>
            <sz val="11"/>
            <color theme="1"/>
            <rFont val="Calibri"/>
            <family val="2"/>
            <scheme val="minor"/>
          </rPr>
          <t>Đỗ Lan Anh (Sr. Lending Accountant):
Fin hoàn trích hết phần còn lại: 9 tỷ 2</t>
        </r>
      </text>
    </comment>
    <comment ref="N216" authorId="0" shapeId="0" xr:uid="{9E0D3B22-67CF-41A3-90A3-AFA352F33BE8}">
      <text>
        <r>
          <rPr>
            <sz val="11"/>
            <color theme="1"/>
            <rFont val="Calibri"/>
            <family val="2"/>
            <scheme val="minor"/>
          </rPr>
          <t>Đỗ Lan Anh (Sr. Lending Accountant):
6,587 tỷ chuyển nợ nhóm 3 Cake</t>
        </r>
      </text>
    </comment>
    <comment ref="S273" authorId="1" shapeId="0" xr:uid="{A6287321-EB0D-408F-8A65-5E569C6965FD}">
      <text>
        <r>
          <rPr>
            <b/>
            <sz val="9"/>
            <color indexed="81"/>
            <rFont val="Tahoma"/>
            <family val="2"/>
          </rPr>
          <t>Hà Ngô (Business Finance Analyst):</t>
        </r>
        <r>
          <rPr>
            <sz val="9"/>
            <color indexed="81"/>
            <rFont val="Tahoma"/>
            <family val="2"/>
          </rPr>
          <t xml:space="preserve">
400 tiền chi phí quảng cáo</t>
        </r>
      </text>
    </comment>
    <comment ref="U273" authorId="0" shapeId="0" xr:uid="{336F7732-A884-4C54-83EC-0EB636DBF6CE}">
      <text>
        <r>
          <rPr>
            <sz val="11"/>
            <color theme="1"/>
            <rFont val="Calibri"/>
            <family val="2"/>
            <scheme val="minor"/>
          </rPr>
          <t>Đỗ Lan Anh (Sr. Lending Accountant):
819tr: chi phí quảng cáo MWG  theo mail Thịnh ngày 3/7/25. Đã ghi nhận 400tr tháng 4.25</t>
        </r>
      </text>
    </comment>
    <comment ref="W273" authorId="2" shapeId="0" xr:uid="{4C55AAB7-7FBB-4DFF-9FB8-BDFB423C09FC}">
      <text>
        <r>
          <rPr>
            <sz val="11"/>
            <color theme="1"/>
            <rFont val="Calibri"/>
            <family val="2"/>
            <scheme val="minor"/>
          </rPr>
          <t>Đỗ Lan Anh (Lending Accounting Supervisor):
580tr: Hà báo teams ngày 8/9</t>
        </r>
      </text>
    </comment>
    <comment ref="Y273" authorId="2" shapeId="0" xr:uid="{C81F2FD4-97A6-442C-B2E4-10A5DB5E01AE}">
      <text>
        <r>
          <rPr>
            <sz val="11"/>
            <color theme="1"/>
            <rFont val="Calibri"/>
            <family val="2"/>
            <scheme val="minor"/>
          </rPr>
          <t>Đỗ Lan Anh (Lending Accounting Supervisor):
400tr: chi thưởng. Quỳnh BD mail 7/11/25</t>
        </r>
      </text>
    </comment>
    <comment ref="AA273" authorId="2" shapeId="0" xr:uid="{D7222892-33E9-476C-A828-A264FDF3A0FB}">
      <text>
        <r>
          <rPr>
            <sz val="11"/>
            <color theme="1"/>
            <rFont val="Calibri"/>
            <family val="2"/>
            <scheme val="minor"/>
          </rPr>
          <t>Đỗ Lan Anh (Lending Accounting Supervisor):
548tr: chi thưởng. Quỳnh BD mail 15/1/26</t>
        </r>
      </text>
    </comment>
    <comment ref="AA390" authorId="2" shapeId="0" xr:uid="{D69C5D42-AFF4-46D8-B261-1275A8C35C14}">
      <text>
        <r>
          <rPr>
            <sz val="11"/>
            <color theme="1"/>
            <rFont val="Calibri"/>
            <family val="2"/>
            <scheme val="minor"/>
          </rPr>
          <t>Đỗ Lan Anh (Lending Accounting Supervisor):
590tr: chi thưởng kinh doanh. Tuyến gửi mail 29/12/25</t>
        </r>
      </text>
    </comment>
    <comment ref="R520" authorId="3" shapeId="0" xr:uid="{679530B8-C520-4AC5-AC3F-FC02893AA145}">
      <text>
        <t>[Threaded comment]
Your version of Excel allows you to read this threaded comment; however, any edits to it will get removed if the file is opened in a newer version of Excel. Learn more: https://go.microsoft.com/fwlink/?linkid=870924
Comment:
    lấy theo BBĐS bảo hiểm của recon (dash BIgap 28tr)</t>
      </text>
    </comment>
    <comment ref="V585" authorId="2" shapeId="0" xr:uid="{2DB975B8-7D48-4A61-A11F-4F55F64AA2DA}">
      <text>
        <r>
          <rPr>
            <sz val="11"/>
            <color theme="1"/>
            <rFont val="Calibri"/>
            <family val="2"/>
            <scheme val="minor"/>
          </rPr>
          <t>Đỗ Lan Anh (Lending Accounting Supervisor):
5.269.624đ: bù trừ sharing lỗ tháng 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Anh Đỗ (Accountant)</author>
  </authors>
  <commentList>
    <comment ref="Q31" authorId="0" shapeId="0" xr:uid="{6384EE7E-609B-42FD-8D80-020C5B62A6C5}">
      <text>
        <r>
          <rPr>
            <sz val="11"/>
            <color theme="1"/>
            <rFont val="Calibri"/>
            <family val="2"/>
            <scheme val="minor"/>
          </rPr>
          <t>Anh Đỗ (Accountant):
T12 ko ps do tiền thu BH ko bù đc phần âm KQ KD</t>
        </r>
      </text>
    </comment>
    <comment ref="Q90" authorId="0" shapeId="0" xr:uid="{084B6BDC-A75B-40CE-B629-9340BBAC99BE}">
      <text>
        <r>
          <rPr>
            <sz val="11"/>
            <color theme="1"/>
            <rFont val="Calibri"/>
            <family val="2"/>
            <scheme val="minor"/>
          </rPr>
          <t>Anh Đỗ (Accountant):
T12 ko ps do tiền thu BH ko bù đc phần âm KQ KD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tc={F96BB13B-E54C-47D2-B308-816EBDC73C0C}</author>
  </authors>
  <commentList>
    <comment ref="AT186" authorId="0" shapeId="0" xr:uid="{F96BB13B-E54C-47D2-B308-816EBDC73C0C}">
      <text>
        <t>[Threaded comment]
Your version of Excel allows you to read this threaded comment; however, any edits to it will get removed if the file is opened in a newer version of Excel. Learn more: https://go.microsoft.com/fwlink/?linkid=870924
Comment:
    Anh chưa rõ Logic tính chỗ này, Hà
Reply:
    Balance T= Balance T-1+Disburse T-Repayment T-Writeoff T. Trong đó, repayment sẽ được tính tại bảng Build, đc tính toán dựa trên SAP về tỉ lệ trả nợ gốc từng tháng trong khoản vay + tỉ lệ giữ lại balance do chậm trả . WO sẽ được ghi nhận tại sheet provision input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<sst xmlns="http://schemas.openxmlformats.org/spreadsheetml/2006/main" count="14630" uniqueCount="1008">
  <si>
    <t>Đơn vị: vnd</t>
  </si>
  <si>
    <t>BeFinancial - CAKE</t>
  </si>
  <si>
    <t>Actual</t>
  </si>
  <si>
    <t>all figures in VND</t>
  </si>
  <si>
    <t>Budget</t>
  </si>
  <si>
    <t>all figures in VNĐ</t>
  </si>
  <si>
    <t>P&amp;L summary after allocation</t>
  </si>
  <si>
    <t>% KPI</t>
  </si>
  <si>
    <t>YTD</t>
  </si>
  <si>
    <t>2024
Actual</t>
  </si>
  <si>
    <t>2025 YTD</t>
  </si>
  <si>
    <t>2025
Actual</t>
  </si>
  <si>
    <t>check</t>
  </si>
  <si>
    <t>2025
YTD</t>
  </si>
  <si>
    <t xml:space="preserve"> Income from deposit products</t>
  </si>
  <si>
    <t>CASA</t>
  </si>
  <si>
    <t>SS</t>
  </si>
  <si>
    <t>Term Deposits</t>
  </si>
  <si>
    <t xml:space="preserve"> Income from credit products</t>
  </si>
  <si>
    <t>Credit card</t>
  </si>
  <si>
    <t>Interest Income</t>
  </si>
  <si>
    <t>Interchange</t>
  </si>
  <si>
    <t>Fee income</t>
  </si>
  <si>
    <t>Cash loan</t>
  </si>
  <si>
    <t>Pay day loan</t>
  </si>
  <si>
    <t>Paylater</t>
  </si>
  <si>
    <t>BNPL</t>
  </si>
  <si>
    <t>OD</t>
  </si>
  <si>
    <t>TW</t>
  </si>
  <si>
    <t>Fee Income</t>
  </si>
  <si>
    <t>Commission from Payoo</t>
  </si>
  <si>
    <t>Bill Payment</t>
  </si>
  <si>
    <t>Mobile top-up</t>
  </si>
  <si>
    <t>Napas fee income</t>
  </si>
  <si>
    <t>VNpay</t>
  </si>
  <si>
    <t>Vietlot</t>
  </si>
  <si>
    <t>Traveloka</t>
  </si>
  <si>
    <t>Fee from Mastercard</t>
  </si>
  <si>
    <t>Interchange fee from MasterCard</t>
  </si>
  <si>
    <t>FX fee from MasterCard</t>
  </si>
  <si>
    <t>Interchange fee from Visa</t>
  </si>
  <si>
    <t>Fx mark up</t>
  </si>
  <si>
    <t>Reissue Card</t>
  </si>
  <si>
    <t>Micro investment</t>
  </si>
  <si>
    <t>Bonus + support fee</t>
  </si>
  <si>
    <t>Other incomes</t>
  </si>
  <si>
    <t>Insurance</t>
  </si>
  <si>
    <t>Loan insurance</t>
  </si>
  <si>
    <t>Personal accident insurance</t>
  </si>
  <si>
    <t>Fractional share</t>
  </si>
  <si>
    <t>Other</t>
  </si>
  <si>
    <t>Others</t>
  </si>
  <si>
    <t>Smart OTP</t>
  </si>
  <si>
    <t>EKYC</t>
  </si>
  <si>
    <t>Check RAR</t>
  </si>
  <si>
    <t>Face Authen</t>
  </si>
  <si>
    <t>Data Score</t>
  </si>
  <si>
    <t>C-ticket</t>
  </si>
  <si>
    <t>Others (1900 FPT)</t>
  </si>
  <si>
    <t>Total</t>
  </si>
  <si>
    <t>Growth MoM</t>
  </si>
  <si>
    <t>Check</t>
  </si>
  <si>
    <t>Target 2023</t>
  </si>
  <si>
    <t>Actual 2023</t>
  </si>
  <si>
    <t>Gap</t>
  </si>
  <si>
    <t>%Actual/Target</t>
  </si>
  <si>
    <t>Deposit</t>
  </si>
  <si>
    <t>Casa</t>
  </si>
  <si>
    <t xml:space="preserve"> TD</t>
  </si>
  <si>
    <t>Other (Smart OTP)</t>
  </si>
  <si>
    <t>Lending</t>
  </si>
  <si>
    <t>Payday</t>
  </si>
  <si>
    <t>Total revenue</t>
  </si>
  <si>
    <t>Đơn vị: Tỷ VNĐ</t>
  </si>
  <si>
    <t>CHỈ TIÊU</t>
  </si>
  <si>
    <t>YTD 2024</t>
  </si>
  <si>
    <t>YTD 2025</t>
  </si>
  <si>
    <t>2024
YTD</t>
  </si>
  <si>
    <t>2024 FY
Budget</t>
  </si>
  <si>
    <t>2025 FY
Budget</t>
  </si>
  <si>
    <t>Disbursement</t>
  </si>
  <si>
    <t>Cashloan</t>
  </si>
  <si>
    <t>Balance</t>
  </si>
  <si>
    <t>REVENUE</t>
  </si>
  <si>
    <t>EXPENSE</t>
  </si>
  <si>
    <t>Total TOI</t>
  </si>
  <si>
    <t>TOI of Liabilities</t>
  </si>
  <si>
    <t>TOI of Deposit</t>
  </si>
  <si>
    <t>TOI of Fee income</t>
  </si>
  <si>
    <t>Other TOI</t>
  </si>
  <si>
    <t>TOI of Card</t>
  </si>
  <si>
    <t>TOI of Debit card</t>
  </si>
  <si>
    <t>TOI of Credit card</t>
  </si>
  <si>
    <t>TOI of Lending products</t>
  </si>
  <si>
    <t>TOI Vay kỳ hạn</t>
  </si>
  <si>
    <t>TOI Vay ngắn ngày</t>
  </si>
  <si>
    <t>TOI Overdraft</t>
  </si>
  <si>
    <t>TOI TW</t>
  </si>
  <si>
    <t>TOI Paylater</t>
  </si>
  <si>
    <t>Expenses</t>
  </si>
  <si>
    <t>Underwritting cost</t>
  </si>
  <si>
    <t>U_Vay kỳ hạn</t>
  </si>
  <si>
    <t>U_Vay ngắn ngày</t>
  </si>
  <si>
    <t>U_Overdraft</t>
  </si>
  <si>
    <t>U_TW</t>
  </si>
  <si>
    <t>U_Paylater</t>
  </si>
  <si>
    <t>U_Credit card</t>
  </si>
  <si>
    <t>Collection cost</t>
  </si>
  <si>
    <t>C_Vay kỳ hạn</t>
  </si>
  <si>
    <t>C_Vay ngắn ngày</t>
  </si>
  <si>
    <t>C_Overdraft</t>
  </si>
  <si>
    <t>C_TW</t>
  </si>
  <si>
    <t>C_Paylater</t>
  </si>
  <si>
    <t>C_Credit card</t>
  </si>
  <si>
    <t>Growth Cost</t>
  </si>
  <si>
    <t>Variable cost - Acquire customer</t>
  </si>
  <si>
    <t>Acquire TD</t>
  </si>
  <si>
    <t>Acquire Vay kỳ hạn</t>
  </si>
  <si>
    <t>Acquire Vay ngắn ngày</t>
  </si>
  <si>
    <t>Acquire Overdraft</t>
  </si>
  <si>
    <t>Acquire TW</t>
  </si>
  <si>
    <t>Acquire Paylater</t>
  </si>
  <si>
    <t>Acquire Credit card</t>
  </si>
  <si>
    <t>Variable cost - Promotion</t>
  </si>
  <si>
    <t>TD</t>
  </si>
  <si>
    <t>Promotion Deposit products</t>
  </si>
  <si>
    <t>Credit card usage</t>
  </si>
  <si>
    <t>Promotion Credit card usage</t>
  </si>
  <si>
    <t>Sharing expenses for partner</t>
  </si>
  <si>
    <t>Sharing expense Huy động</t>
  </si>
  <si>
    <t>Sharing expense Vay kỳ hạn</t>
  </si>
  <si>
    <t>Sharing expense Vay ngắn ngày</t>
  </si>
  <si>
    <t>Sharing expense TW</t>
  </si>
  <si>
    <t>Sharing expense Paylater</t>
  </si>
  <si>
    <t>Sharing expense Credit card</t>
  </si>
  <si>
    <t>Profit before provision</t>
  </si>
  <si>
    <t>Provision expenses</t>
  </si>
  <si>
    <t>Vay kỳ hạn Provision</t>
  </si>
  <si>
    <t xml:space="preserve">Vay ngắn ngày Provision </t>
  </si>
  <si>
    <t>Overdraft Provision</t>
  </si>
  <si>
    <t>TW Provision</t>
  </si>
  <si>
    <t>Paylater Provision</t>
  </si>
  <si>
    <t>Credit Card Provision</t>
  </si>
  <si>
    <t>Profit after Provsion expenses</t>
  </si>
  <si>
    <t>Partnership development cost</t>
  </si>
  <si>
    <t>OPEX</t>
  </si>
  <si>
    <t>Staff cost</t>
  </si>
  <si>
    <t>Marketing &amp; Communication</t>
  </si>
  <si>
    <t>PR - EAD</t>
  </si>
  <si>
    <t>CI</t>
  </si>
  <si>
    <t>Operation</t>
  </si>
  <si>
    <t>KYC</t>
  </si>
  <si>
    <t>NFC</t>
  </si>
  <si>
    <t>CS</t>
  </si>
  <si>
    <t>CX</t>
  </si>
  <si>
    <t>Debit card issuance fee</t>
  </si>
  <si>
    <t>Credit card (issuance)</t>
  </si>
  <si>
    <t>Others (office, anciliaries,)</t>
  </si>
  <si>
    <t>Allocated Expenses from VPBank</t>
  </si>
  <si>
    <t>Allocated Expenses from BEG (admin, office, system…)</t>
  </si>
  <si>
    <t>D&amp;A</t>
  </si>
  <si>
    <t>Financial Expenses</t>
  </si>
  <si>
    <t>Infrastructure &amp; Software</t>
  </si>
  <si>
    <t>SMS</t>
  </si>
  <si>
    <t>IT expenses tại Cake</t>
  </si>
  <si>
    <t>IT expenses allocated from BE</t>
  </si>
  <si>
    <t>Tax/Bank charges</t>
  </si>
  <si>
    <t>Operating Income</t>
  </si>
  <si>
    <t>EBITDA</t>
  </si>
  <si>
    <t>Chọn tháng hiện tại =&gt;</t>
  </si>
  <si>
    <t>So sánh với tháng =&gt;</t>
  </si>
  <si>
    <t>MTD Plan</t>
  </si>
  <si>
    <t>+/-LM</t>
  </si>
  <si>
    <t>+/-BG</t>
  </si>
  <si>
    <t>YTD 2025 Plan</t>
  </si>
  <si>
    <t>FY 2025 Plan</t>
  </si>
  <si>
    <t>%FY KPI</t>
  </si>
  <si>
    <t>Group</t>
  </si>
  <si>
    <t>Product</t>
  </si>
  <si>
    <t>Type</t>
  </si>
  <si>
    <t>Channel</t>
  </si>
  <si>
    <t>Mapping Product</t>
  </si>
  <si>
    <t>Mapping Group KPIxProducts</t>
  </si>
  <si>
    <t>Category</t>
  </si>
  <si>
    <t>Index</t>
  </si>
  <si>
    <t>Product PnL</t>
  </si>
  <si>
    <t>FY2025</t>
  </si>
  <si>
    <t>Thoái lãi</t>
  </si>
  <si>
    <t>Thoái phí</t>
  </si>
  <si>
    <t>lending</t>
  </si>
  <si>
    <t>paylater</t>
  </si>
  <si>
    <t>all</t>
  </si>
  <si>
    <t>All</t>
  </si>
  <si>
    <t>New account</t>
  </si>
  <si>
    <t>Accumulated account</t>
  </si>
  <si>
    <t>Active account</t>
  </si>
  <si>
    <t>% active rate</t>
  </si>
  <si>
    <t>Spending/ accum. Account</t>
  </si>
  <si>
    <t>Spending/ active accounts</t>
  </si>
  <si>
    <t>Spending</t>
  </si>
  <si>
    <t>Principle balance</t>
  </si>
  <si>
    <t>Non-installnent balance</t>
  </si>
  <si>
    <t>Installment balance</t>
  </si>
  <si>
    <t>Revolving balance</t>
  </si>
  <si>
    <t>Overdue balance(10d+)</t>
  </si>
  <si>
    <t>Overdue balance (group 2)</t>
  </si>
  <si>
    <t>Overdue balance (90days)</t>
  </si>
  <si>
    <t>Overdue balance (90days) - CAKE</t>
  </si>
  <si>
    <t>Overdue account (10days)</t>
  </si>
  <si>
    <t>Overdue account (group 2)</t>
  </si>
  <si>
    <t>Overdue account (90days)</t>
  </si>
  <si>
    <t>%Nợ nhóm 2</t>
  </si>
  <si>
    <t>%NQH</t>
  </si>
  <si>
    <t>npl</t>
  </si>
  <si>
    <t>%NPL</t>
  </si>
  <si>
    <t>Revenue</t>
  </si>
  <si>
    <t>Cost of good sold</t>
  </si>
  <si>
    <t>TOI</t>
  </si>
  <si>
    <t>Net interest income</t>
  </si>
  <si>
    <t>COF</t>
  </si>
  <si>
    <t>Net fee income</t>
  </si>
  <si>
    <t>Transaction fee</t>
  </si>
  <si>
    <t>Late payment fee</t>
  </si>
  <si>
    <t>Monthly fee</t>
  </si>
  <si>
    <t>Installment fee</t>
  </si>
  <si>
    <t>Subvention fee</t>
  </si>
  <si>
    <t>Other fee income</t>
  </si>
  <si>
    <t>Vpbank thoái</t>
  </si>
  <si>
    <t>VPBank revert</t>
  </si>
  <si>
    <t>Variable expenses</t>
  </si>
  <si>
    <t>Marketing acquisition cost</t>
  </si>
  <si>
    <t>Partner acquisition cost</t>
  </si>
  <si>
    <t>Underwritting</t>
  </si>
  <si>
    <t>E Contract</t>
  </si>
  <si>
    <t>Collection</t>
  </si>
  <si>
    <t>Promotion</t>
  </si>
  <si>
    <t>Profit before allocation cost</t>
  </si>
  <si>
    <t>VDS</t>
  </si>
  <si>
    <t>VDS paylater</t>
  </si>
  <si>
    <t>new_account</t>
  </si>
  <si>
    <t>accum_account</t>
  </si>
  <si>
    <t>active_account</t>
  </si>
  <si>
    <t>disburse/spend</t>
  </si>
  <si>
    <t>ENR</t>
  </si>
  <si>
    <t>nonEMI_ENR</t>
  </si>
  <si>
    <t>EMI_ENR</t>
  </si>
  <si>
    <t>revolving_ENR</t>
  </si>
  <si>
    <t>overdue_balance_10d</t>
  </si>
  <si>
    <t>overdue_balance_90d</t>
  </si>
  <si>
    <t>NPL- CIC</t>
  </si>
  <si>
    <t>overdue_account_10d</t>
  </si>
  <si>
    <t>overdue_account_90d</t>
  </si>
  <si>
    <t>revenue</t>
  </si>
  <si>
    <t>COGs</t>
  </si>
  <si>
    <t>NII</t>
  </si>
  <si>
    <t>CII</t>
  </si>
  <si>
    <t>Lãi dự thu</t>
  </si>
  <si>
    <t>Lãi thoái do chậm trả</t>
  </si>
  <si>
    <t>Lãi revert</t>
  </si>
  <si>
    <t>VPBank thoái</t>
  </si>
  <si>
    <t>NFI</t>
  </si>
  <si>
    <t>transaction_fee</t>
  </si>
  <si>
    <t>late_payment_fee</t>
  </si>
  <si>
    <t>monthly_fee</t>
  </si>
  <si>
    <t>installment_fee</t>
  </si>
  <si>
    <t>subvention_fee</t>
  </si>
  <si>
    <t>other_fee</t>
  </si>
  <si>
    <t>adjust_minus_fee</t>
  </si>
  <si>
    <t>adjust_bonus_fee</t>
  </si>
  <si>
    <t>other_TOI</t>
  </si>
  <si>
    <t>provision</t>
  </si>
  <si>
    <t>variable_cost</t>
  </si>
  <si>
    <t>marketing_acquisition_cost</t>
  </si>
  <si>
    <t>partner_acquisition_cost</t>
  </si>
  <si>
    <t>underwritting</t>
  </si>
  <si>
    <t>e_contract</t>
  </si>
  <si>
    <t>nfc</t>
  </si>
  <si>
    <t>collection</t>
  </si>
  <si>
    <t>promotion</t>
  </si>
  <si>
    <t>sms</t>
  </si>
  <si>
    <t>profit_before_overhead</t>
  </si>
  <si>
    <t>VDS Epass paylater</t>
  </si>
  <si>
    <t>BEG</t>
  </si>
  <si>
    <t>Be</t>
  </si>
  <si>
    <t>Be paylater</t>
  </si>
  <si>
    <t>VNPAY</t>
  </si>
  <si>
    <t>VNP</t>
  </si>
  <si>
    <t>Vnpay paylater</t>
  </si>
  <si>
    <t>FPT</t>
  </si>
  <si>
    <t>FPT paylater</t>
  </si>
  <si>
    <t>MWG</t>
  </si>
  <si>
    <t>MWG paylater</t>
  </si>
  <si>
    <t>Chanel</t>
  </si>
  <si>
    <t>Liability</t>
  </si>
  <si>
    <t>Cost of fund</t>
  </si>
  <si>
    <t>Fee expense</t>
  </si>
  <si>
    <t>Other income</t>
  </si>
  <si>
    <t>E-KYC</t>
  </si>
  <si>
    <t>overhead_cost</t>
  </si>
  <si>
    <t>Overhead expenses</t>
  </si>
  <si>
    <t>direct_HR</t>
  </si>
  <si>
    <t>Direct HR cost</t>
  </si>
  <si>
    <t>indirect_HR</t>
  </si>
  <si>
    <t>Indirect HR cost</t>
  </si>
  <si>
    <t>system_cost</t>
  </si>
  <si>
    <t>Indirect system cost</t>
  </si>
  <si>
    <t>other_support_cost</t>
  </si>
  <si>
    <t>Other indirect supporting cost</t>
  </si>
  <si>
    <t>profit_after_overhead</t>
  </si>
  <si>
    <t>Profit after all allocation cost</t>
  </si>
  <si>
    <t>CAKE</t>
  </si>
  <si>
    <t>CASA CAKE</t>
  </si>
  <si>
    <t>VNPOST</t>
  </si>
  <si>
    <t>CASA VNPOST</t>
  </si>
  <si>
    <t>ADB</t>
  </si>
  <si>
    <t>eKYC</t>
  </si>
  <si>
    <t>Hyperverge</t>
  </si>
  <si>
    <t>Trusting social</t>
  </si>
  <si>
    <t>Thịnh phát</t>
  </si>
  <si>
    <t>Promotion cost</t>
  </si>
  <si>
    <t>NIM</t>
  </si>
  <si>
    <t>NIM Casa</t>
  </si>
  <si>
    <t>Term Deposit</t>
  </si>
  <si>
    <t>TD balance</t>
  </si>
  <si>
    <t>TD cake balance</t>
  </si>
  <si>
    <t>TD Viettel Balance</t>
  </si>
  <si>
    <t>VNPT</t>
  </si>
  <si>
    <t>TD VNPT balance</t>
  </si>
  <si>
    <t>TD VNPOST balance</t>
  </si>
  <si>
    <t>ZALOPAY</t>
  </si>
  <si>
    <t>TD Zalo</t>
  </si>
  <si>
    <t>COF_cashback</t>
  </si>
  <si>
    <t>Cashback</t>
  </si>
  <si>
    <t>Zalo</t>
  </si>
  <si>
    <t>Vnpost</t>
  </si>
  <si>
    <t>Vnpt</t>
  </si>
  <si>
    <t>NIM TD</t>
  </si>
  <si>
    <t>Fee</t>
  </si>
  <si>
    <t>FEE</t>
  </si>
  <si>
    <t>Fee TOI</t>
  </si>
  <si>
    <t>fee_incomes</t>
  </si>
  <si>
    <t>Fee incomes</t>
  </si>
  <si>
    <t>R_VNpay</t>
  </si>
  <si>
    <t>Commission from VNPay</t>
  </si>
  <si>
    <t>R_Napas</t>
  </si>
  <si>
    <t>Commission from Napas cash in</t>
  </si>
  <si>
    <t>Commission from Vietlot</t>
  </si>
  <si>
    <t xml:space="preserve">  </t>
  </si>
  <si>
    <t>Commission from Traveloka</t>
  </si>
  <si>
    <t>Commission from Chợ tốt</t>
  </si>
  <si>
    <t>R_Payoo</t>
  </si>
  <si>
    <t>R_Mobile top up payoo</t>
  </si>
  <si>
    <t>R_Bill payment payoo</t>
  </si>
  <si>
    <t>R_Micro investment</t>
  </si>
  <si>
    <t>Investment income</t>
  </si>
  <si>
    <t>R_DCinvestment</t>
  </si>
  <si>
    <t>DC investment fee</t>
  </si>
  <si>
    <t>R_VPBSinvestment</t>
  </si>
  <si>
    <t>VPBS investment fee</t>
  </si>
  <si>
    <t>inactive_income_fee</t>
  </si>
  <si>
    <t>Inactive fee income</t>
  </si>
  <si>
    <t>other_income_fee</t>
  </si>
  <si>
    <t>fee_expenses</t>
  </si>
  <si>
    <t>Fee Expenses</t>
  </si>
  <si>
    <t>E_Napas</t>
  </si>
  <si>
    <t>Napas top up &amp; fund transfer</t>
  </si>
  <si>
    <t>E_Cashback</t>
  </si>
  <si>
    <t>Cashback for fee product</t>
  </si>
  <si>
    <t>E_VNPay</t>
  </si>
  <si>
    <t>VNPay</t>
  </si>
  <si>
    <t>E_Payoo</t>
  </si>
  <si>
    <t>Payoo</t>
  </si>
  <si>
    <t>other_expense_fee</t>
  </si>
  <si>
    <t>Other fee expense</t>
  </si>
  <si>
    <t>OTHERS</t>
  </si>
  <si>
    <t>Average of CASA</t>
  </si>
  <si>
    <t>Average of Term Deposit</t>
  </si>
  <si>
    <t>Catergories</t>
  </si>
  <si>
    <t>card</t>
  </si>
  <si>
    <t>Card performance</t>
  </si>
  <si>
    <t>Debit card</t>
  </si>
  <si>
    <t>debit</t>
  </si>
  <si>
    <t>Accumulated accounts</t>
  </si>
  <si>
    <t>expense</t>
  </si>
  <si>
    <t>Other_TOI</t>
  </si>
  <si>
    <t>ems</t>
  </si>
  <si>
    <t>EMS</t>
  </si>
  <si>
    <t>mk</t>
  </si>
  <si>
    <t>MK</t>
  </si>
  <si>
    <t>Master</t>
  </si>
  <si>
    <t>Master debit</t>
  </si>
  <si>
    <t>interchange_fee</t>
  </si>
  <si>
    <t>Interchange fee</t>
  </si>
  <si>
    <t>fx_fee</t>
  </si>
  <si>
    <t>FX fee</t>
  </si>
  <si>
    <t>reissue_fee</t>
  </si>
  <si>
    <t>Reissue fee</t>
  </si>
  <si>
    <t>tutuka_issuance_fee</t>
  </si>
  <si>
    <t>Tutuka issuance fee</t>
  </si>
  <si>
    <t>tutuka_processingg_fee</t>
  </si>
  <si>
    <t>Tutuka processing fee</t>
  </si>
  <si>
    <t>master_fee</t>
  </si>
  <si>
    <t>Master Card processsing fee</t>
  </si>
  <si>
    <t>fx_rate_diff</t>
  </si>
  <si>
    <t>Exchange rate differences expense</t>
  </si>
  <si>
    <t>Visa debit</t>
  </si>
  <si>
    <t>Visa</t>
  </si>
  <si>
    <t>cash_advance_fee</t>
  </si>
  <si>
    <t>Cash withdraw</t>
  </si>
  <si>
    <t>Other fee</t>
  </si>
  <si>
    <t>BPC_fee</t>
  </si>
  <si>
    <t>BPC processing fee</t>
  </si>
  <si>
    <t>visa_fee</t>
  </si>
  <si>
    <t>Visa processing fee</t>
  </si>
  <si>
    <t>cashback_fee</t>
  </si>
  <si>
    <t>credit</t>
  </si>
  <si>
    <t># New cards</t>
  </si>
  <si>
    <t>Accumulated cards</t>
  </si>
  <si>
    <t>Active credit cards</t>
  </si>
  <si>
    <t>Active rate</t>
  </si>
  <si>
    <t>Spending/ accum. card</t>
  </si>
  <si>
    <t>Spending/ active card</t>
  </si>
  <si>
    <t>Overdue balance (10days) - CAKE</t>
  </si>
  <si>
    <t>NPL</t>
  </si>
  <si>
    <t>annual_fee</t>
  </si>
  <si>
    <t>Annual fee</t>
  </si>
  <si>
    <t>Foreign Exchange</t>
  </si>
  <si>
    <t>Late payment</t>
  </si>
  <si>
    <t>Credit card: Be channel</t>
  </si>
  <si>
    <t>Credit card: Cake channel</t>
  </si>
  <si>
    <t>Credit card: Viettel</t>
  </si>
  <si>
    <t>VieON</t>
  </si>
  <si>
    <t>Credit card: VieOn</t>
  </si>
  <si>
    <t xml:space="preserve"> </t>
  </si>
  <si>
    <t>ZALO</t>
  </si>
  <si>
    <t>Credit card: Zalo</t>
  </si>
  <si>
    <t>Credit card: Others</t>
  </si>
  <si>
    <t>Tran</t>
  </si>
  <si>
    <t>Credit card: Transactor</t>
  </si>
  <si>
    <t>Tỷ lệ spending/all</t>
  </si>
  <si>
    <t>Revolver</t>
  </si>
  <si>
    <t>Credit card: Revolver</t>
  </si>
  <si>
    <t>Transactor</t>
  </si>
  <si>
    <t>Tổng</t>
  </si>
  <si>
    <t>Accum. Card</t>
  </si>
  <si>
    <t>CB</t>
  </si>
  <si>
    <t>interchange</t>
  </si>
  <si>
    <t>Spending( settle)</t>
  </si>
  <si>
    <t>T7</t>
  </si>
  <si>
    <t>Spending/card(mvnd)</t>
  </si>
  <si>
    <t>T8</t>
  </si>
  <si>
    <t>%Interchange/spending(visa)</t>
  </si>
  <si>
    <t>T9</t>
  </si>
  <si>
    <t>%Cashback/spending</t>
  </si>
  <si>
    <t>T10</t>
  </si>
  <si>
    <t>T11</t>
  </si>
  <si>
    <t>Revolving ENR</t>
  </si>
  <si>
    <t>T12</t>
  </si>
  <si>
    <t>cashback</t>
  </si>
  <si>
    <t xml:space="preserve">  COF</t>
  </si>
  <si>
    <t xml:space="preserve">  Interchange</t>
  </si>
  <si>
    <t xml:space="preserve">  Annual fee</t>
  </si>
  <si>
    <t xml:space="preserve">  Late payment</t>
  </si>
  <si>
    <t xml:space="preserve">  Installment fee</t>
  </si>
  <si>
    <t xml:space="preserve">  Other fee</t>
  </si>
  <si>
    <t xml:space="preserve">  BPC processingfee</t>
  </si>
  <si>
    <t xml:space="preserve">  Visa processingfee</t>
  </si>
  <si>
    <t xml:space="preserve">  Cashback</t>
  </si>
  <si>
    <t>PROVISION</t>
  </si>
  <si>
    <t>Profit before allocation</t>
  </si>
  <si>
    <t>EID</t>
  </si>
  <si>
    <t>Face authen</t>
  </si>
  <si>
    <t>Expense</t>
  </si>
  <si>
    <t>HR</t>
  </si>
  <si>
    <t>Profit</t>
  </si>
  <si>
    <t>GPBank eKYC (live)</t>
  </si>
  <si>
    <t>New Contract</t>
  </si>
  <si>
    <t>High</t>
  </si>
  <si>
    <t>Yes</t>
  </si>
  <si>
    <t>GPBank eID (live)</t>
  </si>
  <si>
    <t>GPBank FA (live)</t>
  </si>
  <si>
    <t>GPBank SOTP (live)</t>
  </si>
  <si>
    <t>Ticket Flatform</t>
  </si>
  <si>
    <t>Doanh thu bán vé</t>
  </si>
  <si>
    <t>Revenue/TOI</t>
  </si>
  <si>
    <t>MKT</t>
  </si>
  <si>
    <t>IT</t>
  </si>
  <si>
    <t>Công tác phí</t>
  </si>
  <si>
    <t>other</t>
  </si>
  <si>
    <t>PBT</t>
  </si>
  <si>
    <t>Mỹ Tâm</t>
  </si>
  <si>
    <t>Tempest</t>
  </si>
  <si>
    <t>OTHER TOI</t>
  </si>
  <si>
    <t>OLD VER</t>
  </si>
  <si>
    <t>Check "All" Line</t>
  </si>
  <si>
    <t>PL</t>
  </si>
  <si>
    <t>+/-</t>
  </si>
  <si>
    <t>PL - line all</t>
  </si>
  <si>
    <t>NGS</t>
  </si>
  <si>
    <t>MISA</t>
  </si>
  <si>
    <t>Partner</t>
  </si>
  <si>
    <t>VDSCL</t>
  </si>
  <si>
    <t>VDSPD</t>
  </si>
  <si>
    <t>VDSPRCL</t>
  </si>
  <si>
    <t>VDSPRPD</t>
  </si>
  <si>
    <t>BEGCL</t>
  </si>
  <si>
    <t>NGSCL</t>
  </si>
  <si>
    <t>CAKECL</t>
  </si>
  <si>
    <t>CAKEPD</t>
  </si>
  <si>
    <t>CAKEOD</t>
  </si>
  <si>
    <t>MWGCL</t>
  </si>
  <si>
    <t>VNPAYCL</t>
  </si>
  <si>
    <t>VNPAYPD</t>
  </si>
  <si>
    <t>ZALOPAYCL</t>
  </si>
  <si>
    <t>ZALOPAYPD</t>
  </si>
  <si>
    <t>VNPOSTCL</t>
  </si>
  <si>
    <t>VNPOSTPRCL</t>
  </si>
  <si>
    <t>MISACL</t>
  </si>
  <si>
    <t>VDSPL</t>
  </si>
  <si>
    <t>BEGPL</t>
  </si>
  <si>
    <t>VNPAYPL</t>
  </si>
  <si>
    <t>FPTPL</t>
  </si>
  <si>
    <t>MWGPL</t>
  </si>
  <si>
    <t>Subproduct</t>
  </si>
  <si>
    <t>Mapping Group KPIxPartner</t>
  </si>
  <si>
    <t>Catergory</t>
  </si>
  <si>
    <t>LENDING</t>
  </si>
  <si>
    <t>Repeat account</t>
  </si>
  <si>
    <t>Disbursement w insurance</t>
  </si>
  <si>
    <t>Disbursement w/o insurance</t>
  </si>
  <si>
    <t>Balance ENR</t>
  </si>
  <si>
    <t>Indue balance</t>
  </si>
  <si>
    <t>Overdue balance (dpd &gt;0)</t>
  </si>
  <si>
    <t>Overdue balance (90d+)- CAKE</t>
  </si>
  <si>
    <t>Overdue balance (10d+)</t>
  </si>
  <si>
    <t>Overdue balance (90+)</t>
  </si>
  <si>
    <t>Overdue balance (11-90d)</t>
  </si>
  <si>
    <t>%NPL CAKE</t>
  </si>
  <si>
    <t>%NPL CIC</t>
  </si>
  <si>
    <t>Thu lãi vay</t>
  </si>
  <si>
    <t>Insurance fee</t>
  </si>
  <si>
    <t>Early repayment fee</t>
  </si>
  <si>
    <t>Limit fee</t>
  </si>
  <si>
    <t>Profit after allocation cost</t>
  </si>
  <si>
    <t>Cashloan with Viettel</t>
  </si>
  <si>
    <t>cashloan</t>
  </si>
  <si>
    <t>insurance_fee</t>
  </si>
  <si>
    <t>early_terminate_fee</t>
  </si>
  <si>
    <t>loan_grant_fee</t>
  </si>
  <si>
    <t>payroll</t>
  </si>
  <si>
    <t>Cashloan Payroll with VDS</t>
  </si>
  <si>
    <t>Cashloan with BEG</t>
  </si>
  <si>
    <t>Cashloan with NGS</t>
  </si>
  <si>
    <t>Cashloan with CAKE</t>
  </si>
  <si>
    <t>Cashloan with MWG</t>
  </si>
  <si>
    <t>Cashloan with VNPAY</t>
  </si>
  <si>
    <t>Cashloan with ZALOPAY</t>
  </si>
  <si>
    <t>Cashloan with VNPOST</t>
  </si>
  <si>
    <t>Cashloan payroll with VNPOST</t>
  </si>
  <si>
    <t>Cashloan with MISA</t>
  </si>
  <si>
    <t>overdraft</t>
  </si>
  <si>
    <t>Overdraft</t>
  </si>
  <si>
    <t>ENR_staff</t>
  </si>
  <si>
    <t>Balance OD staff</t>
  </si>
  <si>
    <t>ENR_mass</t>
  </si>
  <si>
    <t>Balance OD mass</t>
  </si>
  <si>
    <t>payday</t>
  </si>
  <si>
    <t>Viettel Payday</t>
  </si>
  <si>
    <t>Payday Payroll with VDS</t>
  </si>
  <si>
    <t>Payday  with CAKE</t>
  </si>
  <si>
    <t>Payday  with VNPAY</t>
  </si>
  <si>
    <t>Payday  with ZALOPAY</t>
  </si>
  <si>
    <t xml:space="preserve">'Lưu ý: </t>
  </si>
  <si>
    <r>
      <t xml:space="preserve">
Khi thêm tháng, thêm vào đằng sau tháng đang làm, </t>
    </r>
    <r>
      <rPr>
        <b/>
        <sz val="11"/>
        <color rgb="FFFF0000"/>
        <rFont val="Calibri"/>
        <family val="2"/>
        <scheme val="minor"/>
      </rPr>
      <t>KHÔNG</t>
    </r>
    <r>
      <rPr>
        <sz val="11"/>
        <color theme="1"/>
        <rFont val="Calibri"/>
        <family val="2"/>
        <scheme val="minor"/>
      </rPr>
      <t xml:space="preserve"> xóa dữ liệu các tháng đã qua, tháng nào qua thì hide đi</t>
    </r>
  </si>
  <si>
    <r>
      <rPr>
        <b/>
        <sz val="11"/>
        <color theme="0"/>
        <rFont val="be Vietnam"/>
        <family val="3"/>
      </rPr>
      <t xml:space="preserve">Card
</t>
    </r>
    <r>
      <rPr>
        <i/>
        <sz val="11"/>
        <color theme="0"/>
        <rFont val="be Vietnam"/>
        <family val="3"/>
      </rPr>
      <t xml:space="preserve"> (bn VND)</t>
    </r>
  </si>
  <si>
    <t>Dec-25 Plan</t>
  </si>
  <si>
    <t>%FY BG</t>
  </si>
  <si>
    <t>Opex</t>
  </si>
  <si>
    <t>Sharing expenses for CC</t>
  </si>
  <si>
    <t>Profit after direct HR cost</t>
  </si>
  <si>
    <t>Indirect supporting expenses</t>
  </si>
  <si>
    <t>Profit/loss after 
all allocation cost</t>
  </si>
  <si>
    <r>
      <rPr>
        <b/>
        <sz val="11"/>
        <color theme="0"/>
        <rFont val="be Vietnam"/>
        <family val="3"/>
      </rPr>
      <t xml:space="preserve">Total Credit card (CC+PL)
</t>
    </r>
    <r>
      <rPr>
        <i/>
        <sz val="11"/>
        <color theme="0"/>
        <rFont val="be Vietnam"/>
        <family val="3"/>
      </rPr>
      <t xml:space="preserve"> (bn VND)</t>
    </r>
  </si>
  <si>
    <t>Jun-25 Plan</t>
  </si>
  <si>
    <r>
      <rPr>
        <b/>
        <sz val="12"/>
        <color theme="0"/>
        <rFont val="be Vietnam"/>
        <family val="3"/>
      </rPr>
      <t xml:space="preserve">Credit card
</t>
    </r>
    <r>
      <rPr>
        <i/>
        <sz val="12"/>
        <color theme="0"/>
        <rFont val="be Vietnam"/>
        <family val="3"/>
      </rPr>
      <t xml:space="preserve"> (bn VND)</t>
    </r>
  </si>
  <si>
    <t>MTD</t>
  </si>
  <si>
    <t>YTD BG</t>
  </si>
  <si>
    <t>%BG</t>
  </si>
  <si>
    <t xml:space="preserve"> Nợ nhóm 2</t>
  </si>
  <si>
    <t xml:space="preserve"> NPL CIC</t>
  </si>
  <si>
    <t xml:space="preserve"> NPL Cake</t>
  </si>
  <si>
    <t>Net Interest income</t>
  </si>
  <si>
    <t>Provision</t>
  </si>
  <si>
    <t>Net Fee Income</t>
  </si>
  <si>
    <t>Acquisition cost</t>
  </si>
  <si>
    <t>EMS, MK</t>
  </si>
  <si>
    <t>Direct HR card sales &amp; OPS team</t>
  </si>
  <si>
    <t>%NPL sau CIC</t>
  </si>
  <si>
    <t>%NPL cake</t>
  </si>
  <si>
    <r>
      <rPr>
        <b/>
        <sz val="11"/>
        <color theme="0"/>
        <rFont val="be Vietnam"/>
        <family val="3"/>
      </rPr>
      <t xml:space="preserve">Credit card
</t>
    </r>
    <r>
      <rPr>
        <i/>
        <sz val="11"/>
        <color theme="0"/>
        <rFont val="be Vietnam"/>
        <family val="3"/>
      </rPr>
      <t xml:space="preserve"> (bn VND)</t>
    </r>
  </si>
  <si>
    <t>% TOI</t>
  </si>
  <si>
    <t>% TOI 
YTD</t>
  </si>
  <si>
    <r>
      <rPr>
        <b/>
        <sz val="11"/>
        <color theme="0"/>
        <rFont val="be Vietnam"/>
        <family val="3"/>
      </rPr>
      <t xml:space="preserve">Debit card
</t>
    </r>
    <r>
      <rPr>
        <i/>
        <sz val="11"/>
        <color theme="0"/>
        <rFont val="be Vietnam"/>
        <family val="3"/>
      </rPr>
      <t xml:space="preserve"> (bn VND)</t>
    </r>
  </si>
  <si>
    <t>Other( Tutuka,  exchange rate..)</t>
  </si>
  <si>
    <t>Other income fee</t>
  </si>
  <si>
    <t>EMS+MK</t>
  </si>
  <si>
    <r>
      <rPr>
        <b/>
        <sz val="11"/>
        <color theme="0"/>
        <rFont val="be Vietnam"/>
        <family val="3"/>
      </rPr>
      <t xml:space="preserve"> Paylater
</t>
    </r>
    <r>
      <rPr>
        <i/>
        <sz val="11"/>
        <color theme="0"/>
        <rFont val="be Vietnam"/>
        <family val="3"/>
      </rPr>
      <t xml:space="preserve"> (bn VND)</t>
    </r>
  </si>
  <si>
    <t>Balance trong hạn</t>
  </si>
  <si>
    <t>Balance quá hạn</t>
  </si>
  <si>
    <t>Balance nhóm 2</t>
  </si>
  <si>
    <t>Sharing expenses for paylater</t>
  </si>
  <si>
    <t>% Nợ nhóm 2</t>
  </si>
  <si>
    <r>
      <rPr>
        <b/>
        <sz val="11"/>
        <color rgb="FFFFFFFF"/>
        <rFont val="be Vietnam"/>
        <family val="3"/>
      </rPr>
      <t xml:space="preserve">CASHLOAN
</t>
    </r>
    <r>
      <rPr>
        <i/>
        <sz val="11"/>
        <color rgb="FFFFFFFF"/>
        <rFont val="be Vietnam"/>
        <family val="3"/>
      </rPr>
      <t xml:space="preserve"> (bn VND)</t>
    </r>
  </si>
  <si>
    <t>Nov-24</t>
  </si>
  <si>
    <t>Dec-24</t>
  </si>
  <si>
    <t>FY 2025</t>
  </si>
  <si>
    <t>Balance indue</t>
  </si>
  <si>
    <t>Balance overdue</t>
  </si>
  <si>
    <t>TOI from Interest income</t>
  </si>
  <si>
    <t>TOI from Fee Income</t>
  </si>
  <si>
    <t>TOI from WO</t>
  </si>
  <si>
    <t>PROVISION COST</t>
  </si>
  <si>
    <t>Variable expense</t>
  </si>
  <si>
    <t>-</t>
  </si>
  <si>
    <t>Other (SMS, NFC)</t>
  </si>
  <si>
    <t>NQH/Balance</t>
  </si>
  <si>
    <t>% Attention debts (#2)</t>
  </si>
  <si>
    <t>NPL theo CAKE</t>
  </si>
  <si>
    <t>NPL theo CIC</t>
  </si>
  <si>
    <r>
      <rPr>
        <b/>
        <sz val="11"/>
        <color rgb="FFFFFFFF"/>
        <rFont val="be Vietnam"/>
        <family val="3"/>
      </rPr>
      <t xml:space="preserve">OD
</t>
    </r>
    <r>
      <rPr>
        <i/>
        <sz val="11"/>
        <color rgb="FFFFFFFF"/>
        <rFont val="be Vietnam"/>
        <family val="3"/>
      </rPr>
      <t xml:space="preserve"> (bn VND)</t>
    </r>
  </si>
  <si>
    <t>Balance (Staff)</t>
  </si>
  <si>
    <t>Balance (Mass)</t>
  </si>
  <si>
    <t>Variable Expenses</t>
  </si>
  <si>
    <r>
      <rPr>
        <b/>
        <sz val="11"/>
        <color rgb="FFFFFFFF"/>
        <rFont val="be Vietnam"/>
        <family val="3"/>
      </rPr>
      <t xml:space="preserve">PAYDAY
</t>
    </r>
    <r>
      <rPr>
        <i/>
        <sz val="11"/>
        <color rgb="FFFFFFFF"/>
        <rFont val="be Vietnam"/>
        <family val="3"/>
      </rPr>
      <t xml:space="preserve"> (bn VND)</t>
    </r>
  </si>
  <si>
    <t>TOI of Payday</t>
  </si>
  <si>
    <t>TOI Interest income</t>
  </si>
  <si>
    <t>TOI Fee Income</t>
  </si>
  <si>
    <t>Variable Expense</t>
  </si>
  <si>
    <r>
      <rPr>
        <b/>
        <sz val="11"/>
        <color rgb="FFFFFFFF"/>
        <rFont val="be Vietnam"/>
        <family val="3"/>
      </rPr>
      <t xml:space="preserve">LENDING
</t>
    </r>
    <r>
      <rPr>
        <i/>
        <sz val="11"/>
        <color rgb="FFFFFFFF"/>
        <rFont val="be Vietnam"/>
        <family val="3"/>
      </rPr>
      <t xml:space="preserve"> (bn VND)</t>
    </r>
  </si>
  <si>
    <t>Dec -25 Plan</t>
  </si>
  <si>
    <t>Balance due</t>
  </si>
  <si>
    <t>TOI of Lending</t>
  </si>
  <si>
    <t>Varibable Expenses</t>
  </si>
  <si>
    <t>Other (SMS, NFC,PR)</t>
  </si>
  <si>
    <t>Liability
 (bn VND)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</si>
  <si>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</si>
  <si>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</si>
  <si>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</si>
  <si>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</si>
  <si>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</si>
  <si>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</si>
  <si>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</si>
  <si>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</si>
  <si>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</si>
  <si>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</si>
  <si>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</si>
  <si>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</si>
  <si>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+/-BG2</t>
  </si>
  <si>
    <t>Column1</t>
  </si>
  <si>
    <t>Column2</t>
  </si>
  <si>
    <r>
      <rPr>
        <b/>
        <sz val="11"/>
        <color rgb="FFFFFFFF"/>
        <rFont val="be Vietnam"/>
        <family val="3"/>
      </rPr>
      <t xml:space="preserve">LIABILITY
</t>
    </r>
    <r>
      <rPr>
        <i/>
        <sz val="11"/>
        <color rgb="FFFFFFFF"/>
        <rFont val="be Vietnam"/>
        <family val="3"/>
      </rPr>
      <t xml:space="preserve"> (bn VND)</t>
    </r>
  </si>
  <si>
    <t>TOI Casa</t>
  </si>
  <si>
    <t>FTP</t>
  </si>
  <si>
    <t>Interest pay to customers</t>
  </si>
  <si>
    <t>TOI TD</t>
  </si>
  <si>
    <t>Cashback TD</t>
  </si>
  <si>
    <t>TOI Deposit (Casa &amp; TD)</t>
  </si>
  <si>
    <t>TOI Fee income</t>
  </si>
  <si>
    <t>Growth cost</t>
  </si>
  <si>
    <t>Promotion of deposit</t>
  </si>
  <si>
    <t>Sharing expense</t>
  </si>
  <si>
    <t>Allocation cost</t>
  </si>
  <si>
    <t>Indirect cost</t>
  </si>
  <si>
    <t>FEE
 (bn VND)</t>
  </si>
  <si>
    <t>Operation expenses</t>
  </si>
  <si>
    <t>Sharing expenses</t>
  </si>
  <si>
    <r>
      <rPr>
        <b/>
        <sz val="11"/>
        <color theme="0"/>
        <rFont val="be Vietnam"/>
        <family val="3"/>
      </rPr>
      <t>C-Ticket</t>
    </r>
    <r>
      <rPr>
        <i/>
        <sz val="11"/>
        <color theme="0"/>
        <rFont val="be Vietnam"/>
        <family val="3"/>
      </rPr>
      <t xml:space="preserve">
 (bn VND)</t>
    </r>
  </si>
  <si>
    <t>kan-24</t>
  </si>
  <si>
    <t>Feb-24</t>
  </si>
  <si>
    <t>Mar-24</t>
  </si>
  <si>
    <t>Apr-24</t>
  </si>
  <si>
    <t>May-24</t>
  </si>
  <si>
    <t>kun-24</t>
  </si>
  <si>
    <t>kun-24 Plan</t>
  </si>
  <si>
    <t>YTD 2024 Plan</t>
  </si>
  <si>
    <t>FY 2024 Plan</t>
  </si>
  <si>
    <r>
      <rPr>
        <b/>
        <sz val="11"/>
        <color rgb="FFFFFFFF"/>
        <rFont val="be Vietnam"/>
        <family val="3"/>
      </rPr>
      <t xml:space="preserve">CASHLOAN VDS
</t>
    </r>
    <r>
      <rPr>
        <i/>
        <sz val="11"/>
        <color rgb="FFFFFFFF"/>
        <rFont val="be Vietnam"/>
        <family val="3"/>
      </rPr>
      <t xml:space="preserve"> (bn VND)</t>
    </r>
  </si>
  <si>
    <t>TOI of Cashloan</t>
  </si>
  <si>
    <t>Other (orion,sms)</t>
  </si>
  <si>
    <r>
      <rPr>
        <b/>
        <sz val="11"/>
        <color rgb="FFFFFFFF"/>
        <rFont val="be Vietnam"/>
        <family val="3"/>
      </rPr>
      <t xml:space="preserve">CASHLOAN CAKE
</t>
    </r>
    <r>
      <rPr>
        <i/>
        <sz val="11"/>
        <color rgb="FFFFFFFF"/>
        <rFont val="be Vietnam"/>
        <family val="3"/>
      </rPr>
      <t xml:space="preserve"> (bn VND)</t>
    </r>
  </si>
  <si>
    <t>Balance nợ nhóm 2</t>
  </si>
  <si>
    <t>Other (NFC,SMS)</t>
  </si>
  <si>
    <t>NPL CAKE</t>
  </si>
  <si>
    <t>NPL CIC</t>
  </si>
  <si>
    <r>
      <rPr>
        <b/>
        <sz val="11"/>
        <color rgb="FFFFFFFF"/>
        <rFont val="be Vietnam"/>
        <family val="3"/>
      </rPr>
      <t xml:space="preserve">CASHLOAN MWG
</t>
    </r>
    <r>
      <rPr>
        <i/>
        <sz val="11"/>
        <color rgb="FFFFFFFF"/>
        <rFont val="be Vietnam"/>
        <family val="3"/>
      </rPr>
      <t xml:space="preserve"> (bn VND)</t>
    </r>
  </si>
  <si>
    <r>
      <rPr>
        <b/>
        <sz val="11"/>
        <color rgb="FFFFFFFF"/>
        <rFont val="be Vietnam"/>
        <family val="3"/>
      </rPr>
      <t xml:space="preserve">CASHLOAN VNPAY
</t>
    </r>
    <r>
      <rPr>
        <i/>
        <sz val="11"/>
        <color rgb="FFFFFFFF"/>
        <rFont val="be Vietnam"/>
        <family val="3"/>
      </rPr>
      <t xml:space="preserve"> (bn VND)</t>
    </r>
  </si>
  <si>
    <r>
      <rPr>
        <b/>
        <sz val="11"/>
        <color rgb="FFFFFFFF"/>
        <rFont val="be Vietnam"/>
        <family val="3"/>
      </rPr>
      <t xml:space="preserve">CASHLOAN ZALOPAY
</t>
    </r>
    <r>
      <rPr>
        <i/>
        <sz val="11"/>
        <color rgb="FFFFFFFF"/>
        <rFont val="be Vietnam"/>
        <family val="3"/>
      </rPr>
      <t xml:space="preserve"> (bn VND)</t>
    </r>
  </si>
  <si>
    <t>Other (NFC, SMS)</t>
  </si>
  <si>
    <r>
      <rPr>
        <b/>
        <sz val="11"/>
        <color rgb="FFFFFFFF"/>
        <rFont val="be Vietnam"/>
        <family val="3"/>
      </rPr>
      <t xml:space="preserve">PAYDAY VIETTEL
</t>
    </r>
    <r>
      <rPr>
        <i/>
        <sz val="11"/>
        <color rgb="FFFFFFFF"/>
        <rFont val="be Vietnam"/>
        <family val="3"/>
      </rPr>
      <t xml:space="preserve"> (bn VND)</t>
    </r>
  </si>
  <si>
    <t>PROVISION EXPENSES</t>
  </si>
  <si>
    <r>
      <rPr>
        <b/>
        <sz val="11"/>
        <color rgb="FFFFFFFF"/>
        <rFont val="be Vietnam"/>
        <family val="3"/>
      </rPr>
      <t xml:space="preserve">PAYDAY CAKE
</t>
    </r>
    <r>
      <rPr>
        <i/>
        <sz val="11"/>
        <color rgb="FFFFFFFF"/>
        <rFont val="be Vietnam"/>
        <family val="3"/>
      </rPr>
      <t xml:space="preserve"> (bn VND)</t>
    </r>
  </si>
  <si>
    <t>VARIABLE EXPENSES</t>
  </si>
  <si>
    <r>
      <rPr>
        <b/>
        <sz val="11"/>
        <color theme="0"/>
        <rFont val="be Vietnam"/>
        <family val="3"/>
      </rPr>
      <t xml:space="preserve">Credit card_Be channel
</t>
    </r>
    <r>
      <rPr>
        <i/>
        <sz val="11"/>
        <color theme="0"/>
        <rFont val="be Vietnam"/>
        <family val="3"/>
      </rPr>
      <t xml:space="preserve"> (bn VND)</t>
    </r>
  </si>
  <si>
    <t>Orion</t>
  </si>
  <si>
    <r>
      <rPr>
        <b/>
        <sz val="11"/>
        <color theme="0"/>
        <rFont val="be Vietnam"/>
        <family val="3"/>
      </rPr>
      <t xml:space="preserve">Be paylater
</t>
    </r>
    <r>
      <rPr>
        <i/>
        <sz val="11"/>
        <color theme="0"/>
        <rFont val="be Vietnam"/>
        <family val="3"/>
      </rPr>
      <t xml:space="preserve"> (bn VND)</t>
    </r>
  </si>
  <si>
    <r>
      <rPr>
        <b/>
        <sz val="11"/>
        <color rgb="FFFFFFFF"/>
        <rFont val="be Vietnam"/>
        <family val="3"/>
      </rPr>
      <t xml:space="preserve">CASHLOAN BE
</t>
    </r>
    <r>
      <rPr>
        <i/>
        <sz val="11"/>
        <color rgb="FFFFFFFF"/>
        <rFont val="be Vietnam"/>
        <family val="3"/>
      </rPr>
      <t xml:space="preserve"> (bn VND)</t>
    </r>
  </si>
  <si>
    <r>
      <rPr>
        <b/>
        <sz val="11"/>
        <color theme="0"/>
        <rFont val="be Vietnam"/>
        <family val="3"/>
      </rPr>
      <t xml:space="preserve">BE ALL
</t>
    </r>
    <r>
      <rPr>
        <i/>
        <sz val="11"/>
        <color theme="0"/>
        <rFont val="be Vietnam"/>
        <family val="3"/>
      </rPr>
      <t xml:space="preserve"> (bn VND)</t>
    </r>
  </si>
  <si>
    <t xml:space="preserve"> Credit card</t>
  </si>
  <si>
    <t xml:space="preserve"> Paylater</t>
  </si>
  <si>
    <t>Orion+SMS</t>
  </si>
  <si>
    <t>CASHLOAN</t>
  </si>
  <si>
    <t>Số balance quá hạn &gt; 90 ngày (theo CAJE)</t>
  </si>
  <si>
    <t>Balance quá hạn từ nhóm 2</t>
  </si>
  <si>
    <t>Số balance quá hạn &gt; 90 ngày (theo CIC)</t>
  </si>
  <si>
    <t>Balance quá hạn nhóm 2 sau CIC</t>
  </si>
  <si>
    <t>MarKeting acquisition cost</t>
  </si>
  <si>
    <t>amount</t>
  </si>
  <si>
    <t>%npl</t>
  </si>
  <si>
    <t>balance</t>
  </si>
  <si>
    <t>balance dpd &gt;90</t>
  </si>
  <si>
    <t>od</t>
  </si>
  <si>
    <t>Cashloan with CAJE</t>
  </si>
  <si>
    <t>PAYDAY</t>
  </si>
  <si>
    <t>ZLPAY</t>
  </si>
  <si>
    <t>BE</t>
  </si>
  <si>
    <t>CHECK</t>
  </si>
  <si>
    <t>OTHER</t>
  </si>
  <si>
    <t>Provision cost</t>
  </si>
  <si>
    <t>Sharing expenses/CAC</t>
  </si>
  <si>
    <r>
      <rPr>
        <b/>
        <sz val="11"/>
        <color rgb="FFFFFFFF"/>
        <rFont val="be Vietnam"/>
        <family val="3"/>
      </rPr>
      <t xml:space="preserve">PAYLATER
</t>
    </r>
    <r>
      <rPr>
        <i/>
        <sz val="11"/>
        <color rgb="FFFFFFFF"/>
        <rFont val="be Vietnam"/>
        <family val="3"/>
      </rPr>
      <t xml:space="preserve"> (bn VND)</t>
    </r>
  </si>
  <si>
    <t>PNL theo sản phẩm</t>
  </si>
  <si>
    <t>Year 2025</t>
  </si>
  <si>
    <t>eKYC/rar</t>
  </si>
  <si>
    <t>Indirect system cost (IT cost)</t>
  </si>
  <si>
    <t>Checking</t>
  </si>
  <si>
    <t>Summary Finance Performance</t>
  </si>
  <si>
    <t>VND bn</t>
  </si>
  <si>
    <t>Interest income</t>
  </si>
  <si>
    <t>Sharing to partner</t>
  </si>
  <si>
    <t>OVERHEAD EXPENSES</t>
  </si>
  <si>
    <t>Detail Product Output</t>
  </si>
  <si>
    <t>Liabilities NII</t>
  </si>
  <si>
    <t>Registered Account</t>
  </si>
  <si>
    <t>000</t>
  </si>
  <si>
    <t>New Registered Account</t>
  </si>
  <si>
    <t>Active Account</t>
  </si>
  <si>
    <t>New number of account</t>
  </si>
  <si>
    <t>Casa Cake balance</t>
  </si>
  <si>
    <t>Casa Partner  balance</t>
  </si>
  <si>
    <t>Interest expense</t>
  </si>
  <si>
    <t>NIIM</t>
  </si>
  <si>
    <t>Term deposit</t>
  </si>
  <si>
    <t>TD Account (Balance &gt;0)</t>
  </si>
  <si>
    <t>TD contracts</t>
  </si>
  <si>
    <t>TD Partner Balance</t>
  </si>
  <si>
    <t>Other expense (cash back)</t>
  </si>
  <si>
    <t>FEES</t>
  </si>
  <si>
    <t>Active transaction account number</t>
  </si>
  <si>
    <t>#Payoo Bill Payment</t>
  </si>
  <si>
    <t>#Payoo Mobile Top-up</t>
  </si>
  <si>
    <t>#VNPay Bill payment</t>
  </si>
  <si>
    <t>#VNPay topup</t>
  </si>
  <si>
    <t>#VNPay QR pay</t>
  </si>
  <si>
    <t>#Napas topup</t>
  </si>
  <si>
    <t># Napas transfer</t>
  </si>
  <si>
    <t>#Vietlot</t>
  </si>
  <si>
    <t>#Traveloka</t>
  </si>
  <si>
    <t>#DC investment</t>
  </si>
  <si>
    <t>#VPBS investment</t>
  </si>
  <si>
    <t>Transaction Volume</t>
  </si>
  <si>
    <t># Napas cashout</t>
  </si>
  <si>
    <t>Transaction value</t>
  </si>
  <si>
    <t>Vnpay</t>
  </si>
  <si>
    <t>Top-up</t>
  </si>
  <si>
    <t>Napas</t>
  </si>
  <si>
    <t>Transfer cashout</t>
  </si>
  <si>
    <t>QR pay VNPay</t>
  </si>
  <si>
    <t>DC Investment balance</t>
  </si>
  <si>
    <t>VPBS transaction value</t>
  </si>
  <si>
    <t>Payment fee income</t>
  </si>
  <si>
    <t>Income from VNPay</t>
  </si>
  <si>
    <t>Income from Napas</t>
  </si>
  <si>
    <t>Income from Vietlot</t>
  </si>
  <si>
    <t>Income from Traveloka</t>
  </si>
  <si>
    <t>Income from Payoo</t>
  </si>
  <si>
    <t>Bill payment</t>
  </si>
  <si>
    <t>Fee expenses</t>
  </si>
  <si>
    <t>Payment fee expenses</t>
  </si>
  <si>
    <t>Napas fee</t>
  </si>
  <si>
    <t>VNPay fee</t>
  </si>
  <si>
    <t>Payoo fee</t>
  </si>
  <si>
    <t>Other expenses</t>
  </si>
  <si>
    <t>Check lại</t>
  </si>
  <si>
    <t>Number of disbursement</t>
  </si>
  <si>
    <t>Active loan disbursement</t>
  </si>
  <si>
    <t>Disbursement value</t>
  </si>
  <si>
    <t>Balance value</t>
  </si>
  <si>
    <t>Net Income Income</t>
  </si>
  <si>
    <t>Cost of Fund</t>
  </si>
  <si>
    <t>Early terminate fee</t>
  </si>
  <si>
    <t>Loan grant fee</t>
  </si>
  <si>
    <t>Collected after WO</t>
  </si>
  <si>
    <t>Commission fee</t>
  </si>
  <si>
    <t>Mindue fee</t>
  </si>
  <si>
    <t>Suppended fee income</t>
  </si>
  <si>
    <t>Others TOI</t>
  </si>
  <si>
    <t>Econtract</t>
  </si>
  <si>
    <t>CAC</t>
  </si>
  <si>
    <t>Profit sharing</t>
  </si>
  <si>
    <t>Profit before allocation costs</t>
  </si>
  <si>
    <t>NQH</t>
  </si>
  <si>
    <t>NPL (CAKE only)</t>
  </si>
  <si>
    <t>%</t>
  </si>
  <si>
    <t>NQH (CAKE only)</t>
  </si>
  <si>
    <t>Provision accummulated per year</t>
  </si>
  <si>
    <t>Provision/ANR</t>
  </si>
  <si>
    <t>TOTAL</t>
  </si>
  <si>
    <t>Number of loan disbursement</t>
  </si>
  <si>
    <t>Risk cost</t>
  </si>
  <si>
    <t>Collected after risk cost provided</t>
  </si>
  <si>
    <t>Profit before overhead cost</t>
  </si>
  <si>
    <t>Cash loan (VDS, BEG)</t>
  </si>
  <si>
    <t>Number of cashloan disbursement</t>
  </si>
  <si>
    <t>Active cashloan disbursement</t>
  </si>
  <si>
    <t>Risk cost DPD180</t>
  </si>
  <si>
    <t>Collected after DPD180</t>
  </si>
  <si>
    <t>Cashloan (VNP, MWG, FPT, NGS, Others)</t>
  </si>
  <si>
    <t>Risk cost DPD90</t>
  </si>
  <si>
    <t>Collected after DPD90</t>
  </si>
  <si>
    <t>Cashloan (CAKE)</t>
  </si>
  <si>
    <t>Net Fee income</t>
  </si>
  <si>
    <t>Latepayment fee</t>
  </si>
  <si>
    <t>Payday 50% (VDS)</t>
  </si>
  <si>
    <t>Active payday disbursement</t>
  </si>
  <si>
    <t>Risk cost DPD91</t>
  </si>
  <si>
    <t>Payday 30%</t>
  </si>
  <si>
    <t>OVERDRAFT</t>
  </si>
  <si>
    <t>Staff balance</t>
  </si>
  <si>
    <t>Mass balance</t>
  </si>
  <si>
    <t>Underwritting expenses</t>
  </si>
  <si>
    <t>Collection expenses</t>
  </si>
  <si>
    <t>x</t>
  </si>
  <si>
    <t>PAYLATER</t>
  </si>
  <si>
    <t>Active paylater</t>
  </si>
  <si>
    <t>Paylater 50% (VDS, BEG)</t>
  </si>
  <si>
    <t>New Account</t>
  </si>
  <si>
    <t>Active loan</t>
  </si>
  <si>
    <t>Disbursement value/spending value</t>
  </si>
  <si>
    <t>Non EMI balance</t>
  </si>
  <si>
    <t>EMI balance</t>
  </si>
  <si>
    <t>Paylater 30% (MWG)</t>
  </si>
  <si>
    <t>Paylater 10% TOI (VNPAY)</t>
  </si>
  <si>
    <t>TWO-WHEEL</t>
  </si>
  <si>
    <t>TW Total</t>
  </si>
  <si>
    <t>Two Wheel 50%</t>
  </si>
  <si>
    <t>TW 30% (Chotot)</t>
  </si>
  <si>
    <t>Consumer Durable</t>
  </si>
  <si>
    <t>Consumer Durable (TOTAL)</t>
  </si>
  <si>
    <t>Consumer Durable (VDS)</t>
  </si>
  <si>
    <t>Consumer durable (FPT, MWG…..)</t>
  </si>
  <si>
    <t>Profit after provision</t>
  </si>
  <si>
    <t>Consumer durable (Partnership)</t>
  </si>
  <si>
    <t>#</t>
  </si>
  <si>
    <t># Active credit cards</t>
  </si>
  <si>
    <t>Total Spending</t>
  </si>
  <si>
    <t>Fee on cash advanced</t>
  </si>
  <si>
    <t>Fee on late payment</t>
  </si>
  <si>
    <t>FX mark-up</t>
  </si>
  <si>
    <t>Reissue card fee</t>
  </si>
  <si>
    <t>BPC servicing cost</t>
  </si>
  <si>
    <t>Visa collecting fee</t>
  </si>
  <si>
    <t>Card issuance, package, delivery</t>
  </si>
  <si>
    <t>Promotion cost (Usage cost)</t>
  </si>
  <si>
    <t>CAKE CHANEL</t>
  </si>
  <si>
    <t>ANR</t>
  </si>
  <si>
    <t>Revolving ANR</t>
  </si>
  <si>
    <t>Riskcost DPD90+</t>
  </si>
  <si>
    <t>Collected after DPD90+</t>
  </si>
  <si>
    <t>PARTNER CHANELS</t>
  </si>
  <si>
    <t>TOTAL PARTNER</t>
  </si>
  <si>
    <t>Partner 50% (VDS-BEG)</t>
  </si>
  <si>
    <t>30% Sharing ( Vieon,…)</t>
  </si>
  <si>
    <t>DEBIT CARD</t>
  </si>
  <si>
    <t>Number of new cards</t>
  </si>
  <si>
    <t>Number of accumulated cards</t>
  </si>
  <si>
    <t>Number of activate cards</t>
  </si>
  <si>
    <t>Number of active cards</t>
  </si>
  <si>
    <t>Total spending</t>
  </si>
  <si>
    <t>Reissuance fee</t>
  </si>
  <si>
    <t>Cashwithdraw</t>
  </si>
  <si>
    <t>Other fee incomes</t>
  </si>
  <si>
    <t>PBC fee</t>
  </si>
  <si>
    <t>Processsing fee (MC, Visa…)</t>
  </si>
  <si>
    <t>Other fee expenses</t>
  </si>
  <si>
    <t>CC</t>
  </si>
  <si>
    <t>Product Output</t>
  </si>
  <si>
    <t>TOI Deposit</t>
  </si>
  <si>
    <t>CAC for TD</t>
  </si>
  <si>
    <t>Tỷ lệ TD từ các partner</t>
  </si>
  <si>
    <t>Balance từ partner</t>
  </si>
  <si>
    <t>Expenses for partners</t>
  </si>
  <si>
    <t xml:space="preserve">Fee Income </t>
  </si>
  <si>
    <t>Micro investment income (DC + VPBS + ...)</t>
  </si>
  <si>
    <t>Insurance (Excluded Insurance from Lending/Card products)</t>
  </si>
  <si>
    <t xml:space="preserve">Smart OTP Income </t>
  </si>
  <si>
    <t>Lending NII</t>
  </si>
  <si>
    <t>Vay kỳ hạn (CASHLOAN)</t>
  </si>
  <si>
    <t>Direct sales &amp; Ops team</t>
  </si>
  <si>
    <t>Auto Loan</t>
  </si>
  <si>
    <t>Credit Loss</t>
  </si>
  <si>
    <t>Vay ngắn ngày (PAYDAY)</t>
  </si>
  <si>
    <t>Phí cấp mở tài khoản</t>
  </si>
  <si>
    <t>TW Mass</t>
  </si>
  <si>
    <t>Fee pay for dealer</t>
  </si>
  <si>
    <t>TW Vinfast</t>
  </si>
  <si>
    <t>Fee hỗ trợ từ Vinfast</t>
  </si>
  <si>
    <t>=S106+S129+S152+S83+S84+sum(</t>
  </si>
  <si>
    <t>TOTAL TW</t>
  </si>
  <si>
    <t>Fee trả cho đại lý</t>
  </si>
  <si>
    <t>Loan balance</t>
  </si>
  <si>
    <t>Risk expenses per month</t>
  </si>
  <si>
    <t>Risk expenses accumulated</t>
  </si>
  <si>
    <t>TOTAL Lending</t>
  </si>
  <si>
    <t>Credit Card Income</t>
  </si>
  <si>
    <t>Credit card - Cake channel</t>
  </si>
  <si>
    <t>Number of active credit card</t>
  </si>
  <si>
    <t>ANR theo port cũ</t>
  </si>
  <si>
    <t>ANR theo port mới 2024</t>
  </si>
  <si>
    <t>Revolving từ port cũ</t>
  </si>
  <si>
    <t>Revolving từ port mới 2024</t>
  </si>
  <si>
    <t>Usage cost</t>
  </si>
  <si>
    <t>CAC for card from Cake</t>
  </si>
  <si>
    <t>VND 000</t>
  </si>
  <si>
    <t xml:space="preserve">Profit before provision </t>
  </si>
  <si>
    <t>Provision expenses per month</t>
  </si>
  <si>
    <t xml:space="preserve">Profit after provision </t>
  </si>
  <si>
    <t>Credit card - partnership - profit sharing</t>
  </si>
  <si>
    <t xml:space="preserve"> VND bn </t>
  </si>
  <si>
    <t>CREDIT CARD IN TOTAL</t>
  </si>
  <si>
    <t>Indirect supporting cost</t>
  </si>
  <si>
    <t>Liability Transaction Income/Expense</t>
  </si>
  <si>
    <t>QR fee</t>
  </si>
  <si>
    <t>TOI of Payment</t>
  </si>
  <si>
    <t>Fee from debit card</t>
  </si>
  <si>
    <t>Ecommerce payment - domestic</t>
  </si>
  <si>
    <t>Ecommerce payment - fx</t>
  </si>
  <si>
    <t>Debit card reissuance fee</t>
  </si>
  <si>
    <t>Debit card expenses</t>
  </si>
  <si>
    <t>Visa processing refund</t>
  </si>
  <si>
    <t>TOI of debit card</t>
  </si>
  <si>
    <t>Card issuance</t>
  </si>
  <si>
    <t>Total Income</t>
  </si>
  <si>
    <t>Total Expense</t>
  </si>
  <si>
    <t>Infrastructure + Software</t>
  </si>
  <si>
    <t>Mambu Fee</t>
  </si>
  <si>
    <t>OD theo CAKE</t>
  </si>
  <si>
    <t>Tháng 11</t>
  </si>
  <si>
    <t>Tháng 12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</si>
  <si>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</si>
  <si>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</si>
  <si>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</si>
  <si>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</si>
  <si>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</si>
  <si>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</si>
  <si>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</si>
  <si>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</si>
  <si>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</si>
  <si>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</si>
  <si>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Số lượng</t>
  </si>
  <si>
    <t>Dư nợ gốc</t>
  </si>
  <si>
    <t>TỔNG</t>
  </si>
  <si>
    <t>OD theo CIC</t>
  </si>
  <si>
    <t>Trích dự phòng</t>
  </si>
  <si>
    <t>PAYDAY THEO CAKE</t>
  </si>
  <si>
    <t>PAYDAY THEO CIC</t>
  </si>
  <si>
    <t>CASHLOAN VIETTEL THEO CAKE</t>
  </si>
  <si>
    <t>CASHLOAN VIETTEL THEO CIC</t>
  </si>
  <si>
    <t>CASHLOAN BE THEO CAKE</t>
  </si>
  <si>
    <t>CASHLOAN BE THEO CIC</t>
  </si>
  <si>
    <t>CASHLOAN NGS THEO CAKE</t>
  </si>
  <si>
    <t> </t>
  </si>
  <si>
    <t xml:space="preserve"> -   </t>
  </si>
  <si>
    <t>CASHLOAN NGS THEO CIC</t>
  </si>
  <si>
    <t>CASHLOAN CAKE THEO CAKE</t>
  </si>
  <si>
    <t>CASHLOAN CAKE THEO CIC</t>
  </si>
  <si>
    <t>CASHLOAN MWG THEO CAKE</t>
  </si>
  <si>
    <t>CASHLOAN MWG THEO CIC</t>
  </si>
  <si>
    <t>CASHLOAN VNPAY THEO CAKE</t>
  </si>
  <si>
    <t>CASHLOAN VNPAY THEO CIC</t>
  </si>
  <si>
    <t>CREDIT CARD</t>
  </si>
  <si>
    <t>Bảng 1 : Phân loại thẻ credit theo DPD Cake theo dư nợ gốc</t>
  </si>
  <si>
    <t>Nhóm nợ</t>
  </si>
  <si>
    <t>Tháng 01</t>
  </si>
  <si>
    <t>Tháng 02</t>
  </si>
  <si>
    <t>Tháng 03</t>
  </si>
  <si>
    <t>Thang 04</t>
  </si>
  <si>
    <t>Thang 05</t>
  </si>
  <si>
    <t>Thang 6</t>
  </si>
  <si>
    <t>Thang 7</t>
  </si>
  <si>
    <t>Thang 8</t>
  </si>
  <si>
    <t>Thang 9</t>
  </si>
  <si>
    <t>Thang 10</t>
  </si>
  <si>
    <t>Bảng 2: Phân loại thẻ credit theo theo CIC</t>
  </si>
  <si>
    <t>Thang 03</t>
  </si>
  <si>
    <t>Thang 11</t>
  </si>
  <si>
    <t>Thang 12</t>
  </si>
  <si>
    <t>Số tiền trích BS. HN</t>
  </si>
  <si>
    <t>Số tiền trích BS 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</si>
</sst>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_-* #,##0.00\ _₫_-;\-* #,##0.00\ _₫_-;_-* &quot;-&quot;??\ _₫_-;_-@_-"/>
    <numFmt numFmtId="169" formatCode="_-[$€]* #,##0.00_-;\-[$€]* #,##0.00_-;_-[$€]* &quot;-&quot;??_-;_-@_-"/>
    <numFmt numFmtId="170" formatCode="_(* #,##0.0_);_(* \(#,##0.0\);_(* &quot;-&quot;?_);_(@_)"/>
    <numFmt numFmtId="171" formatCode="_(* #,##0.000_);_(* \(#,##0.000\);_(* &quot;-&quot;??_);_(@_)"/>
    <numFmt numFmtId="172" formatCode="_-* #,##0.0_-;\-* #,##0.0_-;_-* &quot;-&quot;?_-;_-@_-"/>
    <numFmt numFmtId="173" formatCode="_-* #,##0_-;\-* #,##0_-;_-* &quot;-&quot;??_-;_-@_-"/>
    <numFmt numFmtId="174" formatCode="[$-409]mmm\-yy;@"/>
    <numFmt numFmtId="175" formatCode="_(* #,##0.00000_);_(* \(#,##0.00000\);_(* &quot;-&quot;??_);_(@_)"/>
    <numFmt numFmtId="176" formatCode="_-* #,##0.0_-;\-* #,##0.0_-;_-* &quot;-&quot;??_-;_-@_-"/>
    <numFmt numFmtId="177" formatCode="0.000%"/>
    <numFmt numFmtId="178" formatCode="0.0"/>
    <numFmt numFmtId="179" formatCode="_(* #,##0.0000_);_(* \(#,##0.0000\);_(* &quot;-&quot;??_);_(@_)"/>
    <numFmt numFmtId="180" formatCode="_-* #,##0.00000_-;\-* #,##0.00000_-;_-* &quot;-&quot;??_-;_-@_-"/>
    <numFmt numFmtId="181" formatCode="_(* #,##0.000_);_(* \(#,##0.000\);_(* &quot;-&quot;???_);_(@_)"/>
    <numFmt numFmtId="182" formatCode="_(* #,##0.000000000_);_(* \(#,##0.000000000\);_(* &quot;-&quot;??_);_(@_)"/>
  </numFmts>
  <fonts count="19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b/>
      <sz val="9"/>
      <color theme="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163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1"/>
      <color theme="0"/>
      <name val="be Vietnam"/>
      <family val="3"/>
    </font>
    <font>
      <b/>
      <sz val="11"/>
      <color theme="0"/>
      <name val="be Vietnam"/>
      <family val="3"/>
    </font>
    <font>
      <b/>
      <sz val="11"/>
      <name val="be Vietnam"/>
      <family val="3"/>
    </font>
    <font>
      <sz val="11"/>
      <color theme="1"/>
      <name val="be Vietnam"/>
      <family val="3"/>
    </font>
    <font>
      <b/>
      <sz val="11"/>
      <color theme="1"/>
      <name val="be Vietnam"/>
      <family val="3"/>
    </font>
    <font>
      <b/>
      <sz val="11"/>
      <color theme="0"/>
      <name val="Calibri Light"/>
      <family val="2"/>
      <scheme val="maj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  <charset val="163"/>
    </font>
    <font>
      <sz val="11"/>
      <name val="Calibri"/>
      <family val="2"/>
    </font>
    <font>
      <sz val="10"/>
      <color rgb="FF000000"/>
      <name val="Calibri"/>
      <family val="2"/>
      <scheme val="minor"/>
    </font>
    <font>
      <b/>
      <sz val="10"/>
      <color rgb="FF3333FF"/>
      <name val="Arial"/>
      <family val="2"/>
    </font>
    <font>
      <b/>
      <sz val="10"/>
      <color rgb="FF00B050"/>
      <name val="Arial"/>
      <family val="2"/>
    </font>
    <font>
      <sz val="10"/>
      <color rgb="FF00B050"/>
      <name val="Arial"/>
      <family val="2"/>
    </font>
    <font>
      <i/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name val="be Vietnam"/>
      <family val="3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0"/>
      <color rgb="FFFFFFFF"/>
      <name val="Calibri"/>
      <family val="2"/>
      <scheme val="minor"/>
    </font>
    <font>
      <b/>
      <i/>
      <sz val="10"/>
      <color theme="1"/>
      <name val="Arial"/>
      <family val="2"/>
    </font>
    <font>
      <b/>
      <sz val="10"/>
      <color rgb="FF833C0C"/>
      <name val="Arial"/>
      <family val="2"/>
    </font>
    <font>
      <sz val="10"/>
      <color rgb="FF833C0C"/>
      <name val="Arial"/>
      <family val="2"/>
    </font>
    <font>
      <i/>
      <sz val="10"/>
      <color rgb="FF833C0C"/>
      <name val="Arial"/>
      <family val="2"/>
    </font>
    <font>
      <b/>
      <i/>
      <sz val="10"/>
      <color rgb="FF833C0C"/>
      <name val="Arial"/>
      <family val="2"/>
    </font>
    <font>
      <b/>
      <i/>
      <sz val="10"/>
      <name val="Arial"/>
      <family val="2"/>
    </font>
    <font>
      <b/>
      <u/>
      <sz val="10"/>
      <color theme="1"/>
      <name val="Arial"/>
      <family val="2"/>
    </font>
    <font>
      <b/>
      <sz val="11"/>
      <name val="Calibri Light"/>
      <family val="2"/>
      <scheme val="major"/>
    </font>
    <font>
      <sz val="11"/>
      <color rgb="FF444444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Roboto"/>
    </font>
    <font>
      <b/>
      <sz val="9"/>
      <color rgb="FF000000"/>
      <name val="Roboto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i/>
      <sz val="10"/>
      <color theme="4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231680"/>
      <name val="be Vietnam"/>
      <family val="3"/>
    </font>
    <font>
      <sz val="11"/>
      <color rgb="FF231680"/>
      <name val="be Vietnam"/>
      <family val="3"/>
    </font>
    <font>
      <sz val="9"/>
      <color theme="1" tint="4.9989318521683403E-2"/>
      <name val="Roboto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Aptos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i/>
      <sz val="11"/>
      <color rgb="FF231680"/>
      <name val="be Vietnam"/>
      <family val="3"/>
    </font>
    <font>
      <i/>
      <sz val="11"/>
      <color theme="1"/>
      <name val="be Vietnam"/>
      <family val="3"/>
    </font>
    <font>
      <b/>
      <sz val="11"/>
      <color rgb="FF000000"/>
      <name val="be Vietnam"/>
      <family val="3"/>
    </font>
    <font>
      <i/>
      <sz val="11"/>
      <color rgb="FFFFFFFF"/>
      <name val="be Vietnam"/>
      <family val="3"/>
    </font>
    <font>
      <b/>
      <sz val="11"/>
      <color rgb="FFFFFFFF"/>
      <name val="be Vietnam"/>
      <family val="3"/>
    </font>
    <font>
      <b/>
      <i/>
      <sz val="11"/>
      <color rgb="FF231680"/>
      <name val="be Vietnam"/>
      <family val="3"/>
    </font>
    <font>
      <i/>
      <sz val="11"/>
      <name val="be Vietnam"/>
      <family val="3"/>
    </font>
    <font>
      <b/>
      <sz val="11"/>
      <color rgb="FF201476"/>
      <name val="be Vietnam"/>
      <family val="3"/>
    </font>
    <font>
      <sz val="11"/>
      <color rgb="FF201476"/>
      <name val="be Vietnam"/>
      <family val="3"/>
    </font>
    <font>
      <b/>
      <sz val="22"/>
      <color rgb="FFFF0000"/>
      <name val="be Vietnam"/>
      <family val="3"/>
    </font>
    <font>
      <i/>
      <sz val="10"/>
      <color rgb="FF00B050"/>
      <name val="Calibri"/>
      <family val="2"/>
      <scheme val="minor"/>
    </font>
    <font>
      <b/>
      <i/>
      <sz val="10"/>
      <color rgb="FF00B050"/>
      <name val="Calibri"/>
      <family val="2"/>
      <scheme val="minor"/>
    </font>
    <font>
      <sz val="10"/>
      <color rgb="FF231680"/>
      <name val="be Vietnam"/>
      <family val="3"/>
    </font>
    <font>
      <sz val="11"/>
      <color rgb="FF00B050"/>
      <name val="Calibri"/>
      <family val="2"/>
      <scheme val="minor"/>
    </font>
    <font>
      <sz val="11"/>
      <color indexed="18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10"/>
      <name val="Calibri Light"/>
      <family val="2"/>
      <scheme val="major"/>
    </font>
    <font>
      <i/>
      <sz val="11"/>
      <color rgb="FF000000"/>
      <name val="Calibri"/>
      <family val="2"/>
      <scheme val="minor"/>
    </font>
    <font>
      <b/>
      <sz val="10"/>
      <color rgb="FF231680"/>
      <name val="be Vietnam"/>
      <family val="3"/>
    </font>
    <font>
      <i/>
      <sz val="10"/>
      <color rgb="FF231680"/>
      <name val="be Vietnam"/>
      <family val="3"/>
    </font>
    <font>
      <b/>
      <sz val="11"/>
      <color rgb="FFFF0000"/>
      <name val="Calibri Light"/>
      <family val="2"/>
      <scheme val="major"/>
    </font>
    <font>
      <b/>
      <sz val="10"/>
      <color theme="0"/>
      <name val="Arial"/>
      <family val="2"/>
    </font>
    <font>
      <b/>
      <sz val="14"/>
      <color theme="1"/>
      <name val="Arial"/>
      <family val="2"/>
    </font>
    <font>
      <sz val="10"/>
      <color theme="4"/>
      <name val="Arial"/>
      <family val="2"/>
    </font>
    <font>
      <b/>
      <sz val="10"/>
      <color theme="4"/>
      <name val="Arial"/>
      <family val="2"/>
    </font>
    <font>
      <sz val="10"/>
      <color theme="4" tint="-0.499984740745262"/>
      <name val="Arial"/>
      <family val="2"/>
    </font>
    <font>
      <sz val="10"/>
      <color theme="5" tint="-0.249977111117893"/>
      <name val="Arial"/>
      <family val="2"/>
    </font>
    <font>
      <sz val="10"/>
      <color theme="5" tint="-0.499984740745262"/>
      <name val="Arial"/>
      <family val="2"/>
    </font>
    <font>
      <sz val="10"/>
      <color rgb="FFFF0000"/>
      <name val="Arial"/>
      <family val="2"/>
    </font>
    <font>
      <sz val="10"/>
      <color rgb="FF3333FF"/>
      <name val="Arial"/>
      <family val="2"/>
    </font>
    <font>
      <sz val="11"/>
      <color rgb="FFF684FA"/>
      <name val="Arial"/>
      <family val="2"/>
    </font>
    <font>
      <sz val="10"/>
      <color rgb="FFF684FA"/>
      <name val="Arial"/>
      <family val="2"/>
    </font>
    <font>
      <sz val="11"/>
      <color theme="4"/>
      <name val="Arial"/>
      <family val="2"/>
    </font>
    <font>
      <b/>
      <sz val="14"/>
      <color rgb="FF3333FF"/>
      <name val="Arial"/>
      <family val="2"/>
    </font>
    <font>
      <i/>
      <sz val="10"/>
      <color theme="4"/>
      <name val="Arial"/>
      <family val="2"/>
    </font>
    <font>
      <b/>
      <sz val="10"/>
      <color rgb="FF000000"/>
      <name val="Arial"/>
      <family val="2"/>
    </font>
    <font>
      <b/>
      <sz val="1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theme="4" tint="-0.499984740745262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1"/>
      <name val="Calibri"/>
      <family val="2"/>
      <charset val="134"/>
      <scheme val="minor"/>
    </font>
    <font>
      <i/>
      <sz val="10"/>
      <color theme="1"/>
      <name val="Calibri"/>
      <family val="2"/>
      <charset val="134"/>
      <scheme val="minor"/>
    </font>
    <font>
      <b/>
      <sz val="10"/>
      <color theme="1"/>
      <name val="Calibri"/>
      <family val="2"/>
      <charset val="134"/>
      <scheme val="minor"/>
    </font>
    <font>
      <b/>
      <sz val="10"/>
      <name val="Calibri"/>
      <family val="2"/>
      <charset val="134"/>
      <scheme val="minor"/>
    </font>
    <font>
      <sz val="10"/>
      <color theme="5" tint="-0.249977111117893"/>
      <name val="Calibri"/>
      <family val="2"/>
      <scheme val="minor"/>
    </font>
    <font>
      <b/>
      <i/>
      <sz val="10"/>
      <color theme="1"/>
      <name val="Calibri"/>
      <family val="2"/>
      <charset val="134"/>
      <scheme val="minor"/>
    </font>
    <font>
      <sz val="10"/>
      <color theme="5" tint="-0.249977111117893"/>
      <name val="Calibri"/>
      <family val="2"/>
      <charset val="134"/>
      <scheme val="minor"/>
    </font>
    <font>
      <sz val="10"/>
      <color rgb="FFFF0000"/>
      <name val="Calibri"/>
      <family val="2"/>
      <scheme val="minor"/>
    </font>
    <font>
      <b/>
      <sz val="10"/>
      <color theme="4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theme="5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rgb="FF242424"/>
      <name val="Consolas"/>
      <family val="3"/>
    </font>
    <font>
      <b/>
      <sz val="11"/>
      <color rgb="FF231680"/>
      <name val="Calibri"/>
      <family val="2"/>
      <scheme val="minor"/>
    </font>
    <font>
      <sz val="10"/>
      <color rgb="FF231680"/>
      <name val="Arial"/>
      <family val="2"/>
    </font>
    <font>
      <i/>
      <sz val="11"/>
      <color rgb="FF231680"/>
      <name val="Calibri"/>
      <family val="2"/>
      <scheme val="minor"/>
    </font>
    <font>
      <b/>
      <sz val="10"/>
      <color rgb="FF231680"/>
      <name val="Arial"/>
      <family val="2"/>
    </font>
    <font>
      <sz val="11"/>
      <color rgb="FF23168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rgb="FF3333FF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name val="Calibri"/>
      <family val="2"/>
      <charset val="134"/>
      <scheme val="minor"/>
    </font>
    <font>
      <sz val="10"/>
      <color theme="4"/>
      <name val="Calibri"/>
      <family val="2"/>
      <charset val="134"/>
      <scheme val="minor"/>
    </font>
    <font>
      <sz val="10"/>
      <color rgb="FF00B050"/>
      <name val="Calibri"/>
      <family val="2"/>
      <charset val="134"/>
      <scheme val="minor"/>
    </font>
    <font>
      <sz val="10"/>
      <color theme="4"/>
      <name val="Calibri"/>
      <family val="2"/>
    </font>
    <font>
      <sz val="11"/>
      <color theme="4"/>
      <name val="Calibri"/>
      <family val="2"/>
    </font>
    <font>
      <b/>
      <sz val="10"/>
      <color theme="4"/>
      <name val="Calibri"/>
      <family val="2"/>
      <charset val="134"/>
      <scheme val="minor"/>
    </font>
    <font>
      <sz val="10"/>
      <color rgb="FFC416C8"/>
      <name val="Calibri"/>
      <family val="2"/>
      <scheme val="minor"/>
    </font>
    <font>
      <sz val="8"/>
      <color rgb="FF00B050"/>
      <name val="Calibri"/>
      <family val="2"/>
      <scheme val="minor"/>
    </font>
    <font>
      <sz val="11"/>
      <color theme="4"/>
      <name val="Aptos Narrow"/>
      <family val="2"/>
    </font>
    <font>
      <b/>
      <sz val="10"/>
      <color rgb="FFC416C8"/>
      <name val="Calibri"/>
      <family val="2"/>
      <scheme val="minor"/>
    </font>
    <font>
      <sz val="10"/>
      <color rgb="FFF684FA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b/>
      <sz val="11"/>
      <color rgb="FF271D7A"/>
      <name val="Arial"/>
      <family val="2"/>
    </font>
    <font>
      <sz val="11"/>
      <color rgb="FF271D7A"/>
      <name val="Arial"/>
      <family val="2"/>
    </font>
    <font>
      <i/>
      <sz val="11"/>
      <color theme="2" tint="-0.499984740745262"/>
      <name val="Arial"/>
      <family val="2"/>
    </font>
    <font>
      <sz val="10"/>
      <color rgb="FF444444"/>
      <name val="Calibri"/>
      <family val="2"/>
      <scheme val="minor"/>
    </font>
    <font>
      <b/>
      <sz val="10"/>
      <color theme="0"/>
      <name val="be Vietnam"/>
      <family val="3"/>
    </font>
    <font>
      <sz val="8"/>
      <name val="Calibri"/>
      <family val="2"/>
      <scheme val="minor"/>
    </font>
    <font>
      <i/>
      <sz val="12"/>
      <color theme="0"/>
      <name val="be Vietnam"/>
      <family val="3"/>
    </font>
    <font>
      <b/>
      <sz val="12"/>
      <color theme="0"/>
      <name val="be Vietnam"/>
      <family val="3"/>
    </font>
    <font>
      <sz val="12"/>
      <color rgb="FF231680"/>
      <name val="be Vietnam"/>
      <family val="3"/>
    </font>
    <font>
      <b/>
      <sz val="12"/>
      <color rgb="FF231680"/>
      <name val="be Vietnam"/>
      <family val="3"/>
    </font>
    <font>
      <b/>
      <sz val="11"/>
      <color theme="0"/>
      <name val="Be v"/>
    </font>
    <font>
      <b/>
      <sz val="12"/>
      <color rgb="FF002060"/>
      <name val="be Vietnam"/>
      <family val="3"/>
    </font>
    <font>
      <i/>
      <sz val="12"/>
      <color rgb="FF002060"/>
      <name val="be Vietnam"/>
      <family val="3"/>
    </font>
    <font>
      <b/>
      <i/>
      <sz val="12"/>
      <color rgb="FF002060"/>
      <name val="be Vietnam"/>
      <family val="3"/>
    </font>
    <font>
      <sz val="12"/>
      <color rgb="FF002060"/>
      <name val="be Vietnam"/>
      <family val="3"/>
    </font>
    <font>
      <sz val="10"/>
      <color rgb="FF00B050"/>
      <name val="Calibri Light"/>
      <family val="2"/>
      <scheme val="major"/>
    </font>
    <font>
      <b/>
      <sz val="11"/>
      <color rgb="FF00B050"/>
      <name val="Calibri"/>
      <family val="2"/>
      <scheme val="minor"/>
    </font>
    <font>
      <sz val="9"/>
      <color rgb="FF3C4043"/>
      <name val="Arial"/>
      <family val="2"/>
    </font>
    <font>
      <sz val="12"/>
      <color rgb="FF000000"/>
      <name val="Times New Roman"/>
      <family val="1"/>
    </font>
  </fonts>
  <fills count="5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7A3"/>
        <bgColor indexed="64"/>
      </patternFill>
    </fill>
    <fill>
      <patternFill patternType="solid">
        <fgColor rgb="FF221F6E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271D7A"/>
        <bgColor indexed="64"/>
      </patternFill>
    </fill>
    <fill>
      <patternFill patternType="solid">
        <fgColor rgb="FFFF37A5"/>
        <bgColor indexed="64"/>
      </patternFill>
    </fill>
    <fill>
      <patternFill patternType="solid">
        <fgColor rgb="FF23168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double">
        <color rgb="FF000000"/>
      </top>
      <bottom/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/>
      <top style="double">
        <color rgb="FF000000"/>
      </top>
      <bottom style="thin">
        <color theme="4" tint="0.39997558519241921"/>
      </bottom>
      <diagonal/>
    </border>
  </borders>
  <cellStyleXfs count="58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4" applyNumberFormat="0" applyFill="0" applyAlignment="0" applyProtection="0"/>
    <xf numFmtId="0" fontId="28" fillId="0" borderId="5" applyNumberFormat="0" applyFill="0" applyAlignment="0" applyProtection="0"/>
    <xf numFmtId="0" fontId="29" fillId="0" borderId="6" applyNumberFormat="0" applyFill="0" applyAlignment="0" applyProtection="0"/>
    <xf numFmtId="0" fontId="29" fillId="0" borderId="0" applyNumberFormat="0" applyFill="0" applyBorder="0" applyAlignment="0" applyProtection="0"/>
    <xf numFmtId="0" fontId="30" fillId="10" borderId="0" applyNumberFormat="0" applyBorder="0" applyAlignment="0" applyProtection="0"/>
    <xf numFmtId="0" fontId="31" fillId="11" borderId="0" applyNumberFormat="0" applyBorder="0" applyAlignment="0" applyProtection="0"/>
    <xf numFmtId="0" fontId="32" fillId="12" borderId="0" applyNumberFormat="0" applyBorder="0" applyAlignment="0" applyProtection="0"/>
    <xf numFmtId="0" fontId="33" fillId="13" borderId="7" applyNumberFormat="0" applyAlignment="0" applyProtection="0"/>
    <xf numFmtId="0" fontId="34" fillId="14" borderId="8" applyNumberFormat="0" applyAlignment="0" applyProtection="0"/>
    <xf numFmtId="0" fontId="35" fillId="14" borderId="7" applyNumberFormat="0" applyAlignment="0" applyProtection="0"/>
    <xf numFmtId="0" fontId="36" fillId="0" borderId="9" applyNumberFormat="0" applyFill="0" applyAlignment="0" applyProtection="0"/>
    <xf numFmtId="0" fontId="2" fillId="15" borderId="10" applyNumberFormat="0" applyAlignment="0" applyProtection="0"/>
    <xf numFmtId="0" fontId="24" fillId="0" borderId="0" applyNumberFormat="0" applyFill="0" applyBorder="0" applyAlignment="0" applyProtection="0"/>
    <xf numFmtId="0" fontId="1" fillId="16" borderId="11" applyNumberFormat="0" applyFont="0" applyAlignment="0" applyProtection="0"/>
    <xf numFmtId="0" fontId="37" fillId="0" borderId="0" applyNumberFormat="0" applyFill="0" applyBorder="0" applyAlignment="0" applyProtection="0"/>
    <xf numFmtId="0" fontId="3" fillId="0" borderId="12" applyNumberFormat="0" applyFill="0" applyAlignment="0" applyProtection="0"/>
    <xf numFmtId="0" fontId="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4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39" fillId="0" borderId="0"/>
    <xf numFmtId="0" fontId="40" fillId="0" borderId="0"/>
    <xf numFmtId="0" fontId="41" fillId="0" borderId="0"/>
    <xf numFmtId="0" fontId="41" fillId="0" borderId="0"/>
    <xf numFmtId="0" fontId="4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3" fillId="0" borderId="0"/>
    <xf numFmtId="0" fontId="43" fillId="0" borderId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42" fillId="0" borderId="0"/>
    <xf numFmtId="164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43" fontId="4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0" fontId="1" fillId="0" borderId="0"/>
    <xf numFmtId="43" fontId="1" fillId="0" borderId="0" applyFont="0" applyFill="0" applyBorder="0" applyAlignment="0" applyProtection="0"/>
    <xf numFmtId="0" fontId="1" fillId="16" borderId="11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41" fillId="0" borderId="0"/>
    <xf numFmtId="0" fontId="1" fillId="0" borderId="0"/>
    <xf numFmtId="0" fontId="1" fillId="0" borderId="0"/>
    <xf numFmtId="43" fontId="44" fillId="0" borderId="0" applyFont="0" applyFill="0" applyBorder="0" applyAlignment="0" applyProtection="0"/>
    <xf numFmtId="0" fontId="44" fillId="0" borderId="0"/>
    <xf numFmtId="0" fontId="1" fillId="0" borderId="0"/>
    <xf numFmtId="43" fontId="44" fillId="0" borderId="0" applyFont="0" applyFill="0" applyBorder="0" applyAlignment="0" applyProtection="0"/>
    <xf numFmtId="43" fontId="43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9" fontId="43" fillId="0" borderId="0">
      <alignment wrapText="1"/>
    </xf>
    <xf numFmtId="0" fontId="41" fillId="0" borderId="0"/>
    <xf numFmtId="169" fontId="1" fillId="0" borderId="0"/>
    <xf numFmtId="0" fontId="45" fillId="0" borderId="0"/>
    <xf numFmtId="169" fontId="43" fillId="0" borderId="0"/>
    <xf numFmtId="0" fontId="41" fillId="0" borderId="0"/>
    <xf numFmtId="169" fontId="1" fillId="0" borderId="0"/>
    <xf numFmtId="0" fontId="4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41" fillId="0" borderId="0"/>
    <xf numFmtId="0" fontId="41" fillId="0" borderId="0"/>
    <xf numFmtId="0" fontId="4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1" fillId="0" borderId="0"/>
    <xf numFmtId="0" fontId="40" fillId="0" borderId="0"/>
    <xf numFmtId="169" fontId="1" fillId="0" borderId="0"/>
    <xf numFmtId="169" fontId="1" fillId="0" borderId="0"/>
    <xf numFmtId="169" fontId="1" fillId="0" borderId="0"/>
    <xf numFmtId="0" fontId="41" fillId="0" borderId="0"/>
    <xf numFmtId="0" fontId="41" fillId="0" borderId="0"/>
    <xf numFmtId="169" fontId="1" fillId="0" borderId="0"/>
    <xf numFmtId="0" fontId="41" fillId="0" borderId="0"/>
    <xf numFmtId="169" fontId="43" fillId="0" borderId="0">
      <alignment wrapText="1"/>
    </xf>
    <xf numFmtId="0" fontId="41" fillId="0" borderId="0"/>
    <xf numFmtId="169" fontId="1" fillId="0" borderId="0"/>
    <xf numFmtId="0" fontId="4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8" fillId="0" borderId="0" applyNumberFormat="0" applyFill="0" applyBorder="0" applyAlignment="0" applyProtection="0"/>
    <xf numFmtId="169" fontId="43" fillId="0" borderId="0">
      <alignment wrapText="1"/>
    </xf>
    <xf numFmtId="0" fontId="41" fillId="0" borderId="0"/>
    <xf numFmtId="0" fontId="1" fillId="0" borderId="0"/>
    <xf numFmtId="169" fontId="1" fillId="0" borderId="0"/>
    <xf numFmtId="169" fontId="1" fillId="0" borderId="0"/>
    <xf numFmtId="0" fontId="41" fillId="0" borderId="0"/>
    <xf numFmtId="169" fontId="43" fillId="0" borderId="0"/>
    <xf numFmtId="169" fontId="1" fillId="0" borderId="0"/>
    <xf numFmtId="169" fontId="1" fillId="0" borderId="0"/>
    <xf numFmtId="0" fontId="44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41" fillId="0" borderId="0"/>
    <xf numFmtId="0" fontId="41" fillId="0" borderId="0"/>
    <xf numFmtId="0" fontId="44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4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42" fillId="0" borderId="0"/>
    <xf numFmtId="0" fontId="1" fillId="0" borderId="0"/>
    <xf numFmtId="0" fontId="43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4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41" fillId="0" borderId="0"/>
    <xf numFmtId="0" fontId="1" fillId="0" borderId="0"/>
    <xf numFmtId="169" fontId="1" fillId="0" borderId="0"/>
    <xf numFmtId="169" fontId="1" fillId="0" borderId="0"/>
    <xf numFmtId="0" fontId="41" fillId="0" borderId="0"/>
    <xf numFmtId="0" fontId="47" fillId="0" borderId="0"/>
    <xf numFmtId="169" fontId="43" fillId="0" borderId="0">
      <alignment wrapText="1"/>
    </xf>
    <xf numFmtId="0" fontId="41" fillId="0" borderId="0"/>
    <xf numFmtId="0" fontId="1" fillId="0" borderId="0"/>
    <xf numFmtId="169" fontId="1" fillId="0" borderId="0"/>
    <xf numFmtId="169" fontId="1" fillId="0" borderId="0"/>
    <xf numFmtId="0" fontId="41" fillId="0" borderId="0"/>
    <xf numFmtId="0" fontId="1" fillId="0" borderId="0"/>
    <xf numFmtId="0" fontId="1" fillId="16" borderId="11" applyNumberFormat="0" applyFont="0" applyAlignment="0" applyProtection="0"/>
    <xf numFmtId="0" fontId="1" fillId="16" borderId="11" applyNumberFormat="0" applyFont="0" applyAlignment="0" applyProtection="0"/>
    <xf numFmtId="9" fontId="4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6" borderId="11" applyNumberFormat="0" applyFont="0" applyAlignment="0" applyProtection="0"/>
    <xf numFmtId="0" fontId="1" fillId="16" borderId="11" applyNumberFormat="0" applyFont="0" applyAlignment="0" applyProtection="0"/>
    <xf numFmtId="0" fontId="1" fillId="16" borderId="1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9" fontId="4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1" fillId="0" borderId="0"/>
    <xf numFmtId="43" fontId="44" fillId="0" borderId="0" applyFont="0" applyFill="0" applyBorder="0" applyAlignment="0" applyProtection="0"/>
    <xf numFmtId="0" fontId="46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7" fillId="0" borderId="0"/>
    <xf numFmtId="43" fontId="57" fillId="0" borderId="0" applyFont="0" applyFill="0" applyBorder="0" applyAlignment="0" applyProtection="0"/>
    <xf numFmtId="41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41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0" fontId="43" fillId="0" borderId="0"/>
    <xf numFmtId="0" fontId="44" fillId="0" borderId="0"/>
    <xf numFmtId="43" fontId="4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8" fillId="0" borderId="0" applyNumberFormat="0" applyFill="0" applyBorder="0" applyAlignment="0" applyProtection="0"/>
    <xf numFmtId="164" fontId="39" fillId="0" borderId="0" applyFont="0" applyFill="0" applyBorder="0" applyAlignment="0" applyProtection="0"/>
    <xf numFmtId="0" fontId="39" fillId="0" borderId="0"/>
    <xf numFmtId="0" fontId="110" fillId="0" borderId="0"/>
    <xf numFmtId="0" fontId="111" fillId="0" borderId="0"/>
    <xf numFmtId="164" fontId="57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57" fillId="0" borderId="0"/>
    <xf numFmtId="0" fontId="1" fillId="0" borderId="0"/>
    <xf numFmtId="0" fontId="1" fillId="0" borderId="0">
      <alignment horizontal="left" wrapText="1" indent="1"/>
    </xf>
    <xf numFmtId="4" fontId="1" fillId="0" borderId="0">
      <alignment horizontal="right" indent="1"/>
    </xf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3" fillId="0" borderId="0"/>
  </cellStyleXfs>
  <cellXfs count="1592">
    <xf numFmtId="0" fontId="0" fillId="0" borderId="0" xfId="0"/>
    <xf numFmtId="0" fontId="0" fillId="2" borderId="0" xfId="0" applyFill="1"/>
    <xf numFmtId="0" fontId="5" fillId="0" borderId="0" xfId="0" applyFont="1"/>
    <xf numFmtId="165" fontId="5" fillId="0" borderId="0" xfId="1" applyNumberFormat="1" applyFont="1"/>
    <xf numFmtId="0" fontId="3" fillId="0" borderId="0" xfId="0" applyFont="1"/>
    <xf numFmtId="43" fontId="0" fillId="0" borderId="0" xfId="0" applyNumberFormat="1"/>
    <xf numFmtId="0" fontId="3" fillId="0" borderId="0" xfId="0" applyFont="1" applyAlignment="1">
      <alignment horizontal="right"/>
    </xf>
    <xf numFmtId="165" fontId="0" fillId="0" borderId="0" xfId="1" applyNumberFormat="1" applyFont="1"/>
    <xf numFmtId="17" fontId="6" fillId="3" borderId="0" xfId="0" applyNumberFormat="1" applyFont="1" applyFill="1" applyAlignment="1">
      <alignment horizontal="left" vertical="center"/>
    </xf>
    <xf numFmtId="17" fontId="6" fillId="3" borderId="0" xfId="0" applyNumberFormat="1" applyFont="1" applyFill="1" applyAlignment="1">
      <alignment horizontal="center" vertical="center"/>
    </xf>
    <xf numFmtId="17" fontId="6" fillId="3" borderId="0" xfId="0" applyNumberFormat="1" applyFont="1" applyFill="1" applyAlignment="1">
      <alignment horizontal="center" vertical="top" wrapText="1"/>
    </xf>
    <xf numFmtId="165" fontId="7" fillId="0" borderId="0" xfId="0" applyNumberFormat="1" applyFont="1"/>
    <xf numFmtId="165" fontId="7" fillId="0" borderId="0" xfId="1" applyNumberFormat="1" applyFont="1"/>
    <xf numFmtId="165" fontId="9" fillId="0" borderId="0" xfId="0" applyNumberFormat="1" applyFont="1"/>
    <xf numFmtId="165" fontId="9" fillId="0" borderId="0" xfId="1" applyNumberFormat="1" applyFont="1"/>
    <xf numFmtId="165" fontId="8" fillId="0" borderId="0" xfId="0" applyNumberFormat="1" applyFont="1"/>
    <xf numFmtId="0" fontId="10" fillId="0" borderId="0" xfId="0" applyFont="1"/>
    <xf numFmtId="165" fontId="9" fillId="4" borderId="0" xfId="0" applyNumberFormat="1" applyFont="1" applyFill="1"/>
    <xf numFmtId="0" fontId="3" fillId="5" borderId="0" xfId="0" applyFont="1" applyFill="1" applyAlignment="1">
      <alignment horizontal="left"/>
    </xf>
    <xf numFmtId="0" fontId="3" fillId="5" borderId="0" xfId="0" applyFont="1" applyFill="1"/>
    <xf numFmtId="165" fontId="9" fillId="5" borderId="0" xfId="0" applyNumberFormat="1" applyFont="1" applyFill="1"/>
    <xf numFmtId="0" fontId="10" fillId="0" borderId="0" xfId="0" applyFont="1" applyAlignment="1">
      <alignment horizontal="left"/>
    </xf>
    <xf numFmtId="0" fontId="11" fillId="0" borderId="0" xfId="0" applyFont="1"/>
    <xf numFmtId="165" fontId="11" fillId="0" borderId="0" xfId="1" applyNumberFormat="1" applyFont="1" applyAlignment="1">
      <alignment horizontal="left" vertical="center"/>
    </xf>
    <xf numFmtId="43" fontId="3" fillId="0" borderId="0" xfId="0" applyNumberFormat="1" applyFont="1"/>
    <xf numFmtId="165" fontId="9" fillId="5" borderId="0" xfId="1" applyNumberFormat="1" applyFont="1" applyFill="1"/>
    <xf numFmtId="43" fontId="3" fillId="5" borderId="0" xfId="0" applyNumberFormat="1" applyFont="1" applyFill="1"/>
    <xf numFmtId="0" fontId="2" fillId="6" borderId="0" xfId="0" applyFont="1" applyFill="1"/>
    <xf numFmtId="0" fontId="4" fillId="6" borderId="0" xfId="0" applyFont="1" applyFill="1"/>
    <xf numFmtId="165" fontId="4" fillId="6" borderId="0" xfId="1" applyNumberFormat="1" applyFont="1" applyFill="1"/>
    <xf numFmtId="0" fontId="0" fillId="6" borderId="0" xfId="0" applyFill="1"/>
    <xf numFmtId="0" fontId="12" fillId="0" borderId="0" xfId="0" applyFont="1"/>
    <xf numFmtId="165" fontId="13" fillId="0" borderId="0" xfId="0" applyNumberFormat="1" applyFont="1"/>
    <xf numFmtId="0" fontId="13" fillId="0" borderId="0" xfId="0" applyFont="1"/>
    <xf numFmtId="165" fontId="0" fillId="0" borderId="0" xfId="0" applyNumberFormat="1"/>
    <xf numFmtId="165" fontId="3" fillId="0" borderId="0" xfId="0" applyNumberFormat="1" applyFont="1" applyAlignment="1">
      <alignment horizontal="left"/>
    </xf>
    <xf numFmtId="165" fontId="3" fillId="5" borderId="0" xfId="1" applyNumberFormat="1" applyFont="1" applyFill="1" applyAlignment="1">
      <alignment horizontal="left"/>
    </xf>
    <xf numFmtId="0" fontId="0" fillId="2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6" fontId="3" fillId="5" borderId="0" xfId="2" applyNumberFormat="1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2" applyFont="1"/>
    <xf numFmtId="9" fontId="0" fillId="0" borderId="0" xfId="2" applyFont="1" applyAlignment="1">
      <alignment horizontal="center"/>
    </xf>
    <xf numFmtId="9" fontId="7" fillId="0" borderId="0" xfId="2" applyFont="1"/>
    <xf numFmtId="43" fontId="7" fillId="0" borderId="0" xfId="1" applyFont="1" applyFill="1"/>
    <xf numFmtId="9" fontId="3" fillId="0" borderId="0" xfId="2" applyFont="1" applyFill="1" applyAlignment="1">
      <alignment horizontal="left"/>
    </xf>
    <xf numFmtId="165" fontId="3" fillId="0" borderId="0" xfId="1" applyNumberFormat="1" applyFont="1"/>
    <xf numFmtId="9" fontId="6" fillId="3" borderId="0" xfId="0" applyNumberFormat="1" applyFont="1" applyFill="1" applyAlignment="1">
      <alignment horizontal="right" vertical="center"/>
    </xf>
    <xf numFmtId="9" fontId="9" fillId="5" borderId="0" xfId="0" applyNumberFormat="1" applyFont="1" applyFill="1" applyAlignment="1">
      <alignment horizontal="right"/>
    </xf>
    <xf numFmtId="9" fontId="3" fillId="0" borderId="0" xfId="0" applyNumberFormat="1" applyFont="1" applyAlignment="1">
      <alignment horizontal="right"/>
    </xf>
    <xf numFmtId="9" fontId="3" fillId="5" borderId="0" xfId="1" applyNumberFormat="1" applyFont="1" applyFill="1" applyAlignment="1">
      <alignment horizontal="right"/>
    </xf>
    <xf numFmtId="9" fontId="13" fillId="0" borderId="0" xfId="0" applyNumberFormat="1" applyFont="1" applyAlignment="1">
      <alignment horizontal="right"/>
    </xf>
    <xf numFmtId="9" fontId="0" fillId="0" borderId="0" xfId="2" applyFont="1" applyAlignment="1">
      <alignment horizontal="right"/>
    </xf>
    <xf numFmtId="9" fontId="3" fillId="0" borderId="0" xfId="2" applyFont="1" applyFill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165" fontId="3" fillId="0" borderId="1" xfId="1" applyNumberFormat="1" applyFont="1" applyBorder="1" applyAlignment="1">
      <alignment horizontal="center"/>
    </xf>
    <xf numFmtId="165" fontId="3" fillId="0" borderId="1" xfId="1" applyNumberFormat="1" applyFont="1" applyBorder="1"/>
    <xf numFmtId="165" fontId="3" fillId="0" borderId="1" xfId="0" applyNumberFormat="1" applyFont="1" applyBorder="1"/>
    <xf numFmtId="165" fontId="0" fillId="0" borderId="1" xfId="1" applyNumberFormat="1" applyFont="1" applyBorder="1" applyAlignment="1">
      <alignment horizontal="center"/>
    </xf>
    <xf numFmtId="165" fontId="0" fillId="0" borderId="1" xfId="1" applyNumberFormat="1" applyFont="1" applyBorder="1"/>
    <xf numFmtId="165" fontId="3" fillId="5" borderId="0" xfId="0" applyNumberFormat="1" applyFont="1" applyFill="1"/>
    <xf numFmtId="9" fontId="9" fillId="0" borderId="0" xfId="2" applyFont="1"/>
    <xf numFmtId="167" fontId="0" fillId="0" borderId="0" xfId="1" applyNumberFormat="1" applyFont="1"/>
    <xf numFmtId="0" fontId="16" fillId="0" borderId="0" xfId="0" applyFont="1"/>
    <xf numFmtId="167" fontId="16" fillId="0" borderId="0" xfId="1" applyNumberFormat="1" applyFont="1"/>
    <xf numFmtId="165" fontId="16" fillId="0" borderId="0" xfId="1" applyNumberFormat="1" applyFont="1"/>
    <xf numFmtId="165" fontId="13" fillId="0" borderId="0" xfId="1" applyNumberFormat="1" applyFont="1"/>
    <xf numFmtId="165" fontId="17" fillId="0" borderId="0" xfId="0" applyNumberFormat="1" applyFont="1"/>
    <xf numFmtId="9" fontId="3" fillId="0" borderId="1" xfId="2" applyFont="1" applyBorder="1"/>
    <xf numFmtId="43" fontId="0" fillId="0" borderId="0" xfId="1" applyFont="1"/>
    <xf numFmtId="17" fontId="19" fillId="8" borderId="2" xfId="0" applyNumberFormat="1" applyFont="1" applyFill="1" applyBorder="1" applyAlignment="1">
      <alignment horizontal="right" vertical="center"/>
    </xf>
    <xf numFmtId="17" fontId="19" fillId="8" borderId="2" xfId="0" quotePrefix="1" applyNumberFormat="1" applyFont="1" applyFill="1" applyBorder="1" applyAlignment="1">
      <alignment horizontal="right" vertical="center"/>
    </xf>
    <xf numFmtId="0" fontId="19" fillId="9" borderId="2" xfId="0" applyFont="1" applyFill="1" applyBorder="1" applyAlignment="1">
      <alignment horizontal="right" vertical="center"/>
    </xf>
    <xf numFmtId="0" fontId="19" fillId="9" borderId="2" xfId="0" applyFont="1" applyFill="1" applyBorder="1" applyAlignment="1">
      <alignment horizontal="center" vertical="center" wrapText="1"/>
    </xf>
    <xf numFmtId="0" fontId="19" fillId="9" borderId="2" xfId="0" quotePrefix="1" applyFont="1" applyFill="1" applyBorder="1" applyAlignment="1">
      <alignment horizontal="right" vertical="center"/>
    </xf>
    <xf numFmtId="9" fontId="0" fillId="0" borderId="0" xfId="0" applyNumberFormat="1"/>
    <xf numFmtId="165" fontId="3" fillId="0" borderId="0" xfId="0" applyNumberFormat="1" applyFont="1"/>
    <xf numFmtId="17" fontId="23" fillId="3" borderId="0" xfId="0" applyNumberFormat="1" applyFont="1" applyFill="1" applyAlignment="1">
      <alignment horizontal="left" vertical="center"/>
    </xf>
    <xf numFmtId="17" fontId="23" fillId="3" borderId="0" xfId="0" applyNumberFormat="1" applyFont="1" applyFill="1" applyAlignment="1">
      <alignment horizontal="center" vertical="center"/>
    </xf>
    <xf numFmtId="17" fontId="23" fillId="3" borderId="0" xfId="0" applyNumberFormat="1" applyFont="1" applyFill="1" applyAlignment="1">
      <alignment horizontal="center" vertical="top" wrapText="1"/>
    </xf>
    <xf numFmtId="165" fontId="3" fillId="0" borderId="0" xfId="1" applyNumberFormat="1" applyFont="1" applyFill="1"/>
    <xf numFmtId="165" fontId="0" fillId="0" borderId="0" xfId="1" applyNumberFormat="1" applyFont="1" applyFill="1"/>
    <xf numFmtId="166" fontId="0" fillId="0" borderId="0" xfId="2" applyNumberFormat="1" applyFont="1" applyFill="1"/>
    <xf numFmtId="165" fontId="16" fillId="0" borderId="0" xfId="1" applyNumberFormat="1" applyFont="1" applyFill="1"/>
    <xf numFmtId="3" fontId="0" fillId="0" borderId="0" xfId="0" applyNumberFormat="1"/>
    <xf numFmtId="17" fontId="19" fillId="8" borderId="2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25" fillId="0" borderId="0" xfId="0" applyFont="1"/>
    <xf numFmtId="0" fontId="43" fillId="0" borderId="0" xfId="0" applyFont="1"/>
    <xf numFmtId="0" fontId="51" fillId="0" borderId="0" xfId="0" applyFont="1" applyAlignment="1">
      <alignment horizontal="center"/>
    </xf>
    <xf numFmtId="0" fontId="53" fillId="0" borderId="0" xfId="0" applyFont="1"/>
    <xf numFmtId="167" fontId="20" fillId="0" borderId="0" xfId="0" applyNumberFormat="1" applyFont="1" applyAlignment="1">
      <alignment horizontal="center" vertical="center"/>
    </xf>
    <xf numFmtId="167" fontId="22" fillId="0" borderId="0" xfId="1" applyNumberFormat="1" applyFont="1" applyAlignment="1">
      <alignment horizontal="center" vertical="center"/>
    </xf>
    <xf numFmtId="170" fontId="0" fillId="0" borderId="0" xfId="0" applyNumberFormat="1"/>
    <xf numFmtId="165" fontId="0" fillId="0" borderId="1" xfId="0" applyNumberFormat="1" applyBorder="1"/>
    <xf numFmtId="0" fontId="0" fillId="0" borderId="13" xfId="0" applyBorder="1"/>
    <xf numFmtId="0" fontId="0" fillId="7" borderId="1" xfId="0" applyFill="1" applyBorder="1" applyAlignment="1">
      <alignment horizontal="center"/>
    </xf>
    <xf numFmtId="167" fontId="22" fillId="0" borderId="0" xfId="1" applyNumberFormat="1" applyFont="1" applyAlignment="1">
      <alignment horizontal="right" vertical="center"/>
    </xf>
    <xf numFmtId="9" fontId="22" fillId="0" borderId="0" xfId="2" applyFont="1" applyAlignment="1">
      <alignment horizontal="right" vertical="center"/>
    </xf>
    <xf numFmtId="10" fontId="0" fillId="0" borderId="0" xfId="0" applyNumberFormat="1"/>
    <xf numFmtId="0" fontId="0" fillId="7" borderId="1" xfId="0" applyFill="1" applyBorder="1" applyAlignment="1">
      <alignment horizontal="center" wrapText="1"/>
    </xf>
    <xf numFmtId="0" fontId="40" fillId="0" borderId="0" xfId="0" applyFont="1"/>
    <xf numFmtId="0" fontId="55" fillId="0" borderId="0" xfId="0" applyFont="1"/>
    <xf numFmtId="0" fontId="40" fillId="41" borderId="23" xfId="0" applyFont="1" applyFill="1" applyBorder="1"/>
    <xf numFmtId="0" fontId="40" fillId="0" borderId="16" xfId="0" applyFont="1" applyBorder="1"/>
    <xf numFmtId="0" fontId="40" fillId="0" borderId="23" xfId="0" applyFont="1" applyBorder="1"/>
    <xf numFmtId="0" fontId="40" fillId="42" borderId="23" xfId="0" applyFont="1" applyFill="1" applyBorder="1"/>
    <xf numFmtId="0" fontId="40" fillId="0" borderId="23" xfId="0" applyFont="1" applyBorder="1" applyAlignment="1">
      <alignment horizontal="right"/>
    </xf>
    <xf numFmtId="0" fontId="40" fillId="0" borderId="14" xfId="0" applyFont="1" applyBorder="1"/>
    <xf numFmtId="0" fontId="56" fillId="0" borderId="14" xfId="0" applyFont="1" applyBorder="1"/>
    <xf numFmtId="0" fontId="56" fillId="0" borderId="14" xfId="0" applyFont="1" applyBorder="1" applyAlignment="1">
      <alignment horizontal="right"/>
    </xf>
    <xf numFmtId="0" fontId="40" fillId="0" borderId="0" xfId="0" applyFont="1" applyAlignment="1">
      <alignment horizontal="right"/>
    </xf>
    <xf numFmtId="0" fontId="40" fillId="42" borderId="23" xfId="0" applyFont="1" applyFill="1" applyBorder="1" applyAlignment="1">
      <alignment horizontal="center"/>
    </xf>
    <xf numFmtId="0" fontId="40" fillId="0" borderId="16" xfId="0" applyFont="1" applyBorder="1" applyAlignment="1">
      <alignment horizontal="center"/>
    </xf>
    <xf numFmtId="3" fontId="40" fillId="0" borderId="23" xfId="0" applyNumberFormat="1" applyFont="1" applyBorder="1" applyAlignment="1">
      <alignment horizontal="right"/>
    </xf>
    <xf numFmtId="3" fontId="56" fillId="0" borderId="14" xfId="0" applyNumberFormat="1" applyFont="1" applyBorder="1" applyAlignment="1">
      <alignment horizontal="right"/>
    </xf>
    <xf numFmtId="3" fontId="56" fillId="0" borderId="23" xfId="0" applyNumberFormat="1" applyFont="1" applyBorder="1" applyAlignment="1">
      <alignment horizontal="right"/>
    </xf>
    <xf numFmtId="3" fontId="40" fillId="0" borderId="23" xfId="0" applyNumberFormat="1" applyFont="1" applyBorder="1"/>
    <xf numFmtId="3" fontId="56" fillId="0" borderId="23" xfId="0" applyNumberFormat="1" applyFont="1" applyBorder="1"/>
    <xf numFmtId="0" fontId="40" fillId="0" borderId="2" xfId="0" applyFont="1" applyBorder="1"/>
    <xf numFmtId="3" fontId="40" fillId="0" borderId="14" xfId="0" applyNumberFormat="1" applyFont="1" applyBorder="1" applyAlignment="1">
      <alignment horizontal="right"/>
    </xf>
    <xf numFmtId="0" fontId="7" fillId="0" borderId="0" xfId="0" applyFont="1"/>
    <xf numFmtId="0" fontId="48" fillId="0" borderId="0" xfId="0" applyFont="1"/>
    <xf numFmtId="0" fontId="52" fillId="0" borderId="0" xfId="0" applyFont="1"/>
    <xf numFmtId="165" fontId="20" fillId="0" borderId="0" xfId="0" applyNumberFormat="1" applyFont="1" applyAlignment="1">
      <alignment horizontal="right" vertical="center"/>
    </xf>
    <xf numFmtId="165" fontId="0" fillId="0" borderId="0" xfId="2" applyNumberFormat="1" applyFont="1"/>
    <xf numFmtId="166" fontId="0" fillId="0" borderId="0" xfId="2" applyNumberFormat="1" applyFont="1"/>
    <xf numFmtId="0" fontId="58" fillId="0" borderId="0" xfId="0" applyFont="1"/>
    <xf numFmtId="3" fontId="56" fillId="0" borderId="0" xfId="0" applyNumberFormat="1" applyFont="1" applyAlignment="1">
      <alignment horizontal="right"/>
    </xf>
    <xf numFmtId="3" fontId="40" fillId="0" borderId="29" xfId="0" applyNumberFormat="1" applyFont="1" applyBorder="1" applyAlignment="1">
      <alignment horizontal="right"/>
    </xf>
    <xf numFmtId="0" fontId="59" fillId="0" borderId="0" xfId="0" applyFont="1"/>
    <xf numFmtId="9" fontId="25" fillId="0" borderId="0" xfId="0" applyNumberFormat="1" applyFont="1" applyAlignment="1">
      <alignment horizontal="right"/>
    </xf>
    <xf numFmtId="165" fontId="25" fillId="0" borderId="0" xfId="0" applyNumberFormat="1" applyFont="1" applyAlignment="1">
      <alignment horizontal="left"/>
    </xf>
    <xf numFmtId="165" fontId="59" fillId="0" borderId="0" xfId="0" applyNumberFormat="1" applyFont="1"/>
    <xf numFmtId="165" fontId="59" fillId="0" borderId="0" xfId="1" applyNumberFormat="1" applyFont="1"/>
    <xf numFmtId="43" fontId="25" fillId="0" borderId="0" xfId="0" applyNumberFormat="1" applyFont="1"/>
    <xf numFmtId="165" fontId="60" fillId="0" borderId="0" xfId="0" applyNumberFormat="1" applyFont="1"/>
    <xf numFmtId="43" fontId="16" fillId="0" borderId="0" xfId="0" applyNumberFormat="1" applyFont="1"/>
    <xf numFmtId="0" fontId="40" fillId="41" borderId="29" xfId="0" applyFont="1" applyFill="1" applyBorder="1"/>
    <xf numFmtId="3" fontId="40" fillId="0" borderId="30" xfId="0" applyNumberFormat="1" applyFont="1" applyBorder="1"/>
    <xf numFmtId="3" fontId="40" fillId="0" borderId="14" xfId="0" applyNumberFormat="1" applyFont="1" applyBorder="1"/>
    <xf numFmtId="3" fontId="40" fillId="0" borderId="26" xfId="0" applyNumberFormat="1" applyFont="1" applyBorder="1" applyAlignment="1">
      <alignment horizontal="right"/>
    </xf>
    <xf numFmtId="173" fontId="0" fillId="0" borderId="0" xfId="0" applyNumberFormat="1"/>
    <xf numFmtId="167" fontId="0" fillId="0" borderId="1" xfId="1" applyNumberFormat="1" applyFont="1" applyBorder="1"/>
    <xf numFmtId="43" fontId="3" fillId="0" borderId="1" xfId="0" applyNumberFormat="1" applyFont="1" applyBorder="1"/>
    <xf numFmtId="167" fontId="3" fillId="0" borderId="1" xfId="1" applyNumberFormat="1" applyFont="1" applyBorder="1"/>
    <xf numFmtId="165" fontId="1" fillId="0" borderId="0" xfId="1" applyNumberFormat="1" applyFont="1" applyFill="1"/>
    <xf numFmtId="165" fontId="0" fillId="0" borderId="0" xfId="1" applyNumberFormat="1" applyFont="1" applyFill="1" applyAlignment="1">
      <alignment horizontal="left" indent="1"/>
    </xf>
    <xf numFmtId="165" fontId="16" fillId="0" borderId="0" xfId="1" applyNumberFormat="1" applyFont="1" applyFill="1" applyAlignment="1">
      <alignment horizontal="left" indent="1"/>
    </xf>
    <xf numFmtId="17" fontId="64" fillId="3" borderId="1" xfId="0" applyNumberFormat="1" applyFont="1" applyFill="1" applyBorder="1"/>
    <xf numFmtId="0" fontId="62" fillId="0" borderId="1" xfId="0" applyFont="1" applyBorder="1"/>
    <xf numFmtId="0" fontId="44" fillId="0" borderId="1" xfId="0" applyFont="1" applyBorder="1"/>
    <xf numFmtId="167" fontId="62" fillId="0" borderId="1" xfId="0" applyNumberFormat="1" applyFont="1" applyBorder="1" applyAlignment="1">
      <alignment horizontal="center"/>
    </xf>
    <xf numFmtId="167" fontId="44" fillId="0" borderId="1" xfId="0" applyNumberFormat="1" applyFont="1" applyBorder="1" applyAlignment="1">
      <alignment horizontal="center"/>
    </xf>
    <xf numFmtId="165" fontId="44" fillId="0" borderId="1" xfId="0" applyNumberFormat="1" applyFont="1" applyBorder="1" applyAlignment="1">
      <alignment horizontal="center"/>
    </xf>
    <xf numFmtId="167" fontId="44" fillId="0" borderId="1" xfId="1" applyNumberFormat="1" applyFont="1" applyBorder="1" applyAlignment="1">
      <alignment horizontal="center"/>
    </xf>
    <xf numFmtId="0" fontId="63" fillId="0" borderId="1" xfId="0" applyFont="1" applyBorder="1"/>
    <xf numFmtId="167" fontId="63" fillId="0" borderId="1" xfId="1" applyNumberFormat="1" applyFont="1" applyBorder="1" applyAlignment="1">
      <alignment horizontal="center"/>
    </xf>
    <xf numFmtId="167" fontId="63" fillId="0" borderId="1" xfId="0" applyNumberFormat="1" applyFont="1" applyBorder="1" applyAlignment="1">
      <alignment horizontal="center"/>
    </xf>
    <xf numFmtId="0" fontId="44" fillId="0" borderId="1" xfId="0" applyFont="1" applyBorder="1" applyAlignment="1">
      <alignment horizontal="left" indent="1"/>
    </xf>
    <xf numFmtId="167" fontId="44" fillId="0" borderId="1" xfId="0" applyNumberFormat="1" applyFont="1" applyBorder="1"/>
    <xf numFmtId="9" fontId="44" fillId="0" borderId="1" xfId="2" applyFont="1" applyBorder="1"/>
    <xf numFmtId="17" fontId="64" fillId="3" borderId="1" xfId="0" applyNumberFormat="1" applyFont="1" applyFill="1" applyBorder="1" applyAlignment="1">
      <alignment horizontal="center"/>
    </xf>
    <xf numFmtId="167" fontId="6" fillId="3" borderId="1" xfId="1" applyNumberFormat="1" applyFont="1" applyFill="1" applyBorder="1" applyAlignment="1">
      <alignment horizontal="center" vertical="top" wrapText="1"/>
    </xf>
    <xf numFmtId="167" fontId="3" fillId="0" borderId="1" xfId="0" applyNumberFormat="1" applyFont="1" applyBorder="1"/>
    <xf numFmtId="167" fontId="62" fillId="0" borderId="1" xfId="0" applyNumberFormat="1" applyFont="1" applyBorder="1"/>
    <xf numFmtId="167" fontId="44" fillId="0" borderId="1" xfId="1" applyNumberFormat="1" applyFont="1" applyBorder="1"/>
    <xf numFmtId="167" fontId="63" fillId="0" borderId="1" xfId="0" applyNumberFormat="1" applyFont="1" applyBorder="1"/>
    <xf numFmtId="0" fontId="52" fillId="0" borderId="1" xfId="0" applyFont="1" applyBorder="1"/>
    <xf numFmtId="0" fontId="24" fillId="0" borderId="0" xfId="0" applyFont="1"/>
    <xf numFmtId="165" fontId="24" fillId="0" borderId="0" xfId="1" applyNumberFormat="1" applyFont="1"/>
    <xf numFmtId="167" fontId="62" fillId="0" borderId="1" xfId="1" applyNumberFormat="1" applyFont="1" applyBorder="1" applyAlignment="1">
      <alignment horizontal="right"/>
    </xf>
    <xf numFmtId="174" fontId="58" fillId="44" borderId="1" xfId="0" applyNumberFormat="1" applyFont="1" applyFill="1" applyBorder="1"/>
    <xf numFmtId="0" fontId="68" fillId="8" borderId="2" xfId="0" applyFont="1" applyFill="1" applyBorder="1" applyAlignment="1">
      <alignment vertical="center" wrapText="1"/>
    </xf>
    <xf numFmtId="0" fontId="69" fillId="8" borderId="2" xfId="0" applyFont="1" applyFill="1" applyBorder="1" applyAlignment="1">
      <alignment vertical="center" wrapText="1"/>
    </xf>
    <xf numFmtId="17" fontId="65" fillId="43" borderId="15" xfId="0" applyNumberFormat="1" applyFont="1" applyFill="1" applyBorder="1" applyAlignment="1">
      <alignment horizontal="center" vertical="center"/>
    </xf>
    <xf numFmtId="0" fontId="66" fillId="0" borderId="0" xfId="0" applyFont="1" applyAlignment="1">
      <alignment horizontal="left"/>
    </xf>
    <xf numFmtId="167" fontId="57" fillId="0" borderId="0" xfId="1" applyNumberFormat="1" applyFont="1" applyBorder="1"/>
    <xf numFmtId="9" fontId="57" fillId="0" borderId="0" xfId="2" applyFont="1" applyBorder="1"/>
    <xf numFmtId="0" fontId="52" fillId="5" borderId="0" xfId="0" applyFont="1" applyFill="1"/>
    <xf numFmtId="0" fontId="58" fillId="0" borderId="0" xfId="0" applyFont="1" applyAlignment="1">
      <alignment horizontal="left"/>
    </xf>
    <xf numFmtId="0" fontId="57" fillId="0" borderId="0" xfId="0" applyFont="1" applyAlignment="1">
      <alignment horizontal="left"/>
    </xf>
    <xf numFmtId="0" fontId="66" fillId="5" borderId="0" xfId="0" applyFont="1" applyFill="1" applyAlignment="1">
      <alignment horizontal="left"/>
    </xf>
    <xf numFmtId="0" fontId="67" fillId="0" borderId="0" xfId="0" applyFont="1" applyAlignment="1">
      <alignment horizontal="left"/>
    </xf>
    <xf numFmtId="0" fontId="66" fillId="0" borderId="2" xfId="0" applyFont="1" applyBorder="1" applyAlignment="1">
      <alignment horizontal="left"/>
    </xf>
    <xf numFmtId="167" fontId="57" fillId="0" borderId="2" xfId="1" applyNumberFormat="1" applyFont="1" applyBorder="1"/>
    <xf numFmtId="9" fontId="57" fillId="0" borderId="2" xfId="2" applyFont="1" applyBorder="1"/>
    <xf numFmtId="17" fontId="64" fillId="3" borderId="17" xfId="0" applyNumberFormat="1" applyFont="1" applyFill="1" applyBorder="1"/>
    <xf numFmtId="167" fontId="44" fillId="0" borderId="0" xfId="0" applyNumberFormat="1" applyFont="1"/>
    <xf numFmtId="0" fontId="66" fillId="5" borderId="2" xfId="0" applyFont="1" applyFill="1" applyBorder="1" applyAlignment="1">
      <alignment horizontal="left"/>
    </xf>
    <xf numFmtId="167" fontId="58" fillId="5" borderId="2" xfId="1" applyNumberFormat="1" applyFont="1" applyFill="1" applyBorder="1"/>
    <xf numFmtId="9" fontId="58" fillId="5" borderId="2" xfId="2" applyFont="1" applyFill="1" applyBorder="1"/>
    <xf numFmtId="167" fontId="58" fillId="5" borderId="0" xfId="1" applyNumberFormat="1" applyFont="1" applyFill="1" applyBorder="1"/>
    <xf numFmtId="9" fontId="58" fillId="5" borderId="0" xfId="2" applyFont="1" applyFill="1" applyBorder="1"/>
    <xf numFmtId="167" fontId="58" fillId="0" borderId="2" xfId="1" applyNumberFormat="1" applyFont="1" applyBorder="1"/>
    <xf numFmtId="9" fontId="58" fillId="0" borderId="2" xfId="2" applyFont="1" applyBorder="1"/>
    <xf numFmtId="173" fontId="40" fillId="0" borderId="0" xfId="0" applyNumberFormat="1" applyFont="1"/>
    <xf numFmtId="167" fontId="0" fillId="0" borderId="1" xfId="0" applyNumberFormat="1" applyBorder="1"/>
    <xf numFmtId="0" fontId="70" fillId="0" borderId="0" xfId="0" applyFont="1" applyAlignment="1">
      <alignment horizontal="center"/>
    </xf>
    <xf numFmtId="0" fontId="71" fillId="0" borderId="0" xfId="0" applyFont="1"/>
    <xf numFmtId="0" fontId="71" fillId="0" borderId="0" xfId="0" applyFont="1" applyAlignment="1">
      <alignment horizontal="center"/>
    </xf>
    <xf numFmtId="170" fontId="71" fillId="0" borderId="0" xfId="0" applyNumberFormat="1" applyFont="1" applyAlignment="1">
      <alignment horizontal="center"/>
    </xf>
    <xf numFmtId="0" fontId="72" fillId="0" borderId="0" xfId="0" applyFont="1"/>
    <xf numFmtId="0" fontId="73" fillId="0" borderId="0" xfId="0" applyFont="1" applyAlignment="1">
      <alignment horizontal="center"/>
    </xf>
    <xf numFmtId="167" fontId="72" fillId="0" borderId="0" xfId="0" applyNumberFormat="1" applyFont="1"/>
    <xf numFmtId="0" fontId="72" fillId="0" borderId="0" xfId="0" applyFont="1" applyAlignment="1">
      <alignment horizontal="center"/>
    </xf>
    <xf numFmtId="167" fontId="72" fillId="0" borderId="0" xfId="1" applyNumberFormat="1" applyFont="1" applyAlignment="1">
      <alignment horizontal="center"/>
    </xf>
    <xf numFmtId="0" fontId="74" fillId="0" borderId="0" xfId="0" applyFont="1" applyAlignment="1">
      <alignment horizontal="center"/>
    </xf>
    <xf numFmtId="165" fontId="70" fillId="0" borderId="0" xfId="1" applyNumberFormat="1" applyFont="1" applyAlignment="1">
      <alignment horizontal="center"/>
    </xf>
    <xf numFmtId="0" fontId="75" fillId="0" borderId="0" xfId="0" applyFont="1" applyAlignment="1">
      <alignment horizontal="center"/>
    </xf>
    <xf numFmtId="0" fontId="70" fillId="46" borderId="0" xfId="0" applyFont="1" applyFill="1" applyAlignment="1">
      <alignment horizontal="center"/>
    </xf>
    <xf numFmtId="167" fontId="70" fillId="0" borderId="0" xfId="1" applyNumberFormat="1" applyFont="1" applyAlignment="1">
      <alignment horizontal="center"/>
    </xf>
    <xf numFmtId="0" fontId="70" fillId="47" borderId="0" xfId="0" applyFont="1" applyFill="1" applyAlignment="1">
      <alignment horizontal="center"/>
    </xf>
    <xf numFmtId="0" fontId="76" fillId="7" borderId="0" xfId="0" applyFont="1" applyFill="1"/>
    <xf numFmtId="0" fontId="70" fillId="7" borderId="0" xfId="0" applyFont="1" applyFill="1" applyAlignment="1">
      <alignment horizontal="center"/>
    </xf>
    <xf numFmtId="0" fontId="70" fillId="0" borderId="0" xfId="0" quotePrefix="1" applyFont="1" applyAlignment="1">
      <alignment horizontal="center"/>
    </xf>
    <xf numFmtId="165" fontId="16" fillId="0" borderId="0" xfId="0" applyNumberFormat="1" applyFont="1"/>
    <xf numFmtId="165" fontId="25" fillId="0" borderId="0" xfId="1" applyNumberFormat="1" applyFont="1"/>
    <xf numFmtId="165" fontId="25" fillId="0" borderId="0" xfId="1" applyNumberFormat="1" applyFont="1" applyFill="1"/>
    <xf numFmtId="3" fontId="16" fillId="0" borderId="0" xfId="0" applyNumberFormat="1" applyFont="1"/>
    <xf numFmtId="9" fontId="0" fillId="0" borderId="0" xfId="2" applyFont="1" applyFill="1"/>
    <xf numFmtId="17" fontId="77" fillId="0" borderId="0" xfId="0" applyNumberFormat="1" applyFont="1" applyAlignment="1">
      <alignment horizontal="left" vertical="center"/>
    </xf>
    <xf numFmtId="165" fontId="3" fillId="0" borderId="0" xfId="2" applyNumberFormat="1" applyFont="1"/>
    <xf numFmtId="17" fontId="64" fillId="45" borderId="0" xfId="0" applyNumberFormat="1" applyFont="1" applyFill="1"/>
    <xf numFmtId="0" fontId="62" fillId="0" borderId="0" xfId="0" applyFont="1"/>
    <xf numFmtId="0" fontId="44" fillId="0" borderId="0" xfId="0" applyFont="1"/>
    <xf numFmtId="165" fontId="44" fillId="0" borderId="0" xfId="1" applyNumberFormat="1" applyFont="1"/>
    <xf numFmtId="0" fontId="63" fillId="0" borderId="0" xfId="0" applyFont="1" applyAlignment="1">
      <alignment horizontal="center"/>
    </xf>
    <xf numFmtId="167" fontId="50" fillId="0" borderId="0" xfId="0" applyNumberFormat="1" applyFont="1"/>
    <xf numFmtId="167" fontId="62" fillId="0" borderId="0" xfId="0" applyNumberFormat="1" applyFont="1"/>
    <xf numFmtId="166" fontId="62" fillId="0" borderId="0" xfId="2" applyNumberFormat="1" applyFont="1"/>
    <xf numFmtId="9" fontId="44" fillId="0" borderId="0" xfId="2" applyFont="1"/>
    <xf numFmtId="165" fontId="44" fillId="0" borderId="0" xfId="0" applyNumberFormat="1" applyFont="1"/>
    <xf numFmtId="165" fontId="62" fillId="0" borderId="0" xfId="1" applyNumberFormat="1" applyFont="1"/>
    <xf numFmtId="165" fontId="63" fillId="0" borderId="0" xfId="1" applyNumberFormat="1" applyFont="1" applyAlignment="1">
      <alignment horizontal="center"/>
    </xf>
    <xf numFmtId="167" fontId="44" fillId="0" borderId="0" xfId="1" applyNumberFormat="1" applyFont="1"/>
    <xf numFmtId="165" fontId="62" fillId="46" borderId="0" xfId="1" applyNumberFormat="1" applyFont="1" applyFill="1"/>
    <xf numFmtId="165" fontId="44" fillId="46" borderId="0" xfId="1" applyNumberFormat="1" applyFont="1" applyFill="1"/>
    <xf numFmtId="165" fontId="63" fillId="46" borderId="0" xfId="1" applyNumberFormat="1" applyFont="1" applyFill="1" applyAlignment="1">
      <alignment horizontal="center"/>
    </xf>
    <xf numFmtId="167" fontId="62" fillId="46" borderId="0" xfId="1" applyNumberFormat="1" applyFont="1" applyFill="1"/>
    <xf numFmtId="167" fontId="62" fillId="0" borderId="0" xfId="1" applyNumberFormat="1" applyFont="1"/>
    <xf numFmtId="167" fontId="50" fillId="0" borderId="0" xfId="1" applyNumberFormat="1" applyFont="1"/>
    <xf numFmtId="167" fontId="53" fillId="0" borderId="0" xfId="1" applyNumberFormat="1" applyFont="1"/>
    <xf numFmtId="167" fontId="49" fillId="0" borderId="0" xfId="1" applyNumberFormat="1" applyFont="1"/>
    <xf numFmtId="167" fontId="43" fillId="0" borderId="0" xfId="1" applyNumberFormat="1" applyFont="1"/>
    <xf numFmtId="166" fontId="53" fillId="0" borderId="0" xfId="2" applyNumberFormat="1" applyFont="1"/>
    <xf numFmtId="166" fontId="44" fillId="0" borderId="0" xfId="2" applyNumberFormat="1" applyFont="1"/>
    <xf numFmtId="0" fontId="62" fillId="46" borderId="0" xfId="0" applyFont="1" applyFill="1"/>
    <xf numFmtId="43" fontId="50" fillId="0" borderId="0" xfId="1" applyFont="1"/>
    <xf numFmtId="9" fontId="53" fillId="0" borderId="0" xfId="2" applyFont="1"/>
    <xf numFmtId="170" fontId="62" fillId="0" borderId="0" xfId="0" applyNumberFormat="1" applyFont="1"/>
    <xf numFmtId="43" fontId="62" fillId="0" borderId="0" xfId="0" applyNumberFormat="1" applyFont="1"/>
    <xf numFmtId="167" fontId="63" fillId="0" borderId="0" xfId="1" applyNumberFormat="1" applyFont="1" applyAlignment="1">
      <alignment horizontal="center"/>
    </xf>
    <xf numFmtId="0" fontId="62" fillId="47" borderId="0" xfId="0" applyFont="1" applyFill="1"/>
    <xf numFmtId="0" fontId="63" fillId="47" borderId="0" xfId="0" applyFont="1" applyFill="1" applyAlignment="1">
      <alignment horizontal="center"/>
    </xf>
    <xf numFmtId="43" fontId="44" fillId="47" borderId="0" xfId="0" applyNumberFormat="1" applyFont="1" applyFill="1"/>
    <xf numFmtId="43" fontId="44" fillId="0" borderId="0" xfId="0" applyNumberFormat="1" applyFont="1"/>
    <xf numFmtId="43" fontId="44" fillId="0" borderId="0" xfId="1" applyFont="1"/>
    <xf numFmtId="167" fontId="62" fillId="47" borderId="0" xfId="1" applyNumberFormat="1" applyFont="1" applyFill="1"/>
    <xf numFmtId="167" fontId="44" fillId="47" borderId="0" xfId="1" applyNumberFormat="1" applyFont="1" applyFill="1"/>
    <xf numFmtId="167" fontId="63" fillId="47" borderId="0" xfId="1" applyNumberFormat="1" applyFont="1" applyFill="1" applyAlignment="1">
      <alignment horizontal="center"/>
    </xf>
    <xf numFmtId="1" fontId="44" fillId="0" borderId="0" xfId="0" applyNumberFormat="1" applyFont="1"/>
    <xf numFmtId="165" fontId="50" fillId="0" borderId="0" xfId="1" applyNumberFormat="1" applyFont="1"/>
    <xf numFmtId="9" fontId="62" fillId="0" borderId="0" xfId="2" applyFont="1"/>
    <xf numFmtId="0" fontId="44" fillId="7" borderId="0" xfId="0" applyFont="1" applyFill="1"/>
    <xf numFmtId="0" fontId="63" fillId="7" borderId="0" xfId="0" applyFont="1" applyFill="1" applyAlignment="1">
      <alignment horizontal="center"/>
    </xf>
    <xf numFmtId="165" fontId="49" fillId="0" borderId="0" xfId="1" applyNumberFormat="1" applyFont="1"/>
    <xf numFmtId="0" fontId="62" fillId="7" borderId="0" xfId="0" applyFont="1" applyFill="1"/>
    <xf numFmtId="0" fontId="44" fillId="0" borderId="2" xfId="0" applyFont="1" applyBorder="1"/>
    <xf numFmtId="167" fontId="43" fillId="0" borderId="0" xfId="0" applyNumberFormat="1" applyFont="1"/>
    <xf numFmtId="165" fontId="62" fillId="0" borderId="0" xfId="0" applyNumberFormat="1" applyFont="1"/>
    <xf numFmtId="164" fontId="44" fillId="0" borderId="0" xfId="0" applyNumberFormat="1" applyFont="1"/>
    <xf numFmtId="43" fontId="62" fillId="0" borderId="0" xfId="1" applyFont="1"/>
    <xf numFmtId="0" fontId="63" fillId="0" borderId="0" xfId="0" applyFont="1"/>
    <xf numFmtId="0" fontId="44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78" fillId="0" borderId="0" xfId="0" applyFont="1"/>
    <xf numFmtId="165" fontId="0" fillId="0" borderId="0" xfId="1" applyNumberFormat="1" applyFont="1" applyFill="1" applyBorder="1"/>
    <xf numFmtId="165" fontId="0" fillId="0" borderId="0" xfId="1" applyNumberFormat="1" applyFont="1" applyBorder="1"/>
    <xf numFmtId="0" fontId="79" fillId="0" borderId="0" xfId="0" applyFont="1"/>
    <xf numFmtId="165" fontId="1" fillId="0" borderId="0" xfId="1" applyNumberFormat="1" applyFont="1"/>
    <xf numFmtId="165" fontId="79" fillId="0" borderId="0" xfId="0" applyNumberFormat="1" applyFont="1"/>
    <xf numFmtId="0" fontId="44" fillId="0" borderId="0" xfId="0" applyFont="1" applyAlignment="1">
      <alignment horizontal="left" indent="1"/>
    </xf>
    <xf numFmtId="0" fontId="44" fillId="47" borderId="0" xfId="0" applyFont="1" applyFill="1"/>
    <xf numFmtId="167" fontId="57" fillId="0" borderId="0" xfId="1" applyNumberFormat="1" applyFont="1"/>
    <xf numFmtId="167" fontId="58" fillId="5" borderId="0" xfId="1" applyNumberFormat="1" applyFont="1" applyFill="1"/>
    <xf numFmtId="0" fontId="40" fillId="0" borderId="23" xfId="0" applyFont="1" applyBorder="1" applyAlignment="1">
      <alignment horizontal="center"/>
    </xf>
    <xf numFmtId="0" fontId="56" fillId="0" borderId="28" xfId="0" applyFont="1" applyBorder="1" applyAlignment="1">
      <alignment horizontal="right"/>
    </xf>
    <xf numFmtId="0" fontId="40" fillId="0" borderId="29" xfId="0" applyFont="1" applyBorder="1"/>
    <xf numFmtId="173" fontId="81" fillId="0" borderId="14" xfId="0" applyNumberFormat="1" applyFont="1" applyBorder="1"/>
    <xf numFmtId="0" fontId="40" fillId="0" borderId="2" xfId="0" applyFont="1" applyBorder="1" applyAlignment="1">
      <alignment horizontal="center"/>
    </xf>
    <xf numFmtId="173" fontId="56" fillId="0" borderId="23" xfId="0" applyNumberFormat="1" applyFont="1" applyBorder="1" applyAlignment="1">
      <alignment horizontal="right"/>
    </xf>
    <xf numFmtId="173" fontId="82" fillId="0" borderId="14" xfId="0" applyNumberFormat="1" applyFont="1" applyBorder="1"/>
    <xf numFmtId="165" fontId="62" fillId="0" borderId="1" xfId="1" applyNumberFormat="1" applyFont="1" applyBorder="1" applyAlignment="1">
      <alignment horizontal="left" indent="1"/>
    </xf>
    <xf numFmtId="167" fontId="62" fillId="0" borderId="1" xfId="0" applyNumberFormat="1" applyFont="1" applyBorder="1" applyAlignment="1">
      <alignment horizontal="left" indent="1"/>
    </xf>
    <xf numFmtId="165" fontId="44" fillId="0" borderId="1" xfId="1" applyNumberFormat="1" applyFont="1" applyBorder="1" applyAlignment="1">
      <alignment horizontal="left" indent="1"/>
    </xf>
    <xf numFmtId="167" fontId="44" fillId="0" borderId="1" xfId="1" applyNumberFormat="1" applyFont="1" applyBorder="1" applyAlignment="1">
      <alignment horizontal="left" indent="1"/>
    </xf>
    <xf numFmtId="167" fontId="62" fillId="0" borderId="1" xfId="1" applyNumberFormat="1" applyFont="1" applyBorder="1" applyAlignment="1">
      <alignment horizontal="left" indent="1"/>
    </xf>
    <xf numFmtId="165" fontId="44" fillId="0" borderId="1" xfId="0" applyNumberFormat="1" applyFont="1" applyBorder="1"/>
    <xf numFmtId="165" fontId="83" fillId="0" borderId="0" xfId="1" applyNumberFormat="1" applyFont="1" applyFill="1"/>
    <xf numFmtId="165" fontId="84" fillId="0" borderId="0" xfId="1" applyNumberFormat="1" applyFont="1"/>
    <xf numFmtId="0" fontId="84" fillId="0" borderId="0" xfId="0" applyFont="1"/>
    <xf numFmtId="165" fontId="84" fillId="0" borderId="0" xfId="0" applyNumberFormat="1" applyFont="1"/>
    <xf numFmtId="165" fontId="0" fillId="0" borderId="31" xfId="1" applyNumberFormat="1" applyFont="1" applyBorder="1"/>
    <xf numFmtId="165" fontId="0" fillId="7" borderId="1" xfId="1" applyNumberFormat="1" applyFont="1" applyFill="1" applyBorder="1"/>
    <xf numFmtId="165" fontId="3" fillId="7" borderId="1" xfId="0" applyNumberFormat="1" applyFont="1" applyFill="1" applyBorder="1"/>
    <xf numFmtId="167" fontId="44" fillId="0" borderId="33" xfId="0" applyNumberFormat="1" applyFont="1" applyBorder="1"/>
    <xf numFmtId="0" fontId="40" fillId="41" borderId="14" xfId="0" applyFont="1" applyFill="1" applyBorder="1"/>
    <xf numFmtId="0" fontId="40" fillId="42" borderId="14" xfId="0" applyFont="1" applyFill="1" applyBorder="1"/>
    <xf numFmtId="0" fontId="40" fillId="41" borderId="14" xfId="0" applyFont="1" applyFill="1" applyBorder="1" applyAlignment="1">
      <alignment horizontal="center"/>
    </xf>
    <xf numFmtId="173" fontId="81" fillId="0" borderId="26" xfId="0" applyNumberFormat="1" applyFont="1" applyBorder="1"/>
    <xf numFmtId="173" fontId="81" fillId="0" borderId="36" xfId="0" applyNumberFormat="1" applyFont="1" applyBorder="1"/>
    <xf numFmtId="0" fontId="40" fillId="41" borderId="2" xfId="0" applyFont="1" applyFill="1" applyBorder="1"/>
    <xf numFmtId="173" fontId="82" fillId="0" borderId="0" xfId="0" applyNumberFormat="1" applyFont="1"/>
    <xf numFmtId="0" fontId="40" fillId="0" borderId="18" xfId="0" applyFont="1" applyBorder="1"/>
    <xf numFmtId="1" fontId="40" fillId="0" borderId="14" xfId="0" applyNumberFormat="1" applyFont="1" applyBorder="1"/>
    <xf numFmtId="0" fontId="40" fillId="0" borderId="2" xfId="0" applyFont="1" applyBorder="1" applyAlignment="1">
      <alignment horizontal="right"/>
    </xf>
    <xf numFmtId="173" fontId="81" fillId="0" borderId="25" xfId="0" applyNumberFormat="1" applyFont="1" applyBorder="1"/>
    <xf numFmtId="0" fontId="40" fillId="41" borderId="30" xfId="0" applyFont="1" applyFill="1" applyBorder="1"/>
    <xf numFmtId="0" fontId="0" fillId="0" borderId="0" xfId="0" applyAlignment="1">
      <alignment horizontal="left" indent="1"/>
    </xf>
    <xf numFmtId="11" fontId="40" fillId="0" borderId="0" xfId="0" applyNumberFormat="1" applyFont="1"/>
    <xf numFmtId="164" fontId="0" fillId="0" borderId="0" xfId="0" applyNumberFormat="1"/>
    <xf numFmtId="0" fontId="40" fillId="42" borderId="29" xfId="0" applyFont="1" applyFill="1" applyBorder="1"/>
    <xf numFmtId="173" fontId="89" fillId="0" borderId="28" xfId="0" applyNumberFormat="1" applyFont="1" applyBorder="1"/>
    <xf numFmtId="165" fontId="16" fillId="0" borderId="0" xfId="1" applyNumberFormat="1" applyFont="1" applyFill="1" applyAlignment="1">
      <alignment horizontal="left" indent="2"/>
    </xf>
    <xf numFmtId="165" fontId="0" fillId="0" borderId="17" xfId="1" applyNumberFormat="1" applyFont="1" applyBorder="1"/>
    <xf numFmtId="165" fontId="0" fillId="0" borderId="17" xfId="0" applyNumberFormat="1" applyBorder="1"/>
    <xf numFmtId="165" fontId="0" fillId="0" borderId="15" xfId="1" applyNumberFormat="1" applyFont="1" applyBorder="1"/>
    <xf numFmtId="165" fontId="0" fillId="0" borderId="46" xfId="1" applyNumberFormat="1" applyFont="1" applyBorder="1"/>
    <xf numFmtId="173" fontId="40" fillId="0" borderId="14" xfId="0" applyNumberFormat="1" applyFont="1" applyBorder="1"/>
    <xf numFmtId="165" fontId="0" fillId="48" borderId="17" xfId="0" applyNumberFormat="1" applyFill="1" applyBorder="1"/>
    <xf numFmtId="173" fontId="81" fillId="0" borderId="28" xfId="0" applyNumberFormat="1" applyFont="1" applyBorder="1"/>
    <xf numFmtId="0" fontId="56" fillId="0" borderId="0" xfId="0" applyFont="1" applyAlignment="1">
      <alignment horizontal="right"/>
    </xf>
    <xf numFmtId="167" fontId="62" fillId="0" borderId="1" xfId="1" applyNumberFormat="1" applyFont="1" applyBorder="1"/>
    <xf numFmtId="167" fontId="62" fillId="0" borderId="1" xfId="1" applyNumberFormat="1" applyFont="1" applyBorder="1" applyAlignment="1">
      <alignment horizontal="center"/>
    </xf>
    <xf numFmtId="167" fontId="63" fillId="0" borderId="1" xfId="1" applyNumberFormat="1" applyFont="1" applyBorder="1"/>
    <xf numFmtId="165" fontId="0" fillId="0" borderId="0" xfId="1" applyNumberFormat="1" applyFont="1" applyAlignment="1">
      <alignment wrapText="1"/>
    </xf>
    <xf numFmtId="3" fontId="92" fillId="0" borderId="0" xfId="0" applyNumberFormat="1" applyFont="1"/>
    <xf numFmtId="165" fontId="94" fillId="0" borderId="0" xfId="1" applyNumberFormat="1" applyFont="1"/>
    <xf numFmtId="10" fontId="0" fillId="0" borderId="0" xfId="2" applyNumberFormat="1" applyFont="1" applyFill="1"/>
    <xf numFmtId="10" fontId="0" fillId="0" borderId="0" xfId="2" applyNumberFormat="1" applyFont="1"/>
    <xf numFmtId="0" fontId="0" fillId="0" borderId="0" xfId="0" quotePrefix="1" applyAlignment="1">
      <alignment wrapText="1"/>
    </xf>
    <xf numFmtId="0" fontId="95" fillId="0" borderId="0" xfId="0" applyFont="1"/>
    <xf numFmtId="0" fontId="21" fillId="0" borderId="0" xfId="0" applyFont="1"/>
    <xf numFmtId="167" fontId="87" fillId="0" borderId="0" xfId="0" applyNumberFormat="1" applyFont="1" applyAlignment="1">
      <alignment vertical="center"/>
    </xf>
    <xf numFmtId="165" fontId="87" fillId="0" borderId="0" xfId="1" applyNumberFormat="1" applyFont="1" applyAlignment="1">
      <alignment vertical="center"/>
    </xf>
    <xf numFmtId="165" fontId="96" fillId="0" borderId="0" xfId="1" applyNumberFormat="1" applyFont="1" applyAlignment="1">
      <alignment vertical="center"/>
    </xf>
    <xf numFmtId="0" fontId="87" fillId="0" borderId="0" xfId="0" applyFont="1" applyAlignment="1">
      <alignment horizontal="left" vertical="center"/>
    </xf>
    <xf numFmtId="9" fontId="87" fillId="0" borderId="3" xfId="2" applyFont="1" applyBorder="1" applyAlignment="1">
      <alignment horizontal="left" vertical="center"/>
    </xf>
    <xf numFmtId="9" fontId="87" fillId="0" borderId="3" xfId="2" applyFont="1" applyBorder="1" applyAlignment="1">
      <alignment horizontal="right" vertical="center"/>
    </xf>
    <xf numFmtId="167" fontId="87" fillId="0" borderId="3" xfId="1" applyNumberFormat="1" applyFont="1" applyBorder="1" applyAlignment="1">
      <alignment horizontal="left" vertical="center"/>
    </xf>
    <xf numFmtId="165" fontId="87" fillId="0" borderId="3" xfId="0" applyNumberFormat="1" applyFont="1" applyBorder="1" applyAlignment="1">
      <alignment horizontal="right" vertical="center"/>
    </xf>
    <xf numFmtId="0" fontId="87" fillId="0" borderId="3" xfId="0" applyFont="1" applyBorder="1" applyAlignment="1">
      <alignment horizontal="left" vertical="center"/>
    </xf>
    <xf numFmtId="0" fontId="88" fillId="0" borderId="0" xfId="0" applyFont="1" applyAlignment="1">
      <alignment vertical="center"/>
    </xf>
    <xf numFmtId="170" fontId="88" fillId="0" borderId="0" xfId="0" applyNumberFormat="1" applyFont="1" applyAlignment="1">
      <alignment vertical="center"/>
    </xf>
    <xf numFmtId="0" fontId="18" fillId="8" borderId="2" xfId="0" applyFont="1" applyFill="1" applyBorder="1" applyAlignment="1">
      <alignment vertical="center" wrapText="1"/>
    </xf>
    <xf numFmtId="0" fontId="87" fillId="0" borderId="0" xfId="0" applyFont="1" applyAlignment="1">
      <alignment vertical="center"/>
    </xf>
    <xf numFmtId="167" fontId="87" fillId="0" borderId="0" xfId="1" applyNumberFormat="1" applyFont="1" applyAlignment="1">
      <alignment horizontal="center" vertical="center"/>
    </xf>
    <xf numFmtId="9" fontId="87" fillId="0" borderId="0" xfId="2" applyFont="1" applyAlignment="1">
      <alignment horizontal="center" vertical="center"/>
    </xf>
    <xf numFmtId="167" fontId="87" fillId="0" borderId="0" xfId="0" applyNumberFormat="1" applyFont="1" applyAlignment="1">
      <alignment horizontal="center" vertical="center"/>
    </xf>
    <xf numFmtId="167" fontId="88" fillId="0" borderId="0" xfId="1" applyNumberFormat="1" applyFont="1" applyAlignment="1">
      <alignment horizontal="center" vertical="center"/>
    </xf>
    <xf numFmtId="167" fontId="88" fillId="0" borderId="0" xfId="1" applyNumberFormat="1" applyFont="1" applyBorder="1" applyAlignment="1">
      <alignment horizontal="center" vertical="center"/>
    </xf>
    <xf numFmtId="167" fontId="87" fillId="0" borderId="0" xfId="1" applyNumberFormat="1" applyFont="1" applyBorder="1" applyAlignment="1">
      <alignment horizontal="center" vertical="center"/>
    </xf>
    <xf numFmtId="167" fontId="88" fillId="0" borderId="3" xfId="1" applyNumberFormat="1" applyFont="1" applyBorder="1" applyAlignment="1">
      <alignment horizontal="center" vertical="center"/>
    </xf>
    <xf numFmtId="167" fontId="87" fillId="0" borderId="3" xfId="1" applyNumberFormat="1" applyFont="1" applyBorder="1" applyAlignment="1">
      <alignment horizontal="center" vertical="center"/>
    </xf>
    <xf numFmtId="9" fontId="87" fillId="0" borderId="3" xfId="2" applyFont="1" applyBorder="1" applyAlignment="1">
      <alignment horizontal="center" vertical="center"/>
    </xf>
    <xf numFmtId="167" fontId="87" fillId="0" borderId="0" xfId="1" applyNumberFormat="1" applyFont="1" applyBorder="1" applyAlignment="1">
      <alignment horizontal="left" vertical="center" wrapText="1"/>
    </xf>
    <xf numFmtId="165" fontId="87" fillId="0" borderId="0" xfId="0" applyNumberFormat="1" applyFont="1" applyAlignment="1">
      <alignment horizontal="center" vertical="center"/>
    </xf>
    <xf numFmtId="165" fontId="88" fillId="0" borderId="0" xfId="1" applyNumberFormat="1" applyFont="1" applyAlignment="1">
      <alignment horizontal="center" vertical="center"/>
    </xf>
    <xf numFmtId="167" fontId="87" fillId="0" borderId="3" xfId="1" applyNumberFormat="1" applyFont="1" applyBorder="1" applyAlignment="1">
      <alignment horizontal="right" vertical="center"/>
    </xf>
    <xf numFmtId="167" fontId="88" fillId="0" borderId="0" xfId="0" applyNumberFormat="1" applyFont="1" applyAlignment="1">
      <alignment horizontal="center" vertical="center"/>
    </xf>
    <xf numFmtId="167" fontId="88" fillId="0" borderId="0" xfId="1" applyNumberFormat="1" applyFont="1" applyBorder="1" applyAlignment="1">
      <alignment vertical="center"/>
    </xf>
    <xf numFmtId="167" fontId="88" fillId="0" borderId="3" xfId="1" applyNumberFormat="1" applyFont="1" applyBorder="1" applyAlignment="1">
      <alignment vertical="center"/>
    </xf>
    <xf numFmtId="0" fontId="99" fillId="8" borderId="2" xfId="0" applyFont="1" applyFill="1" applyBorder="1" applyAlignment="1">
      <alignment vertical="center" wrapText="1"/>
    </xf>
    <xf numFmtId="17" fontId="19" fillId="8" borderId="2" xfId="0" applyNumberFormat="1" applyFont="1" applyFill="1" applyBorder="1" applyAlignment="1">
      <alignment horizontal="center" vertical="center"/>
    </xf>
    <xf numFmtId="17" fontId="19" fillId="8" borderId="2" xfId="0" quotePrefix="1" applyNumberFormat="1" applyFont="1" applyFill="1" applyBorder="1" applyAlignment="1">
      <alignment horizontal="center" vertical="center"/>
    </xf>
    <xf numFmtId="0" fontId="19" fillId="9" borderId="2" xfId="0" quotePrefix="1" applyFont="1" applyFill="1" applyBorder="1" applyAlignment="1">
      <alignment horizontal="center" vertical="center"/>
    </xf>
    <xf numFmtId="167" fontId="87" fillId="0" borderId="0" xfId="1" applyNumberFormat="1" applyFont="1" applyAlignment="1">
      <alignment horizontal="right" vertical="center"/>
    </xf>
    <xf numFmtId="167" fontId="87" fillId="0" borderId="0" xfId="0" applyNumberFormat="1" applyFont="1" applyAlignment="1">
      <alignment horizontal="right" vertical="center"/>
    </xf>
    <xf numFmtId="165" fontId="87" fillId="0" borderId="0" xfId="0" applyNumberFormat="1" applyFont="1" applyAlignment="1">
      <alignment horizontal="right" vertical="center"/>
    </xf>
    <xf numFmtId="9" fontId="87" fillId="0" borderId="0" xfId="2" applyFont="1" applyAlignment="1">
      <alignment horizontal="right" vertical="center"/>
    </xf>
    <xf numFmtId="167" fontId="88" fillId="0" borderId="0" xfId="1" applyNumberFormat="1" applyFont="1" applyAlignment="1">
      <alignment horizontal="right" vertical="center"/>
    </xf>
    <xf numFmtId="165" fontId="101" fillId="0" borderId="0" xfId="571" applyNumberFormat="1" applyFont="1" applyAlignment="1">
      <alignment horizontal="right" vertical="center"/>
    </xf>
    <xf numFmtId="167" fontId="96" fillId="0" borderId="0" xfId="0" applyNumberFormat="1" applyFont="1" applyAlignment="1">
      <alignment horizontal="right" vertical="center"/>
    </xf>
    <xf numFmtId="165" fontId="101" fillId="0" borderId="0" xfId="0" applyNumberFormat="1" applyFont="1" applyAlignment="1">
      <alignment horizontal="right" vertical="center"/>
    </xf>
    <xf numFmtId="9" fontId="101" fillId="0" borderId="0" xfId="2" applyFont="1" applyAlignment="1">
      <alignment horizontal="right" vertical="center"/>
    </xf>
    <xf numFmtId="167" fontId="88" fillId="0" borderId="0" xfId="0" applyNumberFormat="1" applyFont="1" applyAlignment="1">
      <alignment horizontal="right" vertical="center"/>
    </xf>
    <xf numFmtId="9" fontId="88" fillId="0" borderId="0" xfId="2" applyFont="1" applyAlignment="1">
      <alignment horizontal="right" vertical="center"/>
    </xf>
    <xf numFmtId="0" fontId="87" fillId="0" borderId="13" xfId="0" applyFont="1" applyBorder="1" applyAlignment="1">
      <alignment vertical="center"/>
    </xf>
    <xf numFmtId="166" fontId="88" fillId="0" borderId="13" xfId="0" applyNumberFormat="1" applyFont="1" applyBorder="1" applyAlignment="1">
      <alignment horizontal="right" vertical="center"/>
    </xf>
    <xf numFmtId="167" fontId="88" fillId="0" borderId="13" xfId="0" applyNumberFormat="1" applyFont="1" applyBorder="1" applyAlignment="1">
      <alignment horizontal="right" vertical="center"/>
    </xf>
    <xf numFmtId="167" fontId="88" fillId="0" borderId="13" xfId="1" applyNumberFormat="1" applyFont="1" applyBorder="1" applyAlignment="1">
      <alignment horizontal="right" vertical="center"/>
    </xf>
    <xf numFmtId="9" fontId="88" fillId="0" borderId="13" xfId="2" applyFont="1" applyBorder="1" applyAlignment="1">
      <alignment horizontal="right" vertical="center"/>
    </xf>
    <xf numFmtId="165" fontId="96" fillId="0" borderId="0" xfId="0" applyNumberFormat="1" applyFont="1" applyAlignment="1">
      <alignment horizontal="right" vertical="center"/>
    </xf>
    <xf numFmtId="167" fontId="96" fillId="0" borderId="0" xfId="1" applyNumberFormat="1" applyFont="1" applyAlignment="1">
      <alignment horizontal="right" vertical="center"/>
    </xf>
    <xf numFmtId="9" fontId="96" fillId="0" borderId="0" xfId="2" applyFont="1" applyAlignment="1">
      <alignment horizontal="right" vertical="center"/>
    </xf>
    <xf numFmtId="0" fontId="96" fillId="0" borderId="0" xfId="0" applyFont="1" applyAlignment="1">
      <alignment horizontal="right" vertical="center"/>
    </xf>
    <xf numFmtId="167" fontId="88" fillId="0" borderId="13" xfId="0" applyNumberFormat="1" applyFont="1" applyBorder="1" applyAlignment="1">
      <alignment vertical="center"/>
    </xf>
    <xf numFmtId="166" fontId="88" fillId="0" borderId="13" xfId="1" applyNumberFormat="1" applyFont="1" applyBorder="1" applyAlignment="1">
      <alignment horizontal="right" vertical="center"/>
    </xf>
    <xf numFmtId="0" fontId="21" fillId="0" borderId="0" xfId="0" applyFont="1" applyAlignment="1">
      <alignment vertical="center"/>
    </xf>
    <xf numFmtId="165" fontId="88" fillId="0" borderId="0" xfId="1" applyNumberFormat="1" applyFont="1" applyAlignment="1">
      <alignment horizontal="left" vertical="center"/>
    </xf>
    <xf numFmtId="165" fontId="88" fillId="0" borderId="0" xfId="1" applyNumberFormat="1" applyFont="1" applyBorder="1" applyAlignment="1">
      <alignment horizontal="left" vertical="center"/>
    </xf>
    <xf numFmtId="165" fontId="88" fillId="0" borderId="3" xfId="1" applyNumberFormat="1" applyFont="1" applyBorder="1" applyAlignment="1">
      <alignment horizontal="left" vertical="center"/>
    </xf>
    <xf numFmtId="43" fontId="88" fillId="0" borderId="0" xfId="0" applyNumberFormat="1" applyFont="1" applyAlignment="1">
      <alignment vertical="center"/>
    </xf>
    <xf numFmtId="0" fontId="88" fillId="0" borderId="0" xfId="0" applyFont="1" applyAlignment="1">
      <alignment horizontal="left" vertical="center"/>
    </xf>
    <xf numFmtId="0" fontId="21" fillId="0" borderId="13" xfId="0" applyFont="1" applyBorder="1" applyAlignment="1">
      <alignment vertical="center"/>
    </xf>
    <xf numFmtId="0" fontId="54" fillId="0" borderId="0" xfId="0" applyFont="1" applyAlignment="1">
      <alignment vertical="center"/>
    </xf>
    <xf numFmtId="170" fontId="21" fillId="0" borderId="0" xfId="0" applyNumberFormat="1" applyFont="1" applyAlignment="1">
      <alignment vertical="center"/>
    </xf>
    <xf numFmtId="9" fontId="21" fillId="0" borderId="0" xfId="2" applyFont="1" applyAlignment="1">
      <alignment vertical="center"/>
    </xf>
    <xf numFmtId="0" fontId="22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9" fontId="20" fillId="0" borderId="0" xfId="2" applyFont="1" applyAlignment="1">
      <alignment horizontal="center" vertical="center"/>
    </xf>
    <xf numFmtId="0" fontId="20" fillId="0" borderId="0" xfId="0" applyFont="1" applyAlignment="1">
      <alignment vertical="center"/>
    </xf>
    <xf numFmtId="0" fontId="102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167" fontId="20" fillId="0" borderId="0" xfId="0" applyNumberFormat="1" applyFont="1" applyAlignment="1">
      <alignment vertical="center"/>
    </xf>
    <xf numFmtId="165" fontId="20" fillId="0" borderId="0" xfId="0" applyNumberFormat="1" applyFont="1" applyAlignment="1">
      <alignment vertical="center"/>
    </xf>
    <xf numFmtId="9" fontId="20" fillId="0" borderId="0" xfId="2" applyFont="1" applyAlignment="1">
      <alignment horizontal="right" vertical="center"/>
    </xf>
    <xf numFmtId="43" fontId="21" fillId="0" borderId="0" xfId="0" applyNumberFormat="1" applyFont="1" applyAlignment="1">
      <alignment vertical="center"/>
    </xf>
    <xf numFmtId="165" fontId="88" fillId="0" borderId="0" xfId="0" applyNumberFormat="1" applyFont="1" applyAlignment="1">
      <alignment horizontal="right" vertical="center"/>
    </xf>
    <xf numFmtId="167" fontId="88" fillId="0" borderId="0" xfId="1" applyNumberFormat="1" applyFont="1" applyFill="1" applyAlignment="1">
      <alignment horizontal="right" vertical="center"/>
    </xf>
    <xf numFmtId="165" fontId="88" fillId="0" borderId="0" xfId="1" applyNumberFormat="1" applyFont="1" applyAlignment="1">
      <alignment horizontal="right" vertical="center"/>
    </xf>
    <xf numFmtId="172" fontId="88" fillId="0" borderId="13" xfId="0" applyNumberFormat="1" applyFont="1" applyBorder="1" applyAlignment="1">
      <alignment horizontal="right" vertical="center"/>
    </xf>
    <xf numFmtId="0" fontId="88" fillId="0" borderId="13" xfId="0" applyFont="1" applyBorder="1" applyAlignment="1">
      <alignment horizontal="right" vertical="center"/>
    </xf>
    <xf numFmtId="0" fontId="98" fillId="0" borderId="0" xfId="0" applyFont="1" applyAlignment="1">
      <alignment vertical="center"/>
    </xf>
    <xf numFmtId="165" fontId="21" fillId="0" borderId="0" xfId="1" applyNumberFormat="1" applyFont="1" applyAlignment="1">
      <alignment vertical="center"/>
    </xf>
    <xf numFmtId="165" fontId="21" fillId="0" borderId="0" xfId="0" applyNumberFormat="1" applyFont="1" applyAlignment="1">
      <alignment vertical="center"/>
    </xf>
    <xf numFmtId="165" fontId="88" fillId="0" borderId="0" xfId="1" applyNumberFormat="1" applyFont="1" applyFill="1" applyBorder="1" applyAlignment="1">
      <alignment horizontal="right" vertical="center"/>
    </xf>
    <xf numFmtId="167" fontId="87" fillId="0" borderId="0" xfId="1" applyNumberFormat="1" applyFont="1" applyFill="1" applyBorder="1" applyAlignment="1">
      <alignment horizontal="right" vertical="center"/>
    </xf>
    <xf numFmtId="167" fontId="87" fillId="0" borderId="0" xfId="1" applyNumberFormat="1" applyFont="1" applyFill="1" applyAlignment="1">
      <alignment horizontal="right" vertical="center"/>
    </xf>
    <xf numFmtId="167" fontId="21" fillId="0" borderId="0" xfId="1" applyNumberFormat="1" applyFont="1" applyAlignment="1">
      <alignment vertical="center"/>
    </xf>
    <xf numFmtId="166" fontId="88" fillId="0" borderId="0" xfId="2" applyNumberFormat="1" applyFont="1" applyFill="1" applyAlignment="1">
      <alignment horizontal="right" vertical="center"/>
    </xf>
    <xf numFmtId="167" fontId="87" fillId="0" borderId="0" xfId="2" applyNumberFormat="1" applyFont="1" applyFill="1" applyAlignment="1">
      <alignment horizontal="right" vertical="center"/>
    </xf>
    <xf numFmtId="166" fontId="88" fillId="0" borderId="0" xfId="2" applyNumberFormat="1" applyFont="1" applyAlignment="1">
      <alignment horizontal="right" vertical="center"/>
    </xf>
    <xf numFmtId="0" fontId="103" fillId="0" borderId="0" xfId="0" applyFont="1" applyAlignment="1">
      <alignment vertical="center"/>
    </xf>
    <xf numFmtId="0" fontId="104" fillId="0" borderId="0" xfId="0" applyFont="1" applyAlignment="1">
      <alignment vertical="center"/>
    </xf>
    <xf numFmtId="167" fontId="103" fillId="0" borderId="0" xfId="1" applyNumberFormat="1" applyFont="1" applyAlignment="1">
      <alignment vertical="center"/>
    </xf>
    <xf numFmtId="0" fontId="104" fillId="0" borderId="0" xfId="0" applyFont="1" applyAlignment="1">
      <alignment horizontal="left" vertical="center"/>
    </xf>
    <xf numFmtId="167" fontId="104" fillId="0" borderId="0" xfId="1" applyNumberFormat="1" applyFont="1" applyAlignment="1">
      <alignment vertical="center"/>
    </xf>
    <xf numFmtId="3" fontId="40" fillId="0" borderId="0" xfId="0" applyNumberFormat="1" applyFont="1" applyAlignment="1">
      <alignment horizontal="right"/>
    </xf>
    <xf numFmtId="173" fontId="82" fillId="0" borderId="1" xfId="0" applyNumberFormat="1" applyFont="1" applyBorder="1"/>
    <xf numFmtId="173" fontId="56" fillId="0" borderId="1" xfId="0" applyNumberFormat="1" applyFont="1" applyBorder="1" applyAlignment="1">
      <alignment horizontal="right"/>
    </xf>
    <xf numFmtId="0" fontId="40" fillId="41" borderId="1" xfId="0" applyFont="1" applyFill="1" applyBorder="1"/>
    <xf numFmtId="173" fontId="81" fillId="0" borderId="1" xfId="0" applyNumberFormat="1" applyFont="1" applyBorder="1"/>
    <xf numFmtId="165" fontId="87" fillId="0" borderId="0" xfId="571" applyNumberFormat="1" applyFont="1" applyAlignment="1">
      <alignment horizontal="right" vertical="center"/>
    </xf>
    <xf numFmtId="0" fontId="96" fillId="0" borderId="0" xfId="0" applyFont="1" applyAlignment="1">
      <alignment horizontal="left" vertical="center"/>
    </xf>
    <xf numFmtId="3" fontId="0" fillId="0" borderId="17" xfId="0" applyNumberFormat="1" applyBorder="1"/>
    <xf numFmtId="165" fontId="40" fillId="0" borderId="1" xfId="1" applyNumberFormat="1" applyFont="1" applyBorder="1" applyAlignment="1">
      <alignment horizontal="right"/>
    </xf>
    <xf numFmtId="0" fontId="106" fillId="0" borderId="0" xfId="0" applyFont="1"/>
    <xf numFmtId="1" fontId="106" fillId="0" borderId="0" xfId="1" applyNumberFormat="1" applyFont="1"/>
    <xf numFmtId="0" fontId="40" fillId="42" borderId="0" xfId="0" applyFont="1" applyFill="1"/>
    <xf numFmtId="165" fontId="40" fillId="0" borderId="17" xfId="1" applyNumberFormat="1" applyFont="1" applyBorder="1" applyAlignment="1">
      <alignment horizontal="right"/>
    </xf>
    <xf numFmtId="0" fontId="40" fillId="42" borderId="1" xfId="0" applyFont="1" applyFill="1" applyBorder="1"/>
    <xf numFmtId="3" fontId="40" fillId="0" borderId="1" xfId="0" applyNumberFormat="1" applyFont="1" applyBorder="1" applyAlignment="1">
      <alignment horizontal="right"/>
    </xf>
    <xf numFmtId="3" fontId="56" fillId="0" borderId="1" xfId="0" applyNumberFormat="1" applyFont="1" applyBorder="1" applyAlignment="1">
      <alignment horizontal="right"/>
    </xf>
    <xf numFmtId="165" fontId="106" fillId="0" borderId="0" xfId="1" applyNumberFormat="1" applyFont="1"/>
    <xf numFmtId="165" fontId="91" fillId="0" borderId="0" xfId="1" applyNumberFormat="1" applyFont="1" applyFill="1"/>
    <xf numFmtId="1" fontId="0" fillId="0" borderId="0" xfId="0" applyNumberFormat="1"/>
    <xf numFmtId="165" fontId="87" fillId="0" borderId="0" xfId="1" applyNumberFormat="1" applyFont="1" applyAlignment="1">
      <alignment vertical="center" wrapText="1"/>
    </xf>
    <xf numFmtId="165" fontId="108" fillId="0" borderId="0" xfId="1" applyNumberFormat="1" applyFont="1" applyAlignment="1">
      <alignment vertical="center" wrapText="1"/>
    </xf>
    <xf numFmtId="0" fontId="109" fillId="49" borderId="0" xfId="0" applyFont="1" applyFill="1" applyAlignment="1">
      <alignment wrapText="1"/>
    </xf>
    <xf numFmtId="0" fontId="109" fillId="0" borderId="0" xfId="0" applyFont="1" applyAlignment="1">
      <alignment wrapText="1"/>
    </xf>
    <xf numFmtId="0" fontId="109" fillId="0" borderId="0" xfId="0" applyFont="1"/>
    <xf numFmtId="166" fontId="88" fillId="0" borderId="0" xfId="0" applyNumberFormat="1" applyFont="1" applyAlignment="1">
      <alignment horizontal="right" vertical="center"/>
    </xf>
    <xf numFmtId="166" fontId="88" fillId="0" borderId="0" xfId="1" applyNumberFormat="1" applyFont="1" applyAlignment="1">
      <alignment horizontal="right" vertical="center"/>
    </xf>
    <xf numFmtId="9" fontId="87" fillId="0" borderId="0" xfId="2" applyFont="1" applyBorder="1" applyAlignment="1">
      <alignment horizontal="right" vertical="center"/>
    </xf>
    <xf numFmtId="9" fontId="88" fillId="0" borderId="3" xfId="2" applyFont="1" applyBorder="1" applyAlignment="1">
      <alignment horizontal="center" vertical="center"/>
    </xf>
    <xf numFmtId="171" fontId="109" fillId="0" borderId="0" xfId="0" applyNumberFormat="1" applyFont="1"/>
    <xf numFmtId="171" fontId="0" fillId="0" borderId="0" xfId="1" applyNumberFormat="1" applyFont="1"/>
    <xf numFmtId="10" fontId="21" fillId="0" borderId="0" xfId="0" applyNumberFormat="1" applyFont="1" applyAlignment="1">
      <alignment vertical="center"/>
    </xf>
    <xf numFmtId="171" fontId="62" fillId="0" borderId="1" xfId="1" applyNumberFormat="1" applyFont="1" applyBorder="1" applyAlignment="1">
      <alignment horizontal="left" indent="1"/>
    </xf>
    <xf numFmtId="171" fontId="44" fillId="0" borderId="1" xfId="1" applyNumberFormat="1" applyFont="1" applyBorder="1" applyAlignment="1">
      <alignment horizontal="left" indent="1"/>
    </xf>
    <xf numFmtId="171" fontId="44" fillId="0" borderId="1" xfId="1" applyNumberFormat="1" applyFont="1" applyBorder="1"/>
    <xf numFmtId="171" fontId="62" fillId="0" borderId="1" xfId="1" applyNumberFormat="1" applyFont="1" applyBorder="1"/>
    <xf numFmtId="173" fontId="56" fillId="0" borderId="16" xfId="0" applyNumberFormat="1" applyFont="1" applyBorder="1" applyAlignment="1">
      <alignment horizontal="right"/>
    </xf>
    <xf numFmtId="173" fontId="56" fillId="0" borderId="18" xfId="0" applyNumberFormat="1" applyFont="1" applyBorder="1" applyAlignment="1">
      <alignment horizontal="right"/>
    </xf>
    <xf numFmtId="0" fontId="40" fillId="0" borderId="1" xfId="0" applyFont="1" applyBorder="1" applyAlignment="1">
      <alignment horizontal="center"/>
    </xf>
    <xf numFmtId="0" fontId="56" fillId="0" borderId="1" xfId="0" applyFont="1" applyBorder="1"/>
    <xf numFmtId="165" fontId="0" fillId="0" borderId="19" xfId="1" applyNumberFormat="1" applyFont="1" applyBorder="1"/>
    <xf numFmtId="165" fontId="0" fillId="0" borderId="21" xfId="0" applyNumberFormat="1" applyBorder="1"/>
    <xf numFmtId="0" fontId="19" fillId="0" borderId="0" xfId="0" applyFont="1" applyAlignment="1">
      <alignment horizontal="center" vertical="center"/>
    </xf>
    <xf numFmtId="9" fontId="87" fillId="0" borderId="0" xfId="2" applyFont="1" applyFill="1" applyBorder="1" applyAlignment="1">
      <alignment horizontal="right" vertical="center"/>
    </xf>
    <xf numFmtId="167" fontId="101" fillId="0" borderId="0" xfId="1" applyNumberFormat="1" applyFont="1" applyFill="1" applyBorder="1" applyAlignment="1">
      <alignment horizontal="right" vertical="center"/>
    </xf>
    <xf numFmtId="9" fontId="101" fillId="0" borderId="0" xfId="2" applyFont="1" applyFill="1" applyBorder="1" applyAlignment="1">
      <alignment horizontal="right" vertical="center"/>
    </xf>
    <xf numFmtId="167" fontId="88" fillId="0" borderId="0" xfId="1" applyNumberFormat="1" applyFont="1" applyFill="1" applyBorder="1" applyAlignment="1">
      <alignment horizontal="right" vertical="center"/>
    </xf>
    <xf numFmtId="9" fontId="88" fillId="0" borderId="0" xfId="2" applyFont="1" applyFill="1" applyBorder="1" applyAlignment="1">
      <alignment horizontal="right" vertical="center"/>
    </xf>
    <xf numFmtId="165" fontId="87" fillId="0" borderId="0" xfId="1" applyNumberFormat="1" applyFont="1" applyAlignment="1">
      <alignment horizontal="right" vertical="center"/>
    </xf>
    <xf numFmtId="165" fontId="101" fillId="0" borderId="0" xfId="1" applyNumberFormat="1" applyFont="1" applyAlignment="1">
      <alignment horizontal="right" vertical="center"/>
    </xf>
    <xf numFmtId="172" fontId="21" fillId="0" borderId="0" xfId="0" applyNumberFormat="1" applyFont="1" applyAlignment="1">
      <alignment vertical="center"/>
    </xf>
    <xf numFmtId="167" fontId="21" fillId="0" borderId="0" xfId="0" applyNumberFormat="1" applyFont="1"/>
    <xf numFmtId="165" fontId="105" fillId="0" borderId="0" xfId="0" applyNumberFormat="1" applyFont="1" applyAlignment="1">
      <alignment vertical="center"/>
    </xf>
    <xf numFmtId="175" fontId="0" fillId="0" borderId="0" xfId="0" applyNumberFormat="1"/>
    <xf numFmtId="0" fontId="39" fillId="0" borderId="0" xfId="0" applyFont="1"/>
    <xf numFmtId="3" fontId="0" fillId="0" borderId="1" xfId="0" applyNumberFormat="1" applyBorder="1"/>
    <xf numFmtId="0" fontId="112" fillId="0" borderId="0" xfId="0" applyFont="1"/>
    <xf numFmtId="173" fontId="113" fillId="0" borderId="36" xfId="0" applyNumberFormat="1" applyFont="1" applyBorder="1"/>
    <xf numFmtId="173" fontId="113" fillId="0" borderId="1" xfId="0" applyNumberFormat="1" applyFont="1" applyBorder="1"/>
    <xf numFmtId="0" fontId="56" fillId="0" borderId="16" xfId="0" applyFont="1" applyBorder="1"/>
    <xf numFmtId="3" fontId="40" fillId="0" borderId="1" xfId="0" applyNumberFormat="1" applyFont="1" applyBorder="1"/>
    <xf numFmtId="0" fontId="40" fillId="0" borderId="1" xfId="0" applyFont="1" applyBorder="1"/>
    <xf numFmtId="0" fontId="56" fillId="0" borderId="2" xfId="0" applyFont="1" applyBorder="1"/>
    <xf numFmtId="173" fontId="56" fillId="0" borderId="23" xfId="0" applyNumberFormat="1" applyFont="1" applyBorder="1"/>
    <xf numFmtId="3" fontId="3" fillId="0" borderId="1" xfId="0" applyNumberFormat="1" applyFont="1" applyBorder="1"/>
    <xf numFmtId="0" fontId="40" fillId="42" borderId="15" xfId="0" applyFont="1" applyFill="1" applyBorder="1"/>
    <xf numFmtId="3" fontId="56" fillId="0" borderId="16" xfId="0" applyNumberFormat="1" applyFont="1" applyBorder="1" applyAlignment="1">
      <alignment horizontal="right"/>
    </xf>
    <xf numFmtId="0" fontId="0" fillId="0" borderId="1" xfId="0" applyBorder="1" applyAlignment="1">
      <alignment horizontal="right"/>
    </xf>
    <xf numFmtId="0" fontId="61" fillId="0" borderId="1" xfId="0" applyFont="1" applyBorder="1" applyAlignment="1">
      <alignment horizontal="right"/>
    </xf>
    <xf numFmtId="3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3" fillId="0" borderId="17" xfId="0" applyFont="1" applyBorder="1" applyAlignment="1">
      <alignment horizontal="right"/>
    </xf>
    <xf numFmtId="165" fontId="114" fillId="0" borderId="0" xfId="1" applyNumberFormat="1" applyFont="1" applyAlignment="1" applyProtection="1">
      <alignment wrapText="1"/>
      <protection hidden="1"/>
    </xf>
    <xf numFmtId="166" fontId="87" fillId="0" borderId="0" xfId="2" applyNumberFormat="1" applyFont="1" applyAlignment="1">
      <alignment horizontal="right" vertical="center"/>
    </xf>
    <xf numFmtId="166" fontId="87" fillId="0" borderId="0" xfId="2" applyNumberFormat="1" applyFont="1" applyBorder="1" applyAlignment="1">
      <alignment horizontal="right" vertical="center"/>
    </xf>
    <xf numFmtId="166" fontId="87" fillId="0" borderId="3" xfId="2" applyNumberFormat="1" applyFont="1" applyBorder="1" applyAlignment="1">
      <alignment horizontal="right" vertical="center"/>
    </xf>
    <xf numFmtId="166" fontId="88" fillId="0" borderId="3" xfId="2" applyNumberFormat="1" applyFont="1" applyBorder="1" applyAlignment="1">
      <alignment horizontal="right" vertical="center"/>
    </xf>
    <xf numFmtId="0" fontId="92" fillId="0" borderId="14" xfId="0" applyFont="1" applyBorder="1"/>
    <xf numFmtId="0" fontId="96" fillId="0" borderId="0" xfId="0" applyFont="1" applyAlignment="1">
      <alignment horizontal="left" vertical="center" indent="1"/>
    </xf>
    <xf numFmtId="0" fontId="88" fillId="0" borderId="0" xfId="0" applyFont="1" applyAlignment="1">
      <alignment horizontal="left" vertical="center" indent="1"/>
    </xf>
    <xf numFmtId="167" fontId="22" fillId="0" borderId="0" xfId="1" applyNumberFormat="1" applyFont="1" applyAlignment="1">
      <alignment vertical="center"/>
    </xf>
    <xf numFmtId="9" fontId="88" fillId="0" borderId="0" xfId="2" applyFont="1" applyBorder="1" applyAlignment="1">
      <alignment horizontal="center" vertical="center"/>
    </xf>
    <xf numFmtId="166" fontId="0" fillId="0" borderId="0" xfId="0" applyNumberFormat="1"/>
    <xf numFmtId="43" fontId="87" fillId="0" borderId="0" xfId="1" applyFont="1" applyAlignment="1">
      <alignment horizontal="center" vertical="center"/>
    </xf>
    <xf numFmtId="43" fontId="88" fillId="0" borderId="0" xfId="1" applyFont="1" applyAlignment="1">
      <alignment horizontal="center" vertical="center"/>
    </xf>
    <xf numFmtId="173" fontId="92" fillId="0" borderId="14" xfId="0" applyNumberFormat="1" applyFont="1" applyBorder="1"/>
    <xf numFmtId="173" fontId="92" fillId="0" borderId="25" xfId="0" applyNumberFormat="1" applyFont="1" applyBorder="1" applyAlignment="1">
      <alignment horizontal="right"/>
    </xf>
    <xf numFmtId="173" fontId="3" fillId="0" borderId="25" xfId="0" applyNumberFormat="1" applyFont="1" applyBorder="1"/>
    <xf numFmtId="173" fontId="92" fillId="0" borderId="28" xfId="0" applyNumberFormat="1" applyFont="1" applyBorder="1"/>
    <xf numFmtId="173" fontId="3" fillId="0" borderId="17" xfId="0" applyNumberFormat="1" applyFont="1" applyBorder="1"/>
    <xf numFmtId="173" fontId="0" fillId="0" borderId="1" xfId="0" applyNumberFormat="1" applyBorder="1"/>
    <xf numFmtId="173" fontId="3" fillId="0" borderId="1" xfId="0" applyNumberFormat="1" applyFont="1" applyBorder="1"/>
    <xf numFmtId="173" fontId="0" fillId="0" borderId="14" xfId="0" applyNumberFormat="1" applyBorder="1"/>
    <xf numFmtId="173" fontId="0" fillId="0" borderId="16" xfId="0" applyNumberFormat="1" applyBorder="1"/>
    <xf numFmtId="173" fontId="3" fillId="0" borderId="14" xfId="0" applyNumberFormat="1" applyFont="1" applyBorder="1"/>
    <xf numFmtId="173" fontId="0" fillId="0" borderId="28" xfId="0" applyNumberFormat="1" applyBorder="1" applyAlignment="1">
      <alignment horizontal="right"/>
    </xf>
    <xf numFmtId="173" fontId="78" fillId="0" borderId="28" xfId="0" applyNumberFormat="1" applyFont="1" applyBorder="1" applyAlignment="1">
      <alignment horizontal="right"/>
    </xf>
    <xf numFmtId="173" fontId="92" fillId="0" borderId="25" xfId="0" applyNumberFormat="1" applyFont="1" applyBorder="1"/>
    <xf numFmtId="165" fontId="116" fillId="0" borderId="0" xfId="1" applyNumberFormat="1" applyFont="1" applyAlignment="1">
      <alignment vertical="center" wrapText="1"/>
    </xf>
    <xf numFmtId="166" fontId="87" fillId="0" borderId="0" xfId="2" applyNumberFormat="1" applyFont="1" applyAlignment="1">
      <alignment horizontal="right"/>
    </xf>
    <xf numFmtId="165" fontId="108" fillId="0" borderId="0" xfId="1" applyNumberFormat="1" applyFont="1" applyAlignment="1">
      <alignment vertical="center"/>
    </xf>
    <xf numFmtId="165" fontId="116" fillId="0" borderId="0" xfId="1" applyNumberFormat="1" applyFont="1" applyAlignment="1">
      <alignment vertical="center"/>
    </xf>
    <xf numFmtId="165" fontId="117" fillId="0" borderId="0" xfId="1" applyNumberFormat="1" applyFont="1" applyAlignment="1">
      <alignment vertical="center"/>
    </xf>
    <xf numFmtId="165" fontId="116" fillId="0" borderId="0" xfId="1" applyNumberFormat="1" applyFont="1" applyBorder="1" applyAlignment="1">
      <alignment vertical="center"/>
    </xf>
    <xf numFmtId="165" fontId="108" fillId="0" borderId="3" xfId="1" applyNumberFormat="1" applyFont="1" applyBorder="1" applyAlignment="1">
      <alignment vertical="center"/>
    </xf>
    <xf numFmtId="0" fontId="116" fillId="0" borderId="0" xfId="0" applyFont="1" applyAlignment="1">
      <alignment vertical="center"/>
    </xf>
    <xf numFmtId="165" fontId="108" fillId="0" borderId="0" xfId="1" applyNumberFormat="1" applyFont="1" applyBorder="1" applyAlignment="1">
      <alignment vertical="center"/>
    </xf>
    <xf numFmtId="167" fontId="87" fillId="0" borderId="0" xfId="1" applyNumberFormat="1" applyFont="1" applyFill="1" applyBorder="1" applyAlignment="1">
      <alignment horizontal="center" vertical="center"/>
    </xf>
    <xf numFmtId="165" fontId="87" fillId="0" borderId="3" xfId="1" applyNumberFormat="1" applyFont="1" applyBorder="1" applyAlignment="1">
      <alignment vertical="center"/>
    </xf>
    <xf numFmtId="17" fontId="118" fillId="0" borderId="0" xfId="0" applyNumberFormat="1" applyFont="1" applyAlignment="1">
      <alignment horizontal="left" vertical="center"/>
    </xf>
    <xf numFmtId="0" fontId="92" fillId="0" borderId="28" xfId="0" applyFont="1" applyBorder="1"/>
    <xf numFmtId="173" fontId="92" fillId="0" borderId="45" xfId="0" applyNumberFormat="1" applyFont="1" applyBorder="1"/>
    <xf numFmtId="173" fontId="3" fillId="0" borderId="27" xfId="0" applyNumberFormat="1" applyFont="1" applyBorder="1"/>
    <xf numFmtId="173" fontId="0" fillId="0" borderId="26" xfId="0" applyNumberFormat="1" applyBorder="1"/>
    <xf numFmtId="0" fontId="19" fillId="9" borderId="2" xfId="0" applyFont="1" applyFill="1" applyBorder="1" applyAlignment="1">
      <alignment horizontal="right" vertical="center" wrapText="1"/>
    </xf>
    <xf numFmtId="167" fontId="87" fillId="0" borderId="0" xfId="571" applyNumberFormat="1" applyFont="1" applyAlignment="1">
      <alignment horizontal="right" vertical="center"/>
    </xf>
    <xf numFmtId="167" fontId="87" fillId="0" borderId="0" xfId="1" applyNumberFormat="1" applyFont="1" applyBorder="1" applyAlignment="1">
      <alignment horizontal="right" vertical="center"/>
    </xf>
    <xf numFmtId="167" fontId="88" fillId="0" borderId="0" xfId="1" applyNumberFormat="1" applyFont="1" applyBorder="1" applyAlignment="1">
      <alignment horizontal="right" vertical="center"/>
    </xf>
    <xf numFmtId="167" fontId="88" fillId="0" borderId="3" xfId="1" applyNumberFormat="1" applyFont="1" applyBorder="1" applyAlignment="1">
      <alignment horizontal="right" vertical="center"/>
    </xf>
    <xf numFmtId="165" fontId="0" fillId="0" borderId="0" xfId="1" applyNumberFormat="1" applyFont="1" applyAlignment="1">
      <alignment horizontal="left" indent="1"/>
    </xf>
    <xf numFmtId="165" fontId="3" fillId="0" borderId="0" xfId="1" applyNumberFormat="1" applyFont="1" applyAlignment="1">
      <alignment horizontal="left" indent="1"/>
    </xf>
    <xf numFmtId="43" fontId="87" fillId="0" borderId="0" xfId="0" applyNumberFormat="1" applyFont="1" applyAlignment="1">
      <alignment horizontal="center" vertical="center"/>
    </xf>
    <xf numFmtId="43" fontId="87" fillId="0" borderId="0" xfId="0" applyNumberFormat="1" applyFont="1" applyAlignment="1">
      <alignment vertical="center"/>
    </xf>
    <xf numFmtId="43" fontId="87" fillId="0" borderId="3" xfId="1" applyFont="1" applyBorder="1" applyAlignment="1">
      <alignment horizontal="center" vertical="center"/>
    </xf>
    <xf numFmtId="166" fontId="87" fillId="0" borderId="0" xfId="2" applyNumberFormat="1" applyFont="1" applyAlignment="1">
      <alignment horizontal="center" vertical="center"/>
    </xf>
    <xf numFmtId="166" fontId="87" fillId="0" borderId="0" xfId="2" applyNumberFormat="1" applyFont="1" applyFill="1" applyAlignment="1">
      <alignment horizontal="center" vertical="center"/>
    </xf>
    <xf numFmtId="166" fontId="87" fillId="0" borderId="0" xfId="2" applyNumberFormat="1" applyFont="1" applyFill="1" applyBorder="1" applyAlignment="1">
      <alignment horizontal="center" vertical="center"/>
    </xf>
    <xf numFmtId="179" fontId="21" fillId="0" borderId="0" xfId="0" applyNumberFormat="1" applyFont="1" applyAlignment="1">
      <alignment vertical="center"/>
    </xf>
    <xf numFmtId="167" fontId="1" fillId="0" borderId="1" xfId="1" applyNumberFormat="1" applyFont="1" applyBorder="1"/>
    <xf numFmtId="43" fontId="87" fillId="0" borderId="0" xfId="1" applyFont="1" applyAlignment="1">
      <alignment horizontal="left" vertical="center"/>
    </xf>
    <xf numFmtId="43" fontId="87" fillId="0" borderId="0" xfId="1" applyFont="1" applyAlignment="1">
      <alignment vertical="center"/>
    </xf>
    <xf numFmtId="43" fontId="88" fillId="0" borderId="0" xfId="1" applyFont="1" applyAlignment="1">
      <alignment horizontal="left" vertical="center"/>
    </xf>
    <xf numFmtId="167" fontId="87" fillId="0" borderId="0" xfId="1" applyNumberFormat="1" applyFont="1" applyAlignment="1">
      <alignment vertical="center" wrapText="1"/>
    </xf>
    <xf numFmtId="9" fontId="87" fillId="0" borderId="0" xfId="2" applyFont="1" applyAlignment="1">
      <alignment horizontal="right" vertical="center" wrapText="1"/>
    </xf>
    <xf numFmtId="43" fontId="87" fillId="0" borderId="0" xfId="1" applyFont="1" applyAlignment="1">
      <alignment vertical="center" wrapText="1"/>
    </xf>
    <xf numFmtId="174" fontId="19" fillId="8" borderId="2" xfId="0" applyNumberFormat="1" applyFont="1" applyFill="1" applyBorder="1" applyAlignment="1">
      <alignment horizontal="right" vertical="center"/>
    </xf>
    <xf numFmtId="17" fontId="119" fillId="43" borderId="0" xfId="0" applyNumberFormat="1" applyFont="1" applyFill="1"/>
    <xf numFmtId="17" fontId="119" fillId="3" borderId="0" xfId="0" applyNumberFormat="1" applyFont="1" applyFill="1"/>
    <xf numFmtId="17" fontId="119" fillId="51" borderId="0" xfId="0" applyNumberFormat="1" applyFont="1" applyFill="1"/>
    <xf numFmtId="17" fontId="119" fillId="45" borderId="0" xfId="0" applyNumberFormat="1" applyFont="1" applyFill="1"/>
    <xf numFmtId="17" fontId="64" fillId="43" borderId="0" xfId="0" applyNumberFormat="1" applyFont="1" applyFill="1"/>
    <xf numFmtId="0" fontId="120" fillId="7" borderId="0" xfId="0" applyFont="1" applyFill="1"/>
    <xf numFmtId="17" fontId="64" fillId="0" borderId="0" xfId="0" applyNumberFormat="1" applyFont="1"/>
    <xf numFmtId="0" fontId="63" fillId="0" borderId="0" xfId="0" quotePrefix="1" applyFont="1" applyAlignment="1">
      <alignment horizontal="center"/>
    </xf>
    <xf numFmtId="0" fontId="121" fillId="0" borderId="0" xfId="0" applyFont="1"/>
    <xf numFmtId="165" fontId="121" fillId="0" borderId="0" xfId="0" applyNumberFormat="1" applyFont="1"/>
    <xf numFmtId="165" fontId="43" fillId="0" borderId="0" xfId="1" applyNumberFormat="1" applyFont="1"/>
    <xf numFmtId="171" fontId="43" fillId="0" borderId="0" xfId="1" applyNumberFormat="1" applyFont="1"/>
    <xf numFmtId="171" fontId="44" fillId="0" borderId="0" xfId="1" applyNumberFormat="1" applyFont="1"/>
    <xf numFmtId="171" fontId="62" fillId="0" borderId="0" xfId="1" applyNumberFormat="1" applyFont="1"/>
    <xf numFmtId="43" fontId="121" fillId="0" borderId="0" xfId="1" applyFont="1"/>
    <xf numFmtId="171" fontId="122" fillId="0" borderId="0" xfId="1" applyNumberFormat="1" applyFont="1"/>
    <xf numFmtId="167" fontId="123" fillId="0" borderId="0" xfId="1" applyNumberFormat="1" applyFont="1"/>
    <xf numFmtId="167" fontId="121" fillId="0" borderId="0" xfId="1" applyNumberFormat="1" applyFont="1"/>
    <xf numFmtId="43" fontId="43" fillId="0" borderId="0" xfId="0" applyNumberFormat="1" applyFont="1"/>
    <xf numFmtId="171" fontId="43" fillId="0" borderId="0" xfId="0" applyNumberFormat="1" applyFont="1"/>
    <xf numFmtId="167" fontId="121" fillId="0" borderId="0" xfId="1" applyNumberFormat="1" applyFont="1" applyFill="1"/>
    <xf numFmtId="43" fontId="121" fillId="0" borderId="0" xfId="1" applyFont="1" applyFill="1"/>
    <xf numFmtId="43" fontId="124" fillId="0" borderId="0" xfId="0" applyNumberFormat="1" applyFont="1"/>
    <xf numFmtId="43" fontId="121" fillId="0" borderId="0" xfId="0" applyNumberFormat="1" applyFont="1"/>
    <xf numFmtId="167" fontId="121" fillId="0" borderId="0" xfId="0" applyNumberFormat="1" applyFont="1"/>
    <xf numFmtId="165" fontId="125" fillId="0" borderId="0" xfId="0" applyNumberFormat="1" applyFont="1"/>
    <xf numFmtId="166" fontId="63" fillId="0" borderId="0" xfId="2" applyNumberFormat="1" applyFont="1" applyAlignment="1">
      <alignment horizontal="center"/>
    </xf>
    <xf numFmtId="166" fontId="121" fillId="0" borderId="0" xfId="2" applyNumberFormat="1" applyFont="1"/>
    <xf numFmtId="10" fontId="50" fillId="0" borderId="0" xfId="2" applyNumberFormat="1" applyFont="1"/>
    <xf numFmtId="0" fontId="59" fillId="0" borderId="0" xfId="0" applyFont="1" applyAlignment="1">
      <alignment horizontal="center"/>
    </xf>
    <xf numFmtId="165" fontId="121" fillId="0" borderId="0" xfId="1" applyNumberFormat="1" applyFont="1"/>
    <xf numFmtId="166" fontId="50" fillId="0" borderId="0" xfId="2" applyNumberFormat="1" applyFont="1"/>
    <xf numFmtId="10" fontId="44" fillId="0" borderId="0" xfId="2" applyNumberFormat="1" applyFont="1"/>
    <xf numFmtId="0" fontId="44" fillId="52" borderId="0" xfId="0" applyFont="1" applyFill="1"/>
    <xf numFmtId="0" fontId="63" fillId="52" borderId="0" xfId="0" applyFont="1" applyFill="1" applyAlignment="1">
      <alignment horizontal="center"/>
    </xf>
    <xf numFmtId="165" fontId="44" fillId="0" borderId="0" xfId="1" applyNumberFormat="1" applyFont="1" applyFill="1"/>
    <xf numFmtId="43" fontId="84" fillId="0" borderId="0" xfId="1" applyFont="1"/>
    <xf numFmtId="167" fontId="50" fillId="0" borderId="0" xfId="1" applyNumberFormat="1" applyFont="1" applyFill="1"/>
    <xf numFmtId="167" fontId="126" fillId="0" borderId="0" xfId="1" applyNumberFormat="1" applyFont="1" applyFill="1"/>
    <xf numFmtId="165" fontId="121" fillId="0" borderId="0" xfId="1" applyNumberFormat="1" applyFont="1" applyFill="1"/>
    <xf numFmtId="165" fontId="50" fillId="0" borderId="0" xfId="1" applyNumberFormat="1" applyFont="1" applyFill="1"/>
    <xf numFmtId="165" fontId="127" fillId="0" borderId="0" xfId="1" applyNumberFormat="1" applyFont="1"/>
    <xf numFmtId="9" fontId="121" fillId="0" borderId="0" xfId="2" applyFont="1"/>
    <xf numFmtId="9" fontId="50" fillId="0" borderId="0" xfId="2" applyFont="1"/>
    <xf numFmtId="165" fontId="50" fillId="53" borderId="0" xfId="1" applyNumberFormat="1" applyFont="1" applyFill="1"/>
    <xf numFmtId="165" fontId="127" fillId="0" borderId="0" xfId="1" applyNumberFormat="1" applyFont="1" applyFill="1"/>
    <xf numFmtId="171" fontId="62" fillId="0" borderId="0" xfId="0" applyNumberFormat="1" applyFont="1"/>
    <xf numFmtId="171" fontId="44" fillId="0" borderId="0" xfId="0" applyNumberFormat="1" applyFont="1"/>
    <xf numFmtId="176" fontId="121" fillId="0" borderId="0" xfId="0" applyNumberFormat="1" applyFont="1"/>
    <xf numFmtId="171" fontId="121" fillId="0" borderId="0" xfId="1" applyNumberFormat="1" applyFont="1"/>
    <xf numFmtId="177" fontId="121" fillId="0" borderId="0" xfId="2" applyNumberFormat="1" applyFont="1"/>
    <xf numFmtId="167" fontId="49" fillId="0" borderId="0" xfId="0" applyNumberFormat="1" applyFont="1"/>
    <xf numFmtId="171" fontId="50" fillId="0" borderId="0" xfId="1" applyNumberFormat="1" applyFont="1"/>
    <xf numFmtId="171" fontId="53" fillId="0" borderId="0" xfId="1" applyNumberFormat="1" applyFont="1"/>
    <xf numFmtId="176" fontId="128" fillId="0" borderId="0" xfId="0" applyNumberFormat="1" applyFont="1"/>
    <xf numFmtId="167" fontId="122" fillId="0" borderId="0" xfId="1" applyNumberFormat="1" applyFont="1"/>
    <xf numFmtId="43" fontId="122" fillId="0" borderId="0" xfId="1" applyFont="1"/>
    <xf numFmtId="165" fontId="53" fillId="0" borderId="0" xfId="1" applyNumberFormat="1" applyFont="1"/>
    <xf numFmtId="171" fontId="121" fillId="0" borderId="0" xfId="0" applyNumberFormat="1" applyFont="1"/>
    <xf numFmtId="43" fontId="50" fillId="0" borderId="0" xfId="0" applyNumberFormat="1" applyFont="1"/>
    <xf numFmtId="9" fontId="43" fillId="0" borderId="0" xfId="2" applyFont="1"/>
    <xf numFmtId="167" fontId="124" fillId="0" borderId="0" xfId="1" applyNumberFormat="1" applyFont="1"/>
    <xf numFmtId="43" fontId="50" fillId="0" borderId="0" xfId="1" applyFont="1" applyFill="1"/>
    <xf numFmtId="166" fontId="50" fillId="0" borderId="0" xfId="2" applyNumberFormat="1" applyFont="1" applyFill="1"/>
    <xf numFmtId="179" fontId="53" fillId="0" borderId="0" xfId="1" applyNumberFormat="1" applyFont="1"/>
    <xf numFmtId="43" fontId="126" fillId="0" borderId="0" xfId="1" applyFont="1" applyFill="1"/>
    <xf numFmtId="43" fontId="127" fillId="0" borderId="0" xfId="1" applyFont="1"/>
    <xf numFmtId="43" fontId="127" fillId="0" borderId="0" xfId="1" applyFont="1" applyFill="1"/>
    <xf numFmtId="43" fontId="43" fillId="0" borderId="0" xfId="1" applyFont="1"/>
    <xf numFmtId="179" fontId="62" fillId="0" borderId="0" xfId="1" applyNumberFormat="1" applyFont="1"/>
    <xf numFmtId="179" fontId="121" fillId="0" borderId="0" xfId="1" applyNumberFormat="1" applyFont="1"/>
    <xf numFmtId="179" fontId="121" fillId="0" borderId="0" xfId="1" applyNumberFormat="1" applyFont="1" applyFill="1"/>
    <xf numFmtId="179" fontId="44" fillId="0" borderId="0" xfId="1" applyNumberFormat="1" applyFont="1"/>
    <xf numFmtId="179" fontId="50" fillId="0" borderId="0" xfId="1" applyNumberFormat="1" applyFont="1"/>
    <xf numFmtId="43" fontId="49" fillId="0" borderId="0" xfId="1" applyFont="1"/>
    <xf numFmtId="43" fontId="129" fillId="0" borderId="0" xfId="1" applyFont="1"/>
    <xf numFmtId="43" fontId="53" fillId="0" borderId="0" xfId="1" applyFont="1"/>
    <xf numFmtId="43" fontId="128" fillId="0" borderId="0" xfId="1" applyFont="1"/>
    <xf numFmtId="179" fontId="127" fillId="0" borderId="0" xfId="1" applyNumberFormat="1" applyFont="1"/>
    <xf numFmtId="43" fontId="124" fillId="0" borderId="0" xfId="1" applyFont="1"/>
    <xf numFmtId="165" fontId="43" fillId="0" borderId="0" xfId="0" applyNumberFormat="1" applyFont="1"/>
    <xf numFmtId="179" fontId="122" fillId="0" borderId="0" xfId="1" applyNumberFormat="1" applyFont="1"/>
    <xf numFmtId="175" fontId="62" fillId="0" borderId="0" xfId="0" applyNumberFormat="1" applyFont="1"/>
    <xf numFmtId="179" fontId="44" fillId="0" borderId="0" xfId="0" applyNumberFormat="1" applyFont="1"/>
    <xf numFmtId="176" fontId="130" fillId="0" borderId="0" xfId="0" applyNumberFormat="1" applyFont="1"/>
    <xf numFmtId="180" fontId="121" fillId="0" borderId="0" xfId="0" applyNumberFormat="1" applyFont="1"/>
    <xf numFmtId="171" fontId="127" fillId="0" borderId="0" xfId="1" applyNumberFormat="1" applyFont="1"/>
    <xf numFmtId="167" fontId="129" fillId="0" borderId="0" xfId="1" applyNumberFormat="1" applyFont="1"/>
    <xf numFmtId="180" fontId="129" fillId="0" borderId="0" xfId="1" applyNumberFormat="1" applyFont="1"/>
    <xf numFmtId="180" fontId="50" fillId="0" borderId="0" xfId="1" applyNumberFormat="1" applyFont="1"/>
    <xf numFmtId="180" fontId="121" fillId="0" borderId="0" xfId="1" applyNumberFormat="1" applyFont="1"/>
    <xf numFmtId="171" fontId="49" fillId="0" borderId="0" xfId="0" applyNumberFormat="1" applyFont="1"/>
    <xf numFmtId="171" fontId="49" fillId="0" borderId="0" xfId="1" applyNumberFormat="1" applyFont="1"/>
    <xf numFmtId="171" fontId="50" fillId="0" borderId="0" xfId="0" applyNumberFormat="1" applyFont="1"/>
    <xf numFmtId="171" fontId="124" fillId="0" borderId="0" xfId="0" applyNumberFormat="1" applyFont="1"/>
    <xf numFmtId="0" fontId="131" fillId="7" borderId="0" xfId="0" applyFont="1" applyFill="1"/>
    <xf numFmtId="0" fontId="120" fillId="52" borderId="0" xfId="0" applyFont="1" applyFill="1"/>
    <xf numFmtId="0" fontId="126" fillId="0" borderId="0" xfId="0" applyFont="1"/>
    <xf numFmtId="17" fontId="64" fillId="3" borderId="0" xfId="0" applyNumberFormat="1" applyFont="1" applyFill="1"/>
    <xf numFmtId="17" fontId="64" fillId="51" borderId="0" xfId="0" applyNumberFormat="1" applyFont="1" applyFill="1"/>
    <xf numFmtId="0" fontId="48" fillId="7" borderId="0" xfId="0" applyFont="1" applyFill="1"/>
    <xf numFmtId="1" fontId="121" fillId="0" borderId="0" xfId="0" applyNumberFormat="1" applyFont="1"/>
    <xf numFmtId="165" fontId="51" fillId="0" borderId="0" xfId="1" quotePrefix="1" applyNumberFormat="1" applyFont="1" applyAlignment="1">
      <alignment horizontal="center"/>
    </xf>
    <xf numFmtId="43" fontId="63" fillId="0" borderId="0" xfId="1" applyFont="1" applyAlignment="1">
      <alignment horizontal="center"/>
    </xf>
    <xf numFmtId="43" fontId="132" fillId="0" borderId="0" xfId="1" applyFont="1" applyAlignment="1">
      <alignment horizontal="center"/>
    </xf>
    <xf numFmtId="167" fontId="127" fillId="0" borderId="0" xfId="1" applyNumberFormat="1" applyFont="1"/>
    <xf numFmtId="165" fontId="50" fillId="0" borderId="0" xfId="1" applyNumberFormat="1" applyFont="1" applyBorder="1"/>
    <xf numFmtId="43" fontId="121" fillId="0" borderId="0" xfId="1" applyFont="1" applyBorder="1"/>
    <xf numFmtId="43" fontId="121" fillId="0" borderId="0" xfId="1" applyFont="1" applyFill="1" applyBorder="1"/>
    <xf numFmtId="43" fontId="127" fillId="0" borderId="0" xfId="1" applyFont="1" applyFill="1" applyBorder="1"/>
    <xf numFmtId="171" fontId="121" fillId="0" borderId="0" xfId="1" applyNumberFormat="1" applyFont="1" applyFill="1" applyBorder="1"/>
    <xf numFmtId="171" fontId="50" fillId="0" borderId="0" xfId="1" applyNumberFormat="1" applyFont="1" applyFill="1" applyBorder="1"/>
    <xf numFmtId="0" fontId="133" fillId="0" borderId="0" xfId="0" applyFont="1"/>
    <xf numFmtId="0" fontId="9" fillId="52" borderId="0" xfId="0" applyFont="1" applyFill="1"/>
    <xf numFmtId="0" fontId="7" fillId="52" borderId="0" xfId="0" applyFont="1" applyFill="1"/>
    <xf numFmtId="0" fontId="59" fillId="52" borderId="0" xfId="0" applyFont="1" applyFill="1" applyAlignment="1">
      <alignment horizontal="center"/>
    </xf>
    <xf numFmtId="167" fontId="134" fillId="0" borderId="0" xfId="1" applyNumberFormat="1" applyFont="1"/>
    <xf numFmtId="9" fontId="134" fillId="0" borderId="0" xfId="2" applyFont="1"/>
    <xf numFmtId="0" fontId="9" fillId="0" borderId="0" xfId="0" applyFont="1"/>
    <xf numFmtId="0" fontId="59" fillId="0" borderId="0" xfId="0" quotePrefix="1" applyFont="1" applyAlignment="1">
      <alignment horizontal="center"/>
    </xf>
    <xf numFmtId="165" fontId="135" fillId="0" borderId="0" xfId="1" applyNumberFormat="1" applyFont="1"/>
    <xf numFmtId="165" fontId="86" fillId="0" borderId="0" xfId="1" applyNumberFormat="1" applyFont="1"/>
    <xf numFmtId="167" fontId="7" fillId="0" borderId="0" xfId="1" applyNumberFormat="1" applyFont="1"/>
    <xf numFmtId="0" fontId="60" fillId="0" borderId="0" xfId="0" applyFont="1" applyAlignment="1">
      <alignment horizontal="center"/>
    </xf>
    <xf numFmtId="165" fontId="9" fillId="0" borderId="0" xfId="1" applyNumberFormat="1" applyFont="1" applyFill="1"/>
    <xf numFmtId="167" fontId="9" fillId="0" borderId="0" xfId="1" applyNumberFormat="1" applyFont="1" applyFill="1"/>
    <xf numFmtId="167" fontId="134" fillId="0" borderId="0" xfId="1" applyNumberFormat="1" applyFont="1" applyFill="1"/>
    <xf numFmtId="43" fontId="134" fillId="0" borderId="0" xfId="1" applyFont="1" applyFill="1"/>
    <xf numFmtId="167" fontId="9" fillId="0" borderId="0" xfId="1" applyNumberFormat="1" applyFont="1"/>
    <xf numFmtId="179" fontId="134" fillId="0" borderId="0" xfId="1" applyNumberFormat="1" applyFont="1"/>
    <xf numFmtId="167" fontId="136" fillId="0" borderId="0" xfId="1" applyNumberFormat="1" applyFont="1"/>
    <xf numFmtId="167" fontId="137" fillId="0" borderId="0" xfId="1" applyNumberFormat="1" applyFont="1" applyFill="1"/>
    <xf numFmtId="167" fontId="135" fillId="0" borderId="0" xfId="1" applyNumberFormat="1" applyFont="1" applyFill="1"/>
    <xf numFmtId="167" fontId="135" fillId="0" borderId="0" xfId="1" applyNumberFormat="1" applyFont="1"/>
    <xf numFmtId="167" fontId="138" fillId="0" borderId="0" xfId="1" applyNumberFormat="1" applyFont="1"/>
    <xf numFmtId="167" fontId="86" fillId="0" borderId="0" xfId="1" applyNumberFormat="1" applyFont="1"/>
    <xf numFmtId="167" fontId="136" fillId="0" borderId="0" xfId="1" applyNumberFormat="1" applyFont="1" applyFill="1"/>
    <xf numFmtId="0" fontId="86" fillId="0" borderId="0" xfId="0" applyFont="1"/>
    <xf numFmtId="0" fontId="139" fillId="0" borderId="0" xfId="0" applyFont="1"/>
    <xf numFmtId="0" fontId="140" fillId="0" borderId="0" xfId="0" applyFont="1" applyAlignment="1">
      <alignment horizontal="center"/>
    </xf>
    <xf numFmtId="0" fontId="141" fillId="0" borderId="0" xfId="0" applyFont="1"/>
    <xf numFmtId="43" fontId="135" fillId="0" borderId="0" xfId="1" applyFont="1"/>
    <xf numFmtId="43" fontId="86" fillId="0" borderId="0" xfId="1" applyFont="1"/>
    <xf numFmtId="43" fontId="134" fillId="0" borderId="0" xfId="1" applyFont="1"/>
    <xf numFmtId="0" fontId="142" fillId="0" borderId="0" xfId="0" applyFont="1"/>
    <xf numFmtId="167" fontId="59" fillId="0" borderId="0" xfId="1" applyNumberFormat="1" applyFont="1" applyAlignment="1">
      <alignment horizontal="center"/>
    </xf>
    <xf numFmtId="165" fontId="143" fillId="0" borderId="0" xfId="1" applyNumberFormat="1" applyFont="1"/>
    <xf numFmtId="0" fontId="144" fillId="0" borderId="0" xfId="0" applyFont="1" applyAlignment="1">
      <alignment horizontal="center"/>
    </xf>
    <xf numFmtId="165" fontId="145" fillId="0" borderId="0" xfId="1" applyNumberFormat="1" applyFont="1"/>
    <xf numFmtId="166" fontId="7" fillId="0" borderId="0" xfId="2" applyNumberFormat="1" applyFont="1"/>
    <xf numFmtId="43" fontId="134" fillId="0" borderId="0" xfId="2" applyNumberFormat="1" applyFont="1"/>
    <xf numFmtId="9" fontId="134" fillId="0" borderId="0" xfId="2" applyFont="1" applyFill="1"/>
    <xf numFmtId="165" fontId="134" fillId="0" borderId="0" xfId="1" applyNumberFormat="1" applyFont="1" applyFill="1"/>
    <xf numFmtId="43" fontId="134" fillId="0" borderId="0" xfId="2" applyNumberFormat="1" applyFont="1" applyFill="1"/>
    <xf numFmtId="0" fontId="7" fillId="54" borderId="0" xfId="0" applyFont="1" applyFill="1"/>
    <xf numFmtId="0" fontId="9" fillId="54" borderId="0" xfId="0" applyFont="1" applyFill="1"/>
    <xf numFmtId="0" fontId="59" fillId="54" borderId="0" xfId="0" applyFont="1" applyFill="1" applyAlignment="1">
      <alignment horizontal="center"/>
    </xf>
    <xf numFmtId="43" fontId="7" fillId="0" borderId="0" xfId="0" applyNumberFormat="1" applyFont="1"/>
    <xf numFmtId="43" fontId="146" fillId="0" borderId="0" xfId="1" applyFont="1"/>
    <xf numFmtId="43" fontId="136" fillId="0" borderId="0" xfId="1" applyFont="1"/>
    <xf numFmtId="0" fontId="7" fillId="0" borderId="0" xfId="0" applyFont="1" applyAlignment="1">
      <alignment horizontal="left" indent="2"/>
    </xf>
    <xf numFmtId="43" fontId="7" fillId="0" borderId="0" xfId="1" applyFont="1"/>
    <xf numFmtId="43" fontId="9" fillId="0" borderId="0" xfId="1" applyFont="1"/>
    <xf numFmtId="171" fontId="9" fillId="0" borderId="0" xfId="1" applyNumberFormat="1" applyFont="1"/>
    <xf numFmtId="175" fontId="134" fillId="0" borderId="0" xfId="1" applyNumberFormat="1" applyFont="1"/>
    <xf numFmtId="175" fontId="136" fillId="0" borderId="0" xfId="1" applyNumberFormat="1" applyFont="1"/>
    <xf numFmtId="43" fontId="147" fillId="0" borderId="0" xfId="1" applyFont="1"/>
    <xf numFmtId="43" fontId="142" fillId="0" borderId="0" xfId="1" applyFont="1"/>
    <xf numFmtId="171" fontId="135" fillId="0" borderId="0" xfId="1" applyNumberFormat="1" applyFont="1"/>
    <xf numFmtId="171" fontId="136" fillId="0" borderId="0" xfId="1" applyNumberFormat="1" applyFont="1"/>
    <xf numFmtId="167" fontId="143" fillId="0" borderId="0" xfId="1" applyNumberFormat="1" applyFont="1"/>
    <xf numFmtId="171" fontId="143" fillId="0" borderId="0" xfId="1" applyNumberFormat="1" applyFont="1"/>
    <xf numFmtId="171" fontId="147" fillId="0" borderId="0" xfId="1" applyNumberFormat="1" applyFont="1"/>
    <xf numFmtId="166" fontId="136" fillId="0" borderId="0" xfId="2" applyNumberFormat="1" applyFont="1"/>
    <xf numFmtId="165" fontId="146" fillId="0" borderId="0" xfId="1" applyNumberFormat="1" applyFont="1"/>
    <xf numFmtId="167" fontId="146" fillId="0" borderId="0" xfId="1" applyNumberFormat="1" applyFont="1"/>
    <xf numFmtId="165" fontId="136" fillId="0" borderId="0" xfId="1" applyNumberFormat="1" applyFont="1"/>
    <xf numFmtId="165" fontId="136" fillId="0" borderId="0" xfId="0" applyNumberFormat="1" applyFont="1"/>
    <xf numFmtId="165" fontId="7" fillId="0" borderId="0" xfId="1" applyNumberFormat="1" applyFont="1" applyFill="1"/>
    <xf numFmtId="165" fontId="17" fillId="0" borderId="0" xfId="1" applyNumberFormat="1" applyFont="1"/>
    <xf numFmtId="0" fontId="143" fillId="0" borderId="0" xfId="0" applyFont="1"/>
    <xf numFmtId="0" fontId="148" fillId="0" borderId="0" xfId="0" applyFont="1" applyAlignment="1">
      <alignment horizontal="center"/>
    </xf>
    <xf numFmtId="0" fontId="149" fillId="0" borderId="0" xfId="0" applyFont="1" applyAlignment="1">
      <alignment horizontal="center"/>
    </xf>
    <xf numFmtId="165" fontId="87" fillId="0" borderId="0" xfId="1" applyNumberFormat="1" applyFont="1" applyAlignment="1">
      <alignment horizontal="center" vertical="center"/>
    </xf>
    <xf numFmtId="0" fontId="48" fillId="41" borderId="0" xfId="0" applyFont="1" applyFill="1"/>
    <xf numFmtId="0" fontId="50" fillId="0" borderId="0" xfId="1" applyNumberFormat="1" applyFont="1"/>
    <xf numFmtId="0" fontId="44" fillId="0" borderId="0" xfId="1" applyNumberFormat="1" applyFont="1"/>
    <xf numFmtId="0" fontId="62" fillId="0" borderId="0" xfId="1" applyNumberFormat="1" applyFont="1"/>
    <xf numFmtId="0" fontId="50" fillId="0" borderId="0" xfId="1" applyNumberFormat="1" applyFont="1" applyFill="1" applyBorder="1"/>
    <xf numFmtId="0" fontId="53" fillId="0" borderId="0" xfId="1" applyNumberFormat="1" applyFont="1"/>
    <xf numFmtId="166" fontId="88" fillId="0" borderId="0" xfId="2" applyNumberFormat="1" applyFont="1" applyBorder="1" applyAlignment="1">
      <alignment horizontal="center" vertical="center"/>
    </xf>
    <xf numFmtId="166" fontId="88" fillId="0" borderId="3" xfId="2" applyNumberFormat="1" applyFont="1" applyBorder="1" applyAlignment="1">
      <alignment horizontal="center" vertical="center"/>
    </xf>
    <xf numFmtId="43" fontId="143" fillId="0" borderId="0" xfId="1" applyFont="1"/>
    <xf numFmtId="167" fontId="145" fillId="0" borderId="0" xfId="1" applyNumberFormat="1" applyFont="1"/>
    <xf numFmtId="172" fontId="22" fillId="0" borderId="0" xfId="0" applyNumberFormat="1" applyFont="1" applyAlignment="1">
      <alignment vertical="center"/>
    </xf>
    <xf numFmtId="3" fontId="56" fillId="0" borderId="17" xfId="0" applyNumberFormat="1" applyFont="1" applyBorder="1" applyAlignment="1">
      <alignment horizontal="right"/>
    </xf>
    <xf numFmtId="173" fontId="82" fillId="0" borderId="31" xfId="0" applyNumberFormat="1" applyFont="1" applyBorder="1"/>
    <xf numFmtId="173" fontId="82" fillId="0" borderId="25" xfId="0" applyNumberFormat="1" applyFont="1" applyBorder="1"/>
    <xf numFmtId="173" fontId="82" fillId="0" borderId="16" xfId="0" applyNumberFormat="1" applyFont="1" applyBorder="1"/>
    <xf numFmtId="173" fontId="82" fillId="0" borderId="26" xfId="0" applyNumberFormat="1" applyFont="1" applyBorder="1"/>
    <xf numFmtId="0" fontId="56" fillId="0" borderId="0" xfId="0" applyFont="1"/>
    <xf numFmtId="165" fontId="0" fillId="0" borderId="21" xfId="1" applyNumberFormat="1" applyFont="1" applyBorder="1"/>
    <xf numFmtId="173" fontId="113" fillId="0" borderId="16" xfId="0" applyNumberFormat="1" applyFont="1" applyBorder="1"/>
    <xf numFmtId="173" fontId="3" fillId="0" borderId="43" xfId="0" applyNumberFormat="1" applyFont="1" applyBorder="1"/>
    <xf numFmtId="165" fontId="0" fillId="0" borderId="14" xfId="1" applyNumberFormat="1" applyFont="1" applyBorder="1"/>
    <xf numFmtId="17" fontId="19" fillId="8" borderId="2" xfId="0" applyNumberFormat="1" applyFont="1" applyFill="1" applyBorder="1" applyAlignment="1">
      <alignment horizontal="left" vertical="center" wrapText="1"/>
    </xf>
    <xf numFmtId="165" fontId="109" fillId="0" borderId="0" xfId="1" applyNumberFormat="1" applyFont="1"/>
    <xf numFmtId="166" fontId="87" fillId="0" borderId="0" xfId="0" applyNumberFormat="1" applyFont="1" applyAlignment="1">
      <alignment horizontal="right" vertical="center"/>
    </xf>
    <xf numFmtId="166" fontId="88" fillId="0" borderId="0" xfId="2" applyNumberFormat="1" applyFont="1" applyBorder="1" applyAlignment="1">
      <alignment horizontal="right" vertical="center"/>
    </xf>
    <xf numFmtId="0" fontId="60" fillId="0" borderId="0" xfId="0" applyFont="1"/>
    <xf numFmtId="0" fontId="138" fillId="0" borderId="0" xfId="0" applyFont="1"/>
    <xf numFmtId="173" fontId="56" fillId="0" borderId="30" xfId="0" applyNumberFormat="1" applyFont="1" applyBorder="1"/>
    <xf numFmtId="0" fontId="0" fillId="0" borderId="14" xfId="0" applyBorder="1"/>
    <xf numFmtId="165" fontId="40" fillId="0" borderId="14" xfId="1" applyNumberFormat="1" applyFont="1" applyBorder="1"/>
    <xf numFmtId="0" fontId="56" fillId="0" borderId="56" xfId="0" applyFont="1" applyBorder="1"/>
    <xf numFmtId="173" fontId="3" fillId="0" borderId="47" xfId="0" applyNumberFormat="1" applyFont="1" applyBorder="1" applyAlignment="1">
      <alignment horizontal="right"/>
    </xf>
    <xf numFmtId="173" fontId="56" fillId="0" borderId="30" xfId="0" applyNumberFormat="1" applyFont="1" applyBorder="1" applyAlignment="1">
      <alignment horizontal="right"/>
    </xf>
    <xf numFmtId="3" fontId="56" fillId="0" borderId="29" xfId="0" applyNumberFormat="1" applyFont="1" applyBorder="1"/>
    <xf numFmtId="3" fontId="56" fillId="0" borderId="29" xfId="0" applyNumberFormat="1" applyFont="1" applyBorder="1" applyAlignment="1">
      <alignment horizontal="right"/>
    </xf>
    <xf numFmtId="0" fontId="3" fillId="0" borderId="15" xfId="0" applyFont="1" applyBorder="1" applyAlignment="1">
      <alignment horizontal="right"/>
    </xf>
    <xf numFmtId="173" fontId="3" fillId="0" borderId="45" xfId="0" applyNumberFormat="1" applyFont="1" applyBorder="1" applyAlignment="1">
      <alignment horizontal="right"/>
    </xf>
    <xf numFmtId="173" fontId="113" fillId="0" borderId="27" xfId="0" applyNumberFormat="1" applyFont="1" applyBorder="1"/>
    <xf numFmtId="173" fontId="81" fillId="0" borderId="0" xfId="0" applyNumberFormat="1" applyFont="1"/>
    <xf numFmtId="173" fontId="150" fillId="0" borderId="0" xfId="0" applyNumberFormat="1" applyFont="1"/>
    <xf numFmtId="173" fontId="81" fillId="0" borderId="31" xfId="0" applyNumberFormat="1" applyFont="1" applyBorder="1"/>
    <xf numFmtId="164" fontId="81" fillId="0" borderId="1" xfId="0" applyNumberFormat="1" applyFont="1" applyBorder="1"/>
    <xf numFmtId="165" fontId="56" fillId="0" borderId="27" xfId="1" applyNumberFormat="1" applyFont="1" applyBorder="1" applyAlignment="1"/>
    <xf numFmtId="3" fontId="40" fillId="0" borderId="25" xfId="0" applyNumberFormat="1" applyFont="1" applyBorder="1" applyAlignment="1">
      <alignment horizontal="right"/>
    </xf>
    <xf numFmtId="173" fontId="113" fillId="0" borderId="26" xfId="0" applyNumberFormat="1" applyFont="1" applyBorder="1"/>
    <xf numFmtId="0" fontId="40" fillId="41" borderId="47" xfId="0" applyFont="1" applyFill="1" applyBorder="1"/>
    <xf numFmtId="173" fontId="81" fillId="0" borderId="21" xfId="0" applyNumberFormat="1" applyFont="1" applyBorder="1"/>
    <xf numFmtId="165" fontId="56" fillId="0" borderId="28" xfId="1" applyNumberFormat="1" applyFont="1" applyBorder="1" applyAlignment="1"/>
    <xf numFmtId="0" fontId="96" fillId="0" borderId="0" xfId="0" applyFont="1" applyAlignment="1">
      <alignment vertical="center"/>
    </xf>
    <xf numFmtId="174" fontId="19" fillId="8" borderId="2" xfId="0" applyNumberFormat="1" applyFont="1" applyFill="1" applyBorder="1" applyAlignment="1">
      <alignment horizontal="center" vertical="center"/>
    </xf>
    <xf numFmtId="0" fontId="87" fillId="0" borderId="0" xfId="0" applyFont="1" applyAlignment="1">
      <alignment vertical="center" wrapText="1"/>
    </xf>
    <xf numFmtId="165" fontId="152" fillId="0" borderId="0" xfId="1" applyNumberFormat="1" applyFont="1" applyFill="1"/>
    <xf numFmtId="0" fontId="153" fillId="0" borderId="0" xfId="0" applyFont="1" applyAlignment="1">
      <alignment horizontal="left" indent="1"/>
    </xf>
    <xf numFmtId="0" fontId="153" fillId="0" borderId="0" xfId="0" applyFont="1" applyAlignment="1">
      <alignment horizontal="left" indent="2"/>
    </xf>
    <xf numFmtId="0" fontId="153" fillId="0" borderId="0" xfId="0" applyFont="1"/>
    <xf numFmtId="165" fontId="154" fillId="0" borderId="0" xfId="1" applyNumberFormat="1" applyFont="1" applyFill="1" applyAlignment="1">
      <alignment horizontal="left" indent="1"/>
    </xf>
    <xf numFmtId="0" fontId="155" fillId="0" borderId="0" xfId="0" applyFont="1"/>
    <xf numFmtId="165" fontId="156" fillId="0" borderId="0" xfId="1" applyNumberFormat="1" applyFont="1" applyFill="1" applyAlignment="1">
      <alignment horizontal="left" indent="1"/>
    </xf>
    <xf numFmtId="181" fontId="0" fillId="0" borderId="0" xfId="0" applyNumberFormat="1"/>
    <xf numFmtId="0" fontId="92" fillId="41" borderId="0" xfId="0" applyFont="1" applyFill="1"/>
    <xf numFmtId="0" fontId="19" fillId="0" borderId="0" xfId="0" applyFont="1" applyAlignment="1">
      <alignment horizontal="center" vertical="center" wrapText="1"/>
    </xf>
    <xf numFmtId="0" fontId="19" fillId="0" borderId="0" xfId="0" quotePrefix="1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165" fontId="87" fillId="0" borderId="0" xfId="1" applyNumberFormat="1" applyFont="1" applyFill="1" applyBorder="1" applyAlignment="1">
      <alignment horizontal="center" vertical="center"/>
    </xf>
    <xf numFmtId="0" fontId="108" fillId="0" borderId="0" xfId="0" applyFont="1" applyAlignment="1">
      <alignment horizontal="left" vertical="center" wrapText="1" readingOrder="1"/>
    </xf>
    <xf numFmtId="0" fontId="116" fillId="0" borderId="0" xfId="0" applyFont="1" applyAlignment="1">
      <alignment horizontal="left" vertical="center" wrapText="1" readingOrder="1"/>
    </xf>
    <xf numFmtId="0" fontId="116" fillId="0" borderId="13" xfId="0" applyFont="1" applyBorder="1" applyAlignment="1">
      <alignment horizontal="left" vertical="center" wrapText="1" readingOrder="1"/>
    </xf>
    <xf numFmtId="43" fontId="22" fillId="0" borderId="0" xfId="0" applyNumberFormat="1" applyFont="1" applyAlignment="1">
      <alignment vertical="center"/>
    </xf>
    <xf numFmtId="43" fontId="125" fillId="0" borderId="0" xfId="1" applyFont="1"/>
    <xf numFmtId="0" fontId="17" fillId="0" borderId="0" xfId="0" applyFont="1"/>
    <xf numFmtId="17" fontId="157" fillId="43" borderId="0" xfId="0" applyNumberFormat="1" applyFont="1" applyFill="1"/>
    <xf numFmtId="17" fontId="157" fillId="3" borderId="0" xfId="0" applyNumberFormat="1" applyFont="1" applyFill="1"/>
    <xf numFmtId="17" fontId="157" fillId="51" borderId="0" xfId="0" applyNumberFormat="1" applyFont="1" applyFill="1"/>
    <xf numFmtId="17" fontId="157" fillId="45" borderId="0" xfId="0" applyNumberFormat="1" applyFont="1" applyFill="1"/>
    <xf numFmtId="0" fontId="158" fillId="3" borderId="0" xfId="0" applyFont="1" applyFill="1"/>
    <xf numFmtId="0" fontId="158" fillId="51" borderId="0" xfId="0" applyFont="1" applyFill="1"/>
    <xf numFmtId="0" fontId="158" fillId="45" borderId="0" xfId="0" applyFont="1" applyFill="1"/>
    <xf numFmtId="0" fontId="158" fillId="43" borderId="0" xfId="0" applyFont="1" applyFill="1"/>
    <xf numFmtId="0" fontId="55" fillId="7" borderId="0" xfId="0" applyFont="1" applyFill="1"/>
    <xf numFmtId="0" fontId="159" fillId="7" borderId="0" xfId="0" applyFont="1" applyFill="1"/>
    <xf numFmtId="0" fontId="160" fillId="0" borderId="0" xfId="0" applyFont="1" applyAlignment="1">
      <alignment horizontal="center"/>
    </xf>
    <xf numFmtId="17" fontId="157" fillId="0" borderId="0" xfId="0" applyNumberFormat="1" applyFont="1"/>
    <xf numFmtId="2" fontId="86" fillId="0" borderId="0" xfId="0" applyNumberFormat="1" applyFont="1"/>
    <xf numFmtId="0" fontId="157" fillId="0" borderId="0" xfId="0" applyFont="1"/>
    <xf numFmtId="165" fontId="59" fillId="0" borderId="0" xfId="1" quotePrefix="1" applyNumberFormat="1" applyFont="1" applyAlignment="1">
      <alignment horizontal="center"/>
    </xf>
    <xf numFmtId="165" fontId="86" fillId="0" borderId="0" xfId="0" applyNumberFormat="1" applyFont="1"/>
    <xf numFmtId="165" fontId="134" fillId="0" borderId="0" xfId="0" applyNumberFormat="1" applyFont="1"/>
    <xf numFmtId="170" fontId="9" fillId="0" borderId="0" xfId="0" applyNumberFormat="1" applyFont="1"/>
    <xf numFmtId="165" fontId="60" fillId="0" borderId="0" xfId="1" applyNumberFormat="1" applyFont="1" applyFill="1" applyAlignment="1">
      <alignment horizontal="center"/>
    </xf>
    <xf numFmtId="43" fontId="9" fillId="0" borderId="0" xfId="0" applyNumberFormat="1" applyFont="1"/>
    <xf numFmtId="165" fontId="141" fillId="0" borderId="0" xfId="1" applyNumberFormat="1" applyFont="1"/>
    <xf numFmtId="171" fontId="134" fillId="0" borderId="0" xfId="1" applyNumberFormat="1" applyFont="1"/>
    <xf numFmtId="0" fontId="134" fillId="0" borderId="0" xfId="0" applyFont="1"/>
    <xf numFmtId="0" fontId="161" fillId="0" borderId="0" xfId="0" applyFont="1" applyAlignment="1">
      <alignment horizontal="center"/>
    </xf>
    <xf numFmtId="179" fontId="86" fillId="0" borderId="0" xfId="1" applyNumberFormat="1" applyFont="1"/>
    <xf numFmtId="165" fontId="162" fillId="0" borderId="0" xfId="0" applyNumberFormat="1" applyFont="1"/>
    <xf numFmtId="43" fontId="163" fillId="0" borderId="0" xfId="1" applyFont="1"/>
    <xf numFmtId="43" fontId="164" fillId="0" borderId="0" xfId="1" applyFont="1"/>
    <xf numFmtId="166" fontId="164" fillId="0" borderId="0" xfId="2" applyNumberFormat="1" applyFont="1"/>
    <xf numFmtId="165" fontId="164" fillId="0" borderId="0" xfId="1" applyNumberFormat="1" applyFont="1"/>
    <xf numFmtId="0" fontId="160" fillId="7" borderId="0" xfId="0" applyFont="1" applyFill="1" applyAlignment="1">
      <alignment horizontal="center"/>
    </xf>
    <xf numFmtId="165" fontId="59" fillId="0" borderId="0" xfId="1" applyNumberFormat="1" applyFont="1" applyAlignment="1">
      <alignment horizontal="center"/>
    </xf>
    <xf numFmtId="165" fontId="59" fillId="0" borderId="0" xfId="1" applyNumberFormat="1" applyFont="1" applyFill="1" applyAlignment="1">
      <alignment horizontal="center"/>
    </xf>
    <xf numFmtId="43" fontId="9" fillId="0" borderId="0" xfId="1" applyFont="1" applyFill="1"/>
    <xf numFmtId="165" fontId="60" fillId="0" borderId="0" xfId="1" applyNumberFormat="1" applyFont="1" applyAlignment="1">
      <alignment horizontal="center"/>
    </xf>
    <xf numFmtId="179" fontId="9" fillId="0" borderId="0" xfId="1" applyNumberFormat="1" applyFont="1"/>
    <xf numFmtId="165" fontId="134" fillId="0" borderId="0" xfId="1" applyNumberFormat="1" applyFont="1"/>
    <xf numFmtId="165" fontId="162" fillId="0" borderId="0" xfId="1" applyNumberFormat="1" applyFont="1"/>
    <xf numFmtId="167" fontId="142" fillId="0" borderId="0" xfId="1" applyNumberFormat="1" applyFont="1"/>
    <xf numFmtId="167" fontId="7" fillId="0" borderId="0" xfId="0" applyNumberFormat="1" applyFont="1"/>
    <xf numFmtId="176" fontId="135" fillId="0" borderId="0" xfId="1" applyNumberFormat="1" applyFont="1"/>
    <xf numFmtId="167" fontId="84" fillId="0" borderId="0" xfId="1" applyNumberFormat="1" applyFont="1" applyFill="1"/>
    <xf numFmtId="165" fontId="135" fillId="0" borderId="0" xfId="0" applyNumberFormat="1" applyFont="1"/>
    <xf numFmtId="176" fontId="135" fillId="0" borderId="0" xfId="0" applyNumberFormat="1" applyFont="1"/>
    <xf numFmtId="167" fontId="84" fillId="0" borderId="0" xfId="1" applyNumberFormat="1" applyFont="1"/>
    <xf numFmtId="167" fontId="135" fillId="0" borderId="0" xfId="0" applyNumberFormat="1" applyFont="1"/>
    <xf numFmtId="167" fontId="136" fillId="0" borderId="0" xfId="0" applyNumberFormat="1" applyFont="1"/>
    <xf numFmtId="176" fontId="163" fillId="0" borderId="0" xfId="0" applyNumberFormat="1" applyFont="1"/>
    <xf numFmtId="165" fontId="163" fillId="0" borderId="0" xfId="1" applyNumberFormat="1" applyFont="1"/>
    <xf numFmtId="167" fontId="147" fillId="0" borderId="0" xfId="1" applyNumberFormat="1" applyFont="1" applyFill="1"/>
    <xf numFmtId="167" fontId="17" fillId="0" borderId="0" xfId="1" applyNumberFormat="1" applyFont="1" applyFill="1"/>
    <xf numFmtId="165" fontId="135" fillId="0" borderId="0" xfId="1" applyNumberFormat="1" applyFont="1" applyFill="1"/>
    <xf numFmtId="165" fontId="136" fillId="0" borderId="0" xfId="1" applyNumberFormat="1" applyFont="1" applyFill="1"/>
    <xf numFmtId="167" fontId="7" fillId="0" borderId="0" xfId="1" applyNumberFormat="1" applyFont="1" applyFill="1"/>
    <xf numFmtId="167" fontId="163" fillId="0" borderId="0" xfId="1" applyNumberFormat="1" applyFont="1"/>
    <xf numFmtId="167" fontId="84" fillId="0" borderId="0" xfId="1" applyNumberFormat="1" applyFont="1" applyAlignment="1">
      <alignment horizontal="right"/>
    </xf>
    <xf numFmtId="176" fontId="165" fillId="0" borderId="0" xfId="0" applyNumberFormat="1" applyFont="1"/>
    <xf numFmtId="167" fontId="84" fillId="4" borderId="0" xfId="1" applyNumberFormat="1" applyFont="1" applyFill="1"/>
    <xf numFmtId="43" fontId="136" fillId="0" borderId="0" xfId="1" applyFont="1" applyFill="1"/>
    <xf numFmtId="167" fontId="83" fillId="0" borderId="0" xfId="0" applyNumberFormat="1" applyFont="1"/>
    <xf numFmtId="167" fontId="166" fillId="0" borderId="0" xfId="0" applyNumberFormat="1" applyFont="1"/>
    <xf numFmtId="167" fontId="84" fillId="0" borderId="0" xfId="1" applyNumberFormat="1" applyFont="1" applyFill="1" applyBorder="1"/>
    <xf numFmtId="167" fontId="147" fillId="0" borderId="0" xfId="1" applyNumberFormat="1" applyFont="1"/>
    <xf numFmtId="167" fontId="167" fillId="0" borderId="0" xfId="1" applyNumberFormat="1" applyFont="1"/>
    <xf numFmtId="0" fontId="168" fillId="0" borderId="0" xfId="0" applyFont="1"/>
    <xf numFmtId="167" fontId="168" fillId="0" borderId="0" xfId="1" applyNumberFormat="1" applyFont="1"/>
    <xf numFmtId="165" fontId="146" fillId="0" borderId="0" xfId="1" applyNumberFormat="1" applyFont="1" applyFill="1"/>
    <xf numFmtId="178" fontId="7" fillId="0" borderId="0" xfId="1" applyNumberFormat="1" applyFont="1"/>
    <xf numFmtId="43" fontId="135" fillId="0" borderId="0" xfId="1" applyFont="1" applyFill="1"/>
    <xf numFmtId="179" fontId="135" fillId="0" borderId="0" xfId="1" applyNumberFormat="1" applyFont="1" applyFill="1"/>
    <xf numFmtId="179" fontId="163" fillId="0" borderId="0" xfId="1" applyNumberFormat="1" applyFont="1"/>
    <xf numFmtId="171" fontId="135" fillId="0" borderId="0" xfId="1" applyNumberFormat="1" applyFont="1" applyFill="1"/>
    <xf numFmtId="179" fontId="147" fillId="0" borderId="0" xfId="1" applyNumberFormat="1" applyFont="1"/>
    <xf numFmtId="179" fontId="167" fillId="0" borderId="0" xfId="1" applyNumberFormat="1" applyFont="1"/>
    <xf numFmtId="43" fontId="147" fillId="0" borderId="0" xfId="0" applyNumberFormat="1" applyFont="1"/>
    <xf numFmtId="43" fontId="147" fillId="0" borderId="0" xfId="404" applyFont="1"/>
    <xf numFmtId="179" fontId="142" fillId="0" borderId="0" xfId="1" applyNumberFormat="1" applyFont="1"/>
    <xf numFmtId="43" fontId="84" fillId="0" borderId="0" xfId="0" applyNumberFormat="1" applyFont="1"/>
    <xf numFmtId="43" fontId="85" fillId="0" borderId="0" xfId="1" applyFont="1"/>
    <xf numFmtId="165" fontId="169" fillId="0" borderId="0" xfId="1" applyNumberFormat="1" applyFont="1"/>
    <xf numFmtId="171" fontId="134" fillId="0" borderId="0" xfId="1" applyNumberFormat="1" applyFont="1" applyFill="1"/>
    <xf numFmtId="43" fontId="170" fillId="0" borderId="0" xfId="571" applyNumberFormat="1" applyFont="1"/>
    <xf numFmtId="171" fontId="142" fillId="0" borderId="0" xfId="1" applyNumberFormat="1" applyFont="1"/>
    <xf numFmtId="177" fontId="135" fillId="0" borderId="0" xfId="2" applyNumberFormat="1" applyFont="1"/>
    <xf numFmtId="2" fontId="86" fillId="0" borderId="0" xfId="1" applyNumberFormat="1" applyFont="1"/>
    <xf numFmtId="166" fontId="86" fillId="0" borderId="0" xfId="2" applyNumberFormat="1" applyFont="1"/>
    <xf numFmtId="165" fontId="134" fillId="0" borderId="0" xfId="2" applyNumberFormat="1" applyFont="1"/>
    <xf numFmtId="0" fontId="7" fillId="46" borderId="0" xfId="0" applyFont="1" applyFill="1"/>
    <xf numFmtId="0" fontId="9" fillId="46" borderId="0" xfId="0" applyFont="1" applyFill="1"/>
    <xf numFmtId="0" fontId="59" fillId="46" borderId="0" xfId="0" applyFont="1" applyFill="1" applyAlignment="1">
      <alignment horizontal="center"/>
    </xf>
    <xf numFmtId="173" fontId="84" fillId="4" borderId="0" xfId="0" applyNumberFormat="1" applyFont="1" applyFill="1"/>
    <xf numFmtId="173" fontId="84" fillId="0" borderId="0" xfId="0" applyNumberFormat="1" applyFont="1"/>
    <xf numFmtId="165" fontId="147" fillId="0" borderId="0" xfId="1" applyNumberFormat="1" applyFont="1"/>
    <xf numFmtId="167" fontId="84" fillId="0" borderId="0" xfId="0" applyNumberFormat="1" applyFont="1" applyAlignment="1">
      <alignment wrapText="1"/>
    </xf>
    <xf numFmtId="167" fontId="84" fillId="0" borderId="0" xfId="1" applyNumberFormat="1" applyFont="1" applyAlignment="1">
      <alignment wrapText="1"/>
    </xf>
    <xf numFmtId="167" fontId="84" fillId="0" borderId="0" xfId="571" applyNumberFormat="1" applyFont="1"/>
    <xf numFmtId="176" fontId="166" fillId="0" borderId="0" xfId="0" applyNumberFormat="1" applyFont="1"/>
    <xf numFmtId="167" fontId="84" fillId="0" borderId="0" xfId="0" applyNumberFormat="1" applyFont="1"/>
    <xf numFmtId="43" fontId="147" fillId="0" borderId="0" xfId="1" applyFont="1" applyFill="1"/>
    <xf numFmtId="43" fontId="83" fillId="0" borderId="0" xfId="1" applyFont="1"/>
    <xf numFmtId="43" fontId="84" fillId="0" borderId="0" xfId="1" applyFont="1" applyFill="1"/>
    <xf numFmtId="43" fontId="84" fillId="0" borderId="0" xfId="404" applyFont="1"/>
    <xf numFmtId="179" fontId="135" fillId="0" borderId="0" xfId="1" applyNumberFormat="1" applyFont="1"/>
    <xf numFmtId="179" fontId="84" fillId="0" borderId="0" xfId="1" applyNumberFormat="1" applyFont="1"/>
    <xf numFmtId="167" fontId="168" fillId="0" borderId="0" xfId="1" applyNumberFormat="1" applyFont="1" applyFill="1"/>
    <xf numFmtId="43" fontId="171" fillId="0" borderId="0" xfId="1" applyFont="1" applyFill="1"/>
    <xf numFmtId="43" fontId="168" fillId="0" borderId="0" xfId="1" applyFont="1"/>
    <xf numFmtId="10" fontId="147" fillId="0" borderId="0" xfId="2" applyNumberFormat="1" applyFont="1"/>
    <xf numFmtId="167" fontId="84" fillId="0" borderId="0" xfId="571" applyNumberFormat="1" applyFont="1" applyFill="1"/>
    <xf numFmtId="167" fontId="138" fillId="0" borderId="0" xfId="1" applyNumberFormat="1" applyFont="1" applyFill="1"/>
    <xf numFmtId="43" fontId="168" fillId="0" borderId="0" xfId="1" applyFont="1" applyFill="1"/>
    <xf numFmtId="171" fontId="147" fillId="0" borderId="0" xfId="1" applyNumberFormat="1" applyFont="1" applyFill="1"/>
    <xf numFmtId="43" fontId="83" fillId="0" borderId="0" xfId="1" applyFont="1" applyAlignment="1">
      <alignment horizontal="right"/>
    </xf>
    <xf numFmtId="43" fontId="17" fillId="0" borderId="0" xfId="1" applyFont="1"/>
    <xf numFmtId="0" fontId="7" fillId="50" borderId="0" xfId="0" applyFont="1" applyFill="1"/>
    <xf numFmtId="165" fontId="168" fillId="0" borderId="0" xfId="1" applyNumberFormat="1" applyFont="1"/>
    <xf numFmtId="167" fontId="166" fillId="0" borderId="0" xfId="584" applyNumberFormat="1" applyFont="1"/>
    <xf numFmtId="167" fontId="172" fillId="0" borderId="0" xfId="1" applyNumberFormat="1" applyFont="1"/>
    <xf numFmtId="179" fontId="147" fillId="0" borderId="0" xfId="571" applyNumberFormat="1" applyFont="1" applyFill="1"/>
    <xf numFmtId="43" fontId="138" fillId="0" borderId="0" xfId="1" applyFont="1"/>
    <xf numFmtId="171" fontId="84" fillId="0" borderId="0" xfId="0" applyNumberFormat="1" applyFont="1"/>
    <xf numFmtId="179" fontId="84" fillId="0" borderId="0" xfId="585" applyNumberFormat="1" applyFont="1"/>
    <xf numFmtId="171" fontId="84" fillId="0" borderId="0" xfId="404" applyNumberFormat="1" applyFont="1"/>
    <xf numFmtId="171" fontId="84" fillId="0" borderId="0" xfId="571" applyNumberFormat="1" applyFont="1" applyBorder="1"/>
    <xf numFmtId="165" fontId="84" fillId="0" borderId="0" xfId="228" applyNumberFormat="1" applyFont="1"/>
    <xf numFmtId="171" fontId="84" fillId="0" borderId="0" xfId="586" applyNumberFormat="1" applyFont="1"/>
    <xf numFmtId="167" fontId="134" fillId="0" borderId="0" xfId="1" applyNumberFormat="1" applyFont="1" applyBorder="1"/>
    <xf numFmtId="9" fontId="134" fillId="0" borderId="0" xfId="2" applyFont="1" applyBorder="1"/>
    <xf numFmtId="165" fontId="9" fillId="0" borderId="0" xfId="1" applyNumberFormat="1" applyFont="1" applyBorder="1"/>
    <xf numFmtId="167" fontId="60" fillId="0" borderId="0" xfId="1" applyNumberFormat="1" applyFont="1" applyAlignment="1">
      <alignment horizontal="center"/>
    </xf>
    <xf numFmtId="43" fontId="145" fillId="0" borderId="0" xfId="1" applyFont="1"/>
    <xf numFmtId="167" fontId="59" fillId="0" borderId="0" xfId="1" applyNumberFormat="1" applyFont="1" applyFill="1" applyAlignment="1">
      <alignment horizontal="center"/>
    </xf>
    <xf numFmtId="166" fontId="9" fillId="0" borderId="0" xfId="2" applyNumberFormat="1" applyFont="1"/>
    <xf numFmtId="0" fontId="9" fillId="0" borderId="0" xfId="1" applyNumberFormat="1" applyFont="1"/>
    <xf numFmtId="165" fontId="136" fillId="0" borderId="0" xfId="2" applyNumberFormat="1" applyFont="1"/>
    <xf numFmtId="167" fontId="9" fillId="0" borderId="0" xfId="0" applyNumberFormat="1" applyFont="1"/>
    <xf numFmtId="10" fontId="136" fillId="0" borderId="0" xfId="2" applyNumberFormat="1" applyFont="1"/>
    <xf numFmtId="167" fontId="17" fillId="0" borderId="0" xfId="0" applyNumberFormat="1" applyFont="1"/>
    <xf numFmtId="167" fontId="138" fillId="0" borderId="0" xfId="0" applyNumberFormat="1" applyFont="1"/>
    <xf numFmtId="178" fontId="7" fillId="0" borderId="0" xfId="0" applyNumberFormat="1" applyFont="1"/>
    <xf numFmtId="178" fontId="136" fillId="0" borderId="0" xfId="0" applyNumberFormat="1" applyFont="1"/>
    <xf numFmtId="167" fontId="60" fillId="0" borderId="0" xfId="1" applyNumberFormat="1" applyFont="1" applyFill="1" applyAlignment="1">
      <alignment horizontal="center"/>
    </xf>
    <xf numFmtId="2" fontId="136" fillId="0" borderId="0" xfId="0" applyNumberFormat="1" applyFont="1"/>
    <xf numFmtId="167" fontId="136" fillId="0" borderId="0" xfId="1" applyNumberFormat="1" applyFont="1" applyAlignment="1">
      <alignment horizontal="center"/>
    </xf>
    <xf numFmtId="178" fontId="9" fillId="0" borderId="0" xfId="1" applyNumberFormat="1" applyFont="1"/>
    <xf numFmtId="165" fontId="138" fillId="0" borderId="0" xfId="1" applyNumberFormat="1" applyFont="1"/>
    <xf numFmtId="0" fontId="136" fillId="0" borderId="0" xfId="0" applyFont="1"/>
    <xf numFmtId="43" fontId="136" fillId="0" borderId="0" xfId="0" applyNumberFormat="1" applyFont="1"/>
    <xf numFmtId="43" fontId="138" fillId="0" borderId="0" xfId="0" applyNumberFormat="1" applyFont="1"/>
    <xf numFmtId="167" fontId="86" fillId="0" borderId="0" xfId="0" applyNumberFormat="1" applyFont="1"/>
    <xf numFmtId="167" fontId="162" fillId="0" borderId="0" xfId="0" applyNumberFormat="1" applyFont="1"/>
    <xf numFmtId="167" fontId="134" fillId="0" borderId="0" xfId="0" applyNumberFormat="1" applyFont="1"/>
    <xf numFmtId="167" fontId="88" fillId="0" borderId="0" xfId="0" applyNumberFormat="1" applyFont="1" applyAlignment="1">
      <alignment vertical="center"/>
    </xf>
    <xf numFmtId="167" fontId="87" fillId="0" borderId="0" xfId="0" applyNumberFormat="1" applyFont="1" applyAlignment="1">
      <alignment horizontal="left" vertical="center"/>
    </xf>
    <xf numFmtId="167" fontId="87" fillId="0" borderId="0" xfId="2" applyNumberFormat="1" applyFont="1" applyAlignment="1">
      <alignment horizontal="right" vertical="center"/>
    </xf>
    <xf numFmtId="0" fontId="44" fillId="0" borderId="0" xfId="587" applyFont="1"/>
    <xf numFmtId="0" fontId="63" fillId="0" borderId="0" xfId="587" applyFont="1" applyAlignment="1">
      <alignment horizontal="center"/>
    </xf>
    <xf numFmtId="17" fontId="64" fillId="45" borderId="0" xfId="587" applyNumberFormat="1" applyFont="1" applyFill="1"/>
    <xf numFmtId="0" fontId="62" fillId="7" borderId="0" xfId="587" applyFont="1" applyFill="1"/>
    <xf numFmtId="0" fontId="48" fillId="7" borderId="0" xfId="587" applyFont="1" applyFill="1"/>
    <xf numFmtId="0" fontId="70" fillId="7" borderId="0" xfId="587" applyFont="1" applyFill="1" applyAlignment="1">
      <alignment horizontal="center"/>
    </xf>
    <xf numFmtId="17" fontId="64" fillId="0" borderId="0" xfId="587" applyNumberFormat="1" applyFont="1"/>
    <xf numFmtId="0" fontId="62" fillId="0" borderId="0" xfId="587" applyFont="1"/>
    <xf numFmtId="0" fontId="48" fillId="0" borderId="0" xfId="587" applyFont="1"/>
    <xf numFmtId="165" fontId="62" fillId="0" borderId="0" xfId="587" applyNumberFormat="1" applyFont="1"/>
    <xf numFmtId="165" fontId="62" fillId="0" borderId="0" xfId="1" applyNumberFormat="1" applyFont="1" applyFill="1"/>
    <xf numFmtId="43" fontId="44" fillId="0" borderId="0" xfId="587" applyNumberFormat="1" applyFont="1"/>
    <xf numFmtId="167" fontId="62" fillId="0" borderId="0" xfId="1" applyNumberFormat="1" applyFont="1" applyFill="1"/>
    <xf numFmtId="167" fontId="44" fillId="0" borderId="0" xfId="1" applyNumberFormat="1" applyFont="1" applyFill="1"/>
    <xf numFmtId="167" fontId="43" fillId="0" borderId="0" xfId="571" applyNumberFormat="1" applyFont="1" applyFill="1"/>
    <xf numFmtId="165" fontId="44" fillId="0" borderId="0" xfId="1" applyNumberFormat="1" applyFont="1" applyFill="1" applyAlignment="1">
      <alignment horizontal="left" indent="1"/>
    </xf>
    <xf numFmtId="167" fontId="124" fillId="0" borderId="0" xfId="571" applyNumberFormat="1" applyFont="1" applyFill="1"/>
    <xf numFmtId="167" fontId="62" fillId="0" borderId="0" xfId="587" applyNumberFormat="1" applyFont="1"/>
    <xf numFmtId="0" fontId="70" fillId="0" borderId="0" xfId="587" applyFont="1" applyAlignment="1">
      <alignment horizontal="center"/>
    </xf>
    <xf numFmtId="0" fontId="62" fillId="52" borderId="0" xfId="587" applyFont="1" applyFill="1"/>
    <xf numFmtId="0" fontId="44" fillId="52" borderId="0" xfId="587" applyFont="1" applyFill="1"/>
    <xf numFmtId="0" fontId="63" fillId="52" borderId="0" xfId="587" applyFont="1" applyFill="1" applyAlignment="1">
      <alignment horizontal="center"/>
    </xf>
    <xf numFmtId="0" fontId="63" fillId="0" borderId="0" xfId="587" quotePrefix="1" applyFont="1" applyAlignment="1">
      <alignment horizontal="center"/>
    </xf>
    <xf numFmtId="165" fontId="49" fillId="0" borderId="0" xfId="587" applyNumberFormat="1" applyFont="1"/>
    <xf numFmtId="165" fontId="52" fillId="0" borderId="0" xfId="1" applyNumberFormat="1" applyFont="1"/>
    <xf numFmtId="165" fontId="49" fillId="0" borderId="0" xfId="1" applyNumberFormat="1" applyFont="1" applyFill="1"/>
    <xf numFmtId="165" fontId="52" fillId="0" borderId="0" xfId="1" applyNumberFormat="1" applyFont="1" applyFill="1"/>
    <xf numFmtId="167" fontId="50" fillId="0" borderId="0" xfId="587" applyNumberFormat="1" applyFont="1"/>
    <xf numFmtId="167" fontId="53" fillId="0" borderId="0" xfId="587" applyNumberFormat="1" applyFont="1"/>
    <xf numFmtId="171" fontId="44" fillId="0" borderId="0" xfId="1" applyNumberFormat="1" applyFont="1" applyFill="1" applyAlignment="1">
      <alignment horizontal="left"/>
    </xf>
    <xf numFmtId="167" fontId="124" fillId="0" borderId="0" xfId="587" applyNumberFormat="1" applyFont="1"/>
    <xf numFmtId="0" fontId="70" fillId="52" borderId="0" xfId="587" applyFont="1" applyFill="1" applyAlignment="1">
      <alignment horizontal="center"/>
    </xf>
    <xf numFmtId="173" fontId="50" fillId="0" borderId="0" xfId="571" applyNumberFormat="1" applyFont="1" applyFill="1" applyBorder="1"/>
    <xf numFmtId="165" fontId="50" fillId="0" borderId="0" xfId="587" applyNumberFormat="1" applyFont="1"/>
    <xf numFmtId="43" fontId="50" fillId="0" borderId="0" xfId="587" applyNumberFormat="1" applyFont="1"/>
    <xf numFmtId="167" fontId="44" fillId="0" borderId="0" xfId="587" applyNumberFormat="1" applyFont="1"/>
    <xf numFmtId="9" fontId="63" fillId="0" borderId="0" xfId="2" applyFont="1" applyAlignment="1">
      <alignment horizontal="center"/>
    </xf>
    <xf numFmtId="0" fontId="62" fillId="0" borderId="0" xfId="587" applyFont="1" applyAlignment="1">
      <alignment horizontal="center"/>
    </xf>
    <xf numFmtId="43" fontId="43" fillId="0" borderId="0" xfId="587" applyNumberFormat="1" applyFont="1"/>
    <xf numFmtId="0" fontId="63" fillId="0" borderId="0" xfId="587" applyFont="1"/>
    <xf numFmtId="9" fontId="22" fillId="0" borderId="0" xfId="2" applyFont="1" applyAlignment="1">
      <alignment vertical="center"/>
    </xf>
    <xf numFmtId="165" fontId="80" fillId="0" borderId="0" xfId="1" applyNumberFormat="1" applyFont="1"/>
    <xf numFmtId="165" fontId="174" fillId="55" borderId="0" xfId="1" applyNumberFormat="1" applyFont="1" applyFill="1" applyAlignment="1">
      <alignment horizontal="center" vertical="center"/>
    </xf>
    <xf numFmtId="0" fontId="175" fillId="56" borderId="0" xfId="0" applyFont="1" applyFill="1" applyAlignment="1">
      <alignment vertical="center"/>
    </xf>
    <xf numFmtId="0" fontId="176" fillId="0" borderId="0" xfId="0" applyFont="1" applyAlignment="1">
      <alignment vertical="center"/>
    </xf>
    <xf numFmtId="165" fontId="176" fillId="0" borderId="0" xfId="0" applyNumberFormat="1" applyFont="1" applyAlignment="1">
      <alignment vertical="center"/>
    </xf>
    <xf numFmtId="0" fontId="177" fillId="0" borderId="0" xfId="0" applyFont="1" applyAlignment="1">
      <alignment horizontal="left" vertical="center" indent="1"/>
    </xf>
    <xf numFmtId="165" fontId="177" fillId="0" borderId="0" xfId="0" applyNumberFormat="1" applyFont="1" applyAlignment="1">
      <alignment vertical="center"/>
    </xf>
    <xf numFmtId="165" fontId="177" fillId="0" borderId="0" xfId="1" applyNumberFormat="1" applyFont="1" applyAlignment="1">
      <alignment vertical="center"/>
    </xf>
    <xf numFmtId="0" fontId="42" fillId="0" borderId="0" xfId="0" applyFont="1" applyAlignment="1">
      <alignment vertical="center"/>
    </xf>
    <xf numFmtId="165" fontId="176" fillId="0" borderId="0" xfId="1" applyNumberFormat="1" applyFont="1" applyAlignment="1">
      <alignment vertical="center"/>
    </xf>
    <xf numFmtId="166" fontId="178" fillId="0" borderId="0" xfId="2" applyNumberFormat="1" applyFont="1" applyAlignment="1">
      <alignment vertical="center"/>
    </xf>
    <xf numFmtId="165" fontId="178" fillId="0" borderId="0" xfId="0" applyNumberFormat="1" applyFont="1" applyAlignment="1">
      <alignment vertical="center"/>
    </xf>
    <xf numFmtId="165" fontId="174" fillId="4" borderId="0" xfId="1" applyNumberFormat="1" applyFont="1" applyFill="1" applyAlignment="1">
      <alignment horizontal="center" vertical="center"/>
    </xf>
    <xf numFmtId="0" fontId="0" fillId="7" borderId="0" xfId="0" applyFill="1"/>
    <xf numFmtId="0" fontId="56" fillId="7" borderId="0" xfId="0" applyFont="1" applyFill="1" applyAlignment="1">
      <alignment horizontal="right"/>
    </xf>
    <xf numFmtId="0" fontId="19" fillId="9" borderId="2" xfId="0" applyFont="1" applyFill="1" applyBorder="1" applyAlignment="1">
      <alignment horizontal="center" vertical="center"/>
    </xf>
    <xf numFmtId="166" fontId="88" fillId="0" borderId="0" xfId="2" applyNumberFormat="1" applyFont="1" applyAlignment="1">
      <alignment horizontal="center" vertical="center"/>
    </xf>
    <xf numFmtId="165" fontId="58" fillId="5" borderId="2" xfId="1" applyNumberFormat="1" applyFont="1" applyFill="1" applyBorder="1"/>
    <xf numFmtId="17" fontId="2" fillId="3" borderId="0" xfId="0" applyNumberFormat="1" applyFont="1" applyFill="1" applyAlignment="1">
      <alignment horizontal="left" vertical="center"/>
    </xf>
    <xf numFmtId="17" fontId="2" fillId="3" borderId="0" xfId="0" applyNumberFormat="1" applyFont="1" applyFill="1" applyAlignment="1">
      <alignment horizontal="center" vertical="center"/>
    </xf>
    <xf numFmtId="17" fontId="106" fillId="0" borderId="0" xfId="0" applyNumberFormat="1" applyFont="1" applyAlignment="1">
      <alignment horizontal="left" vertical="center"/>
    </xf>
    <xf numFmtId="17" fontId="93" fillId="0" borderId="0" xfId="0" applyNumberFormat="1" applyFont="1" applyAlignment="1">
      <alignment horizontal="left" vertical="center"/>
    </xf>
    <xf numFmtId="17" fontId="94" fillId="0" borderId="0" xfId="0" applyNumberFormat="1" applyFont="1" applyAlignment="1">
      <alignment horizontal="left" vertical="center"/>
    </xf>
    <xf numFmtId="17" fontId="90" fillId="0" borderId="0" xfId="0" applyNumberFormat="1" applyFont="1" applyAlignment="1">
      <alignment horizontal="left" vertical="center"/>
    </xf>
    <xf numFmtId="171" fontId="0" fillId="0" borderId="0" xfId="0" applyNumberFormat="1"/>
    <xf numFmtId="17" fontId="93" fillId="0" borderId="0" xfId="0" applyNumberFormat="1" applyFont="1" applyAlignment="1">
      <alignment horizontal="left" vertical="center" indent="1"/>
    </xf>
    <xf numFmtId="165" fontId="1" fillId="0" borderId="0" xfId="1" applyNumberFormat="1" applyFont="1" applyFill="1" applyAlignment="1">
      <alignment horizontal="left" indent="2"/>
    </xf>
    <xf numFmtId="165" fontId="16" fillId="0" borderId="0" xfId="1" applyNumberFormat="1" applyFont="1" applyFill="1" applyAlignment="1">
      <alignment horizontal="left" indent="3"/>
    </xf>
    <xf numFmtId="165" fontId="106" fillId="0" borderId="0" xfId="1" applyNumberFormat="1" applyFont="1" applyFill="1" applyBorder="1"/>
    <xf numFmtId="1" fontId="0" fillId="0" borderId="0" xfId="1" applyNumberFormat="1" applyFont="1" applyFill="1" applyBorder="1"/>
    <xf numFmtId="165" fontId="0" fillId="0" borderId="0" xfId="1" applyNumberFormat="1" applyFont="1" applyAlignment="1">
      <alignment horizontal="left" indent="2"/>
    </xf>
    <xf numFmtId="165" fontId="16" fillId="0" borderId="0" xfId="1" applyNumberFormat="1" applyFont="1" applyAlignment="1">
      <alignment horizontal="left" indent="3"/>
    </xf>
    <xf numFmtId="1" fontId="0" fillId="0" borderId="0" xfId="1" applyNumberFormat="1" applyFont="1"/>
    <xf numFmtId="43" fontId="0" fillId="0" borderId="0" xfId="1" applyFont="1" applyFill="1" applyAlignment="1">
      <alignment horizontal="left" indent="2"/>
    </xf>
    <xf numFmtId="17" fontId="94" fillId="0" borderId="0" xfId="0" applyNumberFormat="1" applyFont="1" applyAlignment="1">
      <alignment horizontal="left" vertical="center" indent="1"/>
    </xf>
    <xf numFmtId="165" fontId="3" fillId="0" borderId="0" xfId="1" applyNumberFormat="1" applyFont="1" applyFill="1" applyBorder="1"/>
    <xf numFmtId="165" fontId="1" fillId="0" borderId="0" xfId="1" applyNumberFormat="1" applyFont="1" applyFill="1" applyAlignment="1">
      <alignment horizontal="left" indent="1"/>
    </xf>
    <xf numFmtId="165" fontId="1" fillId="0" borderId="0" xfId="1" applyNumberFormat="1" applyFont="1" applyAlignment="1">
      <alignment horizontal="left" indent="1"/>
    </xf>
    <xf numFmtId="17" fontId="93" fillId="0" borderId="0" xfId="0" applyNumberFormat="1" applyFont="1" applyAlignment="1">
      <alignment horizontal="left" vertical="center" indent="2"/>
    </xf>
    <xf numFmtId="165" fontId="3" fillId="0" borderId="0" xfId="1" applyNumberFormat="1" applyFont="1" applyFill="1" applyAlignment="1">
      <alignment horizontal="left" indent="1"/>
    </xf>
    <xf numFmtId="17" fontId="94" fillId="0" borderId="0" xfId="0" applyNumberFormat="1" applyFont="1" applyAlignment="1">
      <alignment horizontal="left" vertical="center" indent="3"/>
    </xf>
    <xf numFmtId="165" fontId="25" fillId="0" borderId="0" xfId="0" applyNumberFormat="1" applyFont="1"/>
    <xf numFmtId="17" fontId="90" fillId="0" borderId="0" xfId="0" applyNumberFormat="1" applyFont="1" applyAlignment="1">
      <alignment horizontal="left" vertical="center" indent="1"/>
    </xf>
    <xf numFmtId="165" fontId="3" fillId="0" borderId="0" xfId="1" applyNumberFormat="1" applyFont="1" applyFill="1" applyAlignment="1">
      <alignment horizontal="left" indent="2"/>
    </xf>
    <xf numFmtId="17" fontId="77" fillId="0" borderId="0" xfId="0" applyNumberFormat="1" applyFont="1" applyAlignment="1">
      <alignment horizontal="left" vertical="center" indent="1"/>
    </xf>
    <xf numFmtId="165" fontId="3" fillId="0" borderId="0" xfId="1" applyNumberFormat="1" applyFont="1" applyAlignment="1">
      <alignment horizontal="left" indent="2"/>
    </xf>
    <xf numFmtId="165" fontId="0" fillId="0" borderId="0" xfId="1" applyNumberFormat="1" applyFont="1" applyFill="1" applyAlignment="1">
      <alignment horizontal="left" indent="2"/>
    </xf>
    <xf numFmtId="0" fontId="80" fillId="0" borderId="0" xfId="0" applyFont="1"/>
    <xf numFmtId="17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17" fontId="3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17" fontId="0" fillId="0" borderId="0" xfId="0" applyNumberFormat="1" applyAlignment="1">
      <alignment horizontal="left" vertical="center" indent="1"/>
    </xf>
    <xf numFmtId="165" fontId="3" fillId="0" borderId="0" xfId="1" applyNumberFormat="1" applyFon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77" fontId="0" fillId="0" borderId="0" xfId="2" applyNumberFormat="1" applyFont="1" applyAlignment="1">
      <alignment horizontal="center" vertical="center"/>
    </xf>
    <xf numFmtId="17" fontId="3" fillId="0" borderId="0" xfId="0" applyNumberFormat="1" applyFont="1" applyAlignment="1">
      <alignment horizontal="left" vertical="center" indent="1"/>
    </xf>
    <xf numFmtId="17" fontId="0" fillId="0" borderId="0" xfId="0" applyNumberFormat="1" applyAlignment="1">
      <alignment horizontal="left" vertical="center" indent="2"/>
    </xf>
    <xf numFmtId="0" fontId="0" fillId="0" borderId="0" xfId="0" applyAlignment="1">
      <alignment horizontal="left" indent="3"/>
    </xf>
    <xf numFmtId="165" fontId="3" fillId="0" borderId="0" xfId="2" applyNumberFormat="1" applyFont="1" applyFill="1"/>
    <xf numFmtId="165" fontId="115" fillId="0" borderId="0" xfId="0" applyNumberFormat="1" applyFont="1"/>
    <xf numFmtId="165" fontId="0" fillId="0" borderId="3" xfId="1" applyNumberFormat="1" applyFont="1" applyFill="1" applyBorder="1" applyAlignment="1">
      <alignment horizontal="left" indent="1"/>
    </xf>
    <xf numFmtId="165" fontId="0" fillId="0" borderId="3" xfId="1" applyNumberFormat="1" applyFont="1" applyFill="1" applyBorder="1"/>
    <xf numFmtId="165" fontId="0" fillId="0" borderId="3" xfId="1" applyNumberFormat="1" applyFont="1" applyBorder="1" applyAlignment="1">
      <alignment horizontal="left" indent="1"/>
    </xf>
    <xf numFmtId="165" fontId="0" fillId="0" borderId="3" xfId="1" applyNumberFormat="1" applyFont="1" applyBorder="1"/>
    <xf numFmtId="165" fontId="0" fillId="0" borderId="3" xfId="0" applyNumberFormat="1" applyBorder="1"/>
    <xf numFmtId="165" fontId="1" fillId="0" borderId="3" xfId="1" applyNumberFormat="1" applyFont="1" applyBorder="1" applyAlignment="1">
      <alignment horizontal="left" indent="1"/>
    </xf>
    <xf numFmtId="0" fontId="0" fillId="0" borderId="3" xfId="0" applyBorder="1"/>
    <xf numFmtId="165" fontId="3" fillId="0" borderId="3" xfId="1" applyNumberFormat="1" applyFont="1" applyFill="1" applyBorder="1"/>
    <xf numFmtId="3" fontId="16" fillId="0" borderId="3" xfId="0" applyNumberFormat="1" applyFont="1" applyBorder="1"/>
    <xf numFmtId="165" fontId="16" fillId="0" borderId="3" xfId="1" applyNumberFormat="1" applyFont="1" applyBorder="1"/>
    <xf numFmtId="17" fontId="0" fillId="0" borderId="3" xfId="0" applyNumberFormat="1" applyBorder="1" applyAlignment="1">
      <alignment horizontal="left" vertical="center" indent="1"/>
    </xf>
    <xf numFmtId="165" fontId="3" fillId="0" borderId="3" xfId="1" applyNumberFormat="1" applyFont="1" applyBorder="1"/>
    <xf numFmtId="165" fontId="16" fillId="0" borderId="0" xfId="1" applyNumberFormat="1" applyFont="1" applyFill="1" applyBorder="1" applyAlignment="1">
      <alignment horizontal="left" indent="1"/>
    </xf>
    <xf numFmtId="165" fontId="0" fillId="0" borderId="0" xfId="1" applyNumberFormat="1" applyFont="1" applyFill="1" applyBorder="1" applyAlignment="1">
      <alignment horizontal="left" indent="2"/>
    </xf>
    <xf numFmtId="165" fontId="0" fillId="0" borderId="0" xfId="1" applyNumberFormat="1" applyFont="1" applyFill="1" applyBorder="1" applyAlignment="1">
      <alignment horizontal="left" indent="3"/>
    </xf>
    <xf numFmtId="165" fontId="0" fillId="0" borderId="0" xfId="1" applyNumberFormat="1" applyFont="1" applyFill="1" applyBorder="1" applyAlignment="1">
      <alignment horizontal="left" indent="1"/>
    </xf>
    <xf numFmtId="165" fontId="0" fillId="0" borderId="0" xfId="0" applyNumberFormat="1" applyAlignment="1">
      <alignment horizontal="left" indent="1"/>
    </xf>
    <xf numFmtId="165" fontId="3" fillId="0" borderId="0" xfId="1" applyNumberFormat="1" applyFont="1" applyBorder="1"/>
    <xf numFmtId="0" fontId="115" fillId="0" borderId="0" xfId="0" applyFont="1"/>
    <xf numFmtId="0" fontId="80" fillId="0" borderId="13" xfId="0" applyFont="1" applyBorder="1"/>
    <xf numFmtId="166" fontId="0" fillId="0" borderId="0" xfId="2" applyNumberFormat="1" applyFont="1" applyBorder="1"/>
    <xf numFmtId="166" fontId="0" fillId="0" borderId="3" xfId="2" applyNumberFormat="1" applyFont="1" applyBorder="1"/>
    <xf numFmtId="165" fontId="84" fillId="0" borderId="0" xfId="1" applyNumberFormat="1" applyFont="1" applyFill="1"/>
    <xf numFmtId="17" fontId="19" fillId="8" borderId="2" xfId="0" applyNumberFormat="1" applyFont="1" applyFill="1" applyBorder="1" applyAlignment="1">
      <alignment vertical="center" wrapText="1"/>
    </xf>
    <xf numFmtId="165" fontId="87" fillId="0" borderId="0" xfId="0" applyNumberFormat="1" applyFont="1" applyAlignment="1">
      <alignment vertical="center"/>
    </xf>
    <xf numFmtId="165" fontId="87" fillId="0" borderId="29" xfId="0" applyNumberFormat="1" applyFont="1" applyBorder="1" applyAlignment="1">
      <alignment vertical="center"/>
    </xf>
    <xf numFmtId="167" fontId="87" fillId="0" borderId="29" xfId="0" applyNumberFormat="1" applyFont="1" applyBorder="1" applyAlignment="1">
      <alignment vertical="center"/>
    </xf>
    <xf numFmtId="166" fontId="87" fillId="0" borderId="0" xfId="2" applyNumberFormat="1" applyFont="1" applyAlignment="1">
      <alignment vertical="center"/>
    </xf>
    <xf numFmtId="17" fontId="19" fillId="8" borderId="0" xfId="0" applyNumberFormat="1" applyFont="1" applyFill="1" applyAlignment="1">
      <alignment horizontal="center" vertical="center" wrapText="1"/>
    </xf>
    <xf numFmtId="0" fontId="108" fillId="0" borderId="0" xfId="0" applyFont="1" applyAlignment="1">
      <alignment horizontal="left" vertical="center"/>
    </xf>
    <xf numFmtId="0" fontId="108" fillId="0" borderId="0" xfId="0" applyFont="1" applyAlignment="1">
      <alignment horizontal="left" vertical="center" wrapText="1"/>
    </xf>
    <xf numFmtId="0" fontId="116" fillId="0" borderId="0" xfId="0" applyFont="1" applyAlignment="1">
      <alignment horizontal="left" vertical="center"/>
    </xf>
    <xf numFmtId="167" fontId="87" fillId="0" borderId="58" xfId="0" applyNumberFormat="1" applyFont="1" applyBorder="1" applyAlignment="1">
      <alignment vertical="center"/>
    </xf>
    <xf numFmtId="43" fontId="87" fillId="0" borderId="3" xfId="1" applyFont="1" applyBorder="1" applyAlignment="1">
      <alignment vertical="center"/>
    </xf>
    <xf numFmtId="17" fontId="19" fillId="8" borderId="0" xfId="0" quotePrefix="1" applyNumberFormat="1" applyFont="1" applyFill="1" applyAlignment="1">
      <alignment horizontal="right" vertical="center"/>
    </xf>
    <xf numFmtId="0" fontId="19" fillId="9" borderId="0" xfId="0" applyFont="1" applyFill="1" applyAlignment="1">
      <alignment horizontal="center" vertical="center" wrapText="1"/>
    </xf>
    <xf numFmtId="0" fontId="19" fillId="9" borderId="0" xfId="0" quotePrefix="1" applyFont="1" applyFill="1" applyAlignment="1">
      <alignment horizontal="right" vertical="center"/>
    </xf>
    <xf numFmtId="0" fontId="19" fillId="9" borderId="0" xfId="0" applyFont="1" applyFill="1" applyAlignment="1">
      <alignment horizontal="right" vertical="center"/>
    </xf>
    <xf numFmtId="17" fontId="19" fillId="0" borderId="0" xfId="0" quotePrefix="1" applyNumberFormat="1" applyFont="1" applyAlignment="1">
      <alignment horizontal="right" vertical="center"/>
    </xf>
    <xf numFmtId="165" fontId="87" fillId="0" borderId="0" xfId="1" applyNumberFormat="1" applyFont="1" applyFill="1" applyBorder="1" applyAlignment="1">
      <alignment horizontal="right" vertical="center"/>
    </xf>
    <xf numFmtId="43" fontId="21" fillId="0" borderId="0" xfId="0" applyNumberFormat="1" applyFont="1"/>
    <xf numFmtId="167" fontId="22" fillId="0" borderId="0" xfId="0" applyNumberFormat="1" applyFont="1"/>
    <xf numFmtId="166" fontId="87" fillId="0" borderId="3" xfId="2" applyNumberFormat="1" applyFont="1" applyBorder="1" applyAlignment="1">
      <alignment horizontal="center" vertical="center"/>
    </xf>
    <xf numFmtId="9" fontId="0" fillId="0" borderId="0" xfId="1" applyNumberFormat="1" applyFont="1"/>
    <xf numFmtId="173" fontId="0" fillId="0" borderId="0" xfId="2" applyNumberFormat="1" applyFont="1"/>
    <xf numFmtId="167" fontId="87" fillId="0" borderId="0" xfId="1" applyNumberFormat="1" applyFont="1" applyAlignment="1">
      <alignment vertical="center"/>
    </xf>
    <xf numFmtId="167" fontId="88" fillId="0" borderId="0" xfId="1" applyNumberFormat="1" applyFont="1" applyAlignment="1">
      <alignment vertical="center"/>
    </xf>
    <xf numFmtId="167" fontId="87" fillId="0" borderId="0" xfId="1" applyNumberFormat="1" applyFont="1" applyBorder="1" applyAlignment="1">
      <alignment vertical="center"/>
    </xf>
    <xf numFmtId="166" fontId="87" fillId="0" borderId="3" xfId="2" applyNumberFormat="1" applyFont="1" applyBorder="1" applyAlignment="1">
      <alignment vertical="center"/>
    </xf>
    <xf numFmtId="9" fontId="87" fillId="0" borderId="3" xfId="2" applyFont="1" applyBorder="1" applyAlignment="1">
      <alignment vertical="center"/>
    </xf>
    <xf numFmtId="0" fontId="0" fillId="45" borderId="0" xfId="0" applyFill="1"/>
    <xf numFmtId="10" fontId="0" fillId="45" borderId="0" xfId="2" applyNumberFormat="1" applyFont="1" applyFill="1"/>
    <xf numFmtId="9" fontId="0" fillId="45" borderId="0" xfId="2" applyFont="1" applyFill="1"/>
    <xf numFmtId="165" fontId="0" fillId="45" borderId="0" xfId="1" applyNumberFormat="1" applyFont="1" applyFill="1"/>
    <xf numFmtId="2" fontId="2" fillId="3" borderId="61" xfId="0" applyNumberFormat="1" applyFont="1" applyFill="1" applyBorder="1" applyAlignment="1">
      <alignment horizontal="left" vertical="center"/>
    </xf>
    <xf numFmtId="17" fontId="2" fillId="3" borderId="61" xfId="0" applyNumberFormat="1" applyFont="1" applyFill="1" applyBorder="1" applyAlignment="1">
      <alignment horizontal="left" vertical="center"/>
    </xf>
    <xf numFmtId="0" fontId="0" fillId="0" borderId="61" xfId="0" applyBorder="1"/>
    <xf numFmtId="17" fontId="94" fillId="0" borderId="61" xfId="0" applyNumberFormat="1" applyFont="1" applyBorder="1" applyAlignment="1">
      <alignment horizontal="left" vertical="center"/>
    </xf>
    <xf numFmtId="165" fontId="0" fillId="0" borderId="61" xfId="0" applyNumberFormat="1" applyBorder="1"/>
    <xf numFmtId="165" fontId="3" fillId="0" borderId="61" xfId="0" applyNumberFormat="1" applyFont="1" applyBorder="1"/>
    <xf numFmtId="165" fontId="59" fillId="0" borderId="61" xfId="0" applyNumberFormat="1" applyFont="1" applyBorder="1"/>
    <xf numFmtId="165" fontId="9" fillId="0" borderId="61" xfId="0" applyNumberFormat="1" applyFont="1" applyBorder="1"/>
    <xf numFmtId="0" fontId="79" fillId="0" borderId="61" xfId="0" applyFont="1" applyBorder="1"/>
    <xf numFmtId="165" fontId="60" fillId="0" borderId="61" xfId="0" applyNumberFormat="1" applyFont="1" applyBorder="1"/>
    <xf numFmtId="2" fontId="107" fillId="0" borderId="60" xfId="0" applyNumberFormat="1" applyFont="1" applyBorder="1"/>
    <xf numFmtId="2" fontId="107" fillId="0" borderId="61" xfId="0" applyNumberFormat="1" applyFont="1" applyBorder="1"/>
    <xf numFmtId="2" fontId="2" fillId="0" borderId="61" xfId="0" applyNumberFormat="1" applyFont="1" applyBorder="1"/>
    <xf numFmtId="0" fontId="106" fillId="0" borderId="60" xfId="0" applyFont="1" applyBorder="1"/>
    <xf numFmtId="0" fontId="106" fillId="0" borderId="61" xfId="0" applyFont="1" applyBorder="1"/>
    <xf numFmtId="1" fontId="106" fillId="0" borderId="61" xfId="1" applyNumberFormat="1" applyFont="1" applyFill="1" applyBorder="1"/>
    <xf numFmtId="165" fontId="106" fillId="0" borderId="61" xfId="0" applyNumberFormat="1" applyFont="1" applyBorder="1"/>
    <xf numFmtId="0" fontId="7" fillId="0" borderId="61" xfId="0" applyFont="1" applyBorder="1"/>
    <xf numFmtId="0" fontId="107" fillId="0" borderId="61" xfId="0" applyFont="1" applyBorder="1"/>
    <xf numFmtId="0" fontId="138" fillId="0" borderId="61" xfId="0" applyFont="1" applyBorder="1"/>
    <xf numFmtId="0" fontId="106" fillId="0" borderId="62" xfId="0" applyFont="1" applyBorder="1"/>
    <xf numFmtId="0" fontId="7" fillId="0" borderId="62" xfId="0" applyFont="1" applyBorder="1"/>
    <xf numFmtId="165" fontId="7" fillId="0" borderId="61" xfId="1" applyNumberFormat="1" applyFont="1" applyFill="1" applyBorder="1"/>
    <xf numFmtId="0" fontId="86" fillId="0" borderId="61" xfId="0" applyFont="1" applyBorder="1"/>
    <xf numFmtId="165" fontId="0" fillId="0" borderId="61" xfId="1" applyNumberFormat="1" applyFont="1" applyFill="1" applyBorder="1"/>
    <xf numFmtId="0" fontId="106" fillId="0" borderId="59" xfId="0" applyFont="1" applyBorder="1"/>
    <xf numFmtId="0" fontId="7" fillId="0" borderId="59" xfId="0" applyFont="1" applyBorder="1"/>
    <xf numFmtId="9" fontId="87" fillId="0" borderId="0" xfId="2" applyFont="1" applyAlignment="1">
      <alignment horizontal="left" vertical="center"/>
    </xf>
    <xf numFmtId="9" fontId="87" fillId="0" borderId="0" xfId="2" applyFont="1" applyAlignment="1">
      <alignment vertical="center"/>
    </xf>
    <xf numFmtId="167" fontId="87" fillId="0" borderId="0" xfId="1" applyNumberFormat="1" applyFont="1" applyAlignment="1">
      <alignment horizontal="left" vertical="center"/>
    </xf>
    <xf numFmtId="166" fontId="87" fillId="0" borderId="0" xfId="0" applyNumberFormat="1" applyFont="1" applyAlignment="1">
      <alignment horizontal="center" vertical="center"/>
    </xf>
    <xf numFmtId="165" fontId="87" fillId="0" borderId="3" xfId="0" applyNumberFormat="1" applyFont="1" applyBorder="1" applyAlignment="1">
      <alignment horizontal="center" vertical="center"/>
    </xf>
    <xf numFmtId="9" fontId="88" fillId="0" borderId="0" xfId="2" applyFont="1" applyAlignment="1">
      <alignment horizontal="center" vertical="center"/>
    </xf>
    <xf numFmtId="172" fontId="21" fillId="0" borderId="0" xfId="0" applyNumberFormat="1" applyFont="1"/>
    <xf numFmtId="165" fontId="108" fillId="0" borderId="0" xfId="1" applyNumberFormat="1" applyFont="1" applyAlignment="1">
      <alignment horizontal="left" vertical="center" wrapText="1"/>
    </xf>
    <xf numFmtId="167" fontId="0" fillId="0" borderId="0" xfId="0" applyNumberFormat="1"/>
    <xf numFmtId="0" fontId="108" fillId="0" borderId="0" xfId="0" applyFont="1" applyAlignment="1">
      <alignment horizontal="left" vertical="center" indent="1"/>
    </xf>
    <xf numFmtId="165" fontId="88" fillId="0" borderId="0" xfId="0" applyNumberFormat="1" applyFont="1" applyAlignment="1">
      <alignment vertical="center"/>
    </xf>
    <xf numFmtId="165" fontId="88" fillId="0" borderId="29" xfId="0" applyNumberFormat="1" applyFont="1" applyBorder="1" applyAlignment="1">
      <alignment vertical="center"/>
    </xf>
    <xf numFmtId="165" fontId="88" fillId="0" borderId="0" xfId="1" applyNumberFormat="1" applyFont="1" applyBorder="1" applyAlignment="1">
      <alignment vertical="center"/>
    </xf>
    <xf numFmtId="165" fontId="88" fillId="0" borderId="29" xfId="1" applyNumberFormat="1" applyFont="1" applyBorder="1" applyAlignment="1">
      <alignment vertical="center"/>
    </xf>
    <xf numFmtId="165" fontId="88" fillId="0" borderId="0" xfId="1" applyNumberFormat="1" applyFont="1" applyAlignment="1">
      <alignment vertical="center"/>
    </xf>
    <xf numFmtId="167" fontId="88" fillId="0" borderId="29" xfId="0" applyNumberFormat="1" applyFont="1" applyBorder="1" applyAlignment="1">
      <alignment vertical="center"/>
    </xf>
    <xf numFmtId="10" fontId="88" fillId="0" borderId="0" xfId="2" applyNumberFormat="1" applyFont="1" applyAlignment="1">
      <alignment vertical="center"/>
    </xf>
    <xf numFmtId="10" fontId="88" fillId="0" borderId="29" xfId="2" applyNumberFormat="1" applyFont="1" applyBorder="1" applyAlignment="1">
      <alignment vertical="center"/>
    </xf>
    <xf numFmtId="165" fontId="88" fillId="0" borderId="0" xfId="1" applyNumberFormat="1" applyFont="1" applyFill="1" applyBorder="1" applyAlignment="1">
      <alignment vertical="center"/>
    </xf>
    <xf numFmtId="0" fontId="182" fillId="8" borderId="2" xfId="0" applyFont="1" applyFill="1" applyBorder="1" applyAlignment="1">
      <alignment vertical="center" wrapText="1"/>
    </xf>
    <xf numFmtId="0" fontId="183" fillId="9" borderId="2" xfId="0" applyFont="1" applyFill="1" applyBorder="1" applyAlignment="1">
      <alignment horizontal="center" vertical="center"/>
    </xf>
    <xf numFmtId="0" fontId="184" fillId="0" borderId="0" xfId="0" applyFont="1" applyAlignment="1">
      <alignment vertical="center"/>
    </xf>
    <xf numFmtId="165" fontId="184" fillId="0" borderId="0" xfId="1" applyNumberFormat="1" applyFont="1" applyAlignment="1">
      <alignment vertical="center"/>
    </xf>
    <xf numFmtId="9" fontId="184" fillId="0" borderId="0" xfId="2" applyFont="1" applyAlignment="1">
      <alignment vertical="center"/>
    </xf>
    <xf numFmtId="0" fontId="185" fillId="0" borderId="0" xfId="0" applyFont="1" applyAlignment="1">
      <alignment vertical="center"/>
    </xf>
    <xf numFmtId="165" fontId="185" fillId="0" borderId="0" xfId="1" applyNumberFormat="1" applyFont="1" applyAlignment="1">
      <alignment vertical="center"/>
    </xf>
    <xf numFmtId="0" fontId="184" fillId="0" borderId="0" xfId="0" applyFont="1" applyAlignment="1">
      <alignment horizontal="left" vertical="center" indent="2"/>
    </xf>
    <xf numFmtId="17" fontId="183" fillId="8" borderId="2" xfId="0" quotePrefix="1" applyNumberFormat="1" applyFont="1" applyFill="1" applyBorder="1" applyAlignment="1">
      <alignment horizontal="center" vertical="center"/>
    </xf>
    <xf numFmtId="0" fontId="183" fillId="9" borderId="2" xfId="0" quotePrefix="1" applyFont="1" applyFill="1" applyBorder="1" applyAlignment="1">
      <alignment horizontal="center" vertical="center"/>
    </xf>
    <xf numFmtId="10" fontId="88" fillId="0" borderId="0" xfId="2" applyNumberFormat="1" applyFont="1" applyFill="1" applyAlignment="1">
      <alignment vertical="center"/>
    </xf>
    <xf numFmtId="10" fontId="88" fillId="0" borderId="29" xfId="2" applyNumberFormat="1" applyFont="1" applyFill="1" applyBorder="1" applyAlignment="1">
      <alignment vertical="center"/>
    </xf>
    <xf numFmtId="165" fontId="88" fillId="0" borderId="0" xfId="1" applyNumberFormat="1" applyFont="1" applyFill="1" applyAlignment="1">
      <alignment vertical="center"/>
    </xf>
    <xf numFmtId="17" fontId="19" fillId="8" borderId="2" xfId="0" applyNumberFormat="1" applyFont="1" applyFill="1" applyBorder="1" applyAlignment="1">
      <alignment horizontal="right" vertical="center" wrapText="1"/>
    </xf>
    <xf numFmtId="17" fontId="19" fillId="8" borderId="2" xfId="0" quotePrefix="1" applyNumberFormat="1" applyFont="1" applyFill="1" applyBorder="1" applyAlignment="1">
      <alignment horizontal="right" vertical="center" wrapText="1"/>
    </xf>
    <xf numFmtId="0" fontId="19" fillId="9" borderId="2" xfId="0" quotePrefix="1" applyFont="1" applyFill="1" applyBorder="1" applyAlignment="1">
      <alignment horizontal="right" vertical="center" wrapText="1"/>
    </xf>
    <xf numFmtId="165" fontId="88" fillId="0" borderId="0" xfId="0" applyNumberFormat="1" applyFont="1" applyAlignment="1">
      <alignment horizontal="center" vertical="center"/>
    </xf>
    <xf numFmtId="43" fontId="184" fillId="0" borderId="0" xfId="1" applyFont="1" applyAlignment="1">
      <alignment vertical="center"/>
    </xf>
    <xf numFmtId="0" fontId="183" fillId="0" borderId="0" xfId="0" applyFont="1" applyAlignment="1">
      <alignment horizontal="center" vertical="center"/>
    </xf>
    <xf numFmtId="17" fontId="186" fillId="0" borderId="0" xfId="0" applyNumberFormat="1" applyFont="1" applyAlignment="1">
      <alignment horizontal="center" vertical="center"/>
    </xf>
    <xf numFmtId="17" fontId="186" fillId="0" borderId="0" xfId="0" quotePrefix="1" applyNumberFormat="1" applyFont="1" applyAlignment="1">
      <alignment horizontal="center" vertical="center"/>
    </xf>
    <xf numFmtId="0" fontId="186" fillId="0" borderId="0" xfId="0" applyFont="1" applyAlignment="1">
      <alignment horizontal="center" vertical="center"/>
    </xf>
    <xf numFmtId="0" fontId="186" fillId="0" borderId="0" xfId="0" quotePrefix="1" applyFont="1" applyAlignment="1">
      <alignment horizontal="center" vertical="center"/>
    </xf>
    <xf numFmtId="0" fontId="187" fillId="0" borderId="0" xfId="0" applyFont="1" applyAlignment="1">
      <alignment horizontal="left" indent="1"/>
    </xf>
    <xf numFmtId="165" fontId="188" fillId="0" borderId="0" xfId="1" applyNumberFormat="1" applyFont="1" applyFill="1" applyBorder="1" applyAlignment="1">
      <alignment horizontal="right" vertical="center"/>
    </xf>
    <xf numFmtId="165" fontId="189" fillId="0" borderId="0" xfId="1" applyNumberFormat="1" applyFont="1" applyFill="1" applyBorder="1" applyAlignment="1">
      <alignment horizontal="right" vertical="center"/>
    </xf>
    <xf numFmtId="9" fontId="189" fillId="0" borderId="0" xfId="2" applyFont="1" applyFill="1" applyBorder="1" applyAlignment="1">
      <alignment horizontal="right" vertical="center"/>
    </xf>
    <xf numFmtId="0" fontId="190" fillId="0" borderId="0" xfId="0" applyFont="1" applyAlignment="1">
      <alignment horizontal="left" indent="3"/>
    </xf>
    <xf numFmtId="9" fontId="188" fillId="0" borderId="0" xfId="2" applyFont="1" applyFill="1" applyBorder="1" applyAlignment="1">
      <alignment horizontal="right" vertical="center"/>
    </xf>
    <xf numFmtId="165" fontId="190" fillId="0" borderId="0" xfId="1" applyNumberFormat="1" applyFont="1" applyFill="1" applyBorder="1" applyAlignment="1">
      <alignment horizontal="right" vertical="center"/>
    </xf>
    <xf numFmtId="165" fontId="190" fillId="0" borderId="0" xfId="1" applyNumberFormat="1" applyFont="1" applyFill="1" applyBorder="1" applyAlignment="1">
      <alignment horizontal="right"/>
    </xf>
    <xf numFmtId="9" fontId="190" fillId="0" borderId="0" xfId="2" applyFont="1" applyFill="1" applyBorder="1" applyAlignment="1">
      <alignment horizontal="right"/>
    </xf>
    <xf numFmtId="0" fontId="187" fillId="0" borderId="0" xfId="0" applyFont="1" applyAlignment="1">
      <alignment horizontal="left" indent="2"/>
    </xf>
    <xf numFmtId="165" fontId="187" fillId="0" borderId="0" xfId="1" applyNumberFormat="1" applyFont="1" applyFill="1" applyBorder="1" applyAlignment="1">
      <alignment horizontal="right" vertical="center"/>
    </xf>
    <xf numFmtId="9" fontId="187" fillId="0" borderId="0" xfId="2" applyFont="1" applyFill="1" applyBorder="1" applyAlignment="1">
      <alignment horizontal="right" vertical="center"/>
    </xf>
    <xf numFmtId="165" fontId="0" fillId="0" borderId="13" xfId="1" applyNumberFormat="1" applyFont="1" applyBorder="1"/>
    <xf numFmtId="1" fontId="136" fillId="0" borderId="0" xfId="1" applyNumberFormat="1" applyFont="1"/>
    <xf numFmtId="1" fontId="136" fillId="0" borderId="0" xfId="1" applyNumberFormat="1" applyFont="1" applyAlignment="1"/>
    <xf numFmtId="17" fontId="191" fillId="0" borderId="0" xfId="0" applyNumberFormat="1" applyFont="1" applyAlignment="1">
      <alignment horizontal="left" vertical="center"/>
    </xf>
    <xf numFmtId="17" fontId="136" fillId="0" borderId="0" xfId="0" applyNumberFormat="1" applyFont="1" applyAlignment="1">
      <alignment horizontal="left" vertical="center"/>
    </xf>
    <xf numFmtId="0" fontId="136" fillId="0" borderId="3" xfId="0" applyFont="1" applyBorder="1"/>
    <xf numFmtId="165" fontId="192" fillId="0" borderId="0" xfId="1" applyNumberFormat="1" applyFont="1"/>
    <xf numFmtId="0" fontId="109" fillId="0" borderId="3" xfId="0" applyFont="1" applyBorder="1"/>
    <xf numFmtId="43" fontId="16" fillId="0" borderId="0" xfId="1" applyFont="1"/>
    <xf numFmtId="165" fontId="16" fillId="0" borderId="61" xfId="1" applyNumberFormat="1" applyFont="1" applyFill="1" applyBorder="1" applyAlignment="1">
      <alignment horizontal="left" indent="1"/>
    </xf>
    <xf numFmtId="165" fontId="16" fillId="0" borderId="61" xfId="0" applyNumberFormat="1" applyFont="1" applyBorder="1"/>
    <xf numFmtId="10" fontId="0" fillId="0" borderId="61" xfId="0" applyNumberFormat="1" applyBorder="1"/>
    <xf numFmtId="17" fontId="93" fillId="0" borderId="61" xfId="0" applyNumberFormat="1" applyFont="1" applyBorder="1" applyAlignment="1">
      <alignment horizontal="left" vertical="center"/>
    </xf>
    <xf numFmtId="17" fontId="93" fillId="0" borderId="61" xfId="0" applyNumberFormat="1" applyFont="1" applyBorder="1" applyAlignment="1">
      <alignment horizontal="left" vertical="center" indent="1"/>
    </xf>
    <xf numFmtId="165" fontId="0" fillId="0" borderId="61" xfId="1" applyNumberFormat="1" applyFont="1" applyFill="1" applyBorder="1" applyAlignment="1">
      <alignment horizontal="left" indent="2"/>
    </xf>
    <xf numFmtId="0" fontId="148" fillId="0" borderId="61" xfId="0" applyFont="1" applyBorder="1" applyAlignment="1">
      <alignment horizontal="left" indent="3"/>
    </xf>
    <xf numFmtId="165" fontId="7" fillId="0" borderId="61" xfId="0" applyNumberFormat="1" applyFont="1" applyBorder="1"/>
    <xf numFmtId="165" fontId="59" fillId="0" borderId="61" xfId="1" applyNumberFormat="1" applyFont="1" applyFill="1" applyBorder="1"/>
    <xf numFmtId="165" fontId="9" fillId="0" borderId="61" xfId="1" applyNumberFormat="1" applyFont="1" applyFill="1" applyBorder="1"/>
    <xf numFmtId="165" fontId="3" fillId="0" borderId="61" xfId="1" applyNumberFormat="1" applyFont="1" applyFill="1" applyBorder="1"/>
    <xf numFmtId="165" fontId="0" fillId="0" borderId="61" xfId="1" applyNumberFormat="1" applyFont="1" applyFill="1" applyBorder="1" applyAlignment="1">
      <alignment horizontal="left" indent="1"/>
    </xf>
    <xf numFmtId="3" fontId="80" fillId="0" borderId="61" xfId="0" applyNumberFormat="1" applyFont="1" applyBorder="1"/>
    <xf numFmtId="3" fontId="0" fillId="0" borderId="61" xfId="0" applyNumberFormat="1" applyBorder="1"/>
    <xf numFmtId="165" fontId="0" fillId="0" borderId="61" xfId="0" applyNumberFormat="1" applyBorder="1" applyAlignment="1">
      <alignment horizontal="left" indent="1"/>
    </xf>
    <xf numFmtId="165" fontId="115" fillId="0" borderId="61" xfId="0" applyNumberFormat="1" applyFont="1" applyBorder="1"/>
    <xf numFmtId="165" fontId="79" fillId="0" borderId="61" xfId="0" applyNumberFormat="1" applyFont="1" applyBorder="1"/>
    <xf numFmtId="165" fontId="40" fillId="0" borderId="61" xfId="1" applyNumberFormat="1" applyFont="1" applyFill="1" applyBorder="1"/>
    <xf numFmtId="165" fontId="0" fillId="0" borderId="61" xfId="1" applyNumberFormat="1" applyFont="1" applyFill="1" applyBorder="1" applyAlignment="1">
      <alignment horizontal="right"/>
    </xf>
    <xf numFmtId="165" fontId="0" fillId="0" borderId="61" xfId="0" applyNumberFormat="1" applyBorder="1" applyAlignment="1">
      <alignment horizontal="right"/>
    </xf>
    <xf numFmtId="165" fontId="16" fillId="0" borderId="61" xfId="1" applyNumberFormat="1" applyFont="1" applyFill="1" applyBorder="1"/>
    <xf numFmtId="165" fontId="16" fillId="0" borderId="61" xfId="1" applyNumberFormat="1" applyFont="1" applyFill="1" applyBorder="1" applyAlignment="1">
      <alignment horizontal="right"/>
    </xf>
    <xf numFmtId="165" fontId="16" fillId="0" borderId="61" xfId="0" applyNumberFormat="1" applyFont="1" applyBorder="1" applyAlignment="1">
      <alignment horizontal="right"/>
    </xf>
    <xf numFmtId="3" fontId="115" fillId="0" borderId="61" xfId="0" applyNumberFormat="1" applyFont="1" applyBorder="1"/>
    <xf numFmtId="0" fontId="148" fillId="0" borderId="61" xfId="0" applyFont="1" applyBorder="1" applyAlignment="1">
      <alignment horizontal="left" indent="4"/>
    </xf>
    <xf numFmtId="165" fontId="47" fillId="0" borderId="61" xfId="1" applyNumberFormat="1" applyFont="1" applyFill="1" applyBorder="1"/>
    <xf numFmtId="3" fontId="59" fillId="0" borderId="61" xfId="0" applyNumberFormat="1" applyFont="1" applyBorder="1"/>
    <xf numFmtId="3" fontId="3" fillId="0" borderId="61" xfId="0" applyNumberFormat="1" applyFont="1" applyBorder="1"/>
    <xf numFmtId="165" fontId="3" fillId="0" borderId="61" xfId="1" applyNumberFormat="1" applyFont="1" applyFill="1" applyBorder="1" applyAlignment="1">
      <alignment horizontal="right" wrapText="1"/>
    </xf>
    <xf numFmtId="165" fontId="3" fillId="0" borderId="61" xfId="1" applyNumberFormat="1" applyFont="1" applyFill="1" applyBorder="1" applyAlignment="1">
      <alignment horizontal="right"/>
    </xf>
    <xf numFmtId="165" fontId="0" fillId="0" borderId="61" xfId="571" applyNumberFormat="1" applyFont="1" applyFill="1" applyBorder="1"/>
    <xf numFmtId="165" fontId="0" fillId="0" borderId="61" xfId="1" applyNumberFormat="1" applyFont="1" applyFill="1" applyBorder="1" applyAlignment="1">
      <alignment wrapText="1"/>
    </xf>
    <xf numFmtId="0" fontId="80" fillId="0" borderId="61" xfId="0" applyFont="1" applyBorder="1"/>
    <xf numFmtId="0" fontId="92" fillId="0" borderId="61" xfId="0" applyFont="1" applyBorder="1"/>
    <xf numFmtId="10" fontId="0" fillId="0" borderId="61" xfId="1" applyNumberFormat="1" applyFont="1" applyFill="1" applyBorder="1"/>
    <xf numFmtId="165" fontId="60" fillId="0" borderId="61" xfId="1" applyNumberFormat="1" applyFont="1" applyFill="1" applyBorder="1"/>
    <xf numFmtId="3" fontId="60" fillId="0" borderId="61" xfId="0" applyNumberFormat="1" applyFont="1" applyBorder="1"/>
    <xf numFmtId="165" fontId="80" fillId="0" borderId="61" xfId="1" applyNumberFormat="1" applyFont="1" applyFill="1" applyBorder="1"/>
    <xf numFmtId="37" fontId="16" fillId="0" borderId="61" xfId="1" applyNumberFormat="1" applyFont="1" applyFill="1" applyBorder="1"/>
    <xf numFmtId="165" fontId="0" fillId="0" borderId="61" xfId="1" applyNumberFormat="1" applyFont="1" applyFill="1" applyBorder="1" applyAlignment="1">
      <alignment horizontal="left" indent="3"/>
    </xf>
    <xf numFmtId="3" fontId="79" fillId="0" borderId="61" xfId="0" applyNumberFormat="1" applyFont="1" applyBorder="1"/>
    <xf numFmtId="173" fontId="80" fillId="0" borderId="61" xfId="0" applyNumberFormat="1" applyFont="1" applyBorder="1"/>
    <xf numFmtId="173" fontId="16" fillId="0" borderId="61" xfId="0" applyNumberFormat="1" applyFont="1" applyBorder="1"/>
    <xf numFmtId="10" fontId="59" fillId="0" borderId="61" xfId="2" applyNumberFormat="1" applyFont="1" applyFill="1" applyBorder="1"/>
    <xf numFmtId="165" fontId="57" fillId="0" borderId="61" xfId="69" applyNumberFormat="1" applyFont="1" applyFill="1" applyBorder="1"/>
    <xf numFmtId="10" fontId="16" fillId="0" borderId="61" xfId="1" applyNumberFormat="1" applyFont="1" applyFill="1" applyBorder="1"/>
    <xf numFmtId="166" fontId="0" fillId="0" borderId="61" xfId="1" applyNumberFormat="1" applyFont="1" applyFill="1" applyBorder="1"/>
    <xf numFmtId="165" fontId="80" fillId="0" borderId="61" xfId="0" applyNumberFormat="1" applyFont="1" applyBorder="1"/>
    <xf numFmtId="165" fontId="0" fillId="0" borderId="61" xfId="0" applyNumberFormat="1" applyBorder="1" applyAlignment="1">
      <alignment wrapText="1"/>
    </xf>
    <xf numFmtId="3" fontId="79" fillId="0" borderId="61" xfId="0" applyNumberFormat="1" applyFont="1" applyBorder="1" applyAlignment="1">
      <alignment wrapText="1"/>
    </xf>
    <xf numFmtId="165" fontId="16" fillId="0" borderId="61" xfId="1" applyNumberFormat="1" applyFont="1" applyFill="1" applyBorder="1" applyAlignment="1">
      <alignment horizontal="left" indent="3"/>
    </xf>
    <xf numFmtId="0" fontId="47" fillId="0" borderId="61" xfId="0" applyFont="1" applyBorder="1"/>
    <xf numFmtId="0" fontId="179" fillId="0" borderId="61" xfId="0" applyFont="1" applyBorder="1"/>
    <xf numFmtId="165" fontId="79" fillId="0" borderId="61" xfId="1" applyNumberFormat="1" applyFont="1" applyFill="1" applyBorder="1"/>
    <xf numFmtId="165" fontId="2" fillId="3" borderId="0" xfId="1" applyNumberFormat="1" applyFont="1" applyFill="1" applyAlignment="1">
      <alignment horizontal="center" vertical="center"/>
    </xf>
    <xf numFmtId="165" fontId="0" fillId="0" borderId="61" xfId="1" applyNumberFormat="1" applyFont="1" applyBorder="1"/>
    <xf numFmtId="165" fontId="80" fillId="0" borderId="61" xfId="1" applyNumberFormat="1" applyFont="1" applyBorder="1"/>
    <xf numFmtId="165" fontId="16" fillId="0" borderId="61" xfId="1" applyNumberFormat="1" applyFont="1" applyBorder="1"/>
    <xf numFmtId="37" fontId="16" fillId="0" borderId="61" xfId="1" applyNumberFormat="1" applyFont="1" applyBorder="1"/>
    <xf numFmtId="165" fontId="0" fillId="0" borderId="61" xfId="571" applyNumberFormat="1" applyFont="1" applyBorder="1"/>
    <xf numFmtId="0" fontId="193" fillId="0" borderId="0" xfId="0" applyFont="1"/>
    <xf numFmtId="165" fontId="3" fillId="0" borderId="61" xfId="1" applyNumberFormat="1" applyFont="1" applyBorder="1"/>
    <xf numFmtId="165" fontId="79" fillId="0" borderId="61" xfId="1" applyNumberFormat="1" applyFont="1" applyBorder="1"/>
    <xf numFmtId="0" fontId="192" fillId="0" borderId="0" xfId="0" applyFont="1"/>
    <xf numFmtId="166" fontId="87" fillId="0" borderId="0" xfId="2" applyNumberFormat="1" applyFont="1" applyAlignment="1">
      <alignment horizontal="right" vertical="center" indent="1"/>
    </xf>
    <xf numFmtId="9" fontId="87" fillId="0" borderId="0" xfId="2" applyFont="1" applyAlignment="1">
      <alignment horizontal="right" vertical="center" indent="1"/>
    </xf>
    <xf numFmtId="166" fontId="87" fillId="0" borderId="3" xfId="2" applyNumberFormat="1" applyFont="1" applyBorder="1" applyAlignment="1">
      <alignment horizontal="right" vertical="center" indent="1"/>
    </xf>
    <xf numFmtId="165" fontId="59" fillId="0" borderId="61" xfId="1" applyNumberFormat="1" applyFont="1" applyBorder="1"/>
    <xf numFmtId="175" fontId="22" fillId="0" borderId="0" xfId="0" applyNumberFormat="1" applyFont="1" applyAlignment="1">
      <alignment vertical="center"/>
    </xf>
    <xf numFmtId="176" fontId="79" fillId="0" borderId="61" xfId="0" applyNumberFormat="1" applyFont="1" applyBorder="1"/>
    <xf numFmtId="174" fontId="180" fillId="8" borderId="2" xfId="0" applyNumberFormat="1" applyFont="1" applyFill="1" applyBorder="1" applyAlignment="1">
      <alignment horizontal="center" vertical="center"/>
    </xf>
    <xf numFmtId="17" fontId="180" fillId="8" borderId="2" xfId="0" applyNumberFormat="1" applyFont="1" applyFill="1" applyBorder="1" applyAlignment="1">
      <alignment horizontal="center" vertical="center" wrapText="1"/>
    </xf>
    <xf numFmtId="17" fontId="180" fillId="57" borderId="2" xfId="0" applyNumberFormat="1" applyFont="1" applyFill="1" applyBorder="1" applyAlignment="1">
      <alignment horizontal="center" vertical="center" wrapText="1"/>
    </xf>
    <xf numFmtId="174" fontId="180" fillId="57" borderId="2" xfId="0" applyNumberFormat="1" applyFont="1" applyFill="1" applyBorder="1" applyAlignment="1">
      <alignment horizontal="center" vertical="center"/>
    </xf>
    <xf numFmtId="174" fontId="180" fillId="0" borderId="0" xfId="0" applyNumberFormat="1" applyFont="1" applyAlignment="1">
      <alignment horizontal="center" vertical="center"/>
    </xf>
    <xf numFmtId="43" fontId="88" fillId="0" borderId="0" xfId="1" applyFont="1" applyAlignment="1">
      <alignment horizontal="right" vertical="center"/>
    </xf>
    <xf numFmtId="43" fontId="88" fillId="0" borderId="0" xfId="1" applyFont="1" applyAlignment="1">
      <alignment vertical="center"/>
    </xf>
    <xf numFmtId="182" fontId="0" fillId="0" borderId="0" xfId="1" applyNumberFormat="1" applyFont="1"/>
    <xf numFmtId="43" fontId="152" fillId="0" borderId="0" xfId="0" applyNumberFormat="1" applyFont="1"/>
    <xf numFmtId="165" fontId="1" fillId="0" borderId="3" xfId="1" applyNumberFormat="1" applyFont="1" applyFill="1" applyBorder="1"/>
    <xf numFmtId="166" fontId="87" fillId="0" borderId="0" xfId="2" applyNumberFormat="1" applyFont="1" applyAlignment="1"/>
    <xf numFmtId="0" fontId="116" fillId="0" borderId="3" xfId="0" applyFont="1" applyBorder="1" applyAlignment="1">
      <alignment vertical="center"/>
    </xf>
    <xf numFmtId="17" fontId="19" fillId="8" borderId="23" xfId="0" applyNumberFormat="1" applyFont="1" applyFill="1" applyBorder="1" applyAlignment="1">
      <alignment horizontal="center" vertical="center" wrapText="1"/>
    </xf>
    <xf numFmtId="17" fontId="19" fillId="3" borderId="2" xfId="0" applyNumberFormat="1" applyFont="1" applyFill="1" applyBorder="1" applyAlignment="1">
      <alignment horizontal="center" vertical="center" wrapText="1"/>
    </xf>
    <xf numFmtId="9" fontId="88" fillId="0" borderId="0" xfId="2" applyFont="1" applyAlignment="1">
      <alignment vertical="center"/>
    </xf>
    <xf numFmtId="0" fontId="88" fillId="0" borderId="0" xfId="0" applyFont="1" applyAlignment="1">
      <alignment horizontal="left" vertical="center" indent="2"/>
    </xf>
    <xf numFmtId="166" fontId="88" fillId="0" borderId="0" xfId="2" applyNumberFormat="1" applyFont="1" applyAlignment="1">
      <alignment vertical="center"/>
    </xf>
    <xf numFmtId="178" fontId="0" fillId="0" borderId="0" xfId="0" applyNumberFormat="1"/>
    <xf numFmtId="9" fontId="21" fillId="0" borderId="0" xfId="0" applyNumberFormat="1" applyFont="1" applyAlignment="1">
      <alignment vertical="center"/>
    </xf>
    <xf numFmtId="0" fontId="22" fillId="0" borderId="0" xfId="0" applyFont="1"/>
    <xf numFmtId="165" fontId="0" fillId="4" borderId="0" xfId="1" applyNumberFormat="1" applyFont="1" applyFill="1"/>
    <xf numFmtId="170" fontId="16" fillId="0" borderId="0" xfId="0" applyNumberFormat="1" applyFont="1"/>
    <xf numFmtId="3" fontId="194" fillId="0" borderId="0" xfId="0" applyNumberFormat="1" applyFont="1" applyAlignment="1">
      <alignment vertical="center" wrapText="1"/>
    </xf>
    <xf numFmtId="166" fontId="88" fillId="0" borderId="0" xfId="2" applyNumberFormat="1" applyFont="1" applyBorder="1" applyAlignment="1">
      <alignment vertical="center"/>
    </xf>
    <xf numFmtId="166" fontId="88" fillId="0" borderId="3" xfId="2" applyNumberFormat="1" applyFont="1" applyBorder="1" applyAlignment="1">
      <alignment vertical="center"/>
    </xf>
    <xf numFmtId="43" fontId="156" fillId="0" borderId="0" xfId="1" applyFont="1" applyAlignment="1"/>
    <xf numFmtId="43" fontId="152" fillId="0" borderId="0" xfId="1" applyFont="1" applyAlignment="1"/>
    <xf numFmtId="173" fontId="88" fillId="0" borderId="0" xfId="0" applyNumberFormat="1" applyFont="1" applyAlignment="1">
      <alignment horizontal="right" vertical="center"/>
    </xf>
    <xf numFmtId="178" fontId="96" fillId="0" borderId="0" xfId="0" applyNumberFormat="1" applyFont="1" applyAlignment="1">
      <alignment horizontal="right" vertical="center"/>
    </xf>
    <xf numFmtId="178" fontId="88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right"/>
    </xf>
    <xf numFmtId="1" fontId="15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" fontId="96" fillId="0" borderId="0" xfId="0" applyNumberFormat="1" applyFont="1" applyAlignment="1">
      <alignment horizontal="right" vertical="center"/>
    </xf>
    <xf numFmtId="1" fontId="16" fillId="0" borderId="0" xfId="0" applyNumberFormat="1" applyFont="1" applyAlignment="1">
      <alignment horizontal="right"/>
    </xf>
    <xf numFmtId="178" fontId="16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78" fontId="87" fillId="0" borderId="0" xfId="0" applyNumberFormat="1" applyFont="1" applyAlignment="1">
      <alignment horizontal="right" vertical="center"/>
    </xf>
    <xf numFmtId="178" fontId="101" fillId="0" borderId="0" xfId="0" applyNumberFormat="1" applyFont="1" applyAlignment="1">
      <alignment horizontal="right" vertical="center"/>
    </xf>
    <xf numFmtId="178" fontId="151" fillId="0" borderId="0" xfId="0" applyNumberFormat="1" applyFont="1" applyAlignment="1">
      <alignment horizontal="right"/>
    </xf>
    <xf numFmtId="178" fontId="96" fillId="0" borderId="0" xfId="0" applyNumberFormat="1" applyFont="1" applyAlignment="1">
      <alignment horizontal="right" vertical="center" wrapText="1"/>
    </xf>
    <xf numFmtId="167" fontId="88" fillId="0" borderId="0" xfId="2" applyNumberFormat="1" applyFont="1" applyAlignment="1">
      <alignment horizontal="right" vertical="center"/>
    </xf>
    <xf numFmtId="167" fontId="16" fillId="0" borderId="0" xfId="0" applyNumberFormat="1" applyFont="1" applyAlignment="1">
      <alignment horizontal="right"/>
    </xf>
    <xf numFmtId="10" fontId="88" fillId="0" borderId="0" xfId="2" applyNumberFormat="1" applyFont="1" applyAlignment="1">
      <alignment horizontal="right" vertical="center"/>
    </xf>
    <xf numFmtId="2" fontId="96" fillId="0" borderId="0" xfId="0" applyNumberFormat="1" applyFont="1" applyAlignment="1">
      <alignment horizontal="right" vertical="center"/>
    </xf>
    <xf numFmtId="2" fontId="16" fillId="0" borderId="0" xfId="0" applyNumberFormat="1" applyFont="1" applyAlignment="1">
      <alignment horizontal="right"/>
    </xf>
    <xf numFmtId="43" fontId="96" fillId="0" borderId="0" xfId="1" applyFont="1" applyAlignment="1">
      <alignment horizontal="right" vertical="center"/>
    </xf>
    <xf numFmtId="43" fontId="16" fillId="0" borderId="0" xfId="1" applyFont="1" applyAlignment="1">
      <alignment horizontal="right"/>
    </xf>
    <xf numFmtId="0" fontId="87" fillId="0" borderId="0" xfId="0" applyFont="1" applyAlignment="1">
      <alignment horizontal="right" vertical="center"/>
    </xf>
    <xf numFmtId="166" fontId="87" fillId="0" borderId="13" xfId="0" applyNumberFormat="1" applyFont="1" applyBorder="1" applyAlignment="1">
      <alignment horizontal="right" vertical="center"/>
    </xf>
    <xf numFmtId="0" fontId="87" fillId="0" borderId="13" xfId="0" applyFont="1" applyBorder="1" applyAlignment="1">
      <alignment horizontal="right" vertical="center"/>
    </xf>
    <xf numFmtId="166" fontId="98" fillId="0" borderId="0" xfId="0" applyNumberFormat="1" applyFont="1" applyAlignment="1">
      <alignment vertical="center"/>
    </xf>
    <xf numFmtId="165" fontId="79" fillId="0" borderId="64" xfId="0" applyNumberFormat="1" applyFont="1" applyBorder="1"/>
    <xf numFmtId="165" fontId="79" fillId="0" borderId="62" xfId="0" applyNumberFormat="1" applyFont="1" applyBorder="1"/>
    <xf numFmtId="165" fontId="79" fillId="58" borderId="62" xfId="0" applyNumberFormat="1" applyFont="1" applyFill="1" applyBorder="1"/>
    <xf numFmtId="0" fontId="92" fillId="0" borderId="0" xfId="0" applyFont="1"/>
    <xf numFmtId="3" fontId="3" fillId="0" borderId="63" xfId="0" applyNumberFormat="1" applyFont="1" applyBorder="1"/>
    <xf numFmtId="165" fontId="21" fillId="0" borderId="0" xfId="0" applyNumberFormat="1" applyFont="1"/>
    <xf numFmtId="0" fontId="183" fillId="9" borderId="2" xfId="0" quotePrefix="1" applyFont="1" applyFill="1" applyBorder="1" applyAlignment="1">
      <alignment horizontal="center" vertical="center" wrapText="1"/>
    </xf>
    <xf numFmtId="177" fontId="0" fillId="0" borderId="0" xfId="2" applyNumberFormat="1" applyFont="1"/>
    <xf numFmtId="10" fontId="88" fillId="0" borderId="0" xfId="2" applyNumberFormat="1" applyFont="1" applyFill="1" applyBorder="1" applyAlignment="1">
      <alignment vertical="center"/>
    </xf>
    <xf numFmtId="10" fontId="88" fillId="0" borderId="0" xfId="2" applyNumberFormat="1" applyFont="1" applyBorder="1" applyAlignment="1">
      <alignment vertical="center"/>
    </xf>
    <xf numFmtId="167" fontId="87" fillId="0" borderId="3" xfId="0" applyNumberFormat="1" applyFont="1" applyBorder="1" applyAlignment="1">
      <alignment vertical="center"/>
    </xf>
    <xf numFmtId="0" fontId="136" fillId="7" borderId="0" xfId="0" applyFont="1" applyFill="1"/>
    <xf numFmtId="0" fontId="109" fillId="7" borderId="0" xfId="0" applyFont="1" applyFill="1"/>
    <xf numFmtId="165" fontId="16" fillId="0" borderId="0" xfId="1" applyNumberFormat="1" applyFont="1" applyAlignment="1">
      <alignment horizontal="left" indent="2"/>
    </xf>
    <xf numFmtId="9" fontId="156" fillId="0" borderId="0" xfId="2" applyFont="1" applyAlignment="1">
      <alignment horizontal="center"/>
    </xf>
    <xf numFmtId="0" fontId="152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9" fontId="156" fillId="0" borderId="3" xfId="0" applyNumberFormat="1" applyFont="1" applyBorder="1" applyAlignment="1">
      <alignment horizontal="center"/>
    </xf>
    <xf numFmtId="0" fontId="15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43" fontId="0" fillId="0" borderId="0" xfId="1" applyFont="1" applyAlignment="1">
      <alignment horizontal="left" indent="2"/>
    </xf>
    <xf numFmtId="166" fontId="87" fillId="0" borderId="0" xfId="2" applyNumberFormat="1" applyFont="1" applyBorder="1" applyAlignment="1">
      <alignment vertical="center"/>
    </xf>
    <xf numFmtId="10" fontId="88" fillId="0" borderId="3" xfId="2" applyNumberFormat="1" applyFont="1" applyBorder="1" applyAlignment="1">
      <alignment vertical="center"/>
    </xf>
    <xf numFmtId="167" fontId="87" fillId="0" borderId="3" xfId="1" applyNumberFormat="1" applyFont="1" applyBorder="1" applyAlignment="1">
      <alignment vertical="center"/>
    </xf>
    <xf numFmtId="174" fontId="180" fillId="8" borderId="2" xfId="0" applyNumberFormat="1" applyFont="1" applyFill="1" applyBorder="1" applyAlignment="1">
      <alignment horizontal="center" vertical="center" wrapText="1"/>
    </xf>
    <xf numFmtId="178" fontId="16" fillId="0" borderId="0" xfId="0" applyNumberFormat="1" applyFont="1"/>
    <xf numFmtId="0" fontId="0" fillId="0" borderId="0" xfId="0" applyAlignment="1">
      <alignment vertical="center" wrapText="1"/>
    </xf>
    <xf numFmtId="165" fontId="0" fillId="0" borderId="0" xfId="1" applyNumberFormat="1" applyFont="1" applyAlignment="1">
      <alignment vertical="center" wrapText="1"/>
    </xf>
    <xf numFmtId="166" fontId="21" fillId="0" borderId="0" xfId="2" applyNumberFormat="1" applyFont="1" applyAlignment="1">
      <alignment vertical="center"/>
    </xf>
    <xf numFmtId="166" fontId="21" fillId="0" borderId="0" xfId="0" applyNumberFormat="1" applyFont="1" applyAlignment="1">
      <alignment vertical="center"/>
    </xf>
    <xf numFmtId="166" fontId="185" fillId="0" borderId="0" xfId="2" applyNumberFormat="1" applyFont="1" applyAlignment="1">
      <alignment vertical="center"/>
    </xf>
    <xf numFmtId="166" fontId="184" fillId="0" borderId="0" xfId="2" applyNumberFormat="1" applyFont="1" applyAlignment="1">
      <alignment vertical="center"/>
    </xf>
    <xf numFmtId="178" fontId="0" fillId="0" borderId="0" xfId="0" applyNumberFormat="1" applyAlignment="1">
      <alignment horizontal="right"/>
    </xf>
    <xf numFmtId="167" fontId="88" fillId="0" borderId="3" xfId="0" applyNumberFormat="1" applyFont="1" applyBorder="1" applyAlignment="1">
      <alignment horizontal="center" vertical="center"/>
    </xf>
    <xf numFmtId="179" fontId="0" fillId="0" borderId="0" xfId="1" applyNumberFormat="1" applyFont="1"/>
    <xf numFmtId="175" fontId="0" fillId="0" borderId="0" xfId="1" applyNumberFormat="1" applyFont="1"/>
    <xf numFmtId="0" fontId="57" fillId="0" borderId="0" xfId="0" applyFont="1"/>
    <xf numFmtId="3" fontId="57" fillId="0" borderId="0" xfId="0" applyNumberFormat="1" applyFont="1"/>
    <xf numFmtId="0" fontId="3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3" fontId="58" fillId="0" borderId="0" xfId="0" applyNumberFormat="1" applyFont="1"/>
    <xf numFmtId="3" fontId="3" fillId="0" borderId="61" xfId="0" applyNumberFormat="1" applyFont="1" applyBorder="1" applyAlignment="1">
      <alignment wrapText="1"/>
    </xf>
    <xf numFmtId="166" fontId="87" fillId="0" borderId="0" xfId="1" applyNumberFormat="1" applyFont="1" applyAlignment="1">
      <alignment horizontal="right" vertical="center"/>
    </xf>
    <xf numFmtId="165" fontId="107" fillId="0" borderId="0" xfId="1" applyNumberFormat="1" applyFont="1" applyFill="1"/>
    <xf numFmtId="166" fontId="19" fillId="0" borderId="0" xfId="2" applyNumberFormat="1" applyFont="1" applyAlignment="1">
      <alignment vertical="center"/>
    </xf>
    <xf numFmtId="0" fontId="13" fillId="7" borderId="0" xfId="0" applyFont="1" applyFill="1"/>
    <xf numFmtId="0" fontId="3" fillId="0" borderId="0" xfId="0" quotePrefix="1" applyFont="1"/>
    <xf numFmtId="165" fontId="13" fillId="7" borderId="0" xfId="1" applyNumberFormat="1" applyFont="1" applyFill="1"/>
    <xf numFmtId="165" fontId="13" fillId="7" borderId="0" xfId="0" applyNumberFormat="1" applyFont="1" applyFill="1"/>
    <xf numFmtId="2" fontId="138" fillId="0" borderId="61" xfId="0" applyNumberFormat="1" applyFont="1" applyBorder="1"/>
    <xf numFmtId="0" fontId="136" fillId="0" borderId="61" xfId="0" applyFont="1" applyBorder="1"/>
    <xf numFmtId="0" fontId="58" fillId="0" borderId="17" xfId="0" applyFont="1" applyBorder="1" applyAlignment="1">
      <alignment horizontal="right"/>
    </xf>
    <xf numFmtId="0" fontId="58" fillId="0" borderId="31" xfId="0" applyFont="1" applyBorder="1" applyAlignment="1">
      <alignment horizontal="right"/>
    </xf>
    <xf numFmtId="17" fontId="180" fillId="8" borderId="56" xfId="0" applyNumberFormat="1" applyFont="1" applyFill="1" applyBorder="1" applyAlignment="1">
      <alignment horizontal="center" vertical="center" wrapText="1"/>
    </xf>
    <xf numFmtId="17" fontId="180" fillId="8" borderId="0" xfId="0" applyNumberFormat="1" applyFont="1" applyFill="1" applyAlignment="1">
      <alignment horizontal="center" vertical="center" wrapText="1"/>
    </xf>
    <xf numFmtId="17" fontId="180" fillId="8" borderId="29" xfId="0" applyNumberFormat="1" applyFont="1" applyFill="1" applyBorder="1" applyAlignment="1">
      <alignment horizontal="center" vertical="center" wrapText="1"/>
    </xf>
    <xf numFmtId="17" fontId="19" fillId="3" borderId="56" xfId="0" applyNumberFormat="1" applyFont="1" applyFill="1" applyBorder="1" applyAlignment="1">
      <alignment horizontal="center" vertical="center" wrapText="1"/>
    </xf>
    <xf numFmtId="17" fontId="19" fillId="3" borderId="0" xfId="0" applyNumberFormat="1" applyFont="1" applyFill="1" applyAlignment="1">
      <alignment horizontal="center" vertical="center" wrapText="1"/>
    </xf>
    <xf numFmtId="173" fontId="81" fillId="0" borderId="17" xfId="0" applyNumberFormat="1" applyFont="1" applyBorder="1" applyAlignment="1">
      <alignment horizontal="center"/>
    </xf>
    <xf numFmtId="173" fontId="81" fillId="0" borderId="31" xfId="0" applyNumberFormat="1" applyFont="1" applyBorder="1" applyAlignment="1">
      <alignment horizontal="center"/>
    </xf>
    <xf numFmtId="165" fontId="56" fillId="0" borderId="32" xfId="1" applyNumberFormat="1" applyFont="1" applyBorder="1" applyAlignment="1">
      <alignment horizontal="center"/>
    </xf>
    <xf numFmtId="165" fontId="56" fillId="0" borderId="27" xfId="1" applyNumberFormat="1" applyFont="1" applyBorder="1" applyAlignment="1">
      <alignment horizontal="center"/>
    </xf>
    <xf numFmtId="173" fontId="81" fillId="0" borderId="14" xfId="0" applyNumberFormat="1" applyFont="1" applyBorder="1" applyAlignment="1">
      <alignment horizontal="center"/>
    </xf>
    <xf numFmtId="173" fontId="82" fillId="0" borderId="18" xfId="0" applyNumberFormat="1" applyFont="1" applyBorder="1" applyAlignment="1">
      <alignment horizontal="center"/>
    </xf>
    <xf numFmtId="173" fontId="82" fillId="0" borderId="23" xfId="0" applyNumberFormat="1" applyFont="1" applyBorder="1" applyAlignment="1">
      <alignment horizontal="center"/>
    </xf>
    <xf numFmtId="165" fontId="56" fillId="0" borderId="43" xfId="1" applyNumberFormat="1" applyFont="1" applyBorder="1" applyAlignment="1">
      <alignment horizontal="center"/>
    </xf>
    <xf numFmtId="173" fontId="81" fillId="0" borderId="21" xfId="0" applyNumberFormat="1" applyFont="1" applyBorder="1" applyAlignment="1">
      <alignment horizontal="center"/>
    </xf>
    <xf numFmtId="173" fontId="82" fillId="0" borderId="19" xfId="0" applyNumberFormat="1" applyFont="1" applyBorder="1" applyAlignment="1">
      <alignment horizontal="center"/>
    </xf>
    <xf numFmtId="173" fontId="82" fillId="0" borderId="46" xfId="0" applyNumberFormat="1" applyFont="1" applyBorder="1" applyAlignment="1">
      <alignment horizontal="center"/>
    </xf>
    <xf numFmtId="165" fontId="56" fillId="0" borderId="14" xfId="1" applyNumberFormat="1" applyFont="1" applyBorder="1" applyAlignment="1">
      <alignment horizontal="center"/>
    </xf>
    <xf numFmtId="0" fontId="40" fillId="41" borderId="19" xfId="0" applyFont="1" applyFill="1" applyBorder="1" applyAlignment="1">
      <alignment horizontal="center"/>
    </xf>
    <xf numFmtId="0" fontId="40" fillId="41" borderId="46" xfId="0" applyFont="1" applyFill="1" applyBorder="1" applyAlignment="1">
      <alignment horizontal="center"/>
    </xf>
    <xf numFmtId="0" fontId="40" fillId="42" borderId="14" xfId="0" applyFont="1" applyFill="1" applyBorder="1" applyAlignment="1">
      <alignment horizontal="center"/>
    </xf>
    <xf numFmtId="173" fontId="92" fillId="0" borderId="14" xfId="0" applyNumberFormat="1" applyFont="1" applyBorder="1"/>
    <xf numFmtId="165" fontId="40" fillId="0" borderId="26" xfId="1" applyNumberFormat="1" applyFont="1" applyBorder="1" applyAlignment="1">
      <alignment horizontal="center"/>
    </xf>
    <xf numFmtId="165" fontId="40" fillId="0" borderId="32" xfId="1" applyNumberFormat="1" applyFont="1" applyBorder="1" applyAlignment="1">
      <alignment horizontal="center"/>
    </xf>
    <xf numFmtId="165" fontId="40" fillId="0" borderId="27" xfId="1" applyNumberFormat="1" applyFont="1" applyBorder="1" applyAlignment="1">
      <alignment horizontal="center"/>
    </xf>
    <xf numFmtId="165" fontId="56" fillId="0" borderId="48" xfId="1" applyNumberFormat="1" applyFont="1" applyBorder="1" applyAlignment="1">
      <alignment horizontal="center"/>
    </xf>
    <xf numFmtId="165" fontId="56" fillId="0" borderId="49" xfId="1" applyNumberFormat="1" applyFont="1" applyBorder="1" applyAlignment="1">
      <alignment horizontal="center"/>
    </xf>
    <xf numFmtId="173" fontId="92" fillId="0" borderId="28" xfId="0" applyNumberFormat="1" applyFont="1" applyBorder="1" applyAlignment="1">
      <alignment horizontal="center"/>
    </xf>
    <xf numFmtId="173" fontId="92" fillId="0" borderId="25" xfId="0" applyNumberFormat="1" applyFont="1" applyBorder="1" applyAlignment="1">
      <alignment horizontal="center"/>
    </xf>
    <xf numFmtId="165" fontId="56" fillId="0" borderId="26" xfId="1" applyNumberFormat="1" applyFont="1" applyBorder="1" applyAlignment="1">
      <alignment horizontal="center"/>
    </xf>
    <xf numFmtId="0" fontId="40" fillId="41" borderId="14" xfId="0" applyFont="1" applyFill="1" applyBorder="1" applyAlignment="1">
      <alignment horizontal="center"/>
    </xf>
    <xf numFmtId="3" fontId="56" fillId="0" borderId="0" xfId="0" applyNumberFormat="1" applyFont="1" applyAlignment="1">
      <alignment horizontal="right"/>
    </xf>
    <xf numFmtId="3" fontId="56" fillId="0" borderId="57" xfId="0" applyNumberFormat="1" applyFont="1" applyBorder="1" applyAlignment="1">
      <alignment horizontal="right"/>
    </xf>
    <xf numFmtId="0" fontId="40" fillId="42" borderId="21" xfId="0" applyFont="1" applyFill="1" applyBorder="1" applyAlignment="1">
      <alignment horizontal="center"/>
    </xf>
    <xf numFmtId="0" fontId="40" fillId="42" borderId="22" xfId="0" applyFont="1" applyFill="1" applyBorder="1" applyAlignment="1">
      <alignment horizontal="center"/>
    </xf>
    <xf numFmtId="165" fontId="92" fillId="0" borderId="14" xfId="1" applyNumberFormat="1" applyFont="1" applyBorder="1" applyAlignment="1">
      <alignment horizontal="center"/>
    </xf>
    <xf numFmtId="165" fontId="40" fillId="0" borderId="14" xfId="1" applyNumberFormat="1" applyFont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40" fillId="41" borderId="1" xfId="0" applyFont="1" applyFill="1" applyBorder="1" applyAlignment="1">
      <alignment horizontal="center"/>
    </xf>
    <xf numFmtId="3" fontId="40" fillId="0" borderId="52" xfId="0" applyNumberFormat="1" applyFont="1" applyBorder="1" applyAlignment="1">
      <alignment horizontal="right"/>
    </xf>
    <xf numFmtId="3" fontId="40" fillId="0" borderId="44" xfId="0" applyNumberFormat="1" applyFont="1" applyBorder="1" applyAlignment="1">
      <alignment horizontal="right"/>
    </xf>
    <xf numFmtId="3" fontId="56" fillId="0" borderId="1" xfId="0" applyNumberFormat="1" applyFont="1" applyBorder="1" applyAlignment="1">
      <alignment horizontal="right"/>
    </xf>
    <xf numFmtId="3" fontId="56" fillId="0" borderId="17" xfId="0" applyNumberFormat="1" applyFont="1" applyBorder="1" applyAlignment="1">
      <alignment horizontal="right"/>
    </xf>
    <xf numFmtId="165" fontId="56" fillId="0" borderId="54" xfId="1" applyNumberFormat="1" applyFont="1" applyBorder="1" applyAlignment="1">
      <alignment horizontal="center"/>
    </xf>
    <xf numFmtId="0" fontId="40" fillId="41" borderId="17" xfId="0" applyFont="1" applyFill="1" applyBorder="1" applyAlignment="1">
      <alignment horizontal="center"/>
    </xf>
    <xf numFmtId="0" fontId="40" fillId="41" borderId="31" xfId="0" applyFont="1" applyFill="1" applyBorder="1" applyAlignment="1">
      <alignment horizontal="center"/>
    </xf>
    <xf numFmtId="165" fontId="40" fillId="0" borderId="48" xfId="1" applyNumberFormat="1" applyFont="1" applyBorder="1" applyAlignment="1">
      <alignment horizontal="center"/>
    </xf>
    <xf numFmtId="165" fontId="40" fillId="0" borderId="54" xfId="1" applyNumberFormat="1" applyFont="1" applyBorder="1" applyAlignment="1">
      <alignment horizontal="center"/>
    </xf>
    <xf numFmtId="0" fontId="40" fillId="41" borderId="24" xfId="0" applyFont="1" applyFill="1" applyBorder="1" applyAlignment="1">
      <alignment horizontal="center"/>
    </xf>
    <xf numFmtId="0" fontId="40" fillId="41" borderId="21" xfId="0" applyFont="1" applyFill="1" applyBorder="1" applyAlignment="1">
      <alignment horizontal="center"/>
    </xf>
    <xf numFmtId="0" fontId="40" fillId="41" borderId="22" xfId="0" applyFont="1" applyFill="1" applyBorder="1" applyAlignment="1">
      <alignment horizontal="center"/>
    </xf>
    <xf numFmtId="173" fontId="81" fillId="0" borderId="37" xfId="0" applyNumberFormat="1" applyFont="1" applyBorder="1" applyAlignment="1">
      <alignment horizontal="center"/>
    </xf>
    <xf numFmtId="173" fontId="81" fillId="0" borderId="38" xfId="0" applyNumberFormat="1" applyFont="1" applyBorder="1" applyAlignment="1">
      <alignment horizontal="center"/>
    </xf>
    <xf numFmtId="165" fontId="40" fillId="0" borderId="49" xfId="1" applyNumberFormat="1" applyFont="1" applyBorder="1" applyAlignment="1">
      <alignment horizontal="center"/>
    </xf>
    <xf numFmtId="0" fontId="0" fillId="7" borderId="21" xfId="0" applyFill="1" applyBorder="1" applyAlignment="1">
      <alignment horizontal="center"/>
    </xf>
    <xf numFmtId="173" fontId="81" fillId="0" borderId="18" xfId="0" applyNumberFormat="1" applyFont="1" applyBorder="1" applyAlignment="1">
      <alignment horizontal="center"/>
    </xf>
    <xf numFmtId="173" fontId="81" fillId="0" borderId="2" xfId="0" applyNumberFormat="1" applyFont="1" applyBorder="1" applyAlignment="1">
      <alignment horizontal="center"/>
    </xf>
    <xf numFmtId="173" fontId="113" fillId="0" borderId="37" xfId="0" applyNumberFormat="1" applyFont="1" applyBorder="1" applyAlignment="1">
      <alignment horizontal="center"/>
    </xf>
    <xf numFmtId="173" fontId="113" fillId="0" borderId="38" xfId="0" applyNumberFormat="1" applyFont="1" applyBorder="1" applyAlignment="1">
      <alignment horizontal="center"/>
    </xf>
    <xf numFmtId="173" fontId="40" fillId="0" borderId="14" xfId="0" applyNumberFormat="1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0" fontId="40" fillId="0" borderId="31" xfId="0" applyFont="1" applyBorder="1" applyAlignment="1">
      <alignment horizontal="center"/>
    </xf>
    <xf numFmtId="165" fontId="56" fillId="0" borderId="17" xfId="0" applyNumberFormat="1" applyFont="1" applyBorder="1" applyAlignment="1">
      <alignment horizontal="center"/>
    </xf>
    <xf numFmtId="0" fontId="56" fillId="0" borderId="31" xfId="0" applyFont="1" applyBorder="1" applyAlignment="1">
      <alignment horizontal="center"/>
    </xf>
    <xf numFmtId="0" fontId="40" fillId="0" borderId="37" xfId="0" applyFont="1" applyBorder="1" applyAlignment="1">
      <alignment horizontal="center"/>
    </xf>
    <xf numFmtId="0" fontId="40" fillId="0" borderId="38" xfId="0" applyFont="1" applyBorder="1" applyAlignment="1">
      <alignment horizontal="center"/>
    </xf>
    <xf numFmtId="3" fontId="56" fillId="0" borderId="31" xfId="0" applyNumberFormat="1" applyFont="1" applyBorder="1" applyAlignment="1">
      <alignment horizontal="right"/>
    </xf>
    <xf numFmtId="173" fontId="56" fillId="0" borderId="17" xfId="0" applyNumberFormat="1" applyFont="1" applyBorder="1" applyAlignment="1">
      <alignment horizontal="center"/>
    </xf>
    <xf numFmtId="173" fontId="56" fillId="0" borderId="31" xfId="0" applyNumberFormat="1" applyFont="1" applyBorder="1" applyAlignment="1">
      <alignment horizontal="center"/>
    </xf>
    <xf numFmtId="3" fontId="56" fillId="0" borderId="17" xfId="0" applyNumberFormat="1" applyFont="1" applyBorder="1" applyAlignment="1">
      <alignment horizontal="center"/>
    </xf>
    <xf numFmtId="3" fontId="56" fillId="0" borderId="31" xfId="0" applyNumberFormat="1" applyFont="1" applyBorder="1" applyAlignment="1">
      <alignment horizontal="center"/>
    </xf>
    <xf numFmtId="0" fontId="56" fillId="44" borderId="14" xfId="0" applyFont="1" applyFill="1" applyBorder="1" applyAlignment="1">
      <alignment wrapText="1"/>
    </xf>
    <xf numFmtId="0" fontId="56" fillId="44" borderId="30" xfId="0" applyFont="1" applyFill="1" applyBorder="1" applyAlignment="1">
      <alignment wrapText="1"/>
    </xf>
    <xf numFmtId="0" fontId="40" fillId="42" borderId="1" xfId="0" applyFont="1" applyFill="1" applyBorder="1" applyAlignment="1">
      <alignment horizontal="center"/>
    </xf>
    <xf numFmtId="173" fontId="56" fillId="0" borderId="14" xfId="0" applyNumberFormat="1" applyFont="1" applyBorder="1" applyAlignment="1">
      <alignment horizontal="center"/>
    </xf>
    <xf numFmtId="0" fontId="56" fillId="41" borderId="14" xfId="0" applyFont="1" applyFill="1" applyBorder="1" applyAlignment="1">
      <alignment wrapText="1"/>
    </xf>
    <xf numFmtId="0" fontId="56" fillId="41" borderId="30" xfId="0" applyFont="1" applyFill="1" applyBorder="1" applyAlignment="1">
      <alignment wrapText="1"/>
    </xf>
    <xf numFmtId="0" fontId="40" fillId="41" borderId="30" xfId="0" applyFont="1" applyFill="1" applyBorder="1" applyAlignment="1">
      <alignment horizontal="center"/>
    </xf>
    <xf numFmtId="0" fontId="40" fillId="41" borderId="45" xfId="0" applyFont="1" applyFill="1" applyBorder="1" applyAlignment="1">
      <alignment horizontal="center"/>
    </xf>
    <xf numFmtId="0" fontId="40" fillId="42" borderId="25" xfId="0" applyFont="1" applyFill="1" applyBorder="1" applyAlignment="1">
      <alignment horizontal="center"/>
    </xf>
    <xf numFmtId="0" fontId="40" fillId="41" borderId="34" xfId="0" applyFont="1" applyFill="1" applyBorder="1" applyAlignment="1">
      <alignment horizontal="center"/>
    </xf>
    <xf numFmtId="0" fontId="40" fillId="41" borderId="39" xfId="0" applyFont="1" applyFill="1" applyBorder="1" applyAlignment="1">
      <alignment horizontal="center"/>
    </xf>
    <xf numFmtId="173" fontId="81" fillId="0" borderId="28" xfId="0" applyNumberFormat="1" applyFont="1" applyBorder="1" applyAlignment="1">
      <alignment horizontal="center"/>
    </xf>
    <xf numFmtId="173" fontId="81" fillId="0" borderId="25" xfId="0" applyNumberFormat="1" applyFont="1" applyBorder="1" applyAlignment="1">
      <alignment horizontal="center"/>
    </xf>
    <xf numFmtId="0" fontId="40" fillId="42" borderId="24" xfId="0" applyFont="1" applyFill="1" applyBorder="1" applyAlignment="1">
      <alignment horizontal="center"/>
    </xf>
    <xf numFmtId="173" fontId="40" fillId="0" borderId="41" xfId="0" applyNumberFormat="1" applyFont="1" applyBorder="1" applyAlignment="1">
      <alignment horizontal="center"/>
    </xf>
    <xf numFmtId="173" fontId="40" fillId="0" borderId="42" xfId="0" applyNumberFormat="1" applyFont="1" applyBorder="1" applyAlignment="1">
      <alignment horizontal="center"/>
    </xf>
    <xf numFmtId="0" fontId="40" fillId="41" borderId="28" xfId="0" applyFont="1" applyFill="1" applyBorder="1" applyAlignment="1">
      <alignment horizontal="center"/>
    </xf>
    <xf numFmtId="0" fontId="40" fillId="41" borderId="36" xfId="0" applyFont="1" applyFill="1" applyBorder="1" applyAlignment="1">
      <alignment horizontal="center"/>
    </xf>
    <xf numFmtId="173" fontId="81" fillId="0" borderId="40" xfId="0" applyNumberFormat="1" applyFont="1" applyBorder="1" applyAlignment="1">
      <alignment horizontal="center"/>
    </xf>
    <xf numFmtId="173" fontId="81" fillId="0" borderId="27" xfId="0" applyNumberFormat="1" applyFont="1" applyBorder="1" applyAlignment="1">
      <alignment horizontal="center"/>
    </xf>
    <xf numFmtId="173" fontId="40" fillId="0" borderId="28" xfId="0" applyNumberFormat="1" applyFont="1" applyBorder="1" applyAlignment="1">
      <alignment horizontal="center"/>
    </xf>
    <xf numFmtId="173" fontId="40" fillId="0" borderId="25" xfId="0" applyNumberFormat="1" applyFont="1" applyBorder="1" applyAlignment="1">
      <alignment horizontal="center"/>
    </xf>
    <xf numFmtId="165" fontId="40" fillId="0" borderId="28" xfId="1" applyNumberFormat="1" applyFont="1" applyBorder="1" applyAlignment="1">
      <alignment horizontal="center"/>
    </xf>
    <xf numFmtId="173" fontId="81" fillId="0" borderId="36" xfId="0" applyNumberFormat="1" applyFont="1" applyBorder="1" applyAlignment="1">
      <alignment horizontal="center"/>
    </xf>
    <xf numFmtId="0" fontId="56" fillId="44" borderId="15" xfId="0" applyFont="1" applyFill="1" applyBorder="1" applyAlignment="1">
      <alignment wrapText="1"/>
    </xf>
    <xf numFmtId="0" fontId="56" fillId="44" borderId="32" xfId="0" applyFont="1" applyFill="1" applyBorder="1" applyAlignment="1">
      <alignment wrapText="1"/>
    </xf>
    <xf numFmtId="0" fontId="40" fillId="42" borderId="30" xfId="0" applyFont="1" applyFill="1" applyBorder="1" applyAlignment="1">
      <alignment horizontal="center"/>
    </xf>
    <xf numFmtId="0" fontId="40" fillId="41" borderId="35" xfId="0" applyFont="1" applyFill="1" applyBorder="1" applyAlignment="1">
      <alignment horizontal="center"/>
    </xf>
    <xf numFmtId="0" fontId="40" fillId="41" borderId="25" xfId="0" applyFont="1" applyFill="1" applyBorder="1" applyAlignment="1">
      <alignment horizontal="center"/>
    </xf>
    <xf numFmtId="165" fontId="40" fillId="0" borderId="24" xfId="1" applyNumberFormat="1" applyFont="1" applyBorder="1" applyAlignment="1">
      <alignment horizontal="right"/>
    </xf>
    <xf numFmtId="165" fontId="40" fillId="0" borderId="31" xfId="1" applyNumberFormat="1" applyFont="1" applyBorder="1" applyAlignment="1">
      <alignment horizontal="right"/>
    </xf>
    <xf numFmtId="0" fontId="40" fillId="42" borderId="17" xfId="0" applyFont="1" applyFill="1" applyBorder="1" applyAlignment="1">
      <alignment horizontal="center" vertical="center"/>
    </xf>
    <xf numFmtId="0" fontId="40" fillId="42" borderId="21" xfId="0" applyFont="1" applyFill="1" applyBorder="1" applyAlignment="1">
      <alignment horizontal="center" vertical="center"/>
    </xf>
    <xf numFmtId="0" fontId="40" fillId="42" borderId="22" xfId="0" applyFont="1" applyFill="1" applyBorder="1" applyAlignment="1">
      <alignment horizontal="center" vertical="center"/>
    </xf>
    <xf numFmtId="173" fontId="92" fillId="0" borderId="45" xfId="0" applyNumberFormat="1" applyFont="1" applyBorder="1" applyAlignment="1">
      <alignment horizontal="center"/>
    </xf>
    <xf numFmtId="173" fontId="92" fillId="0" borderId="39" xfId="0" applyNumberFormat="1" applyFont="1" applyBorder="1" applyAlignment="1">
      <alignment horizontal="center"/>
    </xf>
    <xf numFmtId="173" fontId="92" fillId="0" borderId="30" xfId="0" applyNumberFormat="1" applyFont="1" applyBorder="1" applyAlignment="1">
      <alignment horizontal="center"/>
    </xf>
    <xf numFmtId="173" fontId="40" fillId="0" borderId="14" xfId="0" applyNumberFormat="1" applyFont="1" applyBorder="1" applyAlignment="1">
      <alignment horizontal="right"/>
    </xf>
    <xf numFmtId="173" fontId="81" fillId="0" borderId="14" xfId="0" applyNumberFormat="1" applyFont="1" applyBorder="1" applyAlignment="1">
      <alignment horizontal="right"/>
    </xf>
    <xf numFmtId="0" fontId="40" fillId="0" borderId="14" xfId="0" applyFont="1" applyBorder="1" applyAlignment="1">
      <alignment horizontal="center"/>
    </xf>
    <xf numFmtId="173" fontId="113" fillId="0" borderId="14" xfId="0" applyNumberFormat="1" applyFont="1" applyBorder="1" applyAlignment="1">
      <alignment horizontal="center"/>
    </xf>
    <xf numFmtId="0" fontId="40" fillId="41" borderId="26" xfId="0" applyFont="1" applyFill="1" applyBorder="1" applyAlignment="1">
      <alignment horizontal="center"/>
    </xf>
    <xf numFmtId="3" fontId="40" fillId="0" borderId="30" xfId="0" applyNumberFormat="1" applyFont="1" applyBorder="1" applyAlignment="1">
      <alignment horizontal="right"/>
    </xf>
    <xf numFmtId="3" fontId="56" fillId="0" borderId="14" xfId="0" applyNumberFormat="1" applyFont="1" applyBorder="1" applyAlignment="1">
      <alignment horizontal="right"/>
    </xf>
    <xf numFmtId="0" fontId="40" fillId="41" borderId="15" xfId="0" applyFont="1" applyFill="1" applyBorder="1" applyAlignment="1">
      <alignment horizontal="center"/>
    </xf>
    <xf numFmtId="3" fontId="92" fillId="0" borderId="25" xfId="0" applyNumberFormat="1" applyFont="1" applyBorder="1" applyAlignment="1">
      <alignment horizontal="right"/>
    </xf>
    <xf numFmtId="3" fontId="40" fillId="0" borderId="28" xfId="0" applyNumberFormat="1" applyFont="1" applyBorder="1" applyAlignment="1">
      <alignment horizontal="right"/>
    </xf>
    <xf numFmtId="3" fontId="40" fillId="0" borderId="14" xfId="0" applyNumberFormat="1" applyFont="1" applyBorder="1"/>
    <xf numFmtId="0" fontId="40" fillId="0" borderId="14" xfId="0" applyFont="1" applyBorder="1"/>
    <xf numFmtId="165" fontId="40" fillId="0" borderId="17" xfId="1" applyNumberFormat="1" applyFont="1" applyBorder="1" applyAlignment="1">
      <alignment horizontal="right"/>
    </xf>
    <xf numFmtId="0" fontId="40" fillId="0" borderId="24" xfId="0" applyFont="1" applyBorder="1" applyAlignment="1">
      <alignment horizontal="center"/>
    </xf>
    <xf numFmtId="3" fontId="40" fillId="0" borderId="17" xfId="0" applyNumberFormat="1" applyFont="1" applyBorder="1" applyAlignment="1">
      <alignment horizontal="center"/>
    </xf>
    <xf numFmtId="3" fontId="40" fillId="0" borderId="31" xfId="0" applyNumberFormat="1" applyFont="1" applyBorder="1" applyAlignment="1">
      <alignment horizontal="center"/>
    </xf>
    <xf numFmtId="173" fontId="92" fillId="0" borderId="14" xfId="0" applyNumberFormat="1" applyFont="1" applyBorder="1" applyAlignment="1">
      <alignment horizontal="right"/>
    </xf>
    <xf numFmtId="0" fontId="0" fillId="7" borderId="15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3" fontId="56" fillId="0" borderId="19" xfId="0" applyNumberFormat="1" applyFont="1" applyBorder="1" applyAlignment="1">
      <alignment horizontal="center"/>
    </xf>
    <xf numFmtId="3" fontId="56" fillId="0" borderId="46" xfId="0" applyNumberFormat="1" applyFont="1" applyBorder="1" applyAlignment="1">
      <alignment horizontal="center"/>
    </xf>
    <xf numFmtId="3" fontId="40" fillId="0" borderId="14" xfId="0" applyNumberFormat="1" applyFont="1" applyBorder="1" applyAlignment="1">
      <alignment horizontal="right"/>
    </xf>
    <xf numFmtId="173" fontId="56" fillId="0" borderId="30" xfId="0" applyNumberFormat="1" applyFont="1" applyBorder="1" applyAlignment="1">
      <alignment horizontal="center"/>
    </xf>
    <xf numFmtId="173" fontId="40" fillId="0" borderId="14" xfId="0" applyNumberFormat="1" applyFont="1" applyBorder="1"/>
    <xf numFmtId="173" fontId="81" fillId="0" borderId="14" xfId="0" applyNumberFormat="1" applyFont="1" applyBorder="1"/>
    <xf numFmtId="3" fontId="92" fillId="0" borderId="0" xfId="0" applyNumberFormat="1" applyFont="1"/>
    <xf numFmtId="0" fontId="40" fillId="42" borderId="17" xfId="0" applyFont="1" applyFill="1" applyBorder="1" applyAlignment="1">
      <alignment horizontal="center"/>
    </xf>
    <xf numFmtId="173" fontId="113" fillId="0" borderId="27" xfId="0" applyNumberFormat="1" applyFont="1" applyBorder="1" applyAlignment="1">
      <alignment horizontal="center"/>
    </xf>
    <xf numFmtId="173" fontId="113" fillId="0" borderId="26" xfId="0" applyNumberFormat="1" applyFont="1" applyBorder="1" applyAlignment="1">
      <alignment horizontal="center"/>
    </xf>
    <xf numFmtId="0" fontId="56" fillId="41" borderId="15" xfId="0" applyFont="1" applyFill="1" applyBorder="1" applyAlignment="1">
      <alignment wrapText="1"/>
    </xf>
    <xf numFmtId="0" fontId="56" fillId="41" borderId="20" xfId="0" applyFont="1" applyFill="1" applyBorder="1" applyAlignment="1">
      <alignment wrapText="1"/>
    </xf>
    <xf numFmtId="0" fontId="56" fillId="41" borderId="19" xfId="0" applyFont="1" applyFill="1" applyBorder="1" applyAlignment="1">
      <alignment wrapText="1"/>
    </xf>
    <xf numFmtId="0" fontId="56" fillId="41" borderId="32" xfId="0" applyFont="1" applyFill="1" applyBorder="1" applyAlignment="1">
      <alignment wrapText="1"/>
    </xf>
    <xf numFmtId="0" fontId="56" fillId="42" borderId="19" xfId="0" applyFont="1" applyFill="1" applyBorder="1" applyAlignment="1">
      <alignment wrapText="1"/>
    </xf>
    <xf numFmtId="0" fontId="56" fillId="42" borderId="20" xfId="0" applyFont="1" applyFill="1" applyBorder="1" applyAlignment="1">
      <alignment wrapText="1"/>
    </xf>
    <xf numFmtId="3" fontId="56" fillId="0" borderId="23" xfId="0" applyNumberFormat="1" applyFont="1" applyBorder="1" applyAlignment="1">
      <alignment horizontal="right"/>
    </xf>
    <xf numFmtId="3" fontId="56" fillId="0" borderId="18" xfId="0" applyNumberFormat="1" applyFont="1" applyBorder="1" applyAlignment="1">
      <alignment horizontal="right"/>
    </xf>
    <xf numFmtId="0" fontId="40" fillId="41" borderId="52" xfId="0" applyFont="1" applyFill="1" applyBorder="1" applyAlignment="1">
      <alignment horizontal="center"/>
    </xf>
    <xf numFmtId="0" fontId="40" fillId="41" borderId="44" xfId="0" applyFont="1" applyFill="1" applyBorder="1" applyAlignment="1">
      <alignment horizontal="center"/>
    </xf>
    <xf numFmtId="0" fontId="40" fillId="41" borderId="53" xfId="0" applyFont="1" applyFill="1" applyBorder="1" applyAlignment="1">
      <alignment horizontal="center"/>
    </xf>
    <xf numFmtId="173" fontId="92" fillId="0" borderId="36" xfId="0" applyNumberFormat="1" applyFont="1" applyBorder="1" applyAlignment="1">
      <alignment horizontal="center"/>
    </xf>
    <xf numFmtId="0" fontId="40" fillId="42" borderId="31" xfId="0" applyFont="1" applyFill="1" applyBorder="1" applyAlignment="1">
      <alignment horizontal="center"/>
    </xf>
    <xf numFmtId="165" fontId="56" fillId="0" borderId="19" xfId="0" applyNumberFormat="1" applyFont="1" applyBorder="1" applyAlignment="1">
      <alignment horizontal="center"/>
    </xf>
    <xf numFmtId="0" fontId="56" fillId="0" borderId="53" xfId="0" applyFont="1" applyBorder="1" applyAlignment="1">
      <alignment horizontal="center"/>
    </xf>
    <xf numFmtId="165" fontId="56" fillId="0" borderId="48" xfId="0" applyNumberFormat="1" applyFont="1" applyBorder="1" applyAlignment="1">
      <alignment horizontal="center"/>
    </xf>
    <xf numFmtId="0" fontId="56" fillId="0" borderId="49" xfId="0" applyFont="1" applyBorder="1" applyAlignment="1">
      <alignment horizontal="center"/>
    </xf>
    <xf numFmtId="3" fontId="40" fillId="0" borderId="53" xfId="0" applyNumberFormat="1" applyFont="1" applyBorder="1" applyAlignment="1">
      <alignment horizontal="right"/>
    </xf>
    <xf numFmtId="3" fontId="92" fillId="0" borderId="14" xfId="0" applyNumberFormat="1" applyFont="1" applyBorder="1" applyAlignment="1">
      <alignment horizontal="right"/>
    </xf>
    <xf numFmtId="3" fontId="56" fillId="0" borderId="30" xfId="0" applyNumberFormat="1" applyFont="1" applyBorder="1" applyAlignment="1">
      <alignment horizontal="right"/>
    </xf>
    <xf numFmtId="3" fontId="40" fillId="0" borderId="54" xfId="0" applyNumberFormat="1" applyFont="1" applyBorder="1" applyAlignment="1">
      <alignment horizontal="right"/>
    </xf>
    <xf numFmtId="3" fontId="40" fillId="0" borderId="49" xfId="0" applyNumberFormat="1" applyFont="1" applyBorder="1" applyAlignment="1">
      <alignment horizontal="right"/>
    </xf>
    <xf numFmtId="3" fontId="56" fillId="0" borderId="44" xfId="0" applyNumberFormat="1" applyFont="1" applyBorder="1" applyAlignment="1">
      <alignment horizontal="right"/>
    </xf>
    <xf numFmtId="3" fontId="56" fillId="0" borderId="53" xfId="0" applyNumberFormat="1" applyFont="1" applyBorder="1" applyAlignment="1">
      <alignment horizontal="right"/>
    </xf>
    <xf numFmtId="165" fontId="92" fillId="0" borderId="30" xfId="1" applyNumberFormat="1" applyFont="1" applyBorder="1" applyAlignment="1">
      <alignment horizontal="center"/>
    </xf>
    <xf numFmtId="165" fontId="40" fillId="0" borderId="30" xfId="1" applyNumberFormat="1" applyFont="1" applyBorder="1" applyAlignment="1">
      <alignment horizontal="center"/>
    </xf>
    <xf numFmtId="3" fontId="40" fillId="0" borderId="50" xfId="0" applyNumberFormat="1" applyFont="1" applyBorder="1" applyAlignment="1">
      <alignment horizontal="right"/>
    </xf>
    <xf numFmtId="0" fontId="40" fillId="0" borderId="28" xfId="0" applyFont="1" applyBorder="1" applyAlignment="1">
      <alignment horizontal="right"/>
    </xf>
    <xf numFmtId="0" fontId="40" fillId="0" borderId="36" xfId="0" applyFont="1" applyBorder="1" applyAlignment="1">
      <alignment horizontal="right"/>
    </xf>
    <xf numFmtId="0" fontId="40" fillId="0" borderId="51" xfId="0" applyFont="1" applyBorder="1" applyAlignment="1">
      <alignment horizontal="right"/>
    </xf>
    <xf numFmtId="0" fontId="40" fillId="0" borderId="37" xfId="0" applyFont="1" applyBorder="1" applyAlignment="1">
      <alignment horizontal="right"/>
    </xf>
    <xf numFmtId="0" fontId="40" fillId="0" borderId="55" xfId="0" applyFont="1" applyBorder="1" applyAlignment="1">
      <alignment horizontal="right"/>
    </xf>
    <xf numFmtId="3" fontId="56" fillId="0" borderId="19" xfId="0" applyNumberFormat="1" applyFont="1" applyBorder="1" applyAlignment="1">
      <alignment horizontal="right"/>
    </xf>
    <xf numFmtId="173" fontId="92" fillId="0" borderId="25" xfId="0" applyNumberFormat="1" applyFont="1" applyBorder="1"/>
    <xf numFmtId="165" fontId="40" fillId="0" borderId="43" xfId="1" applyNumberFormat="1" applyFont="1" applyBorder="1" applyAlignment="1">
      <alignment horizontal="center"/>
    </xf>
    <xf numFmtId="173" fontId="92" fillId="0" borderId="28" xfId="0" applyNumberFormat="1" applyFont="1" applyBorder="1"/>
    <xf numFmtId="165" fontId="40" fillId="0" borderId="40" xfId="1" applyNumberFormat="1" applyFont="1" applyBorder="1" applyAlignment="1">
      <alignment horizontal="center"/>
    </xf>
    <xf numFmtId="173" fontId="82" fillId="0" borderId="37" xfId="0" applyNumberFormat="1" applyFont="1" applyBorder="1" applyAlignment="1">
      <alignment horizontal="center"/>
    </xf>
    <xf numFmtId="173" fontId="82" fillId="0" borderId="38" xfId="0" applyNumberFormat="1" applyFont="1" applyBorder="1" applyAlignment="1">
      <alignment horizontal="center"/>
    </xf>
    <xf numFmtId="3" fontId="92" fillId="0" borderId="14" xfId="0" applyNumberFormat="1" applyFont="1" applyBorder="1"/>
    <xf numFmtId="0" fontId="40" fillId="0" borderId="28" xfId="0" applyFont="1" applyBorder="1" applyAlignment="1">
      <alignment horizontal="center"/>
    </xf>
    <xf numFmtId="0" fontId="40" fillId="0" borderId="25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5" xfId="0" applyBorder="1" applyAlignment="1">
      <alignment horizontal="center"/>
    </xf>
  </cellXfs>
  <cellStyles count="588">
    <cellStyle name="20% - Accent1" xfId="21" builtinId="30" customBuiltin="1"/>
    <cellStyle name="20% - Accent1 2" xfId="80" xr:uid="{F02C7289-67D3-4A55-A509-8F9ECDD12CBA}"/>
    <cellStyle name="20% - Accent1 2 2" xfId="347" xr:uid="{0A5FE587-43C3-4869-AD5A-0F0E0014D5EB}"/>
    <cellStyle name="20% - Accent1 3" xfId="152" xr:uid="{77AF3E93-514B-4D12-9660-ADBF42661BE6}"/>
    <cellStyle name="20% - Accent1 3 2" xfId="348" xr:uid="{BF2C8631-631B-4626-B421-AABB3A31EC19}"/>
    <cellStyle name="20% - Accent1 4" xfId="349" xr:uid="{B6C1050C-6378-4C74-B689-90C43F72AC4F}"/>
    <cellStyle name="20% - Accent2" xfId="25" builtinId="34" customBuiltin="1"/>
    <cellStyle name="20% - Accent2 2" xfId="83" xr:uid="{9BD57196-B8BC-4480-9FEF-309FA64674BE}"/>
    <cellStyle name="20% - Accent2 2 2" xfId="350" xr:uid="{8A212C49-9701-4A38-A4C2-67D0AFA1B827}"/>
    <cellStyle name="20% - Accent2 3" xfId="153" xr:uid="{F9A81D67-A88E-4A0E-B46A-887DBAD58F33}"/>
    <cellStyle name="20% - Accent2 3 2" xfId="351" xr:uid="{7FFFD7C5-212F-488D-816E-40C9E65D605D}"/>
    <cellStyle name="20% - Accent2 4" xfId="352" xr:uid="{710091D2-411E-4428-9441-C038D3EFC04F}"/>
    <cellStyle name="20% - Accent3" xfId="29" builtinId="38" customBuiltin="1"/>
    <cellStyle name="20% - Accent3 2" xfId="86" xr:uid="{1F71B2D6-21E7-430B-8A13-FAB6D70632D2}"/>
    <cellStyle name="20% - Accent3 2 2" xfId="353" xr:uid="{4554B106-905F-48D4-B662-1606B706C3F4}"/>
    <cellStyle name="20% - Accent3 3" xfId="154" xr:uid="{79A09BA7-0984-4C3E-A6A8-E8C58FAC09FD}"/>
    <cellStyle name="20% - Accent3 3 2" xfId="354" xr:uid="{E07DB8C2-66C7-49CF-9DC7-26CE1DF86107}"/>
    <cellStyle name="20% - Accent3 4" xfId="355" xr:uid="{42833804-FE94-4DE7-A5AC-F105A20FBC5A}"/>
    <cellStyle name="20% - Accent4" xfId="33" builtinId="42" customBuiltin="1"/>
    <cellStyle name="20% - Accent4 2" xfId="89" xr:uid="{891385FB-851E-4FEA-84BC-FF8F1E438D27}"/>
    <cellStyle name="20% - Accent4 2 2" xfId="356" xr:uid="{5E883B84-8229-4A2D-A47A-C0AD6404BB9C}"/>
    <cellStyle name="20% - Accent4 3" xfId="155" xr:uid="{83040E32-5B62-4E1C-BE0B-936793743691}"/>
    <cellStyle name="20% - Accent4 3 2" xfId="357" xr:uid="{92B8EFD1-7DDC-4BFD-8A9F-9054F0A82A86}"/>
    <cellStyle name="20% - Accent4 4" xfId="358" xr:uid="{9E7B7606-B82D-47B0-812D-E26006ACDB27}"/>
    <cellStyle name="20% - Accent5" xfId="37" builtinId="46" customBuiltin="1"/>
    <cellStyle name="20% - Accent5 2" xfId="92" xr:uid="{2D587B32-65D0-4CC3-8506-E46A9F81C8A4}"/>
    <cellStyle name="20% - Accent5 2 2" xfId="359" xr:uid="{5DC4A417-F8A0-4929-9726-875F7B1C63DE}"/>
    <cellStyle name="20% - Accent5 3" xfId="156" xr:uid="{6022BF3E-50E9-4AED-B056-DA5EB38F1398}"/>
    <cellStyle name="20% - Accent5 3 2" xfId="360" xr:uid="{1BC850B6-7890-4984-85FE-504673358C9D}"/>
    <cellStyle name="20% - Accent5 4" xfId="361" xr:uid="{A98CFB9E-D070-4A96-9D4E-7CE893647BD5}"/>
    <cellStyle name="20% - Accent6" xfId="41" builtinId="50" customBuiltin="1"/>
    <cellStyle name="20% - Accent6 2" xfId="95" xr:uid="{78050257-5416-4106-8CF3-5B2CD06366A6}"/>
    <cellStyle name="20% - Accent6 2 2" xfId="362" xr:uid="{25A14390-773C-45C8-B5FB-B3BDDFB37966}"/>
    <cellStyle name="20% - Accent6 3" xfId="157" xr:uid="{B6BB21D9-D043-486D-9409-640993034D94}"/>
    <cellStyle name="20% - Accent6 3 2" xfId="363" xr:uid="{5FB44029-80BD-47BE-AC5D-44BD3E7F7112}"/>
    <cellStyle name="20% - Accent6 4" xfId="364" xr:uid="{7A12F0FC-D1BB-436A-93BA-2EC9C53E8C97}"/>
    <cellStyle name="40% - Accent1" xfId="22" builtinId="31" customBuiltin="1"/>
    <cellStyle name="40% - Accent1 2" xfId="81" xr:uid="{1658A65D-50D1-4A81-8B40-A7A38524554A}"/>
    <cellStyle name="40% - Accent1 2 2" xfId="365" xr:uid="{134981D8-B18D-43F4-BD85-3DA71CCF6A56}"/>
    <cellStyle name="40% - Accent1 3" xfId="158" xr:uid="{D5C7CBF5-D645-4F4C-966E-2336187FA690}"/>
    <cellStyle name="40% - Accent1 3 2" xfId="366" xr:uid="{E91E71A0-882B-4FE3-A66C-97272AA0BDE3}"/>
    <cellStyle name="40% - Accent1 4" xfId="367" xr:uid="{16C8D094-ACDF-4AF7-AF70-C0827142B37B}"/>
    <cellStyle name="40% - Accent2" xfId="26" builtinId="35" customBuiltin="1"/>
    <cellStyle name="40% - Accent2 2" xfId="84" xr:uid="{476480B4-F87F-4812-A526-CAFEF3A3A235}"/>
    <cellStyle name="40% - Accent2 2 2" xfId="368" xr:uid="{76E52DDA-D497-4C28-A107-C011EA72E3B3}"/>
    <cellStyle name="40% - Accent2 3" xfId="159" xr:uid="{7F4EE642-91A1-47FF-A2B7-DC570781808B}"/>
    <cellStyle name="40% - Accent2 3 2" xfId="369" xr:uid="{F78B4E23-EE5D-4EF8-9D87-099AA29D0F94}"/>
    <cellStyle name="40% - Accent2 4" xfId="370" xr:uid="{D51146C7-507B-46FE-AAC7-4DAAE664BC56}"/>
    <cellStyle name="40% - Accent3" xfId="30" builtinId="39" customBuiltin="1"/>
    <cellStyle name="40% - Accent3 2" xfId="87" xr:uid="{DE93FE42-CF04-4066-9757-EF1080D01BBB}"/>
    <cellStyle name="40% - Accent3 2 2" xfId="371" xr:uid="{DFA3295A-4705-4666-925B-F817FE0DBD9D}"/>
    <cellStyle name="40% - Accent3 3" xfId="160" xr:uid="{6BF5C384-D82F-4F9F-9B5F-BDB14711EEF6}"/>
    <cellStyle name="40% - Accent3 3 2" xfId="372" xr:uid="{62CD2E22-4593-48E8-81B8-6146B2343B43}"/>
    <cellStyle name="40% - Accent3 4" xfId="373" xr:uid="{BD734F19-340E-4FC8-BCE4-E3C5850D81C8}"/>
    <cellStyle name="40% - Accent4" xfId="34" builtinId="43" customBuiltin="1"/>
    <cellStyle name="40% - Accent4 2" xfId="90" xr:uid="{EC95C2BF-5109-4382-A8C7-568D6690D60A}"/>
    <cellStyle name="40% - Accent4 2 2" xfId="374" xr:uid="{DA4D64F7-D3D1-4846-B5B5-30F4F7FDFF4A}"/>
    <cellStyle name="40% - Accent4 3" xfId="161" xr:uid="{F51800C1-9E47-4FBE-B1AD-6A5FCB4ADF51}"/>
    <cellStyle name="40% - Accent4 3 2" xfId="375" xr:uid="{2DE98641-ACF8-4186-969D-E7F09232D243}"/>
    <cellStyle name="40% - Accent4 4" xfId="376" xr:uid="{F923F797-352D-43E2-A5C7-6404C52941C0}"/>
    <cellStyle name="40% - Accent5" xfId="38" builtinId="47" customBuiltin="1"/>
    <cellStyle name="40% - Accent5 2" xfId="93" xr:uid="{B9C7C922-31CF-4ED7-965A-7F02F8A917C4}"/>
    <cellStyle name="40% - Accent5 2 2" xfId="377" xr:uid="{E1C08DD4-9727-4BA6-9278-276525AEB93A}"/>
    <cellStyle name="40% - Accent5 3" xfId="162" xr:uid="{5B069DE9-2E40-495C-825F-6F1927BFBB9A}"/>
    <cellStyle name="40% - Accent5 3 2" xfId="378" xr:uid="{B54C9269-68C8-4108-B8BB-EAE5714B0CD3}"/>
    <cellStyle name="40% - Accent5 4" xfId="379" xr:uid="{364BD218-C0C4-4460-8A40-D075A3D39862}"/>
    <cellStyle name="40% - Accent6" xfId="42" builtinId="51" customBuiltin="1"/>
    <cellStyle name="40% - Accent6 2" xfId="96" xr:uid="{8BFBABCE-488B-4B60-92E5-43BE739C8F9E}"/>
    <cellStyle name="40% - Accent6 2 2" xfId="380" xr:uid="{AFC36EE3-06BB-46D5-A7D6-0C729668FA55}"/>
    <cellStyle name="40% - Accent6 3" xfId="163" xr:uid="{6AB7E9A8-24BB-45D0-A847-54E99AFB2050}"/>
    <cellStyle name="40% - Accent6 3 2" xfId="381" xr:uid="{506DF8E5-A20B-431C-BE94-F2B11F1BFD68}"/>
    <cellStyle name="40% - Accent6 4" xfId="382" xr:uid="{A7DFDF82-D31C-413C-A7D7-CDCB0F53A3E2}"/>
    <cellStyle name="60% - Accent1" xfId="23" builtinId="32" customBuiltin="1"/>
    <cellStyle name="60% - Accent1 2" xfId="82" xr:uid="{984B71E0-B6C5-4731-A5E7-2B200B7BE8BB}"/>
    <cellStyle name="60% - Accent1 2 2" xfId="383" xr:uid="{F8C62815-0459-4350-A8AD-FFAE682FC936}"/>
    <cellStyle name="60% - Accent1 3" xfId="164" xr:uid="{53C62DB7-900D-4101-B654-180E5AD65E7A}"/>
    <cellStyle name="60% - Accent1 3 2" xfId="384" xr:uid="{8CA38E7A-B01E-4775-AE82-91DA902945FE}"/>
    <cellStyle name="60% - Accent1 4" xfId="385" xr:uid="{8637C787-3716-4FAE-BFB5-9B70D0B9013C}"/>
    <cellStyle name="60% - Accent2" xfId="27" builtinId="36" customBuiltin="1"/>
    <cellStyle name="60% - Accent2 2" xfId="85" xr:uid="{87DD94B0-DA93-4B36-A306-DE320CB13C9C}"/>
    <cellStyle name="60% - Accent2 2 2" xfId="386" xr:uid="{BE2C8DC5-DFD5-481E-90F1-BD6B524958DC}"/>
    <cellStyle name="60% - Accent2 3" xfId="165" xr:uid="{CC8D352F-017D-4E39-B69F-ACD4430C4D60}"/>
    <cellStyle name="60% - Accent2 3 2" xfId="387" xr:uid="{320F7832-9EA3-45E8-B547-9C583A594B37}"/>
    <cellStyle name="60% - Accent2 4" xfId="388" xr:uid="{DCCDA438-6932-432E-87F9-790813305AFF}"/>
    <cellStyle name="60% - Accent3" xfId="31" builtinId="40" customBuiltin="1"/>
    <cellStyle name="60% - Accent3 2" xfId="88" xr:uid="{4949AD95-AC30-480B-B527-23D998182B65}"/>
    <cellStyle name="60% - Accent3 2 2" xfId="389" xr:uid="{D08D581F-0E0A-439F-B3AA-7AFAE592E998}"/>
    <cellStyle name="60% - Accent3 3" xfId="166" xr:uid="{7653AF2D-A59A-4471-8353-C2FE96309582}"/>
    <cellStyle name="60% - Accent3 3 2" xfId="390" xr:uid="{091CBDD8-3FD9-4060-9100-E76D611B2038}"/>
    <cellStyle name="60% - Accent3 4" xfId="391" xr:uid="{A0876D60-BB5A-4235-B7A3-B349AE7A2F66}"/>
    <cellStyle name="60% - Accent4" xfId="35" builtinId="44" customBuiltin="1"/>
    <cellStyle name="60% - Accent4 2" xfId="91" xr:uid="{F6F3F0B4-62F4-449F-9C57-DF65F04E7A27}"/>
    <cellStyle name="60% - Accent4 2 2" xfId="392" xr:uid="{893989FE-2219-49E8-8434-AC349F33ACE6}"/>
    <cellStyle name="60% - Accent4 3" xfId="167" xr:uid="{1AC2B909-7894-4F11-BD06-C402FD9A6A02}"/>
    <cellStyle name="60% - Accent4 3 2" xfId="393" xr:uid="{A2110347-6AF5-405F-90C5-653B7A1D0561}"/>
    <cellStyle name="60% - Accent4 4" xfId="394" xr:uid="{34581100-22E7-4723-BA15-CBE5686B907C}"/>
    <cellStyle name="60% - Accent5" xfId="39" builtinId="48" customBuiltin="1"/>
    <cellStyle name="60% - Accent5 2" xfId="94" xr:uid="{987C873F-8BE8-4240-9B22-4DF4EE2E9994}"/>
    <cellStyle name="60% - Accent5 2 2" xfId="395" xr:uid="{2BB0D302-7895-4D75-AD4C-F4E2DDC7DA6A}"/>
    <cellStyle name="60% - Accent5 3" xfId="168" xr:uid="{129ABE05-3F41-42C0-8A09-3C53EFFD8DD3}"/>
    <cellStyle name="60% - Accent5 3 2" xfId="396" xr:uid="{7B07725C-AC8E-409D-87C1-50D03A178225}"/>
    <cellStyle name="60% - Accent5 4" xfId="397" xr:uid="{B4880B97-C825-4C74-A520-3738F62C7722}"/>
    <cellStyle name="60% - Accent6" xfId="43" builtinId="52" customBuiltin="1"/>
    <cellStyle name="60% - Accent6 2" xfId="97" xr:uid="{BEBADC14-8628-4D32-AD14-8D956C3DFB0E}"/>
    <cellStyle name="60% - Accent6 2 2" xfId="398" xr:uid="{6182682B-FC54-4F8B-B9D9-38B375385F32}"/>
    <cellStyle name="60% - Accent6 3" xfId="169" xr:uid="{5A0FF3C6-A351-420F-A19D-4504E17D8C4E}"/>
    <cellStyle name="60% - Accent6 3 2" xfId="399" xr:uid="{FEE2FF09-B114-4BFC-935C-89034DF38EF2}"/>
    <cellStyle name="60% - Accent6 4" xfId="400" xr:uid="{A67DF657-7108-417C-8657-6A1631BF4BD8}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[0] 2" xfId="170" xr:uid="{4E37636C-14A5-468A-A1B8-32FCAB5DBD6B}"/>
    <cellStyle name="Comma [0] 2 2" xfId="401" xr:uid="{C47D5CEC-B10C-4BE6-925B-95A7C3EE6C3A}"/>
    <cellStyle name="Comma [0] 2 3" xfId="565" xr:uid="{2D07B8C1-1A10-4294-A445-D94706F4C2BC}"/>
    <cellStyle name="Comma [0] 3" xfId="171" xr:uid="{F1DC2DCD-90F5-4619-BFC5-D1E261BB38D3}"/>
    <cellStyle name="Comma [0] 3 2" xfId="402" xr:uid="{4F9E15EA-4E2B-4BCB-B727-3B2AB186B885}"/>
    <cellStyle name="Comma [0] 4" xfId="172" xr:uid="{09F0D44A-E17E-4615-8D19-386669FB2B7F}"/>
    <cellStyle name="Comma [0] 4 2" xfId="403" xr:uid="{CD8B7284-42BF-48BA-9A9D-762399D29971}"/>
    <cellStyle name="Comma [0] 5" xfId="563" xr:uid="{1CC3A9DC-EF0F-423B-9292-97C884EB5F6C}"/>
    <cellStyle name="Comma 10" xfId="173" xr:uid="{B2FB955E-719F-43DE-9BAF-1C1A1620003D}"/>
    <cellStyle name="Comma 10 2" xfId="404" xr:uid="{9FE2B7C6-F946-495A-BA68-3F4DCD1D130D}"/>
    <cellStyle name="Comma 11" xfId="105" xr:uid="{8548866C-94FC-41BF-AB40-7873E83B88FC}"/>
    <cellStyle name="Comma 12" xfId="174" xr:uid="{3C639CD5-8818-413C-84C3-31DFAE2E7F21}"/>
    <cellStyle name="Comma 12 2" xfId="405" xr:uid="{D08AA53B-FACB-4886-AB47-8224E08DF3AC}"/>
    <cellStyle name="Comma 13" xfId="175" xr:uid="{46AA5E4B-34C0-4395-9FF7-33490E64C924}"/>
    <cellStyle name="Comma 13 2" xfId="406" xr:uid="{8B88225A-0092-4DF3-8AF8-5110EB8B3116}"/>
    <cellStyle name="Comma 14" xfId="176" xr:uid="{958E8241-3A23-4766-B2CF-D324FCB2DAD9}"/>
    <cellStyle name="Comma 14 2" xfId="407" xr:uid="{ED34D0AC-153F-4494-82A7-B77673E2E149}"/>
    <cellStyle name="Comma 15" xfId="177" xr:uid="{D393F254-9A3B-4756-861B-CC36E67127FB}"/>
    <cellStyle name="Comma 15 2" xfId="408" xr:uid="{7BE2F8DA-34FC-4B61-9C93-0435298BAE60}"/>
    <cellStyle name="Comma 16" xfId="178" xr:uid="{DB1FC24F-70BC-4304-8757-B32B7DE08DF1}"/>
    <cellStyle name="Comma 16 2" xfId="409" xr:uid="{14F2A1F0-603B-431C-88C7-2F403F528B72}"/>
    <cellStyle name="Comma 17" xfId="179" xr:uid="{5A3D25AF-4B73-4EF0-8A52-474BFBE98BE9}"/>
    <cellStyle name="Comma 17 2" xfId="410" xr:uid="{9BAFC174-D4B2-49CF-8621-FA7119A3636E}"/>
    <cellStyle name="Comma 18" xfId="180" xr:uid="{2872C9CC-6687-45FC-AEAD-EB17E3E0CBFC}"/>
    <cellStyle name="Comma 18 2" xfId="411" xr:uid="{E91255AA-4DD9-46C2-AFFB-4E75D63031E5}"/>
    <cellStyle name="Comma 19" xfId="181" xr:uid="{410D90AA-CBE5-4534-9226-8CE27F2BFBE5}"/>
    <cellStyle name="Comma 19 2" xfId="412" xr:uid="{5167B5A9-6A6D-4AC5-9016-C9CD1E188DF7}"/>
    <cellStyle name="Comma 2" xfId="66" xr:uid="{516017D1-F331-40AA-AA9C-B982CD3083E6}"/>
    <cellStyle name="Comma 2 10" xfId="573" xr:uid="{8F597793-ED5D-451E-8984-1C70BA0398D2}"/>
    <cellStyle name="Comma 2 2" xfId="78" xr:uid="{BE3DA960-E1BE-4A05-B00C-0C9AA22D6F50}"/>
    <cellStyle name="Comma 2 2 2" xfId="106" xr:uid="{B531DDFF-C2F1-4128-B55A-1E9541E2B2AD}"/>
    <cellStyle name="Comma 2 2 2 2" xfId="182" xr:uid="{182AF635-D9FE-4005-A85E-529D9031016C}"/>
    <cellStyle name="Comma 2 2 2 2 2" xfId="183" xr:uid="{C74D1590-6998-4677-BEFB-734216B83840}"/>
    <cellStyle name="Comma 2 2 2 2 2 2" xfId="413" xr:uid="{09851B41-FBDE-44EE-8425-6B0F88B7F245}"/>
    <cellStyle name="Comma 2 2 2 2 3" xfId="414" xr:uid="{EED5C7DF-11F2-4727-8410-63C1802F7453}"/>
    <cellStyle name="Comma 2 2 2 3" xfId="184" xr:uid="{783CEAEE-2FB5-4F9C-A13B-A00D99B42F5D}"/>
    <cellStyle name="Comma 2 2 2 3 2" xfId="415" xr:uid="{D101F0D1-D62C-46F5-BB66-67F3578941CF}"/>
    <cellStyle name="Comma 2 2 2 4" xfId="185" xr:uid="{873DFBA5-1A4B-4899-8E2B-9BFD0F41B8B2}"/>
    <cellStyle name="Comma 2 2 2 4 2" xfId="416" xr:uid="{65234075-BAE9-48A9-A092-28230620A484}"/>
    <cellStyle name="Comma 2 2 2 5" xfId="186" xr:uid="{26A3FF7A-42D2-456C-A533-984820A0FF7C}"/>
    <cellStyle name="Comma 2 2 2 6" xfId="417" xr:uid="{55928A69-6357-49D6-A0DC-13A2F8D96371}"/>
    <cellStyle name="Comma 2 2 3" xfId="187" xr:uid="{0875E33F-20F0-4E54-997F-7430F2A623A2}"/>
    <cellStyle name="Comma 2 2 3 2" xfId="418" xr:uid="{D51B75AE-AC3C-43EF-861B-1E6EB4F4A78F}"/>
    <cellStyle name="Comma 2 2 4" xfId="188" xr:uid="{86AF079C-DBE1-4138-822D-2960EC0A91C4}"/>
    <cellStyle name="Comma 2 2 4 2" xfId="419" xr:uid="{A7A8ADD0-76EF-4F5A-9BF7-B6395700A475}"/>
    <cellStyle name="Comma 2 2 5" xfId="189" xr:uid="{5E63A104-F249-4280-93C3-26FEB90332DE}"/>
    <cellStyle name="Comma 2 2 5 2" xfId="420" xr:uid="{023735D1-238D-4C60-9689-0AAFC64D9FD1}"/>
    <cellStyle name="Comma 2 2 6" xfId="421" xr:uid="{EB51D587-174A-4988-847B-F0CE1764BC72}"/>
    <cellStyle name="Comma 2 2 7" xfId="571" xr:uid="{DD0930DB-40C3-4414-81CB-764F07B83D35}"/>
    <cellStyle name="Comma 2 3" xfId="107" xr:uid="{5A0BB721-2BA2-4B4F-B367-603F7295FCB1}"/>
    <cellStyle name="Comma 2 3 2" xfId="190" xr:uid="{BAC499F7-D4BE-4F76-A7C8-F2AEE7F26A63}"/>
    <cellStyle name="Comma 2 3 3" xfId="191" xr:uid="{A2F1425B-B189-4317-8D55-7B28D5E8970C}"/>
    <cellStyle name="Comma 2 4" xfId="108" xr:uid="{65849EDA-DE86-46B1-8239-C97026ED8571}"/>
    <cellStyle name="Comma 2 4 2" xfId="192" xr:uid="{233FFE3A-28EF-4B50-807C-6E563953F6CA}"/>
    <cellStyle name="Comma 2 4 2 2" xfId="422" xr:uid="{3EC31F05-6BA2-4D96-8480-3403613832AD}"/>
    <cellStyle name="Comma 2 4 3" xfId="423" xr:uid="{5260E575-357E-40EA-BED4-B860A70D4E90}"/>
    <cellStyle name="Comma 2 5" xfId="193" xr:uid="{FCE989BF-C940-4FF9-9543-4991372C0E8A}"/>
    <cellStyle name="Comma 2 5 2" xfId="424" xr:uid="{ABA248A4-C7A2-404A-9F51-BF79C1393A17}"/>
    <cellStyle name="Comma 2 6" xfId="194" xr:uid="{43D62F5C-60E0-4212-AEB3-0CDA6C78381C}"/>
    <cellStyle name="Comma 2 6 2" xfId="425" xr:uid="{AE2083FD-FF50-4EE0-BE12-F5B0C15E3004}"/>
    <cellStyle name="Comma 2 7" xfId="426" xr:uid="{4C794545-AA32-4AC7-9E19-D545F8C911D5}"/>
    <cellStyle name="Comma 2 8" xfId="547" xr:uid="{8F63C580-6F42-45FE-B4FD-6E263AE9B84A}"/>
    <cellStyle name="Comma 2 9" xfId="72" xr:uid="{35CD7E14-F82A-4BA3-BDF9-FA9509BFC595}"/>
    <cellStyle name="Comma 20" xfId="195" xr:uid="{8BB146CC-8FE6-4287-82E0-9609C1710C67}"/>
    <cellStyle name="Comma 20 2" xfId="427" xr:uid="{77587E62-F3B2-4F18-A07B-6581A0F57B4F}"/>
    <cellStyle name="Comma 21" xfId="196" xr:uid="{78BFDC2C-0F00-4A6E-BBE0-638656E17E25}"/>
    <cellStyle name="Comma 21 2" xfId="428" xr:uid="{778D4749-218D-4537-8ABD-E8B3AC93C791}"/>
    <cellStyle name="Comma 22" xfId="197" xr:uid="{9E1E279B-4876-409A-BE66-CAB1F730D39F}"/>
    <cellStyle name="Comma 22 2" xfId="429" xr:uid="{D48F9856-771F-4563-9596-598ECF79EE67}"/>
    <cellStyle name="Comma 23" xfId="198" xr:uid="{5DF26924-BC4E-4A40-85A9-B0E531CBB6E5}"/>
    <cellStyle name="Comma 23 2" xfId="430" xr:uid="{EDE155F8-CC1C-4822-A313-6CA46D3860B5}"/>
    <cellStyle name="Comma 24" xfId="199" xr:uid="{67C865CE-6D94-409E-BB89-52E77B9A06F1}"/>
    <cellStyle name="Comma 24 2" xfId="431" xr:uid="{652B6D23-2699-4D8A-8205-C58FDD3A35BC}"/>
    <cellStyle name="Comma 25" xfId="200" xr:uid="{BC755FEF-C0C0-41F5-B940-2552B64E8B51}"/>
    <cellStyle name="Comma 25 2" xfId="432" xr:uid="{5BA0AA82-FE08-4DC4-B0A5-C59EF71E5338}"/>
    <cellStyle name="Comma 26" xfId="201" xr:uid="{35562EE5-226B-44A0-9A5D-D0F0E096F42B}"/>
    <cellStyle name="Comma 26 2" xfId="433" xr:uid="{5939536D-59B3-4A19-A9FF-A5E3DEA31017}"/>
    <cellStyle name="Comma 27" xfId="202" xr:uid="{FDA905E9-154D-41DA-BF41-2446F7091B44}"/>
    <cellStyle name="Comma 27 2" xfId="434" xr:uid="{EE060BE1-8DC8-4894-B824-007C4DC2B527}"/>
    <cellStyle name="Comma 28" xfId="203" xr:uid="{A2191E51-0C50-4E59-8918-433B8426E942}"/>
    <cellStyle name="Comma 28 2" xfId="435" xr:uid="{A7A33E51-9E41-4EE2-9C59-0726E548A9E4}"/>
    <cellStyle name="Comma 29" xfId="204" xr:uid="{5FE7C3B1-3C53-4AEA-B2AD-0A57B8EA8616}"/>
    <cellStyle name="Comma 29 2" xfId="436" xr:uid="{5F72A41B-5691-4868-A77E-F759F79F430E}"/>
    <cellStyle name="Comma 3" xfId="68" xr:uid="{B8FC99DA-6288-4536-9821-CE97FC2EEBC1}"/>
    <cellStyle name="Comma 3 2" xfId="70" xr:uid="{35831B8D-FFBF-43A2-A6CB-5DAC7338D673}"/>
    <cellStyle name="Comma 3 2 2" xfId="206" xr:uid="{DEA04173-B19B-4736-9A8A-54F926A9421D}"/>
    <cellStyle name="Comma 3 2 2 2" xfId="437" xr:uid="{627007BC-D439-4461-9560-089EB6AE295B}"/>
    <cellStyle name="Comma 3 2 3" xfId="207" xr:uid="{9A7EDA46-A612-4B12-8523-BD1462F83F81}"/>
    <cellStyle name="Comma 3 2 3 2" xfId="438" xr:uid="{230FBCD0-8D16-4271-A5AA-53D26AB440C6}"/>
    <cellStyle name="Comma 3 2 4" xfId="439" xr:uid="{6B2AF1C1-33E4-4DEE-B0CB-DDC9410542DA}"/>
    <cellStyle name="Comma 3 2 5" xfId="205" xr:uid="{EB282CE7-2549-4187-A81C-FECDC0BBAFB8}"/>
    <cellStyle name="Comma 3 3" xfId="208" xr:uid="{B4CD8A25-C9F3-4D63-89F8-C3E70CA56233}"/>
    <cellStyle name="Comma 3 3 2" xfId="440" xr:uid="{2A2A69CB-F371-41F4-8206-9EBFDA38F76B}"/>
    <cellStyle name="Comma 3 4" xfId="209" xr:uid="{997A9A7F-9B5D-4BAE-BDB6-6F2C1BC65708}"/>
    <cellStyle name="Comma 3 5" xfId="210" xr:uid="{B8E56A2A-90A5-401E-B9B4-853695D6135D}"/>
    <cellStyle name="Comma 3 6" xfId="73" xr:uid="{4BD7AC90-2B89-4741-B043-E000A1F2F545}"/>
    <cellStyle name="Comma 3 7" xfId="570" xr:uid="{CD4B0D13-9546-4E6B-B146-29D56AC49E6A}"/>
    <cellStyle name="Comma 30" xfId="211" xr:uid="{E28AA964-7DE5-4620-9CA3-06E9690D0415}"/>
    <cellStyle name="Comma 30 2" xfId="441" xr:uid="{C3307B98-F6E3-4EC8-AB6A-3D857BB323B1}"/>
    <cellStyle name="Comma 31" xfId="212" xr:uid="{0D0ACFF3-1F7C-4322-A026-F5B71A3B594D}"/>
    <cellStyle name="Comma 31 2" xfId="442" xr:uid="{C75AD4AB-097D-4366-B8CC-88AA71119F41}"/>
    <cellStyle name="Comma 32" xfId="213" xr:uid="{7A8FD752-D280-4CA8-A354-C69B933CB9D2}"/>
    <cellStyle name="Comma 32 2" xfId="443" xr:uid="{F0EAC2CA-8C55-4F81-9220-30B27FAB4138}"/>
    <cellStyle name="Comma 33" xfId="214" xr:uid="{DF5DD5A8-A280-44DF-AE06-4EC2AEC2BCFB}"/>
    <cellStyle name="Comma 34" xfId="444" xr:uid="{E3068A1C-B85A-4404-9E49-A70D6E68E5F2}"/>
    <cellStyle name="Comma 35" xfId="445" xr:uid="{8A0B17E1-B887-448A-8559-1C48090F9E75}"/>
    <cellStyle name="Comma 35 2" xfId="549" xr:uid="{4353E766-57CF-4630-AC4A-CAC47D7C0A2F}"/>
    <cellStyle name="Comma 36" xfId="550" xr:uid="{342C79D4-E733-4BF6-9E47-E9796955646C}"/>
    <cellStyle name="Comma 37" xfId="551" xr:uid="{4BA4BDF7-DD14-449A-A824-FEE2AC02EE60}"/>
    <cellStyle name="Comma 38" xfId="552" xr:uid="{1B33742F-F622-4059-8E1B-CE53B58E700D}"/>
    <cellStyle name="Comma 39" xfId="553" xr:uid="{46B39BF0-434E-4883-9A02-C91B7BCCE22E}"/>
    <cellStyle name="Comma 4" xfId="69" xr:uid="{566B4FA9-939F-426B-9561-FBA2546B9850}"/>
    <cellStyle name="Comma 4 2" xfId="215" xr:uid="{1D0A55BA-0F6B-4A89-A6A3-3DB5B55813EE}"/>
    <cellStyle name="Comma 4 2 2" xfId="216" xr:uid="{9DC2D2F0-B9E0-41E5-B9FA-A1BC4C858F80}"/>
    <cellStyle name="Comma 4 2 3" xfId="446" xr:uid="{3866D601-3394-4C17-88EC-1F7369C5C73F}"/>
    <cellStyle name="Comma 4 3" xfId="217" xr:uid="{1384FCC8-426B-475F-8C38-D1FE4B33A464}"/>
    <cellStyle name="Comma 4 3 2" xfId="447" xr:uid="{5652BCCB-F540-4C2A-BD11-0885AD2C0B45}"/>
    <cellStyle name="Comma 4 4" xfId="218" xr:uid="{BD73CE0A-E810-4AF7-8443-EFE2F75791AD}"/>
    <cellStyle name="Comma 4 4 2" xfId="448" xr:uid="{7D4B781A-E90C-467D-A1F2-F2AEB731EA8D}"/>
    <cellStyle name="Comma 4 5" xfId="219" xr:uid="{AEF93939-7726-4D5F-928C-95455F94909F}"/>
    <cellStyle name="Comma 4 6" xfId="449" xr:uid="{04E0F7B9-8F97-4C83-A9A0-D7D49D714278}"/>
    <cellStyle name="Comma 4 7" xfId="109" xr:uid="{3DA73857-AA74-44E6-AC65-49A85D27CE98}"/>
    <cellStyle name="Comma 4 8" xfId="74" xr:uid="{49F36199-D707-4185-BB34-9F7E7CF364A2}"/>
    <cellStyle name="Comma 4 9" xfId="577" xr:uid="{686C101F-BDDD-4F9F-914E-25C547F5A4AD}"/>
    <cellStyle name="Comma 40" xfId="554" xr:uid="{CECFCBCE-8F08-4DDF-856C-F9C32A2C80CA}"/>
    <cellStyle name="Comma 41" xfId="555" xr:uid="{7CC8C8DC-CF55-4CCF-8B05-F0943880FF62}"/>
    <cellStyle name="Comma 42" xfId="557" xr:uid="{42BEA580-AA66-4368-AADA-76E295150992}"/>
    <cellStyle name="Comma 43" xfId="559" xr:uid="{3D870A46-CFEB-440F-9BAF-6A158F5F748C}"/>
    <cellStyle name="Comma 44" xfId="560" xr:uid="{EC9CE04F-37AA-4DA7-9ACB-523694909CFE}"/>
    <cellStyle name="Comma 45" xfId="562" xr:uid="{9C8D5D44-4902-423B-B2C8-950F932DB5B1}"/>
    <cellStyle name="Comma 46" xfId="567" xr:uid="{86DCF827-0D33-4CD8-85BD-1139107146E7}"/>
    <cellStyle name="Comma 47" xfId="566" xr:uid="{2CFB4A36-0D68-4219-86B5-FF960F6C2107}"/>
    <cellStyle name="Comma 49" xfId="583" xr:uid="{6F87EB56-64C5-4FA0-8D6D-C080CD64064E}"/>
    <cellStyle name="Comma 5" xfId="65" xr:uid="{73EB51CD-0652-4D28-BC14-04D3A31F71F8}"/>
    <cellStyle name="Comma 5 2" xfId="104" xr:uid="{DBF21138-146E-4270-AECA-4166D815CEFB}"/>
    <cellStyle name="Comma 5 3" xfId="450" xr:uid="{BF84A54F-3412-46F1-BEF0-250C24662D0D}"/>
    <cellStyle name="Comma 5 4" xfId="220" xr:uid="{0C798ED3-06DE-4DAB-AD57-B3213612DB47}"/>
    <cellStyle name="Comma 5 5" xfId="101" xr:uid="{F0421B7E-5573-4B75-92E3-604ED856F90F}"/>
    <cellStyle name="Comma 51" xfId="585" xr:uid="{2B44CF59-3A6F-4C34-9F67-2EB6437D1C86}"/>
    <cellStyle name="Comma 52" xfId="586" xr:uid="{9FC09DF2-6DDD-4E5A-93C4-12785D519A8D}"/>
    <cellStyle name="Comma 6" xfId="221" xr:uid="{C7BE25A7-7CB3-4838-AF30-05574501B7CD}"/>
    <cellStyle name="Comma 7" xfId="222" xr:uid="{98A26A59-E641-4921-8B5F-971115F89DDE}"/>
    <cellStyle name="Comma 7 2" xfId="451" xr:uid="{15A6EE8F-9259-4E07-BDA1-17FAEA84CD42}"/>
    <cellStyle name="Comma 8" xfId="223" xr:uid="{879E2FDA-518C-43AB-BE71-8B7685435113}"/>
    <cellStyle name="Comma 8 2" xfId="452" xr:uid="{5D64B487-C879-4C17-A4B2-DDB00D56A331}"/>
    <cellStyle name="Comma 9" xfId="224" xr:uid="{1E950E8C-69F2-48C4-93B0-A25E63B034EC}"/>
    <cellStyle name="Comma 9 2" xfId="453" xr:uid="{1F819116-B3AA-438F-A9B2-E81681C1F322}"/>
    <cellStyle name="Explanatory Text" xfId="18" builtinId="53" customBuiltin="1"/>
    <cellStyle name="Explanatory Text 2" xfId="578" xr:uid="{EE860B1A-758E-4523-81B8-32D0177619B2}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572" xr:uid="{7587D11B-8F03-4CB6-936D-379AB528E6DA}"/>
    <cellStyle name="Hyperlink 2" xfId="225" xr:uid="{E38A7754-4965-4033-82A9-A1365CE20EA8}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10" xfId="55" xr:uid="{F57428D9-9078-4BD9-93A1-603ACE166741}"/>
    <cellStyle name="Normal 10 2" xfId="56" xr:uid="{E32B6577-00ED-4567-92E0-63605920D76B}"/>
    <cellStyle name="Normal 10 3" xfId="111" xr:uid="{496FCBBA-464B-4B04-AC8E-6DC99DD1EEFC}"/>
    <cellStyle name="Normal 10 4" xfId="226" xr:uid="{EACB37FF-F82A-4E78-AF8A-AC27F9E9D083}"/>
    <cellStyle name="Normal 10 5" xfId="227" xr:uid="{C7704432-A224-400A-9B4F-E87043500298}"/>
    <cellStyle name="Normal 10 6" xfId="228" xr:uid="{6C468EDF-79EC-45A0-95E0-A216DA2D7CCC}"/>
    <cellStyle name="Normal 10 7" xfId="110" xr:uid="{A62D5E33-0DB3-42A6-80B7-676F8EF99882}"/>
    <cellStyle name="Normal 11" xfId="71" xr:uid="{41FD4237-2B14-4638-AE21-6D6B424ABCBD}"/>
    <cellStyle name="Normal 11 2" xfId="113" xr:uid="{457B8028-B7BD-4273-A824-49C76B4FE0D5}"/>
    <cellStyle name="Normal 11 3" xfId="229" xr:uid="{96D6B4DD-C7FB-466D-85C4-DC045863F0E4}"/>
    <cellStyle name="Normal 11 3 2" xfId="230" xr:uid="{F3990CEB-2190-48E7-B391-FAF4588752D9}"/>
    <cellStyle name="Normal 11 3 2 2" xfId="454" xr:uid="{4ABD7239-F485-44AB-BB4C-DECB7CF645C6}"/>
    <cellStyle name="Normal 11 3 3" xfId="455" xr:uid="{E06658BD-0EEF-4D61-9888-0CBE3D602EE9}"/>
    <cellStyle name="Normal 11 4" xfId="231" xr:uid="{B3478743-3A18-4DAE-8FD3-5E23D61E1310}"/>
    <cellStyle name="Normal 11 5" xfId="456" xr:uid="{514471E9-996E-4EF7-BAD7-E5ED7F7A1E6A}"/>
    <cellStyle name="Normal 11 6" xfId="112" xr:uid="{CFAB0956-745D-448C-84C3-58262BE980E8}"/>
    <cellStyle name="Normal 12" xfId="76" xr:uid="{0E1FA7DF-D5CD-4A9C-8FB3-62ADB45F699F}"/>
    <cellStyle name="Normal 12 2" xfId="115" xr:uid="{376A2FF2-38B3-4F01-8FEC-9C93FB5EA2BF}"/>
    <cellStyle name="Normal 12 3" xfId="232" xr:uid="{D2EB396C-3F3B-4575-8709-A1FB2C94EF7F}"/>
    <cellStyle name="Normal 12 4" xfId="114" xr:uid="{41DA72B5-CC5A-4E9D-A5D4-FC49C53F5C52}"/>
    <cellStyle name="Normal 13" xfId="102" xr:uid="{956281BF-7232-41B7-AF26-76A95F65CE58}"/>
    <cellStyle name="Normal 13 2" xfId="117" xr:uid="{7BA608A1-19B1-4785-A9F7-492E3F586323}"/>
    <cellStyle name="Normal 13 3" xfId="233" xr:uid="{1F0FF2D1-560D-40A5-BEAF-EC2AEC7DDEB7}"/>
    <cellStyle name="Normal 13 3 2" xfId="234" xr:uid="{C13AC5B3-08DF-4054-BD28-8D73DF59111A}"/>
    <cellStyle name="Normal 13 3 2 2" xfId="457" xr:uid="{15964F59-C976-4B2C-A394-62BFB54831DD}"/>
    <cellStyle name="Normal 13 3 3" xfId="458" xr:uid="{42D93700-1013-4106-9CEE-28022C349D57}"/>
    <cellStyle name="Normal 13 4" xfId="235" xr:uid="{B26E14CB-D22D-4581-8B1F-430DDBF71AB6}"/>
    <cellStyle name="Normal 13 5" xfId="459" xr:uid="{9BCB85B0-A611-4F1C-826C-909FFEB3469E}"/>
    <cellStyle name="Normal 13 6" xfId="116" xr:uid="{72B3B974-A5D5-4D8B-BB11-C97E3D92B084}"/>
    <cellStyle name="Normal 14" xfId="118" xr:uid="{F9F8C04C-C921-4720-AC75-4A5746FF26ED}"/>
    <cellStyle name="Normal 14 2" xfId="236" xr:uid="{3BF7E58B-DF35-494F-85BE-D8105CD38C56}"/>
    <cellStyle name="Normal 14 2 2" xfId="460" xr:uid="{7454CDBC-BAFC-4CF2-9F1E-C133C2254B26}"/>
    <cellStyle name="Normal 14 3" xfId="461" xr:uid="{B008A37A-A5BB-460E-8924-79C571D79EE4}"/>
    <cellStyle name="Normal 15" xfId="119" xr:uid="{192CC2C0-2E4F-4C83-A755-79E5C311FA67}"/>
    <cellStyle name="Normal 15 2" xfId="237" xr:uid="{28B1CA99-7BCA-4AB6-983F-CA267A8D6939}"/>
    <cellStyle name="Normal 15 2 2" xfId="462" xr:uid="{68DEF476-F557-4556-9854-70A8F27E4439}"/>
    <cellStyle name="Normal 15 3" xfId="463" xr:uid="{A658A037-B7BF-4BF9-8928-25BF96CB20D9}"/>
    <cellStyle name="Normal 16" xfId="120" xr:uid="{444DC232-87BD-40C9-A934-56E90DC739FC}"/>
    <cellStyle name="Normal 16 2" xfId="238" xr:uid="{92A50061-F607-4D43-BE39-14C9DF519777}"/>
    <cellStyle name="Normal 16 2 2" xfId="464" xr:uid="{5138E721-F0E6-4347-A87A-189FDAAB4CC4}"/>
    <cellStyle name="Normal 16 3" xfId="465" xr:uid="{8D533AA6-E6BA-4F47-A067-63D23910663C}"/>
    <cellStyle name="Normal 17" xfId="121" xr:uid="{266E6E60-EC7C-487B-AD29-B3410C3C54BE}"/>
    <cellStyle name="Normal 17 2" xfId="239" xr:uid="{85289151-27DA-49FE-BBDD-125B1C214FE6}"/>
    <cellStyle name="Normal 17 2 2" xfId="466" xr:uid="{2BEE96B7-1D5A-4BD2-80CC-DC45EF909D54}"/>
    <cellStyle name="Normal 17 3" xfId="467" xr:uid="{0FCBD104-5EB6-44A3-972F-54D098820E94}"/>
    <cellStyle name="Normal 18" xfId="122" xr:uid="{BA549166-2BBA-492F-8659-07CF576D8111}"/>
    <cellStyle name="Normal 18 2" xfId="240" xr:uid="{83C55469-9896-4F60-8451-6105BDB60AA0}"/>
    <cellStyle name="Normal 18 2 2" xfId="468" xr:uid="{835ACDC1-D38E-4AA6-8D3C-00AEF2287CB8}"/>
    <cellStyle name="Normal 18 3" xfId="469" xr:uid="{0ADC0CE9-396B-4399-A79D-D4D3ED9C171E}"/>
    <cellStyle name="Normal 19" xfId="123" xr:uid="{B5D02E1B-7C54-4772-8F05-357671D8528D}"/>
    <cellStyle name="Normal 19 2" xfId="241" xr:uid="{3D06B158-2A5D-4C4C-8DD3-10850DF7FC19}"/>
    <cellStyle name="Normal 19 2 2" xfId="470" xr:uid="{0B8BBEDA-0C11-488E-9E36-F8F9869872F4}"/>
    <cellStyle name="Normal 19 3" xfId="471" xr:uid="{08D306C9-F929-4AFD-883F-E4EDCAC18367}"/>
    <cellStyle name="Normal 2" xfId="45" xr:uid="{92A3143D-6570-4C65-AA69-646BBF4D7F81}"/>
    <cellStyle name="Normal 2 10" xfId="568" xr:uid="{F3D392E5-6BF5-4761-B4A8-0B7DA1FBD9F8}"/>
    <cellStyle name="Normal 2 11" xfId="574" xr:uid="{56E1625A-A207-443A-86C4-DE19E4559D2D}"/>
    <cellStyle name="Normal 2 2" xfId="47" xr:uid="{4CF42BF8-A0EA-4411-880B-57A03C719E09}"/>
    <cellStyle name="Normal 2 2 2" xfId="242" xr:uid="{F4CCB4B6-BF01-4C9A-BEC2-A9D936754762}"/>
    <cellStyle name="Normal 2 2 2 2" xfId="243" xr:uid="{1AE0F295-115F-42FE-896D-9CF76C69E01F}"/>
    <cellStyle name="Normal 2 2 2 2 2" xfId="244" xr:uid="{D9883728-E90D-4E56-8335-7C69C3F7E2F7}"/>
    <cellStyle name="Normal 2 2 2 2 2 2" xfId="245" xr:uid="{F0A5ED7D-C172-4A5E-8ED1-EF5A3B5EE705}"/>
    <cellStyle name="Normal 2 2 2 2 2 2 2" xfId="472" xr:uid="{2515ADCB-B5CE-4543-8426-F77EFCC0FAC4}"/>
    <cellStyle name="Normal 2 2 2 2 2 3" xfId="473" xr:uid="{8F6AA100-C9D7-4E29-87CD-739037E06894}"/>
    <cellStyle name="Normal 2 2 2 2 3" xfId="474" xr:uid="{B74BBDE7-DAD9-4186-9016-AF8FABF80FA4}"/>
    <cellStyle name="Normal 2 2 2 3" xfId="475" xr:uid="{1C51F496-4A15-4467-8547-96F125083D90}"/>
    <cellStyle name="Normal 2 2 3" xfId="246" xr:uid="{931AA4DC-C87E-4D96-8582-948A48851908}"/>
    <cellStyle name="Normal 2 2 3 2" xfId="247" xr:uid="{4DAE33B3-BB19-4D75-9490-5E138C8D2228}"/>
    <cellStyle name="Normal 2 2 3 2 2" xfId="476" xr:uid="{EB8801AF-F18A-4389-82B6-F56BCB9879EA}"/>
    <cellStyle name="Normal 2 2 3 3" xfId="477" xr:uid="{D5E460E3-CBEB-4A69-B927-33F39D46DB9E}"/>
    <cellStyle name="Normal 2 2 4" xfId="248" xr:uid="{43A81537-E19B-471E-A0BB-F1663800E52B}"/>
    <cellStyle name="Normal 2 2 5" xfId="249" xr:uid="{A09A0389-0462-45C4-96A9-F7E0D7063E94}"/>
    <cellStyle name="Normal 2 2 6" xfId="250" xr:uid="{C66929A5-B5EE-4274-AFA2-DD195F4EABFA}"/>
    <cellStyle name="Normal 2 2 7" xfId="575" xr:uid="{8236E1E3-FD1C-4BB0-8C5F-CD897CF11100}"/>
    <cellStyle name="Normal 2 3" xfId="46" xr:uid="{3CE85152-17B9-4470-8E7A-9350BC8AEC0E}"/>
    <cellStyle name="Normal 2 3 2" xfId="126" xr:uid="{CA20E9EB-91FB-42D9-A695-90B0D2CB7A26}"/>
    <cellStyle name="Normal 2 3 2 2" xfId="251" xr:uid="{AF15720A-18B0-4D3F-A23C-A66675CAA2C6}"/>
    <cellStyle name="Normal 2 3 2 3" xfId="252" xr:uid="{79B53CB9-0876-42D4-BE46-439A8EC8F689}"/>
    <cellStyle name="Normal 2 3 2 3 2" xfId="478" xr:uid="{78C8EB23-F57C-49F9-8607-32C3E43F5572}"/>
    <cellStyle name="Normal 2 3 2 4" xfId="253" xr:uid="{1CD47826-D907-4298-93CA-E53C38AA24DE}"/>
    <cellStyle name="Normal 2 3 3" xfId="254" xr:uid="{5FE8AC0D-733B-4E44-BDED-F7DF2FF362C7}"/>
    <cellStyle name="Normal 2 3 4" xfId="479" xr:uid="{3AB10F3B-E451-4E6F-B8D9-FFAE880A40C9}"/>
    <cellStyle name="Normal 2 3 5" xfId="125" xr:uid="{F7BEE941-2EE1-4A6A-B793-FF9DDD3F6F11}"/>
    <cellStyle name="Normal 2 4" xfId="98" xr:uid="{F8B34800-A41B-4E79-A710-FC0DEBE79C21}"/>
    <cellStyle name="Normal 2 4 2" xfId="255" xr:uid="{684166C7-C22B-45DE-ABAE-A5CE50D1F9BF}"/>
    <cellStyle name="Normal 2 4 3" xfId="256" xr:uid="{FE2AAE9B-05C5-485A-B057-749AD9379D50}"/>
    <cellStyle name="Normal 2 4 4" xfId="127" xr:uid="{141D154A-B5B3-4C7E-A65E-0BCFC17DDBB3}"/>
    <cellStyle name="Normal 2 5" xfId="99" xr:uid="{30CF15E8-E0E3-4208-9628-CA581820FF01}"/>
    <cellStyle name="Normal 2 5 2" xfId="257" xr:uid="{2D6485A2-C0BB-45B8-9242-9D1E9E6DE3F8}"/>
    <cellStyle name="Normal 2 5 2 2" xfId="258" xr:uid="{3275051A-FC67-40FE-9FF1-C7F3B9BDF719}"/>
    <cellStyle name="Normal 2 5 2 2 2" xfId="480" xr:uid="{76FB81EA-83E2-4AAD-A029-4C56C587EEB4}"/>
    <cellStyle name="Normal 2 5 3" xfId="103" xr:uid="{09BEEE46-4482-49D7-ABF2-DB8FB1B6788E}"/>
    <cellStyle name="Normal 2 5 3 2" xfId="259" xr:uid="{314CEE0B-4FB7-4157-A24F-B45707FCBCA5}"/>
    <cellStyle name="Normal 2 5 4" xfId="260" xr:uid="{4DEB35EC-30C3-4496-AD0B-7F0D2924C287}"/>
    <cellStyle name="Normal 2 5 4 2" xfId="481" xr:uid="{052ED0CF-69EA-40DC-8A3E-C17FBF1E02DB}"/>
    <cellStyle name="Normal 2 5 5" xfId="261" xr:uid="{87BEC14C-9622-405B-AC63-E5943051B965}"/>
    <cellStyle name="Normal 2 5 6" xfId="128" xr:uid="{D2AF6D74-3FB5-4310-9F22-FE2F49035E1B}"/>
    <cellStyle name="Normal 2 6" xfId="262" xr:uid="{0FC5B7F4-3089-4455-BABE-4F7F4658E6C7}"/>
    <cellStyle name="Normal 2 6 2" xfId="263" xr:uid="{F506CF36-C15E-41AB-B55D-E65B5375C2E6}"/>
    <cellStyle name="Normal 2 6 2 2" xfId="482" xr:uid="{414E6013-3F98-4197-A38D-1FB6FC4456FB}"/>
    <cellStyle name="Normal 2 6 3" xfId="483" xr:uid="{C7354F31-C27F-4F2E-9D97-17BE0CE08961}"/>
    <cellStyle name="Normal 2 7" xfId="264" xr:uid="{D708A416-9550-4F1D-AD03-6A115B6F55B1}"/>
    <cellStyle name="Normal 2 8" xfId="484" xr:uid="{FB3154A2-A104-4481-AF79-B9E313423CE2}"/>
    <cellStyle name="Normal 2 9" xfId="124" xr:uid="{0F68B383-17EB-4638-A0DF-4777AA05A570}"/>
    <cellStyle name="Normal 20" xfId="129" xr:uid="{69A066B7-FB82-4B27-B883-EC26325A4152}"/>
    <cellStyle name="Normal 20 2" xfId="265" xr:uid="{1E5481E3-0B20-4487-A4ED-A0AEB956FEC0}"/>
    <cellStyle name="Normal 20 2 2" xfId="485" xr:uid="{6F627960-8922-4E1C-A288-6D40A5BC0C66}"/>
    <cellStyle name="Normal 20 3" xfId="486" xr:uid="{D563ACB6-4C78-4B70-A58B-D3A3C866BE69}"/>
    <cellStyle name="Normal 21" xfId="130" xr:uid="{37F31DF3-0730-41C0-BE3D-22CF3CE5F7B6}"/>
    <cellStyle name="Normal 21 2" xfId="266" xr:uid="{5B48FC93-4421-43B5-A574-AB913BD4C1B4}"/>
    <cellStyle name="Normal 21 2 2" xfId="487" xr:uid="{EA7F28EC-4F1A-4BBD-AB7A-173A29CAB90F}"/>
    <cellStyle name="Normal 21 3" xfId="488" xr:uid="{1451EC55-DA4B-42E3-A4FC-44E203AE9F98}"/>
    <cellStyle name="Normal 22" xfId="131" xr:uid="{82019C0B-0DAE-4D04-A46D-535E01F4EC57}"/>
    <cellStyle name="Normal 22 2" xfId="267" xr:uid="{AA256060-394F-40D3-AE6C-29BF85F9F397}"/>
    <cellStyle name="Normal 22 2 2" xfId="489" xr:uid="{A4973D21-367F-4F22-BA52-316DABFEE0E3}"/>
    <cellStyle name="Normal 22 3" xfId="490" xr:uid="{04799E19-ECC5-49EE-AA00-C47E97461FC7}"/>
    <cellStyle name="Normal 23" xfId="132" xr:uid="{E71FF419-789C-4BB8-A26D-829F1ED6E83F}"/>
    <cellStyle name="Normal 23 2" xfId="268" xr:uid="{F772975F-5128-4749-A3E0-547EBC887033}"/>
    <cellStyle name="Normal 23 2 2" xfId="491" xr:uid="{E29B132C-55D0-47DF-90DF-D027A8BD4EAE}"/>
    <cellStyle name="Normal 23 3" xfId="492" xr:uid="{802F4A75-44E6-4D67-8C11-9DD6644BEC22}"/>
    <cellStyle name="Normal 24" xfId="133" xr:uid="{5D8F19B8-3F50-4122-9EF5-CFB52D47CD7A}"/>
    <cellStyle name="Normal 24 2" xfId="134" xr:uid="{469F20B6-236F-4C14-8DA4-F82931599616}"/>
    <cellStyle name="Normal 25" xfId="135" xr:uid="{85A40D92-1374-4E38-8EAA-DC6C0EBF1322}"/>
    <cellStyle name="Normal 26" xfId="136" xr:uid="{A64FE38B-66E3-45C7-BD0B-DBAD1BB67F2C}"/>
    <cellStyle name="Normal 27" xfId="137" xr:uid="{76432F93-3096-459F-ABAE-D70950A19A98}"/>
    <cellStyle name="Normal 28" xfId="269" xr:uid="{781FFC2C-A726-46DE-987E-DE6608EA4C49}"/>
    <cellStyle name="Normal 28 2" xfId="270" xr:uid="{CA0CF7C2-0E49-46D7-BBFD-E2C9E6BD94C7}"/>
    <cellStyle name="Normal 28 3" xfId="493" xr:uid="{15C1561B-CE8E-47A0-A730-225C32B72A85}"/>
    <cellStyle name="Normal 29" xfId="271" xr:uid="{3D0A12E2-CC17-416D-8088-E5B0522E1695}"/>
    <cellStyle name="Normal 29 2" xfId="494" xr:uid="{39F58807-356C-4350-B456-0E78A1527D4A}"/>
    <cellStyle name="Normal 3" xfId="48" xr:uid="{5512AF7C-3A90-4C6D-8A26-F22EB9A48A16}"/>
    <cellStyle name="Normal 3 10" xfId="569" xr:uid="{4E4A0364-2371-459A-93E7-14D708692D3F}"/>
    <cellStyle name="Normal 3 2" xfId="44" xr:uid="{C68B9BA5-B5E7-49A7-9FE7-AD9952F3A2D0}"/>
    <cellStyle name="Normal 3 2 2" xfId="64" xr:uid="{1305C0EA-76D9-44D4-BD70-D24B64349EB5}"/>
    <cellStyle name="Normal 3 2 2 2" xfId="272" xr:uid="{EAA13859-A44D-4CD3-BC8E-4D208C1A86D1}"/>
    <cellStyle name="Normal 3 2 2 2 2" xfId="273" xr:uid="{54012305-03E8-4411-8A84-8326A606B2D2}"/>
    <cellStyle name="Normal 3 2 2 2 2 2" xfId="495" xr:uid="{96EF1818-27D5-4D21-A3B5-0541EEE311B4}"/>
    <cellStyle name="Normal 3 2 2 2 3" xfId="274" xr:uid="{3927F80F-9AC9-4150-B7B5-54E1E3EF2748}"/>
    <cellStyle name="Normal 3 2 2 2 3 2" xfId="275" xr:uid="{AD0B3D80-F0A5-4592-BC1C-67381E75BB63}"/>
    <cellStyle name="Normal 3 2 2 2 3 2 2" xfId="276" xr:uid="{A0DCC039-67D2-413E-B804-28D593292A50}"/>
    <cellStyle name="Normal 3 2 2 2 3 2 2 2" xfId="496" xr:uid="{08964607-3BF9-4C5B-9F30-07D0F6CAA486}"/>
    <cellStyle name="Normal 3 2 2 2 3 2 3" xfId="497" xr:uid="{AEB09C37-31F2-4060-8D4D-D74A3BDACDBC}"/>
    <cellStyle name="Normal 3 2 2 2 3 3" xfId="498" xr:uid="{35F7E80F-C2E6-4651-82F0-D90BBE35CDEE}"/>
    <cellStyle name="Normal 3 2 2 2 4" xfId="499" xr:uid="{21FB1629-D71A-4DE3-96C4-0CE0365FE2A7}"/>
    <cellStyle name="Normal 3 2 2 3" xfId="277" xr:uid="{77C3124A-DC92-4B5D-AE4D-81A1A542439C}"/>
    <cellStyle name="Normal 3 2 2 4" xfId="278" xr:uid="{A20CBD6D-9253-4A94-9185-B5F0F00BC45E}"/>
    <cellStyle name="Normal 3 2 3" xfId="279" xr:uid="{2C9EE47D-7494-4C79-963C-C6CA0AED27B7}"/>
    <cellStyle name="Normal 3 2 3 2" xfId="500" xr:uid="{23308F60-249D-44AD-8A7E-EB8FF1BE5CBD}"/>
    <cellStyle name="Normal 3 2 4" xfId="280" xr:uid="{CFB6F08A-6B0D-44EA-98FF-C5B19EB08AFD}"/>
    <cellStyle name="Normal 3 2 5" xfId="281" xr:uid="{72148F3F-883C-4A6F-A5EB-79987B4ECFB0}"/>
    <cellStyle name="Normal 3 2 6" xfId="576" xr:uid="{FF396C32-6021-4518-A054-E01920ADEB91}"/>
    <cellStyle name="Normal 3 3" xfId="67" xr:uid="{815490A4-57E5-4C94-AF71-88F4ACEA3EBF}"/>
    <cellStyle name="Normal 3 3 2" xfId="282" xr:uid="{AAD71D2B-B680-4377-8762-765675B12ECE}"/>
    <cellStyle name="Normal 3 3 2 2" xfId="501" xr:uid="{9721782A-7256-4849-817C-3AD3475B89D5}"/>
    <cellStyle name="Normal 3 3 3" xfId="283" xr:uid="{5CD7ACC2-651E-4A42-A8CE-EB65B01C39BA}"/>
    <cellStyle name="Normal 3 3 4" xfId="284" xr:uid="{D469126A-9CA3-4C99-B77A-E525BB8A6B0D}"/>
    <cellStyle name="Normal 3 4" xfId="63" xr:uid="{A64982B8-C487-4FB2-B0F6-EFA1EDE2F5FF}"/>
    <cellStyle name="Normal 3 4 2" xfId="285" xr:uid="{04C22BBF-1D18-4297-A5E3-9EB7DF6FB95F}"/>
    <cellStyle name="Normal 3 4 3" xfId="286" xr:uid="{F84203BB-2429-4585-BAD1-A0A4853EFB62}"/>
    <cellStyle name="Normal 3 5" xfId="77" xr:uid="{58FB1A01-82F5-430C-AF6A-17E1A8D9D57C}"/>
    <cellStyle name="Normal 3 5 2" xfId="287" xr:uid="{ED85A64A-DD87-4932-88B6-05E165EE31CF}"/>
    <cellStyle name="Normal 3 5 2 2" xfId="288" xr:uid="{8BEA27EB-4D9B-4DE9-9F3F-15F9524445AF}"/>
    <cellStyle name="Normal 3 5 2 2 2" xfId="502" xr:uid="{9330A10E-26C6-4F44-9148-BC33230E05CD}"/>
    <cellStyle name="Normal 3 5 3" xfId="289" xr:uid="{3D4C8B0E-4027-4118-A2F4-D54368DFE72C}"/>
    <cellStyle name="Normal 3 5 4" xfId="139" xr:uid="{85077933-CF93-42BF-90A3-043DA17DCBB3}"/>
    <cellStyle name="Normal 3 6" xfId="290" xr:uid="{414EECD4-CA14-4768-813F-921C3637293C}"/>
    <cellStyle name="Normal 3 6 2" xfId="291" xr:uid="{A8BCA968-9362-4777-95E6-7B5856B2587D}"/>
    <cellStyle name="Normal 3 6 2 2" xfId="503" xr:uid="{1DB772D3-C3BA-4DCC-8DF8-857B6039174E}"/>
    <cellStyle name="Normal 3 6 3" xfId="292" xr:uid="{246A6AFB-97E4-4B5E-A635-844415667BE1}"/>
    <cellStyle name="Normal 3 6 4" xfId="504" xr:uid="{219AF69C-2F8F-4E0A-B4B1-BA0982AEEADE}"/>
    <cellStyle name="Normal 3 7" xfId="293" xr:uid="{993FDEE2-353A-422D-88C0-BED85677ED37}"/>
    <cellStyle name="Normal 3 8" xfId="294" xr:uid="{23810A83-C380-4B98-90EE-BB626390D331}"/>
    <cellStyle name="Normal 3 9" xfId="138" xr:uid="{D0348B66-7630-436C-AFC4-3D5163A23A95}"/>
    <cellStyle name="Normal 30" xfId="100" xr:uid="{754C39CF-DD5A-439F-8AAE-FCCF96F398FF}"/>
    <cellStyle name="Normal 30 2" xfId="295" xr:uid="{3A1DA41B-6F8B-44A8-9E0A-9D5770CFB499}"/>
    <cellStyle name="Normal 31" xfId="296" xr:uid="{33692ADD-D252-49C5-91A1-20B9F897587C}"/>
    <cellStyle name="Normal 31 2" xfId="505" xr:uid="{EAB1D754-BAF1-40C5-A99B-110865E26986}"/>
    <cellStyle name="Normal 32" xfId="297" xr:uid="{C57FCDCC-EACB-4443-B739-CDED43FC3D15}"/>
    <cellStyle name="Normal 32 2" xfId="506" xr:uid="{88817BE6-F8D2-41A0-A80A-69BA3BDF31BA}"/>
    <cellStyle name="Normal 33" xfId="298" xr:uid="{584C2471-DCAA-4682-B8B5-4208A317F46E}"/>
    <cellStyle name="Normal 33 2" xfId="507" xr:uid="{5BB91D81-F488-4ABE-95C4-C49AE8BA8B5A}"/>
    <cellStyle name="Normal 34" xfId="299" xr:uid="{3C423E3A-C271-491B-929F-E9434F75887C}"/>
    <cellStyle name="Normal 34 2" xfId="508" xr:uid="{42721117-4032-4A9D-99A6-ED2789FEDAD9}"/>
    <cellStyle name="Normal 35" xfId="300" xr:uid="{6E8F7230-5403-4EDD-9936-4194681F1D08}"/>
    <cellStyle name="Normal 35 2" xfId="509" xr:uid="{ABBA76CC-D6A7-46E3-9236-BDFF311423F4}"/>
    <cellStyle name="Normal 36" xfId="151" xr:uid="{D689F598-C976-4FD1-BBD8-F528545352F0}"/>
    <cellStyle name="Normal 36 2" xfId="510" xr:uid="{C85EB53C-B6E7-4DB5-9579-F93EB20F7D90}"/>
    <cellStyle name="Normal 37" xfId="301" xr:uid="{D6A8E16C-64B8-4E53-9CD8-3177A298329B}"/>
    <cellStyle name="Normal 38" xfId="556" xr:uid="{37D654E4-B3B3-4D63-97CB-AA28C635AFE3}"/>
    <cellStyle name="Normal 39" xfId="558" xr:uid="{DB7A2AFD-CC3E-4308-B280-34110375D2DE}"/>
    <cellStyle name="Normal 4" xfId="49" xr:uid="{B06E43A6-86D5-48D4-AF7F-021CCCEB07C9}"/>
    <cellStyle name="Normal 4 2" xfId="57" xr:uid="{3CEC4C50-FB31-4A39-ADD0-C575333F00C9}"/>
    <cellStyle name="Normal 4 2 2" xfId="302" xr:uid="{468805EE-D679-413B-99EC-DE8BBC906226}"/>
    <cellStyle name="Normal 4 2 3" xfId="303" xr:uid="{646E0646-4813-4CC6-A753-B5123A31A7C1}"/>
    <cellStyle name="Normal 4 3" xfId="304" xr:uid="{030A9278-1C3A-417A-9858-968382CC85DD}"/>
    <cellStyle name="Normal 4 3 2" xfId="305" xr:uid="{8B2DC0F3-88D1-4069-AFDF-62E6FB44DF65}"/>
    <cellStyle name="Normal 4 3 2 2" xfId="511" xr:uid="{9C56A8BA-DAF0-43D8-8781-5D2B55F32EA7}"/>
    <cellStyle name="Normal 4 3 3" xfId="306" xr:uid="{BE966674-A582-4106-8B00-8F71243F0F05}"/>
    <cellStyle name="Normal 4 3 3 2" xfId="512" xr:uid="{E69B04E3-692F-48C4-8837-6D4FE1B2BBA2}"/>
    <cellStyle name="Normal 4 3 4" xfId="513" xr:uid="{F9B0B241-C640-44FF-9F2E-D4379AFBFFC4}"/>
    <cellStyle name="Normal 4 4" xfId="307" xr:uid="{302866D9-A685-4B80-B26D-61CEE5E9487E}"/>
    <cellStyle name="Normal 4 4 2" xfId="514" xr:uid="{575DD251-8DC0-43C6-8429-014025ADD0B6}"/>
    <cellStyle name="Normal 4 5" xfId="308" xr:uid="{3B868F05-1705-4D8C-B542-72BC0FDFFE74}"/>
    <cellStyle name="Normal 4 6" xfId="309" xr:uid="{EC707B84-69FF-47CC-84C4-D71E094B12D9}"/>
    <cellStyle name="Normal 4 7" xfId="515" xr:uid="{7F915B6E-5C6B-4B9D-8DA4-6A918994C359}"/>
    <cellStyle name="Normal 4 8" xfId="140" xr:uid="{0F2D08DE-6E93-4A33-9D6E-BE290D6042C2}"/>
    <cellStyle name="Normal 4 9" xfId="579" xr:uid="{B6401C30-FC3D-49FB-BC6E-2EA74F03A4D7}"/>
    <cellStyle name="Normal 40" xfId="561" xr:uid="{C1C6AFFC-9640-47B5-A3C4-220A59AC902F}"/>
    <cellStyle name="Normal 41" xfId="584" xr:uid="{4C5C5350-5E22-44AD-BA0E-B715A246DE0F}"/>
    <cellStyle name="Normal 42" xfId="587" xr:uid="{43975F81-AFD5-41F8-836A-E80DD440A3C5}"/>
    <cellStyle name="Normal 5" xfId="50" xr:uid="{D1D1AF54-B109-494A-B830-A3B14B35FF85}"/>
    <cellStyle name="Normal 5 2" xfId="58" xr:uid="{2FA0EDB0-E26B-4799-856B-B1BA036B1F70}"/>
    <cellStyle name="Normal 5 3" xfId="310" xr:uid="{AC60DC95-9766-4C9E-B440-8AE167D9A086}"/>
    <cellStyle name="Normal 5 3 2" xfId="311" xr:uid="{C427CAF6-B251-498D-8548-6A608106BC8A}"/>
    <cellStyle name="Normal 5 3 2 2" xfId="516" xr:uid="{990D1AF3-857F-4A2F-8CAE-A4D7AB39A007}"/>
    <cellStyle name="Normal 5 3 3" xfId="517" xr:uid="{A0BC6B31-F522-4D68-A999-41AC9896BB57}"/>
    <cellStyle name="Normal 5 4" xfId="518" xr:uid="{5383E7A6-EEE5-4C5B-B8AB-EB099A93C051}"/>
    <cellStyle name="Normal 5 5" xfId="141" xr:uid="{84875FB6-13AC-40C6-BEBA-55568B4CB5AE}"/>
    <cellStyle name="Normal 5 6" xfId="580" xr:uid="{A62A14D8-4856-4282-8745-F1B5714C09F8}"/>
    <cellStyle name="Normal 6" xfId="51" xr:uid="{A303431A-E4FD-4FE6-8F2B-F29AB5529523}"/>
    <cellStyle name="Normal 6 2" xfId="59" xr:uid="{BA971687-335E-45DB-B3FD-96BB7FF38901}"/>
    <cellStyle name="Normal 6 2 2" xfId="143" xr:uid="{CA976055-0D89-47C5-BA96-8079AB0D9168}"/>
    <cellStyle name="Normal 6 3" xfId="144" xr:uid="{2EE615B4-4719-43B1-A2B5-ACA558C1E109}"/>
    <cellStyle name="Normal 6 4" xfId="312" xr:uid="{54E07086-0339-4D3E-B3A7-0814BB6D55F7}"/>
    <cellStyle name="Normal 6 4 2" xfId="313" xr:uid="{D7F9E4E9-1B7A-418C-B668-28A3454FA96E}"/>
    <cellStyle name="Normal 6 4 2 2" xfId="519" xr:uid="{5822DD28-67E2-4D8D-958E-682064E93D73}"/>
    <cellStyle name="Normal 6 4 3" xfId="520" xr:uid="{702A9BE9-DE79-4DAF-8105-8139D7F568B1}"/>
    <cellStyle name="Normal 6 5" xfId="314" xr:uid="{F24883F6-A6ED-4A2A-B46F-233FFC67DE9B}"/>
    <cellStyle name="Normal 6 6" xfId="315" xr:uid="{F0B7CD4E-B986-493B-9721-9076B5AEDC2D}"/>
    <cellStyle name="Normal 6 7" xfId="521" xr:uid="{46AE780A-CF53-4AD1-BCAD-48335166AF94}"/>
    <cellStyle name="Normal 6 8" xfId="142" xr:uid="{8C3040FB-E9DF-440F-8AAD-0A31F1C13536}"/>
    <cellStyle name="Normal 7" xfId="52" xr:uid="{35A316C3-93D2-4BC4-B4F5-BEAECAF9C5F7}"/>
    <cellStyle name="Normal 7 2" xfId="60" xr:uid="{79E1B7DD-51D9-4AAF-9EA6-E1754A633667}"/>
    <cellStyle name="Normal 7 3" xfId="146" xr:uid="{CCB38CE4-19FE-436A-8B89-EBDA38E51018}"/>
    <cellStyle name="Normal 7 4" xfId="316" xr:uid="{320CF995-2D60-4F9F-A39E-58BD226697B3}"/>
    <cellStyle name="Normal 7 4 2" xfId="317" xr:uid="{2BC6F3EC-4253-42DA-A204-DE8B800416A8}"/>
    <cellStyle name="Normal 7 4 2 2" xfId="522" xr:uid="{8B1A4710-43EF-4917-A5FD-1A9626DE3B1C}"/>
    <cellStyle name="Normal 7 4 3" xfId="523" xr:uid="{9956FE97-9956-4EDE-8E58-5187E8E968A6}"/>
    <cellStyle name="Normal 7 5" xfId="318" xr:uid="{9C492B37-CA89-4C47-8D5D-F5E0CEB85ABB}"/>
    <cellStyle name="Normal 7 6" xfId="319" xr:uid="{4F91FD10-7F8C-429E-AFB2-3F9ECE055937}"/>
    <cellStyle name="Normal 7 7" xfId="524" xr:uid="{B63C8D25-C6FC-44DB-AC0A-75D8612945DD}"/>
    <cellStyle name="Normal 7 8" xfId="145" xr:uid="{C16B03CB-3475-42E5-B97A-3559DD27376A}"/>
    <cellStyle name="Normal 8" xfId="53" xr:uid="{B6272EB1-D850-4F93-8234-12C638C9B789}"/>
    <cellStyle name="Normal 8 2" xfId="61" xr:uid="{D6775507-C416-4024-A914-5016FD02B11A}"/>
    <cellStyle name="Normal 8 3" xfId="148" xr:uid="{F74663BE-38DF-4949-931F-C217691DBA7E}"/>
    <cellStyle name="Normal 8 4" xfId="320" xr:uid="{3DAD0A5B-3DBF-40EE-BE0C-4E21770F4777}"/>
    <cellStyle name="Normal 8 5" xfId="321" xr:uid="{718BDC4E-10D3-468E-9691-98AE6CA185AA}"/>
    <cellStyle name="Normal 8 6" xfId="322" xr:uid="{2300FE45-7AF1-43FC-BCDC-AF7B50FF5B74}"/>
    <cellStyle name="Normal 8 7" xfId="147" xr:uid="{E33A9333-710F-4C22-A6B6-A1F4B8D697E2}"/>
    <cellStyle name="Normal 9" xfId="54" xr:uid="{1F9A3780-5663-475F-8A23-CA4E6F652E3C}"/>
    <cellStyle name="Normal 9 2" xfId="62" xr:uid="{CFD6DD18-BFB9-4F88-B342-1DCE4BC64901}"/>
    <cellStyle name="Normal 9 3" xfId="150" xr:uid="{A999D703-7885-4BB6-9A20-CDCC7284C9B8}"/>
    <cellStyle name="Normal 9 4" xfId="323" xr:uid="{F32C9EBD-4429-47CA-9CC5-E42326FDC3EF}"/>
    <cellStyle name="Normal 9 4 2" xfId="324" xr:uid="{90D5291A-8624-40C2-B2A0-5E5F482DD1BF}"/>
    <cellStyle name="Normal 9 4 2 2" xfId="525" xr:uid="{C173871B-D61D-4E9B-9E2F-DD06DD8A8A4F}"/>
    <cellStyle name="Normal 9 4 3" xfId="526" xr:uid="{E3FA0342-244B-447C-8BCD-23301094E777}"/>
    <cellStyle name="Normal 9 5" xfId="325" xr:uid="{EFE018A5-40FD-46F1-BBF8-FE6D6BABB9CB}"/>
    <cellStyle name="Normal 9 6" xfId="326" xr:uid="{0AEFDF42-AA0C-4584-B07C-06942C6D3611}"/>
    <cellStyle name="Normal 9 7" xfId="527" xr:uid="{E76AC89F-EE15-4FDE-B758-40BFCCD824D3}"/>
    <cellStyle name="Normal 9 8" xfId="149" xr:uid="{A9F6904A-6373-40A7-86D6-0CD03F170BA7}"/>
    <cellStyle name="Note" xfId="17" builtinId="10" customBuiltin="1"/>
    <cellStyle name="Note 2" xfId="79" xr:uid="{0D803D2B-ED6C-4088-87F2-BBC6A901636E}"/>
    <cellStyle name="Note 2 2" xfId="327" xr:uid="{E380DE8C-0A6C-4A95-9203-A139B4A266F2}"/>
    <cellStyle name="Note 2 2 2" xfId="528" xr:uid="{93C65536-EE7D-4B89-BFFB-20EE07D92ED7}"/>
    <cellStyle name="Note 2 3" xfId="529" xr:uid="{7D2B96C5-679D-44DD-AE76-EC792007D5F3}"/>
    <cellStyle name="Note 3" xfId="328" xr:uid="{91519343-D628-4E60-9889-5804B24A04FE}"/>
    <cellStyle name="Note 3 2" xfId="530" xr:uid="{9FFEF1AA-05FB-45F5-818D-DB28E8EA3440}"/>
    <cellStyle name="Output" xfId="12" builtinId="21" customBuiltin="1"/>
    <cellStyle name="Percent" xfId="2" builtinId="5"/>
    <cellStyle name="Percent 10" xfId="329" xr:uid="{3B70BC98-8950-4431-A982-4B1B5C84D478}"/>
    <cellStyle name="Percent 11" xfId="531" xr:uid="{CC156397-F09B-4464-9491-F3B17A6DE1AB}"/>
    <cellStyle name="Percent 12" xfId="564" xr:uid="{EF788758-4211-4B4C-B0C8-A6FEDEE5FC41}"/>
    <cellStyle name="Percent 2" xfId="75" xr:uid="{AACE5D2E-8909-4371-AEF0-0F0D99F993FF}"/>
    <cellStyle name="Percent 2 2" xfId="331" xr:uid="{1F51F896-EBBF-490A-BFF4-4459F9D5C13D}"/>
    <cellStyle name="Percent 2 2 2" xfId="332" xr:uid="{D4250808-CB62-451B-B160-6DD701473E1E}"/>
    <cellStyle name="Percent 2 2 3" xfId="532" xr:uid="{13442689-098C-42B5-AB67-9A8BD5C45B20}"/>
    <cellStyle name="Percent 2 3" xfId="333" xr:uid="{D30B169B-429F-41F9-A802-7BD7175DE5CB}"/>
    <cellStyle name="Percent 2 3 2" xfId="533" xr:uid="{AABE7C3E-BA97-4393-A135-D83DD0E32CE4}"/>
    <cellStyle name="Percent 2 4" xfId="334" xr:uid="{7C48812D-4665-4D72-98CD-0C4B41535ED6}"/>
    <cellStyle name="Percent 2 5" xfId="534" xr:uid="{AA3AD008-BEA0-4239-BEE2-5F7299B76CF8}"/>
    <cellStyle name="Percent 2 6" xfId="330" xr:uid="{421D6702-F487-43B2-90EC-4C8D47C60B1E}"/>
    <cellStyle name="Percent 3" xfId="335" xr:uid="{9F953090-9CC5-4738-ADD6-01C350AB93A4}"/>
    <cellStyle name="Percent 3 2" xfId="336" xr:uid="{E7E46685-8A33-45A6-9EA1-B1733C16EA50}"/>
    <cellStyle name="Percent 3 2 2" xfId="337" xr:uid="{BC617FE0-281B-4A59-8BA0-16FE45C93471}"/>
    <cellStyle name="Percent 3 2 2 2" xfId="535" xr:uid="{328D4708-4B4F-46C7-B6D5-2C073EA44D48}"/>
    <cellStyle name="Percent 3 2 3" xfId="338" xr:uid="{25790E65-A455-4CA4-ABCE-09BB4EC61EAB}"/>
    <cellStyle name="Percent 3 2 3 2" xfId="536" xr:uid="{9ECB5801-DFDC-49F1-8C98-78128EF7FFF8}"/>
    <cellStyle name="Percent 3 2 4" xfId="537" xr:uid="{E9F5D52B-4E5D-4419-A5D8-E573FBEF6B96}"/>
    <cellStyle name="Percent 3 3" xfId="339" xr:uid="{EE6233A0-BC43-41EB-8A4F-9084829CB122}"/>
    <cellStyle name="Percent 3 3 2" xfId="538" xr:uid="{DAF181C9-93BE-4E95-94E1-0F1BE010D976}"/>
    <cellStyle name="Percent 3 4" xfId="539" xr:uid="{0AF14DC1-FEF9-43A9-A5C4-0391CE1498DC}"/>
    <cellStyle name="Percent 3 5" xfId="548" xr:uid="{CA3ECAFE-17D5-4901-8343-957CD753CF16}"/>
    <cellStyle name="Percent 4" xfId="340" xr:uid="{DEB20BD7-DD60-41AA-8B57-97A7B292B02D}"/>
    <cellStyle name="Percent 4 2" xfId="341" xr:uid="{E6D139E9-EC1C-47F0-9FAD-FA5EE0BB97FC}"/>
    <cellStyle name="Percent 4 2 2" xfId="540" xr:uid="{302A6CE1-F38B-4A02-B3E2-C24C95D5AE3E}"/>
    <cellStyle name="Percent 4 3" xfId="541" xr:uid="{BCB77811-998A-4A93-B378-E5BC2FD0E786}"/>
    <cellStyle name="Percent 5" xfId="342" xr:uid="{76E660DF-28EC-4331-A56A-01A4086A6358}"/>
    <cellStyle name="Percent 5 2" xfId="542" xr:uid="{05F40662-DD14-4BAD-AB0A-6EC53D485908}"/>
    <cellStyle name="Percent 6" xfId="343" xr:uid="{6F045B0D-D859-4967-ADAC-B325551E61E4}"/>
    <cellStyle name="Percent 6 2" xfId="543" xr:uid="{FFFE5A4D-03A5-454B-AF4D-D84729AA7A2D}"/>
    <cellStyle name="Percent 7" xfId="344" xr:uid="{B998B3C2-3130-4D48-A506-57A389DCB721}"/>
    <cellStyle name="Percent 7 2" xfId="544" xr:uid="{FC64D11F-54FF-4DAF-9F31-2FE5D3A6D91F}"/>
    <cellStyle name="Percent 8" xfId="345" xr:uid="{7155154E-C0C4-43AC-B653-D0A6405434C3}"/>
    <cellStyle name="Percent 8 2" xfId="545" xr:uid="{CCD26354-F032-49CC-B764-F28FEEA0D59F}"/>
    <cellStyle name="Percent 9" xfId="346" xr:uid="{B4FD81F6-708F-45DB-B6C7-64A7214A24F9}"/>
    <cellStyle name="Percent 9 2" xfId="546" xr:uid="{EC777C14-8103-4736-8C3C-51D8BE9EB363}"/>
    <cellStyle name="Table details" xfId="581" xr:uid="{067760B3-9905-47EB-9B9E-83D97043F61A}"/>
    <cellStyle name="Table numbers" xfId="582" xr:uid="{258AD093-0471-4332-B0C4-7A1B2311A07D}"/>
    <cellStyle name="Title" xfId="3" builtinId="15" customBuiltin="1"/>
    <cellStyle name="Total" xfId="19" builtinId="25" customBuiltin="1"/>
    <cellStyle name="Warning Text" xfId="16" builtinId="11" customBuiltin="1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167" formatCode="_(* #,##0.0_);_(* \(#,##0.0\);_(* &quot;-&quot;??_);_(@_)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166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167" formatCode="_(* #,##0.0_);_(* \(#,##0.0\);_(* &quot;-&quot;??_);_(@_)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167" formatCode="_(* #,##0.0_);_(* \(#,##0.0\);_(* &quot;-&quot;??_);_(@_)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167" formatCode="_(* #,##0.0_);_(* \(#,##0.0\);_(* &quot;-&quot;??_);_(@_)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167" formatCode="_(* #,##0.0_);_(* \(#,##0.0\);_(* &quot;-&quot;??_);_(@_)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167" formatCode="_(* #,##0.0_);_(* \(#,##0.0\);_(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167" formatCode="_(* #,##0.0_);_(* \(#,##0.0\);_(* &quot;-&quot;??_);_(@_)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167" formatCode="_(* #,##0.0_);_(* \(#,##0.0\);_(* &quot;-&quot;??_);_(@_)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be Vietnam"/>
        <family val="3"/>
        <scheme val="none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167" formatCode="_(* #,##0.0_);_(* \(#,##0.0\);_(* &quot;-&quot;??_);_(@_)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167" formatCode="_(* #,##0.0_);_(* \(#,##0.0\);_(* &quot;-&quot;??_);_(@_)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167" formatCode="_(* #,##0.0_);_(* \(#,##0.0\);_(* &quot;-&quot;??_);_(@_)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167" formatCode="_(* #,##0.0_);_(* \(#,##0.0\);_(* &quot;-&quot;??_);_(@_)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167" formatCode="_(* #,##0.0_);_(* \(#,##0.0\);_(* &quot;-&quot;??_);_(@_)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167" formatCode="_(* #,##0.0_);_(* \(#,##0.0\);_(* &quot;-&quot;??_);_(@_)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167" formatCode="_(* #,##0.0_);_(* \(#,##0.0\);_(* &quot;-&quot;??_);_(@_)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167" formatCode="_(* #,##0.0_);_(* \(#,##0.0\);_(* &quot;-&quot;??_);_(@_)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be Vietnam"/>
        <family val="3"/>
        <scheme val="none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167" formatCode="_(* #,##0.0_);_(* \(#,##0.0\);_(* &quot;-&quot;??_);_(@_)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167" formatCode="_(* #,##0.0_);_(* \(#,##0.0\);_(* &quot;-&quot;??_);_(@_)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167" formatCode="_(* #,##0.0_);_(* \(#,##0.0\);_(* &quot;-&quot;??_);_(@_)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167" formatCode="_(* #,##0.0_);_(* \(#,##0.0\);_(* &quot;-&quot;??_);_(@_)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1680"/>
        <name val="be Vietnam"/>
        <family val="3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e Vietnam"/>
        <family val="3"/>
        <scheme val="none"/>
      </font>
      <numFmt numFmtId="22" formatCode="mmm\-yy"/>
      <fill>
        <patternFill patternType="solid">
          <fgColor indexed="64"/>
          <bgColor rgb="FFFF37A3"/>
        </patternFill>
      </fill>
      <alignment horizontal="left" vertical="center" textRotation="0" wrapText="1" indent="0" justifyLastLine="0" shrinkToFit="0" readingOrder="0"/>
    </dxf>
    <dxf>
      <font>
        <b/>
        <sz val="11"/>
        <color theme="1"/>
      </font>
      <border>
        <vertical/>
        <horizontal/>
      </border>
    </dxf>
    <dxf>
      <font>
        <b/>
        <i val="0"/>
        <sz val="6"/>
        <color auto="1"/>
        <name val="be Vietnam"/>
        <family val="3"/>
        <scheme val="none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b/>
        <i val="0"/>
        <strike val="0"/>
        <sz val="7"/>
        <color theme="1"/>
        <name val="be Vietnam"/>
        <family val="3"/>
        <scheme val="none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Light16">
    <tableStyle name="SlicerStyleLight1 2" pivot="0" table="0" count="2" xr9:uid="{B8A49E68-DADE-4299-AF89-8DD3CC430F18}">
      <tableStyleElement type="wholeTable" dxfId="55"/>
      <tableStyleElement type="headerRow" dxfId="54"/>
    </tableStyle>
    <tableStyle name="TimeSlicerStyleLight1 2" pivot="0" table="0" count="2" xr9:uid="{1151A255-4A3D-4224-9C73-04DC49D8478F}">
      <tableStyleElement type="wholeTable" dxfId="53"/>
      <tableStyleElement type="headerRow" dxfId="52"/>
    </tableStyle>
  </tableStyles>
  <colors>
    <mruColors>
      <color rgb="FF201476"/>
      <color rgb="FF231680"/>
      <color rgb="FF2D1D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microsoft.com/office/2017/06/relationships/rdRichValue" Target="richData/rdrichvalue.xml"/><Relationship Id="rId30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kedigital-my.sharepoint.com/personal/dam_ho_cake_vn/Documents/Microsoft%20Teams%20Chat%20Files/0.%20Revenue%20report%20Cake%2020253.xlsx" TargetMode="External"/><Relationship Id="rId1" Type="http://schemas.openxmlformats.org/officeDocument/2006/relationships/externalLinkPath" Target="https://cakedigital-my.sharepoint.com/personal/dam_ho_cake_vn/Documents/Microsoft%20Teams%20Chat%20Files/0.%20Revenue%20report%20Cake%202025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enue"/>
      <sheetName val="EBITDA"/>
      <sheetName val="Tracking KPI"/>
      <sheetName val="Paylater"/>
      <sheetName val="Summary Lending + PL"/>
      <sheetName val="Liability"/>
      <sheetName val="Card"/>
      <sheetName val="slide card"/>
      <sheetName val="TECH-AI"/>
      <sheetName val="C-Ticket"/>
      <sheetName val="Lending"/>
      <sheetName val="Slide 2025"/>
      <sheetName val="BE"/>
      <sheetName val="Sheet2"/>
      <sheetName val="BG_25 Lia"/>
      <sheetName val="BG_25_LEND"/>
      <sheetName val="BG 2025 CC_PL"/>
      <sheetName val="BG debit card"/>
      <sheetName val="budget 2024"/>
      <sheetName val="NHOM N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7">
          <cell r="AA7">
            <v>14621515936862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Đỗ Lan Anh (Sr. Lending Accountant)" id="{2C767C77-EAEE-447E-ABD2-C0C4DE964083}" userId="S::anh.do@cake.vn::4dad6100-b390-4153-9b02-57321638cdd4" providerId="AD"/>
  <person displayName="Ngô Thị Khánh Hà (Business Finance Analyst)" id="{A480AFBC-30B5-401A-8B53-E2CDF250CA06}" userId="S::ha.ngo@cake.vn::94d45626-737e-49ce-a94d-379fc6bbfe94" providerId="AD"/>
  <person displayName="Nguyễn Duy Thái (Portfolio Risk Management Manager)" id="{50814D8E-FE7F-48D6-AC15-054348562C37}" userId="S::thai.nguyen@cake.vn::e4195218-a641-47ca-8a72-f42063785947" providerId="AD"/>
  <person displayName="Nguyễn Thị Minh Trang (Lending Accountant)" id="{588C156E-3EE9-402A-92FC-4446FD38C6CA}" userId="S::trang.nguyen26@cake.vn::3d488bfc-7aa9-4187-9883-1a5d23cfd649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9</v>
    <v>3</v>
  </rv>
  <rv s="1">
    <v>9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FBC596-AA71-4B23-B02D-FF6256FC2606}" name="Deposit" displayName="Deposit" ref="B259:Z291" totalsRowCount="1" headerRowDxfId="51" dataDxfId="49" headerRowBorderDxfId="50">
  <tableColumns count="25">
    <tableColumn id="1" xr3:uid="{FA65E5EC-9225-4018-BE92-F920F9ADB148}" name="Liability_x000a_ (bn VND)" dataDxfId="48" totalsRowDxfId="47"/>
    <tableColumn id="18" xr3:uid="{0E9407B8-4318-42A4-A8F8-07B31A834103}" name="Nov-24" dataDxfId="46" totalsRowDxfId="45"/>
    <tableColumn id="16" xr3:uid="{8E26C0A7-9838-45D4-95B5-980311BD3856}" name="Dec-24" dataDxfId="44" totalsRowDxfId="43"/>
    <tableColumn id="2" xr3:uid="{2FDD8FF8-D213-4124-8598-31EAE0CF0BA3}" name="Jan-25" dataDxfId="42" totalsRowDxfId="41"/>
    <tableColumn id="3" xr3:uid="{41F0CF63-BC6E-4AEF-B21E-8DCE220CE483}" name="Feb-25" dataDxfId="40" totalsRowDxfId="39" dataCellStyle="Percent"/>
    <tableColumn id="4" xr3:uid="{42008501-0C56-46DE-8E0C-134C29EDBE56}" name="Mar-25" dataDxfId="38" totalsRowDxfId="37" dataCellStyle="Percent"/>
    <tableColumn id="13" xr3:uid="{25E5AB8C-8337-4C59-AEA0-EB74AEBEDB6E}" name="Apr-25" dataDxfId="36" totalsRowDxfId="35"/>
    <tableColumn id="14" xr3:uid="{1DB0F083-89C1-4D8B-8EC5-85D74811A5EC}" name="May-25" dataDxfId="34" totalsRowDxfId="33"/>
    <tableColumn id="5" xr3:uid="{F4E8EEDD-32F8-4392-B52F-C3361C637005}" name="Jun-25" dataDxfId="32" totalsRowDxfId="31"/>
    <tableColumn id="15" xr3:uid="{BF56DD80-4E7C-478E-8CAA-202C995BE42C}" name="Jul-25" totalsRowDxfId="30"/>
    <tableColumn id="26" xr3:uid="{B30381B2-B44F-404A-8153-25A48DE124C6}" name="Aug-25" totalsRowDxfId="29"/>
    <tableColumn id="25" xr3:uid="{72D7AA35-278F-4FF0-A624-74529AFFDAD2}" name="Sep-25" totalsRowDxfId="28"/>
    <tableColumn id="24" xr3:uid="{0FE524E5-807C-4717-A4ED-D808AA558836}" name="Oct-25" totalsRowDxfId="27"/>
    <tableColumn id="23" xr3:uid="{46346BC2-0291-49E0-BB25-5FF475F75139}" name="Nov-25" totalsRowDxfId="26"/>
    <tableColumn id="22" xr3:uid="{C9AA1723-2F18-4CC2-9F93-D10DFEFBBB20}" name="Dec-25" totalsRowDxfId="25"/>
    <tableColumn id="17" xr3:uid="{25DCD066-E908-42A9-A4B5-C48823B99FC9}" name="Dec-25 Plan" dataDxfId="24" totalsRowDxfId="23"/>
    <tableColumn id="6" xr3:uid="{4CE0B031-A5AB-4C88-A944-23DAFF8EC3E1}" name="+/-LM" dataDxfId="22" totalsRowDxfId="21"/>
    <tableColumn id="7" xr3:uid="{A00884F1-3B77-4A12-83F5-BFEBFE9BF25A}" name="+/-BG" dataDxfId="20" totalsRowDxfId="19"/>
    <tableColumn id="8" xr3:uid="{82A2CE76-C4E9-477E-B7D2-F29C389F781E}" name="YTD 2025" dataDxfId="18" totalsRowDxfId="17">
      <calculatedColumnFormula>Deposit[[#This Row],[Jan-25]]+Deposit[[#This Row],[Feb-25]]</calculatedColumnFormula>
    </tableColumn>
    <tableColumn id="9" xr3:uid="{29A75BC2-B94D-4F05-8B46-A700E1ADA394}" name="YTD 2025 Plan" dataDxfId="16" totalsRowDxfId="15" dataCellStyle="Percent">
      <calculatedColumnFormula>Deposit[[#This Row],[Dec-25 Plan]]</calculatedColumnFormula>
    </tableColumn>
    <tableColumn id="10" xr3:uid="{0D6FAF74-8729-450B-9D83-71BCBF71BAE3}" name="FY 2025 Plan" dataDxfId="14" totalsRowDxfId="13" dataCellStyle="Percent"/>
    <tableColumn id="11" xr3:uid="{CA11A6CF-5180-4907-852D-BF0FD4470CBD}" name="+/-BG2" dataDxfId="12" totalsRowDxfId="11" dataCellStyle="Percent"/>
    <tableColumn id="12" xr3:uid="{A06C0EAD-39EA-4C99-8623-9A09E8FD4FCE}" name="%FY BG" dataDxfId="10" totalsRowDxfId="9" dataCellStyle="Percent"/>
    <tableColumn id="19" xr3:uid="{2D4ED8D9-05D3-4D94-B6E8-157DD5A393CF}" name="Column1" dataDxfId="8" totalsRowDxfId="7"/>
    <tableColumn id="20" xr3:uid="{7AB35B47-1C99-4FA0-B8E6-BC387E8BB501}" name="Column2" dataDxfId="6" totalsRow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361" dT="2026-01-16T04:03:12.63" personId="{588C156E-3EE9-402A-92FC-4446FD38C6CA}" id="{7D97C6F7-3563-4D9E-B007-D32EED296FEC}">
    <text>Số Danh báo</text>
  </threadedComment>
  <threadedComment ref="AA366" dT="2026-01-09T07:05:34.30" personId="{588C156E-3EE9-402A-92FC-4446FD38C6CA}" id="{742D1C40-5B50-46DA-B79A-F59782DE7DDE}">
    <text>Dự chi cashback tháng 12 MWG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520" dT="2025-04-02T09:48:23.95" personId="{2C767C77-EAEE-447E-ABD2-C0C4DE964083}" id="{679530B8-C520-4AC5-AC3F-FC02893AA145}">
    <text>lấy theo BBĐS bảo hiểm của recon (dash BIgap 28tr)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T186" dT="2024-11-01T01:54:11.73" personId="{50814D8E-FE7F-48D6-AC15-054348562C37}" id="{F96BB13B-E54C-47D2-B308-816EBDC73C0C}">
    <text>Anh chưa rõ Logic tính chỗ này, Hà</text>
  </threadedComment>
  <threadedComment ref="AT186" dT="2024-11-01T08:54:28.36" personId="{A480AFBC-30B5-401A-8B53-E2CDF250CA06}" id="{86149E62-700B-4459-BF7D-248B036AD148}" parentId="{F96BB13B-E54C-47D2-B308-816EBDC73C0C}">
    <text>Balance T= Balance T-1+Disburse T-Repayment T-Writeoff T. Trong đó, repayment sẽ được tính tại bảng Build, đc tính toán dựa trên SAP về tỉ lệ trả nợ gốc từng tháng trong khoản vay + tỉ lệ giữ lại balance do chậm trả . WO sẽ được ghi nhận tại sheet provision input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519C4-8D83-4C2D-8347-E567927EB002}">
  <sheetPr>
    <tabColor rgb="FF92D050"/>
  </sheetPr>
  <dimension ref="A1:BM118"/>
  <sheetViews>
    <sheetView zoomScale="55" zoomScaleNormal="55" workbookViewId="0">
      <pane xSplit="4" ySplit="5" topLeftCell="Q13" activePane="bottomRight" state="frozen"/>
      <selection pane="topRight" activeCell="E1" sqref="E1"/>
      <selection pane="bottomLeft" activeCell="A6" sqref="A6"/>
      <selection pane="bottomRight" activeCell="AD57" sqref="AD57"/>
    </sheetView>
  </sheetViews>
  <sheetFormatPr baseColWidth="10" defaultColWidth="8.83203125" defaultRowHeight="15" outlineLevelCol="1"/>
  <cols>
    <col min="1" max="1" width="27" bestFit="1" customWidth="1"/>
    <col min="2" max="2" width="14.5" style="41" hidden="1" customWidth="1"/>
    <col min="3" max="3" width="19.6640625" style="41" customWidth="1"/>
    <col min="4" max="4" width="23" hidden="1" customWidth="1"/>
    <col min="5" max="6" width="15.5" hidden="1" customWidth="1" outlineLevel="1"/>
    <col min="7" max="7" width="16.1640625" hidden="1" customWidth="1" outlineLevel="1"/>
    <col min="8" max="9" width="15.5" style="7" hidden="1" customWidth="1" outlineLevel="1"/>
    <col min="10" max="11" width="16.33203125" hidden="1" customWidth="1" outlineLevel="1"/>
    <col min="12" max="13" width="16.33203125" style="7" hidden="1" customWidth="1" outlineLevel="1"/>
    <col min="14" max="16" width="16.33203125" hidden="1" customWidth="1" outlineLevel="1"/>
    <col min="17" max="17" width="16.1640625" bestFit="1" customWidth="1" collapsed="1"/>
    <col min="18" max="18" width="17.6640625" bestFit="1" customWidth="1"/>
    <col min="19" max="19" width="16.5" bestFit="1" customWidth="1"/>
    <col min="20" max="20" width="17.6640625" bestFit="1" customWidth="1"/>
    <col min="21" max="22" width="16.5" bestFit="1" customWidth="1"/>
    <col min="23" max="23" width="17.6640625" bestFit="1" customWidth="1"/>
    <col min="24" max="30" width="16.33203125" bestFit="1" customWidth="1"/>
    <col min="31" max="31" width="16.1640625" bestFit="1" customWidth="1"/>
    <col min="32" max="32" width="15.5" customWidth="1"/>
    <col min="33" max="33" width="19.5" customWidth="1"/>
    <col min="34" max="34" width="23.5" bestFit="1" customWidth="1"/>
    <col min="35" max="35" width="18.5" bestFit="1" customWidth="1"/>
    <col min="36" max="37" width="15.5" customWidth="1"/>
    <col min="38" max="40" width="16.83203125" bestFit="1" customWidth="1"/>
    <col min="41" max="41" width="18.5" bestFit="1" customWidth="1"/>
    <col min="42" max="46" width="16.83203125" bestFit="1" customWidth="1"/>
    <col min="47" max="47" width="21.1640625" bestFit="1" customWidth="1"/>
    <col min="48" max="48" width="14.83203125" bestFit="1" customWidth="1"/>
    <col min="49" max="49" width="25.33203125" bestFit="1" customWidth="1"/>
    <col min="50" max="61" width="16.1640625" bestFit="1" customWidth="1"/>
  </cols>
  <sheetData>
    <row r="1" spans="1:65">
      <c r="A1" s="1" t="s">
        <v>0</v>
      </c>
      <c r="B1" s="37"/>
      <c r="C1" s="37"/>
      <c r="D1" s="1"/>
      <c r="E1" s="2">
        <v>1</v>
      </c>
      <c r="F1" s="2">
        <v>2</v>
      </c>
      <c r="G1" s="3">
        <v>3</v>
      </c>
      <c r="H1" s="3">
        <v>4</v>
      </c>
      <c r="I1" s="3">
        <v>5</v>
      </c>
      <c r="J1" s="2">
        <v>6</v>
      </c>
      <c r="K1" s="2">
        <v>7</v>
      </c>
      <c r="L1" s="3">
        <v>8</v>
      </c>
      <c r="M1" s="3">
        <v>9</v>
      </c>
      <c r="N1" s="2">
        <v>10</v>
      </c>
      <c r="O1" s="2">
        <v>11</v>
      </c>
      <c r="P1" s="2">
        <v>12</v>
      </c>
    </row>
    <row r="2" spans="1:65" s="30" customFormat="1">
      <c r="A2" s="27" t="s">
        <v>1</v>
      </c>
      <c r="B2" s="38"/>
      <c r="C2" s="38"/>
      <c r="D2" s="27"/>
      <c r="E2" s="28"/>
      <c r="F2" s="28"/>
      <c r="G2" s="29"/>
      <c r="H2" s="29"/>
      <c r="I2" s="29"/>
      <c r="J2" s="28"/>
      <c r="K2" s="28"/>
      <c r="L2" s="29"/>
      <c r="M2" s="29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H2" s="27" t="s">
        <v>1</v>
      </c>
      <c r="AI2" s="28"/>
      <c r="AJ2" s="28"/>
      <c r="AK2" s="29"/>
      <c r="AL2" s="28"/>
      <c r="AM2" s="28"/>
      <c r="AN2" s="28"/>
      <c r="AO2" s="28"/>
      <c r="AP2" s="28"/>
      <c r="AQ2" s="28"/>
      <c r="AR2" s="28"/>
      <c r="AS2" s="28"/>
      <c r="AT2" s="28"/>
      <c r="AU2" s="28"/>
    </row>
    <row r="3" spans="1:65">
      <c r="A3" s="4" t="s">
        <v>2</v>
      </c>
      <c r="B3" s="39"/>
      <c r="C3" s="39"/>
      <c r="D3" s="4"/>
      <c r="F3">
        <f>F29/E29</f>
        <v>0.80888653361688589</v>
      </c>
      <c r="G3" s="5">
        <f>G37/F37</f>
        <v>1.2604583680838253</v>
      </c>
      <c r="H3" s="74">
        <f>H5/G5</f>
        <v>0.92674828175756374</v>
      </c>
      <c r="I3" s="74">
        <f>I5/H5</f>
        <v>1.0281138382385244</v>
      </c>
      <c r="J3" s="74">
        <f>J5/I5</f>
        <v>1.0013924808165207</v>
      </c>
      <c r="K3" s="5"/>
      <c r="M3" s="130">
        <f>L5-M5</f>
        <v>349691011.77575684</v>
      </c>
      <c r="N3" s="5">
        <f>N5/N59</f>
        <v>0.25412370172302018</v>
      </c>
      <c r="O3" s="5"/>
      <c r="P3" s="5"/>
      <c r="Q3" s="6" t="s">
        <v>3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>
        <v>2638255471</v>
      </c>
      <c r="AH3" s="4" t="s">
        <v>4</v>
      </c>
      <c r="AI3" s="5">
        <f>AI13-AI12</f>
        <v>3644230097.5848718</v>
      </c>
      <c r="AJ3" s="5">
        <f t="shared" ref="AJ3:AT3" si="0">AJ13-AJ12</f>
        <v>3247535559.1908708</v>
      </c>
      <c r="AK3" s="5">
        <f t="shared" si="0"/>
        <v>3491390499.9657454</v>
      </c>
      <c r="AL3" s="5">
        <f t="shared" si="0"/>
        <v>2904462578.1080265</v>
      </c>
      <c r="AM3" s="5">
        <f t="shared" si="0"/>
        <v>3544033454.2997284</v>
      </c>
      <c r="AN3" s="5">
        <f t="shared" si="0"/>
        <v>3888604710.7356434</v>
      </c>
      <c r="AO3" s="5">
        <f t="shared" si="0"/>
        <v>4168403291.0794735</v>
      </c>
      <c r="AP3" s="5">
        <f t="shared" si="0"/>
        <v>4140090029.2503834</v>
      </c>
      <c r="AQ3" s="5">
        <f t="shared" si="0"/>
        <v>5540734537.4603701</v>
      </c>
      <c r="AR3" s="5">
        <f t="shared" si="0"/>
        <v>3939589915.5720768</v>
      </c>
      <c r="AS3" s="5">
        <f t="shared" si="0"/>
        <v>3926953841.8956089</v>
      </c>
      <c r="AT3" s="5">
        <f t="shared" si="0"/>
        <v>4502785990.1547832</v>
      </c>
      <c r="AU3" s="6" t="s">
        <v>5</v>
      </c>
    </row>
    <row r="4" spans="1:65" ht="26">
      <c r="A4" s="8" t="s">
        <v>6</v>
      </c>
      <c r="B4" s="9" t="s">
        <v>7</v>
      </c>
      <c r="C4" s="48" t="s">
        <v>7</v>
      </c>
      <c r="D4" s="8" t="s">
        <v>8</v>
      </c>
      <c r="E4" s="9">
        <v>45292</v>
      </c>
      <c r="F4" s="9">
        <v>45323</v>
      </c>
      <c r="G4" s="9">
        <v>45352</v>
      </c>
      <c r="H4" s="9">
        <v>45383</v>
      </c>
      <c r="I4" s="9">
        <v>45413</v>
      </c>
      <c r="J4" s="9">
        <v>45444</v>
      </c>
      <c r="K4" s="9">
        <v>45474</v>
      </c>
      <c r="L4" s="9">
        <v>45505</v>
      </c>
      <c r="M4" s="9">
        <v>45536</v>
      </c>
      <c r="N4" s="9">
        <v>45566</v>
      </c>
      <c r="O4" s="9">
        <v>45597</v>
      </c>
      <c r="P4" s="9">
        <v>45627</v>
      </c>
      <c r="Q4" s="10" t="s">
        <v>9</v>
      </c>
      <c r="R4" s="10" t="s">
        <v>10</v>
      </c>
      <c r="S4" s="154">
        <v>45658</v>
      </c>
      <c r="T4" s="154">
        <v>45689</v>
      </c>
      <c r="U4" s="154">
        <v>45717</v>
      </c>
      <c r="V4" s="154">
        <v>45748</v>
      </c>
      <c r="W4" s="154">
        <v>45778</v>
      </c>
      <c r="X4" s="154">
        <v>45809</v>
      </c>
      <c r="Y4" s="154">
        <v>45839</v>
      </c>
      <c r="Z4" s="154">
        <v>45870</v>
      </c>
      <c r="AA4" s="154">
        <v>45901</v>
      </c>
      <c r="AB4" s="154">
        <v>45931</v>
      </c>
      <c r="AC4" s="154">
        <v>45962</v>
      </c>
      <c r="AD4" s="154">
        <v>45992</v>
      </c>
      <c r="AE4" s="10" t="s">
        <v>11</v>
      </c>
      <c r="AF4" s="10"/>
      <c r="AG4" s="5" t="s">
        <v>12</v>
      </c>
      <c r="AH4" s="8" t="s">
        <v>6</v>
      </c>
      <c r="AI4" s="154">
        <v>45658</v>
      </c>
      <c r="AJ4" s="154">
        <v>45689</v>
      </c>
      <c r="AK4" s="154">
        <v>45717</v>
      </c>
      <c r="AL4" s="154">
        <v>45748</v>
      </c>
      <c r="AM4" s="154">
        <v>45778</v>
      </c>
      <c r="AN4" s="154">
        <v>45809</v>
      </c>
      <c r="AO4" s="154">
        <v>45839</v>
      </c>
      <c r="AP4" s="154">
        <v>45870</v>
      </c>
      <c r="AQ4" s="154">
        <v>45901</v>
      </c>
      <c r="AR4" s="154">
        <v>45931</v>
      </c>
      <c r="AS4" s="154">
        <v>45962</v>
      </c>
      <c r="AT4" s="154">
        <v>45992</v>
      </c>
      <c r="AU4" s="10" t="s">
        <v>13</v>
      </c>
      <c r="AV4" s="10" t="s">
        <v>9</v>
      </c>
    </row>
    <row r="5" spans="1:65" s="19" customFormat="1">
      <c r="A5" s="18" t="s">
        <v>14</v>
      </c>
      <c r="B5" s="40">
        <f>(R5/1)/AU5</f>
        <v>0.59621367770390943</v>
      </c>
      <c r="C5" s="49">
        <f>IFERROR(B5,0)</f>
        <v>0.59621367770390943</v>
      </c>
      <c r="D5" s="20">
        <f t="shared" ref="D5:D10" si="1">SUM(E5:P5)</f>
        <v>442010097861.20428</v>
      </c>
      <c r="E5" s="20">
        <f>SUM(E6:E8)</f>
        <v>35400480484.610184</v>
      </c>
      <c r="F5" s="20">
        <f t="shared" ref="F5:P5" si="2">SUM(F6:F8)</f>
        <v>33999675821</v>
      </c>
      <c r="G5" s="20">
        <f>SUM(G6:G8)</f>
        <v>36048406323.445091</v>
      </c>
      <c r="H5" s="25">
        <f t="shared" si="2"/>
        <v>33407798620.351234</v>
      </c>
      <c r="I5" s="25">
        <f t="shared" si="2"/>
        <v>34347020066.668991</v>
      </c>
      <c r="J5" s="20">
        <f t="shared" si="2"/>
        <v>34394847633.216476</v>
      </c>
      <c r="K5" s="20">
        <f t="shared" si="2"/>
        <v>36437058654.390678</v>
      </c>
      <c r="L5" s="25">
        <f>SUM(L6:L8)</f>
        <v>37409330248.148697</v>
      </c>
      <c r="M5" s="25">
        <f>SUM(M6:M8)</f>
        <v>37059639236.37294</v>
      </c>
      <c r="N5" s="25">
        <f t="shared" si="2"/>
        <v>40877033182</v>
      </c>
      <c r="O5" s="20">
        <f t="shared" si="2"/>
        <v>40266571116</v>
      </c>
      <c r="P5" s="20">
        <f t="shared" si="2"/>
        <v>42362236475</v>
      </c>
      <c r="Q5" s="25">
        <f>SUM(E5:P5)</f>
        <v>442010097861.20428</v>
      </c>
      <c r="R5" s="20">
        <f>SUM(S5:AD5)</f>
        <v>531695389380.54401</v>
      </c>
      <c r="S5" s="20">
        <f t="shared" ref="S5:V5" si="3">SUM(S6:S8)</f>
        <v>45837772985</v>
      </c>
      <c r="T5" s="20">
        <f t="shared" si="3"/>
        <v>45941552435.869591</v>
      </c>
      <c r="U5" s="20">
        <f t="shared" si="3"/>
        <v>54181545679.364433</v>
      </c>
      <c r="V5" s="20">
        <f t="shared" si="3"/>
        <v>55214506999.404129</v>
      </c>
      <c r="W5" s="20">
        <f t="shared" ref="W5:AD5" si="4">SUM(W6:W8)</f>
        <v>61489923392.408226</v>
      </c>
      <c r="X5" s="20">
        <f t="shared" si="4"/>
        <v>62476761580.935051</v>
      </c>
      <c r="Y5" s="20">
        <f t="shared" si="4"/>
        <v>67156182772.288895</v>
      </c>
      <c r="Z5" s="20">
        <f t="shared" si="4"/>
        <v>69629497327.065094</v>
      </c>
      <c r="AA5" s="20">
        <f t="shared" si="4"/>
        <v>69767646208.208557</v>
      </c>
      <c r="AB5" s="20">
        <f t="shared" si="4"/>
        <v>0</v>
      </c>
      <c r="AC5" s="20">
        <f t="shared" si="4"/>
        <v>0</v>
      </c>
      <c r="AD5" s="20">
        <f t="shared" si="4"/>
        <v>0</v>
      </c>
      <c r="AE5" s="25">
        <f>SUM(S5:AD5)</f>
        <v>531695389380.54401</v>
      </c>
      <c r="AF5" s="25"/>
      <c r="AG5" s="26"/>
      <c r="AH5" s="18" t="s">
        <v>14</v>
      </c>
      <c r="AI5" s="20">
        <f>SUM(AI6:AI8)</f>
        <v>44992075208.333351</v>
      </c>
      <c r="AJ5" s="20">
        <f t="shared" ref="AJ5:AT5" si="5">SUM(AJ6:AJ8)</f>
        <v>50754934791.666672</v>
      </c>
      <c r="AK5" s="20">
        <f t="shared" si="5"/>
        <v>56703006875</v>
      </c>
      <c r="AL5" s="20">
        <f t="shared" si="5"/>
        <v>62629412291.666672</v>
      </c>
      <c r="AM5" s="20">
        <f t="shared" si="5"/>
        <v>68012059375.000008</v>
      </c>
      <c r="AN5" s="20">
        <f t="shared" si="5"/>
        <v>72850948125.000015</v>
      </c>
      <c r="AO5" s="20">
        <f t="shared" si="5"/>
        <v>77689836875</v>
      </c>
      <c r="AP5" s="20">
        <f t="shared" si="5"/>
        <v>82485392291.666687</v>
      </c>
      <c r="AQ5" s="20">
        <f t="shared" si="5"/>
        <v>87237614375.000015</v>
      </c>
      <c r="AR5" s="20">
        <f t="shared" si="5"/>
        <v>91989836458.333328</v>
      </c>
      <c r="AS5" s="20">
        <f t="shared" si="5"/>
        <v>96742058541.666687</v>
      </c>
      <c r="AT5" s="20">
        <f t="shared" si="5"/>
        <v>99699459791.666672</v>
      </c>
      <c r="AU5" s="20">
        <f>SUM(AI5:AT5)</f>
        <v>891786635000.00012</v>
      </c>
      <c r="AV5" s="20"/>
    </row>
    <row r="6" spans="1:65">
      <c r="A6" s="21" t="s">
        <v>15</v>
      </c>
      <c r="B6" s="40">
        <f t="shared" ref="B6:B59" si="6">(R6/1)/AU6</f>
        <v>0.47082872928224828</v>
      </c>
      <c r="C6" s="50">
        <f>IFERROR(B6,0)</f>
        <v>0.47082872928224828</v>
      </c>
      <c r="D6" s="35">
        <f t="shared" si="1"/>
        <v>19654287445.013634</v>
      </c>
      <c r="E6" s="11">
        <v>1442292128.5683308</v>
      </c>
      <c r="F6" s="11">
        <v>1355356860.5648642</v>
      </c>
      <c r="G6" s="11">
        <v>1406382467.5341368</v>
      </c>
      <c r="H6" s="12">
        <v>1331140288.8419952</v>
      </c>
      <c r="I6" s="12">
        <v>1371809296.3233783</v>
      </c>
      <c r="J6" s="11">
        <v>1491678326.090169</v>
      </c>
      <c r="K6" s="11">
        <v>1702124698.2762194</v>
      </c>
      <c r="L6" s="12">
        <v>1771006615.8910003</v>
      </c>
      <c r="M6" s="12">
        <v>1801510008.9235401</v>
      </c>
      <c r="N6" s="12">
        <v>2006103524</v>
      </c>
      <c r="O6" s="11">
        <v>1956116410</v>
      </c>
      <c r="P6" s="11">
        <v>2018766820</v>
      </c>
      <c r="Q6" s="11">
        <f>SUM(E6:P6)</f>
        <v>19654287445.013634</v>
      </c>
      <c r="R6" s="11">
        <f t="shared" ref="R6:R57" si="7">SUM(S6:AD6)</f>
        <v>22585654143.669449</v>
      </c>
      <c r="S6" s="11">
        <v>2223092407</v>
      </c>
      <c r="T6" s="11">
        <v>1988790768.9700015</v>
      </c>
      <c r="U6" s="11">
        <v>2205432266.4726439</v>
      </c>
      <c r="V6" s="11">
        <v>2249291465.2649221</v>
      </c>
      <c r="W6" s="11">
        <v>2453378312.5676064</v>
      </c>
      <c r="X6" s="11">
        <v>2592338418.052074</v>
      </c>
      <c r="Y6" s="11">
        <v>3026584682.6993036</v>
      </c>
      <c r="Z6" s="11">
        <v>3041835052.0452747</v>
      </c>
      <c r="AA6" s="11">
        <v>2804910770.5976272</v>
      </c>
      <c r="AB6" s="11"/>
      <c r="AC6" s="11"/>
      <c r="AD6" s="11"/>
      <c r="AE6" s="11">
        <f t="shared" ref="AE6:AE59" si="8">SUM(S6:AD6)</f>
        <v>22585654143.669449</v>
      </c>
      <c r="AF6" s="11"/>
      <c r="AG6" s="5"/>
      <c r="AH6" s="21" t="s">
        <v>15</v>
      </c>
      <c r="AI6" s="12">
        <v>2318333333.3333335</v>
      </c>
      <c r="AJ6" s="12">
        <v>2751666666.6666665</v>
      </c>
      <c r="AK6" s="12">
        <v>3119999999.9999995</v>
      </c>
      <c r="AL6" s="12">
        <v>3466666666.666667</v>
      </c>
      <c r="AM6" s="12">
        <v>3769999999.9999995</v>
      </c>
      <c r="AN6" s="12">
        <v>4030000000.0000005</v>
      </c>
      <c r="AO6" s="12">
        <v>4290000000</v>
      </c>
      <c r="AP6" s="12">
        <v>4506666666.666667</v>
      </c>
      <c r="AQ6" s="12">
        <v>4680000000</v>
      </c>
      <c r="AR6" s="12">
        <v>4853333333.333333</v>
      </c>
      <c r="AS6" s="12">
        <v>5026666666.666666</v>
      </c>
      <c r="AT6" s="12">
        <v>5156666666.666666</v>
      </c>
      <c r="AU6" s="12">
        <f>SUM(AI6:AT6)</f>
        <v>47970000000</v>
      </c>
      <c r="AV6" s="11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</row>
    <row r="7" spans="1:65" ht="14" customHeight="1">
      <c r="A7" s="21" t="s">
        <v>16</v>
      </c>
      <c r="B7" s="40" t="e">
        <f t="shared" si="6"/>
        <v>#DIV/0!</v>
      </c>
      <c r="C7" s="50">
        <f t="shared" ref="C7:C61" si="9">IFERROR(B7,0)</f>
        <v>0</v>
      </c>
      <c r="D7" s="35">
        <f t="shared" si="1"/>
        <v>0</v>
      </c>
      <c r="E7" s="13"/>
      <c r="F7" s="13"/>
      <c r="G7" s="13"/>
      <c r="H7" s="14"/>
      <c r="I7" s="14"/>
      <c r="J7" s="13"/>
      <c r="K7" s="13"/>
      <c r="L7" s="14"/>
      <c r="M7" s="14"/>
      <c r="N7" s="14"/>
      <c r="O7" s="13"/>
      <c r="P7" s="66"/>
      <c r="Q7" s="11">
        <f t="shared" ref="Q7:Q51" si="10">SUM(E7:P7)</f>
        <v>0</v>
      </c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>
        <f t="shared" si="8"/>
        <v>0</v>
      </c>
      <c r="AF7" s="11"/>
      <c r="AG7" s="5"/>
      <c r="AH7" s="21" t="s">
        <v>16</v>
      </c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>
        <f t="shared" ref="AU7:AU58" si="11">SUM(AI7:AT7)</f>
        <v>0</v>
      </c>
      <c r="AV7" s="13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</row>
    <row r="8" spans="1:65">
      <c r="A8" s="21" t="s">
        <v>17</v>
      </c>
      <c r="B8" s="40">
        <f t="shared" si="6"/>
        <v>0.60334166703987113</v>
      </c>
      <c r="C8" s="50">
        <f t="shared" si="9"/>
        <v>0.60334166703987113</v>
      </c>
      <c r="D8" s="35">
        <f t="shared" si="1"/>
        <v>422355810416.19067</v>
      </c>
      <c r="E8" s="11">
        <v>33958188356.041855</v>
      </c>
      <c r="F8" s="11">
        <v>32644318960.435135</v>
      </c>
      <c r="G8" s="45">
        <v>34642023855.910957</v>
      </c>
      <c r="H8" s="12">
        <v>32076658331.509239</v>
      </c>
      <c r="I8" s="12">
        <v>32975210770.345612</v>
      </c>
      <c r="J8" s="12">
        <v>32903169307.126305</v>
      </c>
      <c r="K8" s="12">
        <v>34734933956.114456</v>
      </c>
      <c r="L8" s="12">
        <v>35638323632.257698</v>
      </c>
      <c r="M8" s="12">
        <v>35258129227.449402</v>
      </c>
      <c r="N8" s="12">
        <v>38870929658</v>
      </c>
      <c r="O8" s="12">
        <v>38310454706</v>
      </c>
      <c r="P8" s="12">
        <v>40343469655</v>
      </c>
      <c r="Q8" s="11">
        <f t="shared" si="10"/>
        <v>422355810416.19067</v>
      </c>
      <c r="R8" s="11">
        <f t="shared" si="7"/>
        <v>509109735236.87457</v>
      </c>
      <c r="S8" s="11">
        <v>43614680578</v>
      </c>
      <c r="T8" s="11">
        <v>43952761666.89959</v>
      </c>
      <c r="U8" s="11">
        <v>51976113412.891792</v>
      </c>
      <c r="V8" s="11">
        <v>52965215534.139206</v>
      </c>
      <c r="W8" s="11">
        <v>59036545079.840622</v>
      </c>
      <c r="X8" s="11">
        <v>59884423162.88298</v>
      </c>
      <c r="Y8" s="11">
        <v>64129598089.589592</v>
      </c>
      <c r="Z8" s="11">
        <v>66587662275.019821</v>
      </c>
      <c r="AA8" s="11">
        <v>66962735437.610924</v>
      </c>
      <c r="AB8" s="11"/>
      <c r="AC8" s="11"/>
      <c r="AD8" s="11"/>
      <c r="AE8" s="11">
        <f t="shared" si="8"/>
        <v>509109735236.87457</v>
      </c>
      <c r="AF8" s="11"/>
      <c r="AG8" s="5"/>
      <c r="AH8" s="21" t="s">
        <v>17</v>
      </c>
      <c r="AI8" s="12">
        <v>42673741875.000015</v>
      </c>
      <c r="AJ8" s="12">
        <v>48003268125.000008</v>
      </c>
      <c r="AK8" s="12">
        <v>53583006875</v>
      </c>
      <c r="AL8" s="12">
        <v>59162745625.000008</v>
      </c>
      <c r="AM8" s="12">
        <v>64242059375.000008</v>
      </c>
      <c r="AN8" s="12">
        <v>68820948125.000015</v>
      </c>
      <c r="AO8" s="12">
        <v>73399836875</v>
      </c>
      <c r="AP8" s="12">
        <v>77978725625.000015</v>
      </c>
      <c r="AQ8" s="12">
        <v>82557614375.000015</v>
      </c>
      <c r="AR8" s="12">
        <v>87136503125</v>
      </c>
      <c r="AS8" s="12">
        <v>91715391875.000015</v>
      </c>
      <c r="AT8" s="12">
        <v>94542793125</v>
      </c>
      <c r="AU8" s="12">
        <f t="shared" si="11"/>
        <v>843816635000.00012</v>
      </c>
      <c r="AV8" s="11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</row>
    <row r="9" spans="1:65" s="19" customFormat="1">
      <c r="A9" s="18" t="s">
        <v>18</v>
      </c>
      <c r="B9" s="40">
        <f t="shared" si="6"/>
        <v>0.57790098559304792</v>
      </c>
      <c r="C9" s="51">
        <f t="shared" si="9"/>
        <v>0.57790098559304792</v>
      </c>
      <c r="D9" s="36">
        <f t="shared" si="1"/>
        <v>828577192179.20264</v>
      </c>
      <c r="E9" s="20">
        <f>E10+E14+E17+E20+E23</f>
        <v>28828668892</v>
      </c>
      <c r="F9" s="20">
        <f t="shared" ref="F9:P9" si="12">F10+F14+F17+F20+F23</f>
        <v>30233023471</v>
      </c>
      <c r="G9" s="20">
        <f t="shared" si="12"/>
        <v>31369122055.200001</v>
      </c>
      <c r="H9" s="25">
        <f>H10+H14+H17+H20+H23</f>
        <v>39956004458.89225</v>
      </c>
      <c r="I9" s="25">
        <f t="shared" si="12"/>
        <v>47766963748.331001</v>
      </c>
      <c r="J9" s="20">
        <f>J10+J14+J17+J20+J23</f>
        <v>55055891853.779411</v>
      </c>
      <c r="K9" s="20">
        <f>K10+K14+K17+K20+K23</f>
        <v>75896454114</v>
      </c>
      <c r="L9" s="25">
        <f>L10+L14+L17+L20+L23</f>
        <v>85039924776</v>
      </c>
      <c r="M9" s="25">
        <f t="shared" si="12"/>
        <v>91092190508</v>
      </c>
      <c r="N9" s="25">
        <f>N10+N14+N17+N20+N23</f>
        <v>105548278761</v>
      </c>
      <c r="O9" s="20">
        <f t="shared" si="12"/>
        <v>116004411702</v>
      </c>
      <c r="P9" s="20">
        <f t="shared" si="12"/>
        <v>121786257839</v>
      </c>
      <c r="Q9" s="20">
        <f t="shared" si="10"/>
        <v>828577192179.20264</v>
      </c>
      <c r="R9" s="20">
        <f t="shared" si="7"/>
        <v>1429545136487.7915</v>
      </c>
      <c r="S9" s="20">
        <f t="shared" ref="S9:U9" si="13">S10+S14+S17+S20+S23</f>
        <v>128632708693.88896</v>
      </c>
      <c r="T9" s="20">
        <f t="shared" si="13"/>
        <v>116957499492.11115</v>
      </c>
      <c r="U9" s="20">
        <f t="shared" si="13"/>
        <v>138096338246</v>
      </c>
      <c r="V9" s="20">
        <f t="shared" ref="V9" si="14">V10+V14+V17+V20+V23</f>
        <v>151078947518</v>
      </c>
      <c r="W9" s="20">
        <f t="shared" ref="W9:AD9" si="15">W10+W14+W17+W20+W23</f>
        <v>168215147029</v>
      </c>
      <c r="X9" s="20">
        <f t="shared" si="15"/>
        <v>147554709449</v>
      </c>
      <c r="Y9" s="20">
        <f t="shared" si="15"/>
        <v>163239518794</v>
      </c>
      <c r="Z9" s="20">
        <f t="shared" si="15"/>
        <v>197622157190</v>
      </c>
      <c r="AA9" s="20">
        <f t="shared" si="15"/>
        <v>218148110075.79144</v>
      </c>
      <c r="AB9" s="20">
        <f t="shared" si="15"/>
        <v>0</v>
      </c>
      <c r="AC9" s="20">
        <f t="shared" si="15"/>
        <v>0</v>
      </c>
      <c r="AD9" s="20">
        <f t="shared" si="15"/>
        <v>0</v>
      </c>
      <c r="AE9" s="20">
        <f t="shared" si="8"/>
        <v>1429545136487.7915</v>
      </c>
      <c r="AF9" s="20"/>
      <c r="AG9" s="26"/>
      <c r="AH9" s="18" t="s">
        <v>18</v>
      </c>
      <c r="AI9" s="25">
        <f>AI10+AI14+AI17+AI20+AI23+AI26</f>
        <v>143297229993.72235</v>
      </c>
      <c r="AJ9" s="25">
        <f t="shared" ref="AJ9:AT9" si="16">AJ10+AJ14+AJ17+AJ20+AJ23+AJ26</f>
        <v>152273633985.22598</v>
      </c>
      <c r="AK9" s="25">
        <f t="shared" si="16"/>
        <v>163415805292.01913</v>
      </c>
      <c r="AL9" s="25">
        <f t="shared" si="16"/>
        <v>174088107669.65625</v>
      </c>
      <c r="AM9" s="25">
        <f t="shared" si="16"/>
        <v>186086981598.03238</v>
      </c>
      <c r="AN9" s="25">
        <f t="shared" si="16"/>
        <v>197918852052.72415</v>
      </c>
      <c r="AO9" s="25">
        <f t="shared" si="16"/>
        <v>210139073733.65076</v>
      </c>
      <c r="AP9" s="25">
        <f t="shared" si="16"/>
        <v>222751857700.49432</v>
      </c>
      <c r="AQ9" s="25">
        <f t="shared" si="16"/>
        <v>237168568589.9913</v>
      </c>
      <c r="AR9" s="25">
        <f t="shared" si="16"/>
        <v>248623465130.29456</v>
      </c>
      <c r="AS9" s="25">
        <f t="shared" si="16"/>
        <v>261874528767.30835</v>
      </c>
      <c r="AT9" s="25">
        <f t="shared" si="16"/>
        <v>276047132449.71002</v>
      </c>
      <c r="AU9" s="25">
        <f t="shared" si="11"/>
        <v>2473685236962.8296</v>
      </c>
      <c r="AV9" s="20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</row>
    <row r="10" spans="1:65" s="4" customFormat="1">
      <c r="A10" s="16" t="s">
        <v>19</v>
      </c>
      <c r="B10" s="40">
        <f t="shared" si="6"/>
        <v>0.72896862908301663</v>
      </c>
      <c r="C10" s="50">
        <f>IFERROR(B10,0)</f>
        <v>0.72896862908301663</v>
      </c>
      <c r="D10" s="35">
        <f t="shared" si="1"/>
        <v>167388599156</v>
      </c>
      <c r="E10" s="13">
        <f t="shared" ref="E10:L10" si="17">SUM(E11:E13)</f>
        <v>7623886493</v>
      </c>
      <c r="F10" s="13">
        <f t="shared" si="17"/>
        <v>10147956150</v>
      </c>
      <c r="G10" s="13">
        <f t="shared" si="17"/>
        <v>7544483878</v>
      </c>
      <c r="H10" s="13">
        <f t="shared" si="17"/>
        <v>11676043557</v>
      </c>
      <c r="I10" s="13">
        <f t="shared" si="17"/>
        <v>11725540784</v>
      </c>
      <c r="J10" s="13">
        <f t="shared" si="17"/>
        <v>12851233295</v>
      </c>
      <c r="K10" s="13">
        <f t="shared" si="17"/>
        <v>13232162394</v>
      </c>
      <c r="L10" s="13">
        <f t="shared" si="17"/>
        <v>14698185849</v>
      </c>
      <c r="M10" s="13">
        <f t="shared" ref="M10:P10" si="18">SUM(M11:M13)</f>
        <v>16661545451</v>
      </c>
      <c r="N10" s="13">
        <f t="shared" si="18"/>
        <v>17183970172</v>
      </c>
      <c r="O10" s="13">
        <f>SUM(O11:O13)</f>
        <v>25513120557</v>
      </c>
      <c r="P10" s="13">
        <f t="shared" si="18"/>
        <v>18530470576</v>
      </c>
      <c r="Q10" s="13">
        <f t="shared" si="10"/>
        <v>167388599156</v>
      </c>
      <c r="R10" s="13">
        <f t="shared" si="7"/>
        <v>269710987755.45816</v>
      </c>
      <c r="S10" s="13">
        <f t="shared" ref="S10:T10" si="19">SUM(S11:S13)</f>
        <v>21711338392.222271</v>
      </c>
      <c r="T10" s="13">
        <f t="shared" si="19"/>
        <v>21382920943.44445</v>
      </c>
      <c r="U10" s="13">
        <f t="shared" ref="U10:Z10" si="20">SUM(U11:U13)</f>
        <v>21692524249</v>
      </c>
      <c r="V10" s="13">
        <f t="shared" si="20"/>
        <v>25388538271</v>
      </c>
      <c r="W10" s="13">
        <f t="shared" si="20"/>
        <v>31392916810</v>
      </c>
      <c r="X10" s="13">
        <f t="shared" si="20"/>
        <v>34885977665</v>
      </c>
      <c r="Y10" s="13">
        <f t="shared" si="20"/>
        <v>30192067366</v>
      </c>
      <c r="Z10" s="13">
        <f t="shared" si="20"/>
        <v>40646648749</v>
      </c>
      <c r="AA10" s="13">
        <f t="shared" ref="AA10:AB10" si="21">SUM(AA11:AA13)</f>
        <v>42418055309.791443</v>
      </c>
      <c r="AB10" s="13">
        <f t="shared" si="21"/>
        <v>0</v>
      </c>
      <c r="AC10" s="13">
        <f>SUM(AC11:AC13)</f>
        <v>0</v>
      </c>
      <c r="AD10" s="13">
        <f>SUM(AD11:AD13)</f>
        <v>0</v>
      </c>
      <c r="AE10" s="13">
        <f t="shared" si="8"/>
        <v>269710987755.45816</v>
      </c>
      <c r="AF10" s="13"/>
      <c r="AG10" s="24"/>
      <c r="AH10" s="16" t="s">
        <v>19</v>
      </c>
      <c r="AI10" s="12">
        <f>AI11+AI13+AI12</f>
        <v>24491781744.4678</v>
      </c>
      <c r="AJ10" s="12">
        <f t="shared" ref="AJ10:AT10" si="22">AJ11+AJ13+AJ12</f>
        <v>24660502545.011551</v>
      </c>
      <c r="AK10" s="12">
        <f t="shared" si="22"/>
        <v>25711473740.762768</v>
      </c>
      <c r="AL10" s="12">
        <f t="shared" si="22"/>
        <v>26474627286.027317</v>
      </c>
      <c r="AM10" s="12">
        <f t="shared" si="22"/>
        <v>28400957761.443256</v>
      </c>
      <c r="AN10" s="12">
        <f t="shared" si="22"/>
        <v>29979383379.31374</v>
      </c>
      <c r="AO10" s="12">
        <f t="shared" si="22"/>
        <v>31526726413.438148</v>
      </c>
      <c r="AP10" s="12">
        <f t="shared" si="22"/>
        <v>32796977734.30183</v>
      </c>
      <c r="AQ10" s="12">
        <f t="shared" si="22"/>
        <v>35509454163.99044</v>
      </c>
      <c r="AR10" s="12">
        <f t="shared" si="22"/>
        <v>35250597350.51387</v>
      </c>
      <c r="AS10" s="12">
        <f t="shared" si="22"/>
        <v>36627526502.347458</v>
      </c>
      <c r="AT10" s="12">
        <f t="shared" si="22"/>
        <v>38559833183.690689</v>
      </c>
      <c r="AU10" s="14">
        <f t="shared" si="11"/>
        <v>369989841805.30884</v>
      </c>
      <c r="AV10" s="13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</row>
    <row r="11" spans="1:65" s="92" customFormat="1">
      <c r="A11" s="22" t="s">
        <v>20</v>
      </c>
      <c r="B11" s="40">
        <f t="shared" si="6"/>
        <v>0.63888264986522081</v>
      </c>
      <c r="C11" s="136">
        <f t="shared" si="9"/>
        <v>0.63888264986522081</v>
      </c>
      <c r="D11" s="137">
        <f t="shared" ref="D11:D50" si="23">SUM(E11:P11)</f>
        <v>95902899947</v>
      </c>
      <c r="E11" s="138">
        <f>4472730286-2321927855+2335699134</f>
        <v>4486501565</v>
      </c>
      <c r="F11" s="138">
        <f>4580516789+2321927855-1010518810</f>
        <v>5891925834</v>
      </c>
      <c r="G11" s="138">
        <f>5926713484+1010518810+3043745-2819491515</f>
        <v>4120784524</v>
      </c>
      <c r="H11" s="138">
        <f>7180956467+2819491515-2808491427+4091729</f>
        <v>7196048284</v>
      </c>
      <c r="I11" s="138">
        <f>7197889399+2808491427-3154407914</f>
        <v>6851972912</v>
      </c>
      <c r="J11" s="138">
        <f>8279181293+3154407914-3533621420</f>
        <v>7899967787</v>
      </c>
      <c r="K11" s="138">
        <f>7970752555+3533621420-3733269308</f>
        <v>7771104667</v>
      </c>
      <c r="L11" s="138">
        <f>9429096125+3733269308-4206787379</f>
        <v>8955578054</v>
      </c>
      <c r="M11" s="138">
        <f>10110875323+4206787379-4407951982</f>
        <v>9909710720</v>
      </c>
      <c r="N11" s="138">
        <f>10184346142+4407951982-4548658214</f>
        <v>10043639910</v>
      </c>
      <c r="O11" s="139">
        <f>11747409847+4548658214-5034040644</f>
        <v>11262027417</v>
      </c>
      <c r="P11" s="138">
        <f>11718103524+5034040644-5238505895</f>
        <v>11513638273</v>
      </c>
      <c r="Q11" s="138">
        <f t="shared" si="10"/>
        <v>95902899947</v>
      </c>
      <c r="R11" s="138">
        <f t="shared" si="7"/>
        <v>146245910234.5556</v>
      </c>
      <c r="S11" s="138">
        <f>12736.3252655556*10^6</f>
        <v>12736325265.555601</v>
      </c>
      <c r="T11" s="11">
        <f>12711.793072*10^6</f>
        <v>12711793072</v>
      </c>
      <c r="U11" s="138">
        <f>18302210300-6396782252</f>
        <v>11905428048</v>
      </c>
      <c r="V11" s="138">
        <v>15048779990</v>
      </c>
      <c r="W11" s="138">
        <f>20038520765-4475367874</f>
        <v>15563152891</v>
      </c>
      <c r="X11" s="138">
        <v>17460193644</v>
      </c>
      <c r="Y11" s="138">
        <v>17669830163</v>
      </c>
      <c r="Z11" s="138">
        <v>21451679111</v>
      </c>
      <c r="AA11" s="138">
        <v>21698728050</v>
      </c>
      <c r="AB11" s="138"/>
      <c r="AC11" s="139"/>
      <c r="AD11" s="138"/>
      <c r="AE11" s="138">
        <f t="shared" si="8"/>
        <v>146245910234.5556</v>
      </c>
      <c r="AF11" s="138"/>
      <c r="AG11" s="140"/>
      <c r="AH11" s="22" t="s">
        <v>20</v>
      </c>
      <c r="AI11" s="139">
        <v>14715021624.781538</v>
      </c>
      <c r="AJ11" s="139">
        <v>15000640092.351234</v>
      </c>
      <c r="AK11" s="139">
        <v>15518773980.959518</v>
      </c>
      <c r="AL11" s="139">
        <v>16570557511.71373</v>
      </c>
      <c r="AM11" s="139">
        <v>17549573529.569912</v>
      </c>
      <c r="AN11" s="139">
        <v>18466108589.636425</v>
      </c>
      <c r="AO11" s="139">
        <v>19406627947.048946</v>
      </c>
      <c r="AP11" s="139">
        <v>20368331563.373665</v>
      </c>
      <c r="AQ11" s="139">
        <v>21333336573.484234</v>
      </c>
      <c r="AR11" s="139">
        <v>22318701450.527897</v>
      </c>
      <c r="AS11" s="139">
        <v>23341117649.669895</v>
      </c>
      <c r="AT11" s="139">
        <v>24320086986.38591</v>
      </c>
      <c r="AU11" s="12">
        <f t="shared" si="11"/>
        <v>228908877499.50287</v>
      </c>
      <c r="AV11" s="141"/>
      <c r="AW11" s="142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</row>
    <row r="12" spans="1:65" s="68" customFormat="1">
      <c r="A12" s="22" t="s">
        <v>21</v>
      </c>
      <c r="B12" s="40">
        <f t="shared" si="6"/>
        <v>0.62553037110763821</v>
      </c>
      <c r="C12" s="136">
        <f t="shared" si="9"/>
        <v>0.62553037110763821</v>
      </c>
      <c r="D12" s="137">
        <f t="shared" si="23"/>
        <v>24576789128</v>
      </c>
      <c r="E12" s="138">
        <v>1179443896</v>
      </c>
      <c r="F12" s="138">
        <v>1032636916</v>
      </c>
      <c r="G12" s="138">
        <v>1883604576</v>
      </c>
      <c r="H12" s="138">
        <v>1578834209</v>
      </c>
      <c r="I12" s="138">
        <v>2075789609</v>
      </c>
      <c r="J12" s="221">
        <f>1823578547</f>
        <v>1823578547</v>
      </c>
      <c r="K12" s="138">
        <v>2210803421</v>
      </c>
      <c r="L12" s="70">
        <v>2137698801</v>
      </c>
      <c r="M12" s="138">
        <v>2380438413</v>
      </c>
      <c r="N12" s="138">
        <v>2682994684</v>
      </c>
      <c r="O12" s="70">
        <v>2609854914</v>
      </c>
      <c r="P12" s="138">
        <v>2981111142</v>
      </c>
      <c r="Q12" s="138">
        <f t="shared" si="10"/>
        <v>24576789128</v>
      </c>
      <c r="R12" s="138">
        <f t="shared" si="7"/>
        <v>29444386950.791443</v>
      </c>
      <c r="S12" s="138">
        <v>2326092651</v>
      </c>
      <c r="T12" s="11">
        <v>3294432114</v>
      </c>
      <c r="U12" s="138">
        <v>3200762702</v>
      </c>
      <c r="V12" s="138">
        <v>2818191674</v>
      </c>
      <c r="W12" s="138">
        <v>3413548040</v>
      </c>
      <c r="X12" s="221">
        <v>3274779830</v>
      </c>
      <c r="Y12" s="138">
        <v>3811177050</v>
      </c>
      <c r="Z12" s="70">
        <v>3483623072</v>
      </c>
      <c r="AA12" s="138">
        <v>3821779817.7914429</v>
      </c>
      <c r="AB12" s="138"/>
      <c r="AC12" s="70"/>
      <c r="AD12" s="138"/>
      <c r="AE12" s="138">
        <f t="shared" si="8"/>
        <v>29444386950.791443</v>
      </c>
      <c r="AF12" s="138"/>
      <c r="AG12" s="142"/>
      <c r="AH12" s="22" t="s">
        <v>21</v>
      </c>
      <c r="AI12" s="142">
        <v>3066265011.0506949</v>
      </c>
      <c r="AJ12" s="142">
        <v>3206163446.7347236</v>
      </c>
      <c r="AK12" s="142">
        <v>3350654629.9187512</v>
      </c>
      <c r="AL12" s="142">
        <v>3499803598.1027794</v>
      </c>
      <c r="AM12" s="142">
        <v>3653675388.7868071</v>
      </c>
      <c r="AN12" s="142">
        <v>3812335039.4708357</v>
      </c>
      <c r="AO12" s="142">
        <v>3975847587.6548634</v>
      </c>
      <c r="AP12" s="142">
        <v>4144278070.838891</v>
      </c>
      <c r="AQ12" s="142">
        <v>4317691526.5229197</v>
      </c>
      <c r="AR12" s="142">
        <v>4496152992.2069473</v>
      </c>
      <c r="AS12" s="142">
        <v>4679727505.390976</v>
      </c>
      <c r="AT12" s="142">
        <v>4868480103.5750008</v>
      </c>
      <c r="AU12" s="12">
        <f t="shared" si="11"/>
        <v>47071074900.254196</v>
      </c>
      <c r="AV12" s="141"/>
      <c r="AW12" s="142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</row>
    <row r="13" spans="1:65" s="68" customFormat="1">
      <c r="A13" s="22" t="s">
        <v>22</v>
      </c>
      <c r="B13" s="40">
        <f t="shared" si="6"/>
        <v>1.0001148939183702</v>
      </c>
      <c r="C13" s="136">
        <f t="shared" si="9"/>
        <v>1.0001148939183702</v>
      </c>
      <c r="D13" s="137">
        <f t="shared" si="23"/>
        <v>46908910081</v>
      </c>
      <c r="E13" s="138">
        <f>2078100221-1777041072+1656881883</f>
        <v>1957941032</v>
      </c>
      <c r="F13" s="138">
        <f>2240721485+1777041072-794369157</f>
        <v>3223393400</v>
      </c>
      <c r="G13" s="138">
        <f>2881710239+794369157-2135984618</f>
        <v>1540094778</v>
      </c>
      <c r="H13" s="138">
        <f>2744496517+2135984618-1979320071</f>
        <v>2901161064</v>
      </c>
      <c r="I13" s="138">
        <f>3016665362+1979320071-2198207170</f>
        <v>2797778263</v>
      </c>
      <c r="J13" s="138">
        <f>3509253994+2198207170-2579774203</f>
        <v>3127686961</v>
      </c>
      <c r="K13" s="138">
        <f>3081788559+2579774203-2552674298+141365842</f>
        <v>3250254306</v>
      </c>
      <c r="L13" s="138">
        <f>4024643118+2552674298-2972408422</f>
        <v>3604908994</v>
      </c>
      <c r="M13" s="138">
        <f>4576228503+2972408422-3177240607</f>
        <v>4371396318</v>
      </c>
      <c r="N13" s="138">
        <f>4497390199+3177240607-3217295228</f>
        <v>4457335578</v>
      </c>
      <c r="O13" s="139">
        <f>12793137531+3217295228-4369194533</f>
        <v>11641238226</v>
      </c>
      <c r="P13" s="138">
        <f>3794145294+4369194533-4127618666</f>
        <v>4035721161</v>
      </c>
      <c r="Q13" s="138">
        <f t="shared" si="10"/>
        <v>46908910081</v>
      </c>
      <c r="R13" s="138">
        <f t="shared" si="7"/>
        <v>94020690570.111115</v>
      </c>
      <c r="S13" s="138">
        <f>8975.01312666667*10^6-S12</f>
        <v>6648920475.6666698</v>
      </c>
      <c r="T13" s="11">
        <f>8671.12787144445*10^6-T12</f>
        <v>5376695757.4444504</v>
      </c>
      <c r="U13" s="138">
        <f>11625545500-5039212001</f>
        <v>6586333499</v>
      </c>
      <c r="V13" s="138">
        <v>7521566607</v>
      </c>
      <c r="W13" s="138">
        <f>15959900985-5887321470+2343636364</f>
        <v>12416215879</v>
      </c>
      <c r="X13" s="138">
        <v>14151004191</v>
      </c>
      <c r="Y13" s="138">
        <v>8711060153</v>
      </c>
      <c r="Z13" s="138">
        <v>15711346566</v>
      </c>
      <c r="AA13" s="138">
        <v>16897547442</v>
      </c>
      <c r="AB13" s="138"/>
      <c r="AC13" s="139"/>
      <c r="AD13" s="138"/>
      <c r="AE13" s="138">
        <f t="shared" si="8"/>
        <v>94020690570.111115</v>
      </c>
      <c r="AF13" s="138"/>
      <c r="AG13" s="142"/>
      <c r="AH13" s="22" t="s">
        <v>22</v>
      </c>
      <c r="AI13" s="139">
        <v>6710495108.6355667</v>
      </c>
      <c r="AJ13" s="139">
        <v>6453699005.9255943</v>
      </c>
      <c r="AK13" s="139">
        <v>6842045129.8844967</v>
      </c>
      <c r="AL13" s="139">
        <v>6404266176.2108059</v>
      </c>
      <c r="AM13" s="139">
        <v>7197708843.0865355</v>
      </c>
      <c r="AN13" s="139">
        <v>7700939750.2064791</v>
      </c>
      <c r="AO13" s="139">
        <v>8144250878.7343369</v>
      </c>
      <c r="AP13" s="139">
        <v>8284368100.0892744</v>
      </c>
      <c r="AQ13" s="139">
        <f>8415426063.98329+1443000000</f>
        <v>9858426063.9832897</v>
      </c>
      <c r="AR13" s="139">
        <v>8435742907.7790241</v>
      </c>
      <c r="AS13" s="139">
        <v>8606681347.2865849</v>
      </c>
      <c r="AT13" s="139">
        <v>9371266093.729784</v>
      </c>
      <c r="AU13" s="12">
        <f t="shared" si="11"/>
        <v>94009889405.551773</v>
      </c>
      <c r="AV13" s="141"/>
      <c r="AW13" s="142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</row>
    <row r="14" spans="1:65" ht="14.5" customHeight="1">
      <c r="A14" s="16" t="s">
        <v>23</v>
      </c>
      <c r="B14" s="40">
        <f t="shared" si="6"/>
        <v>0.58067341493850511</v>
      </c>
      <c r="C14" s="50">
        <f t="shared" si="9"/>
        <v>0.58067341493850511</v>
      </c>
      <c r="D14" s="35">
        <f t="shared" si="23"/>
        <v>477188352728.29895</v>
      </c>
      <c r="E14" s="13">
        <f>10130937223-1253000493-10154+1011910704+8044520+3605537323</f>
        <v>13503419123</v>
      </c>
      <c r="F14" s="13">
        <f>10454533267+1253000493+3480522-1545241177-68489+2164718047</f>
        <v>12330422663</v>
      </c>
      <c r="G14" s="13">
        <f>13224508357-1781009381+2721694059</f>
        <v>14165193035</v>
      </c>
      <c r="H14" s="13">
        <f>12480657889+1781009381-3262357-1929235088+5231264000.18855</f>
        <v>17560433825.188549</v>
      </c>
      <c r="I14" s="13">
        <f>17340858209.331+5852182828</f>
        <v>23193041037.331001</v>
      </c>
      <c r="J14" s="13">
        <f>18601155077+94707+10677923598+1228568678.77941-2284902288</f>
        <v>28222839772.779411</v>
      </c>
      <c r="K14" s="13">
        <f>30199814953+2284902288-2735072822+15952581491</f>
        <v>45702225910</v>
      </c>
      <c r="L14" s="13">
        <f>38164890166+2735072822-3902972065+14766644848</f>
        <v>51763635771</v>
      </c>
      <c r="M14" s="141">
        <f>40636567084+982792501+3902972065-5064275848+15057642423</f>
        <v>55515698225</v>
      </c>
      <c r="N14" s="13">
        <f>56723522005-6459362775+17219877407</f>
        <v>67484036637</v>
      </c>
      <c r="O14" s="14">
        <f>61334925217-7432024033+16282957435</f>
        <v>70185858619</v>
      </c>
      <c r="P14" s="13">
        <f>60932617104+7432024033-8216161374+17413068347</f>
        <v>77561548110</v>
      </c>
      <c r="Q14" s="11">
        <f t="shared" si="10"/>
        <v>477188352728.29895</v>
      </c>
      <c r="R14" s="11">
        <f t="shared" si="7"/>
        <v>959930881980.44458</v>
      </c>
      <c r="S14" s="11">
        <f t="shared" ref="S14:AA14" si="24">S15+S16</f>
        <v>82877028185.777802</v>
      </c>
      <c r="T14" s="11">
        <f t="shared" si="24"/>
        <v>73536218360.666702</v>
      </c>
      <c r="U14" s="11">
        <f t="shared" si="24"/>
        <v>90806987870</v>
      </c>
      <c r="V14" s="11">
        <f t="shared" si="24"/>
        <v>100311182969</v>
      </c>
      <c r="W14" s="11">
        <f t="shared" si="24"/>
        <v>110191364925</v>
      </c>
      <c r="X14" s="11">
        <f t="shared" si="24"/>
        <v>96646485412</v>
      </c>
      <c r="Y14" s="11">
        <f t="shared" si="24"/>
        <v>115799565506</v>
      </c>
      <c r="Z14" s="11">
        <f t="shared" si="24"/>
        <v>136486258184</v>
      </c>
      <c r="AA14" s="11">
        <f t="shared" si="24"/>
        <v>153275790568</v>
      </c>
      <c r="AB14" s="11"/>
      <c r="AC14" s="12"/>
      <c r="AD14" s="11"/>
      <c r="AE14" s="11">
        <f t="shared" si="8"/>
        <v>959930881980.44458</v>
      </c>
      <c r="AF14" s="11"/>
      <c r="AG14" s="5"/>
      <c r="AH14" s="16" t="s">
        <v>23</v>
      </c>
      <c r="AI14" s="12">
        <f>AI15+AI16</f>
        <v>92364421666.25592</v>
      </c>
      <c r="AJ14" s="12">
        <f t="shared" ref="AJ14:AT14" si="25">AJ15+AJ16</f>
        <v>99649496217.697968</v>
      </c>
      <c r="AK14" s="12">
        <f t="shared" si="25"/>
        <v>107826815621.82404</v>
      </c>
      <c r="AL14" s="12">
        <f t="shared" si="25"/>
        <v>115916930788.93898</v>
      </c>
      <c r="AM14" s="12">
        <f t="shared" si="25"/>
        <v>124022556905.10014</v>
      </c>
      <c r="AN14" s="12">
        <f t="shared" si="25"/>
        <v>132242058852.6864</v>
      </c>
      <c r="AO14" s="12">
        <f t="shared" si="25"/>
        <v>140702212072.8313</v>
      </c>
      <c r="AP14" s="12">
        <f t="shared" si="25"/>
        <v>149716426190.27765</v>
      </c>
      <c r="AQ14" s="12">
        <f t="shared" si="25"/>
        <v>158955247223.27979</v>
      </c>
      <c r="AR14" s="12">
        <f t="shared" si="25"/>
        <v>168048622681.27704</v>
      </c>
      <c r="AS14" s="12">
        <f t="shared" si="25"/>
        <v>177153675685.84943</v>
      </c>
      <c r="AT14" s="12">
        <f t="shared" si="25"/>
        <v>186535392897.29984</v>
      </c>
      <c r="AU14" s="14">
        <f t="shared" si="11"/>
        <v>1653133856803.3184</v>
      </c>
      <c r="AV14" s="11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</row>
    <row r="15" spans="1:65" ht="14.5" customHeight="1">
      <c r="A15" s="22" t="s">
        <v>20</v>
      </c>
      <c r="B15" s="40"/>
      <c r="C15" s="50"/>
      <c r="D15" s="35"/>
      <c r="E15" s="11">
        <v>9822684664</v>
      </c>
      <c r="F15" s="11">
        <v>10060580608</v>
      </c>
      <c r="G15" s="11">
        <v>11255014335</v>
      </c>
      <c r="H15" s="11">
        <v>12126013651</v>
      </c>
      <c r="I15" s="11">
        <v>17109986037</v>
      </c>
      <c r="J15" s="11">
        <v>16046492631</v>
      </c>
      <c r="K15" s="11">
        <v>29242392962</v>
      </c>
      <c r="L15" s="11">
        <v>35636664319</v>
      </c>
      <c r="M15" s="138">
        <v>39472033518</v>
      </c>
      <c r="N15" s="11">
        <v>48402415531</v>
      </c>
      <c r="O15" s="12">
        <v>51497992410</v>
      </c>
      <c r="P15" s="11">
        <v>56912007079</v>
      </c>
      <c r="Q15" s="11">
        <f t="shared" si="10"/>
        <v>337584277745</v>
      </c>
      <c r="R15" s="11">
        <f t="shared" si="7"/>
        <v>792761857232.77783</v>
      </c>
      <c r="S15" s="11">
        <f>63352.4307067778*10^6</f>
        <v>63352430706.777802</v>
      </c>
      <c r="T15" s="11">
        <v>58657425818</v>
      </c>
      <c r="U15" s="11">
        <f>76344334175-8811641235</f>
        <v>67532692940</v>
      </c>
      <c r="V15" s="11">
        <v>71488136425</v>
      </c>
      <c r="W15" s="11">
        <f>91069031847-9633540635</f>
        <v>81435491212</v>
      </c>
      <c r="X15" s="11">
        <v>88142639448</v>
      </c>
      <c r="Y15" s="11">
        <v>105404205925</v>
      </c>
      <c r="Z15" s="11">
        <v>121870162370</v>
      </c>
      <c r="AA15" s="138">
        <v>134878672388</v>
      </c>
      <c r="AB15" s="11"/>
      <c r="AC15" s="12"/>
      <c r="AD15" s="11"/>
      <c r="AE15" s="11"/>
      <c r="AF15" s="11"/>
      <c r="AG15" s="5"/>
      <c r="AH15" s="16"/>
      <c r="AI15" s="12">
        <v>70792640841.675613</v>
      </c>
      <c r="AJ15" s="12">
        <v>76628825549.557907</v>
      </c>
      <c r="AK15" s="12">
        <v>83343191339.042084</v>
      </c>
      <c r="AL15" s="12">
        <v>89959762434.898483</v>
      </c>
      <c r="AM15" s="12">
        <v>96579175810.831726</v>
      </c>
      <c r="AN15" s="12">
        <v>103305764531.22049</v>
      </c>
      <c r="AO15" s="12">
        <v>110264941665.45148</v>
      </c>
      <c r="AP15" s="12">
        <v>117756776207.1033</v>
      </c>
      <c r="AQ15" s="12">
        <v>125468355661.62891</v>
      </c>
      <c r="AR15" s="12">
        <v>133031440423.47385</v>
      </c>
      <c r="AS15" s="12">
        <v>140609349302.19324</v>
      </c>
      <c r="AT15" s="12">
        <v>148461443494.92233</v>
      </c>
      <c r="AU15" s="12">
        <f t="shared" si="11"/>
        <v>1296201667261.9995</v>
      </c>
      <c r="AV15" s="11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</row>
    <row r="16" spans="1:65" ht="14.5" customHeight="1">
      <c r="A16" s="22" t="s">
        <v>22</v>
      </c>
      <c r="B16" s="40"/>
      <c r="C16" s="50"/>
      <c r="D16" s="35"/>
      <c r="E16" s="11">
        <v>3680734459</v>
      </c>
      <c r="F16" s="11">
        <v>2269842055</v>
      </c>
      <c r="G16" s="11">
        <v>2910178700</v>
      </c>
      <c r="H16" s="11">
        <v>5434420174.188549</v>
      </c>
      <c r="I16" s="11">
        <v>6083055000.3310013</v>
      </c>
      <c r="J16" s="11">
        <v>12176347141.779411</v>
      </c>
      <c r="K16" s="11">
        <v>16459832948</v>
      </c>
      <c r="L16" s="11">
        <v>16126971452</v>
      </c>
      <c r="M16" s="11">
        <v>16043664707</v>
      </c>
      <c r="N16" s="11">
        <v>19081621106</v>
      </c>
      <c r="O16" s="11">
        <v>18687866209</v>
      </c>
      <c r="P16" s="11">
        <v>20649541031</v>
      </c>
      <c r="Q16" s="11">
        <f t="shared" si="10"/>
        <v>139604074983.29895</v>
      </c>
      <c r="R16" s="11">
        <f t="shared" si="7"/>
        <v>167169024747.66669</v>
      </c>
      <c r="S16" s="11">
        <f>2585208550+16939388929</f>
        <v>19524597479</v>
      </c>
      <c r="T16" s="11">
        <v>14878792542.6667</v>
      </c>
      <c r="U16" s="11">
        <f>4357697099+18916597831</f>
        <v>23274294930</v>
      </c>
      <c r="V16" s="11">
        <f>5294534965+23528511579</f>
        <v>28823046544</v>
      </c>
      <c r="W16" s="11">
        <f>5102530001+23653343712</f>
        <v>28755873713</v>
      </c>
      <c r="X16" s="11">
        <v>8503845964</v>
      </c>
      <c r="Y16" s="11">
        <v>10395359581</v>
      </c>
      <c r="Z16" s="11">
        <v>14616095814</v>
      </c>
      <c r="AA16" s="138">
        <v>18397118180</v>
      </c>
      <c r="AB16" s="11"/>
      <c r="AC16" s="12"/>
      <c r="AD16" s="11"/>
      <c r="AE16" s="11"/>
      <c r="AF16" s="11"/>
      <c r="AG16" s="5"/>
      <c r="AH16" s="16"/>
      <c r="AI16" s="12">
        <v>21571780824.580303</v>
      </c>
      <c r="AJ16" s="12">
        <v>23020670668.140068</v>
      </c>
      <c r="AK16" s="12">
        <v>24483624282.78196</v>
      </c>
      <c r="AL16" s="12">
        <v>25957168354.040497</v>
      </c>
      <c r="AM16" s="12">
        <v>27443381094.268417</v>
      </c>
      <c r="AN16" s="12">
        <v>28936294321.465904</v>
      </c>
      <c r="AO16" s="12">
        <v>30437270407.379826</v>
      </c>
      <c r="AP16" s="12">
        <v>31959649983.174351</v>
      </c>
      <c r="AQ16" s="12">
        <v>33486891561.650879</v>
      </c>
      <c r="AR16" s="12">
        <v>35017182257.803185</v>
      </c>
      <c r="AS16" s="12">
        <v>36544326383.656197</v>
      </c>
      <c r="AT16" s="12">
        <v>38073949402.377495</v>
      </c>
      <c r="AU16" s="12">
        <f t="shared" si="11"/>
        <v>356932189541.31903</v>
      </c>
      <c r="AV16" s="11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</row>
    <row r="17" spans="1:61">
      <c r="A17" s="16" t="s">
        <v>24</v>
      </c>
      <c r="B17" s="40">
        <f t="shared" si="6"/>
        <v>0.51726684159987735</v>
      </c>
      <c r="C17" s="50">
        <f t="shared" si="9"/>
        <v>0.51726684159987735</v>
      </c>
      <c r="D17" s="35">
        <f t="shared" si="23"/>
        <v>128361783027.9037</v>
      </c>
      <c r="E17" s="13">
        <f>1731837685-27551638+74763964+3024414731</f>
        <v>4803464742</v>
      </c>
      <c r="F17" s="13">
        <f>1893405606+27551638-58249898+3016914165</f>
        <v>4879621511</v>
      </c>
      <c r="G17" s="13">
        <f>2433097916-43185351+3959227879.2</f>
        <v>6349140444.1999998</v>
      </c>
      <c r="H17" s="13">
        <f>2738252099+43185351-41105355+4667859999.7037</f>
        <v>7408192094.7037001</v>
      </c>
      <c r="I17" s="13">
        <f>3395471237+5796804892</f>
        <v>9192276129</v>
      </c>
      <c r="J17" s="13">
        <f>3609434923+6424397168-56271600</f>
        <v>9977560491</v>
      </c>
      <c r="K17" s="13">
        <f>4540246107+56271600-47851261+7851414034</f>
        <v>12400080480</v>
      </c>
      <c r="L17" s="13">
        <f>4985545722+47851261-77340097+8520985077</f>
        <v>13477041963</v>
      </c>
      <c r="M17" s="141">
        <f>5060551048+77340097-75500112+8309967451</f>
        <v>13372358484</v>
      </c>
      <c r="N17" s="13">
        <f>5558900401-96699988+9087046603</f>
        <v>14549247016</v>
      </c>
      <c r="O17" s="14">
        <f>5321181281-77091089+8427493438</f>
        <v>13671583630</v>
      </c>
      <c r="P17" s="13">
        <f>6675824625+77091089-135438883+11663739212</f>
        <v>18281216043</v>
      </c>
      <c r="Q17" s="11">
        <f>SUM(E17:P17)</f>
        <v>128361783027.9037</v>
      </c>
      <c r="R17" s="11">
        <f t="shared" si="7"/>
        <v>120692032642.11111</v>
      </c>
      <c r="S17" s="11">
        <f t="shared" ref="S17:AA17" si="26">S18+S19</f>
        <v>16267744658.111111</v>
      </c>
      <c r="T17" s="11">
        <f t="shared" si="26"/>
        <v>14704552067</v>
      </c>
      <c r="U17" s="11">
        <f t="shared" si="26"/>
        <v>17050685748</v>
      </c>
      <c r="V17" s="11">
        <f t="shared" si="26"/>
        <v>16823379156</v>
      </c>
      <c r="W17" s="11">
        <f t="shared" si="26"/>
        <v>17302527583</v>
      </c>
      <c r="X17" s="11">
        <f t="shared" si="26"/>
        <v>6648549132</v>
      </c>
      <c r="Y17" s="11">
        <f t="shared" si="26"/>
        <v>7509366443</v>
      </c>
      <c r="Z17" s="11">
        <f t="shared" si="26"/>
        <v>10664313763</v>
      </c>
      <c r="AA17" s="11">
        <f t="shared" si="26"/>
        <v>13720914092</v>
      </c>
      <c r="AB17" s="11"/>
      <c r="AC17" s="12"/>
      <c r="AD17" s="11"/>
      <c r="AE17" s="11">
        <f t="shared" si="8"/>
        <v>120692032642.11111</v>
      </c>
      <c r="AF17" s="11"/>
      <c r="AG17" s="5"/>
      <c r="AH17" s="16" t="s">
        <v>24</v>
      </c>
      <c r="AI17" s="12">
        <f>AI18+AI19</f>
        <v>16676379660.651398</v>
      </c>
      <c r="AJ17" s="12">
        <f t="shared" ref="AJ17:AT17" si="27">AJ18+AJ19</f>
        <v>17204841656.655411</v>
      </c>
      <c r="AK17" s="12">
        <f t="shared" si="27"/>
        <v>17898853530.821712</v>
      </c>
      <c r="AL17" s="12">
        <f t="shared" si="27"/>
        <v>18346539604.515068</v>
      </c>
      <c r="AM17" s="12">
        <f t="shared" si="27"/>
        <v>18802132939.779953</v>
      </c>
      <c r="AN17" s="12">
        <f t="shared" si="27"/>
        <v>19259966115.038296</v>
      </c>
      <c r="AO17" s="12">
        <f t="shared" si="27"/>
        <v>19714453883.630836</v>
      </c>
      <c r="AP17" s="12">
        <f t="shared" si="27"/>
        <v>20166860387.228985</v>
      </c>
      <c r="AQ17" s="12">
        <f t="shared" si="27"/>
        <v>20616351691.447662</v>
      </c>
      <c r="AR17" s="12">
        <f t="shared" si="27"/>
        <v>21081108423.766972</v>
      </c>
      <c r="AS17" s="12">
        <f t="shared" si="27"/>
        <v>21553839113.101078</v>
      </c>
      <c r="AT17" s="12">
        <f t="shared" si="27"/>
        <v>22005116785.540421</v>
      </c>
      <c r="AU17" s="14">
        <f t="shared" si="11"/>
        <v>233326443792.1778</v>
      </c>
      <c r="AV17" s="1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</row>
    <row r="18" spans="1:61">
      <c r="A18" s="22" t="s">
        <v>20</v>
      </c>
      <c r="B18" s="40"/>
      <c r="C18" s="50"/>
      <c r="D18" s="35"/>
      <c r="E18" s="11">
        <v>1779050011</v>
      </c>
      <c r="F18" s="11">
        <v>1862707346</v>
      </c>
      <c r="G18" s="11">
        <v>2389912565</v>
      </c>
      <c r="H18" s="11">
        <v>2740332095</v>
      </c>
      <c r="I18" s="11">
        <v>3395471237</v>
      </c>
      <c r="J18" s="11">
        <v>3553163323</v>
      </c>
      <c r="K18" s="11">
        <v>4548666446</v>
      </c>
      <c r="L18" s="11">
        <v>4956056886</v>
      </c>
      <c r="M18" s="138">
        <v>5062391033</v>
      </c>
      <c r="N18" s="11">
        <v>5462200413</v>
      </c>
      <c r="O18" s="12">
        <v>5244090192</v>
      </c>
      <c r="P18" s="11">
        <v>6508988960</v>
      </c>
      <c r="Q18" s="11">
        <f t="shared" ref="Q18:Q19" si="28">SUM(E18:P18)</f>
        <v>47503030507</v>
      </c>
      <c r="R18" s="11">
        <f t="shared" si="7"/>
        <v>70085585308.111115</v>
      </c>
      <c r="S18" s="11">
        <f>6617.74465811111*10^6</f>
        <v>6617744658.1111097</v>
      </c>
      <c r="T18" s="11">
        <f>5508.505087*10^6</f>
        <v>5508505087</v>
      </c>
      <c r="U18" s="11">
        <f>6359746765-106193778</f>
        <v>6253552987</v>
      </c>
      <c r="V18" s="11">
        <v>6473661986</v>
      </c>
      <c r="W18" s="11">
        <f>6794376825-105399665</f>
        <v>6688977160</v>
      </c>
      <c r="X18" s="11">
        <v>6648549132</v>
      </c>
      <c r="Y18" s="11">
        <v>7509366443</v>
      </c>
      <c r="Z18" s="11">
        <v>10664313763</v>
      </c>
      <c r="AA18" s="138">
        <v>13720914092</v>
      </c>
      <c r="AB18" s="11"/>
      <c r="AC18" s="12"/>
      <c r="AD18" s="11"/>
      <c r="AE18" s="11"/>
      <c r="AF18" s="11"/>
      <c r="AG18" s="5"/>
      <c r="AH18" s="16"/>
      <c r="AI18" s="12">
        <v>6109746327.3180647</v>
      </c>
      <c r="AJ18" s="12">
        <v>6339574989.9887476</v>
      </c>
      <c r="AK18" s="12">
        <v>6734953530.8217134</v>
      </c>
      <c r="AL18" s="12">
        <v>6884006271.1817341</v>
      </c>
      <c r="AM18" s="12">
        <v>7040966273.1132898</v>
      </c>
      <c r="AN18" s="12">
        <v>7200166115.0382996</v>
      </c>
      <c r="AO18" s="12">
        <v>7356020550.2975101</v>
      </c>
      <c r="AP18" s="12">
        <v>7509793720.5623226</v>
      </c>
      <c r="AQ18" s="12">
        <v>7660651691.4476719</v>
      </c>
      <c r="AR18" s="12">
        <v>7826775090.4336424</v>
      </c>
      <c r="AS18" s="12">
        <v>8000872446.4344196</v>
      </c>
      <c r="AT18" s="12">
        <v>8153516785.5404215</v>
      </c>
      <c r="AU18" s="12">
        <f t="shared" si="11"/>
        <v>86817043792.177826</v>
      </c>
      <c r="AV18" s="1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</row>
    <row r="19" spans="1:61">
      <c r="A19" s="22" t="s">
        <v>22</v>
      </c>
      <c r="B19" s="40"/>
      <c r="C19" s="50"/>
      <c r="D19" s="35"/>
      <c r="E19" s="11">
        <v>3024414731</v>
      </c>
      <c r="F19" s="11">
        <v>3016914165</v>
      </c>
      <c r="G19" s="11">
        <v>3959227879.1999998</v>
      </c>
      <c r="H19" s="11">
        <v>4667859999.7037001</v>
      </c>
      <c r="I19" s="11">
        <v>5796804892</v>
      </c>
      <c r="J19" s="11">
        <v>6424397168</v>
      </c>
      <c r="K19" s="11">
        <v>7851414034</v>
      </c>
      <c r="L19" s="11">
        <v>8520985077</v>
      </c>
      <c r="M19" s="11">
        <v>8309967451</v>
      </c>
      <c r="N19" s="11">
        <v>9087046603</v>
      </c>
      <c r="O19" s="11">
        <v>8427493438</v>
      </c>
      <c r="P19" s="11">
        <v>11772227083</v>
      </c>
      <c r="Q19" s="11">
        <f t="shared" si="28"/>
        <v>80858752520.903702</v>
      </c>
      <c r="R19" s="11">
        <f t="shared" si="7"/>
        <v>50606447334</v>
      </c>
      <c r="S19" s="11">
        <f>9650*10^6</f>
        <v>9650000000</v>
      </c>
      <c r="T19" s="11">
        <f>9196.04698*10^6</f>
        <v>9196046980</v>
      </c>
      <c r="U19" s="11">
        <v>10797132761</v>
      </c>
      <c r="V19" s="11">
        <v>10349717170</v>
      </c>
      <c r="W19" s="11">
        <v>10613550423</v>
      </c>
      <c r="X19" s="11"/>
      <c r="Y19" s="11"/>
      <c r="Z19" s="11"/>
      <c r="AA19" s="138"/>
      <c r="AB19" s="11"/>
      <c r="AC19" s="12"/>
      <c r="AD19" s="11"/>
      <c r="AE19" s="11"/>
      <c r="AF19" s="11"/>
      <c r="AG19" s="5"/>
      <c r="AH19" s="16"/>
      <c r="AI19" s="12">
        <v>10566633333.333332</v>
      </c>
      <c r="AJ19" s="12">
        <v>10865266666.666664</v>
      </c>
      <c r="AK19" s="12">
        <v>11163900000</v>
      </c>
      <c r="AL19" s="12">
        <v>11462533333.333332</v>
      </c>
      <c r="AM19" s="12">
        <v>11761166666.666662</v>
      </c>
      <c r="AN19" s="12">
        <v>12059799999.999996</v>
      </c>
      <c r="AO19" s="12">
        <v>12358433333.333328</v>
      </c>
      <c r="AP19" s="12">
        <v>12657066666.666662</v>
      </c>
      <c r="AQ19" s="12">
        <v>12955699999.999992</v>
      </c>
      <c r="AR19" s="12">
        <v>13254333333.333328</v>
      </c>
      <c r="AS19" s="12">
        <v>13552966666.666658</v>
      </c>
      <c r="AT19" s="12">
        <v>13851599999.999998</v>
      </c>
      <c r="AU19" s="12">
        <f t="shared" si="11"/>
        <v>146509399999.99994</v>
      </c>
      <c r="AV19" s="1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</row>
    <row r="20" spans="1:61">
      <c r="A20" s="16" t="s">
        <v>25</v>
      </c>
      <c r="B20" s="40">
        <f t="shared" si="6"/>
        <v>0.59310015297541219</v>
      </c>
      <c r="C20" s="50">
        <f t="shared" si="9"/>
        <v>0.59310015297541219</v>
      </c>
      <c r="D20" s="35">
        <f t="shared" si="23"/>
        <v>3124798247</v>
      </c>
      <c r="E20" s="13"/>
      <c r="F20" s="13"/>
      <c r="G20" s="13"/>
      <c r="H20" s="13"/>
      <c r="I20" s="13">
        <v>51061059</v>
      </c>
      <c r="J20" s="13">
        <v>125496366</v>
      </c>
      <c r="K20" s="13">
        <f>220940096+7973965-16167166</f>
        <v>212746895</v>
      </c>
      <c r="L20" s="13">
        <f>332748242+16167166-28944690</f>
        <v>319970718</v>
      </c>
      <c r="M20" s="141">
        <f>398037448+28944690-35276697</f>
        <v>391705441</v>
      </c>
      <c r="N20" s="13">
        <f>631534237-47352518</f>
        <v>584181719</v>
      </c>
      <c r="O20" s="14">
        <f>778169229-76040535</f>
        <v>702128694</v>
      </c>
      <c r="P20" s="13">
        <f>742339674+76040535-80872854</f>
        <v>737507355</v>
      </c>
      <c r="Q20" s="11">
        <f t="shared" si="10"/>
        <v>3124798247</v>
      </c>
      <c r="R20" s="11">
        <f t="shared" si="7"/>
        <v>15923102848.777779</v>
      </c>
      <c r="S20" s="11">
        <f t="shared" ref="S20:AA20" si="29">S21+S22</f>
        <v>880998637.77777791</v>
      </c>
      <c r="T20" s="11">
        <f t="shared" si="29"/>
        <v>1069140221</v>
      </c>
      <c r="U20" s="11">
        <f t="shared" si="29"/>
        <v>1292789944</v>
      </c>
      <c r="V20" s="11">
        <f t="shared" si="29"/>
        <v>1351132922</v>
      </c>
      <c r="W20" s="11">
        <f t="shared" si="29"/>
        <v>1656385562</v>
      </c>
      <c r="X20" s="11">
        <f t="shared" si="29"/>
        <v>1875945039</v>
      </c>
      <c r="Y20" s="11">
        <f t="shared" si="29"/>
        <v>2091044528</v>
      </c>
      <c r="Z20" s="11">
        <f t="shared" si="29"/>
        <v>2673230298</v>
      </c>
      <c r="AA20" s="11">
        <f t="shared" si="29"/>
        <v>3032435697</v>
      </c>
      <c r="AB20" s="11"/>
      <c r="AC20" s="12"/>
      <c r="AD20" s="11"/>
      <c r="AE20" s="11">
        <f t="shared" si="8"/>
        <v>15923102848.777779</v>
      </c>
      <c r="AF20" s="11"/>
      <c r="AG20" s="5"/>
      <c r="AH20" s="16" t="s">
        <v>26</v>
      </c>
      <c r="AI20" s="12">
        <f>AI21+AI22</f>
        <v>902476270.68583453</v>
      </c>
      <c r="AJ20" s="12">
        <f t="shared" ref="AJ20:AT20" si="30">AJ21+AJ22</f>
        <v>1121693216.4869282</v>
      </c>
      <c r="AK20" s="12">
        <f t="shared" si="30"/>
        <v>1401652844.1613684</v>
      </c>
      <c r="AL20" s="12">
        <f t="shared" si="30"/>
        <v>1637078793.4671679</v>
      </c>
      <c r="AM20" s="12">
        <f t="shared" si="30"/>
        <v>1864239992.4983001</v>
      </c>
      <c r="AN20" s="12">
        <f t="shared" si="30"/>
        <v>2089381198.4604068</v>
      </c>
      <c r="AO20" s="12">
        <f t="shared" si="30"/>
        <v>2325979882.0606513</v>
      </c>
      <c r="AP20" s="12">
        <f t="shared" si="30"/>
        <v>2560117134.9351339</v>
      </c>
      <c r="AQ20" s="12">
        <f t="shared" si="30"/>
        <v>2806938145.9573774</v>
      </c>
      <c r="AR20" s="12">
        <f t="shared" si="30"/>
        <v>3077023581.7792978</v>
      </c>
      <c r="AS20" s="12">
        <f t="shared" si="30"/>
        <v>3371835635.7260628</v>
      </c>
      <c r="AT20" s="12">
        <f t="shared" si="30"/>
        <v>3688824480.3284202</v>
      </c>
      <c r="AU20" s="14">
        <f t="shared" si="11"/>
        <v>26847241176.546947</v>
      </c>
      <c r="AV20" s="11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</row>
    <row r="21" spans="1:61">
      <c r="A21" s="22" t="s">
        <v>20</v>
      </c>
      <c r="B21" s="40"/>
      <c r="C21" s="50"/>
      <c r="D21" s="35"/>
      <c r="E21" s="13"/>
      <c r="F21" s="13"/>
      <c r="G21" s="13"/>
      <c r="H21" s="13"/>
      <c r="I21" s="13"/>
      <c r="J21" s="13"/>
      <c r="K21" s="13"/>
      <c r="L21" s="13"/>
      <c r="M21" s="141"/>
      <c r="N21" s="13"/>
      <c r="O21" s="14"/>
      <c r="P21" s="13"/>
      <c r="Q21" s="11">
        <f t="shared" si="10"/>
        <v>0</v>
      </c>
      <c r="R21" s="11">
        <f t="shared" si="7"/>
        <v>5328377346</v>
      </c>
      <c r="S21" s="11"/>
      <c r="T21" s="11">
        <v>189915753</v>
      </c>
      <c r="U21" s="11">
        <f>370785283-92711511</f>
        <v>278073772</v>
      </c>
      <c r="V21" s="11">
        <v>426213283</v>
      </c>
      <c r="W21" s="11">
        <f>520699092-30445764</f>
        <v>490253328</v>
      </c>
      <c r="X21" s="11">
        <v>569261256</v>
      </c>
      <c r="Y21" s="11">
        <v>689302043</v>
      </c>
      <c r="Z21" s="11">
        <v>1147845494</v>
      </c>
      <c r="AA21" s="138">
        <v>1537512417</v>
      </c>
      <c r="AB21" s="11"/>
      <c r="AC21" s="12"/>
      <c r="AD21" s="11"/>
      <c r="AE21" s="11"/>
      <c r="AF21" s="11"/>
      <c r="AG21" s="5"/>
      <c r="AH21" s="16"/>
      <c r="AI21" s="12">
        <v>140183703.90084758</v>
      </c>
      <c r="AJ21" s="12">
        <v>235686129.85938177</v>
      </c>
      <c r="AK21" s="12">
        <v>348902378.68561178</v>
      </c>
      <c r="AL21" s="12">
        <v>424489010.73486412</v>
      </c>
      <c r="AM21" s="12">
        <v>492485067.36460698</v>
      </c>
      <c r="AN21" s="12">
        <v>564923919.03931379</v>
      </c>
      <c r="AO21" s="12">
        <v>633333306.08325624</v>
      </c>
      <c r="AP21" s="12">
        <v>701709986.27901924</v>
      </c>
      <c r="AQ21" s="12">
        <v>778580615.2189666</v>
      </c>
      <c r="AR21" s="12">
        <v>860460622.61781883</v>
      </c>
      <c r="AS21" s="12">
        <v>945462772.37632155</v>
      </c>
      <c r="AT21" s="12">
        <v>1033918424.7862018</v>
      </c>
      <c r="AU21" s="12">
        <f t="shared" si="11"/>
        <v>7160135936.9462099</v>
      </c>
      <c r="AV21" s="11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</row>
    <row r="22" spans="1:61">
      <c r="A22" s="22" t="s">
        <v>22</v>
      </c>
      <c r="B22" s="40"/>
      <c r="C22" s="50"/>
      <c r="D22" s="35"/>
      <c r="E22" s="13"/>
      <c r="F22" s="13"/>
      <c r="G22" s="13"/>
      <c r="H22" s="13"/>
      <c r="I22" s="11">
        <v>51061059</v>
      </c>
      <c r="J22" s="11">
        <v>125496366</v>
      </c>
      <c r="K22" s="11">
        <f>220940096+7973965-16167166</f>
        <v>212746895</v>
      </c>
      <c r="L22" s="11">
        <f>332748242+16167166-28944690</f>
        <v>319970718</v>
      </c>
      <c r="M22" s="138">
        <f>398037448+28944690-35276697</f>
        <v>391705441</v>
      </c>
      <c r="N22" s="11">
        <f>631534237-47352518</f>
        <v>584181719</v>
      </c>
      <c r="O22" s="12">
        <f>778169229-76040535</f>
        <v>702128694</v>
      </c>
      <c r="P22" s="11">
        <f>742339674+76040535-80872854</f>
        <v>737507355</v>
      </c>
      <c r="Q22" s="11">
        <f t="shared" si="10"/>
        <v>3124798247</v>
      </c>
      <c r="R22" s="11">
        <f t="shared" si="7"/>
        <v>10594725502.777779</v>
      </c>
      <c r="S22" s="11">
        <f>880.998637777778*10^6</f>
        <v>880998637.77777791</v>
      </c>
      <c r="T22" s="11">
        <v>879224468</v>
      </c>
      <c r="U22" s="11">
        <f>1047083553-32367381</f>
        <v>1014716172</v>
      </c>
      <c r="V22" s="11">
        <v>924919639</v>
      </c>
      <c r="W22" s="11">
        <f>1278245610-112113376</f>
        <v>1166132234</v>
      </c>
      <c r="X22" s="11">
        <v>1306683783</v>
      </c>
      <c r="Y22" s="11">
        <v>1401742485</v>
      </c>
      <c r="Z22" s="11">
        <v>1525384804</v>
      </c>
      <c r="AA22" s="138">
        <v>1494923280</v>
      </c>
      <c r="AB22" s="11"/>
      <c r="AC22" s="12"/>
      <c r="AD22" s="11"/>
      <c r="AE22" s="11"/>
      <c r="AF22" s="11"/>
      <c r="AG22" s="5"/>
      <c r="AH22" s="16"/>
      <c r="AI22" s="12">
        <v>762292566.78498697</v>
      </c>
      <c r="AJ22" s="12">
        <v>886007086.62754643</v>
      </c>
      <c r="AK22" s="12">
        <v>1052750465.4757566</v>
      </c>
      <c r="AL22" s="12">
        <v>1212589782.7323036</v>
      </c>
      <c r="AM22" s="12">
        <v>1371754925.133693</v>
      </c>
      <c r="AN22" s="12">
        <v>1524457279.421093</v>
      </c>
      <c r="AO22" s="12">
        <v>1692646575.9773951</v>
      </c>
      <c r="AP22" s="12">
        <v>1858407148.6561146</v>
      </c>
      <c r="AQ22" s="12">
        <v>2028357530.7384107</v>
      </c>
      <c r="AR22" s="12">
        <v>2216562959.161479</v>
      </c>
      <c r="AS22" s="12">
        <v>2426372863.3497415</v>
      </c>
      <c r="AT22" s="12">
        <v>2654906055.5422182</v>
      </c>
      <c r="AU22" s="12">
        <f t="shared" si="11"/>
        <v>19687105239.600739</v>
      </c>
      <c r="AV22" s="11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</row>
    <row r="23" spans="1:61">
      <c r="A23" s="16" t="s">
        <v>27</v>
      </c>
      <c r="B23" s="40">
        <f t="shared" si="6"/>
        <v>0.41685544098667998</v>
      </c>
      <c r="C23" s="50">
        <f t="shared" si="9"/>
        <v>0.41685544098667998</v>
      </c>
      <c r="D23" s="35">
        <f t="shared" si="23"/>
        <v>52513659020</v>
      </c>
      <c r="E23" s="13">
        <f>2916044602-230672955+212526887</f>
        <v>2897898534</v>
      </c>
      <c r="F23" s="13">
        <f>2898187184+230672955-253836992</f>
        <v>2875023147</v>
      </c>
      <c r="G23" s="13">
        <f>3601198061-290893363</f>
        <v>3310304698</v>
      </c>
      <c r="H23" s="13">
        <f>3292565159+290893363-272123540</f>
        <v>3311334982</v>
      </c>
      <c r="I23" s="13">
        <f>3895474182-290429443</f>
        <v>3605044739</v>
      </c>
      <c r="J23" s="13">
        <f>4152301850-273539921</f>
        <v>3878761929</v>
      </c>
      <c r="K23" s="13">
        <f>4382422078+273539921-306723564</f>
        <v>4349238435</v>
      </c>
      <c r="L23" s="13">
        <f>4840554142+306723564-366187231</f>
        <v>4781090475</v>
      </c>
      <c r="M23" s="141">
        <f>4794154299+412500000+366187231-421958623</f>
        <v>5150882907</v>
      </c>
      <c r="N23" s="13">
        <f>6199397537-452554320</f>
        <v>5746843217</v>
      </c>
      <c r="O23" s="14">
        <f>6421892830-490172628</f>
        <v>5931720202</v>
      </c>
      <c r="P23" s="13">
        <f>6756112570+490172628-570769443</f>
        <v>6675515755</v>
      </c>
      <c r="Q23" s="11">
        <f t="shared" si="10"/>
        <v>52513659020</v>
      </c>
      <c r="R23" s="11">
        <f t="shared" si="7"/>
        <v>63288131261</v>
      </c>
      <c r="S23" s="11">
        <f t="shared" ref="S23:AA23" si="31">S24+S25</f>
        <v>6895598820</v>
      </c>
      <c r="T23" s="11">
        <f t="shared" si="31"/>
        <v>6264667900</v>
      </c>
      <c r="U23" s="11">
        <f t="shared" si="31"/>
        <v>7253350435</v>
      </c>
      <c r="V23" s="11">
        <f t="shared" si="31"/>
        <v>7204714200</v>
      </c>
      <c r="W23" s="11">
        <f t="shared" si="31"/>
        <v>7671952149</v>
      </c>
      <c r="X23" s="11">
        <f t="shared" si="31"/>
        <v>7497752201</v>
      </c>
      <c r="Y23" s="11">
        <f t="shared" si="31"/>
        <v>7647474951</v>
      </c>
      <c r="Z23" s="11">
        <f t="shared" si="31"/>
        <v>7151706196</v>
      </c>
      <c r="AA23" s="11">
        <f t="shared" si="31"/>
        <v>5700914409</v>
      </c>
      <c r="AB23" s="11"/>
      <c r="AC23" s="12"/>
      <c r="AD23" s="11"/>
      <c r="AE23" s="11">
        <f t="shared" si="8"/>
        <v>63288131261</v>
      </c>
      <c r="AF23" s="11"/>
      <c r="AG23" s="5"/>
      <c r="AH23" s="16" t="s">
        <v>27</v>
      </c>
      <c r="AI23" s="12">
        <f>AI24+AI25</f>
        <v>8528281762.7725058</v>
      </c>
      <c r="AJ23" s="12">
        <f t="shared" ref="AJ23:AT23" si="32">AJ24+AJ25</f>
        <v>8973107962.1805687</v>
      </c>
      <c r="AK23" s="12">
        <f t="shared" si="32"/>
        <v>9490344750.977026</v>
      </c>
      <c r="AL23" s="12">
        <f t="shared" si="32"/>
        <v>10150083778.275738</v>
      </c>
      <c r="AM23" s="12">
        <f t="shared" si="32"/>
        <v>10908966040.815931</v>
      </c>
      <c r="AN23" s="12">
        <f t="shared" si="32"/>
        <v>11689184225.640411</v>
      </c>
      <c r="AO23" s="12">
        <f t="shared" si="32"/>
        <v>12596838916.749752</v>
      </c>
      <c r="AP23" s="12">
        <f t="shared" si="32"/>
        <v>13584069216.851299</v>
      </c>
      <c r="AQ23" s="12">
        <f t="shared" si="32"/>
        <v>14660678823.104862</v>
      </c>
      <c r="AR23" s="12">
        <f t="shared" si="32"/>
        <v>15817950865.333324</v>
      </c>
      <c r="AS23" s="12">
        <f t="shared" si="32"/>
        <v>17059592016.779692</v>
      </c>
      <c r="AT23" s="12">
        <f t="shared" si="32"/>
        <v>18363632108.422913</v>
      </c>
      <c r="AU23" s="14">
        <f t="shared" si="11"/>
        <v>151822730467.90405</v>
      </c>
      <c r="AV23" s="17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</row>
    <row r="24" spans="1:61">
      <c r="A24" s="22" t="s">
        <v>20</v>
      </c>
      <c r="B24" s="40"/>
      <c r="C24" s="50"/>
      <c r="D24" s="35"/>
      <c r="E24" s="11">
        <v>2676498534</v>
      </c>
      <c r="F24" s="11">
        <v>2741523147</v>
      </c>
      <c r="G24" s="11">
        <v>3160104698</v>
      </c>
      <c r="H24" s="11">
        <v>3180434982</v>
      </c>
      <c r="I24" s="11">
        <v>3437444739</v>
      </c>
      <c r="J24" s="11">
        <v>3575578015</v>
      </c>
      <c r="K24" s="11">
        <v>4036838435</v>
      </c>
      <c r="L24" s="11">
        <v>4433490475</v>
      </c>
      <c r="M24" s="11">
        <v>4738382907</v>
      </c>
      <c r="N24" s="11">
        <v>5294443217</v>
      </c>
      <c r="O24" s="11">
        <v>5481470202</v>
      </c>
      <c r="P24" s="11">
        <v>5950915755</v>
      </c>
      <c r="Q24" s="11">
        <f t="shared" si="10"/>
        <v>48707125106</v>
      </c>
      <c r="R24" s="11">
        <f t="shared" si="7"/>
        <v>59625711261</v>
      </c>
      <c r="S24" s="11">
        <f>6314.54882*10^6</f>
        <v>6314548820</v>
      </c>
      <c r="T24" s="11">
        <f>5836.8679*10^6</f>
        <v>5836867900</v>
      </c>
      <c r="U24" s="11">
        <f>7447549794-706549359</f>
        <v>6741000435</v>
      </c>
      <c r="V24" s="11">
        <v>6690164200</v>
      </c>
      <c r="W24" s="11">
        <f>7974378518-820276369</f>
        <v>7154102149</v>
      </c>
      <c r="X24" s="11">
        <v>6970752201</v>
      </c>
      <c r="Y24" s="11">
        <v>7222124951</v>
      </c>
      <c r="Z24" s="11">
        <v>7073356196</v>
      </c>
      <c r="AA24" s="138">
        <v>5622794409</v>
      </c>
      <c r="AB24" s="11"/>
      <c r="AC24" s="12"/>
      <c r="AD24" s="11"/>
      <c r="AE24" s="11"/>
      <c r="AF24" s="11"/>
      <c r="AG24" s="5"/>
      <c r="AH24" s="16"/>
      <c r="AI24" s="12">
        <v>7590313637.3650179</v>
      </c>
      <c r="AJ24" s="12">
        <v>7989619380.0579844</v>
      </c>
      <c r="AK24" s="12">
        <v>8458440931.1552773</v>
      </c>
      <c r="AL24" s="12">
        <v>9066994380.5904808</v>
      </c>
      <c r="AM24" s="12">
        <v>9772028001.671545</v>
      </c>
      <c r="AN24" s="12">
        <v>10495827454.467505</v>
      </c>
      <c r="AO24" s="12">
        <v>11344574299.485649</v>
      </c>
      <c r="AP24" s="12">
        <v>12270478493.876699</v>
      </c>
      <c r="AQ24" s="12">
        <v>13283406000.826462</v>
      </c>
      <c r="AR24" s="12">
        <v>14374694890.768993</v>
      </c>
      <c r="AS24" s="12">
        <v>15548100498.631485</v>
      </c>
      <c r="AT24" s="12">
        <v>16781695910.223267</v>
      </c>
      <c r="AU24" s="12">
        <f t="shared" si="11"/>
        <v>136976173879.12036</v>
      </c>
      <c r="AV24" s="17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</row>
    <row r="25" spans="1:61">
      <c r="A25" s="22" t="s">
        <v>22</v>
      </c>
      <c r="B25" s="40"/>
      <c r="C25" s="50"/>
      <c r="D25" s="35"/>
      <c r="E25" s="11">
        <v>221400000</v>
      </c>
      <c r="F25" s="11">
        <v>133500000</v>
      </c>
      <c r="G25" s="11">
        <v>150200000</v>
      </c>
      <c r="H25" s="11">
        <v>130900000</v>
      </c>
      <c r="I25" s="11">
        <v>167600000</v>
      </c>
      <c r="J25" s="11">
        <v>303183914</v>
      </c>
      <c r="K25" s="11">
        <v>312400000</v>
      </c>
      <c r="L25" s="11">
        <v>347600000</v>
      </c>
      <c r="M25" s="138">
        <v>412500000</v>
      </c>
      <c r="N25" s="11">
        <v>452400000</v>
      </c>
      <c r="O25" s="12">
        <v>450250000</v>
      </c>
      <c r="P25" s="11">
        <v>724600000</v>
      </c>
      <c r="Q25" s="11">
        <f t="shared" si="10"/>
        <v>3806533914</v>
      </c>
      <c r="R25" s="11">
        <f t="shared" si="7"/>
        <v>3662420000</v>
      </c>
      <c r="S25" s="11">
        <v>581050000</v>
      </c>
      <c r="T25" s="11">
        <v>427800000</v>
      </c>
      <c r="U25" s="11">
        <v>512350000</v>
      </c>
      <c r="V25" s="11">
        <v>514550000</v>
      </c>
      <c r="W25" s="11">
        <v>517850000</v>
      </c>
      <c r="X25" s="11">
        <v>527000000</v>
      </c>
      <c r="Y25" s="11">
        <v>425350000</v>
      </c>
      <c r="Z25" s="11">
        <v>78350000</v>
      </c>
      <c r="AA25" s="138">
        <v>78120000</v>
      </c>
      <c r="AB25" s="11"/>
      <c r="AC25" s="12"/>
      <c r="AD25" s="11"/>
      <c r="AE25" s="11"/>
      <c r="AF25" s="11"/>
      <c r="AG25" s="5"/>
      <c r="AH25" s="16"/>
      <c r="AI25" s="12">
        <v>937968125.40748811</v>
      </c>
      <c r="AJ25" s="12">
        <v>983488582.1225847</v>
      </c>
      <c r="AK25" s="12">
        <v>1031903819.8217483</v>
      </c>
      <c r="AL25" s="12">
        <v>1083089397.6852574</v>
      </c>
      <c r="AM25" s="12">
        <v>1136938039.1443863</v>
      </c>
      <c r="AN25" s="12">
        <v>1193356771.1729069</v>
      </c>
      <c r="AO25" s="12">
        <v>1252264617.2641037</v>
      </c>
      <c r="AP25" s="12">
        <v>1313590722.9746006</v>
      </c>
      <c r="AQ25" s="12">
        <v>1377272822.2784004</v>
      </c>
      <c r="AR25" s="12">
        <v>1443255974.5643301</v>
      </c>
      <c r="AS25" s="12">
        <v>1511491518.148206</v>
      </c>
      <c r="AT25" s="12">
        <v>1581936198.1996446</v>
      </c>
      <c r="AU25" s="12">
        <f t="shared" si="11"/>
        <v>14846556588.783657</v>
      </c>
      <c r="AV25" s="17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</row>
    <row r="26" spans="1:61">
      <c r="A26" s="16" t="s">
        <v>28</v>
      </c>
      <c r="B26" s="40">
        <f t="shared" si="6"/>
        <v>0</v>
      </c>
      <c r="C26" s="50"/>
      <c r="D26" s="35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1"/>
      <c r="R26" s="11">
        <f t="shared" si="7"/>
        <v>0</v>
      </c>
      <c r="S26" s="11">
        <f>S27+S28</f>
        <v>0</v>
      </c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>
        <f t="shared" si="8"/>
        <v>0</v>
      </c>
      <c r="AF26" s="11"/>
      <c r="AG26" s="5"/>
      <c r="AH26" s="16" t="s">
        <v>28</v>
      </c>
      <c r="AI26" s="12">
        <f>AI27+AI28</f>
        <v>333888888.88888884</v>
      </c>
      <c r="AJ26" s="12">
        <f t="shared" ref="AJ26:AT26" si="33">AJ27+AJ28</f>
        <v>663992387.19353151</v>
      </c>
      <c r="AK26" s="12">
        <f t="shared" si="33"/>
        <v>1086664803.4722223</v>
      </c>
      <c r="AL26" s="12">
        <f t="shared" si="33"/>
        <v>1562847418.4319644</v>
      </c>
      <c r="AM26" s="12">
        <f t="shared" si="33"/>
        <v>2088127958.3948119</v>
      </c>
      <c r="AN26" s="12">
        <f t="shared" si="33"/>
        <v>2658878281.5848575</v>
      </c>
      <c r="AO26" s="12">
        <f t="shared" si="33"/>
        <v>3272862564.9400992</v>
      </c>
      <c r="AP26" s="12">
        <f t="shared" si="33"/>
        <v>3927407036.8994713</v>
      </c>
      <c r="AQ26" s="12">
        <f t="shared" si="33"/>
        <v>4619898542.2111826</v>
      </c>
      <c r="AR26" s="12">
        <f t="shared" si="33"/>
        <v>5348162227.6240749</v>
      </c>
      <c r="AS26" s="12">
        <f t="shared" si="33"/>
        <v>6108059813.5046234</v>
      </c>
      <c r="AT26" s="12">
        <f t="shared" si="33"/>
        <v>6894332994.4277363</v>
      </c>
      <c r="AU26" s="14">
        <f t="shared" si="11"/>
        <v>38565122917.573463</v>
      </c>
      <c r="AV26" s="17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</row>
    <row r="27" spans="1:61">
      <c r="A27" s="22" t="s">
        <v>20</v>
      </c>
      <c r="B27" s="40"/>
      <c r="C27" s="50"/>
      <c r="D27" s="35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1"/>
      <c r="R27" s="11">
        <f t="shared" si="7"/>
        <v>0</v>
      </c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5"/>
      <c r="AH27" s="16"/>
      <c r="AI27" s="12">
        <v>68055555.555555552</v>
      </c>
      <c r="AJ27" s="12">
        <v>132325720.52686489</v>
      </c>
      <c r="AK27" s="12">
        <v>289164803.47222221</v>
      </c>
      <c r="AL27" s="12">
        <v>499514085.09863126</v>
      </c>
      <c r="AM27" s="12">
        <v>758961291.72814536</v>
      </c>
      <c r="AN27" s="12">
        <v>1063878281.5848577</v>
      </c>
      <c r="AO27" s="12">
        <v>1412029231.606766</v>
      </c>
      <c r="AP27" s="12">
        <v>1800740370.2328045</v>
      </c>
      <c r="AQ27" s="12">
        <v>2227398542.2111826</v>
      </c>
      <c r="AR27" s="12">
        <v>2689792377.7143078</v>
      </c>
      <c r="AS27" s="12">
        <v>3183786579.2957339</v>
      </c>
      <c r="AT27" s="12">
        <v>3704130368.7887983</v>
      </c>
      <c r="AU27" s="12">
        <f t="shared" si="11"/>
        <v>17829777207.815872</v>
      </c>
      <c r="AV27" s="17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</row>
    <row r="28" spans="1:61">
      <c r="A28" s="22" t="s">
        <v>22</v>
      </c>
      <c r="B28" s="40"/>
      <c r="C28" s="50"/>
      <c r="D28" s="35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1"/>
      <c r="R28" s="11">
        <f t="shared" si="7"/>
        <v>0</v>
      </c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5"/>
      <c r="AH28" s="16"/>
      <c r="AI28" s="12">
        <v>265833333.33333331</v>
      </c>
      <c r="AJ28" s="12">
        <v>531666666.66666663</v>
      </c>
      <c r="AK28" s="12">
        <v>797500000.00000012</v>
      </c>
      <c r="AL28" s="12">
        <v>1063333333.3333333</v>
      </c>
      <c r="AM28" s="12">
        <v>1329166666.6666665</v>
      </c>
      <c r="AN28" s="12">
        <v>1594999999.9999998</v>
      </c>
      <c r="AO28" s="12">
        <v>1860833333.3333333</v>
      </c>
      <c r="AP28" s="12">
        <v>2126666666.6666665</v>
      </c>
      <c r="AQ28" s="12">
        <v>2392500000</v>
      </c>
      <c r="AR28" s="12">
        <v>2658369849.9097667</v>
      </c>
      <c r="AS28" s="12">
        <v>2924273234.2088895</v>
      </c>
      <c r="AT28" s="12">
        <v>3190202625.638938</v>
      </c>
      <c r="AU28" s="12">
        <f t="shared" si="11"/>
        <v>20735345709.757595</v>
      </c>
      <c r="AV28" s="17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</row>
    <row r="29" spans="1:61" s="19" customFormat="1">
      <c r="A29" s="19" t="s">
        <v>29</v>
      </c>
      <c r="B29" s="40">
        <f t="shared" si="6"/>
        <v>0.20063722606252454</v>
      </c>
      <c r="C29" s="49">
        <f t="shared" si="9"/>
        <v>0.20063722606252454</v>
      </c>
      <c r="D29" s="65">
        <f>SUM(E29:P29)</f>
        <v>97215868564.700226</v>
      </c>
      <c r="E29" s="20">
        <f>E30+E37+E43+E47+E50+E51+E34+E33</f>
        <v>823965395</v>
      </c>
      <c r="F29" s="20">
        <f>F30+F37+F43+F47+F50+F51+F34+F33</f>
        <v>666494512.18181813</v>
      </c>
      <c r="G29" s="20">
        <f>G30+G37+G43+G47+G50+G51+G34+G33</f>
        <v>3738401916</v>
      </c>
      <c r="H29" s="20">
        <f>H30+H37+H43+H47+H50+H51+H34+H33</f>
        <v>1650605437</v>
      </c>
      <c r="I29" s="20">
        <f>I30+I37+I43+I47+I50+I51+I34+I33</f>
        <v>3203017886.818182</v>
      </c>
      <c r="J29" s="20">
        <f>J30+J37+J43+J47+J50+J33+J34</f>
        <v>793890764</v>
      </c>
      <c r="K29" s="20">
        <f t="shared" ref="K29:P29" si="34">K30+K37+K43+K47+K50+K51+K34+K33</f>
        <v>5760482528.700223</v>
      </c>
      <c r="L29" s="20">
        <f t="shared" si="34"/>
        <v>17789506696</v>
      </c>
      <c r="M29" s="20">
        <f t="shared" si="34"/>
        <v>892636698</v>
      </c>
      <c r="N29" s="20">
        <f t="shared" si="34"/>
        <v>14429550885</v>
      </c>
      <c r="O29" s="25">
        <f t="shared" si="34"/>
        <v>6150919522</v>
      </c>
      <c r="P29" s="20">
        <f t="shared" si="34"/>
        <v>41316396324</v>
      </c>
      <c r="Q29" s="20">
        <f t="shared" si="10"/>
        <v>97215868564.700226</v>
      </c>
      <c r="R29" s="20">
        <f t="shared" si="7"/>
        <v>18741163292.979797</v>
      </c>
      <c r="S29" s="20">
        <f>S30+S37+S43+S47+S50+S51+S34+S33+S46</f>
        <v>1419604308</v>
      </c>
      <c r="T29" s="20">
        <f>T30+T37+T43+T47+T50+T51+T34+T33+T46</f>
        <v>1542343752.333333</v>
      </c>
      <c r="U29" s="20">
        <f t="shared" ref="U29:AD29" si="35">U30+U37+U43+U47+U50+U51+U34+U33+U46</f>
        <v>1072918602.5555556</v>
      </c>
      <c r="V29" s="20">
        <f t="shared" si="35"/>
        <v>1443861435</v>
      </c>
      <c r="W29" s="20">
        <f t="shared" si="35"/>
        <v>6288457136</v>
      </c>
      <c r="X29" s="20">
        <f t="shared" si="35"/>
        <v>1117078284.090909</v>
      </c>
      <c r="Y29" s="20">
        <f t="shared" si="35"/>
        <v>2751844521</v>
      </c>
      <c r="Z29" s="20">
        <f t="shared" si="35"/>
        <v>1559497946</v>
      </c>
      <c r="AA29" s="20">
        <f t="shared" si="35"/>
        <v>1545557308</v>
      </c>
      <c r="AB29" s="20">
        <f t="shared" si="35"/>
        <v>0</v>
      </c>
      <c r="AC29" s="20">
        <f t="shared" si="35"/>
        <v>0</v>
      </c>
      <c r="AD29" s="20">
        <f t="shared" si="35"/>
        <v>0</v>
      </c>
      <c r="AE29" s="20">
        <f t="shared" si="8"/>
        <v>18741163292.979797</v>
      </c>
      <c r="AF29" s="20"/>
      <c r="AH29" s="19" t="s">
        <v>29</v>
      </c>
      <c r="AI29" s="25">
        <f>AI30+AI37+AI43+AI47+AI50+AI51+AI33+AI34+AI35+AI36+AI46</f>
        <v>4058990825.4311175</v>
      </c>
      <c r="AJ29" s="25">
        <f t="shared" ref="AJ29:AS29" si="36">AJ30+AJ37+AJ43+AJ47+AJ50+AJ51+AJ33+AJ34+AJ35+AJ36+AJ46</f>
        <v>3731425496.2484217</v>
      </c>
      <c r="AK29" s="25">
        <f t="shared" si="36"/>
        <v>3806720456.7169747</v>
      </c>
      <c r="AL29" s="25">
        <f t="shared" si="36"/>
        <v>3887352345.94697</v>
      </c>
      <c r="AM29" s="25">
        <f t="shared" si="36"/>
        <v>3965712697.0303621</v>
      </c>
      <c r="AN29" s="25">
        <f t="shared" si="36"/>
        <v>4048082667.159091</v>
      </c>
      <c r="AO29" s="25">
        <f t="shared" si="36"/>
        <v>4434464475.4524736</v>
      </c>
      <c r="AP29" s="25">
        <f t="shared" si="36"/>
        <v>4215248500.8585863</v>
      </c>
      <c r="AQ29" s="25">
        <f t="shared" si="36"/>
        <v>9578714216.3574219</v>
      </c>
      <c r="AR29" s="25">
        <f t="shared" si="36"/>
        <v>4384863138.222064</v>
      </c>
      <c r="AS29" s="25">
        <f t="shared" si="36"/>
        <v>4473696789.9178305</v>
      </c>
      <c r="AT29" s="25">
        <f>AT30+AT37+AT43+AT47+AT50+AT51+AT33+AT34+AT35+AT36+AT46</f>
        <v>42822934139.77272</v>
      </c>
      <c r="AU29" s="25">
        <f>SUM(AI29:AT29)</f>
        <v>93408205749.114029</v>
      </c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</row>
    <row r="30" spans="1:61">
      <c r="A30" s="16" t="s">
        <v>30</v>
      </c>
      <c r="B30" s="40">
        <f t="shared" si="6"/>
        <v>0.45867846871297024</v>
      </c>
      <c r="C30" s="50">
        <f>IFERROR(B30,0)</f>
        <v>0.45867846871297024</v>
      </c>
      <c r="D30" s="35">
        <f t="shared" si="23"/>
        <v>974129222.00000012</v>
      </c>
      <c r="E30" s="13">
        <f>SUM(E31:E32)</f>
        <v>114156931</v>
      </c>
      <c r="F30" s="13">
        <f t="shared" ref="F30:P30" si="37">SUM(F31:F32)</f>
        <v>60407573.18181818</v>
      </c>
      <c r="G30" s="13">
        <f t="shared" si="37"/>
        <v>69962901</v>
      </c>
      <c r="H30" s="14">
        <f t="shared" si="37"/>
        <v>67952746</v>
      </c>
      <c r="I30" s="14">
        <f t="shared" si="37"/>
        <v>76903890.818181813</v>
      </c>
      <c r="J30" s="13">
        <f t="shared" si="37"/>
        <v>75315209</v>
      </c>
      <c r="K30" s="13">
        <f t="shared" si="37"/>
        <v>79216437</v>
      </c>
      <c r="L30" s="14">
        <f>SUM(L31:L32)</f>
        <v>78941409</v>
      </c>
      <c r="M30" s="14">
        <f>SUM(M31:M32)</f>
        <v>91732836</v>
      </c>
      <c r="N30" s="14">
        <f>SUM(N31:N32)</f>
        <v>87793555.000000089</v>
      </c>
      <c r="O30" s="14">
        <f t="shared" si="37"/>
        <v>88260427</v>
      </c>
      <c r="P30" s="13">
        <f t="shared" si="37"/>
        <v>83485307</v>
      </c>
      <c r="Q30" s="11">
        <f t="shared" si="10"/>
        <v>974129222.00000012</v>
      </c>
      <c r="R30" s="13">
        <f t="shared" si="7"/>
        <v>623266121.090909</v>
      </c>
      <c r="S30" s="13">
        <f t="shared" ref="S30" si="38">SUM(S31:S32)</f>
        <v>77716977</v>
      </c>
      <c r="T30" s="13">
        <f>SUM(T31:T32)</f>
        <v>67309473</v>
      </c>
      <c r="U30" s="13">
        <f t="shared" ref="U30:Y30" si="39">SUM(U31:U32)</f>
        <v>76734210</v>
      </c>
      <c r="V30" s="13">
        <f t="shared" si="39"/>
        <v>74361945</v>
      </c>
      <c r="W30" s="13">
        <f t="shared" si="39"/>
        <v>71059507</v>
      </c>
      <c r="X30" s="13">
        <f t="shared" si="39"/>
        <v>6169630.0909090908</v>
      </c>
      <c r="Y30" s="13">
        <f t="shared" si="39"/>
        <v>80344691</v>
      </c>
      <c r="Z30" s="13">
        <f>SUM(Z31:Z32)</f>
        <v>84933690</v>
      </c>
      <c r="AA30" s="13">
        <f>SUM(AA31:AA32)</f>
        <v>84635998</v>
      </c>
      <c r="AB30" s="13">
        <f>SUM(AB31:AB32)</f>
        <v>0</v>
      </c>
      <c r="AC30" s="13">
        <f>SUM(AC31:AC32)</f>
        <v>0</v>
      </c>
      <c r="AD30" s="13">
        <f>SUM(AD31:AD32)</f>
        <v>0</v>
      </c>
      <c r="AE30" s="11">
        <f t="shared" si="8"/>
        <v>623266121.090909</v>
      </c>
      <c r="AF30" s="11"/>
      <c r="AG30" s="34"/>
      <c r="AH30" s="16" t="s">
        <v>30</v>
      </c>
      <c r="AI30" s="12">
        <f>AI31+AI32</f>
        <v>64662169.749299645</v>
      </c>
      <c r="AJ30" s="12">
        <f t="shared" ref="AJ30:AS30" si="40">AJ31+AJ32</f>
        <v>75517868.975694463</v>
      </c>
      <c r="AK30" s="12">
        <f t="shared" si="40"/>
        <v>85520079.444247156</v>
      </c>
      <c r="AL30" s="12">
        <f t="shared" si="40"/>
        <v>95767673.219696984</v>
      </c>
      <c r="AM30" s="12">
        <f t="shared" si="40"/>
        <v>103953490.21218039</v>
      </c>
      <c r="AN30" s="12">
        <f t="shared" si="40"/>
        <v>112330267.15909088</v>
      </c>
      <c r="AO30" s="12">
        <f t="shared" si="40"/>
        <v>120900223.17974667</v>
      </c>
      <c r="AP30" s="12">
        <f t="shared" si="40"/>
        <v>127264373.58585854</v>
      </c>
      <c r="AQ30" s="12">
        <f t="shared" si="40"/>
        <v>133764441.3574218</v>
      </c>
      <c r="AR30" s="12">
        <f t="shared" si="40"/>
        <v>140401942.76751885</v>
      </c>
      <c r="AS30" s="12">
        <f t="shared" si="40"/>
        <v>147178401.2814669</v>
      </c>
      <c r="AT30" s="12">
        <f>AT31+AT32</f>
        <v>151569194.31818187</v>
      </c>
      <c r="AU30" s="12">
        <f t="shared" si="11"/>
        <v>1358830125.2504044</v>
      </c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</row>
    <row r="31" spans="1:61">
      <c r="A31" s="22" t="s">
        <v>31</v>
      </c>
      <c r="B31" s="40">
        <f t="shared" si="6"/>
        <v>1.0757860704297122E-2</v>
      </c>
      <c r="C31" s="50">
        <f t="shared" si="9"/>
        <v>1.0757860704297122E-2</v>
      </c>
      <c r="D31" s="35">
        <f t="shared" si="23"/>
        <v>14983636.363636365</v>
      </c>
      <c r="E31" s="11">
        <v>1573636.3636363635</v>
      </c>
      <c r="F31" s="11">
        <v>1421818.1818181816</v>
      </c>
      <c r="G31" s="11">
        <f>1379000/1.1</f>
        <v>1253636.3636363635</v>
      </c>
      <c r="H31" s="11">
        <v>1391818.1818181816</v>
      </c>
      <c r="I31" s="11">
        <f>1422500/1.1</f>
        <v>1293181.8181818181</v>
      </c>
      <c r="J31" s="11">
        <v>1375909.0909090908</v>
      </c>
      <c r="K31" s="11">
        <v>841818.18181818177</v>
      </c>
      <c r="L31" s="11">
        <v>993636.36363636353</v>
      </c>
      <c r="M31" s="11">
        <v>884999.99999999988</v>
      </c>
      <c r="N31" s="11">
        <v>1115909.0909090908</v>
      </c>
      <c r="O31" s="11">
        <v>1439545.4545454544</v>
      </c>
      <c r="P31" s="11">
        <v>1397727.2727272727</v>
      </c>
      <c r="Q31" s="11">
        <f>SUM(E31:P31)</f>
        <v>14983636.363636365</v>
      </c>
      <c r="R31" s="11">
        <f t="shared" si="7"/>
        <v>13921272.727272723</v>
      </c>
      <c r="S31" s="11">
        <v>1378181.8181818181</v>
      </c>
      <c r="T31" s="11">
        <v>1378181.8181818181</v>
      </c>
      <c r="U31" s="11">
        <v>2486090.9090909087</v>
      </c>
      <c r="V31" s="11">
        <v>2486090.9090909087</v>
      </c>
      <c r="W31" s="11">
        <v>1249090.9090909089</v>
      </c>
      <c r="X31" s="11">
        <v>1235909.0909090908</v>
      </c>
      <c r="Y31" s="11">
        <v>1235909.0909090908</v>
      </c>
      <c r="Z31" s="11">
        <v>1235909.0909090908</v>
      </c>
      <c r="AA31" s="11">
        <v>1235909.0909090908</v>
      </c>
      <c r="AB31" s="11"/>
      <c r="AC31" s="11"/>
      <c r="AD31" s="11"/>
      <c r="AE31" s="11">
        <f t="shared" si="8"/>
        <v>13921272.727272723</v>
      </c>
      <c r="AF31" s="11"/>
      <c r="AG31" s="34"/>
      <c r="AH31" s="22" t="s">
        <v>31</v>
      </c>
      <c r="AI31" s="12">
        <v>61872229.597784497</v>
      </c>
      <c r="AJ31" s="12">
        <v>72201735.642361134</v>
      </c>
      <c r="AK31" s="12">
        <v>81700561.262428969</v>
      </c>
      <c r="AL31" s="12">
        <v>91420036.856060624</v>
      </c>
      <c r="AM31" s="12">
        <v>99159285.666725844</v>
      </c>
      <c r="AN31" s="12">
        <v>107070339.8863636</v>
      </c>
      <c r="AO31" s="12">
        <v>115155227.72520122</v>
      </c>
      <c r="AP31" s="12">
        <v>121130506.91919187</v>
      </c>
      <c r="AQ31" s="12">
        <v>127228191.3574218</v>
      </c>
      <c r="AR31" s="12">
        <v>133449670.04024613</v>
      </c>
      <c r="AS31" s="12">
        <v>139796339.16025478</v>
      </c>
      <c r="AT31" s="12">
        <v>143871739.77272731</v>
      </c>
      <c r="AU31" s="12">
        <f t="shared" si="11"/>
        <v>1294055863.8867676</v>
      </c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</row>
    <row r="32" spans="1:61">
      <c r="A32" s="22" t="s">
        <v>32</v>
      </c>
      <c r="B32" s="40">
        <f t="shared" si="6"/>
        <v>9.4072064356370468</v>
      </c>
      <c r="C32" s="50">
        <f>IFERROR(B32,0)</f>
        <v>9.4072064356370468</v>
      </c>
      <c r="D32" s="35">
        <f>SUM(E32:P32)</f>
        <v>959145585.63636374</v>
      </c>
      <c r="E32" s="11">
        <v>112583294.63636364</v>
      </c>
      <c r="F32" s="11">
        <f>60407573-1421818</f>
        <v>58985755</v>
      </c>
      <c r="G32" s="11">
        <f>69962901-G31</f>
        <v>68709264.63636364</v>
      </c>
      <c r="H32" s="11">
        <v>66560927.81818182</v>
      </c>
      <c r="I32" s="11">
        <v>75610709</v>
      </c>
      <c r="J32" s="11">
        <v>73939299.909090906</v>
      </c>
      <c r="K32" s="11">
        <v>78374618.818181813</v>
      </c>
      <c r="L32" s="11">
        <f>78941409-L31</f>
        <v>77947772.63636364</v>
      </c>
      <c r="M32" s="11">
        <v>90847836</v>
      </c>
      <c r="N32" s="11">
        <v>86677645.909090996</v>
      </c>
      <c r="O32" s="11">
        <f>88260427-O31</f>
        <v>86820881.545454547</v>
      </c>
      <c r="P32" s="11">
        <f>83485307-P31</f>
        <v>82087579.727272734</v>
      </c>
      <c r="Q32" s="11">
        <f t="shared" si="10"/>
        <v>959145585.63636374</v>
      </c>
      <c r="R32" s="11">
        <f t="shared" si="7"/>
        <v>609344848.36363626</v>
      </c>
      <c r="S32" s="11">
        <f>77716977-S31</f>
        <v>76338795.181818187</v>
      </c>
      <c r="T32" s="11">
        <f>67309473-T31</f>
        <v>65931291.18181818</v>
      </c>
      <c r="U32" s="11">
        <v>74248119.090909094</v>
      </c>
      <c r="V32" s="11">
        <v>71875854.090909094</v>
      </c>
      <c r="W32" s="11">
        <v>69810416.090909094</v>
      </c>
      <c r="X32" s="86">
        <f>76541703-X33</f>
        <v>4933721</v>
      </c>
      <c r="Y32" s="11">
        <v>79108781.909090906</v>
      </c>
      <c r="Z32" s="11">
        <v>83697780.909090906</v>
      </c>
      <c r="AA32" s="11">
        <v>83400088.909090906</v>
      </c>
      <c r="AB32" s="11"/>
      <c r="AC32" s="11"/>
      <c r="AD32" s="11"/>
      <c r="AE32" s="11">
        <f t="shared" si="8"/>
        <v>609344848.36363626</v>
      </c>
      <c r="AF32" s="11"/>
      <c r="AG32" s="34"/>
      <c r="AH32" s="22" t="s">
        <v>32</v>
      </c>
      <c r="AI32" s="12">
        <v>2789940.1515151514</v>
      </c>
      <c r="AJ32" s="12">
        <v>3316133.3333333344</v>
      </c>
      <c r="AK32" s="12">
        <v>3819518.1818181821</v>
      </c>
      <c r="AL32" s="12">
        <v>4347636.3636363652</v>
      </c>
      <c r="AM32" s="12">
        <v>4794204.5454545459</v>
      </c>
      <c r="AN32" s="12">
        <v>5259927.2727272734</v>
      </c>
      <c r="AO32" s="12">
        <v>5744995.4545454569</v>
      </c>
      <c r="AP32" s="12">
        <v>6133866.6666666679</v>
      </c>
      <c r="AQ32" s="12">
        <v>6536250.0000000009</v>
      </c>
      <c r="AR32" s="12">
        <v>6952272.7272727275</v>
      </c>
      <c r="AS32" s="12">
        <v>7382062.121212123</v>
      </c>
      <c r="AT32" s="12">
        <v>7697454.5454545468</v>
      </c>
      <c r="AU32" s="12">
        <f t="shared" si="11"/>
        <v>64774261.363636374</v>
      </c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</row>
    <row r="33" spans="1:61">
      <c r="A33" s="16" t="s">
        <v>33</v>
      </c>
      <c r="B33" s="40">
        <f t="shared" si="6"/>
        <v>0.53168548679754968</v>
      </c>
      <c r="C33" s="50">
        <f>IFERROR(B33,0)</f>
        <v>0.53168548679754968</v>
      </c>
      <c r="D33" s="35">
        <f t="shared" ref="D33:D37" si="41">SUM(E33:P33)</f>
        <v>528350355</v>
      </c>
      <c r="E33" s="11"/>
      <c r="F33" s="11">
        <v>61642364</v>
      </c>
      <c r="G33" s="11">
        <v>33262203</v>
      </c>
      <c r="H33" s="151">
        <v>58847346</v>
      </c>
      <c r="I33" s="11">
        <v>30940911</v>
      </c>
      <c r="J33" s="11">
        <v>46558669</v>
      </c>
      <c r="K33" s="11">
        <v>46783626</v>
      </c>
      <c r="L33" s="11">
        <v>47703750</v>
      </c>
      <c r="M33" s="11">
        <v>48341777</v>
      </c>
      <c r="N33" s="11">
        <v>55670830</v>
      </c>
      <c r="O33" s="11">
        <v>49765206</v>
      </c>
      <c r="P33" s="11">
        <v>48833673</v>
      </c>
      <c r="Q33" s="11">
        <f t="shared" si="10"/>
        <v>528350355</v>
      </c>
      <c r="R33" s="11">
        <f t="shared" si="7"/>
        <v>483946610</v>
      </c>
      <c r="S33" s="11">
        <v>52295822</v>
      </c>
      <c r="T33" s="11">
        <v>50487578</v>
      </c>
      <c r="U33" s="11">
        <v>44293151</v>
      </c>
      <c r="V33" s="151">
        <v>43798961</v>
      </c>
      <c r="W33" s="11">
        <v>48940205</v>
      </c>
      <c r="X33" s="86">
        <v>71607982</v>
      </c>
      <c r="Y33" s="11">
        <v>50937668</v>
      </c>
      <c r="Z33" s="11">
        <v>54885138</v>
      </c>
      <c r="AA33" s="11">
        <v>66700105</v>
      </c>
      <c r="AB33" s="11"/>
      <c r="AC33" s="11"/>
      <c r="AD33" s="11"/>
      <c r="AE33" s="11">
        <f t="shared" si="8"/>
        <v>483946610</v>
      </c>
      <c r="AF33" s="11"/>
      <c r="AH33" s="16" t="s">
        <v>33</v>
      </c>
      <c r="AI33" s="12">
        <v>45807801.136363633</v>
      </c>
      <c r="AJ33" s="12">
        <v>53014500.000000015</v>
      </c>
      <c r="AK33" s="12">
        <v>59496340.909090914</v>
      </c>
      <c r="AL33" s="12">
        <v>66029727.272727281</v>
      </c>
      <c r="AM33" s="12">
        <v>71036079.545454547</v>
      </c>
      <c r="AN33" s="12">
        <v>76081090.909090891</v>
      </c>
      <c r="AO33" s="12">
        <v>81164761.36363636</v>
      </c>
      <c r="AP33" s="12">
        <v>84689181.818181798</v>
      </c>
      <c r="AQ33" s="12">
        <v>88239374.999999985</v>
      </c>
      <c r="AR33" s="12">
        <v>91815340.909090877</v>
      </c>
      <c r="AS33" s="12">
        <v>95417079.545454502</v>
      </c>
      <c r="AT33" s="12">
        <v>97420909.090909094</v>
      </c>
      <c r="AU33" s="12">
        <f t="shared" si="11"/>
        <v>910212187.49999988</v>
      </c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</row>
    <row r="34" spans="1:61">
      <c r="A34" s="16" t="s">
        <v>34</v>
      </c>
      <c r="B34" s="40" t="e">
        <f t="shared" si="6"/>
        <v>#DIV/0!</v>
      </c>
      <c r="C34" s="50">
        <f t="shared" si="9"/>
        <v>0</v>
      </c>
      <c r="D34" s="35">
        <f t="shared" si="41"/>
        <v>74604660</v>
      </c>
      <c r="E34" s="11"/>
      <c r="F34" s="11">
        <v>8369568</v>
      </c>
      <c r="G34" s="11">
        <v>15938225</v>
      </c>
      <c r="H34" s="11"/>
      <c r="I34" s="11">
        <v>16558020</v>
      </c>
      <c r="J34" s="11"/>
      <c r="K34" s="11"/>
      <c r="L34" s="11"/>
      <c r="M34" s="11"/>
      <c r="N34" s="11">
        <v>10545568</v>
      </c>
      <c r="O34" s="11">
        <v>10742450</v>
      </c>
      <c r="P34" s="11">
        <v>12450829</v>
      </c>
      <c r="Q34" s="11"/>
      <c r="R34" s="11">
        <f t="shared" si="7"/>
        <v>106428124</v>
      </c>
      <c r="S34" s="11">
        <v>9620432</v>
      </c>
      <c r="T34" s="11">
        <v>12192592</v>
      </c>
      <c r="U34" s="11">
        <v>13700326</v>
      </c>
      <c r="V34" s="11"/>
      <c r="W34" s="11">
        <v>20341309</v>
      </c>
      <c r="X34" s="86">
        <v>29331878</v>
      </c>
      <c r="Y34" s="11"/>
      <c r="Z34" s="11">
        <v>14921132</v>
      </c>
      <c r="AA34" s="11">
        <v>6320455</v>
      </c>
      <c r="AB34" s="11"/>
      <c r="AC34" s="11"/>
      <c r="AD34" s="11"/>
      <c r="AE34" s="11">
        <f t="shared" si="8"/>
        <v>106428124</v>
      </c>
      <c r="AF34" s="11"/>
      <c r="AH34" s="16" t="s">
        <v>34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f t="shared" si="11"/>
        <v>0</v>
      </c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</row>
    <row r="35" spans="1:61">
      <c r="A35" s="16" t="s">
        <v>35</v>
      </c>
      <c r="B35" s="40">
        <f t="shared" si="6"/>
        <v>0</v>
      </c>
      <c r="C35" s="50"/>
      <c r="D35" s="35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>
        <f t="shared" si="7"/>
        <v>0</v>
      </c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>
        <f t="shared" si="8"/>
        <v>0</v>
      </c>
      <c r="AF35" s="11"/>
      <c r="AH35" s="16" t="s">
        <v>35</v>
      </c>
      <c r="AI35" s="12">
        <v>1689545.4545454544</v>
      </c>
      <c r="AJ35" s="12">
        <v>3894545.4545454546</v>
      </c>
      <c r="AK35" s="12">
        <v>6529090.9090909101</v>
      </c>
      <c r="AL35" s="12">
        <v>9621818.1818181835</v>
      </c>
      <c r="AM35" s="12">
        <v>12886363.636363635</v>
      </c>
      <c r="AN35" s="12">
        <v>16494545.454545453</v>
      </c>
      <c r="AO35" s="12">
        <v>20446363.63636364</v>
      </c>
      <c r="AP35" s="12">
        <v>24283636.363636363</v>
      </c>
      <c r="AQ35" s="12">
        <v>28350000.000000004</v>
      </c>
      <c r="AR35" s="12">
        <v>32645454.545454547</v>
      </c>
      <c r="AS35" s="12">
        <v>37170000.000000007</v>
      </c>
      <c r="AT35" s="12">
        <v>41236363.636363633</v>
      </c>
      <c r="AU35" s="12">
        <f t="shared" si="11"/>
        <v>235247727.27272725</v>
      </c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</row>
    <row r="36" spans="1:61">
      <c r="A36" s="16" t="s">
        <v>36</v>
      </c>
      <c r="B36" s="40">
        <f t="shared" si="6"/>
        <v>0</v>
      </c>
      <c r="C36" s="50"/>
      <c r="D36" s="35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>
        <f t="shared" si="7"/>
        <v>0</v>
      </c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>
        <f t="shared" si="8"/>
        <v>0</v>
      </c>
      <c r="AF36" s="11"/>
      <c r="AH36" s="16" t="s">
        <v>36</v>
      </c>
      <c r="AI36" s="12">
        <v>14079545.454545455</v>
      </c>
      <c r="AJ36" s="12">
        <v>32454545.454545457</v>
      </c>
      <c r="AK36" s="12">
        <v>54409090.909090914</v>
      </c>
      <c r="AL36" s="12">
        <v>80181818.181818202</v>
      </c>
      <c r="AM36" s="12">
        <v>107386363.63636366</v>
      </c>
      <c r="AN36" s="12">
        <v>137454545.45454547</v>
      </c>
      <c r="AO36" s="12">
        <v>170386363.63636366</v>
      </c>
      <c r="AP36" s="12">
        <v>202363636.36363637</v>
      </c>
      <c r="AQ36" s="12">
        <v>236250000.00000003</v>
      </c>
      <c r="AR36" s="12">
        <v>272045454.54545456</v>
      </c>
      <c r="AS36" s="12">
        <v>309749999.99999994</v>
      </c>
      <c r="AT36" s="12">
        <v>343636363.63636363</v>
      </c>
      <c r="AU36" s="12">
        <f t="shared" si="11"/>
        <v>1960397727.2727275</v>
      </c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</row>
    <row r="37" spans="1:61">
      <c r="A37" s="16" t="s">
        <v>37</v>
      </c>
      <c r="B37" s="40">
        <f t="shared" si="6"/>
        <v>0.2445778902530763</v>
      </c>
      <c r="C37" s="50">
        <f t="shared" si="9"/>
        <v>0.2445778902530763</v>
      </c>
      <c r="D37" s="35">
        <f t="shared" si="41"/>
        <v>7588539535.609314</v>
      </c>
      <c r="E37" s="47">
        <f t="shared" ref="E37:P37" si="42">SUM(E38:E42)</f>
        <v>642152995</v>
      </c>
      <c r="F37" s="47">
        <f t="shared" si="42"/>
        <v>491270025</v>
      </c>
      <c r="G37" s="47">
        <f t="shared" si="42"/>
        <v>619225414</v>
      </c>
      <c r="H37" s="47">
        <f t="shared" si="42"/>
        <v>547410709</v>
      </c>
      <c r="I37" s="47">
        <f t="shared" si="42"/>
        <v>712714978</v>
      </c>
      <c r="J37" s="47">
        <f t="shared" si="42"/>
        <v>649861962</v>
      </c>
      <c r="K37" s="47">
        <f t="shared" si="42"/>
        <v>750523018.60931396</v>
      </c>
      <c r="L37" s="47">
        <f t="shared" si="42"/>
        <v>732763491</v>
      </c>
      <c r="M37" s="47">
        <f t="shared" si="42"/>
        <v>698871677</v>
      </c>
      <c r="N37" s="47">
        <f t="shared" si="42"/>
        <v>608148561</v>
      </c>
      <c r="O37" s="47">
        <f t="shared" si="42"/>
        <v>583402642</v>
      </c>
      <c r="P37" s="47">
        <f t="shared" si="42"/>
        <v>552194063</v>
      </c>
      <c r="Q37" s="11">
        <f t="shared" si="10"/>
        <v>7588539535.609314</v>
      </c>
      <c r="R37" s="47">
        <f t="shared" si="7"/>
        <v>3587988173.333333</v>
      </c>
      <c r="S37" s="47">
        <f t="shared" ref="S37:V37" si="43">SUM(S38:S42)</f>
        <v>435886294</v>
      </c>
      <c r="T37" s="47">
        <f t="shared" si="43"/>
        <v>548512773.33333302</v>
      </c>
      <c r="U37" s="47">
        <f t="shared" si="43"/>
        <v>281741112</v>
      </c>
      <c r="V37" s="47">
        <f t="shared" si="43"/>
        <v>261531231</v>
      </c>
      <c r="W37" s="47">
        <f t="shared" ref="W37:AD37" si="44">SUM(W38:W42)</f>
        <v>375170209</v>
      </c>
      <c r="X37" s="47">
        <f t="shared" si="44"/>
        <v>408463753</v>
      </c>
      <c r="Y37" s="47">
        <f t="shared" si="44"/>
        <v>415417975</v>
      </c>
      <c r="Z37" s="47">
        <f t="shared" si="44"/>
        <v>443390529</v>
      </c>
      <c r="AA37" s="47">
        <f t="shared" si="44"/>
        <v>417874297</v>
      </c>
      <c r="AB37" s="47">
        <f t="shared" si="44"/>
        <v>0</v>
      </c>
      <c r="AC37" s="47">
        <f t="shared" si="44"/>
        <v>0</v>
      </c>
      <c r="AD37" s="47">
        <f t="shared" si="44"/>
        <v>0</v>
      </c>
      <c r="AE37" s="11">
        <f t="shared" si="8"/>
        <v>3587988173.333333</v>
      </c>
      <c r="AF37" s="11"/>
      <c r="AG37" s="34"/>
      <c r="AH37" s="16" t="s">
        <v>37</v>
      </c>
      <c r="AI37" s="12">
        <f>AI38+AI39+AI42+AI40+AI41</f>
        <v>631040399.99999988</v>
      </c>
      <c r="AJ37" s="12">
        <f t="shared" ref="AJ37:AS37" si="45">AJ38+AJ39+AJ42+AJ40+AJ41</f>
        <v>658580400</v>
      </c>
      <c r="AK37" s="12">
        <f t="shared" si="45"/>
        <v>686120400</v>
      </c>
      <c r="AL37" s="12">
        <f t="shared" si="45"/>
        <v>713660400</v>
      </c>
      <c r="AM37" s="12">
        <f t="shared" si="45"/>
        <v>741200400</v>
      </c>
      <c r="AN37" s="12">
        <f t="shared" si="45"/>
        <v>768740400</v>
      </c>
      <c r="AO37" s="12">
        <f t="shared" si="45"/>
        <v>796280400</v>
      </c>
      <c r="AP37" s="12">
        <f t="shared" si="45"/>
        <v>823820400</v>
      </c>
      <c r="AQ37" s="12">
        <f t="shared" si="45"/>
        <v>6131360400</v>
      </c>
      <c r="AR37" s="12">
        <f t="shared" si="45"/>
        <v>878900400</v>
      </c>
      <c r="AS37" s="12">
        <f t="shared" si="45"/>
        <v>906440400</v>
      </c>
      <c r="AT37" s="12">
        <f>AT38+AT39+AT42+AT40+AT41</f>
        <v>933980400</v>
      </c>
      <c r="AU37" s="12">
        <f t="shared" si="11"/>
        <v>14670124800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</row>
    <row r="38" spans="1:61">
      <c r="A38" s="22" t="s">
        <v>38</v>
      </c>
      <c r="B38" s="40" t="e">
        <f t="shared" si="6"/>
        <v>#DIV/0!</v>
      </c>
      <c r="C38" s="50">
        <f t="shared" si="9"/>
        <v>0</v>
      </c>
      <c r="D38" s="35"/>
      <c r="E38" s="11">
        <v>367451124</v>
      </c>
      <c r="F38" s="11">
        <f>252272418+97007</f>
        <v>252369425</v>
      </c>
      <c r="G38" s="11">
        <v>322171949</v>
      </c>
      <c r="H38" s="11">
        <v>284943281</v>
      </c>
      <c r="I38" s="11">
        <v>374396772</v>
      </c>
      <c r="J38" s="11">
        <f>287.919075*10^6</f>
        <v>287919075</v>
      </c>
      <c r="K38" s="11">
        <v>297599228</v>
      </c>
      <c r="L38" s="11">
        <v>212819314</v>
      </c>
      <c r="M38" s="11">
        <v>76198938</v>
      </c>
      <c r="N38" s="11"/>
      <c r="O38" s="11"/>
      <c r="P38" s="11"/>
      <c r="Q38" s="11">
        <f t="shared" si="10"/>
        <v>2475869106</v>
      </c>
      <c r="R38" s="11">
        <f>SUM(S38:AD38)</f>
        <v>0</v>
      </c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>
        <f t="shared" si="8"/>
        <v>0</v>
      </c>
      <c r="AF38" s="11"/>
      <c r="AG38" s="34"/>
      <c r="AH38" s="16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>
        <f t="shared" si="11"/>
        <v>0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</row>
    <row r="39" spans="1:61">
      <c r="A39" s="22" t="s">
        <v>39</v>
      </c>
      <c r="B39" s="40" t="e">
        <f t="shared" si="6"/>
        <v>#DIV/0!</v>
      </c>
      <c r="C39" s="50">
        <f t="shared" si="9"/>
        <v>0</v>
      </c>
      <c r="D39" s="35"/>
      <c r="E39" s="11">
        <v>246601871</v>
      </c>
      <c r="F39" s="11">
        <v>218450600</v>
      </c>
      <c r="G39" s="11">
        <v>271803465</v>
      </c>
      <c r="H39" s="11">
        <v>240067428</v>
      </c>
      <c r="I39" s="11">
        <v>312968206</v>
      </c>
      <c r="J39" s="11">
        <f>233.29254*10^6</f>
        <v>233292540</v>
      </c>
      <c r="K39" s="11">
        <v>217382455</v>
      </c>
      <c r="L39" s="11">
        <v>167449444</v>
      </c>
      <c r="M39" s="11">
        <v>59723887</v>
      </c>
      <c r="N39" s="11"/>
      <c r="O39" s="11"/>
      <c r="P39" s="11"/>
      <c r="Q39" s="11">
        <f t="shared" si="10"/>
        <v>1967739896</v>
      </c>
      <c r="R39" s="11">
        <f t="shared" si="7"/>
        <v>0</v>
      </c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>
        <f t="shared" si="8"/>
        <v>0</v>
      </c>
      <c r="AF39" s="11"/>
      <c r="AG39" s="34"/>
      <c r="AH39" s="16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>
        <f t="shared" si="11"/>
        <v>0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</row>
    <row r="40" spans="1:61">
      <c r="A40" s="22" t="s">
        <v>40</v>
      </c>
      <c r="B40" s="40"/>
      <c r="C40" s="50"/>
      <c r="D40" s="35"/>
      <c r="E40" s="11"/>
      <c r="F40" s="11"/>
      <c r="G40" s="11"/>
      <c r="H40" s="11"/>
      <c r="I40" s="11"/>
      <c r="J40" s="11">
        <v>123150347</v>
      </c>
      <c r="K40" s="11">
        <v>235541335.60931399</v>
      </c>
      <c r="L40" s="11">
        <f>296749175+55745558</f>
        <v>352494733</v>
      </c>
      <c r="M40" s="11">
        <f>562948852</f>
        <v>562948852</v>
      </c>
      <c r="N40" s="11">
        <v>608148561</v>
      </c>
      <c r="O40" s="11">
        <v>583402642</v>
      </c>
      <c r="P40" s="11">
        <v>552194063</v>
      </c>
      <c r="Q40" s="11"/>
      <c r="R40" s="11">
        <f t="shared" si="7"/>
        <v>3587988173.333333</v>
      </c>
      <c r="S40" s="11">
        <v>435886294</v>
      </c>
      <c r="T40" s="11">
        <f>548.512773333333*10^6</f>
        <v>548512773.33333302</v>
      </c>
      <c r="U40" s="11">
        <v>281741112</v>
      </c>
      <c r="V40" s="11">
        <v>261531231</v>
      </c>
      <c r="W40" s="11">
        <v>375170209</v>
      </c>
      <c r="X40" s="11">
        <v>408463753</v>
      </c>
      <c r="Y40" s="11">
        <v>415417975</v>
      </c>
      <c r="Z40" s="11">
        <v>443390529</v>
      </c>
      <c r="AA40" s="11">
        <v>417874297</v>
      </c>
      <c r="AB40" s="11"/>
      <c r="AC40" s="11"/>
      <c r="AD40" s="11"/>
      <c r="AE40" s="11"/>
      <c r="AF40" s="11"/>
      <c r="AG40" s="34"/>
      <c r="AH40" s="16"/>
      <c r="AI40" s="12">
        <v>115886399.99999997</v>
      </c>
      <c r="AJ40" s="12">
        <v>123026400</v>
      </c>
      <c r="AK40" s="12">
        <v>130166399.99999999</v>
      </c>
      <c r="AL40" s="12">
        <v>137306400</v>
      </c>
      <c r="AM40" s="12">
        <v>144446399.99999997</v>
      </c>
      <c r="AN40" s="12">
        <v>151586399.99999997</v>
      </c>
      <c r="AO40" s="12">
        <v>158726400</v>
      </c>
      <c r="AP40" s="12">
        <v>165866399.99999997</v>
      </c>
      <c r="AQ40" s="12">
        <f>173006400+5280000000</f>
        <v>5453006400</v>
      </c>
      <c r="AR40" s="12">
        <v>180146399.99999997</v>
      </c>
      <c r="AS40" s="12">
        <v>187286400</v>
      </c>
      <c r="AT40" s="12">
        <v>194426400</v>
      </c>
      <c r="AU40" s="12">
        <f t="shared" si="11"/>
        <v>7141876800</v>
      </c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</row>
    <row r="41" spans="1:61">
      <c r="A41" s="22" t="s">
        <v>41</v>
      </c>
      <c r="B41" s="40"/>
      <c r="C41" s="50"/>
      <c r="D41" s="35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34"/>
      <c r="AH41" s="16"/>
      <c r="AI41" s="12">
        <v>331103999.99999988</v>
      </c>
      <c r="AJ41" s="12">
        <v>351504000</v>
      </c>
      <c r="AK41" s="12">
        <v>371903999.99999994</v>
      </c>
      <c r="AL41" s="12">
        <v>392304000</v>
      </c>
      <c r="AM41" s="12">
        <v>412703999.99999994</v>
      </c>
      <c r="AN41" s="12">
        <v>433103999.99999994</v>
      </c>
      <c r="AO41" s="12">
        <v>453503999.99999994</v>
      </c>
      <c r="AP41" s="12">
        <v>473903999.99999994</v>
      </c>
      <c r="AQ41" s="12">
        <v>494303999.99999988</v>
      </c>
      <c r="AR41" s="12">
        <v>514703999.99999994</v>
      </c>
      <c r="AS41" s="12">
        <v>535104000</v>
      </c>
      <c r="AT41" s="12">
        <v>555504000</v>
      </c>
      <c r="AU41" s="12">
        <f t="shared" si="11"/>
        <v>5319648000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</row>
    <row r="42" spans="1:61">
      <c r="A42" s="22" t="s">
        <v>42</v>
      </c>
      <c r="B42" s="40">
        <f t="shared" si="6"/>
        <v>0</v>
      </c>
      <c r="C42" s="50">
        <f t="shared" si="9"/>
        <v>0</v>
      </c>
      <c r="D42" s="35"/>
      <c r="E42" s="11">
        <v>28100000</v>
      </c>
      <c r="F42" s="11">
        <v>20450000</v>
      </c>
      <c r="G42" s="11">
        <v>25250000</v>
      </c>
      <c r="H42" s="11">
        <v>22400000</v>
      </c>
      <c r="I42" s="11">
        <v>25350000</v>
      </c>
      <c r="J42" s="11">
        <v>5500000</v>
      </c>
      <c r="K42" s="11"/>
      <c r="L42" s="11"/>
      <c r="M42" s="11"/>
      <c r="N42" s="11"/>
      <c r="O42" s="11"/>
      <c r="P42" s="11"/>
      <c r="Q42" s="11">
        <f t="shared" si="10"/>
        <v>127050000</v>
      </c>
      <c r="R42" s="11">
        <f t="shared" si="7"/>
        <v>0</v>
      </c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>
        <f t="shared" si="8"/>
        <v>0</v>
      </c>
      <c r="AF42" s="11"/>
      <c r="AG42" s="34"/>
      <c r="AH42" s="16"/>
      <c r="AI42" s="12">
        <v>184050000</v>
      </c>
      <c r="AJ42" s="12">
        <v>184050000</v>
      </c>
      <c r="AK42" s="12">
        <v>184050000</v>
      </c>
      <c r="AL42" s="12">
        <v>184050000</v>
      </c>
      <c r="AM42" s="12">
        <v>184050000</v>
      </c>
      <c r="AN42" s="12">
        <v>184050000</v>
      </c>
      <c r="AO42" s="12">
        <v>184050000</v>
      </c>
      <c r="AP42" s="12">
        <v>184050000</v>
      </c>
      <c r="AQ42" s="12">
        <v>184050000</v>
      </c>
      <c r="AR42" s="12">
        <v>184050000</v>
      </c>
      <c r="AS42" s="12">
        <v>184050000</v>
      </c>
      <c r="AT42" s="12">
        <v>184050000</v>
      </c>
      <c r="AU42" s="12">
        <f t="shared" si="11"/>
        <v>2208600000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</row>
    <row r="43" spans="1:61">
      <c r="A43" s="16" t="s">
        <v>43</v>
      </c>
      <c r="B43" s="40">
        <f t="shared" si="6"/>
        <v>0.40928880818113739</v>
      </c>
      <c r="C43" s="50">
        <f t="shared" si="9"/>
        <v>0.40928880818113739</v>
      </c>
      <c r="D43" s="35">
        <f>SUM(E43:P43)</f>
        <v>322826762.09090912</v>
      </c>
      <c r="E43" s="47">
        <f t="shared" ref="E43:P43" si="46">E44+E45</f>
        <v>24704248</v>
      </c>
      <c r="F43" s="47">
        <f t="shared" si="46"/>
        <v>14067065</v>
      </c>
      <c r="G43" s="47">
        <f t="shared" si="46"/>
        <v>18238324</v>
      </c>
      <c r="H43" s="47">
        <f t="shared" si="46"/>
        <v>19897209</v>
      </c>
      <c r="I43" s="47">
        <f t="shared" si="46"/>
        <v>22154924</v>
      </c>
      <c r="J43" s="47">
        <f t="shared" si="46"/>
        <v>22154924</v>
      </c>
      <c r="K43" s="47">
        <f t="shared" si="46"/>
        <v>32141265.090909101</v>
      </c>
      <c r="L43" s="47">
        <f t="shared" si="46"/>
        <v>29692629</v>
      </c>
      <c r="M43" s="47">
        <f t="shared" si="46"/>
        <v>35579935</v>
      </c>
      <c r="N43" s="47">
        <f t="shared" si="46"/>
        <v>34671406</v>
      </c>
      <c r="O43" s="47">
        <f t="shared" si="46"/>
        <v>34278538</v>
      </c>
      <c r="P43" s="47">
        <f t="shared" si="46"/>
        <v>35246295</v>
      </c>
      <c r="Q43" s="11">
        <f t="shared" si="10"/>
        <v>322826762.09090912</v>
      </c>
      <c r="R43" s="47">
        <f t="shared" si="7"/>
        <v>294439578</v>
      </c>
      <c r="S43" s="47">
        <f t="shared" ref="S43:V43" si="47">S44+S45</f>
        <v>33657088</v>
      </c>
      <c r="T43" s="47">
        <f t="shared" si="47"/>
        <v>30406692</v>
      </c>
      <c r="U43" s="47">
        <f t="shared" si="47"/>
        <v>32744379</v>
      </c>
      <c r="V43" s="47">
        <f t="shared" si="47"/>
        <v>31163899</v>
      </c>
      <c r="W43" s="47">
        <f t="shared" ref="W43:AD43" si="48">W44+W45</f>
        <v>34677614</v>
      </c>
      <c r="X43" s="47">
        <f t="shared" si="48"/>
        <v>33978281</v>
      </c>
      <c r="Y43" s="47">
        <f t="shared" si="48"/>
        <v>36796055</v>
      </c>
      <c r="Z43" s="47">
        <f t="shared" si="48"/>
        <v>30507785</v>
      </c>
      <c r="AA43" s="47">
        <f t="shared" si="48"/>
        <v>30507785</v>
      </c>
      <c r="AB43" s="47">
        <f t="shared" si="48"/>
        <v>0</v>
      </c>
      <c r="AC43" s="47">
        <f t="shared" si="48"/>
        <v>0</v>
      </c>
      <c r="AD43" s="47">
        <f t="shared" si="48"/>
        <v>0</v>
      </c>
      <c r="AE43" s="11">
        <f t="shared" si="8"/>
        <v>294439578</v>
      </c>
      <c r="AF43" s="11"/>
      <c r="AH43" s="16" t="s">
        <v>43</v>
      </c>
      <c r="AI43" s="12">
        <f>AI44+AI45</f>
        <v>19711363.636363637</v>
      </c>
      <c r="AJ43" s="12">
        <f t="shared" ref="AJ43:AT43" si="49">AJ44+AJ45</f>
        <v>25963636.363636371</v>
      </c>
      <c r="AK43" s="12">
        <f t="shared" si="49"/>
        <v>32645454.545454547</v>
      </c>
      <c r="AL43" s="12">
        <f t="shared" si="49"/>
        <v>40090909.090909101</v>
      </c>
      <c r="AM43" s="12">
        <f t="shared" si="49"/>
        <v>47250000</v>
      </c>
      <c r="AN43" s="12">
        <f t="shared" si="49"/>
        <v>54981818.181818187</v>
      </c>
      <c r="AO43" s="12">
        <f t="shared" si="49"/>
        <v>63286363.636363655</v>
      </c>
      <c r="AP43" s="12">
        <f t="shared" si="49"/>
        <v>70827272.727272734</v>
      </c>
      <c r="AQ43" s="12">
        <f t="shared" si="49"/>
        <v>78750000.000000015</v>
      </c>
      <c r="AR43" s="12">
        <f t="shared" si="49"/>
        <v>87054545.454545468</v>
      </c>
      <c r="AS43" s="12">
        <f t="shared" si="49"/>
        <v>95740909.090909079</v>
      </c>
      <c r="AT43" s="12">
        <f t="shared" si="49"/>
        <v>103090909.09090909</v>
      </c>
      <c r="AU43" s="12">
        <f t="shared" si="11"/>
        <v>719393181.81818199</v>
      </c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</row>
    <row r="44" spans="1:61">
      <c r="A44" s="22" t="s">
        <v>20</v>
      </c>
      <c r="B44" s="40">
        <f t="shared" si="6"/>
        <v>0</v>
      </c>
      <c r="C44" s="50">
        <f t="shared" si="9"/>
        <v>0</v>
      </c>
      <c r="D44" s="35">
        <f t="shared" si="23"/>
        <v>0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>
        <f t="shared" si="10"/>
        <v>0</v>
      </c>
      <c r="R44" s="13">
        <f t="shared" si="7"/>
        <v>0</v>
      </c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>
        <f t="shared" si="8"/>
        <v>0</v>
      </c>
      <c r="AF44" s="13"/>
      <c r="AH44" s="22" t="s">
        <v>20</v>
      </c>
      <c r="AI44" s="12">
        <v>19711363.636363637</v>
      </c>
      <c r="AJ44" s="12">
        <v>25963636.363636371</v>
      </c>
      <c r="AK44" s="12">
        <v>32645454.545454547</v>
      </c>
      <c r="AL44" s="12">
        <v>40090909.090909101</v>
      </c>
      <c r="AM44" s="12">
        <v>47250000</v>
      </c>
      <c r="AN44" s="12">
        <v>54981818.181818187</v>
      </c>
      <c r="AO44" s="12">
        <v>63286363.636363655</v>
      </c>
      <c r="AP44" s="12">
        <v>70827272.727272734</v>
      </c>
      <c r="AQ44" s="12">
        <v>78750000.000000015</v>
      </c>
      <c r="AR44" s="12">
        <v>87054545.454545468</v>
      </c>
      <c r="AS44" s="12">
        <v>95740909.090909079</v>
      </c>
      <c r="AT44" s="12">
        <v>103090909.09090909</v>
      </c>
      <c r="AU44" s="12">
        <f t="shared" si="11"/>
        <v>719393181.81818199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</row>
    <row r="45" spans="1:61">
      <c r="A45" s="22" t="s">
        <v>44</v>
      </c>
      <c r="B45" s="40" t="e">
        <f t="shared" si="6"/>
        <v>#DIV/0!</v>
      </c>
      <c r="C45" s="50">
        <f t="shared" si="9"/>
        <v>0</v>
      </c>
      <c r="D45" s="35">
        <f>SUM(E45:P45)</f>
        <v>322826762.09090912</v>
      </c>
      <c r="E45" s="11">
        <v>24704248</v>
      </c>
      <c r="F45" s="11">
        <v>14067065</v>
      </c>
      <c r="G45" s="11">
        <v>18238324</v>
      </c>
      <c r="H45" s="11">
        <v>19897209</v>
      </c>
      <c r="I45" s="11">
        <f>22.154924*10^6</f>
        <v>22154924</v>
      </c>
      <c r="J45" s="11">
        <f>22.154924*10^6</f>
        <v>22154924</v>
      </c>
      <c r="K45" s="11">
        <v>32141265.090909101</v>
      </c>
      <c r="L45" s="11">
        <f>29.692629*10^6</f>
        <v>29692629</v>
      </c>
      <c r="M45" s="11">
        <v>35579935</v>
      </c>
      <c r="N45" s="11">
        <v>34671406</v>
      </c>
      <c r="O45" s="11">
        <v>34278538</v>
      </c>
      <c r="P45" s="11">
        <v>35246295</v>
      </c>
      <c r="Q45" s="11">
        <f t="shared" si="10"/>
        <v>322826762.09090912</v>
      </c>
      <c r="R45" s="11">
        <f t="shared" si="7"/>
        <v>294439578</v>
      </c>
      <c r="S45" s="11">
        <f>33.657088*10^6</f>
        <v>33657088</v>
      </c>
      <c r="T45" s="11">
        <f>30.406692*10^6</f>
        <v>30406692</v>
      </c>
      <c r="U45" s="11">
        <v>32744379</v>
      </c>
      <c r="V45" s="11">
        <v>31163899</v>
      </c>
      <c r="W45" s="11">
        <v>34677614</v>
      </c>
      <c r="X45" s="11">
        <v>33978281</v>
      </c>
      <c r="Y45" s="11">
        <v>36796055</v>
      </c>
      <c r="Z45" s="11">
        <v>30507785</v>
      </c>
      <c r="AA45" s="11">
        <v>30507785</v>
      </c>
      <c r="AB45" s="11"/>
      <c r="AC45" s="11"/>
      <c r="AD45" s="11"/>
      <c r="AE45" s="11">
        <f t="shared" si="8"/>
        <v>294439578</v>
      </c>
      <c r="AF45" s="11"/>
      <c r="AH45" s="22" t="s">
        <v>44</v>
      </c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>
        <f t="shared" si="11"/>
        <v>0</v>
      </c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</row>
    <row r="46" spans="1:61">
      <c r="A46" s="16" t="s">
        <v>45</v>
      </c>
      <c r="B46" s="40"/>
      <c r="C46" s="50"/>
      <c r="D46" s="35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>
        <f t="shared" si="7"/>
        <v>867167655</v>
      </c>
      <c r="S46" s="11">
        <v>267038014</v>
      </c>
      <c r="T46" s="11"/>
      <c r="U46" s="11">
        <v>134707885</v>
      </c>
      <c r="V46" s="11">
        <v>68913930</v>
      </c>
      <c r="W46" s="11">
        <v>117350035</v>
      </c>
      <c r="X46" s="11">
        <v>82271760</v>
      </c>
      <c r="Y46" s="11">
        <v>80848132</v>
      </c>
      <c r="Z46" s="11">
        <v>60519231</v>
      </c>
      <c r="AA46" s="11">
        <v>55518668</v>
      </c>
      <c r="AB46" s="11"/>
      <c r="AC46" s="11"/>
      <c r="AD46" s="11"/>
      <c r="AE46" s="11"/>
      <c r="AF46" s="11"/>
      <c r="AH46" s="22"/>
      <c r="AI46" s="12">
        <v>1750000000</v>
      </c>
      <c r="AJ46" s="12">
        <v>1750000000</v>
      </c>
      <c r="AK46" s="12">
        <v>1750000000</v>
      </c>
      <c r="AL46" s="12">
        <v>1750000000</v>
      </c>
      <c r="AM46" s="12">
        <v>1750000000</v>
      </c>
      <c r="AN46" s="12">
        <v>1750000000</v>
      </c>
      <c r="AO46" s="12">
        <v>1750000000</v>
      </c>
      <c r="AP46" s="12">
        <v>1750000000</v>
      </c>
      <c r="AQ46" s="12">
        <v>1750000000</v>
      </c>
      <c r="AR46" s="12">
        <v>1750000000</v>
      </c>
      <c r="AS46" s="12">
        <v>1750000000</v>
      </c>
      <c r="AT46" s="12">
        <v>1750000000</v>
      </c>
      <c r="AU46" s="12">
        <f t="shared" si="11"/>
        <v>21000000000</v>
      </c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</row>
    <row r="47" spans="1:61">
      <c r="A47" s="16" t="s">
        <v>46</v>
      </c>
      <c r="B47" s="40" t="e">
        <f t="shared" si="6"/>
        <v>#DIV/0!</v>
      </c>
      <c r="C47" s="50">
        <f t="shared" si="9"/>
        <v>0</v>
      </c>
      <c r="D47" s="35">
        <f t="shared" si="23"/>
        <v>0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>
        <f t="shared" si="10"/>
        <v>0</v>
      </c>
      <c r="R47" s="11">
        <f t="shared" si="7"/>
        <v>0</v>
      </c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>
        <f t="shared" si="8"/>
        <v>0</v>
      </c>
      <c r="AF47" s="11"/>
      <c r="AH47" s="16" t="s">
        <v>46</v>
      </c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>
        <f t="shared" si="11"/>
        <v>0</v>
      </c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</row>
    <row r="48" spans="1:61">
      <c r="A48" s="22" t="s">
        <v>47</v>
      </c>
      <c r="B48" s="40" t="e">
        <f t="shared" si="6"/>
        <v>#DIV/0!</v>
      </c>
      <c r="C48" s="50">
        <f t="shared" si="9"/>
        <v>0</v>
      </c>
      <c r="D48" s="35">
        <f t="shared" si="23"/>
        <v>0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>
        <f t="shared" si="10"/>
        <v>0</v>
      </c>
      <c r="R48" s="11">
        <f t="shared" si="7"/>
        <v>0</v>
      </c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>
        <f t="shared" si="8"/>
        <v>0</v>
      </c>
      <c r="AF48" s="11"/>
      <c r="AH48" s="23" t="s">
        <v>47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f t="shared" si="11"/>
        <v>0</v>
      </c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</row>
    <row r="49" spans="1:61">
      <c r="A49" s="22" t="s">
        <v>48</v>
      </c>
      <c r="B49" s="40" t="e">
        <f t="shared" si="6"/>
        <v>#DIV/0!</v>
      </c>
      <c r="C49" s="50">
        <f t="shared" si="9"/>
        <v>0</v>
      </c>
      <c r="D49" s="35">
        <f t="shared" si="23"/>
        <v>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>
        <f t="shared" si="10"/>
        <v>0</v>
      </c>
      <c r="R49" s="11">
        <f t="shared" si="7"/>
        <v>0</v>
      </c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>
        <f t="shared" si="8"/>
        <v>0</v>
      </c>
      <c r="AF49" s="11"/>
      <c r="AH49" s="23" t="s">
        <v>48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f t="shared" si="11"/>
        <v>0</v>
      </c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</row>
    <row r="50" spans="1:61">
      <c r="A50" s="16" t="s">
        <v>49</v>
      </c>
      <c r="B50" s="40" t="e">
        <f t="shared" si="6"/>
        <v>#DIV/0!</v>
      </c>
      <c r="C50" s="50">
        <f t="shared" si="9"/>
        <v>0</v>
      </c>
      <c r="D50" s="35">
        <f t="shared" si="23"/>
        <v>20082884657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20082884657</v>
      </c>
      <c r="Q50" s="11">
        <f t="shared" si="10"/>
        <v>20082884657</v>
      </c>
      <c r="R50" s="11">
        <f t="shared" si="7"/>
        <v>0</v>
      </c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>
        <f t="shared" si="8"/>
        <v>0</v>
      </c>
      <c r="AF50" s="11"/>
      <c r="AH50" s="16" t="s">
        <v>49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f t="shared" si="11"/>
        <v>0</v>
      </c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</row>
    <row r="51" spans="1:61">
      <c r="A51" s="16" t="s">
        <v>50</v>
      </c>
      <c r="B51" s="40">
        <f t="shared" si="6"/>
        <v>0.24313900048627232</v>
      </c>
      <c r="C51" s="50">
        <f t="shared" si="9"/>
        <v>0.24313900048627232</v>
      </c>
      <c r="D51" s="35">
        <f>SUM(E51:P51)</f>
        <v>81401978888</v>
      </c>
      <c r="E51" s="11">
        <f>42.951221*10^6</f>
        <v>42951221</v>
      </c>
      <c r="F51" s="11">
        <f>30.737917*10^6</f>
        <v>30737917</v>
      </c>
      <c r="G51" s="11">
        <v>2981774849</v>
      </c>
      <c r="H51" s="11">
        <v>956497427</v>
      </c>
      <c r="I51" s="11">
        <f>231186024+1817659011+294900128</f>
        <v>2343745163</v>
      </c>
      <c r="J51" s="11">
        <f>3333660846+9664163366-10860591+770.481894*10^6</f>
        <v>13757445515</v>
      </c>
      <c r="K51" s="11">
        <f>1850000000+3001818182</f>
        <v>4851818182</v>
      </c>
      <c r="L51" s="11">
        <f>16844.423638*10^6+55981779</f>
        <v>16900405417</v>
      </c>
      <c r="M51" s="11">
        <v>18110473</v>
      </c>
      <c r="N51" s="11">
        <v>13632720965</v>
      </c>
      <c r="O51" s="11">
        <f>933048178+4451422081</f>
        <v>5384470259</v>
      </c>
      <c r="P51" s="11">
        <f>418416843+20082884657</f>
        <v>20501301500</v>
      </c>
      <c r="Q51" s="11">
        <f t="shared" si="10"/>
        <v>81401978888</v>
      </c>
      <c r="R51" s="11">
        <f>SUM(S51:AD51)</f>
        <v>12777927031.555555</v>
      </c>
      <c r="S51" s="11">
        <f>SUM(S52:S58)</f>
        <v>543389681</v>
      </c>
      <c r="T51" s="11">
        <f>SUM(T52:T58)</f>
        <v>833434644</v>
      </c>
      <c r="U51" s="11">
        <f>SUM(U52:U58)</f>
        <v>488997539.55555564</v>
      </c>
      <c r="V51" s="11">
        <f>SUM(V52:V58)</f>
        <v>964091469</v>
      </c>
      <c r="W51" s="11">
        <f>SUM(W52:W58)</f>
        <v>5620918257</v>
      </c>
      <c r="X51" s="11">
        <f t="shared" ref="X51:AA51" si="50">SUM(X52:X58)</f>
        <v>485255000</v>
      </c>
      <c r="Y51" s="11">
        <f t="shared" si="50"/>
        <v>2087500000</v>
      </c>
      <c r="Z51" s="11">
        <f t="shared" si="50"/>
        <v>870340441</v>
      </c>
      <c r="AA51" s="11">
        <f t="shared" si="50"/>
        <v>884000000</v>
      </c>
      <c r="AB51" s="11"/>
      <c r="AC51" s="11"/>
      <c r="AD51" s="11"/>
      <c r="AE51" s="11">
        <f t="shared" si="8"/>
        <v>12777927031.555555</v>
      </c>
      <c r="AF51" s="11"/>
      <c r="AH51" s="16" t="s">
        <v>51</v>
      </c>
      <c r="AI51" s="12">
        <f>SUM(AI52:AI58)</f>
        <v>1532000000</v>
      </c>
      <c r="AJ51" s="12">
        <f t="shared" ref="AJ51:AT51" si="51">SUM(AJ52:AJ58)</f>
        <v>1132000000</v>
      </c>
      <c r="AK51" s="12">
        <f t="shared" si="51"/>
        <v>1132000000</v>
      </c>
      <c r="AL51" s="12">
        <f t="shared" si="51"/>
        <v>1132000000</v>
      </c>
      <c r="AM51" s="12">
        <f>SUM(AM52:AM58)</f>
        <v>1132000000</v>
      </c>
      <c r="AN51" s="12">
        <f t="shared" si="51"/>
        <v>1132000000</v>
      </c>
      <c r="AO51" s="12">
        <f t="shared" si="51"/>
        <v>1432000000</v>
      </c>
      <c r="AP51" s="12">
        <f t="shared" si="51"/>
        <v>1132000000</v>
      </c>
      <c r="AQ51" s="12">
        <f t="shared" si="51"/>
        <v>1132000000</v>
      </c>
      <c r="AR51" s="12">
        <f t="shared" si="51"/>
        <v>1132000000</v>
      </c>
      <c r="AS51" s="12">
        <f t="shared" si="51"/>
        <v>1132000000</v>
      </c>
      <c r="AT51" s="12">
        <f t="shared" si="51"/>
        <v>39402000000</v>
      </c>
      <c r="AU51" s="12">
        <f>SUM(AI51:AT51)</f>
        <v>52554000000</v>
      </c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</row>
    <row r="52" spans="1:61">
      <c r="A52" s="22" t="s">
        <v>52</v>
      </c>
      <c r="B52" s="40"/>
      <c r="C52" s="50"/>
      <c r="D52" s="35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>
        <f t="shared" si="7"/>
        <v>1127748000</v>
      </c>
      <c r="S52" s="11">
        <v>20000000</v>
      </c>
      <c r="T52" s="11">
        <v>20000000</v>
      </c>
      <c r="U52" s="11">
        <v>20000000</v>
      </c>
      <c r="V52" s="11">
        <v>20000000</v>
      </c>
      <c r="W52" s="11">
        <v>937748000</v>
      </c>
      <c r="X52" s="11">
        <v>20000000</v>
      </c>
      <c r="Y52" s="11">
        <v>30000000</v>
      </c>
      <c r="Z52" s="11">
        <v>30000000</v>
      </c>
      <c r="AA52" s="11">
        <v>30000000</v>
      </c>
      <c r="AB52" s="11"/>
      <c r="AC52" s="11"/>
      <c r="AD52" s="11"/>
      <c r="AE52" s="11"/>
      <c r="AF52" s="11"/>
      <c r="AH52" s="16"/>
      <c r="AI52" s="12">
        <v>30000000</v>
      </c>
      <c r="AJ52" s="12">
        <v>30000000</v>
      </c>
      <c r="AK52" s="12">
        <v>30000000</v>
      </c>
      <c r="AL52" s="12">
        <v>30000000</v>
      </c>
      <c r="AM52" s="12">
        <v>30000000</v>
      </c>
      <c r="AN52" s="12">
        <v>30000000</v>
      </c>
      <c r="AO52" s="12">
        <v>30000000</v>
      </c>
      <c r="AP52" s="12">
        <v>30000000</v>
      </c>
      <c r="AQ52" s="12">
        <v>30000000</v>
      </c>
      <c r="AR52" s="12">
        <v>30000000</v>
      </c>
      <c r="AS52" s="12">
        <v>30000000</v>
      </c>
      <c r="AT52" s="12">
        <v>14000000000</v>
      </c>
      <c r="AU52" s="12">
        <f t="shared" si="11"/>
        <v>14330000000</v>
      </c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</row>
    <row r="53" spans="1:61">
      <c r="A53" s="22" t="s">
        <v>53</v>
      </c>
      <c r="B53" s="40"/>
      <c r="C53" s="50"/>
      <c r="D53" s="35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>
        <f t="shared" si="7"/>
        <v>3600000000</v>
      </c>
      <c r="S53" s="11">
        <v>400000000</v>
      </c>
      <c r="T53" s="11">
        <v>400000000</v>
      </c>
      <c r="U53" s="11">
        <v>400000000</v>
      </c>
      <c r="V53" s="11">
        <v>400000000</v>
      </c>
      <c r="W53" s="11">
        <v>400000000</v>
      </c>
      <c r="X53" s="11">
        <v>400000000</v>
      </c>
      <c r="Y53" s="11">
        <v>400000000</v>
      </c>
      <c r="Z53" s="11">
        <v>400000000</v>
      </c>
      <c r="AA53" s="11">
        <v>400000000</v>
      </c>
      <c r="AB53" s="11"/>
      <c r="AC53" s="11"/>
      <c r="AD53" s="11"/>
      <c r="AE53" s="11"/>
      <c r="AF53" s="11"/>
      <c r="AH53" s="16"/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24000000000</v>
      </c>
      <c r="AU53" s="12">
        <f t="shared" si="11"/>
        <v>24000000000</v>
      </c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</row>
    <row r="54" spans="1:61">
      <c r="A54" s="22" t="s">
        <v>54</v>
      </c>
      <c r="B54" s="40"/>
      <c r="C54" s="50"/>
      <c r="D54" s="35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>
        <f t="shared" si="7"/>
        <v>0</v>
      </c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H54" s="16"/>
      <c r="AI54" s="12">
        <v>850000000</v>
      </c>
      <c r="AJ54" s="12">
        <v>450000000</v>
      </c>
      <c r="AK54" s="12">
        <v>450000000</v>
      </c>
      <c r="AL54" s="12">
        <v>450000000</v>
      </c>
      <c r="AM54" s="12">
        <v>450000000</v>
      </c>
      <c r="AN54" s="12">
        <v>450000000</v>
      </c>
      <c r="AO54" s="12">
        <v>450000000</v>
      </c>
      <c r="AP54" s="12">
        <v>450000000</v>
      </c>
      <c r="AQ54" s="12">
        <v>450000000</v>
      </c>
      <c r="AR54" s="12">
        <v>450000000</v>
      </c>
      <c r="AS54" s="12">
        <v>450000000</v>
      </c>
      <c r="AT54" s="12">
        <v>450000000</v>
      </c>
      <c r="AU54" s="12">
        <f t="shared" si="11"/>
        <v>5800000000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</row>
    <row r="55" spans="1:61">
      <c r="A55" s="22" t="s">
        <v>55</v>
      </c>
      <c r="B55" s="40"/>
      <c r="C55" s="50"/>
      <c r="D55" s="35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>
        <f t="shared" si="7"/>
        <v>0</v>
      </c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H55" s="16"/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300000000</v>
      </c>
      <c r="AP55" s="12">
        <v>0</v>
      </c>
      <c r="AQ55" s="12">
        <v>0</v>
      </c>
      <c r="AR55" s="12">
        <v>0</v>
      </c>
      <c r="AS55" s="12">
        <v>0</v>
      </c>
      <c r="AT55" s="12">
        <v>300000000</v>
      </c>
      <c r="AU55" s="12">
        <f t="shared" si="11"/>
        <v>600000000</v>
      </c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</row>
    <row r="56" spans="1:61">
      <c r="A56" s="22" t="s">
        <v>56</v>
      </c>
      <c r="B56" s="40"/>
      <c r="C56" s="50"/>
      <c r="D56" s="35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>
        <f t="shared" si="7"/>
        <v>0</v>
      </c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H56" s="16"/>
      <c r="AI56" s="12">
        <v>83333333.333333328</v>
      </c>
      <c r="AJ56" s="12">
        <v>83333333.333333328</v>
      </c>
      <c r="AK56" s="12">
        <v>83333333.333333328</v>
      </c>
      <c r="AL56" s="12">
        <v>83333333.333333328</v>
      </c>
      <c r="AM56" s="12">
        <v>83333333.333333328</v>
      </c>
      <c r="AN56" s="12">
        <v>83333333.333333328</v>
      </c>
      <c r="AO56" s="12">
        <v>83333333.333333328</v>
      </c>
      <c r="AP56" s="12">
        <v>83333333.333333328</v>
      </c>
      <c r="AQ56" s="12">
        <v>83333333.333333328</v>
      </c>
      <c r="AR56" s="12">
        <v>83333333.333333328</v>
      </c>
      <c r="AS56" s="12">
        <v>83333333.333333328</v>
      </c>
      <c r="AT56" s="12">
        <v>83333333.333333328</v>
      </c>
      <c r="AU56" s="12">
        <f t="shared" si="11"/>
        <v>1000000000.0000001</v>
      </c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</row>
    <row r="57" spans="1:61">
      <c r="A57" s="22" t="s">
        <v>57</v>
      </c>
      <c r="B57" s="40"/>
      <c r="C57" s="50"/>
      <c r="D57" s="35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>
        <f t="shared" si="7"/>
        <v>7446620600.5555553</v>
      </c>
      <c r="S57" s="11">
        <v>49937736</v>
      </c>
      <c r="T57" s="11">
        <v>339982699</v>
      </c>
      <c r="U57" s="11">
        <v>5997539.5555556202</v>
      </c>
      <c r="V57" s="11">
        <v>497005399</v>
      </c>
      <c r="W57" s="11">
        <v>4208156786</v>
      </c>
      <c r="X57" s="11"/>
      <c r="Y57" s="11">
        <v>1588000000</v>
      </c>
      <c r="Z57" s="11">
        <v>373040441.00000006</v>
      </c>
      <c r="AA57" s="11">
        <v>384500000</v>
      </c>
      <c r="AB57" s="11"/>
      <c r="AC57" s="11"/>
      <c r="AD57" s="11"/>
      <c r="AE57" s="11"/>
      <c r="AF57" s="11"/>
      <c r="AH57" s="16"/>
      <c r="AI57" s="12">
        <v>506666666.66666669</v>
      </c>
      <c r="AJ57" s="12">
        <v>506666666.66666669</v>
      </c>
      <c r="AK57" s="12">
        <v>506666666.66666669</v>
      </c>
      <c r="AL57" s="12">
        <v>506666666.66666669</v>
      </c>
      <c r="AM57" s="12">
        <v>506666666.66666669</v>
      </c>
      <c r="AN57" s="12">
        <v>506666666.66666669</v>
      </c>
      <c r="AO57" s="12">
        <v>506666666.66666669</v>
      </c>
      <c r="AP57" s="12">
        <v>506666666.66666669</v>
      </c>
      <c r="AQ57" s="12">
        <v>506666666.66666669</v>
      </c>
      <c r="AR57" s="12">
        <v>506666666.66666669</v>
      </c>
      <c r="AS57" s="12">
        <v>506666666.66666669</v>
      </c>
      <c r="AT57" s="12">
        <v>506666666.66666669</v>
      </c>
      <c r="AU57" s="12">
        <f t="shared" si="11"/>
        <v>6080000000.000001</v>
      </c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</row>
    <row r="58" spans="1:61">
      <c r="A58" s="22" t="s">
        <v>58</v>
      </c>
      <c r="B58" s="40"/>
      <c r="C58" s="50"/>
      <c r="D58" s="35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>
        <f>SUM(S58:AD58)</f>
        <v>603558431</v>
      </c>
      <c r="S58" s="11">
        <v>73451945</v>
      </c>
      <c r="T58" s="11">
        <v>73451945</v>
      </c>
      <c r="U58" s="11">
        <v>63000000</v>
      </c>
      <c r="V58" s="11">
        <f>116000000-V46</f>
        <v>47086070</v>
      </c>
      <c r="W58" s="11">
        <v>75013471</v>
      </c>
      <c r="X58" s="11">
        <v>65254999.999999993</v>
      </c>
      <c r="Y58" s="11">
        <v>69500000</v>
      </c>
      <c r="Z58" s="11">
        <v>67300000</v>
      </c>
      <c r="AA58" s="11">
        <v>69500000</v>
      </c>
      <c r="AB58" s="11"/>
      <c r="AC58" s="11"/>
      <c r="AD58" s="11"/>
      <c r="AE58" s="11"/>
      <c r="AF58" s="11"/>
      <c r="AH58" s="16"/>
      <c r="AI58" s="12">
        <v>62000000</v>
      </c>
      <c r="AJ58" s="12">
        <v>62000000</v>
      </c>
      <c r="AK58" s="12">
        <v>62000000</v>
      </c>
      <c r="AL58" s="12">
        <v>62000000</v>
      </c>
      <c r="AM58" s="12">
        <v>62000000</v>
      </c>
      <c r="AN58" s="12">
        <v>62000000</v>
      </c>
      <c r="AO58" s="12">
        <v>62000000</v>
      </c>
      <c r="AP58" s="12">
        <v>62000000</v>
      </c>
      <c r="AQ58" s="12">
        <v>62000000</v>
      </c>
      <c r="AR58" s="12">
        <v>62000000</v>
      </c>
      <c r="AS58" s="12">
        <v>62000000</v>
      </c>
      <c r="AT58" s="12">
        <v>62000000</v>
      </c>
      <c r="AU58" s="12">
        <f t="shared" si="11"/>
        <v>744000000</v>
      </c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</row>
    <row r="59" spans="1:61" s="33" customFormat="1">
      <c r="A59" s="31" t="s">
        <v>59</v>
      </c>
      <c r="B59" s="40">
        <f t="shared" si="6"/>
        <v>0.57243432691400997</v>
      </c>
      <c r="C59" s="52">
        <f>IFERROR(B59,0)</f>
        <v>0.57243432691400997</v>
      </c>
      <c r="D59" s="35">
        <f>SUM(E59:P59)</f>
        <v>1381560604120.1072</v>
      </c>
      <c r="E59" s="32">
        <f>E5+E9+E29</f>
        <v>65053114771.610184</v>
      </c>
      <c r="F59" s="32">
        <f>F5+F9+F29</f>
        <v>64899193804.181816</v>
      </c>
      <c r="G59" s="32">
        <f>G5+G9+G29</f>
        <v>71155930294.645096</v>
      </c>
      <c r="H59" s="71">
        <f>H5+H9+H29</f>
        <v>75014408516.243484</v>
      </c>
      <c r="I59" s="71">
        <f>I5+I9+I29</f>
        <v>85317001701.818176</v>
      </c>
      <c r="J59" s="32">
        <f>J5+J9+J29+J51</f>
        <v>104002075765.99588</v>
      </c>
      <c r="K59" s="32">
        <f t="shared" ref="K59:P59" si="52">K5+K9+K29</f>
        <v>118093995297.09091</v>
      </c>
      <c r="L59" s="71">
        <f t="shared" si="52"/>
        <v>140238761720.14868</v>
      </c>
      <c r="M59" s="71">
        <f t="shared" si="52"/>
        <v>129044466442.37294</v>
      </c>
      <c r="N59" s="71">
        <f t="shared" si="52"/>
        <v>160854862828</v>
      </c>
      <c r="O59" s="71">
        <f t="shared" si="52"/>
        <v>162421902340</v>
      </c>
      <c r="P59" s="32">
        <f t="shared" si="52"/>
        <v>205464890638</v>
      </c>
      <c r="Q59" s="72">
        <f>SUM(E59:P59)</f>
        <v>1381560604120.1072</v>
      </c>
      <c r="R59" s="32">
        <f>SUM(S59:AD59)</f>
        <v>1979981689161.3152</v>
      </c>
      <c r="S59" s="32">
        <f>S5+S9+S29</f>
        <v>175890085986.88898</v>
      </c>
      <c r="T59" s="32">
        <f>T5+T9+T29</f>
        <v>164441395680.31409</v>
      </c>
      <c r="U59" s="32">
        <f t="shared" ref="U59:AD59" si="53">U5+U9+U29</f>
        <v>193350802527.91998</v>
      </c>
      <c r="V59" s="32">
        <f t="shared" si="53"/>
        <v>207737315952.40411</v>
      </c>
      <c r="W59" s="32">
        <f t="shared" si="53"/>
        <v>235993527557.40823</v>
      </c>
      <c r="X59" s="32">
        <f t="shared" si="53"/>
        <v>211148549314.02597</v>
      </c>
      <c r="Y59" s="32">
        <f t="shared" si="53"/>
        <v>233147546087.28888</v>
      </c>
      <c r="Z59" s="32">
        <f t="shared" si="53"/>
        <v>268811152463.06509</v>
      </c>
      <c r="AA59" s="32">
        <f t="shared" si="53"/>
        <v>289461313592</v>
      </c>
      <c r="AB59" s="32">
        <f t="shared" si="53"/>
        <v>0</v>
      </c>
      <c r="AC59" s="32">
        <f t="shared" si="53"/>
        <v>0</v>
      </c>
      <c r="AD59" s="32">
        <f t="shared" si="53"/>
        <v>0</v>
      </c>
      <c r="AE59" s="72">
        <f t="shared" si="8"/>
        <v>1979981689161.3152</v>
      </c>
      <c r="AF59" s="72"/>
      <c r="AH59" s="33" t="s">
        <v>59</v>
      </c>
      <c r="AI59" s="32">
        <f t="shared" ref="AI59:AT59" si="54">AI5+AI9+AI29</f>
        <v>192348296027.48682</v>
      </c>
      <c r="AJ59" s="32">
        <f t="shared" si="54"/>
        <v>206759994273.14105</v>
      </c>
      <c r="AK59" s="32">
        <f t="shared" si="54"/>
        <v>223925532623.73611</v>
      </c>
      <c r="AL59" s="32">
        <f t="shared" si="54"/>
        <v>240604872307.2699</v>
      </c>
      <c r="AM59" s="32">
        <f t="shared" si="54"/>
        <v>258064753670.06274</v>
      </c>
      <c r="AN59" s="32">
        <f t="shared" si="54"/>
        <v>274817882844.88327</v>
      </c>
      <c r="AO59" s="32">
        <f t="shared" si="54"/>
        <v>292263375084.10321</v>
      </c>
      <c r="AP59" s="32">
        <f t="shared" si="54"/>
        <v>309452498493.01959</v>
      </c>
      <c r="AQ59" s="32">
        <f t="shared" si="54"/>
        <v>333984897181.34875</v>
      </c>
      <c r="AR59" s="32">
        <f t="shared" si="54"/>
        <v>344998164726.84991</v>
      </c>
      <c r="AS59" s="32">
        <f t="shared" si="54"/>
        <v>363090284098.89288</v>
      </c>
      <c r="AT59" s="32">
        <f t="shared" si="54"/>
        <v>418569526381.14941</v>
      </c>
      <c r="AU59" s="32">
        <f>SUM(AI59:AT59)</f>
        <v>3458880077711.9443</v>
      </c>
      <c r="AW59" s="24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</row>
    <row r="60" spans="1:61" s="42" customFormat="1">
      <c r="A60" s="42" t="s">
        <v>60</v>
      </c>
      <c r="B60" s="43"/>
      <c r="C60" s="53">
        <f t="shared" si="9"/>
        <v>0</v>
      </c>
      <c r="Q60" s="44"/>
      <c r="R60" s="44"/>
      <c r="S60" s="44"/>
      <c r="T60" s="44"/>
      <c r="U60" s="44"/>
      <c r="V60" s="12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W60" s="5"/>
      <c r="AX60" s="5">
        <f t="shared" ref="AX60:AX76" si="55">AI60*10^9</f>
        <v>0</v>
      </c>
      <c r="AY60" s="5">
        <f t="shared" ref="AY60:AY76" si="56">AJ60*10^9</f>
        <v>0</v>
      </c>
      <c r="AZ60" s="5">
        <f t="shared" ref="AZ60:AZ76" si="57">AK60*10^9</f>
        <v>0</v>
      </c>
      <c r="BA60" s="5">
        <f t="shared" ref="BA60:BA76" si="58">AL60*10^9</f>
        <v>0</v>
      </c>
      <c r="BB60" s="5">
        <f t="shared" ref="BB60:BB76" si="59">AM60*10^9</f>
        <v>0</v>
      </c>
      <c r="BC60" s="5">
        <f t="shared" ref="BC60:BC76" si="60">AN60*10^9</f>
        <v>0</v>
      </c>
      <c r="BD60" s="5">
        <f t="shared" ref="BD60:BD76" si="61">AO60*10^9</f>
        <v>0</v>
      </c>
      <c r="BE60" s="5">
        <f t="shared" ref="BE60:BE76" si="62">AP60*10^9</f>
        <v>0</v>
      </c>
      <c r="BF60" s="5">
        <f t="shared" ref="BF60:BF76" si="63">AQ60*10^9</f>
        <v>0</v>
      </c>
      <c r="BG60" s="5">
        <f t="shared" ref="BG60:BG76" si="64">AR60*10^9</f>
        <v>0</v>
      </c>
      <c r="BH60" s="5">
        <f t="shared" ref="BH60:BH76" si="65">AS60*10^9</f>
        <v>0</v>
      </c>
      <c r="BI60" s="5">
        <f t="shared" ref="BI60:BI76" si="66">AT60*10^9</f>
        <v>0</v>
      </c>
    </row>
    <row r="61" spans="1:61">
      <c r="C61" s="54">
        <f t="shared" si="9"/>
        <v>0</v>
      </c>
      <c r="D61" s="46">
        <f>D5/D59</f>
        <v>0.31993536623948038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O61" s="34"/>
      <c r="AU61" s="7"/>
      <c r="AW61" s="5"/>
      <c r="AX61" s="5">
        <f t="shared" si="55"/>
        <v>0</v>
      </c>
      <c r="AY61" s="5">
        <f t="shared" si="56"/>
        <v>0</v>
      </c>
      <c r="AZ61" s="5">
        <f t="shared" si="57"/>
        <v>0</v>
      </c>
      <c r="BA61" s="5">
        <f t="shared" si="58"/>
        <v>0</v>
      </c>
      <c r="BB61" s="5">
        <f t="shared" si="59"/>
        <v>0</v>
      </c>
      <c r="BC61" s="5">
        <f t="shared" si="60"/>
        <v>0</v>
      </c>
      <c r="BD61" s="5">
        <f t="shared" si="61"/>
        <v>0</v>
      </c>
      <c r="BE61" s="5">
        <f t="shared" si="62"/>
        <v>0</v>
      </c>
      <c r="BF61" s="5">
        <f t="shared" si="63"/>
        <v>0</v>
      </c>
      <c r="BG61" s="5">
        <f t="shared" si="64"/>
        <v>0</v>
      </c>
      <c r="BH61" s="5">
        <f t="shared" si="65"/>
        <v>0</v>
      </c>
      <c r="BI61" s="5">
        <f t="shared" si="66"/>
        <v>0</v>
      </c>
    </row>
    <row r="62" spans="1:61">
      <c r="A62" t="s">
        <v>61</v>
      </c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I62" s="5">
        <f>AI59/10^9</f>
        <v>192.34829602748681</v>
      </c>
      <c r="AJ62" s="5">
        <f t="shared" ref="AJ62:AT62" si="67">AJ59/10^9</f>
        <v>206.75999427314105</v>
      </c>
      <c r="AK62" s="5">
        <f t="shared" si="67"/>
        <v>223.9255326237361</v>
      </c>
      <c r="AL62" s="5">
        <f t="shared" si="67"/>
        <v>240.60487230726989</v>
      </c>
      <c r="AM62" s="5">
        <f t="shared" si="67"/>
        <v>258.06475367006277</v>
      </c>
      <c r="AN62" s="5">
        <f t="shared" si="67"/>
        <v>274.81788284488329</v>
      </c>
      <c r="AO62" s="5">
        <f t="shared" si="67"/>
        <v>292.26337508410319</v>
      </c>
      <c r="AP62" s="5">
        <f t="shared" si="67"/>
        <v>309.45249849301962</v>
      </c>
      <c r="AQ62" s="5">
        <f t="shared" si="67"/>
        <v>333.98489718134874</v>
      </c>
      <c r="AR62" s="5">
        <f t="shared" si="67"/>
        <v>344.99816472684989</v>
      </c>
      <c r="AS62" s="5">
        <f t="shared" si="67"/>
        <v>363.09028409889288</v>
      </c>
      <c r="AT62" s="5">
        <f t="shared" si="67"/>
        <v>418.56952638114939</v>
      </c>
      <c r="AU62" s="34"/>
      <c r="AW62" s="5"/>
      <c r="AX62" s="5">
        <f t="shared" si="55"/>
        <v>192348296027.48682</v>
      </c>
      <c r="AY62" s="5">
        <f t="shared" si="56"/>
        <v>206759994273.14105</v>
      </c>
      <c r="AZ62" s="5">
        <f t="shared" si="57"/>
        <v>223925532623.73611</v>
      </c>
      <c r="BA62" s="5">
        <f t="shared" si="58"/>
        <v>240604872307.2699</v>
      </c>
      <c r="BB62" s="5">
        <f t="shared" si="59"/>
        <v>258064753670.06277</v>
      </c>
      <c r="BC62" s="5">
        <f t="shared" si="60"/>
        <v>274817882844.8833</v>
      </c>
      <c r="BD62" s="5">
        <f t="shared" si="61"/>
        <v>292263375084.10321</v>
      </c>
      <c r="BE62" s="5">
        <f t="shared" si="62"/>
        <v>309452498493.01959</v>
      </c>
      <c r="BF62" s="5">
        <f t="shared" si="63"/>
        <v>333984897181.34875</v>
      </c>
      <c r="BG62" s="5">
        <f t="shared" si="64"/>
        <v>344998164726.84991</v>
      </c>
      <c r="BH62" s="5">
        <f t="shared" si="65"/>
        <v>363090284098.89288</v>
      </c>
      <c r="BI62" s="5">
        <f t="shared" si="66"/>
        <v>418569526381.14941</v>
      </c>
    </row>
    <row r="63" spans="1:61">
      <c r="N63" s="34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U63" s="42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</row>
    <row r="64" spans="1:61"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>
        <f>AC59+AC62+AC63</f>
        <v>0</v>
      </c>
      <c r="AD64" s="11"/>
      <c r="AE64" s="11"/>
      <c r="AF64" s="11"/>
      <c r="AU64" s="7">
        <v>3523000000000</v>
      </c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</row>
    <row r="65" spans="1:61">
      <c r="A65" s="55"/>
      <c r="B65" s="56"/>
      <c r="C65" s="57" t="s">
        <v>62</v>
      </c>
      <c r="D65" s="58" t="s">
        <v>63</v>
      </c>
      <c r="E65" s="57" t="s">
        <v>64</v>
      </c>
      <c r="F65" s="55" t="s">
        <v>65</v>
      </c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U65" s="34">
        <f>AU64-AU59</f>
        <v>64119922288.055664</v>
      </c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</row>
    <row r="66" spans="1:61" s="4" customFormat="1">
      <c r="A66" s="59" t="s">
        <v>66</v>
      </c>
      <c r="B66" s="57"/>
      <c r="C66" s="60">
        <f>C67+C68</f>
        <v>891786635000.00012</v>
      </c>
      <c r="D66" s="61">
        <f>D67+D68</f>
        <v>442010097861.20428</v>
      </c>
      <c r="E66" s="62">
        <f>D66-C66</f>
        <v>-449776537138.79584</v>
      </c>
      <c r="F66" s="73">
        <f>D66/C66</f>
        <v>0.49564557318265284</v>
      </c>
      <c r="H66" s="47"/>
      <c r="I66" s="47"/>
      <c r="L66" s="47"/>
      <c r="M66" s="47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</row>
    <row r="67" spans="1:61">
      <c r="A67" s="55" t="s">
        <v>67</v>
      </c>
      <c r="B67" s="56"/>
      <c r="C67" s="63">
        <f>AU6</f>
        <v>47970000000</v>
      </c>
      <c r="D67" s="64">
        <f>D6</f>
        <v>19654287445.013634</v>
      </c>
      <c r="E67" s="99">
        <f t="shared" ref="E67:E76" si="68">D67-C67</f>
        <v>-28315712554.986366</v>
      </c>
      <c r="F67" s="73">
        <f t="shared" ref="F67:F76" si="69">D67/C67</f>
        <v>0.40972039701925439</v>
      </c>
      <c r="N67" s="34"/>
      <c r="P67">
        <v>58852099874.467186</v>
      </c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</row>
    <row r="68" spans="1:61">
      <c r="A68" s="55" t="s">
        <v>68</v>
      </c>
      <c r="B68" s="56"/>
      <c r="C68" s="63">
        <f>AU7+AU8</f>
        <v>843816635000.00012</v>
      </c>
      <c r="D68" s="64">
        <f>D8</f>
        <v>422355810416.19067</v>
      </c>
      <c r="E68" s="99">
        <f t="shared" si="68"/>
        <v>-421460824583.80945</v>
      </c>
      <c r="F68" s="73">
        <f t="shared" si="69"/>
        <v>0.50053032009281329</v>
      </c>
      <c r="O68" s="34"/>
      <c r="P68" s="34">
        <f>P59-P67</f>
        <v>146612790763.53281</v>
      </c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</row>
    <row r="69" spans="1:61" s="4" customFormat="1" ht="13" customHeight="1">
      <c r="A69" s="59" t="s">
        <v>22</v>
      </c>
      <c r="B69" s="57"/>
      <c r="C69" s="60">
        <f>AU29</f>
        <v>93408205749.114029</v>
      </c>
      <c r="D69" s="61">
        <f>D29</f>
        <v>97215868564.700226</v>
      </c>
      <c r="E69" s="62">
        <f t="shared" si="68"/>
        <v>3807662815.5861969</v>
      </c>
      <c r="F69" s="73">
        <f t="shared" si="69"/>
        <v>1.0407636864989489</v>
      </c>
      <c r="H69" s="47"/>
      <c r="I69" s="47"/>
      <c r="L69" s="47"/>
      <c r="M69" s="47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I69" s="81">
        <v>0.18404999999999999</v>
      </c>
      <c r="AJ69" s="81">
        <v>0.18404999999999999</v>
      </c>
      <c r="AK69" s="81">
        <v>0.18404999999999999</v>
      </c>
      <c r="AL69" s="81">
        <v>0.18404999999999999</v>
      </c>
      <c r="AM69" s="81">
        <v>0.18404999999999999</v>
      </c>
      <c r="AN69" s="81">
        <v>0.18404999999999999</v>
      </c>
      <c r="AO69" s="81">
        <v>0.18404999999999999</v>
      </c>
      <c r="AP69" s="81">
        <v>0.18404999999999999</v>
      </c>
      <c r="AQ69" s="81">
        <v>0.18404999999999999</v>
      </c>
      <c r="AR69" s="81">
        <v>0.18404999999999999</v>
      </c>
      <c r="AS69" s="81">
        <v>0.18404999999999999</v>
      </c>
      <c r="AT69" s="81">
        <v>0.18404999999999999</v>
      </c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</row>
    <row r="70" spans="1:61" s="4" customFormat="1" ht="13" customHeight="1">
      <c r="A70" s="59" t="s">
        <v>69</v>
      </c>
      <c r="B70" s="57"/>
      <c r="C70" s="60">
        <f>AU51</f>
        <v>52554000000</v>
      </c>
      <c r="D70" s="61"/>
      <c r="E70" s="99">
        <f>D70-C70</f>
        <v>-52554000000</v>
      </c>
      <c r="F70" s="73">
        <f>D70/C70</f>
        <v>0</v>
      </c>
      <c r="H70" s="47"/>
      <c r="I70" s="47"/>
      <c r="L70" s="47"/>
      <c r="M70" s="47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</row>
    <row r="71" spans="1:61" s="4" customFormat="1">
      <c r="A71" s="59" t="s">
        <v>70</v>
      </c>
      <c r="B71" s="57"/>
      <c r="C71" s="60">
        <f>SUM(C72:C75)</f>
        <v>2408272872868.709</v>
      </c>
      <c r="D71" s="60">
        <f>SUM(D72:D75)</f>
        <v>825452393932.20264</v>
      </c>
      <c r="E71" s="62">
        <f t="shared" si="68"/>
        <v>-1582820478936.5063</v>
      </c>
      <c r="F71" s="73">
        <f t="shared" si="69"/>
        <v>0.34275700367331402</v>
      </c>
      <c r="H71" s="47"/>
      <c r="I71" s="47"/>
      <c r="L71" s="47"/>
      <c r="M71" s="47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</row>
    <row r="72" spans="1:61">
      <c r="A72" s="55" t="s">
        <v>19</v>
      </c>
      <c r="B72" s="56"/>
      <c r="C72" s="63">
        <f>AU10</f>
        <v>369989841805.30884</v>
      </c>
      <c r="D72" s="64">
        <f>D10</f>
        <v>167388599156</v>
      </c>
      <c r="E72" s="99">
        <f t="shared" si="68"/>
        <v>-202601242649.30884</v>
      </c>
      <c r="F72" s="73">
        <f t="shared" si="69"/>
        <v>0.45241404017811121</v>
      </c>
      <c r="AP72" s="34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</row>
    <row r="73" spans="1:61">
      <c r="A73" s="55" t="s">
        <v>71</v>
      </c>
      <c r="B73" s="56"/>
      <c r="C73" s="63">
        <f>AU17</f>
        <v>233326443792.1778</v>
      </c>
      <c r="D73" s="64">
        <f>D17</f>
        <v>128361783027.9037</v>
      </c>
      <c r="E73" s="99">
        <f t="shared" si="68"/>
        <v>-104964660764.27409</v>
      </c>
      <c r="F73" s="73">
        <f t="shared" si="69"/>
        <v>0.55013817097488804</v>
      </c>
      <c r="AW73" s="5"/>
      <c r="AX73" s="5">
        <f t="shared" si="55"/>
        <v>0</v>
      </c>
      <c r="AY73" s="5">
        <f t="shared" si="56"/>
        <v>0</v>
      </c>
      <c r="AZ73" s="5">
        <f t="shared" si="57"/>
        <v>0</v>
      </c>
      <c r="BA73" s="5">
        <f t="shared" si="58"/>
        <v>0</v>
      </c>
      <c r="BB73" s="5">
        <f t="shared" si="59"/>
        <v>0</v>
      </c>
      <c r="BC73" s="5">
        <f t="shared" si="60"/>
        <v>0</v>
      </c>
      <c r="BD73" s="5">
        <f t="shared" si="61"/>
        <v>0</v>
      </c>
      <c r="BE73" s="5">
        <f t="shared" si="62"/>
        <v>0</v>
      </c>
      <c r="BF73" s="5">
        <f t="shared" si="63"/>
        <v>0</v>
      </c>
      <c r="BG73" s="5">
        <f t="shared" si="64"/>
        <v>0</v>
      </c>
      <c r="BH73" s="5">
        <f t="shared" si="65"/>
        <v>0</v>
      </c>
      <c r="BI73" s="5">
        <f t="shared" si="66"/>
        <v>0</v>
      </c>
    </row>
    <row r="74" spans="1:61">
      <c r="A74" s="55" t="s">
        <v>23</v>
      </c>
      <c r="B74" s="56"/>
      <c r="C74" s="63">
        <f>AU14</f>
        <v>1653133856803.3184</v>
      </c>
      <c r="D74" s="64">
        <f>D14</f>
        <v>477188352728.29895</v>
      </c>
      <c r="E74" s="99">
        <f t="shared" si="68"/>
        <v>-1175945504075.0195</v>
      </c>
      <c r="F74" s="73">
        <f t="shared" si="69"/>
        <v>0.28865681430724727</v>
      </c>
      <c r="AW74" s="5"/>
      <c r="AX74" s="5">
        <f t="shared" si="55"/>
        <v>0</v>
      </c>
      <c r="AY74" s="5">
        <f t="shared" si="56"/>
        <v>0</v>
      </c>
      <c r="AZ74" s="5">
        <f t="shared" si="57"/>
        <v>0</v>
      </c>
      <c r="BA74" s="5">
        <f t="shared" si="58"/>
        <v>0</v>
      </c>
      <c r="BB74" s="5">
        <f t="shared" si="59"/>
        <v>0</v>
      </c>
      <c r="BC74" s="5">
        <f t="shared" si="60"/>
        <v>0</v>
      </c>
      <c r="BD74" s="5">
        <f t="shared" si="61"/>
        <v>0</v>
      </c>
      <c r="BE74" s="5">
        <f t="shared" si="62"/>
        <v>0</v>
      </c>
      <c r="BF74" s="5">
        <f t="shared" si="63"/>
        <v>0</v>
      </c>
      <c r="BG74" s="5">
        <f t="shared" si="64"/>
        <v>0</v>
      </c>
      <c r="BH74" s="5">
        <f t="shared" si="65"/>
        <v>0</v>
      </c>
      <c r="BI74" s="5">
        <f t="shared" si="66"/>
        <v>0</v>
      </c>
    </row>
    <row r="75" spans="1:61">
      <c r="A75" s="55" t="s">
        <v>27</v>
      </c>
      <c r="B75" s="56"/>
      <c r="C75" s="63">
        <f>AU23</f>
        <v>151822730467.90405</v>
      </c>
      <c r="D75" s="64">
        <f>D23</f>
        <v>52513659020</v>
      </c>
      <c r="E75" s="99">
        <f t="shared" si="68"/>
        <v>-99309071447.904053</v>
      </c>
      <c r="F75" s="73">
        <f t="shared" si="69"/>
        <v>0.34588798961892997</v>
      </c>
      <c r="AW75" s="5"/>
      <c r="AX75" s="5">
        <f t="shared" si="55"/>
        <v>0</v>
      </c>
      <c r="AY75" s="5">
        <f t="shared" si="56"/>
        <v>0</v>
      </c>
      <c r="AZ75" s="5">
        <f t="shared" si="57"/>
        <v>0</v>
      </c>
      <c r="BA75" s="5">
        <f t="shared" si="58"/>
        <v>0</v>
      </c>
      <c r="BB75" s="5">
        <f t="shared" si="59"/>
        <v>0</v>
      </c>
      <c r="BC75" s="5">
        <f t="shared" si="60"/>
        <v>0</v>
      </c>
      <c r="BD75" s="5">
        <f t="shared" si="61"/>
        <v>0</v>
      </c>
      <c r="BE75" s="5">
        <f t="shared" si="62"/>
        <v>0</v>
      </c>
      <c r="BF75" s="5">
        <f t="shared" si="63"/>
        <v>0</v>
      </c>
      <c r="BG75" s="5">
        <f t="shared" si="64"/>
        <v>0</v>
      </c>
      <c r="BH75" s="5">
        <f t="shared" si="65"/>
        <v>0</v>
      </c>
      <c r="BI75" s="5">
        <f t="shared" si="66"/>
        <v>0</v>
      </c>
    </row>
    <row r="76" spans="1:61" s="4" customFormat="1">
      <c r="A76" s="59" t="s">
        <v>72</v>
      </c>
      <c r="B76" s="57"/>
      <c r="C76" s="60">
        <f>C66+C69+C70+C71</f>
        <v>3446021713617.8232</v>
      </c>
      <c r="D76" s="60">
        <f>D66+D69+D71</f>
        <v>1364678360358.1072</v>
      </c>
      <c r="E76" s="62">
        <f t="shared" si="68"/>
        <v>-2081343353259.7161</v>
      </c>
      <c r="F76" s="73">
        <f t="shared" si="69"/>
        <v>0.39601560111047379</v>
      </c>
      <c r="H76" s="47"/>
      <c r="I76" s="47"/>
      <c r="L76" s="47"/>
      <c r="M76" s="47"/>
      <c r="AW76" s="5"/>
      <c r="AX76" s="5">
        <f t="shared" si="55"/>
        <v>0</v>
      </c>
      <c r="AY76" s="5">
        <f t="shared" si="56"/>
        <v>0</v>
      </c>
      <c r="AZ76" s="5">
        <f t="shared" si="57"/>
        <v>0</v>
      </c>
      <c r="BA76" s="5">
        <f t="shared" si="58"/>
        <v>0</v>
      </c>
      <c r="BB76" s="5">
        <f t="shared" si="59"/>
        <v>0</v>
      </c>
      <c r="BC76" s="5">
        <f t="shared" si="60"/>
        <v>0</v>
      </c>
      <c r="BD76" s="5">
        <f t="shared" si="61"/>
        <v>0</v>
      </c>
      <c r="BE76" s="5">
        <f t="shared" si="62"/>
        <v>0</v>
      </c>
      <c r="BF76" s="5">
        <f t="shared" si="63"/>
        <v>0</v>
      </c>
      <c r="BG76" s="5">
        <f t="shared" si="64"/>
        <v>0</v>
      </c>
      <c r="BH76" s="5">
        <f t="shared" si="65"/>
        <v>0</v>
      </c>
      <c r="BI76" s="5">
        <f t="shared" si="66"/>
        <v>0</v>
      </c>
    </row>
    <row r="118" spans="11:11">
      <c r="K118">
        <v>22898373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ABF88-E74A-4A05-AA28-A15475C12386}">
  <sheetPr>
    <tabColor rgb="FF92D050"/>
  </sheetPr>
  <dimension ref="A1:BH108"/>
  <sheetViews>
    <sheetView zoomScale="55" zoomScaleNormal="55" workbookViewId="0">
      <pane xSplit="2" ySplit="5" topLeftCell="AC80" activePane="bottomRight" state="frozen"/>
      <selection pane="topRight" activeCell="C1" sqref="C1"/>
      <selection pane="bottomLeft" activeCell="A6" sqref="A6"/>
      <selection pane="bottomRight" activeCell="BF74" sqref="BF74"/>
    </sheetView>
  </sheetViews>
  <sheetFormatPr baseColWidth="10" defaultColWidth="8.83203125" defaultRowHeight="15" outlineLevelCol="1"/>
  <cols>
    <col min="1" max="1" width="46.5" bestFit="1" customWidth="1"/>
    <col min="2" max="3" width="16.1640625" customWidth="1"/>
    <col min="4" max="9" width="9.83203125" hidden="1" customWidth="1" outlineLevel="1"/>
    <col min="10" max="10" width="11.5" hidden="1" customWidth="1" outlineLevel="1"/>
    <col min="11" max="11" width="9.83203125" hidden="1" customWidth="1" outlineLevel="1"/>
    <col min="12" max="13" width="10.5" hidden="1" customWidth="1" outlineLevel="1"/>
    <col min="14" max="15" width="9.83203125" hidden="1" customWidth="1" outlineLevel="1"/>
    <col min="16" max="16" width="9.83203125" customWidth="1" collapsed="1"/>
    <col min="17" max="22" width="9.83203125" customWidth="1"/>
    <col min="23" max="23" width="13.33203125" style="474" customWidth="1"/>
    <col min="24" max="24" width="12.5" bestFit="1" customWidth="1"/>
    <col min="25" max="25" width="10.5" bestFit="1" customWidth="1"/>
    <col min="26" max="26" width="15.5" bestFit="1" customWidth="1"/>
    <col min="27" max="28" width="9.83203125" customWidth="1"/>
    <col min="29" max="29" width="15.5" customWidth="1"/>
    <col min="31" max="31" width="47.5" bestFit="1" customWidth="1"/>
    <col min="32" max="32" width="16.1640625" hidden="1" customWidth="1" outlineLevel="1"/>
    <col min="33" max="43" width="8.6640625" hidden="1" customWidth="1" outlineLevel="1"/>
    <col min="44" max="44" width="8.6640625" style="67" collapsed="1"/>
    <col min="46" max="57" width="8.83203125" bestFit="1" customWidth="1"/>
    <col min="58" max="58" width="11.1640625" customWidth="1"/>
    <col min="59" max="60" width="9.5" bestFit="1" customWidth="1"/>
  </cols>
  <sheetData>
    <row r="1" spans="1:59">
      <c r="A1" s="1" t="s">
        <v>73</v>
      </c>
    </row>
    <row r="2" spans="1:59">
      <c r="A2" s="27" t="s">
        <v>1</v>
      </c>
      <c r="B2" s="174">
        <v>11</v>
      </c>
      <c r="AF2" s="27" t="s">
        <v>1</v>
      </c>
    </row>
    <row r="3" spans="1:59">
      <c r="A3" s="4" t="s">
        <v>2</v>
      </c>
      <c r="B3" s="175">
        <v>1</v>
      </c>
      <c r="D3" s="74"/>
      <c r="E3" s="74"/>
      <c r="F3" s="74"/>
      <c r="G3" s="74"/>
      <c r="H3" s="74"/>
      <c r="I3" s="74"/>
      <c r="J3" s="74"/>
      <c r="K3" s="74"/>
      <c r="L3" s="74"/>
      <c r="M3" s="74"/>
      <c r="O3" s="5">
        <f>O16-O59</f>
        <v>118.03480103359965</v>
      </c>
      <c r="P3" s="5"/>
      <c r="S3" s="98">
        <f>Q30+R30+S30+Q77+R77+S77</f>
        <v>176.63407965889053</v>
      </c>
      <c r="AF3" s="4" t="s">
        <v>4</v>
      </c>
    </row>
    <row r="4" spans="1:59">
      <c r="C4" s="98"/>
      <c r="N4" s="42"/>
    </row>
    <row r="5" spans="1:59" ht="26">
      <c r="A5" s="167" t="s">
        <v>74</v>
      </c>
      <c r="B5" s="167" t="s">
        <v>7</v>
      </c>
      <c r="C5" s="167" t="s">
        <v>75</v>
      </c>
      <c r="D5" s="154">
        <v>45292</v>
      </c>
      <c r="E5" s="154">
        <v>45323</v>
      </c>
      <c r="F5" s="154">
        <v>45352</v>
      </c>
      <c r="G5" s="154">
        <v>45383</v>
      </c>
      <c r="H5" s="154">
        <v>45413</v>
      </c>
      <c r="I5" s="154">
        <v>45444</v>
      </c>
      <c r="J5" s="154">
        <v>45474</v>
      </c>
      <c r="K5" s="154">
        <v>45505</v>
      </c>
      <c r="L5" s="154">
        <v>45536</v>
      </c>
      <c r="M5" s="154">
        <v>45566</v>
      </c>
      <c r="N5" s="154">
        <v>45597</v>
      </c>
      <c r="O5" s="192">
        <v>45627</v>
      </c>
      <c r="P5" s="167" t="s">
        <v>76</v>
      </c>
      <c r="Q5" s="154">
        <v>45658</v>
      </c>
      <c r="R5" s="154">
        <v>45689</v>
      </c>
      <c r="S5" s="154">
        <v>45717</v>
      </c>
      <c r="T5" s="154">
        <v>45748</v>
      </c>
      <c r="U5" s="154">
        <v>45778</v>
      </c>
      <c r="V5" s="154">
        <v>45809</v>
      </c>
      <c r="W5" s="154">
        <v>45839</v>
      </c>
      <c r="X5" s="154">
        <v>45870</v>
      </c>
      <c r="Y5" s="154">
        <v>45901</v>
      </c>
      <c r="Z5" s="154">
        <v>45931</v>
      </c>
      <c r="AA5" s="154">
        <v>45962</v>
      </c>
      <c r="AB5" s="154">
        <v>45992</v>
      </c>
      <c r="AC5" s="193"/>
      <c r="AE5" s="154" t="s">
        <v>74</v>
      </c>
      <c r="AF5" s="154">
        <v>45292</v>
      </c>
      <c r="AG5" s="154">
        <v>45323</v>
      </c>
      <c r="AH5" s="154">
        <v>45352</v>
      </c>
      <c r="AI5" s="154">
        <v>45383</v>
      </c>
      <c r="AJ5" s="154">
        <v>45413</v>
      </c>
      <c r="AK5" s="154">
        <v>45444</v>
      </c>
      <c r="AL5" s="154">
        <v>45474</v>
      </c>
      <c r="AM5" s="154">
        <v>45505</v>
      </c>
      <c r="AN5" s="154">
        <v>45536</v>
      </c>
      <c r="AO5" s="154">
        <v>45566</v>
      </c>
      <c r="AP5" s="154">
        <v>45597</v>
      </c>
      <c r="AQ5" s="154">
        <v>45627</v>
      </c>
      <c r="AR5" s="168" t="s">
        <v>77</v>
      </c>
      <c r="AS5" s="168" t="s">
        <v>78</v>
      </c>
      <c r="AT5" s="154">
        <v>45658</v>
      </c>
      <c r="AU5" s="154">
        <v>45689</v>
      </c>
      <c r="AV5" s="154">
        <v>45717</v>
      </c>
      <c r="AW5" s="154">
        <v>45748</v>
      </c>
      <c r="AX5" s="154">
        <v>45778</v>
      </c>
      <c r="AY5" s="154">
        <v>45809</v>
      </c>
      <c r="AZ5" s="154">
        <v>45839</v>
      </c>
      <c r="BA5" s="154">
        <v>45870</v>
      </c>
      <c r="BB5" s="154">
        <v>45901</v>
      </c>
      <c r="BC5" s="154">
        <v>45931</v>
      </c>
      <c r="BD5" s="154">
        <v>45962</v>
      </c>
      <c r="BE5" s="154">
        <v>45992</v>
      </c>
      <c r="BF5" s="168" t="s">
        <v>13</v>
      </c>
      <c r="BG5" s="168" t="s">
        <v>79</v>
      </c>
    </row>
    <row r="6" spans="1:59">
      <c r="A6" s="4" t="s">
        <v>80</v>
      </c>
      <c r="B6" s="164"/>
      <c r="C6" s="298">
        <f>SUM(C7:C9)</f>
        <v>223.13778651600001</v>
      </c>
      <c r="D6" s="299">
        <v>201.39046537399997</v>
      </c>
      <c r="E6" s="299">
        <v>152.77504784000001</v>
      </c>
      <c r="F6" s="299">
        <v>181.82286757000003</v>
      </c>
      <c r="G6" s="299">
        <v>229.69441172900002</v>
      </c>
      <c r="H6" s="299">
        <v>256.22206150099998</v>
      </c>
      <c r="I6" s="299">
        <v>320.05572397399999</v>
      </c>
      <c r="J6" s="476">
        <v>363.26119347600002</v>
      </c>
      <c r="K6" s="302">
        <v>395.49630039299996</v>
      </c>
      <c r="L6" s="302">
        <v>434.77298657699998</v>
      </c>
      <c r="M6" s="302">
        <v>473.80811454100001</v>
      </c>
      <c r="N6" s="302">
        <v>420.42574715500001</v>
      </c>
      <c r="O6" s="302">
        <v>470.23176044800005</v>
      </c>
      <c r="P6" s="170">
        <f ca="1">SUM(OFFSET(Q6,0,$B$2-1):OFFSET(Q6,0,$B$3-1))</f>
        <v>0</v>
      </c>
      <c r="Q6" s="299">
        <f t="shared" ref="Q6:V6" si="0">SUM(Q7:Q9)</f>
        <v>0</v>
      </c>
      <c r="R6" s="299">
        <f t="shared" si="0"/>
        <v>0</v>
      </c>
      <c r="S6" s="299">
        <f t="shared" si="0"/>
        <v>0</v>
      </c>
      <c r="T6" s="299">
        <f t="shared" si="0"/>
        <v>0</v>
      </c>
      <c r="U6" s="299">
        <f t="shared" si="0"/>
        <v>0</v>
      </c>
      <c r="V6" s="299">
        <f t="shared" si="0"/>
        <v>0</v>
      </c>
      <c r="W6" s="476">
        <f t="shared" ref="W6:AB6" si="1">SUM(W7:W9)</f>
        <v>0</v>
      </c>
      <c r="X6" s="302">
        <f t="shared" si="1"/>
        <v>0</v>
      </c>
      <c r="Y6" s="302">
        <f t="shared" si="1"/>
        <v>0</v>
      </c>
      <c r="Z6" s="302">
        <f t="shared" si="1"/>
        <v>0</v>
      </c>
      <c r="AA6" s="302">
        <f t="shared" si="1"/>
        <v>0</v>
      </c>
      <c r="AB6" s="302">
        <f t="shared" si="1"/>
        <v>0</v>
      </c>
      <c r="AC6" s="193"/>
      <c r="AD6" s="193"/>
      <c r="AE6" s="164"/>
      <c r="AF6" s="164"/>
      <c r="AG6" s="164"/>
      <c r="AH6" s="164"/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4"/>
      <c r="AT6" s="301"/>
      <c r="AU6" s="301"/>
      <c r="AV6" s="301"/>
      <c r="AW6" s="301"/>
      <c r="AX6" s="301"/>
      <c r="AY6" s="301"/>
      <c r="AZ6" s="301"/>
      <c r="BA6" s="301"/>
      <c r="BB6" s="301"/>
      <c r="BC6" s="301"/>
      <c r="BD6" s="301"/>
      <c r="BE6" s="301"/>
      <c r="BF6" s="301"/>
      <c r="BG6" s="301"/>
    </row>
    <row r="7" spans="1:59">
      <c r="A7" t="s">
        <v>81</v>
      </c>
      <c r="B7" s="164"/>
      <c r="C7" s="300">
        <f>104585050000/10^9+4.263</f>
        <v>108.84805</v>
      </c>
      <c r="D7" s="301">
        <v>91.988349999999997</v>
      </c>
      <c r="E7" s="301">
        <v>55.165200000000006</v>
      </c>
      <c r="F7" s="301">
        <v>57.308890000000005</v>
      </c>
      <c r="G7" s="301">
        <v>99.399090000000015</v>
      </c>
      <c r="H7" s="301">
        <v>112.69615999999999</v>
      </c>
      <c r="I7" s="301">
        <v>155.31387999999998</v>
      </c>
      <c r="J7" s="477">
        <v>167.74406000000002</v>
      </c>
      <c r="K7" s="301">
        <v>187.16388999999998</v>
      </c>
      <c r="L7" s="301">
        <v>223.05885999999998</v>
      </c>
      <c r="M7" s="301">
        <v>236.45690999999999</v>
      </c>
      <c r="N7" s="301">
        <v>192.34918999999999</v>
      </c>
      <c r="O7" s="301">
        <v>186.92712</v>
      </c>
      <c r="P7" s="165">
        <f ca="1">SUM(OFFSET(Q7,0,$B$2-1):OFFSET(Q7,0,$B$3-1))</f>
        <v>0</v>
      </c>
      <c r="Q7" s="301"/>
      <c r="R7" s="301"/>
      <c r="S7" s="301"/>
      <c r="T7" s="301"/>
      <c r="U7" s="301"/>
      <c r="V7" s="301"/>
      <c r="W7" s="477"/>
      <c r="X7" s="301"/>
      <c r="Y7" s="301"/>
      <c r="Z7" s="301"/>
      <c r="AA7" s="301"/>
      <c r="AB7" s="301"/>
      <c r="AC7" s="193"/>
      <c r="AD7" s="193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  <c r="AR7" s="164"/>
      <c r="AS7" s="164"/>
      <c r="AT7" s="301"/>
      <c r="AU7" s="301"/>
      <c r="AV7" s="301"/>
      <c r="AW7" s="301"/>
      <c r="AX7" s="301"/>
      <c r="AY7" s="301"/>
      <c r="AZ7" s="301"/>
      <c r="BA7" s="301"/>
      <c r="BB7" s="301"/>
      <c r="BC7" s="301"/>
      <c r="BD7" s="301"/>
      <c r="BE7" s="301"/>
      <c r="BF7" s="301"/>
      <c r="BG7" s="301"/>
    </row>
    <row r="8" spans="1:59">
      <c r="A8" t="s">
        <v>71</v>
      </c>
      <c r="B8" s="164"/>
      <c r="C8" s="300">
        <f>38479500000/10^9</f>
        <v>38.479500000000002</v>
      </c>
      <c r="D8" s="301">
        <v>43.960999999999999</v>
      </c>
      <c r="E8" s="301">
        <v>43.738500000000002</v>
      </c>
      <c r="F8" s="301">
        <v>59.82</v>
      </c>
      <c r="G8" s="301">
        <v>67.741</v>
      </c>
      <c r="H8" s="301">
        <v>79.375</v>
      </c>
      <c r="I8" s="301">
        <v>93.3155</v>
      </c>
      <c r="J8" s="477">
        <v>114.003</v>
      </c>
      <c r="K8" s="301">
        <v>123.6105</v>
      </c>
      <c r="L8" s="301">
        <v>120.6545</v>
      </c>
      <c r="M8" s="301">
        <v>132.03749999999999</v>
      </c>
      <c r="N8" s="301">
        <v>122.399</v>
      </c>
      <c r="O8" s="301">
        <v>169.80250000000001</v>
      </c>
      <c r="P8" s="165">
        <f ca="1">SUM(OFFSET(Q8,0,$B$2-1):OFFSET(Q8,0,$B$3-1))</f>
        <v>0</v>
      </c>
      <c r="Q8" s="301"/>
      <c r="R8" s="301"/>
      <c r="S8" s="301"/>
      <c r="T8" s="301"/>
      <c r="U8" s="301"/>
      <c r="V8" s="301"/>
      <c r="W8" s="477"/>
      <c r="X8" s="301"/>
      <c r="Y8" s="301"/>
      <c r="Z8" s="301"/>
      <c r="AA8" s="301"/>
      <c r="AB8" s="301"/>
      <c r="AC8" s="193"/>
      <c r="AD8" s="193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4"/>
      <c r="AQ8" s="164"/>
      <c r="AR8" s="164"/>
      <c r="AS8" s="164"/>
      <c r="AT8" s="301"/>
      <c r="AU8" s="301"/>
      <c r="AV8" s="301"/>
      <c r="AW8" s="301"/>
      <c r="AX8" s="301"/>
      <c r="AY8" s="301"/>
      <c r="AZ8" s="301"/>
      <c r="BA8" s="301"/>
      <c r="BB8" s="301"/>
      <c r="BC8" s="301"/>
      <c r="BD8" s="301"/>
      <c r="BE8" s="301"/>
      <c r="BF8" s="301"/>
      <c r="BG8" s="301"/>
    </row>
    <row r="9" spans="1:59">
      <c r="A9" t="s">
        <v>27</v>
      </c>
      <c r="B9" s="164"/>
      <c r="C9" s="300">
        <f>75810236516/10^9</f>
        <v>75.810236516000003</v>
      </c>
      <c r="D9" s="301">
        <v>65.441115374000006</v>
      </c>
      <c r="E9" s="301">
        <v>53.871347839999999</v>
      </c>
      <c r="F9" s="301">
        <v>64.693977570000001</v>
      </c>
      <c r="G9" s="301">
        <v>62.554321729000002</v>
      </c>
      <c r="H9" s="301">
        <v>64.150901501000007</v>
      </c>
      <c r="I9" s="301">
        <v>71.426343974000005</v>
      </c>
      <c r="J9" s="477">
        <v>81.514133475999998</v>
      </c>
      <c r="K9" s="301">
        <v>84.721910393000002</v>
      </c>
      <c r="L9" s="301">
        <v>91.059626577000003</v>
      </c>
      <c r="M9" s="301">
        <v>105.31370454100001</v>
      </c>
      <c r="N9" s="301">
        <v>105.677557155</v>
      </c>
      <c r="O9" s="301">
        <v>113.50214044800001</v>
      </c>
      <c r="P9" s="165">
        <f ca="1">SUM(OFFSET(Q9,0,$B$2-1):OFFSET(Q9,0,$B$3-1))</f>
        <v>0</v>
      </c>
      <c r="Q9" s="301"/>
      <c r="R9" s="301"/>
      <c r="S9" s="301"/>
      <c r="T9" s="301"/>
      <c r="U9" s="301"/>
      <c r="V9" s="301"/>
      <c r="W9" s="477"/>
      <c r="X9" s="301"/>
      <c r="Y9" s="301"/>
      <c r="Z9" s="301"/>
      <c r="AA9" s="301"/>
      <c r="AB9" s="301"/>
      <c r="AC9" s="193"/>
      <c r="AD9" s="193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64"/>
      <c r="AQ9" s="164"/>
      <c r="AR9" s="164"/>
      <c r="AS9" s="164"/>
      <c r="AT9" s="301"/>
      <c r="AU9" s="301"/>
      <c r="AV9" s="301"/>
      <c r="AW9" s="301"/>
      <c r="AX9" s="301"/>
      <c r="AY9" s="301"/>
      <c r="AZ9" s="301"/>
      <c r="BA9" s="301"/>
      <c r="BB9" s="301"/>
      <c r="BC9" s="301"/>
      <c r="BD9" s="301"/>
      <c r="BE9" s="301"/>
      <c r="BF9" s="301"/>
      <c r="BG9" s="301"/>
    </row>
    <row r="10" spans="1:59">
      <c r="A10" s="4" t="s">
        <v>82</v>
      </c>
      <c r="B10" s="164"/>
      <c r="C10" s="298">
        <f>SUM(C11:C13)</f>
        <v>6568.6498375040001</v>
      </c>
      <c r="D10" s="302">
        <v>6990.6145934539991</v>
      </c>
      <c r="E10" s="302">
        <v>7769.8141064669999</v>
      </c>
      <c r="F10" s="302">
        <v>7841.8873262280003</v>
      </c>
      <c r="G10" s="302">
        <v>8007.8578159140006</v>
      </c>
      <c r="H10" s="302">
        <v>8577.2974428399993</v>
      </c>
      <c r="I10" s="302">
        <v>8933.6391371230002</v>
      </c>
      <c r="J10" s="476">
        <v>9389.6329465430008</v>
      </c>
      <c r="K10" s="302">
        <v>9888.5932897149996</v>
      </c>
      <c r="L10" s="302">
        <v>10496.430970224999</v>
      </c>
      <c r="M10" s="302">
        <v>11015.993060131001</v>
      </c>
      <c r="N10" s="298">
        <v>11280.537776612</v>
      </c>
      <c r="O10" s="298">
        <v>11653.886596167</v>
      </c>
      <c r="P10" s="170">
        <f ca="1">SUM(OFFSET(Q10,0,$B$2-1):OFFSET(Q10,0,$B$3-1))</f>
        <v>0</v>
      </c>
      <c r="Q10" s="302">
        <f t="shared" ref="Q10:V10" si="2">SUM(Q11:Q13)</f>
        <v>0</v>
      </c>
      <c r="R10" s="302">
        <f t="shared" si="2"/>
        <v>0</v>
      </c>
      <c r="S10" s="302">
        <f t="shared" si="2"/>
        <v>0</v>
      </c>
      <c r="T10" s="302">
        <f t="shared" si="2"/>
        <v>0</v>
      </c>
      <c r="U10" s="302">
        <f t="shared" si="2"/>
        <v>0</v>
      </c>
      <c r="V10" s="302">
        <f t="shared" si="2"/>
        <v>0</v>
      </c>
      <c r="W10" s="476">
        <f t="shared" ref="W10:AB10" si="3">SUM(W11:W13)</f>
        <v>0</v>
      </c>
      <c r="X10" s="302">
        <f t="shared" si="3"/>
        <v>0</v>
      </c>
      <c r="Y10" s="302">
        <f t="shared" si="3"/>
        <v>0</v>
      </c>
      <c r="Z10" s="302">
        <f>SUM(Z11:Z13)</f>
        <v>0</v>
      </c>
      <c r="AA10" s="298">
        <f t="shared" si="3"/>
        <v>0</v>
      </c>
      <c r="AB10" s="298">
        <f t="shared" si="3"/>
        <v>0</v>
      </c>
      <c r="AC10" s="193"/>
      <c r="AD10" s="193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64"/>
      <c r="AQ10" s="164"/>
      <c r="AR10" s="164"/>
      <c r="AS10" s="164"/>
      <c r="AT10" s="301"/>
      <c r="AU10" s="301"/>
      <c r="AV10" s="301"/>
      <c r="AW10" s="301"/>
      <c r="AX10" s="301"/>
      <c r="AY10" s="301"/>
      <c r="AZ10" s="301"/>
      <c r="BA10" s="301"/>
      <c r="BB10" s="301"/>
      <c r="BC10" s="301"/>
      <c r="BD10" s="301"/>
      <c r="BE10" s="301"/>
      <c r="BF10" s="301"/>
      <c r="BG10" s="301"/>
    </row>
    <row r="11" spans="1:59">
      <c r="A11" t="s">
        <v>66</v>
      </c>
      <c r="B11" s="164"/>
      <c r="C11" s="300">
        <f>5673632553487/10^9</f>
        <v>5673.6325534870002</v>
      </c>
      <c r="D11" s="300">
        <v>5985.4749084629993</v>
      </c>
      <c r="E11" s="300">
        <v>6648.7961797509997</v>
      </c>
      <c r="F11" s="300">
        <v>6605.5140066580007</v>
      </c>
      <c r="G11" s="300">
        <v>6625.951327111</v>
      </c>
      <c r="H11" s="301">
        <v>7043.2664309499996</v>
      </c>
      <c r="I11" s="301">
        <v>7299.9562469279999</v>
      </c>
      <c r="J11" s="477">
        <v>7420.9175459039998</v>
      </c>
      <c r="K11" s="301">
        <v>7660.9151321460004</v>
      </c>
      <c r="L11" s="301">
        <v>7995.1687445600001</v>
      </c>
      <c r="M11" s="301">
        <v>8274.0443752249994</v>
      </c>
      <c r="N11" s="301">
        <v>8302.5022046430004</v>
      </c>
      <c r="O11" s="301">
        <v>8480.7300911990005</v>
      </c>
      <c r="P11" s="303">
        <f ca="1">SUM(OFFSET(Q11,0,$B$2-1):OFFSET(Q11,0,$B$3-1))</f>
        <v>0</v>
      </c>
      <c r="Q11" s="300"/>
      <c r="R11" s="300"/>
      <c r="S11" s="300"/>
      <c r="T11" s="300"/>
      <c r="U11" s="301"/>
      <c r="V11" s="301"/>
      <c r="W11" s="477"/>
      <c r="X11" s="301"/>
      <c r="Y11" s="301"/>
      <c r="Z11" s="301"/>
      <c r="AA11" s="301"/>
      <c r="AB11" s="301"/>
      <c r="AC11" s="193"/>
      <c r="AD11" s="193"/>
      <c r="AE11" s="164"/>
      <c r="AF11" s="164"/>
      <c r="AG11" s="164"/>
      <c r="AH11" s="164"/>
      <c r="AI11" s="164"/>
      <c r="AJ11" s="164"/>
      <c r="AK11" s="164"/>
      <c r="AL11" s="164"/>
      <c r="AM11" s="164"/>
      <c r="AN11" s="164"/>
      <c r="AO11" s="164"/>
      <c r="AP11" s="164"/>
      <c r="AQ11" s="164"/>
      <c r="AR11" s="164"/>
      <c r="AS11" s="164"/>
      <c r="AT11" s="301"/>
      <c r="AU11" s="301"/>
      <c r="AV11" s="301"/>
      <c r="AW11" s="301"/>
      <c r="AX11" s="301"/>
      <c r="AY11" s="301"/>
      <c r="AZ11" s="301"/>
      <c r="BA11" s="301"/>
      <c r="BB11" s="301"/>
      <c r="BC11" s="301"/>
      <c r="BD11" s="301"/>
      <c r="BE11" s="301"/>
      <c r="BF11" s="301"/>
      <c r="BG11" s="301"/>
    </row>
    <row r="12" spans="1:59">
      <c r="A12" t="s">
        <v>70</v>
      </c>
      <c r="B12" s="164"/>
      <c r="C12" s="7">
        <f>464182732087/10^9</f>
        <v>464.18273208699998</v>
      </c>
      <c r="D12" s="300">
        <v>548.28835702000003</v>
      </c>
      <c r="E12" s="300">
        <v>586.40959768699997</v>
      </c>
      <c r="F12" s="300">
        <v>627.47498910499996</v>
      </c>
      <c r="G12" s="300">
        <v>707.96482156900004</v>
      </c>
      <c r="H12" s="301">
        <v>797.51277034899999</v>
      </c>
      <c r="I12" s="301">
        <v>1017.953558234</v>
      </c>
      <c r="J12" s="477">
        <v>1304.910031097</v>
      </c>
      <c r="K12" s="301">
        <v>1493.3741721460001</v>
      </c>
      <c r="L12" s="301">
        <v>1695.533737172</v>
      </c>
      <c r="M12" s="301">
        <v>1900.586584377</v>
      </c>
      <c r="N12" s="301">
        <v>2052.438476066</v>
      </c>
      <c r="O12" s="301">
        <v>2208.6912338239999</v>
      </c>
      <c r="P12" s="303">
        <f ca="1">SUM(OFFSET(Q12,0,$B$2-1):OFFSET(Q12,0,$B$3-1))</f>
        <v>0</v>
      </c>
      <c r="Q12" s="300"/>
      <c r="R12" s="300"/>
      <c r="S12" s="300"/>
      <c r="T12" s="300"/>
      <c r="U12" s="301"/>
      <c r="V12" s="301"/>
      <c r="W12" s="477"/>
      <c r="X12" s="301"/>
      <c r="Y12" s="301"/>
      <c r="Z12" s="301"/>
      <c r="AA12" s="301"/>
      <c r="AB12" s="301"/>
      <c r="AC12" s="193"/>
      <c r="AD12" s="193"/>
      <c r="AE12" s="164"/>
      <c r="AF12" s="164"/>
      <c r="AG12" s="164"/>
      <c r="AH12" s="164"/>
      <c r="AI12" s="164"/>
      <c r="AJ12" s="164"/>
      <c r="AK12" s="164"/>
      <c r="AL12" s="164"/>
      <c r="AM12" s="164"/>
      <c r="AN12" s="164"/>
      <c r="AO12" s="164"/>
      <c r="AP12" s="164"/>
      <c r="AQ12" s="164"/>
      <c r="AR12" s="164"/>
      <c r="AS12" s="164"/>
      <c r="AT12" s="301"/>
      <c r="AU12" s="301"/>
      <c r="AV12" s="301"/>
      <c r="AW12" s="301"/>
      <c r="AX12" s="301"/>
      <c r="AY12" s="301"/>
      <c r="AZ12" s="301"/>
      <c r="BA12" s="301"/>
      <c r="BB12" s="301"/>
      <c r="BC12" s="301"/>
      <c r="BD12" s="301"/>
      <c r="BE12" s="301"/>
      <c r="BF12" s="301"/>
      <c r="BG12" s="301"/>
    </row>
    <row r="13" spans="1:59">
      <c r="A13" t="s">
        <v>19</v>
      </c>
      <c r="B13" s="164"/>
      <c r="C13" s="300">
        <f>430834551930/10^9</f>
        <v>430.83455192999998</v>
      </c>
      <c r="D13" s="301">
        <v>456.85132797099999</v>
      </c>
      <c r="E13" s="301">
        <v>534.60832902899995</v>
      </c>
      <c r="F13" s="301">
        <v>608.89833046499996</v>
      </c>
      <c r="G13" s="301">
        <v>673.94166723399996</v>
      </c>
      <c r="H13" s="301">
        <v>736.51824154099995</v>
      </c>
      <c r="I13" s="301">
        <v>615.72933196099996</v>
      </c>
      <c r="J13" s="477">
        <v>663.80536954199999</v>
      </c>
      <c r="K13" s="301">
        <v>734.30398542299997</v>
      </c>
      <c r="L13" s="301">
        <v>805.72848849299999</v>
      </c>
      <c r="M13" s="301">
        <v>841.36210052900003</v>
      </c>
      <c r="N13" s="301">
        <v>925.59709590299997</v>
      </c>
      <c r="O13" s="301">
        <v>964.46527114399998</v>
      </c>
      <c r="P13" s="303">
        <f ca="1">SUM(OFFSET(Q13,0,$B$2-1):OFFSET(Q13,0,$B$3-1))</f>
        <v>0</v>
      </c>
      <c r="Q13" s="301"/>
      <c r="R13" s="301"/>
      <c r="S13" s="301"/>
      <c r="T13" s="301"/>
      <c r="U13" s="301"/>
      <c r="V13" s="301"/>
      <c r="W13" s="477"/>
      <c r="X13" s="301"/>
      <c r="Y13" s="301"/>
      <c r="Z13" s="301"/>
      <c r="AA13" s="301"/>
      <c r="AB13" s="301"/>
      <c r="AC13" s="193"/>
      <c r="AD13" s="193"/>
      <c r="AE13" s="164"/>
      <c r="AF13" s="164"/>
      <c r="AG13" s="164"/>
      <c r="AH13" s="164"/>
      <c r="AI13" s="164"/>
      <c r="AJ13" s="164"/>
      <c r="AK13" s="164"/>
      <c r="AL13" s="164"/>
      <c r="AM13" s="164"/>
      <c r="AN13" s="164"/>
      <c r="AO13" s="164"/>
      <c r="AP13" s="164"/>
      <c r="AQ13" s="164"/>
      <c r="AR13" s="164"/>
      <c r="AS13" s="164"/>
      <c r="AT13" s="301"/>
      <c r="AU13" s="301"/>
      <c r="AV13" s="301"/>
      <c r="AW13" s="301"/>
      <c r="AX13" s="301"/>
      <c r="AY13" s="301"/>
      <c r="AZ13" s="301"/>
      <c r="BA13" s="301"/>
      <c r="BB13" s="301"/>
      <c r="BC13" s="301"/>
      <c r="BD13" s="301"/>
      <c r="BE13" s="301"/>
      <c r="BF13" s="301"/>
      <c r="BG13" s="301"/>
    </row>
    <row r="14" spans="1:59">
      <c r="A14" s="173" t="s">
        <v>83</v>
      </c>
      <c r="B14" s="166">
        <f t="shared" ref="B14:B45" ca="1" si="4">P14/BG14</f>
        <v>0.64021910918394886</v>
      </c>
      <c r="C14" s="165">
        <f ca="1">SUM(OFFSET(D14,0,$B$2-1):OFFSET(D14,0,$B$3-1))</f>
        <v>1268.0859301402106</v>
      </c>
      <c r="D14" s="165">
        <v>65.089662966079004</v>
      </c>
      <c r="E14" s="165">
        <v>64.885126769023927</v>
      </c>
      <c r="F14" s="165">
        <v>71.156485860499501</v>
      </c>
      <c r="G14" s="165">
        <v>75.007954003272104</v>
      </c>
      <c r="H14" s="165">
        <v>85.291264383447228</v>
      </c>
      <c r="I14" s="165">
        <v>103.96574880799999</v>
      </c>
      <c r="J14" s="478">
        <v>136.4</v>
      </c>
      <c r="K14" s="171">
        <v>158.6677210106667</v>
      </c>
      <c r="L14" s="165">
        <v>147.60043195899999</v>
      </c>
      <c r="M14" s="165">
        <v>179.22531430533331</v>
      </c>
      <c r="N14" s="165">
        <v>180.79622007488891</v>
      </c>
      <c r="O14" s="165">
        <v>201.773283991</v>
      </c>
      <c r="P14" s="165">
        <f ca="1">SUM(OFFSET(Q14,0,$B$2-1):OFFSET(Q14,0,$B$3-1))</f>
        <v>2214.4411221268488</v>
      </c>
      <c r="Q14" s="165">
        <v>175.89947118500001</v>
      </c>
      <c r="R14" s="165">
        <v>164.43363730144443</v>
      </c>
      <c r="S14" s="165">
        <v>193.35080252855553</v>
      </c>
      <c r="T14" s="165">
        <v>207.73737652640415</v>
      </c>
      <c r="U14" s="165">
        <v>233.49352755988889</v>
      </c>
      <c r="V14" s="165">
        <v>249.83010140311106</v>
      </c>
      <c r="W14" s="478">
        <v>288.30867562955558</v>
      </c>
      <c r="X14" s="171">
        <v>323.17577290588889</v>
      </c>
      <c r="Y14" s="165">
        <v>378.21175708700008</v>
      </c>
      <c r="Z14" s="165"/>
      <c r="AA14" s="165"/>
      <c r="AB14" s="165"/>
      <c r="AC14" s="193"/>
      <c r="AE14" s="173" t="s">
        <v>83</v>
      </c>
      <c r="AF14" s="150">
        <v>76.361358497831574</v>
      </c>
      <c r="AG14" s="150">
        <v>75.63960156734997</v>
      </c>
      <c r="AH14" s="150">
        <v>89.144127609690969</v>
      </c>
      <c r="AI14" s="150">
        <v>103.58461590551066</v>
      </c>
      <c r="AJ14" s="150">
        <v>119.25741316328126</v>
      </c>
      <c r="AK14" s="150">
        <v>133.78751886292895</v>
      </c>
      <c r="AL14" s="150">
        <v>147.33205902105402</v>
      </c>
      <c r="AM14" s="150">
        <v>159.45381415634168</v>
      </c>
      <c r="AN14" s="150">
        <v>172.6629684717939</v>
      </c>
      <c r="AO14" s="150">
        <v>188.54408872763818</v>
      </c>
      <c r="AP14" s="150">
        <v>202.67058084307712</v>
      </c>
      <c r="AQ14" s="150">
        <v>224.48204578244153</v>
      </c>
      <c r="AR14" s="150">
        <f ca="1">SUM(OFFSET(AF14,0,$B$2-1):OFFSET(AF14,0,$B$3-1))</f>
        <v>1468.4381468264983</v>
      </c>
      <c r="AS14" s="169">
        <f t="shared" ref="AS14:AS15" si="5">SUM(AF14:AQ14)</f>
        <v>1692.9201926089397</v>
      </c>
      <c r="AT14" s="150">
        <v>192.34829602748681</v>
      </c>
      <c r="AU14" s="150">
        <v>206.75999427314105</v>
      </c>
      <c r="AV14" s="150">
        <v>223.9255326237361</v>
      </c>
      <c r="AW14" s="150">
        <v>240.60487230726989</v>
      </c>
      <c r="AX14" s="150">
        <v>258.06475367006277</v>
      </c>
      <c r="AY14" s="150">
        <v>274.81788284488329</v>
      </c>
      <c r="AZ14" s="150">
        <v>292.26337508410319</v>
      </c>
      <c r="BA14" s="150">
        <v>309.45249849301962</v>
      </c>
      <c r="BB14" s="150">
        <v>333.98489718134874</v>
      </c>
      <c r="BC14" s="150">
        <v>344.99816472684989</v>
      </c>
      <c r="BD14" s="150">
        <v>363.09028409889288</v>
      </c>
      <c r="BE14" s="150">
        <v>418.56952638114939</v>
      </c>
      <c r="BF14" s="148">
        <f ca="1">SUM(OFFSET(AT14,0,$B$2-1):OFFSET(AT14,0,$B$3-1))</f>
        <v>3040.3105513307946</v>
      </c>
      <c r="BG14" s="148">
        <f>SUM(AT14:BE14)</f>
        <v>3458.8800777119441</v>
      </c>
    </row>
    <row r="15" spans="1:59">
      <c r="A15" s="173" t="s">
        <v>84</v>
      </c>
      <c r="B15" s="166">
        <f t="shared" ca="1" si="4"/>
        <v>0.59071707058638323</v>
      </c>
      <c r="C15" s="165">
        <f ca="1">SUM(OFFSET(D15,0,$B$2-1):OFFSET(D15,0,$B$3-1))</f>
        <v>569.91307293126999</v>
      </c>
      <c r="D15" s="165">
        <v>38.990542693114634</v>
      </c>
      <c r="E15" s="165">
        <v>38.557637290977141</v>
      </c>
      <c r="F15" s="165">
        <v>40.017370000397918</v>
      </c>
      <c r="G15" s="165">
        <v>37.6</v>
      </c>
      <c r="H15" s="165">
        <v>41.080038103669111</v>
      </c>
      <c r="I15" s="165">
        <v>41.844070830222215</v>
      </c>
      <c r="J15" s="478">
        <v>63.091627009888896</v>
      </c>
      <c r="K15" s="171">
        <v>66.073304365111113</v>
      </c>
      <c r="L15" s="165">
        <v>64.281654407999994</v>
      </c>
      <c r="M15" s="165">
        <v>69.767831863555557</v>
      </c>
      <c r="N15" s="165">
        <v>68.608996366333329</v>
      </c>
      <c r="O15" s="165">
        <v>73.830938030400347</v>
      </c>
      <c r="P15" s="165">
        <f ca="1">SUM(OFFSET(Q15,0,$B$2-1):OFFSET(Q15,0,$B$3-1))</f>
        <v>665.79168701066078</v>
      </c>
      <c r="Q15" s="165">
        <v>60.596164625000007</v>
      </c>
      <c r="R15" s="165">
        <v>58.535619151555551</v>
      </c>
      <c r="S15" s="165">
        <v>66.146837342444428</v>
      </c>
      <c r="T15" s="165">
        <v>67.024053769645718</v>
      </c>
      <c r="U15" s="165">
        <v>74.810397536333326</v>
      </c>
      <c r="V15" s="165">
        <v>72.353886225444441</v>
      </c>
      <c r="W15" s="478">
        <v>83.685086955444461</v>
      </c>
      <c r="X15" s="171">
        <v>89.812773583111124</v>
      </c>
      <c r="Y15" s="165">
        <v>92.826867821681674</v>
      </c>
      <c r="Z15" s="165"/>
      <c r="AA15" s="165"/>
      <c r="AB15" s="165"/>
      <c r="AC15" s="193"/>
      <c r="AE15" s="173" t="s">
        <v>84</v>
      </c>
      <c r="AF15" s="150">
        <v>34.261358497831573</v>
      </c>
      <c r="AG15" s="150">
        <v>36.739601567349979</v>
      </c>
      <c r="AH15" s="150">
        <v>37.844127609690986</v>
      </c>
      <c r="AI15" s="150">
        <v>43.08461590551066</v>
      </c>
      <c r="AJ15" s="150">
        <v>46.657413163281248</v>
      </c>
      <c r="AK15" s="150">
        <v>49.387518862928943</v>
      </c>
      <c r="AL15" s="150">
        <v>51.332059021054022</v>
      </c>
      <c r="AM15" s="150">
        <v>54.853814156341656</v>
      </c>
      <c r="AN15" s="150">
        <v>58.062968471793909</v>
      </c>
      <c r="AO15" s="150">
        <v>61.844088727638209</v>
      </c>
      <c r="AP15" s="150">
        <v>65.670580843077119</v>
      </c>
      <c r="AQ15" s="150">
        <v>33.082045782441526</v>
      </c>
      <c r="AR15" s="150">
        <f ca="1">SUM(OFFSET(AF15,0,$B$2-1):OFFSET(AF15,0,$B$3-1))</f>
        <v>539.73814682649822</v>
      </c>
      <c r="AS15" s="169">
        <f t="shared" si="5"/>
        <v>572.82019260893981</v>
      </c>
      <c r="AT15" s="150">
        <f>AT14-AT16</f>
        <v>59.663763311222795</v>
      </c>
      <c r="AU15" s="150">
        <f t="shared" ref="AU15:BE15" si="6">AU14-AU16</f>
        <v>65.941374793081025</v>
      </c>
      <c r="AV15" s="150">
        <f t="shared" si="6"/>
        <v>72.724617948557096</v>
      </c>
      <c r="AW15" s="150">
        <f t="shared" si="6"/>
        <v>79.441977008390154</v>
      </c>
      <c r="AX15" s="150">
        <f t="shared" si="6"/>
        <v>85.681049615932011</v>
      </c>
      <c r="AY15" s="150">
        <f t="shared" si="6"/>
        <v>91.509140533493451</v>
      </c>
      <c r="AZ15" s="150">
        <f t="shared" si="6"/>
        <v>97.355547914857539</v>
      </c>
      <c r="BA15" s="150">
        <f t="shared" si="6"/>
        <v>103.21067607587673</v>
      </c>
      <c r="BB15" s="150">
        <f t="shared" si="6"/>
        <v>109.11745416881692</v>
      </c>
      <c r="BC15" s="150">
        <f t="shared" si="6"/>
        <v>115.4660208916394</v>
      </c>
      <c r="BD15" s="150">
        <f t="shared" si="6"/>
        <v>121.34095443766381</v>
      </c>
      <c r="BE15" s="150">
        <f t="shared" si="6"/>
        <v>125.63807322828251</v>
      </c>
      <c r="BF15" s="148">
        <f ca="1">SUM(OFFSET(AT15,0,$B$2-1):OFFSET(AT15,0,$B$3-1))</f>
        <v>1001.4525766995309</v>
      </c>
      <c r="BG15" s="148">
        <f t="shared" ref="BG15:BG82" si="7">SUM(AT15:BE15)</f>
        <v>1127.0906499278135</v>
      </c>
    </row>
    <row r="16" spans="1:59">
      <c r="A16" s="173" t="s">
        <v>85</v>
      </c>
      <c r="B16" s="166">
        <f t="shared" ca="1" si="4"/>
        <v>0.66414634900710146</v>
      </c>
      <c r="C16" s="165">
        <f ca="1">SUM(OFFSET(D16,0,$B$2-1):OFFSET(D16,0,$B$3-1))</f>
        <v>698.17285720894074</v>
      </c>
      <c r="D16" s="170">
        <v>26.09912027296437</v>
      </c>
      <c r="E16" s="170">
        <v>26.327489478046786</v>
      </c>
      <c r="F16" s="170">
        <v>31.139115860101583</v>
      </c>
      <c r="G16" s="170">
        <v>37.407954003272103</v>
      </c>
      <c r="H16" s="338">
        <v>44.211226279778117</v>
      </c>
      <c r="I16" s="338">
        <v>62.121677977777772</v>
      </c>
      <c r="J16" s="479">
        <v>73.30837299011111</v>
      </c>
      <c r="K16" s="338">
        <v>92.594416645555583</v>
      </c>
      <c r="L16" s="338">
        <v>83.318777550999997</v>
      </c>
      <c r="M16" s="338">
        <v>109.45748244177776</v>
      </c>
      <c r="N16" s="338">
        <v>112.18722370855558</v>
      </c>
      <c r="O16" s="338">
        <v>127.94234596059965</v>
      </c>
      <c r="P16" s="165">
        <f ca="1">SUM(OFFSET(Q16,0,$B$2-1):OFFSET(Q16,0,$B$3-1))</f>
        <v>1548.649435116188</v>
      </c>
      <c r="Q16" s="170">
        <f>Q14-Q15</f>
        <v>115.30330656000001</v>
      </c>
      <c r="R16" s="170">
        <f t="shared" ref="R16:V16" si="8">R14-R15</f>
        <v>105.89801814988888</v>
      </c>
      <c r="S16" s="170">
        <f t="shared" si="8"/>
        <v>127.20396518611111</v>
      </c>
      <c r="T16" s="170">
        <f t="shared" si="8"/>
        <v>140.71332275675843</v>
      </c>
      <c r="U16" s="338">
        <f t="shared" si="8"/>
        <v>158.68313002355558</v>
      </c>
      <c r="V16" s="338">
        <f t="shared" si="8"/>
        <v>177.47621517766663</v>
      </c>
      <c r="W16" s="479">
        <f t="shared" ref="W16:AB16" si="9">W14-W15</f>
        <v>204.62358867411112</v>
      </c>
      <c r="X16" s="338">
        <f t="shared" si="9"/>
        <v>233.36299932277777</v>
      </c>
      <c r="Y16" s="338">
        <f t="shared" si="9"/>
        <v>285.38488926531841</v>
      </c>
      <c r="Z16" s="338">
        <f t="shared" si="9"/>
        <v>0</v>
      </c>
      <c r="AA16" s="338">
        <f t="shared" si="9"/>
        <v>0</v>
      </c>
      <c r="AB16" s="338">
        <f t="shared" si="9"/>
        <v>0</v>
      </c>
      <c r="AE16" s="173" t="s">
        <v>85</v>
      </c>
      <c r="AF16" s="150">
        <f>AF17+AF21+AF24</f>
        <v>42.1</v>
      </c>
      <c r="AG16" s="150">
        <f t="shared" ref="AG16:AP16" si="10">AG17+AG21+AG24</f>
        <v>38.899999999999991</v>
      </c>
      <c r="AH16" s="150">
        <f t="shared" si="10"/>
        <v>51.299999999999983</v>
      </c>
      <c r="AI16" s="150">
        <f t="shared" si="10"/>
        <v>60.5</v>
      </c>
      <c r="AJ16" s="150">
        <f t="shared" si="10"/>
        <v>72.600000000000009</v>
      </c>
      <c r="AK16" s="150">
        <f t="shared" si="10"/>
        <v>84.4</v>
      </c>
      <c r="AL16" s="150">
        <f t="shared" si="10"/>
        <v>96</v>
      </c>
      <c r="AM16" s="150">
        <f t="shared" si="10"/>
        <v>104.60000000000002</v>
      </c>
      <c r="AN16" s="150">
        <f t="shared" si="10"/>
        <v>114.6</v>
      </c>
      <c r="AO16" s="150">
        <f>AO17+AO21+AO24</f>
        <v>126.69999999999997</v>
      </c>
      <c r="AP16" s="150">
        <f t="shared" si="10"/>
        <v>137</v>
      </c>
      <c r="AQ16" s="150">
        <f>AQ17+AQ21+AQ24</f>
        <v>191.4</v>
      </c>
      <c r="AR16" s="150">
        <f ca="1">SUM(OFFSET(AF16,0,$B$2-1):OFFSET(AF16,0,$B$3-1))</f>
        <v>928.69999999999993</v>
      </c>
      <c r="AS16" s="169">
        <f>SUM(AF16:AQ16)</f>
        <v>1120.0999999999999</v>
      </c>
      <c r="AT16" s="150">
        <f>AT17+AT21+AT24</f>
        <v>132.68453271626402</v>
      </c>
      <c r="AU16" s="150">
        <f t="shared" ref="AU16:BD16" si="11">AU17+AU21+AU24</f>
        <v>140.81861948006002</v>
      </c>
      <c r="AV16" s="150">
        <f t="shared" si="11"/>
        <v>151.20091467517901</v>
      </c>
      <c r="AW16" s="150">
        <f t="shared" si="11"/>
        <v>161.16289529887973</v>
      </c>
      <c r="AX16" s="150">
        <f t="shared" si="11"/>
        <v>172.38370405413076</v>
      </c>
      <c r="AY16" s="150">
        <f t="shared" si="11"/>
        <v>183.30874231138984</v>
      </c>
      <c r="AZ16" s="150">
        <f t="shared" si="11"/>
        <v>194.90782716924565</v>
      </c>
      <c r="BA16" s="150">
        <f t="shared" si="11"/>
        <v>206.24182241714288</v>
      </c>
      <c r="BB16" s="150">
        <f t="shared" si="11"/>
        <v>224.86744301253182</v>
      </c>
      <c r="BC16" s="150">
        <f t="shared" si="11"/>
        <v>229.53214383521049</v>
      </c>
      <c r="BD16" s="150">
        <f t="shared" si="11"/>
        <v>241.74932966122907</v>
      </c>
      <c r="BE16" s="150">
        <f>BE17+BE21+BE24</f>
        <v>292.93145315286688</v>
      </c>
      <c r="BF16" s="148">
        <f ca="1">SUM(OFFSET(AT16,0,$B$2-1):OFFSET(AT16,0,$B$3-1))</f>
        <v>2038.857974631263</v>
      </c>
      <c r="BG16" s="148">
        <f>SUM(AT16:BE16)</f>
        <v>2331.7894277841297</v>
      </c>
    </row>
    <row r="17" spans="1:59">
      <c r="A17" s="155" t="s">
        <v>86</v>
      </c>
      <c r="B17" s="166">
        <f t="shared" ca="1" si="4"/>
        <v>0.46070863013466767</v>
      </c>
      <c r="C17" s="165">
        <f t="shared" ref="C17:C49" si="12">SUM(D17:O17)</f>
        <v>131.51851481170141</v>
      </c>
      <c r="D17" s="165">
        <v>5.4542924977172031</v>
      </c>
      <c r="E17" s="165">
        <v>4.3835290155391169</v>
      </c>
      <c r="F17" s="165">
        <v>9.1201570674450938</v>
      </c>
      <c r="G17" s="165">
        <v>7.0000000000000009</v>
      </c>
      <c r="H17" s="171">
        <v>5.4949001280000003</v>
      </c>
      <c r="I17" s="171">
        <v>9.2604818939999998</v>
      </c>
      <c r="J17" s="171">
        <v>7.8010000000000002</v>
      </c>
      <c r="K17" s="171">
        <v>23.244423638000001</v>
      </c>
      <c r="L17" s="171">
        <v>5.9799999999999995</v>
      </c>
      <c r="M17" s="171">
        <v>19.329589539000001</v>
      </c>
      <c r="N17" s="171">
        <v>11.899999999999999</v>
      </c>
      <c r="O17" s="171">
        <v>22.550141031999999</v>
      </c>
      <c r="P17" s="165">
        <f ca="1">SUM(OFFSET(Q17,0,$B$2-1):OFFSET(Q17,0,$B$3-1))</f>
        <v>101.23718831397713</v>
      </c>
      <c r="Q17" s="165">
        <f t="shared" ref="Q17:Y17" si="13">Q18+Q19+Q20</f>
        <v>7.0133012999999984</v>
      </c>
      <c r="R17" s="165">
        <f t="shared" si="13"/>
        <v>7.5874353110000134</v>
      </c>
      <c r="S17" s="165">
        <f t="shared" si="13"/>
        <v>9.6820501783644382</v>
      </c>
      <c r="T17" s="165">
        <f t="shared" si="13"/>
        <v>11.360376156404124</v>
      </c>
      <c r="U17" s="171">
        <f t="shared" si="13"/>
        <v>13.075268293555556</v>
      </c>
      <c r="V17" s="171">
        <f t="shared" si="13"/>
        <v>12.200694312888885</v>
      </c>
      <c r="W17" s="171">
        <f t="shared" si="13"/>
        <v>13.701581154555555</v>
      </c>
      <c r="X17" s="171">
        <f t="shared" si="13"/>
        <v>13.051333579000003</v>
      </c>
      <c r="Y17" s="171">
        <f t="shared" si="13"/>
        <v>13.565148028208558</v>
      </c>
      <c r="Z17" s="171">
        <f>Z18+Z19+Z20</f>
        <v>0</v>
      </c>
      <c r="AA17" s="171">
        <f>AA18+AA19+AA20</f>
        <v>0</v>
      </c>
      <c r="AB17" s="171">
        <f>AB18+AB19+AB20</f>
        <v>0</v>
      </c>
      <c r="AE17" s="155" t="s">
        <v>86</v>
      </c>
      <c r="AF17" s="150">
        <f>SUM(AF18:AF20)</f>
        <v>4.6999999999999993</v>
      </c>
      <c r="AG17" s="150">
        <f t="shared" ref="AG17:AO17" si="14">SUM(AG18:AG20)</f>
        <v>5</v>
      </c>
      <c r="AH17" s="150">
        <f t="shared" si="14"/>
        <v>5.3</v>
      </c>
      <c r="AI17" s="150">
        <f t="shared" si="14"/>
        <v>5.7</v>
      </c>
      <c r="AJ17" s="150">
        <f t="shared" si="14"/>
        <v>6</v>
      </c>
      <c r="AK17" s="150">
        <f t="shared" si="14"/>
        <v>6.3</v>
      </c>
      <c r="AL17" s="150">
        <f t="shared" si="14"/>
        <v>6.5</v>
      </c>
      <c r="AM17" s="150">
        <f t="shared" si="14"/>
        <v>6.8999999999999995</v>
      </c>
      <c r="AN17" s="150">
        <f t="shared" si="14"/>
        <v>7.2</v>
      </c>
      <c r="AO17" s="150">
        <f t="shared" si="14"/>
        <v>7.5</v>
      </c>
      <c r="AP17" s="150">
        <f>SUM(AP18:AP20)</f>
        <v>7.9</v>
      </c>
      <c r="AQ17" s="150">
        <f>SUM(AQ18:AQ20)</f>
        <v>53.2</v>
      </c>
      <c r="AR17" s="150">
        <f ca="1">SUM(OFFSET(AF17,0,$B$2-1):OFFSET(AF17,0,$B$3-1))</f>
        <v>69</v>
      </c>
      <c r="AS17" s="169">
        <f t="shared" ref="AS17:AS85" si="15">SUM(AF17:AQ17)</f>
        <v>122.2</v>
      </c>
      <c r="AT17" s="150">
        <f>SUM(AT18:AT20)</f>
        <v>10.022242839281953</v>
      </c>
      <c r="AU17" s="150">
        <f t="shared" ref="AU17:BD17" si="16">SUM(AU18:AU20)</f>
        <v>10.688409819200986</v>
      </c>
      <c r="AV17" s="150">
        <f t="shared" si="16"/>
        <v>11.760150565355444</v>
      </c>
      <c r="AW17" s="150">
        <f t="shared" si="16"/>
        <v>12.829727833734623</v>
      </c>
      <c r="AX17" s="150">
        <f t="shared" si="16"/>
        <v>13.844686255258837</v>
      </c>
      <c r="AY17" s="150">
        <f t="shared" si="16"/>
        <v>14.749430269318566</v>
      </c>
      <c r="AZ17" s="150">
        <f t="shared" si="16"/>
        <v>15.969795065482042</v>
      </c>
      <c r="BA17" s="150">
        <f t="shared" si="16"/>
        <v>16.576801044523734</v>
      </c>
      <c r="BB17" s="150">
        <f t="shared" si="16"/>
        <v>17.455793506990151</v>
      </c>
      <c r="BC17" s="150">
        <f t="shared" si="16"/>
        <v>18.349273727231395</v>
      </c>
      <c r="BD17" s="150">
        <f t="shared" si="16"/>
        <v>19.257242986789965</v>
      </c>
      <c r="BE17" s="150">
        <f>SUM(BE18:BE20)</f>
        <v>58.23877712236105</v>
      </c>
      <c r="BF17" s="148">
        <f ca="1">SUM(OFFSET(AT17,0,$B$2-1):OFFSET(AT17,0,$B$3-1))</f>
        <v>161.50355391316771</v>
      </c>
      <c r="BG17" s="148">
        <f t="shared" si="7"/>
        <v>219.74233103552876</v>
      </c>
    </row>
    <row r="18" spans="1:59">
      <c r="A18" s="164" t="s">
        <v>87</v>
      </c>
      <c r="B18" s="166">
        <f t="shared" ca="1" si="4"/>
        <v>0.60840209554118641</v>
      </c>
      <c r="C18" s="165">
        <f t="shared" si="12"/>
        <v>71.21291802230192</v>
      </c>
      <c r="D18" s="165">
        <v>5.3376810002374597</v>
      </c>
      <c r="E18" s="165">
        <v>4.353439078619382</v>
      </c>
      <c r="F18" s="165">
        <v>6.3877329174450939</v>
      </c>
      <c r="G18" s="165">
        <v>6.4</v>
      </c>
      <c r="H18" s="171">
        <v>5.3</v>
      </c>
      <c r="I18" s="165">
        <v>5.55</v>
      </c>
      <c r="J18" s="171">
        <v>6.266</v>
      </c>
      <c r="K18" s="171">
        <v>6.7</v>
      </c>
      <c r="L18" s="165">
        <v>6.22</v>
      </c>
      <c r="M18" s="165">
        <v>6.0479239939999996</v>
      </c>
      <c r="N18" s="165">
        <v>7</v>
      </c>
      <c r="O18" s="165">
        <v>5.6501410320000005</v>
      </c>
      <c r="P18" s="165">
        <f ca="1">SUM(OFFSET(Q18,0,$B$2-1):OFFSET(Q18,0,$B$3-1))</f>
        <v>93.820368948866033</v>
      </c>
      <c r="Q18" s="165">
        <v>6.4134101318888881</v>
      </c>
      <c r="R18" s="165">
        <v>7.0545337310000136</v>
      </c>
      <c r="S18" s="165">
        <v>9.3597592033644386</v>
      </c>
      <c r="T18" s="165">
        <v>10.705649277404124</v>
      </c>
      <c r="U18" s="171">
        <v>10.199999999999999</v>
      </c>
      <c r="V18" s="165">
        <v>12.108846803666662</v>
      </c>
      <c r="W18" s="171">
        <v>12.103127284999999</v>
      </c>
      <c r="X18" s="171">
        <v>12.643310526333337</v>
      </c>
      <c r="Y18" s="165">
        <v>13.231731990208559</v>
      </c>
      <c r="Z18" s="165"/>
      <c r="AA18" s="165"/>
      <c r="AB18" s="165"/>
      <c r="AE18" s="164" t="s">
        <v>87</v>
      </c>
      <c r="AF18" s="55">
        <v>4.5999999999999996</v>
      </c>
      <c r="AG18" s="55">
        <v>4.9000000000000004</v>
      </c>
      <c r="AH18" s="55">
        <v>5.2</v>
      </c>
      <c r="AI18" s="55">
        <v>5.5</v>
      </c>
      <c r="AJ18" s="55">
        <v>5.8</v>
      </c>
      <c r="AK18" s="55">
        <v>6.1</v>
      </c>
      <c r="AL18" s="55">
        <v>6.3</v>
      </c>
      <c r="AM18" s="55">
        <v>6.6</v>
      </c>
      <c r="AN18" s="55">
        <v>6.9</v>
      </c>
      <c r="AO18" s="55">
        <v>7.2</v>
      </c>
      <c r="AP18" s="55">
        <v>7.5</v>
      </c>
      <c r="AQ18" s="148">
        <v>7.8</v>
      </c>
      <c r="AR18" s="150">
        <f ca="1">SUM(OFFSET(AF18,0,$B$2-1):OFFSET(AF18,0,$B$3-1))</f>
        <v>66.599999999999994</v>
      </c>
      <c r="AS18" s="169">
        <f t="shared" si="15"/>
        <v>74.399999999999991</v>
      </c>
      <c r="AT18" s="148">
        <v>7.2718333333333423</v>
      </c>
      <c r="AU18" s="148">
        <v>8.3918333333333326</v>
      </c>
      <c r="AV18" s="148">
        <v>9.5046166666666672</v>
      </c>
      <c r="AW18" s="148">
        <v>10.611016666666673</v>
      </c>
      <c r="AX18" s="148">
        <v>11.647783333333338</v>
      </c>
      <c r="AY18" s="148">
        <v>12.570916666666683</v>
      </c>
      <c r="AZ18" s="148">
        <v>13.506249999999998</v>
      </c>
      <c r="BA18" s="148">
        <v>14.411283333333333</v>
      </c>
      <c r="BB18" s="148">
        <v>15.286016666666683</v>
      </c>
      <c r="BC18" s="148">
        <v>16.17294999999999</v>
      </c>
      <c r="BD18" s="148">
        <v>17.072083333333342</v>
      </c>
      <c r="BE18" s="148">
        <v>17.76124999999999</v>
      </c>
      <c r="BF18" s="148">
        <f ca="1">SUM(OFFSET(AT18,0,$B$2-1):OFFSET(AT18,0,$B$3-1))</f>
        <v>136.44658333333336</v>
      </c>
      <c r="BG18" s="148">
        <f t="shared" si="7"/>
        <v>154.20783333333335</v>
      </c>
    </row>
    <row r="19" spans="1:59">
      <c r="A19" s="164" t="s">
        <v>88</v>
      </c>
      <c r="B19" s="166">
        <f t="shared" ca="1" si="4"/>
        <v>-0.25557913460308651</v>
      </c>
      <c r="C19" s="165">
        <f t="shared" si="12"/>
        <v>19.702839877661564</v>
      </c>
      <c r="D19" s="165">
        <v>7.3660276479743297E-2</v>
      </c>
      <c r="E19" s="165">
        <v>3.0089906181818199E-2</v>
      </c>
      <c r="F19" s="165">
        <v>2.7324241499999999</v>
      </c>
      <c r="G19" s="165">
        <v>0.4</v>
      </c>
      <c r="H19" s="171">
        <v>-0.1</v>
      </c>
      <c r="I19" s="165">
        <v>2.94</v>
      </c>
      <c r="J19" s="171">
        <v>-0.26500000000000001</v>
      </c>
      <c r="K19" s="171">
        <v>-0.3</v>
      </c>
      <c r="L19" s="165">
        <v>-0.34</v>
      </c>
      <c r="M19" s="165">
        <v>13.181665545</v>
      </c>
      <c r="N19" s="165">
        <v>0.35</v>
      </c>
      <c r="O19" s="165">
        <v>1</v>
      </c>
      <c r="P19" s="165">
        <f ca="1">SUM(OFFSET(Q19,0,$B$2-1):OFFSET(Q19,0,$B$3-1))</f>
        <v>-3.3175443694444446</v>
      </c>
      <c r="Q19" s="165">
        <v>-0.21010883188888888</v>
      </c>
      <c r="R19" s="165">
        <f>-293.09842/1000</f>
        <v>-0.29309841999999997</v>
      </c>
      <c r="S19" s="165">
        <v>-0.17770902499999999</v>
      </c>
      <c r="T19" s="165">
        <v>-0.37827312099999999</v>
      </c>
      <c r="U19" s="171">
        <f>-0.363</f>
        <v>-0.36299999999999999</v>
      </c>
      <c r="V19" s="165">
        <v>-0.3934074907777777</v>
      </c>
      <c r="W19" s="165">
        <v>-0.48904613044444434</v>
      </c>
      <c r="X19" s="165">
        <v>-0.46231738833333352</v>
      </c>
      <c r="Y19" s="165">
        <v>-0.55058396200000015</v>
      </c>
      <c r="Z19" s="165"/>
      <c r="AA19" s="165"/>
      <c r="AB19" s="165"/>
      <c r="AE19" s="164" t="s">
        <v>88</v>
      </c>
      <c r="AF19" s="64">
        <v>0.1</v>
      </c>
      <c r="AG19" s="64">
        <v>0.1</v>
      </c>
      <c r="AH19" s="64">
        <v>0.1</v>
      </c>
      <c r="AI19" s="64">
        <v>0.2</v>
      </c>
      <c r="AJ19" s="64">
        <v>0.2</v>
      </c>
      <c r="AK19" s="64">
        <v>0.2</v>
      </c>
      <c r="AL19" s="64">
        <v>0.2</v>
      </c>
      <c r="AM19" s="64">
        <v>0.3</v>
      </c>
      <c r="AN19" s="64">
        <v>0.3</v>
      </c>
      <c r="AO19" s="64">
        <v>0.3</v>
      </c>
      <c r="AP19" s="64">
        <v>0.4</v>
      </c>
      <c r="AQ19" s="64">
        <v>0.4</v>
      </c>
      <c r="AR19" s="150">
        <f ca="1">SUM(OFFSET(AF19,0,$B$2-1):OFFSET(AF19,0,$B$3-1))</f>
        <v>2.4</v>
      </c>
      <c r="AS19" s="169">
        <f t="shared" si="15"/>
        <v>2.8</v>
      </c>
      <c r="AT19" s="148">
        <v>1.2184095059486109</v>
      </c>
      <c r="AU19" s="148">
        <v>1.1645764858676539</v>
      </c>
      <c r="AV19" s="148">
        <v>1.1235338986887768</v>
      </c>
      <c r="AW19" s="148">
        <v>1.0867111670679499</v>
      </c>
      <c r="AX19" s="148">
        <v>1.0649029219255</v>
      </c>
      <c r="AY19" s="148">
        <v>1.0465136026518838</v>
      </c>
      <c r="AZ19" s="148">
        <v>1.0315450654820435</v>
      </c>
      <c r="BA19" s="148">
        <v>1.0335177111904001</v>
      </c>
      <c r="BB19" s="148">
        <v>1.0377768403234655</v>
      </c>
      <c r="BC19" s="148">
        <v>1.0443237272314052</v>
      </c>
      <c r="BD19" s="148">
        <v>1.0531596534566194</v>
      </c>
      <c r="BE19" s="148">
        <v>1.0755271223610587</v>
      </c>
      <c r="BF19" s="148">
        <f ca="1">SUM(OFFSET(AT19,0,$B$2-1):OFFSET(AT19,0,$B$3-1))</f>
        <v>11.904970579834307</v>
      </c>
      <c r="BG19" s="148">
        <f t="shared" si="7"/>
        <v>12.980497702195366</v>
      </c>
    </row>
    <row r="20" spans="1:59">
      <c r="A20" s="164" t="s">
        <v>89</v>
      </c>
      <c r="B20" s="166">
        <f t="shared" ca="1" si="4"/>
        <v>0.20425398132502867</v>
      </c>
      <c r="C20" s="165">
        <f t="shared" si="12"/>
        <v>40.60275691173792</v>
      </c>
      <c r="D20" s="165">
        <v>4.2951220999999998E-2</v>
      </c>
      <c r="E20" s="165">
        <v>3.0737916999999997E-8</v>
      </c>
      <c r="F20" s="165"/>
      <c r="G20" s="165">
        <v>0.2</v>
      </c>
      <c r="H20" s="171">
        <v>0.29490012799999998</v>
      </c>
      <c r="I20" s="165">
        <v>0.770481894</v>
      </c>
      <c r="J20" s="171">
        <v>1.8</v>
      </c>
      <c r="K20" s="171">
        <v>16.844423637999999</v>
      </c>
      <c r="L20" s="165">
        <v>0.1</v>
      </c>
      <c r="M20" s="165">
        <v>0.1</v>
      </c>
      <c r="N20" s="165">
        <v>4.55</v>
      </c>
      <c r="O20" s="165">
        <v>15.9</v>
      </c>
      <c r="P20" s="165">
        <f ca="1">SUM(OFFSET(Q20,0,$B$2-1):OFFSET(Q20,0,$B$3-1))</f>
        <v>10.734363734555558</v>
      </c>
      <c r="Q20" s="165">
        <v>0.81</v>
      </c>
      <c r="R20" s="165">
        <f>826/1000</f>
        <v>0.82599999999999996</v>
      </c>
      <c r="S20" s="165">
        <v>0.5</v>
      </c>
      <c r="T20" s="165">
        <v>1.0329999999999999</v>
      </c>
      <c r="U20" s="171">
        <v>3.2382682935555573</v>
      </c>
      <c r="V20" s="165">
        <v>0.48525499999999999</v>
      </c>
      <c r="W20" s="165">
        <v>2.0874999999999999</v>
      </c>
      <c r="X20" s="165">
        <v>0.87034044100000008</v>
      </c>
      <c r="Y20" s="165">
        <v>0.88400000000000001</v>
      </c>
      <c r="Z20" s="165"/>
      <c r="AA20" s="165"/>
      <c r="AB20" s="165"/>
      <c r="AE20" s="164" t="s">
        <v>89</v>
      </c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>
        <v>45</v>
      </c>
      <c r="AR20" s="150">
        <f ca="1">SUM(OFFSET(AF20,0,$B$2-1):OFFSET(AF20,0,$B$3-1))</f>
        <v>0</v>
      </c>
      <c r="AS20" s="169">
        <f t="shared" si="15"/>
        <v>45</v>
      </c>
      <c r="AT20" s="148">
        <v>1.532</v>
      </c>
      <c r="AU20" s="148">
        <v>1.1320000000000001</v>
      </c>
      <c r="AV20" s="148">
        <v>1.1320000000000001</v>
      </c>
      <c r="AW20" s="148">
        <v>1.1320000000000001</v>
      </c>
      <c r="AX20" s="148">
        <v>1.1320000000000001</v>
      </c>
      <c r="AY20" s="148">
        <v>1.1320000000000001</v>
      </c>
      <c r="AZ20" s="148">
        <v>1.4320000000000002</v>
      </c>
      <c r="BA20" s="148">
        <v>1.1320000000000001</v>
      </c>
      <c r="BB20" s="148">
        <v>1.1320000000000001</v>
      </c>
      <c r="BC20" s="148">
        <v>1.1320000000000001</v>
      </c>
      <c r="BD20" s="148">
        <v>1.1320000000000001</v>
      </c>
      <c r="BE20" s="148">
        <v>39.402000000000001</v>
      </c>
      <c r="BF20" s="148">
        <f ca="1">SUM(OFFSET(AT20,0,$B$2-1):OFFSET(AT20,0,$B$3-1))</f>
        <v>13.151999999999999</v>
      </c>
      <c r="BG20" s="148">
        <f t="shared" si="7"/>
        <v>52.554000000000002</v>
      </c>
    </row>
    <row r="21" spans="1:59">
      <c r="A21" s="155" t="s">
        <v>90</v>
      </c>
      <c r="B21" s="166">
        <f t="shared" ca="1" si="4"/>
        <v>0.72797991283529762</v>
      </c>
      <c r="C21" s="165">
        <f t="shared" si="12"/>
        <v>112.75677965736742</v>
      </c>
      <c r="D21" s="170">
        <v>2.4087769858459604</v>
      </c>
      <c r="E21" s="170">
        <v>4.8955014076987577</v>
      </c>
      <c r="F21" s="170">
        <v>1.3635526690112307</v>
      </c>
      <c r="G21" s="170">
        <v>5.3614223224969928</v>
      </c>
      <c r="H21" s="338">
        <v>6.8461201094255912</v>
      </c>
      <c r="I21" s="338">
        <v>18.429695240777779</v>
      </c>
      <c r="J21" s="338">
        <v>9.1618876708888894</v>
      </c>
      <c r="K21" s="338">
        <v>6.8158602202222198</v>
      </c>
      <c r="L21" s="338">
        <v>11.137047313</v>
      </c>
      <c r="M21" s="338">
        <v>11.247660808111108</v>
      </c>
      <c r="N21" s="338">
        <v>19.889254909888887</v>
      </c>
      <c r="O21" s="338">
        <v>15.2</v>
      </c>
      <c r="P21" s="165">
        <f ca="1">SUM(OFFSET(Q21,0,$B$2-1):OFFSET(Q21,0,$B$3-1))</f>
        <v>203.38519846798454</v>
      </c>
      <c r="Q21" s="170">
        <f t="shared" ref="Q21:V21" si="17">Q22+Q23</f>
        <v>13.767404837333336</v>
      </c>
      <c r="R21" s="170">
        <f t="shared" si="17"/>
        <v>13.7337025684444</v>
      </c>
      <c r="S21" s="170">
        <f t="shared" si="17"/>
        <v>13.57992720344444</v>
      </c>
      <c r="T21" s="170">
        <f t="shared" si="17"/>
        <v>16.675694335409773</v>
      </c>
      <c r="U21" s="170">
        <f t="shared" si="17"/>
        <v>23.434285669555553</v>
      </c>
      <c r="V21" s="338">
        <f t="shared" si="17"/>
        <v>29.632296537666669</v>
      </c>
      <c r="W21" s="338">
        <f t="shared" ref="W21:AB21" si="18">W22+W23</f>
        <v>21.186227715555557</v>
      </c>
      <c r="X21" s="338">
        <f t="shared" si="18"/>
        <v>30.850780060000002</v>
      </c>
      <c r="Y21" s="338">
        <f t="shared" si="18"/>
        <v>40.524879540574801</v>
      </c>
      <c r="Z21" s="338">
        <f t="shared" si="18"/>
        <v>0</v>
      </c>
      <c r="AA21" s="338">
        <f t="shared" si="18"/>
        <v>0</v>
      </c>
      <c r="AB21" s="338">
        <f t="shared" si="18"/>
        <v>0</v>
      </c>
      <c r="AE21" s="155" t="s">
        <v>90</v>
      </c>
      <c r="AF21" s="150">
        <f>SUM(AF22:AF23)</f>
        <v>3.6999999999999997</v>
      </c>
      <c r="AG21" s="150">
        <f t="shared" ref="AG21:AQ21" si="19">SUM(AG22:AG23)</f>
        <v>4.5999999999999996</v>
      </c>
      <c r="AH21" s="150">
        <f t="shared" si="19"/>
        <v>7.7999999999999989</v>
      </c>
      <c r="AI21" s="150">
        <f t="shared" si="19"/>
        <v>8.6999999999999993</v>
      </c>
      <c r="AJ21" s="150">
        <f t="shared" si="19"/>
        <v>9.5</v>
      </c>
      <c r="AK21" s="150">
        <f t="shared" si="19"/>
        <v>11.9</v>
      </c>
      <c r="AL21" s="150">
        <f t="shared" si="19"/>
        <v>12.9</v>
      </c>
      <c r="AM21" s="150">
        <f t="shared" si="19"/>
        <v>13.5</v>
      </c>
      <c r="AN21" s="150">
        <f t="shared" si="19"/>
        <v>14.3</v>
      </c>
      <c r="AO21" s="150">
        <f t="shared" si="19"/>
        <v>15.3</v>
      </c>
      <c r="AP21" s="150">
        <f t="shared" si="19"/>
        <v>16.2</v>
      </c>
      <c r="AQ21" s="150">
        <f t="shared" si="19"/>
        <v>17.100000000000001</v>
      </c>
      <c r="AR21" s="150">
        <f ca="1">SUM(OFFSET(AF21,0,$B$2-1):OFFSET(AF21,0,$B$3-1))</f>
        <v>118.39999999999999</v>
      </c>
      <c r="AS21" s="169">
        <f t="shared" si="15"/>
        <v>135.5</v>
      </c>
      <c r="AT21" s="150">
        <f>SUM(AT22:AT23)</f>
        <v>18.257635060508427</v>
      </c>
      <c r="AU21" s="150">
        <f t="shared" ref="AU21:BE21" si="20">SUM(AU22:AU23)</f>
        <v>18.226989063707556</v>
      </c>
      <c r="AV21" s="150">
        <f t="shared" si="20"/>
        <v>18.950268645789805</v>
      </c>
      <c r="AW21" s="150">
        <f t="shared" si="20"/>
        <v>19.409674203387027</v>
      </c>
      <c r="AX21" s="150">
        <f t="shared" si="20"/>
        <v>21.040759929007638</v>
      </c>
      <c r="AY21" s="150">
        <f t="shared" si="20"/>
        <v>22.319453877742557</v>
      </c>
      <c r="AZ21" s="150">
        <f t="shared" si="20"/>
        <v>23.55813011962486</v>
      </c>
      <c r="BA21" s="150">
        <f t="shared" si="20"/>
        <v>24.510295611263455</v>
      </c>
      <c r="BB21" s="150">
        <f t="shared" si="20"/>
        <v>32.148462361054499</v>
      </c>
      <c r="BC21" s="150">
        <f t="shared" si="20"/>
        <v>25.785613489832301</v>
      </c>
      <c r="BD21" s="150">
        <f t="shared" si="20"/>
        <v>26.795848704581267</v>
      </c>
      <c r="BE21" s="150">
        <f t="shared" si="20"/>
        <v>28.379850361999999</v>
      </c>
      <c r="BF21" s="148">
        <f ca="1">SUM(OFFSET(AT21,0,$B$2-1):OFFSET(AT21,0,$B$3-1))</f>
        <v>251.00313106649935</v>
      </c>
      <c r="BG21" s="148">
        <f t="shared" si="7"/>
        <v>279.38298142849936</v>
      </c>
    </row>
    <row r="22" spans="1:59">
      <c r="A22" s="164" t="s">
        <v>91</v>
      </c>
      <c r="B22" s="166">
        <f t="shared" ca="1" si="4"/>
        <v>0.5216038429796509</v>
      </c>
      <c r="C22" s="165">
        <f t="shared" si="12"/>
        <v>0.52089551542879797</v>
      </c>
      <c r="D22" s="165">
        <v>-2.0004205282699599</v>
      </c>
      <c r="E22" s="165">
        <v>-1.9212873627697551</v>
      </c>
      <c r="F22" s="165">
        <v>-2.763413398432812</v>
      </c>
      <c r="G22" s="165">
        <v>-2.0568142004131573</v>
      </c>
      <c r="H22" s="171">
        <v>-2.0329462395744078</v>
      </c>
      <c r="I22" s="165">
        <v>11.141066322777778</v>
      </c>
      <c r="J22" s="171">
        <v>1.4348876708888891</v>
      </c>
      <c r="K22" s="171">
        <v>-1.6401397797777775</v>
      </c>
      <c r="L22" s="165">
        <v>-0.46295268699999992</v>
      </c>
      <c r="M22" s="165">
        <v>-0.29833919188888969</v>
      </c>
      <c r="N22" s="165">
        <v>2.1254909888888784E-2</v>
      </c>
      <c r="O22" s="165">
        <v>1.1000000000000001</v>
      </c>
      <c r="P22" s="165">
        <f ca="1">SUM(OFFSET(Q22,0,$B$2-1):OFFSET(Q22,0,$B$3-1))</f>
        <v>4.1939892615555552</v>
      </c>
      <c r="Q22" s="165">
        <v>-0.3698568837777777</v>
      </c>
      <c r="R22" s="165"/>
      <c r="S22" s="165">
        <v>-0.10360137833333338</v>
      </c>
      <c r="T22" s="165">
        <v>-0.42228429000000001</v>
      </c>
      <c r="U22" s="171">
        <v>0.11797396666666671</v>
      </c>
      <c r="V22" s="165">
        <v>-0.13616028255555551</v>
      </c>
      <c r="W22" s="165">
        <v>-5.7598086666666687E-2</v>
      </c>
      <c r="X22" s="165">
        <v>0.19916440222222226</v>
      </c>
      <c r="Y22" s="165">
        <v>4.9663518139999994</v>
      </c>
      <c r="Z22" s="165"/>
      <c r="AA22" s="165"/>
      <c r="AB22" s="165"/>
      <c r="AE22" s="164" t="s">
        <v>91</v>
      </c>
      <c r="AF22" s="148">
        <v>-2.4</v>
      </c>
      <c r="AG22" s="148">
        <v>-2.4</v>
      </c>
      <c r="AH22" s="148">
        <v>-0.4</v>
      </c>
      <c r="AI22" s="148">
        <v>-0.4</v>
      </c>
      <c r="AJ22" s="148">
        <v>-0.4</v>
      </c>
      <c r="AK22" s="148">
        <v>1</v>
      </c>
      <c r="AL22" s="148">
        <v>1</v>
      </c>
      <c r="AM22" s="148">
        <v>1</v>
      </c>
      <c r="AN22" s="148">
        <v>1</v>
      </c>
      <c r="AO22" s="148">
        <v>1</v>
      </c>
      <c r="AP22" s="148">
        <v>1</v>
      </c>
      <c r="AQ22" s="148">
        <v>1</v>
      </c>
      <c r="AR22" s="150">
        <f ca="1">SUM(OFFSET(AF22,0,$B$2-1):OFFSET(AF22,0,$B$3-1))</f>
        <v>0</v>
      </c>
      <c r="AS22" s="169">
        <f t="shared" si="15"/>
        <v>0.99999999999999911</v>
      </c>
      <c r="AT22" s="148">
        <v>7.6910361999999788E-2</v>
      </c>
      <c r="AU22" s="148">
        <v>0.10445036199999991</v>
      </c>
      <c r="AV22" s="148">
        <v>0.13199036199999981</v>
      </c>
      <c r="AW22" s="148">
        <v>0.15953036199999993</v>
      </c>
      <c r="AX22" s="148">
        <v>0.18707036199999982</v>
      </c>
      <c r="AY22" s="148">
        <v>0.21461036199999994</v>
      </c>
      <c r="AZ22" s="148">
        <v>0.24215036199999984</v>
      </c>
      <c r="BA22" s="148">
        <v>0.26969036199999996</v>
      </c>
      <c r="BB22" s="148">
        <f>0.297230362+5.3</f>
        <v>5.5972303619999995</v>
      </c>
      <c r="BC22" s="148">
        <v>0.32477036199999998</v>
      </c>
      <c r="BD22" s="148">
        <v>0.35231036199999988</v>
      </c>
      <c r="BE22" s="148">
        <v>0.379850362</v>
      </c>
      <c r="BF22" s="148">
        <f ca="1">SUM(OFFSET(AT22,0,$B$2-1):OFFSET(AT22,0,$B$3-1))</f>
        <v>7.6607139819999981</v>
      </c>
      <c r="BG22" s="148">
        <f t="shared" si="7"/>
        <v>8.0405643439999981</v>
      </c>
    </row>
    <row r="23" spans="1:59">
      <c r="A23" s="164" t="s">
        <v>92</v>
      </c>
      <c r="B23" s="166">
        <f t="shared" ca="1" si="4"/>
        <v>0.73409535946014048</v>
      </c>
      <c r="C23" s="165">
        <f t="shared" si="12"/>
        <v>112.23588414193861</v>
      </c>
      <c r="D23" s="165">
        <v>4.4091975141159203</v>
      </c>
      <c r="E23" s="165">
        <v>6.8167887704685128</v>
      </c>
      <c r="F23" s="165">
        <v>4.1269660674440427</v>
      </c>
      <c r="G23" s="165">
        <v>7.4182365229101501</v>
      </c>
      <c r="H23" s="171">
        <v>8.8790663489999986</v>
      </c>
      <c r="I23" s="165">
        <v>7.2886289180000006</v>
      </c>
      <c r="J23" s="171">
        <v>7.7270000000000003</v>
      </c>
      <c r="K23" s="171">
        <v>8.4559999999999977</v>
      </c>
      <c r="L23" s="165">
        <v>11.6</v>
      </c>
      <c r="M23" s="165">
        <v>11.545999999999998</v>
      </c>
      <c r="N23" s="165">
        <v>19.867999999999999</v>
      </c>
      <c r="O23" s="165">
        <v>14.1</v>
      </c>
      <c r="P23" s="165">
        <f ca="1">SUM(OFFSET(Q23,0,$B$2-1):OFFSET(Q23,0,$B$3-1))</f>
        <v>199.19120920642897</v>
      </c>
      <c r="Q23" s="165">
        <v>14.137261721111114</v>
      </c>
      <c r="R23" s="165">
        <f>13733.7025684444/1000</f>
        <v>13.7337025684444</v>
      </c>
      <c r="S23" s="165">
        <v>13.683528581777773</v>
      </c>
      <c r="T23" s="165">
        <v>17.097978625409773</v>
      </c>
      <c r="U23" s="171">
        <v>23.316311702888886</v>
      </c>
      <c r="V23" s="165">
        <v>29.768456820222223</v>
      </c>
      <c r="W23" s="171">
        <v>21.243825802222222</v>
      </c>
      <c r="X23" s="171">
        <v>30.651615657777779</v>
      </c>
      <c r="Y23" s="165">
        <v>35.558527726574802</v>
      </c>
      <c r="Z23" s="165"/>
      <c r="AA23" s="165"/>
      <c r="AB23" s="165"/>
      <c r="AE23" s="164" t="s">
        <v>92</v>
      </c>
      <c r="AF23" s="148">
        <v>6.1</v>
      </c>
      <c r="AG23" s="148">
        <v>7</v>
      </c>
      <c r="AH23" s="148">
        <v>8.1999999999999993</v>
      </c>
      <c r="AI23" s="148">
        <v>9.1</v>
      </c>
      <c r="AJ23" s="148">
        <v>9.9</v>
      </c>
      <c r="AK23" s="148">
        <v>10.9</v>
      </c>
      <c r="AL23" s="148">
        <v>11.9</v>
      </c>
      <c r="AM23" s="148">
        <v>12.5</v>
      </c>
      <c r="AN23" s="148">
        <v>13.3</v>
      </c>
      <c r="AO23" s="148">
        <v>14.3</v>
      </c>
      <c r="AP23" s="148">
        <v>15.2</v>
      </c>
      <c r="AQ23" s="148">
        <v>16.100000000000001</v>
      </c>
      <c r="AR23" s="150">
        <f ca="1">SUM(OFFSET(AF23,0,$B$2-1):OFFSET(AF23,0,$B$3-1))</f>
        <v>118.39999999999999</v>
      </c>
      <c r="AS23" s="169">
        <f t="shared" si="15"/>
        <v>134.5</v>
      </c>
      <c r="AT23" s="148">
        <v>18.180724698508428</v>
      </c>
      <c r="AU23" s="148">
        <v>18.122538701707555</v>
      </c>
      <c r="AV23" s="148">
        <v>18.818278283789805</v>
      </c>
      <c r="AW23" s="148">
        <v>19.250143841387029</v>
      </c>
      <c r="AX23" s="148">
        <v>20.853689567007638</v>
      </c>
      <c r="AY23" s="148">
        <v>22.104843515742559</v>
      </c>
      <c r="AZ23" s="148">
        <v>23.315979757624859</v>
      </c>
      <c r="BA23" s="148">
        <v>24.240605249263456</v>
      </c>
      <c r="BB23" s="148">
        <f>25.1512319990545+1.4</f>
        <v>26.551231999054497</v>
      </c>
      <c r="BC23" s="148">
        <v>25.460843127832302</v>
      </c>
      <c r="BD23" s="148">
        <v>26.443538342581267</v>
      </c>
      <c r="BE23" s="148">
        <v>28</v>
      </c>
      <c r="BF23" s="148">
        <f ca="1">SUM(OFFSET(AT23,0,$B$2-1):OFFSET(AT23,0,$B$3-1))</f>
        <v>243.3424170844994</v>
      </c>
      <c r="BG23" s="148">
        <f t="shared" si="7"/>
        <v>271.3424170844994</v>
      </c>
    </row>
    <row r="24" spans="1:59">
      <c r="A24" s="155" t="s">
        <v>93</v>
      </c>
      <c r="B24" s="166">
        <f t="shared" ca="1" si="4"/>
        <v>0.67883516806194655</v>
      </c>
      <c r="C24" s="165">
        <f t="shared" si="12"/>
        <v>583.02631784562118</v>
      </c>
      <c r="D24" s="170">
        <v>18.25727374017244</v>
      </c>
      <c r="E24" s="170">
        <v>17.003229410916404</v>
      </c>
      <c r="F24" s="170">
        <v>20.569211687999996</v>
      </c>
      <c r="G24" s="170">
        <v>24.996219933000003</v>
      </c>
      <c r="H24" s="338">
        <v>31.967650978000002</v>
      </c>
      <c r="I24" s="338">
        <v>37.734201684317</v>
      </c>
      <c r="J24" s="338">
        <v>52.320521676822409</v>
      </c>
      <c r="K24" s="338">
        <v>62.543390685392993</v>
      </c>
      <c r="L24" s="338">
        <v>66.231432026000007</v>
      </c>
      <c r="M24" s="338">
        <v>78.884186022999998</v>
      </c>
      <c r="N24" s="338">
        <v>80.418999999999997</v>
      </c>
      <c r="O24" s="338">
        <v>92.100000000000009</v>
      </c>
      <c r="P24" s="165">
        <f ca="1">SUM(OFFSET(Q24,0,$B$2-1):OFFSET(Q24,0,$B$3-1))</f>
        <v>1244.07685272442</v>
      </c>
      <c r="Q24" s="170">
        <f t="shared" ref="Q24:V24" si="21">SUM(Q25:Q29)</f>
        <v>94.769914838222206</v>
      </c>
      <c r="R24" s="170">
        <f t="shared" si="21"/>
        <v>84.284105585333279</v>
      </c>
      <c r="S24" s="170">
        <f t="shared" si="21"/>
        <v>103.95840969956696</v>
      </c>
      <c r="T24" s="170">
        <f t="shared" si="21"/>
        <v>112.747953932207</v>
      </c>
      <c r="U24" s="338">
        <f t="shared" si="21"/>
        <v>122.2</v>
      </c>
      <c r="V24" s="338">
        <f t="shared" si="21"/>
        <v>135.62717124011107</v>
      </c>
      <c r="W24" s="338">
        <f t="shared" ref="W24:AB24" si="22">SUM(W25:W29)</f>
        <v>169.73407355577777</v>
      </c>
      <c r="X24" s="338">
        <f t="shared" si="22"/>
        <v>189.46094935966667</v>
      </c>
      <c r="Y24" s="338">
        <f t="shared" si="22"/>
        <v>231.29427451353499</v>
      </c>
      <c r="Z24" s="338">
        <f t="shared" si="22"/>
        <v>0</v>
      </c>
      <c r="AA24" s="338">
        <f t="shared" si="22"/>
        <v>0</v>
      </c>
      <c r="AB24" s="338">
        <f t="shared" si="22"/>
        <v>0</v>
      </c>
      <c r="AE24" s="155" t="s">
        <v>93</v>
      </c>
      <c r="AF24" s="169">
        <f>SUM(AF25:AF29)</f>
        <v>33.700000000000003</v>
      </c>
      <c r="AG24" s="169">
        <f t="shared" ref="AG24:AQ24" si="23">SUM(AG25:AG29)</f>
        <v>29.299999999999994</v>
      </c>
      <c r="AH24" s="169">
        <f t="shared" si="23"/>
        <v>38.199999999999989</v>
      </c>
      <c r="AI24" s="169">
        <f t="shared" si="23"/>
        <v>46.1</v>
      </c>
      <c r="AJ24" s="169">
        <f t="shared" si="23"/>
        <v>57.100000000000009</v>
      </c>
      <c r="AK24" s="169">
        <f t="shared" si="23"/>
        <v>66.2</v>
      </c>
      <c r="AL24" s="169">
        <f t="shared" si="23"/>
        <v>76.599999999999994</v>
      </c>
      <c r="AM24" s="169">
        <f t="shared" si="23"/>
        <v>84.200000000000017</v>
      </c>
      <c r="AN24" s="169">
        <f t="shared" si="23"/>
        <v>93.1</v>
      </c>
      <c r="AO24" s="169">
        <f t="shared" si="23"/>
        <v>103.89999999999998</v>
      </c>
      <c r="AP24" s="169">
        <f t="shared" si="23"/>
        <v>112.9</v>
      </c>
      <c r="AQ24" s="169">
        <f t="shared" si="23"/>
        <v>121.1</v>
      </c>
      <c r="AR24" s="150">
        <f ca="1">SUM(OFFSET(AF24,0,$B$2-1):OFFSET(AF24,0,$B$3-1))</f>
        <v>741.3</v>
      </c>
      <c r="AS24" s="169">
        <f t="shared" si="15"/>
        <v>862.4</v>
      </c>
      <c r="AT24" s="150">
        <f>SUM(AT25:AT29)</f>
        <v>104.40465481647364</v>
      </c>
      <c r="AU24" s="150">
        <f t="shared" ref="AU24:BE24" si="24">SUM(AU25:AU29)</f>
        <v>111.90322059715147</v>
      </c>
      <c r="AV24" s="150">
        <f t="shared" si="24"/>
        <v>120.49049546403376</v>
      </c>
      <c r="AW24" s="150">
        <f t="shared" si="24"/>
        <v>128.92349326175807</v>
      </c>
      <c r="AX24" s="150">
        <f t="shared" si="24"/>
        <v>137.49825786986429</v>
      </c>
      <c r="AY24" s="150">
        <f t="shared" si="24"/>
        <v>146.23985816432869</v>
      </c>
      <c r="AZ24" s="150">
        <f t="shared" si="24"/>
        <v>155.37990198413874</v>
      </c>
      <c r="BA24" s="150">
        <f t="shared" si="24"/>
        <v>165.15472576135568</v>
      </c>
      <c r="BB24" s="150">
        <f t="shared" si="24"/>
        <v>175.26318714448718</v>
      </c>
      <c r="BC24" s="150">
        <f t="shared" si="24"/>
        <v>185.3972566181468</v>
      </c>
      <c r="BD24" s="150">
        <f t="shared" si="24"/>
        <v>195.69623796985783</v>
      </c>
      <c r="BE24" s="150">
        <f t="shared" si="24"/>
        <v>206.31282566850581</v>
      </c>
      <c r="BF24" s="148">
        <f ca="1">SUM(OFFSET(AT24,0,$B$2-1):OFFSET(AT24,0,$B$3-1))</f>
        <v>1626.3512896515961</v>
      </c>
      <c r="BG24" s="148">
        <f t="shared" si="7"/>
        <v>1832.6641153201019</v>
      </c>
    </row>
    <row r="25" spans="1:59">
      <c r="A25" s="164" t="s">
        <v>94</v>
      </c>
      <c r="B25" s="166">
        <f t="shared" ca="1" si="4"/>
        <v>0.70171082638182958</v>
      </c>
      <c r="C25" s="165">
        <f t="shared" si="12"/>
        <v>416.72574371822725</v>
      </c>
      <c r="D25" s="165">
        <v>11.3145429918728</v>
      </c>
      <c r="E25" s="165">
        <v>10.039579795354401</v>
      </c>
      <c r="F25" s="165">
        <v>11.66478291</v>
      </c>
      <c r="G25" s="165">
        <v>15.035967114</v>
      </c>
      <c r="H25" s="171">
        <v>20.488775930999999</v>
      </c>
      <c r="I25" s="165">
        <v>24.788549854000003</v>
      </c>
      <c r="J25" s="171">
        <v>40.697372692000002</v>
      </c>
      <c r="K25" s="171">
        <v>45.272138040999998</v>
      </c>
      <c r="L25" s="165">
        <v>48.583965464000002</v>
      </c>
      <c r="M25" s="165">
        <v>59.440068924999999</v>
      </c>
      <c r="N25" s="165">
        <v>61.5</v>
      </c>
      <c r="O25" s="165">
        <v>67.900000000000006</v>
      </c>
      <c r="P25" s="165">
        <f ca="1">SUM(OFFSET(Q25,0,$B$2-1):OFFSET(Q25,0,$B$3-1))</f>
        <v>996.00470690451857</v>
      </c>
      <c r="Q25" s="165">
        <v>72.488775316777762</v>
      </c>
      <c r="R25" s="165">
        <f>63843.9932084444/1000</f>
        <v>63.843993208444402</v>
      </c>
      <c r="S25" s="165">
        <v>79.661951204672675</v>
      </c>
      <c r="T25" s="165">
        <f>'Slide 2025'!H141</f>
        <v>89.130890663999992</v>
      </c>
      <c r="U25" s="171">
        <v>97.5</v>
      </c>
      <c r="V25" s="165">
        <v>111.40930299588886</v>
      </c>
      <c r="W25" s="171">
        <v>140.25024895433333</v>
      </c>
      <c r="X25" s="171">
        <v>155.61404644788888</v>
      </c>
      <c r="Y25" s="165">
        <v>186.10549811251266</v>
      </c>
      <c r="Z25" s="165"/>
      <c r="AA25" s="165"/>
      <c r="AB25" s="165"/>
      <c r="AE25" s="164" t="s">
        <v>94</v>
      </c>
      <c r="AF25" s="148">
        <v>22.8</v>
      </c>
      <c r="AG25" s="148">
        <v>20.399999999999999</v>
      </c>
      <c r="AH25" s="148">
        <v>27.4</v>
      </c>
      <c r="AI25" s="148">
        <v>33.5</v>
      </c>
      <c r="AJ25" s="148">
        <v>41.5</v>
      </c>
      <c r="AK25" s="148">
        <v>47.5</v>
      </c>
      <c r="AL25" s="148">
        <v>52.8</v>
      </c>
      <c r="AM25" s="148">
        <v>55.9</v>
      </c>
      <c r="AN25" s="148">
        <v>60.400000000000006</v>
      </c>
      <c r="AO25" s="148">
        <v>66.199999999999989</v>
      </c>
      <c r="AP25" s="148">
        <v>70.900000000000006</v>
      </c>
      <c r="AQ25" s="148">
        <v>74.8</v>
      </c>
      <c r="AR25" s="150">
        <f ca="1">SUM(OFFSET(AF25,0,$B$2-1):OFFSET(AF25,0,$B$3-1))</f>
        <v>499.29999999999995</v>
      </c>
      <c r="AS25" s="169">
        <f t="shared" si="15"/>
        <v>574.09999999999991</v>
      </c>
      <c r="AT25" s="148">
        <v>79.909379400013677</v>
      </c>
      <c r="AU25" s="148">
        <v>86.021582223613692</v>
      </c>
      <c r="AV25" s="148">
        <v>92.886532541610748</v>
      </c>
      <c r="AW25" s="148">
        <v>99.681595939171217</v>
      </c>
      <c r="AX25" s="148">
        <v>106.49004491107922</v>
      </c>
      <c r="AY25" s="148">
        <v>113.41830681560062</v>
      </c>
      <c r="AZ25" s="148">
        <v>120.58744023125456</v>
      </c>
      <c r="BA25" s="148">
        <v>128.29637066731948</v>
      </c>
      <c r="BB25" s="148">
        <v>136.22010101212939</v>
      </c>
      <c r="BC25" s="148">
        <v>144.03172225698921</v>
      </c>
      <c r="BD25" s="148">
        <v>151.87882463122776</v>
      </c>
      <c r="BE25" s="148">
        <v>159.97291195985875</v>
      </c>
      <c r="BF25" s="148">
        <f ca="1">SUM(OFFSET(AT25,0,$B$2-1):OFFSET(AT25,0,$B$3-1))</f>
        <v>1259.4219006300095</v>
      </c>
      <c r="BG25" s="148">
        <f t="shared" si="7"/>
        <v>1419.3948125898683</v>
      </c>
    </row>
    <row r="26" spans="1:59">
      <c r="A26" s="164" t="s">
        <v>95</v>
      </c>
      <c r="B26" s="166">
        <f t="shared" ca="1" si="4"/>
        <v>0.8007194879720354</v>
      </c>
      <c r="C26" s="165">
        <f t="shared" si="12"/>
        <v>119.45184293520506</v>
      </c>
      <c r="D26" s="165">
        <v>4.558422427</v>
      </c>
      <c r="E26" s="165">
        <v>4.6202344545620049</v>
      </c>
      <c r="F26" s="165">
        <v>6.0534336819999996</v>
      </c>
      <c r="G26" s="165">
        <v>7.1014074590000007</v>
      </c>
      <c r="H26" s="171">
        <v>8.4765154030000005</v>
      </c>
      <c r="I26" s="165">
        <v>9.5441905949999999</v>
      </c>
      <c r="J26" s="171">
        <v>8.7413173466430489</v>
      </c>
      <c r="K26" s="171">
        <v>12.894384492</v>
      </c>
      <c r="L26" s="165">
        <v>12.829769492</v>
      </c>
      <c r="M26" s="165">
        <v>13.946167583999999</v>
      </c>
      <c r="N26" s="165">
        <v>13.086</v>
      </c>
      <c r="O26" s="165">
        <v>17.600000000000001</v>
      </c>
      <c r="P26" s="165">
        <f ca="1">SUM(OFFSET(Q26,0,$B$2-1):OFFSET(Q26,0,$B$3-1))</f>
        <v>179.251447180578</v>
      </c>
      <c r="Q26" s="165">
        <v>15.505887468111112</v>
      </c>
      <c r="R26" s="165">
        <f>14034.8572681111/1000</f>
        <v>14.0348572681111</v>
      </c>
      <c r="S26" s="165">
        <v>16.68250319184175</v>
      </c>
      <c r="T26" s="165">
        <f>'Slide 2025'!H202</f>
        <v>16.120454666000001</v>
      </c>
      <c r="U26" s="171">
        <v>16.600000000000001</v>
      </c>
      <c r="V26" s="165">
        <v>16.107792560888889</v>
      </c>
      <c r="W26" s="171">
        <v>21.318023703666665</v>
      </c>
      <c r="X26" s="171">
        <v>25.749059058444445</v>
      </c>
      <c r="Y26" s="165">
        <v>37.132869263514031</v>
      </c>
      <c r="Z26" s="165"/>
      <c r="AA26" s="165"/>
      <c r="AB26" s="165"/>
      <c r="AE26" s="164" t="s">
        <v>95</v>
      </c>
      <c r="AF26" s="148">
        <v>7</v>
      </c>
      <c r="AG26" s="148">
        <v>4.9000000000000004</v>
      </c>
      <c r="AH26" s="148">
        <v>6.4</v>
      </c>
      <c r="AI26" s="148">
        <v>7.1</v>
      </c>
      <c r="AJ26" s="148">
        <v>7.2</v>
      </c>
      <c r="AK26" s="148">
        <v>7.1</v>
      </c>
      <c r="AL26" s="148">
        <v>8.6999999999999993</v>
      </c>
      <c r="AM26" s="148">
        <v>9</v>
      </c>
      <c r="AN26" s="148">
        <v>9.1</v>
      </c>
      <c r="AO26" s="148">
        <v>10</v>
      </c>
      <c r="AP26" s="148">
        <v>10.1</v>
      </c>
      <c r="AQ26" s="148">
        <v>10</v>
      </c>
      <c r="AR26" s="150">
        <f ca="1">SUM(OFFSET(AF26,0,$B$2-1):OFFSET(AF26,0,$B$3-1))</f>
        <v>86.6</v>
      </c>
      <c r="AS26" s="169">
        <f t="shared" si="15"/>
        <v>96.6</v>
      </c>
      <c r="AT26" s="148">
        <v>16.0120085132837</v>
      </c>
      <c r="AU26" s="148">
        <v>16.526957206418761</v>
      </c>
      <c r="AV26" s="148">
        <v>17.173724714930312</v>
      </c>
      <c r="AW26" s="148">
        <v>17.602274475134671</v>
      </c>
      <c r="AX26" s="148">
        <v>18.038840817395407</v>
      </c>
      <c r="AY26" s="148">
        <v>18.477186789086012</v>
      </c>
      <c r="AZ26" s="148">
        <v>18.911118117554729</v>
      </c>
      <c r="BA26" s="148">
        <v>19.343551510200278</v>
      </c>
      <c r="BB26" s="148">
        <v>19.773785811610125</v>
      </c>
      <c r="BC26" s="148">
        <v>20.220228668734762</v>
      </c>
      <c r="BD26" s="148">
        <v>20.674673303915633</v>
      </c>
      <c r="BE26" s="148">
        <v>21.108625649567699</v>
      </c>
      <c r="BF26" s="148">
        <f ca="1">SUM(OFFSET(AT26,0,$B$2-1):OFFSET(AT26,0,$B$3-1))</f>
        <v>202.75434992826442</v>
      </c>
      <c r="BG26" s="148">
        <f t="shared" si="7"/>
        <v>223.86297557783212</v>
      </c>
    </row>
    <row r="27" spans="1:59">
      <c r="A27" s="164" t="s">
        <v>96</v>
      </c>
      <c r="B27" s="166">
        <f t="shared" ca="1" si="4"/>
        <v>0.41556807953939967</v>
      </c>
      <c r="C27" s="165">
        <f t="shared" si="12"/>
        <v>44.023575105171808</v>
      </c>
      <c r="D27" s="165">
        <v>2.3843083212996397</v>
      </c>
      <c r="E27" s="165">
        <v>2.3434151610000002</v>
      </c>
      <c r="F27" s="165">
        <v>2.8509950959999997</v>
      </c>
      <c r="G27" s="165">
        <v>2.8588453600000001</v>
      </c>
      <c r="H27" s="171">
        <v>2.9523596440000004</v>
      </c>
      <c r="I27" s="165">
        <v>3.2905093609999998</v>
      </c>
      <c r="J27" s="171">
        <v>2.6855987128721588</v>
      </c>
      <c r="K27" s="171">
        <v>4.0848968650000002</v>
      </c>
      <c r="L27" s="165">
        <v>4.4626970699999999</v>
      </c>
      <c r="M27" s="165">
        <v>4.9979495140000001</v>
      </c>
      <c r="N27" s="165">
        <v>5.2119999999999997</v>
      </c>
      <c r="O27" s="165">
        <v>5.9</v>
      </c>
      <c r="P27" s="165">
        <f ca="1">SUM(OFFSET(Q27,0,$B$2-1):OFFSET(Q27,0,$B$3-1))</f>
        <v>54.473486971042142</v>
      </c>
      <c r="Q27" s="165">
        <v>6.0033602111111115</v>
      </c>
      <c r="R27" s="165">
        <f>5473.89711111111/1000</f>
        <v>5.4738971111111097</v>
      </c>
      <c r="S27" s="165">
        <v>6.3746954265861344</v>
      </c>
      <c r="T27" s="165">
        <f>'Slide 2025'!H172</f>
        <v>6.3344924429999994</v>
      </c>
      <c r="U27" s="171">
        <v>6.7</v>
      </c>
      <c r="V27" s="165">
        <v>6.4882580899999995</v>
      </c>
      <c r="W27" s="171">
        <v>6.4087893044444444</v>
      </c>
      <c r="X27" s="171">
        <v>5.7167435355555556</v>
      </c>
      <c r="Y27" s="165">
        <v>4.9732508492337786</v>
      </c>
      <c r="Z27" s="165"/>
      <c r="AA27" s="165"/>
      <c r="AB27" s="165"/>
      <c r="AE27" s="164" t="s">
        <v>96</v>
      </c>
      <c r="AF27" s="148">
        <v>2.8</v>
      </c>
      <c r="AG27" s="148">
        <v>2.9</v>
      </c>
      <c r="AH27" s="148">
        <v>2.8</v>
      </c>
      <c r="AI27" s="148">
        <v>2.6999999999999997</v>
      </c>
      <c r="AJ27" s="148">
        <v>2.6999999999999997</v>
      </c>
      <c r="AK27" s="148">
        <v>2.6</v>
      </c>
      <c r="AL27" s="148">
        <v>2.6999999999999997</v>
      </c>
      <c r="AM27" s="148">
        <v>2.9</v>
      </c>
      <c r="AN27" s="148">
        <v>3</v>
      </c>
      <c r="AO27" s="148">
        <v>3.1</v>
      </c>
      <c r="AP27" s="148">
        <v>3.1999999999999997</v>
      </c>
      <c r="AQ27" s="148">
        <v>3.1</v>
      </c>
      <c r="AR27" s="150">
        <f ca="1">SUM(OFFSET(AF27,0,$B$2-1):OFFSET(AF27,0,$B$3-1))</f>
        <v>31.4</v>
      </c>
      <c r="AS27" s="169">
        <f t="shared" si="15"/>
        <v>34.5</v>
      </c>
      <c r="AT27" s="148">
        <v>7.3786113517319496</v>
      </c>
      <c r="AU27" s="148">
        <v>7.7509983150289017</v>
      </c>
      <c r="AV27" s="148">
        <v>8.1869764232698028</v>
      </c>
      <c r="AW27" s="148">
        <v>8.7561859366796284</v>
      </c>
      <c r="AX27" s="148">
        <v>9.4148164631087088</v>
      </c>
      <c r="AY27" s="148">
        <v>10.084609300710966</v>
      </c>
      <c r="AZ27" s="148">
        <v>10.871213644598084</v>
      </c>
      <c r="BA27" s="148">
        <v>11.726317208588522</v>
      </c>
      <c r="BB27" s="148">
        <v>12.659272300953194</v>
      </c>
      <c r="BC27" s="148">
        <v>13.660910662626101</v>
      </c>
      <c r="BD27" s="148">
        <v>14.734487577961357</v>
      </c>
      <c r="BE27" s="148">
        <v>15.857581489049021</v>
      </c>
      <c r="BF27" s="148">
        <f ca="1">SUM(OFFSET(AT27,0,$B$2-1):OFFSET(AT27,0,$B$3-1))</f>
        <v>115.22439918525721</v>
      </c>
      <c r="BG27" s="148">
        <f t="shared" si="7"/>
        <v>131.08198067430624</v>
      </c>
    </row>
    <row r="28" spans="1:59">
      <c r="A28" s="164" t="s">
        <v>97</v>
      </c>
      <c r="B28" s="166">
        <f t="shared" ca="1" si="4"/>
        <v>0</v>
      </c>
      <c r="C28" s="165">
        <f t="shared" si="12"/>
        <v>0</v>
      </c>
      <c r="D28" s="165"/>
      <c r="E28" s="165"/>
      <c r="F28" s="165"/>
      <c r="G28" s="165"/>
      <c r="H28" s="171"/>
      <c r="I28" s="165"/>
      <c r="J28" s="171"/>
      <c r="K28" s="171"/>
      <c r="L28" s="165"/>
      <c r="M28" s="165"/>
      <c r="N28" s="165"/>
      <c r="O28" s="165"/>
      <c r="P28" s="165">
        <f ca="1">SUM(OFFSET(Q28,0,$B$2-1):OFFSET(Q28,0,$B$3-1))</f>
        <v>0</v>
      </c>
      <c r="Q28" s="165"/>
      <c r="R28" s="165"/>
      <c r="S28" s="165"/>
      <c r="T28" s="165"/>
      <c r="U28" s="171"/>
      <c r="V28" s="165"/>
      <c r="W28" s="171"/>
      <c r="X28" s="171"/>
      <c r="Y28" s="165"/>
      <c r="Z28" s="165"/>
      <c r="AA28" s="165"/>
      <c r="AB28" s="165"/>
      <c r="AE28" s="164" t="s">
        <v>97</v>
      </c>
      <c r="AF28" s="55">
        <v>0.2</v>
      </c>
      <c r="AG28" s="55">
        <v>0.2</v>
      </c>
      <c r="AH28" s="55">
        <v>0.3</v>
      </c>
      <c r="AI28" s="55">
        <v>-0.20000000000000007</v>
      </c>
      <c r="AJ28" s="55">
        <v>0.60000000000000009</v>
      </c>
      <c r="AK28" s="55">
        <v>1.4999999999999998</v>
      </c>
      <c r="AL28" s="55">
        <v>2.5999999999999996</v>
      </c>
      <c r="AM28" s="55">
        <v>4</v>
      </c>
      <c r="AN28" s="55">
        <v>5.6</v>
      </c>
      <c r="AO28" s="55">
        <v>6.9999999999999991</v>
      </c>
      <c r="AP28" s="55">
        <v>8.4</v>
      </c>
      <c r="AQ28" s="55">
        <v>10.199999999999999</v>
      </c>
      <c r="AR28" s="150">
        <f ca="1">SUM(OFFSET(AF28,0,$B$2-1):OFFSET(AF28,0,$B$3-1))</f>
        <v>30.199999999999996</v>
      </c>
      <c r="AS28" s="169">
        <f t="shared" si="15"/>
        <v>40.399999999999991</v>
      </c>
      <c r="AT28" s="148">
        <v>0.32277777777777772</v>
      </c>
      <c r="AU28" s="148">
        <v>0.64200164645279079</v>
      </c>
      <c r="AV28" s="148">
        <v>1.0378222108796298</v>
      </c>
      <c r="AW28" s="148">
        <v>1.4771992702838164</v>
      </c>
      <c r="AX28" s="148">
        <v>1.9561835139503676</v>
      </c>
      <c r="AY28" s="148">
        <v>2.4716097630663389</v>
      </c>
      <c r="AZ28" s="148">
        <v>3.0217051575326916</v>
      </c>
      <c r="BA28" s="148">
        <v>3.6042588887513229</v>
      </c>
      <c r="BB28" s="148">
        <v>4.217242852619405</v>
      </c>
      <c r="BC28" s="148">
        <v>4.8591793646855512</v>
      </c>
      <c r="BD28" s="148">
        <v>5.5265921772202997</v>
      </c>
      <c r="BE28" s="148">
        <v>6.2147710831920211</v>
      </c>
      <c r="BF28" s="148">
        <f ca="1">SUM(OFFSET(AT28,0,$B$2-1):OFFSET(AT28,0,$B$3-1))</f>
        <v>29.13657262321999</v>
      </c>
      <c r="BG28" s="148">
        <f t="shared" si="7"/>
        <v>35.35134370641201</v>
      </c>
    </row>
    <row r="29" spans="1:59">
      <c r="A29" s="164" t="s">
        <v>98</v>
      </c>
      <c r="B29" s="166">
        <f t="shared" ca="1" si="4"/>
        <v>0.62452487430009473</v>
      </c>
      <c r="C29" s="165">
        <f t="shared" si="12"/>
        <v>2.8251560870172003</v>
      </c>
      <c r="D29" s="165"/>
      <c r="E29" s="165"/>
      <c r="F29" s="165"/>
      <c r="G29" s="165"/>
      <c r="H29" s="171">
        <v>0.05</v>
      </c>
      <c r="I29" s="165">
        <v>0.11095187431700045</v>
      </c>
      <c r="J29" s="171">
        <v>0.19623292530720002</v>
      </c>
      <c r="K29" s="171">
        <v>0.29197128739299999</v>
      </c>
      <c r="L29" s="165">
        <v>0.35499999999999998</v>
      </c>
      <c r="M29" s="165">
        <v>0.5</v>
      </c>
      <c r="N29" s="165">
        <v>0.621</v>
      </c>
      <c r="O29" s="165">
        <v>0.7</v>
      </c>
      <c r="P29" s="165">
        <f ca="1">SUM(OFFSET(Q29,0,$B$2-1):OFFSET(Q29,0,$B$3-1))</f>
        <v>14.347211668281235</v>
      </c>
      <c r="Q29" s="165">
        <v>0.77189184222222229</v>
      </c>
      <c r="R29" s="165">
        <f>931.357997666667/1000</f>
        <v>0.93135799766666694</v>
      </c>
      <c r="S29" s="165">
        <v>1.2392598764664013</v>
      </c>
      <c r="T29" s="165">
        <v>1.1621161592070017</v>
      </c>
      <c r="U29" s="171">
        <v>1.4</v>
      </c>
      <c r="V29" s="165">
        <v>1.6218175933333332</v>
      </c>
      <c r="W29" s="171">
        <v>1.7570115933333335</v>
      </c>
      <c r="X29" s="171">
        <v>2.3811003177777774</v>
      </c>
      <c r="Y29" s="165">
        <v>3.0826562882744999</v>
      </c>
      <c r="Z29" s="165"/>
      <c r="AA29" s="165"/>
      <c r="AB29" s="165"/>
      <c r="AE29" s="164" t="s">
        <v>98</v>
      </c>
      <c r="AF29" s="55">
        <v>0.9</v>
      </c>
      <c r="AG29" s="55">
        <v>0.89999999999999991</v>
      </c>
      <c r="AH29" s="55">
        <v>1.3</v>
      </c>
      <c r="AI29" s="55">
        <v>3</v>
      </c>
      <c r="AJ29" s="55">
        <v>5.0999999999999996</v>
      </c>
      <c r="AK29" s="55">
        <v>7.5</v>
      </c>
      <c r="AL29" s="55">
        <v>9.8000000000000007</v>
      </c>
      <c r="AM29" s="55">
        <v>12.399999999999999</v>
      </c>
      <c r="AN29" s="55">
        <v>15</v>
      </c>
      <c r="AO29" s="55">
        <v>17.600000000000001</v>
      </c>
      <c r="AP29" s="55">
        <v>20.3</v>
      </c>
      <c r="AQ29" s="55">
        <v>23</v>
      </c>
      <c r="AR29" s="150">
        <f ca="1">SUM(OFFSET(AF29,0,$B$2-1):OFFSET(AF29,0,$B$3-1))</f>
        <v>93.8</v>
      </c>
      <c r="AS29" s="169">
        <f t="shared" si="15"/>
        <v>116.8</v>
      </c>
      <c r="AT29" s="148">
        <v>0.78187777366653188</v>
      </c>
      <c r="AU29" s="148">
        <v>0.96168120563733217</v>
      </c>
      <c r="AV29" s="148">
        <v>1.205439573343277</v>
      </c>
      <c r="AW29" s="148">
        <v>1.4062376404887458</v>
      </c>
      <c r="AX29" s="148">
        <v>1.5983721643305429</v>
      </c>
      <c r="AY29" s="148">
        <v>1.7881454958647667</v>
      </c>
      <c r="AZ29" s="148">
        <v>1.9884248331986683</v>
      </c>
      <c r="BA29" s="148">
        <v>2.1842274864960727</v>
      </c>
      <c r="BB29" s="148">
        <v>2.3927851671750635</v>
      </c>
      <c r="BC29" s="148">
        <v>2.6252156651111775</v>
      </c>
      <c r="BD29" s="148">
        <v>2.8816602795327997</v>
      </c>
      <c r="BE29" s="148">
        <v>3.1589354868383159</v>
      </c>
      <c r="BF29" s="148">
        <f ca="1">SUM(OFFSET(AT29,0,$B$2-1):OFFSET(AT29,0,$B$3-1))</f>
        <v>19.814067284844974</v>
      </c>
      <c r="BG29" s="148">
        <f t="shared" si="7"/>
        <v>22.973002771683291</v>
      </c>
    </row>
    <row r="30" spans="1:59">
      <c r="A30" s="173" t="s">
        <v>99</v>
      </c>
      <c r="B30" s="166">
        <f t="shared" ca="1" si="4"/>
        <v>0.58843401424007968</v>
      </c>
      <c r="C30" s="165">
        <f t="shared" si="12"/>
        <v>193.35861723967793</v>
      </c>
      <c r="D30" s="157">
        <v>7.8384612757876804</v>
      </c>
      <c r="E30" s="157">
        <v>6.8558063028724128</v>
      </c>
      <c r="F30" s="157">
        <v>5.4708682441549596</v>
      </c>
      <c r="G30" s="157">
        <v>12.65051728131448</v>
      </c>
      <c r="H30" s="339">
        <v>14.054303979009518</v>
      </c>
      <c r="I30" s="339">
        <v>14.43959944648714</v>
      </c>
      <c r="J30" s="339">
        <v>16.684509138179475</v>
      </c>
      <c r="K30" s="339">
        <v>16.620596680872225</v>
      </c>
      <c r="L30" s="339">
        <v>23.132000000000001</v>
      </c>
      <c r="M30" s="339">
        <v>25.577411910000002</v>
      </c>
      <c r="N30" s="339">
        <v>29.555</v>
      </c>
      <c r="O30" s="339">
        <v>20.479542981000002</v>
      </c>
      <c r="P30" s="165">
        <f ca="1">SUM(OFFSET(Q30,0,$B$2-1):OFFSET(Q30,0,$B$3-1))</f>
        <v>314.48841718718973</v>
      </c>
      <c r="Q30" s="157">
        <f t="shared" ref="Q30:AB30" si="25">Q31+Q38+Q45+Q59</f>
        <v>22.524556051239259</v>
      </c>
      <c r="R30" s="157">
        <f t="shared" si="25"/>
        <v>25.508704155777785</v>
      </c>
      <c r="S30" s="157">
        <f t="shared" si="25"/>
        <v>21.928472604429075</v>
      </c>
      <c r="T30" s="157">
        <f t="shared" si="25"/>
        <v>33.111000000000004</v>
      </c>
      <c r="U30" s="339">
        <f t="shared" si="25"/>
        <v>28.869711211754435</v>
      </c>
      <c r="V30" s="339">
        <f t="shared" si="25"/>
        <v>31.443453605222167</v>
      </c>
      <c r="W30" s="339">
        <f t="shared" si="25"/>
        <v>50.37311458766667</v>
      </c>
      <c r="X30" s="339">
        <f t="shared" si="25"/>
        <v>45.372823882950328</v>
      </c>
      <c r="Y30" s="339">
        <f t="shared" si="25"/>
        <v>55.356581088149987</v>
      </c>
      <c r="Z30" s="339">
        <f t="shared" si="25"/>
        <v>0</v>
      </c>
      <c r="AA30" s="339">
        <f t="shared" si="25"/>
        <v>0</v>
      </c>
      <c r="AB30" s="339">
        <f t="shared" si="25"/>
        <v>0</v>
      </c>
      <c r="AE30" s="173" t="s">
        <v>99</v>
      </c>
      <c r="AF30" s="150">
        <f t="shared" ref="AF30:AQ30" si="26">AF31+AF38+AF45+AF59</f>
        <v>21.238786526097243</v>
      </c>
      <c r="AG30" s="150">
        <f t="shared" si="26"/>
        <v>17.026119603132393</v>
      </c>
      <c r="AH30" s="150">
        <f t="shared" si="26"/>
        <v>23.879347953564306</v>
      </c>
      <c r="AI30" s="150">
        <f t="shared" si="26"/>
        <v>28.704657082099153</v>
      </c>
      <c r="AJ30" s="150">
        <f t="shared" si="26"/>
        <v>30.358248333147465</v>
      </c>
      <c r="AK30" s="150">
        <f t="shared" si="26"/>
        <v>34.032942258665521</v>
      </c>
      <c r="AL30" s="150">
        <f t="shared" si="26"/>
        <v>38.213847570643637</v>
      </c>
      <c r="AM30" s="150">
        <f t="shared" si="26"/>
        <v>38.568832067171058</v>
      </c>
      <c r="AN30" s="150">
        <f t="shared" si="26"/>
        <v>42.192559018087103</v>
      </c>
      <c r="AO30" s="150">
        <f t="shared" si="26"/>
        <v>47.957974296197548</v>
      </c>
      <c r="AP30" s="150">
        <f t="shared" si="26"/>
        <v>46.051290103227828</v>
      </c>
      <c r="AQ30" s="150">
        <f t="shared" si="26"/>
        <v>50.018141502296523</v>
      </c>
      <c r="AR30" s="150">
        <f ca="1">SUM(OFFSET(AF30,0,$B$2-1):OFFSET(AF30,0,$B$3-1))</f>
        <v>368.22460481203325</v>
      </c>
      <c r="AS30" s="169">
        <f t="shared" si="15"/>
        <v>418.24274631432979</v>
      </c>
      <c r="AT30" s="150">
        <f t="shared" ref="AT30:BE30" si="27">AT31+AT38+AT45+AT59</f>
        <v>39.911847415032341</v>
      </c>
      <c r="AU30" s="150">
        <f t="shared" si="27"/>
        <v>40.233330642226278</v>
      </c>
      <c r="AV30" s="150">
        <f t="shared" si="27"/>
        <v>41.854616118500651</v>
      </c>
      <c r="AW30" s="150">
        <f t="shared" si="27"/>
        <v>42.545697474949122</v>
      </c>
      <c r="AX30" s="150">
        <f t="shared" si="27"/>
        <v>43.663802709413275</v>
      </c>
      <c r="AY30" s="150">
        <f t="shared" si="27"/>
        <v>44.28910298050215</v>
      </c>
      <c r="AZ30" s="150">
        <f t="shared" si="27"/>
        <v>42.878514707177111</v>
      </c>
      <c r="BA30" s="150">
        <f t="shared" si="27"/>
        <v>43.997599527248966</v>
      </c>
      <c r="BB30" s="150">
        <f t="shared" si="27"/>
        <v>45.274120868946397</v>
      </c>
      <c r="BC30" s="150">
        <f t="shared" si="27"/>
        <v>47.544309901765786</v>
      </c>
      <c r="BD30" s="150">
        <f t="shared" si="27"/>
        <v>50.118515627861512</v>
      </c>
      <c r="BE30" s="150">
        <f t="shared" si="27"/>
        <v>52.138301177925385</v>
      </c>
      <c r="BF30" s="148">
        <f ca="1">SUM(OFFSET(AT30,0,$B$2-1):OFFSET(AT30,0,$B$3-1))</f>
        <v>482.31145797362353</v>
      </c>
      <c r="BG30" s="148">
        <f t="shared" si="7"/>
        <v>534.44975915154896</v>
      </c>
    </row>
    <row r="31" spans="1:59">
      <c r="A31" s="155" t="s">
        <v>100</v>
      </c>
      <c r="B31" s="166">
        <f t="shared" ca="1" si="4"/>
        <v>0.62258539613535469</v>
      </c>
      <c r="C31" s="165">
        <f t="shared" si="12"/>
        <v>23.385348919385301</v>
      </c>
      <c r="D31" s="170">
        <v>1.3027835146962206</v>
      </c>
      <c r="E31" s="170">
        <v>1.0747668176890799</v>
      </c>
      <c r="F31" s="170">
        <v>1.6039279399999999</v>
      </c>
      <c r="G31" s="170">
        <v>1.302703414</v>
      </c>
      <c r="H31" s="338">
        <v>1.314079816</v>
      </c>
      <c r="I31" s="338">
        <v>2.1078519</v>
      </c>
      <c r="J31" s="338">
        <v>2.0340000000000003</v>
      </c>
      <c r="K31" s="338">
        <v>1.9510000000000001</v>
      </c>
      <c r="L31" s="338">
        <v>2.2000000000000002</v>
      </c>
      <c r="M31" s="338">
        <v>2.4749430139999999</v>
      </c>
      <c r="N31" s="338">
        <v>2.7930000000000001</v>
      </c>
      <c r="O31" s="338">
        <v>3.2262925029999998</v>
      </c>
      <c r="P31" s="165">
        <f ca="1">SUM(OFFSET(Q31,0,$B$2-1):OFFSET(Q31,0,$B$3-1))</f>
        <v>31.322757589261144</v>
      </c>
      <c r="Q31" s="170">
        <f t="shared" ref="Q31:R31" si="28">SUM(Q32:Q37)</f>
        <v>3.6550947479999998</v>
      </c>
      <c r="R31" s="170">
        <f t="shared" si="28"/>
        <v>3.2898455888889</v>
      </c>
      <c r="S31" s="170">
        <f>1070.51640555557/1000</f>
        <v>1.0705164055555698</v>
      </c>
      <c r="T31" s="170">
        <v>3.04</v>
      </c>
      <c r="U31" s="338">
        <v>3.0110239044444902</v>
      </c>
      <c r="V31" s="338">
        <v>2.0718307927777313</v>
      </c>
      <c r="W31" s="338">
        <v>4.392666985888896</v>
      </c>
      <c r="X31" s="338">
        <v>4.7119907985555622</v>
      </c>
      <c r="Y31" s="338">
        <v>6.0797883651499927</v>
      </c>
      <c r="Z31" s="338">
        <f>SUM(Z32:Z37)</f>
        <v>0</v>
      </c>
      <c r="AA31" s="338">
        <f t="shared" ref="AA31:AB31" si="29">SUM(AA32:AA37)</f>
        <v>0</v>
      </c>
      <c r="AB31" s="338">
        <f t="shared" si="29"/>
        <v>0</v>
      </c>
      <c r="AE31" s="155" t="s">
        <v>100</v>
      </c>
      <c r="AF31" s="150">
        <f>SUM(AF32:AF37)</f>
        <v>2.1814874160118878</v>
      </c>
      <c r="AG31" s="150">
        <f t="shared" ref="AG31:AQ31" si="30">SUM(AG32:AG37)</f>
        <v>1.6679371433346</v>
      </c>
      <c r="AH31" s="150">
        <f t="shared" si="30"/>
        <v>2.1060348841686372</v>
      </c>
      <c r="AI31" s="150">
        <f t="shared" si="30"/>
        <v>2.634713446697166</v>
      </c>
      <c r="AJ31" s="150">
        <f t="shared" si="30"/>
        <v>2.5450794541708746</v>
      </c>
      <c r="AK31" s="150">
        <f t="shared" si="30"/>
        <v>2.1841462990443992</v>
      </c>
      <c r="AL31" s="150">
        <f t="shared" si="30"/>
        <v>2.3745210913378285</v>
      </c>
      <c r="AM31" s="150">
        <f t="shared" si="30"/>
        <v>2.5168892051402398</v>
      </c>
      <c r="AN31" s="150">
        <f t="shared" si="30"/>
        <v>2.7931086565069192</v>
      </c>
      <c r="AO31" s="150">
        <f t="shared" si="30"/>
        <v>3.0669580332972024</v>
      </c>
      <c r="AP31" s="150">
        <f t="shared" si="30"/>
        <v>2.7144671894891452</v>
      </c>
      <c r="AQ31" s="150">
        <f t="shared" si="30"/>
        <v>2.9212437379633025</v>
      </c>
      <c r="AR31" s="150">
        <f ca="1">SUM(OFFSET(AF31,0,$B$2-1):OFFSET(AF31,0,$B$3-1))</f>
        <v>26.785342819198899</v>
      </c>
      <c r="AS31" s="169">
        <f t="shared" si="15"/>
        <v>29.706586557162201</v>
      </c>
      <c r="AT31" s="150">
        <f>SUM(AT32:AT37)</f>
        <v>3.6442749772054648</v>
      </c>
      <c r="AU31" s="150">
        <f t="shared" ref="AU31:BE31" si="31">SUM(AU32:AU37)</f>
        <v>3.7531099224595112</v>
      </c>
      <c r="AV31" s="150">
        <f t="shared" si="31"/>
        <v>3.8619448677135599</v>
      </c>
      <c r="AW31" s="150">
        <f t="shared" si="31"/>
        <v>3.9707798129676077</v>
      </c>
      <c r="AX31" s="150">
        <f t="shared" si="31"/>
        <v>4.0796147582216546</v>
      </c>
      <c r="AY31" s="150">
        <f t="shared" si="31"/>
        <v>4.1834497034757021</v>
      </c>
      <c r="AZ31" s="150">
        <f t="shared" si="31"/>
        <v>4.2210763153964166</v>
      </c>
      <c r="BA31" s="150">
        <f t="shared" si="31"/>
        <v>4.327202927317142</v>
      </c>
      <c r="BB31" s="150">
        <f t="shared" si="31"/>
        <v>4.4333295392378567</v>
      </c>
      <c r="BC31" s="150">
        <f t="shared" si="31"/>
        <v>4.5394561511585714</v>
      </c>
      <c r="BD31" s="150">
        <f t="shared" si="31"/>
        <v>4.6445827630792849</v>
      </c>
      <c r="BE31" s="150">
        <f t="shared" si="31"/>
        <v>4.6519593749999997</v>
      </c>
      <c r="BF31" s="148">
        <f ca="1">SUM(OFFSET(AT31,0,$B$2-1):OFFSET(AT31,0,$B$3-1))</f>
        <v>45.658821738232774</v>
      </c>
      <c r="BG31" s="148">
        <f t="shared" si="7"/>
        <v>50.310781113232771</v>
      </c>
    </row>
    <row r="32" spans="1:59">
      <c r="A32" s="164" t="s">
        <v>101</v>
      </c>
      <c r="B32" s="166">
        <f t="shared" ca="1" si="4"/>
        <v>0.14812921887533884</v>
      </c>
      <c r="C32" s="165">
        <f t="shared" si="12"/>
        <v>9.4922254809999984</v>
      </c>
      <c r="D32" s="165">
        <v>0.27379294799999998</v>
      </c>
      <c r="E32" s="165">
        <v>0.15161437999999999</v>
      </c>
      <c r="F32" s="165">
        <v>0.23992795</v>
      </c>
      <c r="G32" s="165">
        <v>0.4</v>
      </c>
      <c r="H32" s="171">
        <v>0.24245346700000001</v>
      </c>
      <c r="I32" s="165">
        <v>0.65814423300000002</v>
      </c>
      <c r="J32" s="171">
        <v>1</v>
      </c>
      <c r="K32" s="171">
        <v>0.7</v>
      </c>
      <c r="L32" s="165">
        <v>1</v>
      </c>
      <c r="M32" s="165">
        <v>1.4</v>
      </c>
      <c r="N32" s="165">
        <v>1.7</v>
      </c>
      <c r="O32" s="165">
        <v>1.7262925029999998</v>
      </c>
      <c r="P32" s="165">
        <f ca="1">SUM(OFFSET(Q32,0,$B$2-1):OFFSET(Q32,0,$B$3-1))</f>
        <v>3.5176197338888997</v>
      </c>
      <c r="Q32" s="165">
        <v>2.1787741449999998</v>
      </c>
      <c r="R32" s="165">
        <f>1338.8455888889/1000</f>
        <v>1.3388455888888999</v>
      </c>
      <c r="S32" s="165"/>
      <c r="T32" s="165"/>
      <c r="U32" s="171"/>
      <c r="V32" s="165"/>
      <c r="W32" s="171"/>
      <c r="X32" s="171"/>
      <c r="Y32" s="165"/>
      <c r="Z32" s="165"/>
      <c r="AA32" s="165"/>
      <c r="AB32" s="165"/>
      <c r="AE32" s="164" t="s">
        <v>101</v>
      </c>
      <c r="AF32" s="148">
        <v>0.77158741601188796</v>
      </c>
      <c r="AG32" s="148">
        <v>0.43677314333459999</v>
      </c>
      <c r="AH32" s="148">
        <v>0.68095988416863706</v>
      </c>
      <c r="AI32" s="148">
        <v>0.84999545508076624</v>
      </c>
      <c r="AJ32" s="148">
        <v>0.97723613502859141</v>
      </c>
      <c r="AK32" s="148">
        <v>1.0749357783440561</v>
      </c>
      <c r="AL32" s="148">
        <v>1.026509271327652</v>
      </c>
      <c r="AM32" s="148">
        <v>0.98816392465670588</v>
      </c>
      <c r="AN32" s="148">
        <v>1.0679634638346498</v>
      </c>
      <c r="AO32" s="148">
        <v>1.1288</v>
      </c>
      <c r="AP32" s="148">
        <v>0.58649999999999991</v>
      </c>
      <c r="AQ32" s="148">
        <v>0.60349999999999993</v>
      </c>
      <c r="AR32" s="150">
        <f ca="1">SUM(OFFSET(AF32,0,$B$2-1):OFFSET(AF32,0,$B$3-1))</f>
        <v>9.5894244717875452</v>
      </c>
      <c r="AS32" s="169">
        <f t="shared" si="15"/>
        <v>10.192924471787546</v>
      </c>
      <c r="AT32" s="148">
        <v>1.8260987358860199</v>
      </c>
      <c r="AU32" s="148">
        <v>1.8619306689872901</v>
      </c>
      <c r="AV32" s="148">
        <v>1.8977626020885601</v>
      </c>
      <c r="AW32" s="148">
        <v>1.93359453518983</v>
      </c>
      <c r="AX32" s="148">
        <v>1.9694264682911</v>
      </c>
      <c r="AY32" s="148">
        <v>2.00525840139237</v>
      </c>
      <c r="AZ32" s="148">
        <v>1.9707153344936399</v>
      </c>
      <c r="BA32" s="148">
        <v>2.0046722675949198</v>
      </c>
      <c r="BB32" s="148">
        <v>2.0386292006961901</v>
      </c>
      <c r="BC32" s="148">
        <v>2.07258613379746</v>
      </c>
      <c r="BD32" s="148">
        <v>2.1055430668987301</v>
      </c>
      <c r="BE32" s="148">
        <v>2.0607500000000001</v>
      </c>
      <c r="BF32" s="148">
        <f ca="1">SUM(OFFSET(AT32,0,$B$2-1):OFFSET(AT32,0,$B$3-1))</f>
        <v>21.686217415316111</v>
      </c>
      <c r="BG32" s="148">
        <f t="shared" si="7"/>
        <v>23.74696741531611</v>
      </c>
    </row>
    <row r="33" spans="1:59">
      <c r="A33" s="164" t="s">
        <v>102</v>
      </c>
      <c r="B33" s="166">
        <f t="shared" ca="1" si="4"/>
        <v>9.7928657914789399E-2</v>
      </c>
      <c r="C33" s="165">
        <f t="shared" si="12"/>
        <v>3.6324027409999999</v>
      </c>
      <c r="D33" s="165">
        <v>0.2602931</v>
      </c>
      <c r="E33" s="165">
        <v>0.246070647</v>
      </c>
      <c r="F33" s="165">
        <v>0.39086260699999997</v>
      </c>
      <c r="G33" s="165">
        <v>0.3</v>
      </c>
      <c r="H33" s="171">
        <v>0.31</v>
      </c>
      <c r="I33" s="165">
        <v>0.425399478</v>
      </c>
      <c r="J33" s="171">
        <v>0.3</v>
      </c>
      <c r="K33" s="171">
        <v>0.30099999999999999</v>
      </c>
      <c r="L33" s="165">
        <v>0.2</v>
      </c>
      <c r="M33" s="165">
        <v>0.24877690899999999</v>
      </c>
      <c r="N33" s="165">
        <v>0.25</v>
      </c>
      <c r="O33" s="165">
        <v>0.4</v>
      </c>
      <c r="P33" s="165">
        <f ca="1">SUM(OFFSET(Q33,0,$B$2-1):OFFSET(Q33,0,$B$3-1))</f>
        <v>0.6382957279999999</v>
      </c>
      <c r="Q33" s="165">
        <v>0.35329572799999998</v>
      </c>
      <c r="R33" s="165">
        <f>285/1000</f>
        <v>0.28499999999999998</v>
      </c>
      <c r="S33" s="165"/>
      <c r="T33" s="165"/>
      <c r="U33" s="171"/>
      <c r="V33" s="165"/>
      <c r="W33" s="165"/>
      <c r="X33" s="165"/>
      <c r="Y33" s="165"/>
      <c r="Z33" s="165"/>
      <c r="AA33" s="165"/>
      <c r="AB33" s="165"/>
      <c r="AE33" s="164" t="s">
        <v>102</v>
      </c>
      <c r="AF33" s="148">
        <v>0.39689999999999998</v>
      </c>
      <c r="AG33" s="148">
        <v>0.25578000000000001</v>
      </c>
      <c r="AH33" s="148">
        <v>0.38220000000000004</v>
      </c>
      <c r="AI33" s="148">
        <v>0.41747999999999996</v>
      </c>
      <c r="AJ33" s="148">
        <v>0.41747999999999996</v>
      </c>
      <c r="AK33" s="148">
        <v>0.21168000000000001</v>
      </c>
      <c r="AL33" s="148">
        <v>0.23519999999999999</v>
      </c>
      <c r="AM33" s="148">
        <v>0.23519999999999999</v>
      </c>
      <c r="AN33" s="148">
        <v>0.24</v>
      </c>
      <c r="AO33" s="148">
        <v>0.2678666666666667</v>
      </c>
      <c r="AP33" s="148">
        <v>0.2678666666666667</v>
      </c>
      <c r="AQ33" s="148">
        <v>0.26799999999999996</v>
      </c>
      <c r="AR33" s="150">
        <f ca="1">SUM(OFFSET(AF33,0,$B$2-1):OFFSET(AF33,0,$B$3-1))</f>
        <v>3.3276533333333322</v>
      </c>
      <c r="AS33" s="169">
        <f t="shared" si="15"/>
        <v>3.595653333333332</v>
      </c>
      <c r="AT33" s="148">
        <v>0.42521111111111098</v>
      </c>
      <c r="AU33" s="148">
        <v>0.44775555555555502</v>
      </c>
      <c r="AV33" s="148">
        <v>0.4703</v>
      </c>
      <c r="AW33" s="148">
        <v>0.49284444444444397</v>
      </c>
      <c r="AX33" s="148">
        <v>0.51538888888888901</v>
      </c>
      <c r="AY33" s="148">
        <v>0.53293333333333304</v>
      </c>
      <c r="AZ33" s="148">
        <v>0.55464444444444405</v>
      </c>
      <c r="BA33" s="148">
        <v>0.57635555555555495</v>
      </c>
      <c r="BB33" s="148">
        <v>0.59806666666666597</v>
      </c>
      <c r="BC33" s="148">
        <v>0.61977777777777798</v>
      </c>
      <c r="BD33" s="148">
        <v>0.641488888888889</v>
      </c>
      <c r="BE33" s="148">
        <v>0.64319999999999999</v>
      </c>
      <c r="BF33" s="148">
        <f ca="1">SUM(OFFSET(AT33,0,$B$2-1):OFFSET(AT33,0,$B$3-1))</f>
        <v>5.8747666666666642</v>
      </c>
      <c r="BG33" s="148">
        <f t="shared" si="7"/>
        <v>6.5179666666666645</v>
      </c>
    </row>
    <row r="34" spans="1:59">
      <c r="A34" s="164" t="s">
        <v>103</v>
      </c>
      <c r="B34" s="166">
        <f t="shared" ca="1" si="4"/>
        <v>8.6914138876732328E-2</v>
      </c>
      <c r="C34" s="165">
        <f t="shared" si="12"/>
        <v>2.370750347</v>
      </c>
      <c r="D34" s="165">
        <v>0.225977083</v>
      </c>
      <c r="E34" s="165">
        <v>0.178487434</v>
      </c>
      <c r="F34" s="165">
        <v>0.29679293100000004</v>
      </c>
      <c r="G34" s="165">
        <v>0.202703414</v>
      </c>
      <c r="H34" s="171">
        <v>0.3</v>
      </c>
      <c r="I34" s="165">
        <v>0.31434077800000004</v>
      </c>
      <c r="J34" s="171">
        <v>0.13400000000000001</v>
      </c>
      <c r="K34" s="171">
        <v>0.14000000000000001</v>
      </c>
      <c r="L34" s="165">
        <v>0.1</v>
      </c>
      <c r="M34" s="165">
        <v>0.14144870700000001</v>
      </c>
      <c r="N34" s="165">
        <v>0.16700000000000001</v>
      </c>
      <c r="O34" s="165">
        <v>0.17</v>
      </c>
      <c r="P34" s="165">
        <f ca="1">SUM(OFFSET(Q34,0,$B$2-1):OFFSET(Q34,0,$B$3-1))</f>
        <v>0.29789821100000002</v>
      </c>
      <c r="Q34" s="165">
        <v>0.15789821100000001</v>
      </c>
      <c r="R34" s="165">
        <f>140/1000</f>
        <v>0.14000000000000001</v>
      </c>
      <c r="S34" s="165"/>
      <c r="T34" s="165"/>
      <c r="U34" s="171"/>
      <c r="V34" s="165"/>
      <c r="W34" s="171"/>
      <c r="X34" s="171"/>
      <c r="Y34" s="165"/>
      <c r="Z34" s="165"/>
      <c r="AA34" s="165"/>
      <c r="AB34" s="165"/>
      <c r="AE34" s="164" t="s">
        <v>103</v>
      </c>
      <c r="AF34" s="148">
        <v>0.2</v>
      </c>
      <c r="AG34" s="148">
        <v>0.2</v>
      </c>
      <c r="AH34" s="148">
        <v>0.2</v>
      </c>
      <c r="AI34" s="148">
        <v>0.2</v>
      </c>
      <c r="AJ34" s="148">
        <v>6.6666666666666666E-2</v>
      </c>
      <c r="AK34" s="148">
        <v>6.6666666666666666E-2</v>
      </c>
      <c r="AL34" s="148">
        <v>6.6666666666666666E-2</v>
      </c>
      <c r="AM34" s="148">
        <v>6.6666666666666666E-2</v>
      </c>
      <c r="AN34" s="148">
        <v>6.6666666666666666E-2</v>
      </c>
      <c r="AO34" s="148">
        <v>6.6666666666666666E-2</v>
      </c>
      <c r="AP34" s="148">
        <v>6.6666666666666666E-2</v>
      </c>
      <c r="AQ34" s="148">
        <v>6.6666666666666666E-2</v>
      </c>
      <c r="AR34" s="150">
        <f ca="1">SUM(OFFSET(AF34,0,$B$2-1):OFFSET(AF34,0,$B$3-1))</f>
        <v>1.2666666666666666</v>
      </c>
      <c r="AS34" s="169">
        <f t="shared" si="15"/>
        <v>1.3333333333333333</v>
      </c>
      <c r="AT34" s="148">
        <v>0.19625000000000001</v>
      </c>
      <c r="AU34" s="148">
        <v>0.21249999999999999</v>
      </c>
      <c r="AV34" s="148">
        <v>0.22875000000000001</v>
      </c>
      <c r="AW34" s="148">
        <v>0.245</v>
      </c>
      <c r="AX34" s="148">
        <v>0.26124999999999998</v>
      </c>
      <c r="AY34" s="148">
        <v>0.27750000000000002</v>
      </c>
      <c r="AZ34" s="148">
        <v>0.29375000000000001</v>
      </c>
      <c r="BA34" s="148">
        <v>0.31</v>
      </c>
      <c r="BB34" s="148">
        <v>0.32624999999999998</v>
      </c>
      <c r="BC34" s="148">
        <v>0.34250000000000003</v>
      </c>
      <c r="BD34" s="148">
        <v>0.35875000000000001</v>
      </c>
      <c r="BE34" s="148">
        <v>0.375</v>
      </c>
      <c r="BF34" s="148">
        <f ca="1">SUM(OFFSET(AT34,0,$B$2-1):OFFSET(AT34,0,$B$3-1))</f>
        <v>3.0524999999999998</v>
      </c>
      <c r="BG34" s="148">
        <f t="shared" si="7"/>
        <v>3.4274999999999998</v>
      </c>
    </row>
    <row r="35" spans="1:59">
      <c r="A35" s="164" t="s">
        <v>104</v>
      </c>
      <c r="B35" s="166">
        <f t="shared" ca="1" si="4"/>
        <v>0</v>
      </c>
      <c r="C35" s="165">
        <f t="shared" si="12"/>
        <v>3.1879249999999999E-3</v>
      </c>
      <c r="D35" s="165">
        <v>3.1879249999999999E-3</v>
      </c>
      <c r="E35" s="165"/>
      <c r="F35" s="165"/>
      <c r="G35" s="165"/>
      <c r="H35" s="171"/>
      <c r="I35" s="165"/>
      <c r="J35" s="171"/>
      <c r="K35" s="171"/>
      <c r="L35" s="165"/>
      <c r="M35" s="165"/>
      <c r="N35" s="165"/>
      <c r="O35" s="165"/>
      <c r="P35" s="165">
        <f ca="1">SUM(OFFSET(Q35,0,$B$2-1):OFFSET(Q35,0,$B$3-1))</f>
        <v>0</v>
      </c>
      <c r="Q35" s="165"/>
      <c r="R35" s="165"/>
      <c r="S35" s="165"/>
      <c r="T35" s="165"/>
      <c r="U35" s="171"/>
      <c r="V35" s="165"/>
      <c r="W35" s="171"/>
      <c r="X35" s="171"/>
      <c r="Y35" s="165"/>
      <c r="Z35" s="165"/>
      <c r="AA35" s="165"/>
      <c r="AB35" s="165"/>
      <c r="AE35" s="164" t="s">
        <v>104</v>
      </c>
      <c r="AF35" s="148">
        <v>8.0000000000000002E-3</v>
      </c>
      <c r="AG35" s="148">
        <v>1.0383999999999999E-2</v>
      </c>
      <c r="AH35" s="148">
        <v>1.7874999999999999E-2</v>
      </c>
      <c r="AI35" s="148">
        <v>6.1528509816513748E-2</v>
      </c>
      <c r="AJ35" s="148">
        <v>7.8023022499999997E-2</v>
      </c>
      <c r="AK35" s="148">
        <v>4.7384074445051244E-2</v>
      </c>
      <c r="AL35" s="148">
        <v>5.3448296864166918E-2</v>
      </c>
      <c r="AM35" s="148">
        <v>5.7020668628470418E-2</v>
      </c>
      <c r="AN35" s="148">
        <v>6.0024576276544638E-2</v>
      </c>
      <c r="AO35" s="148">
        <v>6.6089281663681262E-2</v>
      </c>
      <c r="AP35" s="148">
        <v>7.4332412767263004E-2</v>
      </c>
      <c r="AQ35" s="148">
        <v>7.6708506814016933E-2</v>
      </c>
      <c r="AR35" s="150">
        <f ca="1">SUM(OFFSET(AF35,0,$B$2-1):OFFSET(AF35,0,$B$3-1))</f>
        <v>0.53410984296169128</v>
      </c>
      <c r="AS35" s="169">
        <f t="shared" si="15"/>
        <v>0.61081834977570826</v>
      </c>
      <c r="AT35" s="148">
        <v>8.3333333333333297E-3</v>
      </c>
      <c r="AU35" s="148">
        <v>1.6666666666666701E-2</v>
      </c>
      <c r="AV35" s="148">
        <v>2.5000000000000001E-2</v>
      </c>
      <c r="AW35" s="148">
        <v>3.3333333333333298E-2</v>
      </c>
      <c r="AX35" s="148">
        <v>4.1666666666666699E-2</v>
      </c>
      <c r="AY35" s="148">
        <v>0.05</v>
      </c>
      <c r="AZ35" s="148">
        <v>5.83333333333333E-2</v>
      </c>
      <c r="BA35" s="148">
        <v>6.6666666666666693E-2</v>
      </c>
      <c r="BB35" s="148">
        <v>7.4999999999999997E-2</v>
      </c>
      <c r="BC35" s="148">
        <v>8.3333333333333301E-2</v>
      </c>
      <c r="BD35" s="148">
        <v>9.1666666666666702E-2</v>
      </c>
      <c r="BE35" s="148">
        <v>0.1</v>
      </c>
      <c r="BF35" s="148">
        <f ca="1">SUM(OFFSET(AT35,0,$B$2-1):OFFSET(AT35,0,$B$3-1))</f>
        <v>0.55000000000000004</v>
      </c>
      <c r="BG35" s="148">
        <f t="shared" si="7"/>
        <v>0.65</v>
      </c>
    </row>
    <row r="36" spans="1:59">
      <c r="A36" s="164" t="s">
        <v>105</v>
      </c>
      <c r="B36" s="166">
        <f t="shared" ca="1" si="4"/>
        <v>0.10392290737193047</v>
      </c>
      <c r="C36" s="165">
        <f t="shared" si="12"/>
        <v>0.85595774999999996</v>
      </c>
      <c r="D36" s="165"/>
      <c r="E36" s="165"/>
      <c r="F36" s="165"/>
      <c r="G36" s="165"/>
      <c r="H36" s="171"/>
      <c r="I36" s="165"/>
      <c r="J36" s="171">
        <v>0.1</v>
      </c>
      <c r="K36" s="171">
        <v>0.17</v>
      </c>
      <c r="L36" s="165">
        <v>0.1</v>
      </c>
      <c r="M36" s="165">
        <v>0.13895774999999999</v>
      </c>
      <c r="N36" s="165">
        <v>0.16700000000000001</v>
      </c>
      <c r="O36" s="165">
        <v>0.18</v>
      </c>
      <c r="P36" s="165">
        <f ca="1">SUM(OFFSET(Q36,0,$B$2-1):OFFSET(Q36,0,$B$3-1))</f>
        <v>1.044243354</v>
      </c>
      <c r="Q36" s="165">
        <v>0.19724335400000001</v>
      </c>
      <c r="R36" s="165">
        <f>847/1000</f>
        <v>0.84699999999999998</v>
      </c>
      <c r="S36" s="165"/>
      <c r="T36" s="165"/>
      <c r="U36" s="171"/>
      <c r="V36" s="165"/>
      <c r="W36" s="171"/>
      <c r="X36" s="171"/>
      <c r="Y36" s="165"/>
      <c r="Z36" s="165"/>
      <c r="AA36" s="165"/>
      <c r="AB36" s="165"/>
      <c r="AE36" s="164" t="s">
        <v>105</v>
      </c>
      <c r="AF36" s="148">
        <v>0.18</v>
      </c>
      <c r="AG36" s="148">
        <v>0.14000000000000001</v>
      </c>
      <c r="AH36" s="148">
        <v>0.2</v>
      </c>
      <c r="AI36" s="148">
        <v>0.48070948179988632</v>
      </c>
      <c r="AJ36" s="148">
        <v>0.79734029664228323</v>
      </c>
      <c r="AK36" s="148">
        <v>0.5626464462552917</v>
      </c>
      <c r="AL36" s="148">
        <v>0.72603018981267642</v>
      </c>
      <c r="AM36" s="148">
        <v>0.90317127852173051</v>
      </c>
      <c r="AN36" s="148">
        <v>1.0792872830623912</v>
      </c>
      <c r="AO36" s="148">
        <v>1.2583687516335209</v>
      </c>
      <c r="AP36" s="148">
        <v>1.4399347767218822</v>
      </c>
      <c r="AQ36" s="148">
        <v>1.6272018978159521</v>
      </c>
      <c r="AR36" s="150">
        <f ca="1">SUM(OFFSET(AF36,0,$B$2-1):OFFSET(AF36,0,$B$3-1))</f>
        <v>7.7674885044496627</v>
      </c>
      <c r="AS36" s="169">
        <f t="shared" si="15"/>
        <v>9.3946904022656152</v>
      </c>
      <c r="AT36" s="148">
        <v>0.73170833333333296</v>
      </c>
      <c r="AU36" s="148">
        <v>0.75091666666666701</v>
      </c>
      <c r="AV36" s="148">
        <v>0.77012499999999995</v>
      </c>
      <c r="AW36" s="148">
        <v>0.789333333333333</v>
      </c>
      <c r="AX36" s="148">
        <v>0.80854166666666605</v>
      </c>
      <c r="AY36" s="148">
        <v>0.82774999999999999</v>
      </c>
      <c r="AZ36" s="148">
        <v>0.84695833333333304</v>
      </c>
      <c r="BA36" s="148">
        <v>0.86616666666666697</v>
      </c>
      <c r="BB36" s="148">
        <v>0.88537500000000002</v>
      </c>
      <c r="BC36" s="148">
        <v>0.90458333333333296</v>
      </c>
      <c r="BD36" s="148">
        <v>0.92379166666666601</v>
      </c>
      <c r="BE36" s="148">
        <v>0.94299999999999995</v>
      </c>
      <c r="BF36" s="148">
        <f ca="1">SUM(OFFSET(AT36,0,$B$2-1):OFFSET(AT36,0,$B$3-1))</f>
        <v>9.1052499999999981</v>
      </c>
      <c r="BG36" s="148">
        <f t="shared" si="7"/>
        <v>10.048249999999998</v>
      </c>
    </row>
    <row r="37" spans="1:59">
      <c r="A37" s="164" t="s">
        <v>106</v>
      </c>
      <c r="B37" s="166">
        <f t="shared" ca="1" si="4"/>
        <v>0.24440195867777825</v>
      </c>
      <c r="C37" s="165">
        <f t="shared" si="12"/>
        <v>7.0618246753853002</v>
      </c>
      <c r="D37" s="165">
        <v>0.53953245869622057</v>
      </c>
      <c r="E37" s="165">
        <v>0.49859435668907987</v>
      </c>
      <c r="F37" s="165">
        <v>0.67634445199999993</v>
      </c>
      <c r="G37" s="165">
        <v>0.4</v>
      </c>
      <c r="H37" s="171">
        <v>0.46162634899999999</v>
      </c>
      <c r="I37" s="165">
        <v>0.70996741100000005</v>
      </c>
      <c r="J37" s="171">
        <v>0.5</v>
      </c>
      <c r="K37" s="171">
        <v>0.64</v>
      </c>
      <c r="L37" s="165">
        <v>0.8</v>
      </c>
      <c r="M37" s="165">
        <v>0.54575964799999999</v>
      </c>
      <c r="N37" s="165">
        <v>0.54</v>
      </c>
      <c r="O37" s="165">
        <v>0.75</v>
      </c>
      <c r="P37" s="165">
        <f ca="1">SUM(OFFSET(Q37,0,$B$2-1):OFFSET(Q37,0,$B$3-1))</f>
        <v>1.44688331</v>
      </c>
      <c r="Q37" s="165">
        <v>0.7678833100000001</v>
      </c>
      <c r="R37" s="165">
        <f>679/1000</f>
        <v>0.67900000000000005</v>
      </c>
      <c r="S37" s="165"/>
      <c r="T37" s="165"/>
      <c r="U37" s="171"/>
      <c r="V37" s="165"/>
      <c r="W37" s="171"/>
      <c r="X37" s="171"/>
      <c r="Y37" s="165"/>
      <c r="Z37" s="165"/>
      <c r="AA37" s="165"/>
      <c r="AB37" s="165"/>
      <c r="AE37" s="164" t="s">
        <v>106</v>
      </c>
      <c r="AF37" s="148">
        <v>0.625</v>
      </c>
      <c r="AG37" s="148">
        <v>0.625</v>
      </c>
      <c r="AH37" s="148">
        <v>0.625</v>
      </c>
      <c r="AI37" s="148">
        <v>0.625</v>
      </c>
      <c r="AJ37" s="148">
        <v>0.20833333333333334</v>
      </c>
      <c r="AK37" s="148">
        <v>0.22083333333333333</v>
      </c>
      <c r="AL37" s="148">
        <v>0.26666666666666672</v>
      </c>
      <c r="AM37" s="148">
        <v>0.26666666666666672</v>
      </c>
      <c r="AN37" s="148">
        <v>0.27916666666666667</v>
      </c>
      <c r="AO37" s="148">
        <v>0.27916666666666667</v>
      </c>
      <c r="AP37" s="148">
        <v>0.27916666666666667</v>
      </c>
      <c r="AQ37" s="148">
        <v>0.27916666666666667</v>
      </c>
      <c r="AR37" s="150">
        <f ca="1">SUM(OFFSET(AF37,0,$B$2-1):OFFSET(AF37,0,$B$3-1))</f>
        <v>4.3</v>
      </c>
      <c r="AS37" s="169">
        <f t="shared" si="15"/>
        <v>4.5791666666666666</v>
      </c>
      <c r="AT37" s="148">
        <v>0.45667346354166699</v>
      </c>
      <c r="AU37" s="148">
        <v>0.463340364583333</v>
      </c>
      <c r="AV37" s="148">
        <v>0.470007265625</v>
      </c>
      <c r="AW37" s="148">
        <v>0.47667416666666701</v>
      </c>
      <c r="AX37" s="148">
        <v>0.48334106770833302</v>
      </c>
      <c r="AY37" s="148">
        <v>0.49000796875000002</v>
      </c>
      <c r="AZ37" s="148">
        <v>0.49667486979166697</v>
      </c>
      <c r="BA37" s="148">
        <v>0.50334177083333298</v>
      </c>
      <c r="BB37" s="148">
        <v>0.51000867187499999</v>
      </c>
      <c r="BC37" s="148">
        <v>0.51667557291666699</v>
      </c>
      <c r="BD37" s="148">
        <v>0.523342473958333</v>
      </c>
      <c r="BE37" s="148">
        <v>0.530009375</v>
      </c>
      <c r="BF37" s="148">
        <f ca="1">SUM(OFFSET(AT37,0,$B$2-1):OFFSET(AT37,0,$B$3-1))</f>
        <v>5.3900876562499995</v>
      </c>
      <c r="BG37" s="148">
        <f t="shared" si="7"/>
        <v>5.9200970312499992</v>
      </c>
    </row>
    <row r="38" spans="1:59">
      <c r="A38" s="155" t="s">
        <v>107</v>
      </c>
      <c r="B38" s="166">
        <f t="shared" ca="1" si="4"/>
        <v>0.43883173990313556</v>
      </c>
      <c r="C38" s="165">
        <f t="shared" si="12"/>
        <v>16.710402068088378</v>
      </c>
      <c r="D38" s="170">
        <v>0.68510333800000001</v>
      </c>
      <c r="E38" s="170">
        <v>0.94645771900000009</v>
      </c>
      <c r="F38" s="170">
        <v>0.61938522808033802</v>
      </c>
      <c r="G38" s="170">
        <v>0.72008394599999992</v>
      </c>
      <c r="H38" s="338">
        <v>1.0852278259999999</v>
      </c>
      <c r="I38" s="338">
        <v>1.4515887759999999</v>
      </c>
      <c r="J38" s="338">
        <v>1.7002768870080409</v>
      </c>
      <c r="K38" s="338">
        <v>1.1309999999999998</v>
      </c>
      <c r="L38" s="338">
        <v>1.6880000000000002</v>
      </c>
      <c r="M38" s="338">
        <v>1.5242783479999999</v>
      </c>
      <c r="N38" s="338">
        <v>2.1589999999999998</v>
      </c>
      <c r="O38" s="338">
        <v>3</v>
      </c>
      <c r="P38" s="165">
        <f ca="1">SUM(OFFSET(Q38,0,$B$2-1):OFFSET(Q38,0,$B$3-1))</f>
        <v>24.115376310543663</v>
      </c>
      <c r="Q38" s="170">
        <f t="shared" ref="Q38:S38" si="32">SUM(Q39:Q44)</f>
        <v>2.9009267922103348</v>
      </c>
      <c r="R38" s="170">
        <f t="shared" si="32"/>
        <v>4.0249999999999995</v>
      </c>
      <c r="S38" s="170">
        <f t="shared" si="32"/>
        <v>2.9079999999999999</v>
      </c>
      <c r="T38" s="170">
        <v>3.0259999999999998</v>
      </c>
      <c r="U38" s="338">
        <v>3.2895893850000002</v>
      </c>
      <c r="V38" s="338">
        <v>1.2558601333333299</v>
      </c>
      <c r="W38" s="338">
        <v>2.2149999999999999</v>
      </c>
      <c r="X38" s="338">
        <v>2.0910000000000002</v>
      </c>
      <c r="Y38" s="338">
        <v>2.4039999999999999</v>
      </c>
      <c r="Z38" s="338">
        <f t="shared" ref="Z38:AB38" si="33">SUM(Z39:Z44)</f>
        <v>0</v>
      </c>
      <c r="AA38" s="338">
        <f t="shared" si="33"/>
        <v>0</v>
      </c>
      <c r="AB38" s="338">
        <f t="shared" si="33"/>
        <v>0</v>
      </c>
      <c r="AE38" s="155" t="s">
        <v>107</v>
      </c>
      <c r="AF38" s="150">
        <f>SUM(AF39:AF44)</f>
        <v>0.99067893196398604</v>
      </c>
      <c r="AG38" s="150">
        <f t="shared" ref="AG38:AQ38" si="34">SUM(AG39:AG44)</f>
        <v>1.0388930263598724</v>
      </c>
      <c r="AH38" s="150">
        <f t="shared" si="34"/>
        <v>1.3627255952677708</v>
      </c>
      <c r="AI38" s="150">
        <f t="shared" si="34"/>
        <v>1.8770162875880207</v>
      </c>
      <c r="AJ38" s="150">
        <f t="shared" si="34"/>
        <v>1.6780868862694795</v>
      </c>
      <c r="AK38" s="150">
        <f t="shared" si="34"/>
        <v>1.1860732937215062</v>
      </c>
      <c r="AL38" s="150">
        <f>SUM(AL39:AL44)</f>
        <v>1.4027394534511499</v>
      </c>
      <c r="AM38" s="150">
        <f t="shared" si="34"/>
        <v>1.6816326977786906</v>
      </c>
      <c r="AN38" s="150">
        <f t="shared" si="34"/>
        <v>1.9846592156355427</v>
      </c>
      <c r="AO38" s="150">
        <f t="shared" si="34"/>
        <v>2.3250087846743592</v>
      </c>
      <c r="AP38" s="150">
        <f t="shared" si="34"/>
        <v>2.6393059233963894</v>
      </c>
      <c r="AQ38" s="150">
        <f t="shared" si="34"/>
        <v>2.9738626241100299</v>
      </c>
      <c r="AR38" s="150">
        <f ca="1">SUM(OFFSET(AF38,0,$B$2-1):OFFSET(AF38,0,$B$3-1))</f>
        <v>18.166820096106768</v>
      </c>
      <c r="AS38" s="169">
        <f t="shared" si="15"/>
        <v>21.140682720216798</v>
      </c>
      <c r="AT38" s="150">
        <f>SUM(AT39:AT44)</f>
        <v>3.1453695287285965</v>
      </c>
      <c r="AU38" s="150">
        <f t="shared" ref="AU38:BE38" si="35">SUM(AU39:AU44)</f>
        <v>3.421299462098836</v>
      </c>
      <c r="AV38" s="150">
        <f t="shared" si="35"/>
        <v>3.7376505430334364</v>
      </c>
      <c r="AW38" s="150">
        <f t="shared" si="35"/>
        <v>4.0628269310542064</v>
      </c>
      <c r="AX38" s="150">
        <f t="shared" si="35"/>
        <v>4.3579039057513071</v>
      </c>
      <c r="AY38" s="150">
        <f t="shared" si="35"/>
        <v>4.6481853288403618</v>
      </c>
      <c r="AZ38" s="150">
        <f t="shared" si="35"/>
        <v>4.8631072138082514</v>
      </c>
      <c r="BA38" s="150">
        <f t="shared" si="35"/>
        <v>5.0443165724016357</v>
      </c>
      <c r="BB38" s="150">
        <f t="shared" si="35"/>
        <v>5.2243304773988148</v>
      </c>
      <c r="BC38" s="150">
        <f t="shared" si="35"/>
        <v>5.3523552957867935</v>
      </c>
      <c r="BD38" s="150">
        <f t="shared" si="35"/>
        <v>5.4700460572599843</v>
      </c>
      <c r="BE38" s="150">
        <f t="shared" si="35"/>
        <v>5.6261913847306229</v>
      </c>
      <c r="BF38" s="148">
        <f ca="1">SUM(OFFSET(AT38,0,$B$2-1):OFFSET(AT38,0,$B$3-1))</f>
        <v>49.327391316162227</v>
      </c>
      <c r="BG38" s="148">
        <f t="shared" si="7"/>
        <v>54.953582700892852</v>
      </c>
    </row>
    <row r="39" spans="1:59">
      <c r="A39" s="164" t="s">
        <v>108</v>
      </c>
      <c r="B39" s="166">
        <f t="shared" ca="1" si="4"/>
        <v>0.12991147883888632</v>
      </c>
      <c r="C39" s="165">
        <f t="shared" si="12"/>
        <v>8.3969883639284877</v>
      </c>
      <c r="D39" s="165">
        <v>0.29460997500000002</v>
      </c>
      <c r="E39" s="165">
        <v>0.47708613900000002</v>
      </c>
      <c r="F39" s="165">
        <v>0.26919553328442697</v>
      </c>
      <c r="G39" s="165">
        <v>0.26555741999999999</v>
      </c>
      <c r="H39" s="171">
        <v>0.46876775399999998</v>
      </c>
      <c r="I39" s="165">
        <v>0.76670897299999996</v>
      </c>
      <c r="J39" s="171">
        <v>0.89806256964406206</v>
      </c>
      <c r="K39" s="171">
        <v>0.56799999999999995</v>
      </c>
      <c r="L39" s="165">
        <v>0.82399999999999995</v>
      </c>
      <c r="M39" s="165">
        <v>0.8</v>
      </c>
      <c r="N39" s="165">
        <v>1.1639999999999999</v>
      </c>
      <c r="O39" s="165">
        <v>1.601</v>
      </c>
      <c r="P39" s="165">
        <f ca="1">SUM(OFFSET(Q39,0,$B$2-1):OFFSET(Q39,0,$B$3-1))</f>
        <v>4.7827320228236898</v>
      </c>
      <c r="Q39" s="165">
        <v>1.50873202282369</v>
      </c>
      <c r="R39" s="165">
        <f>1942/1000</f>
        <v>1.9419999999999999</v>
      </c>
      <c r="S39" s="165">
        <v>1.3320000000000001</v>
      </c>
      <c r="T39" s="165"/>
      <c r="U39" s="171"/>
      <c r="V39" s="165"/>
      <c r="W39" s="165"/>
      <c r="X39" s="165"/>
      <c r="Y39" s="165"/>
      <c r="Z39" s="165"/>
      <c r="AA39" s="165"/>
      <c r="AB39" s="165"/>
      <c r="AE39" s="164" t="s">
        <v>108</v>
      </c>
      <c r="AF39" s="148">
        <v>0.24110741196398602</v>
      </c>
      <c r="AG39" s="148">
        <v>0.29570405488081097</v>
      </c>
      <c r="AH39" s="148">
        <v>0.38082404040189061</v>
      </c>
      <c r="AI39" s="148">
        <v>0.48707347228698639</v>
      </c>
      <c r="AJ39" s="148">
        <v>0.30461399458278016</v>
      </c>
      <c r="AK39" s="148">
        <v>0.3717974807292837</v>
      </c>
      <c r="AL39" s="148">
        <v>0.43508284679370401</v>
      </c>
      <c r="AM39" s="148">
        <v>0.49410534156153074</v>
      </c>
      <c r="AN39" s="148">
        <v>0.55826947099449264</v>
      </c>
      <c r="AO39" s="148">
        <v>0.62876947099449254</v>
      </c>
      <c r="AP39" s="148">
        <v>0.69941855724449264</v>
      </c>
      <c r="AQ39" s="148">
        <v>0.77153997851324241</v>
      </c>
      <c r="AR39" s="150">
        <f ca="1">SUM(OFFSET(AF39,0,$B$2-1):OFFSET(AF39,0,$B$3-1))</f>
        <v>4.8967661424344504</v>
      </c>
      <c r="AS39" s="169">
        <f t="shared" si="15"/>
        <v>5.668306120947693</v>
      </c>
      <c r="AT39" s="148">
        <v>1.9824685471159</v>
      </c>
      <c r="AU39" s="148">
        <v>2.2078905479136099</v>
      </c>
      <c r="AV39" s="148">
        <v>2.4684605486388098</v>
      </c>
      <c r="AW39" s="148">
        <v>2.7343585492914801</v>
      </c>
      <c r="AX39" s="148">
        <v>2.96672204987164</v>
      </c>
      <c r="AY39" s="148">
        <v>3.1909085503792798</v>
      </c>
      <c r="AZ39" s="148">
        <v>3.3364005508143899</v>
      </c>
      <c r="BA39" s="148">
        <v>3.44488555117699</v>
      </c>
      <c r="BB39" s="148">
        <v>3.5489160514670699</v>
      </c>
      <c r="BC39" s="148">
        <v>3.5977295516846302</v>
      </c>
      <c r="BD39" s="148">
        <v>3.6330085518296702</v>
      </c>
      <c r="BE39" s="148">
        <v>3.7035660056565201</v>
      </c>
      <c r="BF39" s="148">
        <f ca="1">SUM(OFFSET(AT39,0,$B$2-1):OFFSET(AT39,0,$B$3-1))</f>
        <v>33.111749050183469</v>
      </c>
      <c r="BG39" s="148">
        <f t="shared" si="7"/>
        <v>36.815315055839989</v>
      </c>
    </row>
    <row r="40" spans="1:59">
      <c r="A40" s="164" t="s">
        <v>109</v>
      </c>
      <c r="B40" s="166">
        <f t="shared" ca="1" si="4"/>
        <v>0.33421933539011511</v>
      </c>
      <c r="C40" s="165">
        <f t="shared" si="12"/>
        <v>1.9896564535164105</v>
      </c>
      <c r="D40" s="165">
        <v>0.108017034</v>
      </c>
      <c r="E40" s="165">
        <v>0.11051804</v>
      </c>
      <c r="F40" s="165">
        <v>6.0343175230369701E-2</v>
      </c>
      <c r="G40" s="165">
        <v>6.9001623999999998E-2</v>
      </c>
      <c r="H40" s="171">
        <v>0.13314975800000001</v>
      </c>
      <c r="I40" s="165">
        <v>0.237190767</v>
      </c>
      <c r="J40" s="171">
        <v>0.27782660328604103</v>
      </c>
      <c r="K40" s="171">
        <v>0.13100000000000001</v>
      </c>
      <c r="L40" s="165">
        <v>0.184</v>
      </c>
      <c r="M40" s="165">
        <v>0.16160945199999999</v>
      </c>
      <c r="N40" s="165">
        <v>0.22800000000000001</v>
      </c>
      <c r="O40" s="165">
        <v>0.28899999999999998</v>
      </c>
      <c r="P40" s="165">
        <f ca="1">SUM(OFFSET(Q40,0,$B$2-1):OFFSET(Q40,0,$B$3-1))</f>
        <v>1.040133277538005</v>
      </c>
      <c r="Q40" s="165">
        <v>0.38013327753800502</v>
      </c>
      <c r="R40" s="165">
        <f>454/1000</f>
        <v>0.45400000000000001</v>
      </c>
      <c r="S40" s="165">
        <v>0.20599999999999999</v>
      </c>
      <c r="T40" s="165"/>
      <c r="U40" s="171"/>
      <c r="V40" s="165"/>
      <c r="W40" s="171"/>
      <c r="X40" s="171"/>
      <c r="Y40" s="165"/>
      <c r="Z40" s="165"/>
      <c r="AA40" s="165"/>
      <c r="AB40" s="165"/>
      <c r="AE40" s="164" t="s">
        <v>109</v>
      </c>
      <c r="AF40" s="148">
        <v>0.31752000000000002</v>
      </c>
      <c r="AG40" s="148">
        <v>0.204624</v>
      </c>
      <c r="AH40" s="148">
        <v>0.30576000000000003</v>
      </c>
      <c r="AI40" s="148">
        <v>0.333984</v>
      </c>
      <c r="AJ40" s="148">
        <v>0.333984</v>
      </c>
      <c r="AK40" s="148">
        <v>0.10584</v>
      </c>
      <c r="AL40" s="148">
        <v>0.1176</v>
      </c>
      <c r="AM40" s="148">
        <v>0.1176</v>
      </c>
      <c r="AN40" s="148">
        <v>0.12</v>
      </c>
      <c r="AO40" s="148">
        <v>0.13393333333333335</v>
      </c>
      <c r="AP40" s="148">
        <v>0.13393333333333335</v>
      </c>
      <c r="AQ40" s="148">
        <v>0.13399999999999998</v>
      </c>
      <c r="AR40" s="150">
        <f ca="1">SUM(OFFSET(AF40,0,$B$2-1):OFFSET(AF40,0,$B$3-1))</f>
        <v>2.2247786666666665</v>
      </c>
      <c r="AS40" s="169">
        <f t="shared" si="15"/>
        <v>2.3587786666666664</v>
      </c>
      <c r="AT40" s="148">
        <v>0.22445462962963</v>
      </c>
      <c r="AU40" s="148">
        <v>0.230798148148148</v>
      </c>
      <c r="AV40" s="148">
        <v>0.237141666666667</v>
      </c>
      <c r="AW40" s="148">
        <v>0.243485185185185</v>
      </c>
      <c r="AX40" s="148">
        <v>0.249828703703704</v>
      </c>
      <c r="AY40" s="148">
        <v>0.25617222222222202</v>
      </c>
      <c r="AZ40" s="148">
        <v>0.26251574074074102</v>
      </c>
      <c r="BA40" s="148">
        <v>0.26885925925925902</v>
      </c>
      <c r="BB40" s="148">
        <v>0.27520277777777802</v>
      </c>
      <c r="BC40" s="148">
        <v>0.28154629629629602</v>
      </c>
      <c r="BD40" s="148">
        <v>0.28788981481481501</v>
      </c>
      <c r="BE40" s="148">
        <v>0.29423333333333301</v>
      </c>
      <c r="BF40" s="148">
        <f ca="1">SUM(OFFSET(AT40,0,$B$2-1):OFFSET(AT40,0,$B$3-1))</f>
        <v>2.8178944444444451</v>
      </c>
      <c r="BG40" s="148">
        <f t="shared" si="7"/>
        <v>3.1121277777777783</v>
      </c>
    </row>
    <row r="41" spans="1:59">
      <c r="A41" s="164" t="s">
        <v>110</v>
      </c>
      <c r="B41" s="166">
        <f t="shared" ca="1" si="4"/>
        <v>0.18891668867104661</v>
      </c>
      <c r="C41" s="165">
        <f t="shared" si="12"/>
        <v>1.0946801299533784</v>
      </c>
      <c r="D41" s="165">
        <v>1.3066029999999999E-2</v>
      </c>
      <c r="E41" s="165">
        <v>6.9890319000000006E-2</v>
      </c>
      <c r="F41" s="165">
        <v>5.97383134420124E-2</v>
      </c>
      <c r="G41" s="165">
        <v>7.7581478999999995E-2</v>
      </c>
      <c r="H41" s="171">
        <v>0.100396599</v>
      </c>
      <c r="I41" s="165">
        <v>0.10532818100000001</v>
      </c>
      <c r="J41" s="171">
        <v>0.123373144511366</v>
      </c>
      <c r="K41" s="171">
        <v>8.1000000000000003E-2</v>
      </c>
      <c r="L41" s="165">
        <v>0.11600000000000001</v>
      </c>
      <c r="M41" s="165">
        <v>0.128306064</v>
      </c>
      <c r="N41" s="165">
        <v>0.1</v>
      </c>
      <c r="O41" s="165">
        <v>0.12</v>
      </c>
      <c r="P41" s="165">
        <f ca="1">SUM(OFFSET(Q41,0,$B$2-1):OFFSET(Q41,0,$B$3-1))</f>
        <v>0.72686716316714473</v>
      </c>
      <c r="Q41" s="165">
        <v>8.0867163167144693E-2</v>
      </c>
      <c r="R41" s="165">
        <f>368/1000</f>
        <v>0.36799999999999999</v>
      </c>
      <c r="S41" s="165">
        <v>0.27800000000000002</v>
      </c>
      <c r="T41" s="165"/>
      <c r="U41" s="171"/>
      <c r="V41" s="165"/>
      <c r="W41" s="171"/>
      <c r="X41" s="171"/>
      <c r="Y41" s="165"/>
      <c r="Z41" s="165"/>
      <c r="AA41" s="165"/>
      <c r="AB41" s="165"/>
      <c r="AE41" s="164" t="s">
        <v>110</v>
      </c>
      <c r="AF41" s="148">
        <v>8.6400000000000001E-3</v>
      </c>
      <c r="AG41" s="148">
        <v>8.3291314790614242E-3</v>
      </c>
      <c r="AH41" s="148">
        <v>9.2417148658803135E-3</v>
      </c>
      <c r="AI41" s="148">
        <v>0.10215439265849574</v>
      </c>
      <c r="AJ41" s="148">
        <v>3.5125692522531664E-2</v>
      </c>
      <c r="AK41" s="148">
        <v>3.8462645370133663E-2</v>
      </c>
      <c r="AL41" s="148">
        <v>5.245270783048743E-2</v>
      </c>
      <c r="AM41" s="148">
        <v>5.7032294153254511E-2</v>
      </c>
      <c r="AN41" s="148">
        <v>6.1818814752300666E-2</v>
      </c>
      <c r="AO41" s="148">
        <v>8.0178121761727839E-2</v>
      </c>
      <c r="AP41" s="148">
        <v>8.6423361635847712E-2</v>
      </c>
      <c r="AQ41" s="148">
        <v>9.2918161922300568E-2</v>
      </c>
      <c r="AR41" s="150">
        <f ca="1">SUM(OFFSET(AF41,0,$B$2-1):OFFSET(AF41,0,$B$3-1))</f>
        <v>0.53985887702972102</v>
      </c>
      <c r="AS41" s="169">
        <f t="shared" si="15"/>
        <v>0.63277703895202153</v>
      </c>
      <c r="AT41" s="148">
        <v>0.26774381531640001</v>
      </c>
      <c r="AU41" s="148">
        <v>0.27273406270374401</v>
      </c>
      <c r="AV41" s="148">
        <v>0.279244291061292</v>
      </c>
      <c r="AW41" s="148">
        <v>0.28720190991087402</v>
      </c>
      <c r="AX41" s="148">
        <v>0.29654469884262902</v>
      </c>
      <c r="AY41" s="148">
        <v>0.307219019572193</v>
      </c>
      <c r="AZ41" s="148">
        <v>0.31917838558645301</v>
      </c>
      <c r="BA41" s="148">
        <v>0.33238230863205198</v>
      </c>
      <c r="BB41" s="148">
        <v>0.3467953614873</v>
      </c>
      <c r="BC41" s="148">
        <v>0.3623864111392</v>
      </c>
      <c r="BD41" s="148">
        <v>0.37912798728216501</v>
      </c>
      <c r="BE41" s="148">
        <v>0.39699575907410301</v>
      </c>
      <c r="BF41" s="148">
        <f ca="1">SUM(OFFSET(AT41,0,$B$2-1):OFFSET(AT41,0,$B$3-1))</f>
        <v>3.4505582515343014</v>
      </c>
      <c r="BG41" s="148">
        <f t="shared" si="7"/>
        <v>3.8475540106084045</v>
      </c>
    </row>
    <row r="42" spans="1:59">
      <c r="A42" s="164" t="s">
        <v>111</v>
      </c>
      <c r="B42" s="166">
        <f t="shared" ca="1" si="4"/>
        <v>0</v>
      </c>
      <c r="C42" s="165">
        <f t="shared" si="12"/>
        <v>0</v>
      </c>
      <c r="D42" s="165"/>
      <c r="E42" s="165"/>
      <c r="F42" s="165"/>
      <c r="G42" s="165"/>
      <c r="H42" s="171"/>
      <c r="I42" s="165"/>
      <c r="J42" s="171"/>
      <c r="K42" s="171"/>
      <c r="L42" s="165"/>
      <c r="M42" s="165"/>
      <c r="N42" s="165"/>
      <c r="O42" s="165"/>
      <c r="P42" s="165">
        <f ca="1">SUM(OFFSET(Q42,0,$B$2-1):OFFSET(Q42,0,$B$3-1))</f>
        <v>0</v>
      </c>
      <c r="Q42" s="165"/>
      <c r="R42" s="165"/>
      <c r="S42" s="165"/>
      <c r="T42" s="165"/>
      <c r="U42" s="171"/>
      <c r="V42" s="165"/>
      <c r="W42" s="171"/>
      <c r="X42" s="171"/>
      <c r="Y42" s="165"/>
      <c r="Z42" s="165"/>
      <c r="AA42" s="165"/>
      <c r="AB42" s="165"/>
      <c r="AE42" s="164" t="s">
        <v>111</v>
      </c>
      <c r="AF42" s="148">
        <v>4.6080000000000001E-3</v>
      </c>
      <c r="AG42" s="148">
        <v>9.5923199999999997E-3</v>
      </c>
      <c r="AH42" s="148">
        <v>1.8172319999999999E-2</v>
      </c>
      <c r="AI42" s="148">
        <v>4.7706004711926597E-2</v>
      </c>
      <c r="AJ42" s="148">
        <v>8.5157055511926594E-2</v>
      </c>
      <c r="AK42" s="148">
        <v>0.13064576697917579</v>
      </c>
      <c r="AL42" s="148">
        <v>5.6861291240242515E-2</v>
      </c>
      <c r="AM42" s="148">
        <v>6.1639576523986363E-2</v>
      </c>
      <c r="AN42" s="148">
        <v>7.6645720593122524E-2</v>
      </c>
      <c r="AO42" s="148">
        <v>9.3168041009042843E-2</v>
      </c>
      <c r="AP42" s="148">
        <v>0.1117511442008586</v>
      </c>
      <c r="AQ42" s="148">
        <v>0.13092827090436282</v>
      </c>
      <c r="AR42" s="150">
        <f ca="1">SUM(OFFSET(AF42,0,$B$2-1):OFFSET(AF42,0,$B$3-1))</f>
        <v>0.69594724077028192</v>
      </c>
      <c r="AS42" s="169">
        <f t="shared" si="15"/>
        <v>0.82687551167464468</v>
      </c>
      <c r="AT42" s="148">
        <v>0</v>
      </c>
      <c r="AU42" s="148">
        <v>1.25E-3</v>
      </c>
      <c r="AV42" s="148">
        <v>3.7499999999999999E-3</v>
      </c>
      <c r="AW42" s="148">
        <v>7.4999999999999997E-3</v>
      </c>
      <c r="AX42" s="148">
        <v>1.2500000000000001E-2</v>
      </c>
      <c r="AY42" s="148">
        <v>1.8749999999999999E-2</v>
      </c>
      <c r="AZ42" s="148">
        <v>2.6249999999999999E-2</v>
      </c>
      <c r="BA42" s="148">
        <v>3.5000000000000003E-2</v>
      </c>
      <c r="BB42" s="148">
        <v>4.4999999999999998E-2</v>
      </c>
      <c r="BC42" s="148">
        <v>5.6250000000000001E-2</v>
      </c>
      <c r="BD42" s="148">
        <v>6.8750000000000006E-2</v>
      </c>
      <c r="BE42" s="148">
        <v>8.2500000000000004E-2</v>
      </c>
      <c r="BF42" s="148">
        <f ca="1">SUM(OFFSET(AT42,0,$B$2-1):OFFSET(AT42,0,$B$3-1))</f>
        <v>0.27500000000000002</v>
      </c>
      <c r="BG42" s="148">
        <f t="shared" si="7"/>
        <v>0.35750000000000004</v>
      </c>
    </row>
    <row r="43" spans="1:59">
      <c r="A43" s="164" t="s">
        <v>112</v>
      </c>
      <c r="B43" s="166">
        <f t="shared" ca="1" si="4"/>
        <v>0.20896238067674203</v>
      </c>
      <c r="C43" s="165">
        <f t="shared" si="12"/>
        <v>0.28500000000000003</v>
      </c>
      <c r="D43" s="165"/>
      <c r="E43" s="165"/>
      <c r="F43" s="165"/>
      <c r="G43" s="165"/>
      <c r="H43" s="171"/>
      <c r="I43" s="165"/>
      <c r="J43" s="171"/>
      <c r="K43" s="171"/>
      <c r="L43" s="165"/>
      <c r="M43" s="165"/>
      <c r="N43" s="165">
        <v>9.6000000000000002E-2</v>
      </c>
      <c r="O43" s="165">
        <v>0.189</v>
      </c>
      <c r="P43" s="165">
        <f ca="1">SUM(OFFSET(Q43,0,$B$2-1):OFFSET(Q43,0,$B$3-1))</f>
        <v>0.57200000000000006</v>
      </c>
      <c r="Q43" s="165"/>
      <c r="R43" s="165">
        <f>304/1000</f>
        <v>0.30399999999999999</v>
      </c>
      <c r="S43" s="165">
        <v>0.26800000000000002</v>
      </c>
      <c r="T43" s="165"/>
      <c r="U43" s="171"/>
      <c r="V43" s="165"/>
      <c r="W43" s="171"/>
      <c r="X43" s="171"/>
      <c r="Y43" s="165"/>
      <c r="Z43" s="165"/>
      <c r="AA43" s="165"/>
      <c r="AB43" s="165"/>
      <c r="AE43" s="164" t="s">
        <v>112</v>
      </c>
      <c r="AF43" s="148">
        <v>8.6400000000000005E-2</v>
      </c>
      <c r="AG43" s="148">
        <v>0.15359999999999999</v>
      </c>
      <c r="AH43" s="148">
        <v>0.24959999999999999</v>
      </c>
      <c r="AI43" s="148">
        <v>0.48034055126394543</v>
      </c>
      <c r="AJ43" s="148">
        <v>0.77666389365224131</v>
      </c>
      <c r="AK43" s="148">
        <v>0.39050140064291289</v>
      </c>
      <c r="AL43" s="148">
        <v>0.57831045758671584</v>
      </c>
      <c r="AM43" s="148">
        <v>0.77715541887325212</v>
      </c>
      <c r="AN43" s="148">
        <v>0.98134055929562691</v>
      </c>
      <c r="AO43" s="148">
        <v>1.1900572509090956</v>
      </c>
      <c r="AP43" s="148">
        <v>1.4042286269818571</v>
      </c>
      <c r="AQ43" s="148">
        <v>1.6214378127701239</v>
      </c>
      <c r="AR43" s="150">
        <f ca="1">SUM(OFFSET(AF43,0,$B$2-1):OFFSET(AF43,0,$B$3-1))</f>
        <v>7.0681981592056475</v>
      </c>
      <c r="AS43" s="169">
        <f t="shared" si="15"/>
        <v>8.6896359719757719</v>
      </c>
      <c r="AT43" s="148">
        <v>0.11016595</v>
      </c>
      <c r="AU43" s="148">
        <v>0.128698116666667</v>
      </c>
      <c r="AV43" s="148">
        <v>0.14938145</v>
      </c>
      <c r="AW43" s="148">
        <v>0.17051269999999999</v>
      </c>
      <c r="AX43" s="148">
        <v>0.192091866666667</v>
      </c>
      <c r="AY43" s="148">
        <v>0.21411895</v>
      </c>
      <c r="AZ43" s="148">
        <v>0.23659395</v>
      </c>
      <c r="BA43" s="148">
        <v>0.25951686666666701</v>
      </c>
      <c r="BB43" s="148">
        <v>0.28288770000000002</v>
      </c>
      <c r="BC43" s="148">
        <v>0.30670645000000002</v>
      </c>
      <c r="BD43" s="148">
        <v>0.33097311666666701</v>
      </c>
      <c r="BE43" s="148">
        <v>0.3556877</v>
      </c>
      <c r="BF43" s="148">
        <f ca="1">SUM(OFFSET(AT43,0,$B$2-1):OFFSET(AT43,0,$B$3-1))</f>
        <v>2.381647116666668</v>
      </c>
      <c r="BG43" s="148">
        <f t="shared" si="7"/>
        <v>2.7373348166666678</v>
      </c>
    </row>
    <row r="44" spans="1:59">
      <c r="A44" s="164" t="s">
        <v>113</v>
      </c>
      <c r="B44" s="166">
        <f t="shared" ca="1" si="4"/>
        <v>0.33551185770826175</v>
      </c>
      <c r="C44" s="165">
        <f t="shared" si="12"/>
        <v>4.8940771206901008</v>
      </c>
      <c r="D44" s="165">
        <v>0.26941029900000002</v>
      </c>
      <c r="E44" s="165">
        <v>0.28896322099999999</v>
      </c>
      <c r="F44" s="165">
        <v>0.23010820612352897</v>
      </c>
      <c r="G44" s="165">
        <v>0.30794342299999999</v>
      </c>
      <c r="H44" s="171">
        <v>0.38291371499999999</v>
      </c>
      <c r="I44" s="165">
        <v>0.34236085500000002</v>
      </c>
      <c r="J44" s="171">
        <v>0.401014569566572</v>
      </c>
      <c r="K44" s="171">
        <v>0.35099999999999998</v>
      </c>
      <c r="L44" s="165">
        <v>0.56399999999999995</v>
      </c>
      <c r="M44" s="165">
        <v>0.43436283199999998</v>
      </c>
      <c r="N44" s="165">
        <v>0.57099999999999995</v>
      </c>
      <c r="O44" s="165">
        <v>0.75099999999999989</v>
      </c>
      <c r="P44" s="165">
        <f ca="1">SUM(OFFSET(Q44,0,$B$2-1):OFFSET(Q44,0,$B$3-1))</f>
        <v>2.7121943286814947</v>
      </c>
      <c r="Q44" s="165">
        <v>0.93119432868149499</v>
      </c>
      <c r="R44" s="165">
        <f>957/1000</f>
        <v>0.95699999999999996</v>
      </c>
      <c r="S44" s="165">
        <v>0.82399999999999995</v>
      </c>
      <c r="T44" s="165"/>
      <c r="U44" s="171"/>
      <c r="V44" s="165"/>
      <c r="W44" s="171"/>
      <c r="X44" s="171"/>
      <c r="Y44" s="165"/>
      <c r="Z44" s="165"/>
      <c r="AA44" s="165"/>
      <c r="AB44" s="165"/>
      <c r="AE44" s="164" t="s">
        <v>113</v>
      </c>
      <c r="AF44" s="148">
        <v>0.33240352000000006</v>
      </c>
      <c r="AG44" s="148">
        <v>0.36704352000000001</v>
      </c>
      <c r="AH44" s="148">
        <v>0.39912752000000007</v>
      </c>
      <c r="AI44" s="148">
        <v>0.42575786666666671</v>
      </c>
      <c r="AJ44" s="148">
        <v>0.14254225000000001</v>
      </c>
      <c r="AK44" s="148">
        <v>0.14882600000000007</v>
      </c>
      <c r="AL44" s="148">
        <v>0.16243215000000005</v>
      </c>
      <c r="AM44" s="148">
        <v>0.17410006666666672</v>
      </c>
      <c r="AN44" s="148">
        <v>0.18658465000000007</v>
      </c>
      <c r="AO44" s="148">
        <v>0.19890256666666672</v>
      </c>
      <c r="AP44" s="148">
        <v>0.20355090000000003</v>
      </c>
      <c r="AQ44" s="148">
        <v>0.22303840000000003</v>
      </c>
      <c r="AR44" s="150">
        <f ca="1">SUM(OFFSET(AF44,0,$B$2-1):OFFSET(AF44,0,$B$3-1))</f>
        <v>2.7412710100000011</v>
      </c>
      <c r="AS44" s="169">
        <f t="shared" si="15"/>
        <v>2.9643094100000011</v>
      </c>
      <c r="AT44" s="148">
        <v>0.56053658666666695</v>
      </c>
      <c r="AU44" s="148">
        <v>0.57992858666666702</v>
      </c>
      <c r="AV44" s="148">
        <v>0.59967258666666701</v>
      </c>
      <c r="AW44" s="148">
        <v>0.61976858666666701</v>
      </c>
      <c r="AX44" s="148">
        <v>0.64021658666666703</v>
      </c>
      <c r="AY44" s="148">
        <v>0.66101658666666696</v>
      </c>
      <c r="AZ44" s="148">
        <v>0.68216858666666702</v>
      </c>
      <c r="BA44" s="148">
        <v>0.70367258666666699</v>
      </c>
      <c r="BB44" s="148">
        <v>0.72552858666666697</v>
      </c>
      <c r="BC44" s="148">
        <v>0.74773658666666698</v>
      </c>
      <c r="BD44" s="148">
        <v>0.770296586666667</v>
      </c>
      <c r="BE44" s="148">
        <v>0.79320858666666705</v>
      </c>
      <c r="BF44" s="148">
        <f ca="1">SUM(OFFSET(AT44,0,$B$2-1):OFFSET(AT44,0,$B$3-1))</f>
        <v>7.2905424533333374</v>
      </c>
      <c r="BG44" s="148">
        <f t="shared" si="7"/>
        <v>8.0837510400000046</v>
      </c>
    </row>
    <row r="45" spans="1:59">
      <c r="A45" s="173" t="s">
        <v>114</v>
      </c>
      <c r="B45" s="166">
        <f t="shared" ca="1" si="4"/>
        <v>0.58368860002923384</v>
      </c>
      <c r="C45" s="165">
        <f t="shared" si="12"/>
        <v>22.086450613895636</v>
      </c>
      <c r="D45" s="157">
        <v>1.6204707360914599</v>
      </c>
      <c r="E45" s="157">
        <v>1.325726801183333</v>
      </c>
      <c r="F45" s="157">
        <v>1.790445518074621</v>
      </c>
      <c r="G45" s="157">
        <v>0.79130438931448055</v>
      </c>
      <c r="H45" s="339">
        <v>1.211597676009518</v>
      </c>
      <c r="I45" s="339">
        <v>1.1760760601111109</v>
      </c>
      <c r="J45" s="339">
        <v>1.845389956333334</v>
      </c>
      <c r="K45" s="339">
        <v>0.55998392577777789</v>
      </c>
      <c r="L45" s="339">
        <v>1.0649999999999999</v>
      </c>
      <c r="M45" s="339">
        <v>2.25475</v>
      </c>
      <c r="N45" s="339">
        <v>4.1000000000000005</v>
      </c>
      <c r="O45" s="339">
        <v>4.345705551</v>
      </c>
      <c r="P45" s="165">
        <f ca="1">SUM(OFFSET(Q45,0,$B$2-1):OFFSET(Q45,0,$B$3-1))</f>
        <v>34.834377160333332</v>
      </c>
      <c r="Q45" s="157">
        <f>Q46+Q55</f>
        <v>2.6316209985555554</v>
      </c>
      <c r="R45" s="157">
        <f t="shared" ref="R45:V45" si="36">R46+R55</f>
        <v>1.515365875888889</v>
      </c>
      <c r="S45" s="157">
        <f t="shared" si="36"/>
        <v>2.067141715888889</v>
      </c>
      <c r="T45" s="157">
        <f t="shared" si="36"/>
        <v>3.8760000000000003</v>
      </c>
      <c r="U45" s="339">
        <f t="shared" si="36"/>
        <v>3.1989320324444441</v>
      </c>
      <c r="V45" s="339">
        <f t="shared" si="36"/>
        <v>4.1625204131111113</v>
      </c>
      <c r="W45" s="339">
        <f t="shared" ref="W45:AB45" si="37">W46+W55</f>
        <v>6.6706166487777772</v>
      </c>
      <c r="X45" s="339">
        <f t="shared" si="37"/>
        <v>6.7574059946666667</v>
      </c>
      <c r="Y45" s="339">
        <f t="shared" si="37"/>
        <v>3.9547734809999997</v>
      </c>
      <c r="Z45" s="339">
        <f t="shared" si="37"/>
        <v>0</v>
      </c>
      <c r="AA45" s="339">
        <f t="shared" si="37"/>
        <v>0</v>
      </c>
      <c r="AB45" s="339">
        <f t="shared" si="37"/>
        <v>0</v>
      </c>
      <c r="AE45" s="173" t="s">
        <v>114</v>
      </c>
      <c r="AF45" s="150">
        <f>AF46+AF55</f>
        <v>3.1081269487466852</v>
      </c>
      <c r="AG45" s="150">
        <f t="shared" ref="AG45:AQ45" si="38">AG46+AG55</f>
        <v>2.9671977753710026</v>
      </c>
      <c r="AH45" s="150">
        <f t="shared" si="38"/>
        <v>3.2957391087509853</v>
      </c>
      <c r="AI45" s="150">
        <f t="shared" si="38"/>
        <v>3.7871584543263257</v>
      </c>
      <c r="AJ45" s="150">
        <f t="shared" si="38"/>
        <v>4.1571858928030299</v>
      </c>
      <c r="AK45" s="150">
        <f t="shared" si="38"/>
        <v>4.4914171159874261</v>
      </c>
      <c r="AL45" s="150">
        <f t="shared" si="38"/>
        <v>4.8828645577722529</v>
      </c>
      <c r="AM45" s="150">
        <f t="shared" si="38"/>
        <v>5.16416328841491</v>
      </c>
      <c r="AN45" s="150">
        <f t="shared" si="38"/>
        <v>5.5195317239335049</v>
      </c>
      <c r="AO45" s="150">
        <f t="shared" si="38"/>
        <v>5.9532032715185377</v>
      </c>
      <c r="AP45" s="150">
        <f>AP46+AP55</f>
        <v>6.2738751872911722</v>
      </c>
      <c r="AQ45" s="150">
        <f t="shared" si="38"/>
        <v>6.674016254476637</v>
      </c>
      <c r="AR45" s="150">
        <f ca="1">SUM(OFFSET(AF45,0,$B$2-1):OFFSET(AF45,0,$B$3-1))</f>
        <v>49.600463324915836</v>
      </c>
      <c r="AS45" s="169">
        <f t="shared" si="15"/>
        <v>56.274479579392477</v>
      </c>
      <c r="AT45" s="150">
        <f>AT46+AT55</f>
        <v>5.2281607927245402</v>
      </c>
      <c r="AU45" s="150">
        <f t="shared" ref="AU45:BE45" si="39">AU46+AU55</f>
        <v>4.597175369147557</v>
      </c>
      <c r="AV45" s="150">
        <f t="shared" si="39"/>
        <v>4.7105256557978432</v>
      </c>
      <c r="AW45" s="150">
        <f t="shared" si="39"/>
        <v>4.8247926091147963</v>
      </c>
      <c r="AX45" s="150">
        <f t="shared" si="39"/>
        <v>4.8060253691475561</v>
      </c>
      <c r="AY45" s="150">
        <f t="shared" si="39"/>
        <v>4.9161747958469828</v>
      </c>
      <c r="AZ45" s="150">
        <f t="shared" si="39"/>
        <v>4.9162408892130776</v>
      </c>
      <c r="BA45" s="150">
        <f t="shared" si="39"/>
        <v>5.0206781947003822</v>
      </c>
      <c r="BB45" s="150">
        <f t="shared" si="39"/>
        <v>5.1260321668543547</v>
      </c>
      <c r="BC45" s="150">
        <f t="shared" si="39"/>
        <v>5.2323028056749923</v>
      </c>
      <c r="BD45" s="150">
        <f t="shared" si="39"/>
        <v>5.3394901111622985</v>
      </c>
      <c r="BE45" s="150">
        <f t="shared" si="39"/>
        <v>4.9621297098518973</v>
      </c>
      <c r="BF45" s="148">
        <f ca="1">SUM(OFFSET(AT45,0,$B$2-1):OFFSET(AT45,0,$B$3-1))</f>
        <v>54.71759875938438</v>
      </c>
      <c r="BG45" s="148">
        <f t="shared" si="7"/>
        <v>59.679728469236281</v>
      </c>
    </row>
    <row r="46" spans="1:59">
      <c r="A46" s="156" t="s">
        <v>115</v>
      </c>
      <c r="B46" s="166">
        <f t="shared" ref="B46:B81" ca="1" si="40">P46/BG46</f>
        <v>0.74026662426603429</v>
      </c>
      <c r="C46" s="165">
        <f t="shared" si="12"/>
        <v>16.697116441397039</v>
      </c>
      <c r="D46" s="158">
        <v>1.5194707360914599</v>
      </c>
      <c r="E46" s="158">
        <v>0.93499966118333289</v>
      </c>
      <c r="F46" s="158">
        <v>1.64062295126355</v>
      </c>
      <c r="G46" s="158">
        <v>0.58746257200000007</v>
      </c>
      <c r="H46" s="160">
        <v>0.61862184085869598</v>
      </c>
      <c r="I46" s="160">
        <v>0.54386749999999995</v>
      </c>
      <c r="J46" s="160">
        <v>1.250750314</v>
      </c>
      <c r="K46" s="160">
        <v>0.34304252199999996</v>
      </c>
      <c r="L46" s="160">
        <v>1.01</v>
      </c>
      <c r="M46" s="160">
        <v>1.1547499999999999</v>
      </c>
      <c r="N46" s="160">
        <v>3.9000000000000004</v>
      </c>
      <c r="O46" s="158">
        <v>3.1935283440000002</v>
      </c>
      <c r="P46" s="165">
        <f ca="1">SUM(OFFSET(Q46,0,$B$2-1):OFFSET(Q46,0,$B$3-1))</f>
        <v>32.816833746999997</v>
      </c>
      <c r="Q46" s="158">
        <v>2.5519196700000002</v>
      </c>
      <c r="R46" s="158">
        <f>1327.942642/1000</f>
        <v>1.327942642</v>
      </c>
      <c r="S46" s="158">
        <f>1567.257847/1000</f>
        <v>1.567257847</v>
      </c>
      <c r="T46" s="158">
        <v>3.2440000000000002</v>
      </c>
      <c r="U46" s="160">
        <v>3.0376885040000001</v>
      </c>
      <c r="V46" s="160">
        <v>3.9890681920000004</v>
      </c>
      <c r="W46" s="160">
        <v>6.4735808969999997</v>
      </c>
      <c r="X46" s="160">
        <v>6.6716615050000003</v>
      </c>
      <c r="Y46" s="160">
        <v>3.9537144899999999</v>
      </c>
      <c r="Z46" s="160">
        <f>SUM(Z48:Z54)</f>
        <v>0</v>
      </c>
      <c r="AA46" s="160">
        <f>SUM(AA48:AA54)</f>
        <v>0</v>
      </c>
      <c r="AB46" s="160">
        <f>SUM(AB48:AB54)</f>
        <v>0</v>
      </c>
      <c r="AE46" s="156" t="s">
        <v>115</v>
      </c>
      <c r="AF46" s="148">
        <f>SUM(AF48:AF54)</f>
        <v>2.1016131524503887</v>
      </c>
      <c r="AG46" s="148">
        <f t="shared" ref="AG46:AQ46" si="41">SUM(AG48:AG54)</f>
        <v>1.8583460161117435</v>
      </c>
      <c r="AH46" s="148">
        <f t="shared" si="41"/>
        <v>2.0912056365287635</v>
      </c>
      <c r="AI46" s="148">
        <f t="shared" si="41"/>
        <v>2.4944788246966962</v>
      </c>
      <c r="AJ46" s="148">
        <f t="shared" si="41"/>
        <v>2.7782689946548822</v>
      </c>
      <c r="AK46" s="148">
        <f t="shared" si="41"/>
        <v>3.0563393382096486</v>
      </c>
      <c r="AL46" s="148">
        <f t="shared" si="41"/>
        <v>3.317619789253734</v>
      </c>
      <c r="AM46" s="148">
        <f t="shared" si="41"/>
        <v>3.5002506958223174</v>
      </c>
      <c r="AN46" s="148">
        <f t="shared" si="41"/>
        <v>3.7472290850446157</v>
      </c>
      <c r="AO46" s="148">
        <f t="shared" si="41"/>
        <v>4.0657050307777967</v>
      </c>
      <c r="AP46" s="148">
        <f t="shared" si="41"/>
        <v>4.3350945391430233</v>
      </c>
      <c r="AQ46" s="148">
        <f t="shared" si="41"/>
        <v>4.5602934766988588</v>
      </c>
      <c r="AR46" s="150">
        <f ca="1">SUM(OFFSET(AF46,0,$B$2-1):OFFSET(AF46,0,$B$3-1))</f>
        <v>33.346151102693604</v>
      </c>
      <c r="AS46" s="169">
        <f t="shared" si="15"/>
        <v>37.906444579392463</v>
      </c>
      <c r="AT46" s="150">
        <f>SUM(AT47:AT54)</f>
        <v>3.4397333333333324</v>
      </c>
      <c r="AU46" s="150">
        <f t="shared" ref="AU46:BE46" si="42">SUM(AU47:AU54)</f>
        <v>3.6938666666666666</v>
      </c>
      <c r="AV46" s="150">
        <f t="shared" si="42"/>
        <v>3.7359</v>
      </c>
      <c r="AW46" s="150">
        <f t="shared" si="42"/>
        <v>3.7779333333333325</v>
      </c>
      <c r="AX46" s="150">
        <f t="shared" si="42"/>
        <v>3.6959666666666662</v>
      </c>
      <c r="AY46" s="150">
        <f t="shared" si="42"/>
        <v>3.742</v>
      </c>
      <c r="AZ46" s="150">
        <f t="shared" si="42"/>
        <v>3.6770333333333336</v>
      </c>
      <c r="BA46" s="150">
        <f t="shared" si="42"/>
        <v>3.7200666666666669</v>
      </c>
      <c r="BB46" s="150">
        <f t="shared" si="42"/>
        <v>3.7631000000000001</v>
      </c>
      <c r="BC46" s="150">
        <f t="shared" si="42"/>
        <v>3.8061333333333325</v>
      </c>
      <c r="BD46" s="150">
        <f t="shared" si="42"/>
        <v>3.8491666666666666</v>
      </c>
      <c r="BE46" s="150">
        <f t="shared" si="42"/>
        <v>3.4301999999999997</v>
      </c>
      <c r="BF46" s="148">
        <f ca="1">SUM(OFFSET(AT46,0,$B$2-1):OFFSET(AT46,0,$B$3-1))</f>
        <v>40.900900000000007</v>
      </c>
      <c r="BG46" s="148">
        <f t="shared" si="7"/>
        <v>44.331100000000006</v>
      </c>
    </row>
    <row r="47" spans="1:59">
      <c r="A47" s="164" t="s">
        <v>15</v>
      </c>
      <c r="B47" s="166"/>
      <c r="C47" s="165"/>
      <c r="D47" s="158"/>
      <c r="E47" s="158"/>
      <c r="F47" s="158"/>
      <c r="G47" s="158"/>
      <c r="H47" s="160"/>
      <c r="I47" s="160"/>
      <c r="J47" s="160"/>
      <c r="K47" s="160"/>
      <c r="L47" s="160"/>
      <c r="M47" s="160"/>
      <c r="N47" s="160"/>
      <c r="O47" s="158"/>
      <c r="P47" s="165"/>
      <c r="Q47" s="158"/>
      <c r="R47" s="158"/>
      <c r="S47" s="158"/>
      <c r="T47" s="158"/>
      <c r="U47" s="160"/>
      <c r="V47" s="160"/>
      <c r="W47" s="160"/>
      <c r="X47" s="160"/>
      <c r="Y47" s="160"/>
      <c r="Z47" s="160"/>
      <c r="AA47" s="160"/>
      <c r="AB47" s="160"/>
      <c r="AE47" s="156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50"/>
      <c r="AS47" s="169"/>
      <c r="AT47" s="150">
        <v>0.42499999999999999</v>
      </c>
      <c r="AU47" s="150">
        <v>0.42499999999999999</v>
      </c>
      <c r="AV47" s="150">
        <v>0.42499999999999999</v>
      </c>
      <c r="AW47" s="150">
        <v>0.42499999999999999</v>
      </c>
      <c r="AX47" s="150">
        <v>0.42499999999999999</v>
      </c>
      <c r="AY47" s="150">
        <v>0.42499999999999999</v>
      </c>
      <c r="AZ47" s="150">
        <v>0.42499999999999999</v>
      </c>
      <c r="BA47" s="150">
        <v>0.42499999999999999</v>
      </c>
      <c r="BB47" s="150">
        <v>0.42499999999999999</v>
      </c>
      <c r="BC47" s="150">
        <v>0.42499999999999999</v>
      </c>
      <c r="BD47" s="150">
        <v>0.42499999999999999</v>
      </c>
      <c r="BE47" s="148">
        <v>0.42499999999999999</v>
      </c>
      <c r="BF47" s="148">
        <f ca="1">SUM(OFFSET(AT47,0,$B$2-1):OFFSET(AT47,0,$B$3-1))</f>
        <v>4.6749999999999989</v>
      </c>
      <c r="BG47" s="148">
        <f t="shared" ref="BG47" si="43">SUM(AT47:BE47)</f>
        <v>5.0999999999999988</v>
      </c>
    </row>
    <row r="48" spans="1:59">
      <c r="A48" s="164" t="s">
        <v>116</v>
      </c>
      <c r="B48" s="166">
        <f t="shared" ca="1" si="40"/>
        <v>0</v>
      </c>
      <c r="C48" s="165">
        <f t="shared" si="12"/>
        <v>2.8181756944166665</v>
      </c>
      <c r="D48" s="165">
        <v>7.0382500083333299E-2</v>
      </c>
      <c r="E48" s="165">
        <v>0.12534750008333301</v>
      </c>
      <c r="F48" s="165">
        <v>0.92300000000000004</v>
      </c>
      <c r="G48" s="165">
        <v>6.6580072000000004E-2</v>
      </c>
      <c r="H48" s="171">
        <v>6.5245308249999995E-2</v>
      </c>
      <c r="I48" s="165">
        <v>4.3749999999999997E-2</v>
      </c>
      <c r="J48" s="171">
        <v>0.15537031400000001</v>
      </c>
      <c r="K48" s="171">
        <v>0.215</v>
      </c>
      <c r="L48" s="165">
        <v>0.21</v>
      </c>
      <c r="M48" s="165">
        <v>0.24349999999999999</v>
      </c>
      <c r="N48" s="165">
        <v>0.7</v>
      </c>
      <c r="O48" s="165"/>
      <c r="P48" s="165">
        <f ca="1">SUM(OFFSET(Q48,0,$B$2-1):OFFSET(Q48,0,$B$3-1))</f>
        <v>0</v>
      </c>
      <c r="Q48" s="165"/>
      <c r="R48" s="165"/>
      <c r="S48" s="165"/>
      <c r="T48" s="165"/>
      <c r="U48" s="171"/>
      <c r="V48" s="165"/>
      <c r="W48" s="171"/>
      <c r="X48" s="171"/>
      <c r="Y48" s="165"/>
      <c r="Z48" s="165"/>
      <c r="AA48" s="165"/>
      <c r="AB48" s="165"/>
      <c r="AE48" s="164" t="s">
        <v>116</v>
      </c>
      <c r="AF48" s="148">
        <v>0.44444444444444459</v>
      </c>
      <c r="AG48" s="148">
        <v>0.44444444444444342</v>
      </c>
      <c r="AH48" s="148">
        <v>0.44444444444444459</v>
      </c>
      <c r="AI48" s="148">
        <v>0.44444444444444342</v>
      </c>
      <c r="AJ48" s="148">
        <v>0.44444444444444459</v>
      </c>
      <c r="AK48" s="148">
        <v>0.44444444444444459</v>
      </c>
      <c r="AL48" s="148">
        <v>0.44444444444444342</v>
      </c>
      <c r="AM48" s="148">
        <v>0.44444444444444459</v>
      </c>
      <c r="AN48" s="148">
        <v>0.4444444444444457</v>
      </c>
      <c r="AO48" s="148">
        <v>0.44444444444444342</v>
      </c>
      <c r="AP48" s="148">
        <v>0.4444444444444457</v>
      </c>
      <c r="AQ48" s="148">
        <v>0.4444444444444457</v>
      </c>
      <c r="AR48" s="150">
        <f ca="1">SUM(OFFSET(AF48,0,$B$2-1):OFFSET(AF48,0,$B$3-1))</f>
        <v>4.8888888888888875</v>
      </c>
      <c r="AS48" s="169">
        <f t="shared" si="15"/>
        <v>5.333333333333333</v>
      </c>
      <c r="AT48" s="148">
        <v>0.56839999999999902</v>
      </c>
      <c r="AU48" s="148">
        <v>0.75819999999999999</v>
      </c>
      <c r="AV48" s="148">
        <v>0.7359</v>
      </c>
      <c r="AW48" s="148">
        <v>0.71359999999999901</v>
      </c>
      <c r="AX48" s="148">
        <v>0.56729999999999903</v>
      </c>
      <c r="AY48" s="148">
        <v>0.54900000000000004</v>
      </c>
      <c r="AZ48" s="148">
        <v>0.53069999999999995</v>
      </c>
      <c r="BA48" s="148">
        <v>0.51239999999999997</v>
      </c>
      <c r="BB48" s="148">
        <v>0.49409999999999998</v>
      </c>
      <c r="BC48" s="148">
        <v>0.475799999999999</v>
      </c>
      <c r="BD48" s="148">
        <v>0.45750000000000002</v>
      </c>
      <c r="BE48" s="148">
        <v>0.1032</v>
      </c>
      <c r="BF48" s="148">
        <f ca="1">SUM(OFFSET(AT48,0,$B$2-1):OFFSET(AT48,0,$B$3-1))</f>
        <v>6.3628999999999962</v>
      </c>
      <c r="BG48" s="148">
        <f t="shared" si="7"/>
        <v>6.4660999999999964</v>
      </c>
    </row>
    <row r="49" spans="1:59">
      <c r="A49" s="164" t="s">
        <v>117</v>
      </c>
      <c r="B49" s="166">
        <f t="shared" ca="1" si="40"/>
        <v>0</v>
      </c>
      <c r="C49" s="165">
        <f t="shared" si="12"/>
        <v>0</v>
      </c>
      <c r="D49" s="165"/>
      <c r="E49" s="165"/>
      <c r="F49" s="165"/>
      <c r="G49" s="165"/>
      <c r="H49" s="171"/>
      <c r="I49" s="165"/>
      <c r="J49" s="171"/>
      <c r="K49" s="171"/>
      <c r="L49" s="165"/>
      <c r="M49" s="165"/>
      <c r="N49" s="165"/>
      <c r="O49" s="165"/>
      <c r="P49" s="165">
        <f ca="1">SUM(OFFSET(Q49,0,$B$2-1):OFFSET(Q49,0,$B$3-1))</f>
        <v>0</v>
      </c>
      <c r="Q49" s="165"/>
      <c r="R49" s="165"/>
      <c r="S49" s="165"/>
      <c r="T49" s="165"/>
      <c r="U49" s="171"/>
      <c r="V49" s="165"/>
      <c r="W49" s="165"/>
      <c r="X49" s="165"/>
      <c r="Y49" s="165"/>
      <c r="Z49" s="165"/>
      <c r="AA49" s="165"/>
      <c r="AB49" s="165"/>
      <c r="AE49" s="164" t="s">
        <v>117</v>
      </c>
      <c r="AF49" s="148">
        <v>0.38579370800594398</v>
      </c>
      <c r="AG49" s="148">
        <v>0.21838657166729999</v>
      </c>
      <c r="AH49" s="148">
        <v>0.34047994208431853</v>
      </c>
      <c r="AI49" s="148">
        <v>0.42499772754038312</v>
      </c>
      <c r="AJ49" s="148">
        <v>0.48861806751429571</v>
      </c>
      <c r="AK49" s="148">
        <v>0.53746788917202803</v>
      </c>
      <c r="AL49" s="148">
        <v>0.57028292851536222</v>
      </c>
      <c r="AM49" s="148">
        <v>0.54897995814261435</v>
      </c>
      <c r="AN49" s="148">
        <v>0.59331303546369429</v>
      </c>
      <c r="AO49" s="148">
        <v>0.66400000000000003</v>
      </c>
      <c r="AP49" s="148">
        <v>0.69</v>
      </c>
      <c r="AQ49" s="148">
        <v>0.71</v>
      </c>
      <c r="AR49" s="150">
        <f ca="1">SUM(OFFSET(AF49,0,$B$2-1):OFFSET(AF49,0,$B$3-1))</f>
        <v>5.4623198281059402</v>
      </c>
      <c r="AS49" s="169">
        <f t="shared" si="15"/>
        <v>6.1723198281059402</v>
      </c>
      <c r="AT49" s="148">
        <v>1.7669999999999999</v>
      </c>
      <c r="AU49" s="148">
        <v>1.8240000000000001</v>
      </c>
      <c r="AV49" s="148">
        <v>1.881</v>
      </c>
      <c r="AW49" s="148">
        <v>1.9379999999999999</v>
      </c>
      <c r="AX49" s="148">
        <v>1.9950000000000001</v>
      </c>
      <c r="AY49" s="148">
        <v>2.052</v>
      </c>
      <c r="AZ49" s="148">
        <v>1.998</v>
      </c>
      <c r="BA49" s="148">
        <v>2.052</v>
      </c>
      <c r="BB49" s="148">
        <v>2.1059999999999999</v>
      </c>
      <c r="BC49" s="148">
        <v>2.16</v>
      </c>
      <c r="BD49" s="148">
        <v>2.214</v>
      </c>
      <c r="BE49" s="148">
        <v>2.1419999999999999</v>
      </c>
      <c r="BF49" s="148">
        <f ca="1">SUM(OFFSET(AT49,0,$B$2-1):OFFSET(AT49,0,$B$3-1))</f>
        <v>21.986999999999998</v>
      </c>
      <c r="BG49" s="148">
        <f t="shared" si="7"/>
        <v>24.128999999999998</v>
      </c>
    </row>
    <row r="50" spans="1:59">
      <c r="A50" s="164" t="s">
        <v>118</v>
      </c>
      <c r="B50" s="166">
        <f t="shared" ca="1" si="40"/>
        <v>0</v>
      </c>
      <c r="C50" s="165">
        <f t="shared" ref="C50:C85" si="44">SUM(D50:O50)</f>
        <v>0</v>
      </c>
      <c r="D50" s="165"/>
      <c r="E50" s="165"/>
      <c r="F50" s="165"/>
      <c r="G50" s="165"/>
      <c r="H50" s="171"/>
      <c r="I50" s="165"/>
      <c r="J50" s="171"/>
      <c r="K50" s="171"/>
      <c r="L50" s="165"/>
      <c r="M50" s="165"/>
      <c r="N50" s="165"/>
      <c r="O50" s="165"/>
      <c r="P50" s="165">
        <f ca="1">SUM(OFFSET(Q50,0,$B$2-1):OFFSET(Q50,0,$B$3-1))</f>
        <v>0</v>
      </c>
      <c r="Q50" s="165"/>
      <c r="R50" s="165"/>
      <c r="S50" s="165"/>
      <c r="T50" s="165"/>
      <c r="U50" s="171"/>
      <c r="V50" s="165"/>
      <c r="W50" s="171"/>
      <c r="X50" s="171"/>
      <c r="Y50" s="165"/>
      <c r="Z50" s="165"/>
      <c r="AA50" s="165"/>
      <c r="AB50" s="165"/>
      <c r="AE50" s="164" t="s">
        <v>118</v>
      </c>
      <c r="AF50" s="148">
        <v>0.16537499999999999</v>
      </c>
      <c r="AG50" s="148">
        <v>0.106575</v>
      </c>
      <c r="AH50" s="148">
        <v>0.15925000000000003</v>
      </c>
      <c r="AI50" s="148">
        <v>0.17394999999999999</v>
      </c>
      <c r="AJ50" s="148">
        <v>0.17394999999999999</v>
      </c>
      <c r="AK50" s="148">
        <v>0.1764</v>
      </c>
      <c r="AL50" s="148">
        <v>0.19600000000000001</v>
      </c>
      <c r="AM50" s="148">
        <v>0.19600000000000001</v>
      </c>
      <c r="AN50" s="148">
        <v>0.2</v>
      </c>
      <c r="AO50" s="148">
        <v>0.22322222222222221</v>
      </c>
      <c r="AP50" s="148">
        <v>0.22322222222222221</v>
      </c>
      <c r="AQ50" s="148">
        <v>0.2233333333333333</v>
      </c>
      <c r="AR50" s="150">
        <f ca="1">SUM(OFFSET(AF50,0,$B$2-1):OFFSET(AF50,0,$B$3-1))</f>
        <v>1.9939444444444445</v>
      </c>
      <c r="AS50" s="169">
        <f t="shared" si="15"/>
        <v>2.2172777777777779</v>
      </c>
      <c r="AT50" s="148">
        <v>8.3333333333333295E-4</v>
      </c>
      <c r="AU50" s="148">
        <v>1.66666666666667E-3</v>
      </c>
      <c r="AV50" s="148">
        <v>2.5000000000000001E-3</v>
      </c>
      <c r="AW50" s="148">
        <v>3.3333333333333301E-3</v>
      </c>
      <c r="AX50" s="148">
        <v>4.1666666666666701E-3</v>
      </c>
      <c r="AY50" s="148">
        <v>5.0000000000000001E-3</v>
      </c>
      <c r="AZ50" s="148">
        <v>5.8333333333333301E-3</v>
      </c>
      <c r="BA50" s="148">
        <v>6.6666666666666697E-3</v>
      </c>
      <c r="BB50" s="148">
        <v>7.4999999999999997E-3</v>
      </c>
      <c r="BC50" s="148">
        <v>8.3333333333333297E-3</v>
      </c>
      <c r="BD50" s="148">
        <v>9.1666666666666702E-3</v>
      </c>
      <c r="BE50" s="148">
        <v>0.01</v>
      </c>
      <c r="BF50" s="148">
        <f ca="1">SUM(OFFSET(AT50,0,$B$2-1):OFFSET(AT50,0,$B$3-1))</f>
        <v>5.5000000000000007E-2</v>
      </c>
      <c r="BG50" s="148">
        <f t="shared" si="7"/>
        <v>6.5000000000000002E-2</v>
      </c>
    </row>
    <row r="51" spans="1:59">
      <c r="A51" s="164" t="s">
        <v>119</v>
      </c>
      <c r="B51" s="166">
        <f t="shared" ca="1" si="40"/>
        <v>0</v>
      </c>
      <c r="C51" s="165">
        <f t="shared" si="44"/>
        <v>0</v>
      </c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65">
        <f ca="1">SUM(OFFSET(Q51,0,$B$2-1):OFFSET(Q51,0,$B$3-1))</f>
        <v>0</v>
      </c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E51" s="164" t="s">
        <v>119</v>
      </c>
      <c r="AF51" s="148">
        <v>0.08</v>
      </c>
      <c r="AG51" s="148">
        <v>0.08</v>
      </c>
      <c r="AH51" s="148">
        <v>0.08</v>
      </c>
      <c r="AI51" s="148">
        <v>0.08</v>
      </c>
      <c r="AJ51" s="148">
        <v>0.08</v>
      </c>
      <c r="AK51" s="148">
        <v>0.08</v>
      </c>
      <c r="AL51" s="148">
        <v>0.08</v>
      </c>
      <c r="AM51" s="148">
        <v>0.08</v>
      </c>
      <c r="AN51" s="148">
        <v>0.08</v>
      </c>
      <c r="AO51" s="148">
        <v>0.08</v>
      </c>
      <c r="AP51" s="148">
        <v>0.08</v>
      </c>
      <c r="AQ51" s="148">
        <v>0.08</v>
      </c>
      <c r="AR51" s="150">
        <f ca="1">SUM(OFFSET(AF51,0,$B$2-1):OFFSET(AF51,0,$B$3-1))</f>
        <v>0.87999999999999989</v>
      </c>
      <c r="AS51" s="169">
        <f t="shared" si="15"/>
        <v>0.95999999999999985</v>
      </c>
      <c r="AT51" s="148">
        <v>7.85E-2</v>
      </c>
      <c r="AU51" s="148">
        <v>8.5000000000000006E-2</v>
      </c>
      <c r="AV51" s="148">
        <v>9.1499999999999998E-2</v>
      </c>
      <c r="AW51" s="148">
        <v>9.8000000000000004E-2</v>
      </c>
      <c r="AX51" s="148">
        <v>0.1045</v>
      </c>
      <c r="AY51" s="148">
        <v>0.111</v>
      </c>
      <c r="AZ51" s="148">
        <v>0.11749999999999999</v>
      </c>
      <c r="BA51" s="148">
        <v>0.124</v>
      </c>
      <c r="BB51" s="148">
        <v>0.1305</v>
      </c>
      <c r="BC51" s="148">
        <v>0.13700000000000001</v>
      </c>
      <c r="BD51" s="148">
        <v>0.14349999999999999</v>
      </c>
      <c r="BE51" s="148">
        <v>0.15</v>
      </c>
      <c r="BF51" s="148">
        <f ca="1">SUM(OFFSET(AT51,0,$B$2-1):OFFSET(AT51,0,$B$3-1))</f>
        <v>1.2209999999999999</v>
      </c>
      <c r="BG51" s="148">
        <f t="shared" si="7"/>
        <v>1.3709999999999998</v>
      </c>
    </row>
    <row r="52" spans="1:59">
      <c r="A52" s="164" t="s">
        <v>120</v>
      </c>
      <c r="B52" s="166" t="e">
        <f t="shared" ca="1" si="40"/>
        <v>#DIV/0!</v>
      </c>
      <c r="C52" s="165">
        <f t="shared" si="44"/>
        <v>0</v>
      </c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65">
        <f ca="1">SUM(OFFSET(Q52,0,$B$2-1):OFFSET(Q52,0,$B$3-1))</f>
        <v>0</v>
      </c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  <c r="AE52" s="164" t="s">
        <v>120</v>
      </c>
      <c r="AF52" s="148">
        <v>3.5999999999999997E-2</v>
      </c>
      <c r="AG52" s="148">
        <v>3.8939999999999995E-2</v>
      </c>
      <c r="AH52" s="148">
        <v>6.7031250000000001E-2</v>
      </c>
      <c r="AI52" s="148">
        <v>0.23073191181192657</v>
      </c>
      <c r="AJ52" s="148">
        <v>0.29258633437500003</v>
      </c>
      <c r="AK52" s="148">
        <v>0.35538055833788423</v>
      </c>
      <c r="AL52" s="148">
        <v>0.40086222648125192</v>
      </c>
      <c r="AM52" s="148">
        <v>0.42765501471352818</v>
      </c>
      <c r="AN52" s="148">
        <v>0.45018432207408471</v>
      </c>
      <c r="AO52" s="148">
        <v>0.49566961247760949</v>
      </c>
      <c r="AP52" s="148">
        <v>0.55749309575447259</v>
      </c>
      <c r="AQ52" s="148">
        <v>0.57531380110512698</v>
      </c>
      <c r="AR52" s="150">
        <f ca="1">SUM(OFFSET(AF52,0,$B$2-1):OFFSET(AF52,0,$B$3-1))</f>
        <v>3.3525343260257578</v>
      </c>
      <c r="AS52" s="169">
        <f t="shared" si="15"/>
        <v>3.9278481271308849</v>
      </c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48">
        <f ca="1">SUM(OFFSET(AT52,0,$B$2-1):OFFSET(AT52,0,$B$3-1))</f>
        <v>0</v>
      </c>
      <c r="BG52" s="148">
        <f t="shared" si="7"/>
        <v>0</v>
      </c>
    </row>
    <row r="53" spans="1:59">
      <c r="A53" s="164" t="s">
        <v>121</v>
      </c>
      <c r="B53" s="166" t="e">
        <f t="shared" ca="1" si="40"/>
        <v>#DIV/0!</v>
      </c>
      <c r="C53" s="165">
        <f t="shared" si="44"/>
        <v>0</v>
      </c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65">
        <f ca="1">SUM(OFFSET(Q53,0,$B$2-1):OFFSET(Q53,0,$B$3-1))</f>
        <v>0</v>
      </c>
      <c r="Q53" s="171"/>
      <c r="R53" s="171"/>
      <c r="S53" s="171"/>
      <c r="T53" s="171"/>
      <c r="U53" s="171"/>
      <c r="V53" s="171"/>
      <c r="W53" s="171"/>
      <c r="X53" s="171"/>
      <c r="Y53" s="171"/>
      <c r="Z53" s="171"/>
      <c r="AA53" s="171"/>
      <c r="AB53" s="171"/>
      <c r="AE53" s="164" t="s">
        <v>121</v>
      </c>
      <c r="AF53" s="148">
        <v>0.09</v>
      </c>
      <c r="AG53" s="148">
        <v>7.0000000000000007E-2</v>
      </c>
      <c r="AH53" s="148">
        <v>0.1</v>
      </c>
      <c r="AI53" s="148">
        <v>0.24035474089994316</v>
      </c>
      <c r="AJ53" s="148">
        <v>0.39867014832114162</v>
      </c>
      <c r="AK53" s="148">
        <v>0.5626464462552917</v>
      </c>
      <c r="AL53" s="148">
        <v>0.72603018981267642</v>
      </c>
      <c r="AM53" s="148">
        <v>0.90317127852173051</v>
      </c>
      <c r="AN53" s="148">
        <v>1.0792872830623912</v>
      </c>
      <c r="AO53" s="148">
        <v>1.2583687516335209</v>
      </c>
      <c r="AP53" s="148">
        <v>1.4399347767218822</v>
      </c>
      <c r="AQ53" s="148">
        <v>1.6272018978159521</v>
      </c>
      <c r="AR53" s="150">
        <f ca="1">SUM(OFFSET(AF53,0,$B$2-1):OFFSET(AF53,0,$B$3-1))</f>
        <v>6.8684636152285776</v>
      </c>
      <c r="AS53" s="169">
        <f t="shared" si="15"/>
        <v>8.4956655130445302</v>
      </c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>
        <f ca="1">SUM(OFFSET(AT53,0,$B$2-1):OFFSET(AT53,0,$B$3-1))</f>
        <v>0</v>
      </c>
      <c r="BG53" s="148">
        <f t="shared" si="7"/>
        <v>0</v>
      </c>
    </row>
    <row r="54" spans="1:59">
      <c r="A54" s="164" t="s">
        <v>122</v>
      </c>
      <c r="B54" s="166">
        <f t="shared" ca="1" si="40"/>
        <v>0</v>
      </c>
      <c r="C54" s="165">
        <f t="shared" si="44"/>
        <v>10.657676951716823</v>
      </c>
      <c r="D54" s="165">
        <v>1.4490882360081265</v>
      </c>
      <c r="E54" s="165">
        <v>0.80965216109999993</v>
      </c>
      <c r="F54" s="165">
        <v>0.6898875000000001</v>
      </c>
      <c r="G54" s="165">
        <v>0.52088250000000003</v>
      </c>
      <c r="H54" s="171">
        <v>0.55337653260869601</v>
      </c>
      <c r="I54" s="165">
        <v>0.50011749999999999</v>
      </c>
      <c r="J54" s="171">
        <v>1.09538</v>
      </c>
      <c r="K54" s="171">
        <v>0.12804252199999999</v>
      </c>
      <c r="L54" s="165">
        <v>0.8</v>
      </c>
      <c r="M54" s="165">
        <v>0.91125</v>
      </c>
      <c r="N54" s="165">
        <v>3.2</v>
      </c>
      <c r="O54" s="165"/>
      <c r="P54" s="165">
        <f ca="1">SUM(OFFSET(Q54,0,$B$2-1):OFFSET(Q54,0,$B$3-1))</f>
        <v>0</v>
      </c>
      <c r="Q54" s="165"/>
      <c r="R54" s="165"/>
      <c r="S54" s="165"/>
      <c r="T54" s="165"/>
      <c r="U54" s="171"/>
      <c r="V54" s="165"/>
      <c r="W54" s="171"/>
      <c r="X54" s="171"/>
      <c r="Y54" s="165"/>
      <c r="Z54" s="165"/>
      <c r="AA54" s="165"/>
      <c r="AB54" s="165"/>
      <c r="AE54" s="164" t="s">
        <v>122</v>
      </c>
      <c r="AF54" s="148">
        <v>0.9</v>
      </c>
      <c r="AG54" s="148">
        <v>0.9</v>
      </c>
      <c r="AH54" s="148">
        <v>0.9</v>
      </c>
      <c r="AI54" s="148">
        <v>0.9</v>
      </c>
      <c r="AJ54" s="148">
        <v>0.9</v>
      </c>
      <c r="AK54" s="148">
        <v>0.9</v>
      </c>
      <c r="AL54" s="148">
        <v>0.9</v>
      </c>
      <c r="AM54" s="148">
        <v>0.9</v>
      </c>
      <c r="AN54" s="148">
        <v>0.9</v>
      </c>
      <c r="AO54" s="148">
        <v>0.9</v>
      </c>
      <c r="AP54" s="148">
        <v>0.9</v>
      </c>
      <c r="AQ54" s="148">
        <v>0.9</v>
      </c>
      <c r="AR54" s="150">
        <f ca="1">SUM(OFFSET(AF54,0,$B$2-1):OFFSET(AF54,0,$B$3-1))</f>
        <v>9.9000000000000021</v>
      </c>
      <c r="AS54" s="169">
        <f t="shared" si="15"/>
        <v>10.800000000000002</v>
      </c>
      <c r="AT54" s="148">
        <v>0.6</v>
      </c>
      <c r="AU54" s="148">
        <v>0.6</v>
      </c>
      <c r="AV54" s="148">
        <v>0.6</v>
      </c>
      <c r="AW54" s="148">
        <v>0.6</v>
      </c>
      <c r="AX54" s="148">
        <v>0.6</v>
      </c>
      <c r="AY54" s="148">
        <v>0.6</v>
      </c>
      <c r="AZ54" s="148">
        <v>0.6</v>
      </c>
      <c r="BA54" s="148">
        <v>0.6</v>
      </c>
      <c r="BB54" s="148">
        <v>0.6</v>
      </c>
      <c r="BC54" s="148">
        <v>0.6</v>
      </c>
      <c r="BD54" s="148">
        <v>0.6</v>
      </c>
      <c r="BE54" s="148">
        <v>0.6</v>
      </c>
      <c r="BF54" s="148">
        <f ca="1">SUM(OFFSET(AT54,0,$B$2-1):OFFSET(AT54,0,$B$3-1))</f>
        <v>6.5999999999999988</v>
      </c>
      <c r="BG54" s="148">
        <f t="shared" si="7"/>
        <v>7.1999999999999984</v>
      </c>
    </row>
    <row r="55" spans="1:59">
      <c r="A55" s="156" t="s">
        <v>123</v>
      </c>
      <c r="B55" s="166">
        <f t="shared" ca="1" si="40"/>
        <v>0.13144779791739408</v>
      </c>
      <c r="C55" s="165">
        <f t="shared" si="44"/>
        <v>5.3893341724985966</v>
      </c>
      <c r="D55" s="158">
        <v>0.10100000000000001</v>
      </c>
      <c r="E55" s="158">
        <v>0.39072714000000003</v>
      </c>
      <c r="F55" s="158">
        <v>0.14982256681107101</v>
      </c>
      <c r="G55" s="158">
        <v>0.20384181731448051</v>
      </c>
      <c r="H55" s="160">
        <v>0.59297583515082197</v>
      </c>
      <c r="I55" s="160">
        <v>0.63220856011111093</v>
      </c>
      <c r="J55" s="160">
        <v>0.594639642333334</v>
      </c>
      <c r="K55" s="160">
        <v>0.21694140377777799</v>
      </c>
      <c r="L55" s="158">
        <v>5.5E-2</v>
      </c>
      <c r="M55" s="158">
        <v>1.1000000000000001</v>
      </c>
      <c r="N55" s="158">
        <v>0.2</v>
      </c>
      <c r="O55" s="158">
        <v>1.152177207</v>
      </c>
      <c r="P55" s="165">
        <f ca="1">SUM(OFFSET(Q55,0,$B$2-1):OFFSET(Q55,0,$B$3-1))</f>
        <v>2.0175434133333323</v>
      </c>
      <c r="Q55" s="158">
        <v>7.9701328555555395E-2</v>
      </c>
      <c r="R55" s="158">
        <f>187.423233888889/1000</f>
        <v>0.18742323388888901</v>
      </c>
      <c r="S55" s="158">
        <f>499.883868888889/1000</f>
        <v>0.49988386888888903</v>
      </c>
      <c r="T55" s="158">
        <v>0.63200000000000001</v>
      </c>
      <c r="U55" s="160">
        <v>0.16124352844444401</v>
      </c>
      <c r="V55" s="160">
        <v>0.17345222111111105</v>
      </c>
      <c r="W55" s="160">
        <v>0.19703575177777749</v>
      </c>
      <c r="X55" s="160">
        <v>8.574448966666659E-2</v>
      </c>
      <c r="Y55" s="160">
        <v>1.0589909999998781E-3</v>
      </c>
      <c r="Z55" s="160">
        <f t="shared" ref="Z55:AB55" si="45">SUM(Z57:Z58)</f>
        <v>0</v>
      </c>
      <c r="AA55" s="160">
        <f t="shared" si="45"/>
        <v>0</v>
      </c>
      <c r="AB55" s="160">
        <f t="shared" si="45"/>
        <v>0</v>
      </c>
      <c r="AE55" s="156" t="s">
        <v>123</v>
      </c>
      <c r="AF55" s="148">
        <f>AF57+AF58</f>
        <v>1.0065137962962964</v>
      </c>
      <c r="AG55" s="148">
        <f t="shared" ref="AG55:AQ55" si="46">AG57+AG58</f>
        <v>1.1088517592592593</v>
      </c>
      <c r="AH55" s="148">
        <f t="shared" si="46"/>
        <v>1.2045334722222221</v>
      </c>
      <c r="AI55" s="148">
        <f t="shared" si="46"/>
        <v>1.2926796296296297</v>
      </c>
      <c r="AJ55" s="148">
        <f>AJ57+AJ58</f>
        <v>1.3789168981481481</v>
      </c>
      <c r="AK55" s="148">
        <f t="shared" si="46"/>
        <v>1.4350777777777779</v>
      </c>
      <c r="AL55" s="148">
        <f t="shared" si="46"/>
        <v>1.5652447685185185</v>
      </c>
      <c r="AM55" s="148">
        <f t="shared" si="46"/>
        <v>1.6639125925925926</v>
      </c>
      <c r="AN55" s="148">
        <f t="shared" si="46"/>
        <v>1.7723026388888892</v>
      </c>
      <c r="AO55" s="148">
        <f t="shared" si="46"/>
        <v>1.8874982407407412</v>
      </c>
      <c r="AP55" s="148">
        <f t="shared" si="46"/>
        <v>1.9387806481481487</v>
      </c>
      <c r="AQ55" s="148">
        <f t="shared" si="46"/>
        <v>2.1137227777777778</v>
      </c>
      <c r="AR55" s="150">
        <f ca="1">SUM(OFFSET(AF55,0,$B$2-1):OFFSET(AF55,0,$B$3-1))</f>
        <v>16.254312222222222</v>
      </c>
      <c r="AS55" s="169">
        <f t="shared" si="15"/>
        <v>18.368034999999999</v>
      </c>
      <c r="AT55" s="150">
        <f>SUM(AT56:AT58)</f>
        <v>1.788427459391208</v>
      </c>
      <c r="AU55" s="150">
        <f t="shared" ref="AU55:BE55" si="47">SUM(AU56:AU58)</f>
        <v>0.90330870248089012</v>
      </c>
      <c r="AV55" s="150">
        <f t="shared" si="47"/>
        <v>0.97462565579784299</v>
      </c>
      <c r="AW55" s="150">
        <f t="shared" si="47"/>
        <v>1.0468592757814639</v>
      </c>
      <c r="AX55" s="150">
        <f t="shared" si="47"/>
        <v>1.1100587024808899</v>
      </c>
      <c r="AY55" s="150">
        <f t="shared" si="47"/>
        <v>1.174174795846983</v>
      </c>
      <c r="AZ55" s="150">
        <f t="shared" si="47"/>
        <v>1.239207555879744</v>
      </c>
      <c r="BA55" s="150">
        <f t="shared" si="47"/>
        <v>1.3006115280337149</v>
      </c>
      <c r="BB55" s="150">
        <f t="shared" si="47"/>
        <v>1.3629321668543541</v>
      </c>
      <c r="BC55" s="150">
        <f t="shared" si="47"/>
        <v>1.4261694723416598</v>
      </c>
      <c r="BD55" s="150">
        <f t="shared" si="47"/>
        <v>1.4903234444956321</v>
      </c>
      <c r="BE55" s="150">
        <f t="shared" si="47"/>
        <v>1.531929709851898</v>
      </c>
      <c r="BF55" s="148">
        <f ca="1">SUM(OFFSET(AT55,0,$B$2-1):OFFSET(AT55,0,$B$3-1))</f>
        <v>13.816698759384382</v>
      </c>
      <c r="BG55" s="148">
        <f t="shared" si="7"/>
        <v>15.34862846923628</v>
      </c>
    </row>
    <row r="56" spans="1:59">
      <c r="A56" s="287" t="s">
        <v>15</v>
      </c>
      <c r="B56" s="166"/>
      <c r="C56" s="165"/>
      <c r="D56" s="158"/>
      <c r="E56" s="158"/>
      <c r="F56" s="158"/>
      <c r="G56" s="158"/>
      <c r="H56" s="160"/>
      <c r="I56" s="160"/>
      <c r="J56" s="160"/>
      <c r="K56" s="160"/>
      <c r="L56" s="158"/>
      <c r="M56" s="158"/>
      <c r="N56" s="158"/>
      <c r="O56" s="158"/>
      <c r="P56" s="165"/>
      <c r="Q56" s="158"/>
      <c r="R56" s="158"/>
      <c r="S56" s="158"/>
      <c r="T56" s="158"/>
      <c r="U56" s="160"/>
      <c r="V56" s="160"/>
      <c r="W56" s="160"/>
      <c r="X56" s="160"/>
      <c r="Y56" s="160"/>
      <c r="Z56" s="160"/>
      <c r="AA56" s="160"/>
      <c r="AB56" s="160"/>
      <c r="AE56" s="156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150"/>
      <c r="AS56" s="169"/>
      <c r="AT56" s="572">
        <v>0.13409090909090901</v>
      </c>
      <c r="AU56" s="572">
        <v>0.15454545454545501</v>
      </c>
      <c r="AV56" s="572">
        <v>0.17272727272727301</v>
      </c>
      <c r="AW56" s="572">
        <v>0.190909090909091</v>
      </c>
      <c r="AX56" s="572">
        <v>0.204545454545455</v>
      </c>
      <c r="AY56" s="572">
        <v>0.218181818181818</v>
      </c>
      <c r="AZ56" s="572">
        <v>0.23181818181818201</v>
      </c>
      <c r="BA56" s="572">
        <v>0.24090909090909099</v>
      </c>
      <c r="BB56" s="572">
        <v>0.25</v>
      </c>
      <c r="BC56" s="572">
        <v>0.25909090909090898</v>
      </c>
      <c r="BD56" s="572">
        <v>0.26818181818181802</v>
      </c>
      <c r="BE56" s="572">
        <v>0.27272727272727298</v>
      </c>
      <c r="BF56" s="148">
        <f ca="1">SUM(OFFSET(AT56,0,$B$2-1):OFFSET(AT56,0,$B$3-1))</f>
        <v>2.3250000000000011</v>
      </c>
      <c r="BG56" s="148">
        <f t="shared" ref="BG56" si="48">SUM(AT56:BE56)</f>
        <v>2.597727272727274</v>
      </c>
    </row>
    <row r="57" spans="1:59">
      <c r="A57" s="287" t="s">
        <v>124</v>
      </c>
      <c r="B57" s="166">
        <f t="shared" ca="1" si="40"/>
        <v>0</v>
      </c>
      <c r="C57" s="165">
        <f t="shared" si="44"/>
        <v>1.572536561333334</v>
      </c>
      <c r="D57" s="165">
        <v>0.10100000000000001</v>
      </c>
      <c r="E57" s="165">
        <v>4.3439999999999999E-2</v>
      </c>
      <c r="F57" s="165">
        <v>5.2749999999999998E-2</v>
      </c>
      <c r="G57" s="165">
        <v>0.15</v>
      </c>
      <c r="H57" s="171">
        <v>0.20557283799999998</v>
      </c>
      <c r="I57" s="165">
        <v>0.51752772749999998</v>
      </c>
      <c r="J57" s="171">
        <v>0.50224599583333396</v>
      </c>
      <c r="K57" s="171"/>
      <c r="L57" s="165"/>
      <c r="M57" s="165"/>
      <c r="N57" s="165"/>
      <c r="O57" s="165"/>
      <c r="P57" s="165">
        <f ca="1">SUM(OFFSET(Q57,0,$B$2-1):OFFSET(Q57,0,$B$3-1))</f>
        <v>0</v>
      </c>
      <c r="Q57" s="165"/>
      <c r="R57" s="165"/>
      <c r="S57" s="165"/>
      <c r="T57" s="165"/>
      <c r="U57" s="171"/>
      <c r="V57" s="165"/>
      <c r="W57" s="165"/>
      <c r="X57" s="165"/>
      <c r="Y57" s="165"/>
      <c r="Z57" s="165"/>
      <c r="AA57" s="165"/>
      <c r="AB57" s="165"/>
      <c r="AE57" s="164" t="s">
        <v>125</v>
      </c>
      <c r="AF57" s="148">
        <v>0.19560185185185186</v>
      </c>
      <c r="AG57" s="148">
        <v>0.2071759259259259</v>
      </c>
      <c r="AH57" s="148">
        <v>0.21874999999999997</v>
      </c>
      <c r="AI57" s="148">
        <v>0.23032407407407401</v>
      </c>
      <c r="AJ57" s="148">
        <v>0.24189814814814811</v>
      </c>
      <c r="AK57" s="148">
        <v>0.25347222222222215</v>
      </c>
      <c r="AL57" s="148">
        <v>0.26504629629629622</v>
      </c>
      <c r="AM57" s="148">
        <v>0.27662037037037029</v>
      </c>
      <c r="AN57" s="148">
        <v>0.28819444444444442</v>
      </c>
      <c r="AO57" s="148">
        <v>0.29976851851851843</v>
      </c>
      <c r="AP57" s="148">
        <v>0.31134259259259256</v>
      </c>
      <c r="AQ57" s="148">
        <v>0.32291666666666669</v>
      </c>
      <c r="AR57" s="150">
        <f ca="1">SUM(OFFSET(AF57,0,$B$2-1):OFFSET(AF57,0,$B$3-1))</f>
        <v>2.7881944444444442</v>
      </c>
      <c r="AS57" s="169">
        <f t="shared" si="15"/>
        <v>3.1111111111111107</v>
      </c>
      <c r="AT57" s="148">
        <v>0.244189189189189</v>
      </c>
      <c r="AU57" s="148">
        <v>0.27432432432432402</v>
      </c>
      <c r="AV57" s="148">
        <v>0.30445945945945901</v>
      </c>
      <c r="AW57" s="148">
        <v>0.33459459459459501</v>
      </c>
      <c r="AX57" s="148">
        <v>0.35932432432432398</v>
      </c>
      <c r="AY57" s="148">
        <v>0.38405405405405402</v>
      </c>
      <c r="AZ57" s="148">
        <v>0.40878378378378399</v>
      </c>
      <c r="BA57" s="148">
        <v>0.43351351351351303</v>
      </c>
      <c r="BB57" s="148">
        <v>0.458243243243243</v>
      </c>
      <c r="BC57" s="148">
        <v>0.48297297297297298</v>
      </c>
      <c r="BD57" s="148">
        <v>0.50770270270270301</v>
      </c>
      <c r="BE57" s="148">
        <v>0.51351351351351404</v>
      </c>
      <c r="BF57" s="148">
        <f ca="1">SUM(OFFSET(AT57,0,$B$2-1):OFFSET(AT57,0,$B$3-1))</f>
        <v>4.1921621621621608</v>
      </c>
      <c r="BG57" s="148">
        <f t="shared" si="7"/>
        <v>4.7056756756756748</v>
      </c>
    </row>
    <row r="58" spans="1:59">
      <c r="A58" s="287" t="s">
        <v>126</v>
      </c>
      <c r="B58" s="166">
        <f t="shared" ca="1" si="40"/>
        <v>0</v>
      </c>
      <c r="C58" s="165">
        <f t="shared" si="44"/>
        <v>2.4026442857208226</v>
      </c>
      <c r="D58" s="165"/>
      <c r="E58" s="165">
        <v>0.34728714000000005</v>
      </c>
      <c r="F58" s="165">
        <v>9.7072566811071001E-2</v>
      </c>
      <c r="G58" s="165">
        <v>5.3841817314480504E-2</v>
      </c>
      <c r="H58" s="171">
        <v>0.38740299715082199</v>
      </c>
      <c r="I58" s="165">
        <v>0.11468083261111101</v>
      </c>
      <c r="J58" s="171">
        <v>9.239364650000001E-2</v>
      </c>
      <c r="K58" s="171">
        <v>0.21694140377777799</v>
      </c>
      <c r="L58" s="165"/>
      <c r="M58" s="165">
        <v>1.09302388155556</v>
      </c>
      <c r="N58" s="165"/>
      <c r="O58" s="165"/>
      <c r="P58" s="165">
        <f ca="1">SUM(OFFSET(Q58,0,$B$2-1):OFFSET(Q58,0,$B$3-1))</f>
        <v>0</v>
      </c>
      <c r="Q58" s="165"/>
      <c r="R58" s="165"/>
      <c r="S58" s="165"/>
      <c r="T58" s="165"/>
      <c r="U58" s="171"/>
      <c r="V58" s="165"/>
      <c r="W58" s="171"/>
      <c r="X58" s="171"/>
      <c r="Y58" s="165"/>
      <c r="Z58" s="165"/>
      <c r="AA58" s="165"/>
      <c r="AB58" s="165"/>
      <c r="AE58" s="164" t="s">
        <v>127</v>
      </c>
      <c r="AF58" s="148">
        <v>0.81091194444444459</v>
      </c>
      <c r="AG58" s="148">
        <v>0.90167583333333345</v>
      </c>
      <c r="AH58" s="148">
        <v>0.98578347222222218</v>
      </c>
      <c r="AI58" s="148">
        <v>1.0623555555555557</v>
      </c>
      <c r="AJ58" s="148">
        <v>1.13701875</v>
      </c>
      <c r="AK58" s="148">
        <v>1.1816055555555558</v>
      </c>
      <c r="AL58" s="148">
        <v>1.3001984722222222</v>
      </c>
      <c r="AM58" s="148">
        <v>1.3872922222222224</v>
      </c>
      <c r="AN58" s="148">
        <v>1.4841081944444448</v>
      </c>
      <c r="AO58" s="148">
        <v>1.5877297222222229</v>
      </c>
      <c r="AP58" s="148">
        <v>1.6274380555555561</v>
      </c>
      <c r="AQ58" s="148">
        <v>1.7908061111111113</v>
      </c>
      <c r="AR58" s="150">
        <f ca="1">SUM(OFFSET(AF58,0,$B$2-1):OFFSET(AF58,0,$B$3-1))</f>
        <v>13.466117777777781</v>
      </c>
      <c r="AS58" s="169">
        <f t="shared" si="15"/>
        <v>15.256923888888892</v>
      </c>
      <c r="AT58" s="148">
        <v>1.4101473611111099</v>
      </c>
      <c r="AU58" s="148">
        <v>0.47443892361111101</v>
      </c>
      <c r="AV58" s="148">
        <v>0.49743892361111097</v>
      </c>
      <c r="AW58" s="148">
        <v>0.521355590277778</v>
      </c>
      <c r="AX58" s="148">
        <v>0.54618892361111104</v>
      </c>
      <c r="AY58" s="148">
        <v>0.57193892361111098</v>
      </c>
      <c r="AZ58" s="148">
        <v>0.59860559027777804</v>
      </c>
      <c r="BA58" s="148">
        <v>0.626188923611111</v>
      </c>
      <c r="BB58" s="148">
        <v>0.65468892361111097</v>
      </c>
      <c r="BC58" s="148">
        <v>0.68410559027777795</v>
      </c>
      <c r="BD58" s="148">
        <v>0.71443892361111105</v>
      </c>
      <c r="BE58" s="148">
        <v>0.74568892361111105</v>
      </c>
      <c r="BF58" s="148">
        <f ca="1">SUM(OFFSET(AT58,0,$B$2-1):OFFSET(AT58,0,$B$3-1))</f>
        <v>7.2995365972222217</v>
      </c>
      <c r="BG58" s="148">
        <f t="shared" si="7"/>
        <v>8.0452255208333323</v>
      </c>
    </row>
    <row r="59" spans="1:59">
      <c r="A59" s="173" t="s">
        <v>128</v>
      </c>
      <c r="B59" s="166">
        <f t="shared" ca="1" si="40"/>
        <v>0.60679964133550246</v>
      </c>
      <c r="C59" s="165">
        <f t="shared" si="44"/>
        <v>131.17641563830858</v>
      </c>
      <c r="D59" s="170">
        <v>4.2301036869999997</v>
      </c>
      <c r="E59" s="170">
        <v>3.5088549650000003</v>
      </c>
      <c r="F59" s="170">
        <v>1.457109558</v>
      </c>
      <c r="G59" s="170">
        <v>9.8364255319999998</v>
      </c>
      <c r="H59" s="338">
        <v>10.443398661</v>
      </c>
      <c r="I59" s="338">
        <v>9.7040827103760297</v>
      </c>
      <c r="J59" s="338">
        <v>11.1048422948381</v>
      </c>
      <c r="K59" s="338">
        <v>12.978612755094449</v>
      </c>
      <c r="L59" s="338">
        <v>18.179000000000002</v>
      </c>
      <c r="M59" s="338">
        <v>19.323440548000001</v>
      </c>
      <c r="N59" s="338">
        <v>20.503</v>
      </c>
      <c r="O59" s="338">
        <v>9.907544927</v>
      </c>
      <c r="P59" s="165">
        <f ca="1">SUM(OFFSET(Q59,0,$B$2-1):OFFSET(Q59,0,$B$3-1))</f>
        <v>224.21590612705157</v>
      </c>
      <c r="Q59" s="170">
        <f t="shared" ref="Q59:S59" si="49">SUM(Q60:Q65)</f>
        <v>13.33691351247337</v>
      </c>
      <c r="R59" s="170">
        <f t="shared" si="49"/>
        <v>16.678492690999999</v>
      </c>
      <c r="S59" s="170">
        <f t="shared" si="49"/>
        <v>15.882814482984617</v>
      </c>
      <c r="T59" s="170">
        <v>23.169</v>
      </c>
      <c r="U59" s="338">
        <v>19.3701658898655</v>
      </c>
      <c r="V59" s="338">
        <v>23.953242265999997</v>
      </c>
      <c r="W59" s="338">
        <v>37.094830952999999</v>
      </c>
      <c r="X59" s="338">
        <v>31.812427089728104</v>
      </c>
      <c r="Y59" s="338">
        <v>42.918019241999993</v>
      </c>
      <c r="Z59" s="338">
        <f t="shared" ref="Z59:AB59" si="50">SUM(Z60:Z65)</f>
        <v>0</v>
      </c>
      <c r="AA59" s="338">
        <f t="shared" si="50"/>
        <v>0</v>
      </c>
      <c r="AB59" s="338">
        <f t="shared" si="50"/>
        <v>0</v>
      </c>
      <c r="AE59" s="173" t="s">
        <v>128</v>
      </c>
      <c r="AF59" s="150">
        <f>SUM(AF60:AF65)</f>
        <v>14.958493229374684</v>
      </c>
      <c r="AG59" s="150">
        <f t="shared" ref="AG59:AO59" si="51">SUM(AG60:AG65)</f>
        <v>11.352091658066918</v>
      </c>
      <c r="AH59" s="150">
        <f t="shared" si="51"/>
        <v>17.114848365376911</v>
      </c>
      <c r="AI59" s="150">
        <f t="shared" si="51"/>
        <v>20.40576889348764</v>
      </c>
      <c r="AJ59" s="150">
        <f t="shared" si="51"/>
        <v>21.977896099904079</v>
      </c>
      <c r="AK59" s="150">
        <f t="shared" si="51"/>
        <v>26.171305549912187</v>
      </c>
      <c r="AL59" s="150">
        <f t="shared" si="51"/>
        <v>29.553722468082409</v>
      </c>
      <c r="AM59" s="150">
        <f t="shared" si="51"/>
        <v>29.206146875837216</v>
      </c>
      <c r="AN59" s="150">
        <f t="shared" si="51"/>
        <v>31.895259422011137</v>
      </c>
      <c r="AO59" s="150">
        <f t="shared" si="51"/>
        <v>36.612804206707452</v>
      </c>
      <c r="AP59" s="150">
        <f>SUM(AP60:AP65)</f>
        <v>34.423641803051119</v>
      </c>
      <c r="AQ59" s="150">
        <f>SUM(AQ60:AQ65)</f>
        <v>37.449018885746554</v>
      </c>
      <c r="AR59" s="150">
        <f ca="1">SUM(OFFSET(AF59,0,$B$2-1):OFFSET(AF59,0,$B$3-1))</f>
        <v>273.67197857181174</v>
      </c>
      <c r="AS59" s="169">
        <f t="shared" si="15"/>
        <v>311.1209974575583</v>
      </c>
      <c r="AT59" s="150">
        <f>SUM(AT60:AT65)</f>
        <v>27.894042116373736</v>
      </c>
      <c r="AU59" s="150">
        <f t="shared" ref="AU59:BE59" si="52">SUM(AU60:AU65)</f>
        <v>28.461745888520376</v>
      </c>
      <c r="AV59" s="150">
        <f t="shared" si="52"/>
        <v>29.544495051955813</v>
      </c>
      <c r="AW59" s="150">
        <f t="shared" si="52"/>
        <v>29.68729812181251</v>
      </c>
      <c r="AX59" s="150">
        <f t="shared" si="52"/>
        <v>30.420258676292754</v>
      </c>
      <c r="AY59" s="150">
        <f t="shared" si="52"/>
        <v>30.541293152339104</v>
      </c>
      <c r="AZ59" s="150">
        <f t="shared" si="52"/>
        <v>28.878090288759363</v>
      </c>
      <c r="BA59" s="150">
        <f t="shared" si="52"/>
        <v>29.605401832829802</v>
      </c>
      <c r="BB59" s="150">
        <f t="shared" si="52"/>
        <v>30.490428685455367</v>
      </c>
      <c r="BC59" s="150">
        <f t="shared" si="52"/>
        <v>32.420195649145427</v>
      </c>
      <c r="BD59" s="150">
        <f t="shared" si="52"/>
        <v>34.664396696359944</v>
      </c>
      <c r="BE59" s="150">
        <f t="shared" si="52"/>
        <v>36.89802070834287</v>
      </c>
      <c r="BF59" s="148">
        <f ca="1">SUM(OFFSET(AT59,0,$B$2-1):OFFSET(AT59,0,$B$3-1))</f>
        <v>332.60764615984419</v>
      </c>
      <c r="BG59" s="148">
        <f t="shared" si="7"/>
        <v>369.50566686818706</v>
      </c>
    </row>
    <row r="60" spans="1:59">
      <c r="A60" s="164" t="s">
        <v>129</v>
      </c>
      <c r="B60" s="166">
        <f t="shared" ca="1" si="40"/>
        <v>9.7195828421654099E-2</v>
      </c>
      <c r="C60" s="165">
        <f t="shared" si="44"/>
        <v>9.2054036119999996</v>
      </c>
      <c r="D60" s="165">
        <v>0.66279852700000008</v>
      </c>
      <c r="E60" s="165">
        <v>0.66596756499999998</v>
      </c>
      <c r="F60" s="165">
        <v>0.71455003699999997</v>
      </c>
      <c r="G60" s="165">
        <v>0.70298953200000003</v>
      </c>
      <c r="H60" s="171">
        <v>0.74445641100000004</v>
      </c>
      <c r="I60" s="165">
        <v>0.74059143800000005</v>
      </c>
      <c r="J60" s="171">
        <v>0.77735480700000004</v>
      </c>
      <c r="K60" s="171">
        <v>0.79620982000000007</v>
      </c>
      <c r="L60" s="165">
        <v>0.8</v>
      </c>
      <c r="M60" s="165">
        <v>0.85894054800000008</v>
      </c>
      <c r="N60" s="165">
        <v>0.85299999999999998</v>
      </c>
      <c r="O60" s="165">
        <v>0.88854492699999998</v>
      </c>
      <c r="P60" s="165">
        <f ca="1">SUM(OFFSET(Q60,0,$B$2-1):OFFSET(Q60,0,$B$3-1))</f>
        <v>3.0191535199999997</v>
      </c>
      <c r="Q60" s="165">
        <v>0.92989477799999998</v>
      </c>
      <c r="R60" s="165">
        <f>969.053328/1000</f>
        <v>0.96905332799999999</v>
      </c>
      <c r="S60" s="165">
        <v>1.120205414</v>
      </c>
      <c r="T60" s="165"/>
      <c r="U60" s="171"/>
      <c r="V60" s="165"/>
      <c r="W60" s="171"/>
      <c r="X60" s="171"/>
      <c r="Y60" s="165"/>
      <c r="Z60" s="165"/>
      <c r="AA60" s="165"/>
      <c r="AB60" s="165"/>
      <c r="AE60" s="164" t="s">
        <v>129</v>
      </c>
      <c r="AF60" s="148">
        <v>0.70416666666666661</v>
      </c>
      <c r="AG60" s="148">
        <v>0.74583333333333324</v>
      </c>
      <c r="AH60" s="148">
        <v>0.78749999999999976</v>
      </c>
      <c r="AI60" s="148">
        <v>0.8291666666666665</v>
      </c>
      <c r="AJ60" s="148">
        <v>0.87083333333333313</v>
      </c>
      <c r="AK60" s="148">
        <v>0.91249999999999976</v>
      </c>
      <c r="AL60" s="148">
        <v>1.1131944444444442</v>
      </c>
      <c r="AM60" s="148">
        <v>1.1618055555555551</v>
      </c>
      <c r="AN60" s="148">
        <v>1.2104166666666663</v>
      </c>
      <c r="AO60" s="148">
        <v>1.2590277777777776</v>
      </c>
      <c r="AP60" s="148">
        <v>1.3076388888888888</v>
      </c>
      <c r="AQ60" s="148">
        <v>1.35625</v>
      </c>
      <c r="AR60" s="150">
        <f ca="1">SUM(OFFSET(AF60,0,$B$2-1):OFFSET(AF60,0,$B$3-1))</f>
        <v>10.90208333333333</v>
      </c>
      <c r="AS60" s="169">
        <f t="shared" si="15"/>
        <v>12.258333333333329</v>
      </c>
      <c r="AT60" s="148">
        <v>1.0641875000000001</v>
      </c>
      <c r="AU60" s="148">
        <v>1.2893541666666699</v>
      </c>
      <c r="AV60" s="148">
        <v>1.5409375000000001</v>
      </c>
      <c r="AW60" s="148">
        <v>1.8134375</v>
      </c>
      <c r="AX60" s="148">
        <v>2.0900208333333299</v>
      </c>
      <c r="AY60" s="148">
        <v>2.3686875000000001</v>
      </c>
      <c r="AZ60" s="148">
        <v>2.66460416666667</v>
      </c>
      <c r="BA60" s="148">
        <v>2.9759375000000001</v>
      </c>
      <c r="BB60" s="148">
        <v>3.30235416666667</v>
      </c>
      <c r="BC60" s="148">
        <v>3.64535416666667</v>
      </c>
      <c r="BD60" s="148">
        <v>4.0049374999999996</v>
      </c>
      <c r="BE60" s="148">
        <v>4.3027708333333301</v>
      </c>
      <c r="BF60" s="148">
        <f ca="1">SUM(OFFSET(AT60,0,$B$2-1):OFFSET(AT60,0,$B$3-1))</f>
        <v>26.759812500000013</v>
      </c>
      <c r="BG60" s="148">
        <f t="shared" si="7"/>
        <v>31.062583333333343</v>
      </c>
    </row>
    <row r="61" spans="1:59">
      <c r="A61" s="164" t="s">
        <v>130</v>
      </c>
      <c r="B61" s="166">
        <f t="shared" ca="1" si="40"/>
        <v>0.1050267124495349</v>
      </c>
      <c r="C61" s="165">
        <f t="shared" si="44"/>
        <v>83.703452593064753</v>
      </c>
      <c r="D61" s="165">
        <v>1.9694609999999999</v>
      </c>
      <c r="E61" s="165">
        <v>1.171049</v>
      </c>
      <c r="F61" s="165">
        <v>0.17451087400000001</v>
      </c>
      <c r="G61" s="165">
        <v>7.5898260000000004</v>
      </c>
      <c r="H61" s="171">
        <v>7.3199359999999993</v>
      </c>
      <c r="I61" s="165">
        <v>5.1820233589710094</v>
      </c>
      <c r="J61" s="171">
        <v>5.3944861994407001</v>
      </c>
      <c r="K61" s="171">
        <v>8.6991601606530491</v>
      </c>
      <c r="L61" s="165">
        <v>12.913</v>
      </c>
      <c r="M61" s="165">
        <v>13.722</v>
      </c>
      <c r="N61" s="165">
        <v>15.85</v>
      </c>
      <c r="O61" s="165">
        <v>3.718</v>
      </c>
      <c r="P61" s="165">
        <f ca="1">SUM(OFFSET(Q61,0,$B$2-1):OFFSET(Q61,0,$B$3-1))</f>
        <v>26.693456793472979</v>
      </c>
      <c r="Q61" s="165">
        <v>6.7934213994092394</v>
      </c>
      <c r="R61" s="165">
        <f>10618.5465435/1000</f>
        <v>10.618546543500001</v>
      </c>
      <c r="S61" s="165">
        <v>9.2814888505637398</v>
      </c>
      <c r="T61" s="165"/>
      <c r="U61" s="171"/>
      <c r="V61" s="165"/>
      <c r="W61" s="171"/>
      <c r="X61" s="171"/>
      <c r="Y61" s="165"/>
      <c r="Z61" s="165"/>
      <c r="AA61" s="165"/>
      <c r="AB61" s="165"/>
      <c r="AE61" s="164" t="s">
        <v>130</v>
      </c>
      <c r="AF61" s="148">
        <v>10.279927333570324</v>
      </c>
      <c r="AG61" s="148">
        <v>7.8788806130583557</v>
      </c>
      <c r="AH61" s="148">
        <v>12.254349150353198</v>
      </c>
      <c r="AI61" s="148">
        <v>14.435487907632972</v>
      </c>
      <c r="AJ61" s="148">
        <v>14.919248765969838</v>
      </c>
      <c r="AK61" s="148">
        <v>17.93250239968738</v>
      </c>
      <c r="AL61" s="148">
        <v>20.071765371441348</v>
      </c>
      <c r="AM61" s="148">
        <v>18.95188444009775</v>
      </c>
      <c r="AN61" s="148">
        <v>20.466532862050869</v>
      </c>
      <c r="AO61" s="148">
        <v>21.482879212168335</v>
      </c>
      <c r="AP61" s="148">
        <v>17.859070621848613</v>
      </c>
      <c r="AQ61" s="148">
        <v>19.56469465973024</v>
      </c>
      <c r="AR61" s="150">
        <f ca="1">SUM(OFFSET(AF61,0,$B$2-1):OFFSET(AF61,0,$B$3-1))</f>
        <v>176.53252867787901</v>
      </c>
      <c r="AS61" s="169">
        <f t="shared" si="15"/>
        <v>196.09722333760925</v>
      </c>
      <c r="AT61" s="148">
        <v>21.420709746352198</v>
      </c>
      <c r="AU61" s="148">
        <v>21.5514146257612</v>
      </c>
      <c r="AV61" s="148">
        <v>21.680692709516201</v>
      </c>
      <c r="AW61" s="148">
        <v>21.301292424717602</v>
      </c>
      <c r="AX61" s="148">
        <v>21.6258751820485</v>
      </c>
      <c r="AY61" s="148">
        <v>21.608731063748699</v>
      </c>
      <c r="AZ61" s="148">
        <v>19.3472714518361</v>
      </c>
      <c r="BA61" s="148">
        <v>19.369286871052001</v>
      </c>
      <c r="BB61" s="148">
        <v>19.619629826190799</v>
      </c>
      <c r="BC61" s="148">
        <v>20.8151426896662</v>
      </c>
      <c r="BD61" s="148">
        <v>22.147863926416601</v>
      </c>
      <c r="BE61" s="148">
        <v>23.670828444452098</v>
      </c>
      <c r="BF61" s="148">
        <f ca="1">SUM(OFFSET(AT61,0,$B$2-1):OFFSET(AT61,0,$B$3-1))</f>
        <v>230.48791051730606</v>
      </c>
      <c r="BG61" s="148">
        <f t="shared" si="7"/>
        <v>254.15873896175816</v>
      </c>
    </row>
    <row r="62" spans="1:59">
      <c r="A62" s="164" t="s">
        <v>131</v>
      </c>
      <c r="B62" s="166">
        <f t="shared" ca="1" si="40"/>
        <v>0.21740895132262927</v>
      </c>
      <c r="C62" s="165">
        <f t="shared" si="44"/>
        <v>38.267559433243818</v>
      </c>
      <c r="D62" s="165">
        <v>1.59784416</v>
      </c>
      <c r="E62" s="165">
        <v>1.6718384000000002</v>
      </c>
      <c r="F62" s="165">
        <v>0.56804864699999991</v>
      </c>
      <c r="G62" s="165">
        <v>1.5436099999999999</v>
      </c>
      <c r="H62" s="171">
        <v>2.3790062499999998</v>
      </c>
      <c r="I62" s="165">
        <v>3.7814679134050202</v>
      </c>
      <c r="J62" s="171">
        <v>4.9330012883973993</v>
      </c>
      <c r="K62" s="171">
        <v>3.4832427744414001</v>
      </c>
      <c r="L62" s="165">
        <v>4.4660000000000002</v>
      </c>
      <c r="M62" s="165">
        <v>4.7424999999999997</v>
      </c>
      <c r="N62" s="165">
        <v>3.8</v>
      </c>
      <c r="O62" s="165">
        <v>5.3010000000000002</v>
      </c>
      <c r="P62" s="165">
        <f ca="1">SUM(OFFSET(Q62,0,$B$2-1):OFFSET(Q62,0,$B$3-1))</f>
        <v>16.185610372985007</v>
      </c>
      <c r="Q62" s="165">
        <v>5.6135973350641306</v>
      </c>
      <c r="R62" s="165">
        <f>5090.8928195/1000</f>
        <v>5.0908928194999996</v>
      </c>
      <c r="S62" s="165">
        <v>5.4811202184208758</v>
      </c>
      <c r="T62" s="165"/>
      <c r="U62" s="171"/>
      <c r="V62" s="165"/>
      <c r="W62" s="165"/>
      <c r="X62" s="165"/>
      <c r="Y62" s="165"/>
      <c r="Z62" s="165"/>
      <c r="AA62" s="165"/>
      <c r="AB62" s="165"/>
      <c r="AE62" s="164" t="s">
        <v>131</v>
      </c>
      <c r="AF62" s="148">
        <v>3.2397000093007047</v>
      </c>
      <c r="AG62" s="148">
        <v>1.8859592092024795</v>
      </c>
      <c r="AH62" s="148">
        <v>2.7381343154275855</v>
      </c>
      <c r="AI62" s="148">
        <v>2.9982661669905633</v>
      </c>
      <c r="AJ62" s="148">
        <v>2.8875929113757799</v>
      </c>
      <c r="AK62" s="148">
        <v>2.7606430728482496</v>
      </c>
      <c r="AL62" s="148">
        <v>3.2241727876692439</v>
      </c>
      <c r="AM62" s="148">
        <v>2.7600499543311514</v>
      </c>
      <c r="AN62" s="148">
        <v>2.6667232018573377</v>
      </c>
      <c r="AO62" s="148">
        <v>3.3694332815188393</v>
      </c>
      <c r="AP62" s="148">
        <v>3.2347445034921383</v>
      </c>
      <c r="AQ62" s="148">
        <v>2.9966163975276476</v>
      </c>
      <c r="AR62" s="150">
        <f ca="1">SUM(OFFSET(AF62,0,$B$2-1):OFFSET(AF62,0,$B$3-1))</f>
        <v>31.765419414014069</v>
      </c>
      <c r="AS62" s="169">
        <f t="shared" si="15"/>
        <v>34.762035811541715</v>
      </c>
      <c r="AT62" s="148">
        <v>5.4683474322031902</v>
      </c>
      <c r="AU62" s="148">
        <v>5.6926401359147603</v>
      </c>
      <c r="AV62" s="148">
        <v>6.0693635855366903</v>
      </c>
      <c r="AW62" s="148">
        <v>6.0788226217251804</v>
      </c>
      <c r="AX62" s="148">
        <v>6.2114018358269298</v>
      </c>
      <c r="AY62" s="148">
        <v>6.0304161232941</v>
      </c>
      <c r="AZ62" s="148">
        <v>6.1693146450043299</v>
      </c>
      <c r="BA62" s="148">
        <v>6.2929738139775004</v>
      </c>
      <c r="BB62" s="148">
        <v>6.4144244363249401</v>
      </c>
      <c r="BC62" s="148">
        <v>6.5406618971758403</v>
      </c>
      <c r="BD62" s="148">
        <v>6.6740589884233996</v>
      </c>
      <c r="BE62" s="148">
        <v>6.8053388223456297</v>
      </c>
      <c r="BF62" s="148">
        <f ca="1">SUM(OFFSET(AT62,0,$B$2-1):OFFSET(AT62,0,$B$3-1))</f>
        <v>67.642425515406856</v>
      </c>
      <c r="BG62" s="148">
        <f t="shared" si="7"/>
        <v>74.447764337752488</v>
      </c>
    </row>
    <row r="63" spans="1:59">
      <c r="A63" s="164" t="s">
        <v>132</v>
      </c>
      <c r="B63" s="166">
        <f t="shared" ca="1" si="40"/>
        <v>0</v>
      </c>
      <c r="C63" s="165">
        <f t="shared" si="44"/>
        <v>0</v>
      </c>
      <c r="D63" s="165"/>
      <c r="E63" s="165"/>
      <c r="F63" s="165"/>
      <c r="G63" s="165"/>
      <c r="H63" s="171"/>
      <c r="I63" s="165"/>
      <c r="J63" s="171"/>
      <c r="K63" s="171"/>
      <c r="L63" s="165"/>
      <c r="M63" s="165"/>
      <c r="N63" s="165"/>
      <c r="O63" s="165"/>
      <c r="P63" s="165">
        <f ca="1">SUM(OFFSET(Q63,0,$B$2-1):OFFSET(Q63,0,$B$3-1))</f>
        <v>0</v>
      </c>
      <c r="Q63" s="165"/>
      <c r="R63" s="165"/>
      <c r="S63" s="165"/>
      <c r="T63" s="165"/>
      <c r="U63" s="171"/>
      <c r="V63" s="165"/>
      <c r="W63" s="171"/>
      <c r="X63" s="171"/>
      <c r="Y63" s="165"/>
      <c r="Z63" s="165"/>
      <c r="AA63" s="165"/>
      <c r="AB63" s="165"/>
      <c r="AE63" s="164" t="s">
        <v>132</v>
      </c>
      <c r="AF63" s="148">
        <v>0.115</v>
      </c>
      <c r="AG63" s="148">
        <v>8.9070245742797274E-2</v>
      </c>
      <c r="AH63" s="148">
        <v>0.14095156081930377</v>
      </c>
      <c r="AI63" s="148">
        <v>0.1268487913708502</v>
      </c>
      <c r="AJ63" s="148">
        <v>0.16647493349819428</v>
      </c>
      <c r="AK63" s="148">
        <v>0.18358314418396354</v>
      </c>
      <c r="AL63" s="148">
        <v>0.13124839910383526</v>
      </c>
      <c r="AM63" s="148">
        <v>0.12541735601796422</v>
      </c>
      <c r="AN63" s="148">
        <v>0.1444611471122928</v>
      </c>
      <c r="AO63" s="148">
        <v>0.15337003901325763</v>
      </c>
      <c r="AP63" s="148">
        <v>0.17846621391986073</v>
      </c>
      <c r="AQ63" s="148">
        <v>0.17752895922858819</v>
      </c>
      <c r="AR63" s="150">
        <f ca="1">SUM(OFFSET(AF63,0,$B$2-1):OFFSET(AF63,0,$B$3-1))</f>
        <v>1.5548918307823194</v>
      </c>
      <c r="AS63" s="169">
        <f t="shared" si="15"/>
        <v>1.7324207900109077</v>
      </c>
      <c r="AT63" s="148">
        <v>9.6833333333333299E-2</v>
      </c>
      <c r="AU63" s="148">
        <v>0.192600493935837</v>
      </c>
      <c r="AV63" s="148">
        <v>0.31134666326388899</v>
      </c>
      <c r="AW63" s="148">
        <v>0.44315978108514498</v>
      </c>
      <c r="AX63" s="148">
        <v>0.57415605418510995</v>
      </c>
      <c r="AY63" s="148">
        <v>0.70543893391990198</v>
      </c>
      <c r="AZ63" s="148">
        <v>0.83959542789980701</v>
      </c>
      <c r="BA63" s="148">
        <v>0.98504927579619705</v>
      </c>
      <c r="BB63" s="148">
        <v>1.13487627231822</v>
      </c>
      <c r="BC63" s="148">
        <v>1.2927761416724499</v>
      </c>
      <c r="BD63" s="148">
        <v>1.4558563798355499</v>
      </c>
      <c r="BE63" s="148">
        <v>1.62174475831133</v>
      </c>
      <c r="BF63" s="148">
        <f ca="1">SUM(OFFSET(AT63,0,$B$2-1):OFFSET(AT63,0,$B$3-1))</f>
        <v>8.0316887572454405</v>
      </c>
      <c r="BG63" s="148">
        <f t="shared" si="7"/>
        <v>9.6534335155567703</v>
      </c>
    </row>
    <row r="64" spans="1:59">
      <c r="A64" s="164" t="s">
        <v>133</v>
      </c>
      <c r="B64" s="166">
        <f t="shared" ca="1" si="40"/>
        <v>0</v>
      </c>
      <c r="C64" s="165">
        <f t="shared" si="44"/>
        <v>0</v>
      </c>
      <c r="D64" s="165"/>
      <c r="E64" s="165"/>
      <c r="F64" s="165"/>
      <c r="G64" s="165"/>
      <c r="H64" s="171"/>
      <c r="I64" s="165"/>
      <c r="J64" s="171"/>
      <c r="K64" s="171"/>
      <c r="L64" s="165"/>
      <c r="M64" s="165"/>
      <c r="N64" s="165"/>
      <c r="O64" s="165"/>
      <c r="P64" s="165">
        <f ca="1">SUM(OFFSET(Q64,0,$B$2-1):OFFSET(Q64,0,$B$3-1))</f>
        <v>0</v>
      </c>
      <c r="Q64" s="165"/>
      <c r="R64" s="165"/>
      <c r="S64" s="165"/>
      <c r="T64" s="165"/>
      <c r="U64" s="171"/>
      <c r="V64" s="165"/>
      <c r="W64" s="171"/>
      <c r="X64" s="171"/>
      <c r="Y64" s="165"/>
      <c r="Z64" s="165"/>
      <c r="AA64" s="165"/>
      <c r="AB64" s="165"/>
      <c r="AE64" s="164" t="s">
        <v>133</v>
      </c>
      <c r="AF64" s="148">
        <v>0.46856249999999999</v>
      </c>
      <c r="AG64" s="148">
        <v>0.41931385869565219</v>
      </c>
      <c r="AH64" s="148">
        <v>0.63193422619047634</v>
      </c>
      <c r="AI64" s="148">
        <v>1.3039607442983481</v>
      </c>
      <c r="AJ64" s="148">
        <v>2.2011598367272645</v>
      </c>
      <c r="AK64" s="148">
        <v>3.2020059376832588</v>
      </c>
      <c r="AL64" s="148">
        <v>3.7764627000399393</v>
      </c>
      <c r="AM64" s="148">
        <v>4.7905103289473541</v>
      </c>
      <c r="AN64" s="148">
        <v>5.7703563915372227</v>
      </c>
      <c r="AO64" s="148">
        <v>8.4569870988038609</v>
      </c>
      <c r="AP64" s="148">
        <v>9.6968107637108805</v>
      </c>
      <c r="AQ64" s="148">
        <v>10.955531858037409</v>
      </c>
      <c r="AR64" s="150">
        <f ca="1">SUM(OFFSET(AF64,0,$B$2-1):OFFSET(AF64,0,$B$3-1))</f>
        <v>40.718064386634261</v>
      </c>
      <c r="AS64" s="169">
        <f t="shared" si="15"/>
        <v>51.673596244671671</v>
      </c>
      <c r="AT64" s="148">
        <v>-0.19527118598196599</v>
      </c>
      <c r="AU64" s="148">
        <v>-0.30418872991977097</v>
      </c>
      <c r="AV64" s="148">
        <v>-0.111629710424688</v>
      </c>
      <c r="AW64" s="148">
        <v>-2.1860048266345099E-2</v>
      </c>
      <c r="AX64" s="148">
        <v>-0.14070081846096999</v>
      </c>
      <c r="AY64" s="148">
        <v>-0.223862883187046</v>
      </c>
      <c r="AZ64" s="148">
        <v>-0.26102528719498203</v>
      </c>
      <c r="BA64" s="148">
        <v>-0.21778664754768701</v>
      </c>
      <c r="BB64" s="148">
        <v>-0.21834537278546201</v>
      </c>
      <c r="BC64" s="148">
        <v>-0.15323671855926799</v>
      </c>
      <c r="BD64" s="148">
        <v>-0.145722441678975</v>
      </c>
      <c r="BE64" s="148">
        <v>-8.4395268489037806E-2</v>
      </c>
      <c r="BF64" s="148">
        <f ca="1">SUM(OFFSET(AT64,0,$B$2-1):OFFSET(AT64,0,$B$3-1))</f>
        <v>-1.9936298440071603</v>
      </c>
      <c r="BG64" s="148">
        <f t="shared" si="7"/>
        <v>-2.0780251124961979</v>
      </c>
    </row>
    <row r="65" spans="1:60">
      <c r="A65" s="164" t="s">
        <v>134</v>
      </c>
      <c r="B65" s="166">
        <f t="shared" ca="1" si="40"/>
        <v>0</v>
      </c>
      <c r="C65" s="165">
        <f t="shared" si="44"/>
        <v>0</v>
      </c>
      <c r="D65" s="165"/>
      <c r="E65" s="165"/>
      <c r="F65" s="165"/>
      <c r="G65" s="165"/>
      <c r="H65" s="171"/>
      <c r="I65" s="165"/>
      <c r="J65" s="171"/>
      <c r="K65" s="171"/>
      <c r="L65" s="165"/>
      <c r="M65" s="165"/>
      <c r="N65" s="165"/>
      <c r="O65" s="165"/>
      <c r="P65" s="165">
        <f ca="1">SUM(OFFSET(Q65,0,$B$2-1):OFFSET(Q65,0,$B$3-1))</f>
        <v>0</v>
      </c>
      <c r="Q65" s="165"/>
      <c r="R65" s="165"/>
      <c r="S65" s="165"/>
      <c r="T65" s="165"/>
      <c r="U65" s="171"/>
      <c r="V65" s="165"/>
      <c r="W65" s="171"/>
      <c r="X65" s="171"/>
      <c r="Y65" s="165"/>
      <c r="Z65" s="165"/>
      <c r="AA65" s="165"/>
      <c r="AB65" s="165"/>
      <c r="AE65" s="164" t="s">
        <v>134</v>
      </c>
      <c r="AF65" s="148">
        <v>0.15113671983698981</v>
      </c>
      <c r="AG65" s="148">
        <v>0.33303439803429985</v>
      </c>
      <c r="AH65" s="148">
        <v>0.56197911258634958</v>
      </c>
      <c r="AI65" s="148">
        <v>0.71203861652823852</v>
      </c>
      <c r="AJ65" s="148">
        <v>0.9325863189996666</v>
      </c>
      <c r="AK65" s="148">
        <v>1.1800709955093376</v>
      </c>
      <c r="AL65" s="148">
        <v>1.2368787653835986</v>
      </c>
      <c r="AM65" s="148">
        <v>1.416479240887436</v>
      </c>
      <c r="AN65" s="148">
        <v>1.6367691527867478</v>
      </c>
      <c r="AO65" s="148">
        <v>1.8911067974253772</v>
      </c>
      <c r="AP65" s="148">
        <v>2.1469108111907373</v>
      </c>
      <c r="AQ65" s="148">
        <v>2.3983970112226705</v>
      </c>
      <c r="AR65" s="150">
        <f ca="1">SUM(OFFSET(AF65,0,$B$2-1):OFFSET(AF65,0,$B$3-1))</f>
        <v>12.198990929168779</v>
      </c>
      <c r="AS65" s="169">
        <f t="shared" si="15"/>
        <v>14.597387940391449</v>
      </c>
      <c r="AT65" s="148">
        <v>3.9235290466983701E-2</v>
      </c>
      <c r="AU65" s="148">
        <v>3.99251961616802E-2</v>
      </c>
      <c r="AV65" s="148">
        <v>5.3784304063720097E-2</v>
      </c>
      <c r="AW65" s="148">
        <v>7.2445842550927106E-2</v>
      </c>
      <c r="AX65" s="148">
        <v>5.95055893598542E-2</v>
      </c>
      <c r="AY65" s="148">
        <v>5.1882414563452002E-2</v>
      </c>
      <c r="AZ65" s="148">
        <v>0.11832988454743899</v>
      </c>
      <c r="BA65" s="148">
        <v>0.199941019551791</v>
      </c>
      <c r="BB65" s="148">
        <v>0.237489356740197</v>
      </c>
      <c r="BC65" s="148">
        <v>0.27949747252353901</v>
      </c>
      <c r="BD65" s="148">
        <v>0.527402343363369</v>
      </c>
      <c r="BE65" s="148">
        <v>0.58173311838952202</v>
      </c>
      <c r="BF65" s="148">
        <f ca="1">SUM(OFFSET(AT65,0,$B$2-1):OFFSET(AT65,0,$B$3-1))</f>
        <v>1.6794387138929523</v>
      </c>
      <c r="BG65" s="148">
        <f t="shared" si="7"/>
        <v>2.2611718322824741</v>
      </c>
    </row>
    <row r="66" spans="1:60">
      <c r="A66" s="173" t="s">
        <v>135</v>
      </c>
      <c r="B66" s="166">
        <f t="shared" ca="1" si="40"/>
        <v>0.686659867062273</v>
      </c>
      <c r="C66" s="165">
        <f t="shared" si="44"/>
        <v>632.75658592986247</v>
      </c>
      <c r="D66" s="157">
        <v>18.260658997176691</v>
      </c>
      <c r="E66" s="157">
        <v>19.471683175174373</v>
      </c>
      <c r="F66" s="157">
        <v>25.668247615946623</v>
      </c>
      <c r="G66" s="157">
        <v>24.757436721957625</v>
      </c>
      <c r="H66" s="339">
        <v>30.156922300768599</v>
      </c>
      <c r="I66" s="339">
        <v>47.682078531290628</v>
      </c>
      <c r="J66" s="339">
        <v>56.623863851931631</v>
      </c>
      <c r="K66" s="339">
        <v>75.973819964683358</v>
      </c>
      <c r="L66" s="339">
        <v>60.186777550999992</v>
      </c>
      <c r="M66" s="339">
        <v>83.880070531777761</v>
      </c>
      <c r="N66" s="339">
        <v>82.632223708555586</v>
      </c>
      <c r="O66" s="339">
        <v>107.46280297959964</v>
      </c>
      <c r="P66" s="165">
        <f ca="1">SUM(OFFSET(Q66,0,$B$2-1):OFFSET(Q66,0,$B$3-1))</f>
        <v>1234.1610179289983</v>
      </c>
      <c r="Q66" s="157">
        <f t="shared" ref="Q66:AB66" si="53">Q16-Q30</f>
        <v>92.778750508760751</v>
      </c>
      <c r="R66" s="157">
        <f t="shared" si="53"/>
        <v>80.389313994111092</v>
      </c>
      <c r="S66" s="157">
        <f t="shared" si="53"/>
        <v>105.27549258168203</v>
      </c>
      <c r="T66" s="157">
        <f t="shared" si="53"/>
        <v>107.60232275675843</v>
      </c>
      <c r="U66" s="339">
        <f t="shared" si="53"/>
        <v>129.81341881180114</v>
      </c>
      <c r="V66" s="339">
        <f t="shared" si="53"/>
        <v>146.03276157244446</v>
      </c>
      <c r="W66" s="339">
        <f t="shared" si="53"/>
        <v>154.25047408644446</v>
      </c>
      <c r="X66" s="339">
        <f t="shared" si="53"/>
        <v>187.99017543982745</v>
      </c>
      <c r="Y66" s="339">
        <f t="shared" si="53"/>
        <v>230.02830817716841</v>
      </c>
      <c r="Z66" s="339">
        <f t="shared" si="53"/>
        <v>0</v>
      </c>
      <c r="AA66" s="339">
        <f t="shared" si="53"/>
        <v>0</v>
      </c>
      <c r="AB66" s="339">
        <f t="shared" si="53"/>
        <v>0</v>
      </c>
      <c r="AE66" s="173" t="s">
        <v>135</v>
      </c>
      <c r="AF66" s="149">
        <f t="shared" ref="AF66:AQ66" si="54">AF16-AF30</f>
        <v>20.861213473902758</v>
      </c>
      <c r="AG66" s="149">
        <f t="shared" si="54"/>
        <v>21.873880396867598</v>
      </c>
      <c r="AH66" s="149">
        <f t="shared" si="54"/>
        <v>27.420652046435677</v>
      </c>
      <c r="AI66" s="149">
        <f t="shared" si="54"/>
        <v>31.795342917900847</v>
      </c>
      <c r="AJ66" s="149">
        <f t="shared" si="54"/>
        <v>42.241751666852544</v>
      </c>
      <c r="AK66" s="149">
        <f t="shared" si="54"/>
        <v>50.367057741334484</v>
      </c>
      <c r="AL66" s="149">
        <f t="shared" si="54"/>
        <v>57.786152429356363</v>
      </c>
      <c r="AM66" s="149">
        <f t="shared" si="54"/>
        <v>66.031167932828964</v>
      </c>
      <c r="AN66" s="149">
        <f t="shared" si="54"/>
        <v>72.407440981912885</v>
      </c>
      <c r="AO66" s="149">
        <f t="shared" si="54"/>
        <v>78.742025703802426</v>
      </c>
      <c r="AP66" s="149">
        <f t="shared" si="54"/>
        <v>90.948709896772172</v>
      </c>
      <c r="AQ66" s="149">
        <f t="shared" si="54"/>
        <v>141.38185849770349</v>
      </c>
      <c r="AR66" s="150">
        <f ca="1">SUM(OFFSET(AF66,0,$B$2-1):OFFSET(AF66,0,$B$3-1))</f>
        <v>560.47539518796668</v>
      </c>
      <c r="AS66" s="169">
        <f t="shared" si="15"/>
        <v>701.85725368567023</v>
      </c>
      <c r="AT66" s="150">
        <f t="shared" ref="AT66:BE66" si="55">AT16-AT30</f>
        <v>92.772685301231675</v>
      </c>
      <c r="AU66" s="150">
        <f t="shared" si="55"/>
        <v>100.58528883783374</v>
      </c>
      <c r="AV66" s="150">
        <f t="shared" si="55"/>
        <v>109.34629855667836</v>
      </c>
      <c r="AW66" s="150">
        <f t="shared" si="55"/>
        <v>118.61719782393061</v>
      </c>
      <c r="AX66" s="150">
        <f t="shared" si="55"/>
        <v>128.71990134471747</v>
      </c>
      <c r="AY66" s="150">
        <f t="shared" si="55"/>
        <v>139.01963933088768</v>
      </c>
      <c r="AZ66" s="150">
        <f t="shared" si="55"/>
        <v>152.02931246206853</v>
      </c>
      <c r="BA66" s="150">
        <f t="shared" si="55"/>
        <v>162.24422288989393</v>
      </c>
      <c r="BB66" s="150">
        <f t="shared" si="55"/>
        <v>179.59332214358543</v>
      </c>
      <c r="BC66" s="150">
        <f t="shared" si="55"/>
        <v>181.9878339334447</v>
      </c>
      <c r="BD66" s="150">
        <f t="shared" si="55"/>
        <v>191.63081403336756</v>
      </c>
      <c r="BE66" s="150">
        <f t="shared" si="55"/>
        <v>240.79315197494151</v>
      </c>
      <c r="BF66" s="148">
        <f ca="1">SUM(OFFSET(AT66,0,$B$2-1):OFFSET(AT66,0,$B$3-1))</f>
        <v>1556.54651665764</v>
      </c>
      <c r="BG66" s="148">
        <f t="shared" si="7"/>
        <v>1797.3396686325816</v>
      </c>
      <c r="BH66" s="5"/>
    </row>
    <row r="67" spans="1:60">
      <c r="A67" s="155" t="s">
        <v>136</v>
      </c>
      <c r="B67" s="166">
        <f t="shared" ca="1" si="40"/>
        <v>0.63080651615968797</v>
      </c>
      <c r="C67" s="165">
        <f t="shared" si="44"/>
        <v>266.77637860599998</v>
      </c>
      <c r="D67" s="157">
        <v>9.1449659069999996</v>
      </c>
      <c r="E67" s="157">
        <v>13.386717184999998</v>
      </c>
      <c r="F67" s="157">
        <v>15.929969182000001</v>
      </c>
      <c r="G67" s="157">
        <v>13.381907633000001</v>
      </c>
      <c r="H67" s="339">
        <v>13.941157243999999</v>
      </c>
      <c r="I67" s="339">
        <v>19.772302934999999</v>
      </c>
      <c r="J67" s="339">
        <v>28.509014964999999</v>
      </c>
      <c r="K67" s="339">
        <v>24.790119423</v>
      </c>
      <c r="L67" s="339">
        <v>26.107887941000001</v>
      </c>
      <c r="M67" s="339">
        <v>28.202336191000008</v>
      </c>
      <c r="N67" s="339">
        <v>30.448</v>
      </c>
      <c r="O67" s="339">
        <v>43.161999999999999</v>
      </c>
      <c r="P67" s="165">
        <f ca="1">SUM(OFFSET(Q67,0,$B$2-1):OFFSET(Q67,0,$B$3-1))</f>
        <v>728.78854409300004</v>
      </c>
      <c r="Q67" s="157">
        <f t="shared" ref="Q67:S67" si="56">SUM(Q68:Q73)</f>
        <v>99.626458334000006</v>
      </c>
      <c r="R67" s="157">
        <f t="shared" si="56"/>
        <v>59.83</v>
      </c>
      <c r="S67" s="157">
        <f t="shared" si="56"/>
        <v>73.835694372999995</v>
      </c>
      <c r="T67" s="157">
        <v>51.889000000000003</v>
      </c>
      <c r="U67" s="339">
        <v>73.619902155999995</v>
      </c>
      <c r="V67" s="339">
        <v>84.570489229999993</v>
      </c>
      <c r="W67" s="339">
        <v>69.216999999999999</v>
      </c>
      <c r="X67" s="339">
        <v>104.307</v>
      </c>
      <c r="Y67" s="339">
        <v>111.893</v>
      </c>
      <c r="Z67" s="339">
        <f t="shared" ref="Z67:AB67" si="57">SUM(Z68:Z73)</f>
        <v>0</v>
      </c>
      <c r="AA67" s="339">
        <f t="shared" si="57"/>
        <v>0</v>
      </c>
      <c r="AB67" s="339">
        <f t="shared" si="57"/>
        <v>0</v>
      </c>
      <c r="AE67" s="155" t="s">
        <v>136</v>
      </c>
      <c r="AF67" s="150">
        <f>SUM(AF68:AF73)</f>
        <v>17.256413443241861</v>
      </c>
      <c r="AG67" s="150">
        <f t="shared" ref="AG67:AQ67" si="58">SUM(AG68:AG73)</f>
        <v>21.435962432291124</v>
      </c>
      <c r="AH67" s="150">
        <f t="shared" si="58"/>
        <v>13.860857357946259</v>
      </c>
      <c r="AI67" s="150">
        <f t="shared" si="58"/>
        <v>13.27942169207606</v>
      </c>
      <c r="AJ67" s="150">
        <f t="shared" si="58"/>
        <v>17.327315971989698</v>
      </c>
      <c r="AK67" s="150">
        <f t="shared" si="58"/>
        <v>17.130277474746961</v>
      </c>
      <c r="AL67" s="150">
        <f t="shared" si="58"/>
        <v>18.603238267572749</v>
      </c>
      <c r="AM67" s="150">
        <f t="shared" si="58"/>
        <v>19.910324817563755</v>
      </c>
      <c r="AN67" s="150">
        <f t="shared" si="58"/>
        <v>21.664700242226012</v>
      </c>
      <c r="AO67" s="150">
        <f t="shared" si="58"/>
        <v>25.203292474552292</v>
      </c>
      <c r="AP67" s="150">
        <f>SUM(AP68:AP73)</f>
        <v>33.267726840657119</v>
      </c>
      <c r="AQ67" s="150">
        <f t="shared" si="58"/>
        <v>33.5426854745631</v>
      </c>
      <c r="AR67" s="150">
        <f ca="1">SUM(OFFSET(AF67,0,$B$2-1):OFFSET(AF67,0,$B$3-1))</f>
        <v>218.93953101486392</v>
      </c>
      <c r="AS67" s="169">
        <f t="shared" si="15"/>
        <v>252.482216489427</v>
      </c>
      <c r="AT67" s="150">
        <f>SUM(AT68:AT73)</f>
        <v>105.68636258087824</v>
      </c>
      <c r="AU67" s="150">
        <f t="shared" ref="AU67:BE67" si="59">SUM(AU68:AU73)</f>
        <v>56.612029345493021</v>
      </c>
      <c r="AV67" s="150">
        <f t="shared" si="59"/>
        <v>67.470801993345106</v>
      </c>
      <c r="AW67" s="150">
        <f t="shared" si="59"/>
        <v>74.480451347367122</v>
      </c>
      <c r="AX67" s="150">
        <f t="shared" si="59"/>
        <v>79.954879860909088</v>
      </c>
      <c r="AY67" s="150">
        <f t="shared" si="59"/>
        <v>87.145430013324031</v>
      </c>
      <c r="AZ67" s="150">
        <f t="shared" si="59"/>
        <v>97.005275438407025</v>
      </c>
      <c r="BA67" s="150">
        <f t="shared" si="59"/>
        <v>106.16857819873432</v>
      </c>
      <c r="BB67" s="150">
        <f t="shared" si="59"/>
        <v>112.63759927348228</v>
      </c>
      <c r="BC67" s="150">
        <f t="shared" si="59"/>
        <v>118.43504886187017</v>
      </c>
      <c r="BD67" s="150">
        <f t="shared" si="59"/>
        <v>122.86492615150553</v>
      </c>
      <c r="BE67" s="150">
        <f t="shared" si="59"/>
        <v>126.86679669069042</v>
      </c>
      <c r="BF67" s="148">
        <f ca="1">SUM(OFFSET(AT67,0,$B$2-1):OFFSET(AT67,0,$B$3-1))</f>
        <v>1028.4613830653159</v>
      </c>
      <c r="BG67" s="148">
        <f t="shared" si="7"/>
        <v>1155.3281797560062</v>
      </c>
    </row>
    <row r="68" spans="1:60">
      <c r="A68" s="164" t="s">
        <v>137</v>
      </c>
      <c r="B68" s="166">
        <f t="shared" ca="1" si="40"/>
        <v>0.17913725714999801</v>
      </c>
      <c r="C68" s="165">
        <f>SUM(D68:O68)</f>
        <v>120.69941298199998</v>
      </c>
      <c r="D68" s="165">
        <v>2.2453543319999998</v>
      </c>
      <c r="E68" s="165">
        <v>2.9558034279999998</v>
      </c>
      <c r="F68" s="165">
        <v>3.2753034400000001</v>
      </c>
      <c r="G68" s="165">
        <v>5.074965722</v>
      </c>
      <c r="H68" s="171">
        <v>5.4767027390000003</v>
      </c>
      <c r="I68" s="165">
        <v>6.4100901280000002</v>
      </c>
      <c r="J68" s="171">
        <v>14.372958078</v>
      </c>
      <c r="K68" s="171">
        <v>12.696</v>
      </c>
      <c r="L68" s="165">
        <v>13.621411698999999</v>
      </c>
      <c r="M68" s="165">
        <v>14.305823416000001</v>
      </c>
      <c r="N68" s="165">
        <v>16.513999999999999</v>
      </c>
      <c r="O68" s="165">
        <v>23.751000000000001</v>
      </c>
      <c r="P68" s="165">
        <f ca="1">SUM(OFFSET(Q68,0,$B$2-1):OFFSET(Q68,0,$B$3-1))</f>
        <v>138.012199463</v>
      </c>
      <c r="Q68" s="165">
        <v>55.301741733</v>
      </c>
      <c r="R68" s="165">
        <f>37431/1000</f>
        <v>37.430999999999997</v>
      </c>
      <c r="S68" s="165">
        <v>45.279457730000004</v>
      </c>
      <c r="T68" s="165"/>
      <c r="U68" s="171"/>
      <c r="V68" s="165"/>
      <c r="W68" s="171"/>
      <c r="X68" s="171"/>
      <c r="Y68" s="165"/>
      <c r="Z68" s="165"/>
      <c r="AA68" s="165"/>
      <c r="AB68" s="165"/>
      <c r="AE68" s="164" t="s">
        <v>137</v>
      </c>
      <c r="AF68" s="148">
        <v>2.2405760358445854</v>
      </c>
      <c r="AG68" s="148">
        <v>4.6746317295401294</v>
      </c>
      <c r="AH68" s="148">
        <v>2.8582127607304111</v>
      </c>
      <c r="AI68" s="148">
        <v>4.6437090533463188</v>
      </c>
      <c r="AJ68" s="148">
        <v>8.321358822583198</v>
      </c>
      <c r="AK68" s="148">
        <v>7.6708064235391378</v>
      </c>
      <c r="AL68" s="148">
        <v>8.2702096071485052</v>
      </c>
      <c r="AM68" s="148">
        <v>8.5431315744591902</v>
      </c>
      <c r="AN68" s="148">
        <v>9.2925866490276263</v>
      </c>
      <c r="AO68" s="148">
        <v>12.483450930293223</v>
      </c>
      <c r="AP68" s="148">
        <v>19.86545874931528</v>
      </c>
      <c r="AQ68" s="148">
        <v>18.912467124959747</v>
      </c>
      <c r="AR68" s="150">
        <f ca="1">SUM(OFFSET(AF68,0,$B$2-1):OFFSET(AF68,0,$B$3-1))</f>
        <v>88.864132335827605</v>
      </c>
      <c r="AS68" s="169">
        <f t="shared" si="15"/>
        <v>107.77659946078735</v>
      </c>
      <c r="AT68" s="148">
        <v>54.601420915230896</v>
      </c>
      <c r="AU68" s="148">
        <v>36.382061600485898</v>
      </c>
      <c r="AV68" s="148">
        <v>43.719686250138601</v>
      </c>
      <c r="AW68" s="148">
        <v>47.561053783854902</v>
      </c>
      <c r="AX68" s="148">
        <v>51.696063148543402</v>
      </c>
      <c r="AY68" s="148">
        <v>58.135637604062502</v>
      </c>
      <c r="AZ68" s="148">
        <v>66.020445827851702</v>
      </c>
      <c r="BA68" s="148">
        <v>74.401696835967499</v>
      </c>
      <c r="BB68" s="148">
        <v>79.367474514574397</v>
      </c>
      <c r="BC68" s="148">
        <v>83.427540568797596</v>
      </c>
      <c r="BD68" s="148">
        <v>86.282380243384694</v>
      </c>
      <c r="BE68" s="148">
        <v>88.8316495087291</v>
      </c>
      <c r="BF68" s="148">
        <f ca="1">SUM(OFFSET(AT68,0,$B$2-1):OFFSET(AT68,0,$B$3-1))</f>
        <v>681.59546129289197</v>
      </c>
      <c r="BG68" s="148">
        <f t="shared" si="7"/>
        <v>770.4271108016211</v>
      </c>
    </row>
    <row r="69" spans="1:60">
      <c r="A69" s="164" t="s">
        <v>138</v>
      </c>
      <c r="B69" s="166">
        <f t="shared" ca="1" si="40"/>
        <v>0.24614861222052059</v>
      </c>
      <c r="C69" s="165">
        <f t="shared" si="44"/>
        <v>23.477353952000001</v>
      </c>
      <c r="D69" s="165">
        <v>0.49081762300000009</v>
      </c>
      <c r="E69" s="165">
        <v>0.877742778</v>
      </c>
      <c r="F69" s="165">
        <v>1.072913183</v>
      </c>
      <c r="G69" s="165">
        <v>1.0042476060000001</v>
      </c>
      <c r="H69" s="171">
        <v>1.266103832</v>
      </c>
      <c r="I69" s="165">
        <v>1.969499508</v>
      </c>
      <c r="J69" s="171">
        <v>3.2554235490000001</v>
      </c>
      <c r="K69" s="171">
        <v>2.2200000000000002</v>
      </c>
      <c r="L69" s="165">
        <v>2.0109245709999999</v>
      </c>
      <c r="M69" s="165">
        <v>2.5466813020000001</v>
      </c>
      <c r="N69" s="165">
        <v>2.7759999999999998</v>
      </c>
      <c r="O69" s="165">
        <v>3.9869999999999997</v>
      </c>
      <c r="P69" s="165">
        <f ca="1">SUM(OFFSET(Q69,0,$B$2-1):OFFSET(Q69,0,$B$3-1))</f>
        <v>19.584431827</v>
      </c>
      <c r="Q69" s="165">
        <v>10.026816787</v>
      </c>
      <c r="R69" s="165">
        <f>4036/1000</f>
        <v>4.0359999999999996</v>
      </c>
      <c r="S69" s="165">
        <v>5.5216150399999995</v>
      </c>
      <c r="T69" s="165"/>
      <c r="U69" s="171"/>
      <c r="V69" s="165"/>
      <c r="W69" s="171"/>
      <c r="X69" s="171"/>
      <c r="Y69" s="165"/>
      <c r="Z69" s="165"/>
      <c r="AA69" s="165"/>
      <c r="AB69" s="165"/>
      <c r="AE69" s="164" t="s">
        <v>138</v>
      </c>
      <c r="AF69" s="148">
        <v>0.55802899477909207</v>
      </c>
      <c r="AG69" s="148">
        <v>1.1283911388917218</v>
      </c>
      <c r="AH69" s="148">
        <v>0.92819146628846216</v>
      </c>
      <c r="AI69" s="148">
        <v>1.1767274536815642</v>
      </c>
      <c r="AJ69" s="148">
        <v>1.4164643381748192</v>
      </c>
      <c r="AK69" s="148">
        <v>1.610999225498994</v>
      </c>
      <c r="AL69" s="148">
        <v>1.5764889296002853</v>
      </c>
      <c r="AM69" s="148">
        <v>2.8591755117953785</v>
      </c>
      <c r="AN69" s="148">
        <v>3.1821244639585151</v>
      </c>
      <c r="AO69" s="148">
        <v>2.5683028682983804</v>
      </c>
      <c r="AP69" s="148">
        <v>2.9400897430341737</v>
      </c>
      <c r="AQ69" s="148">
        <v>3.3824954884728879</v>
      </c>
      <c r="AR69" s="150">
        <f ca="1">SUM(OFFSET(AF69,0,$B$2-1):OFFSET(AF69,0,$B$3-1))</f>
        <v>19.944984134001388</v>
      </c>
      <c r="AS69" s="169">
        <f t="shared" si="15"/>
        <v>23.327479622474275</v>
      </c>
      <c r="AT69" s="148">
        <v>10.8742149563646</v>
      </c>
      <c r="AU69" s="148">
        <v>4.86170771555736</v>
      </c>
      <c r="AV69" s="148">
        <v>5.39202682940389</v>
      </c>
      <c r="AW69" s="148">
        <v>5.6869508318046798</v>
      </c>
      <c r="AX69" s="148">
        <v>5.9021243902183498</v>
      </c>
      <c r="AY69" s="148">
        <v>5.9844686300328496</v>
      </c>
      <c r="AZ69" s="148">
        <v>6.0158142988988796</v>
      </c>
      <c r="BA69" s="148">
        <v>6.27394124957224</v>
      </c>
      <c r="BB69" s="148">
        <v>6.6472031149061701</v>
      </c>
      <c r="BC69" s="148">
        <v>7.1508748184345299</v>
      </c>
      <c r="BD69" s="148">
        <v>7.3123045718551696</v>
      </c>
      <c r="BE69" s="148">
        <v>7.4618146360864799</v>
      </c>
      <c r="BF69" s="148">
        <f ca="1">SUM(OFFSET(AT69,0,$B$2-1):OFFSET(AT69,0,$B$3-1))</f>
        <v>72.101631407048714</v>
      </c>
      <c r="BG69" s="148">
        <f t="shared" si="7"/>
        <v>79.563446043135201</v>
      </c>
    </row>
    <row r="70" spans="1:60">
      <c r="A70" s="164" t="s">
        <v>139</v>
      </c>
      <c r="B70" s="166">
        <f t="shared" ca="1" si="40"/>
        <v>0.21543914223996613</v>
      </c>
      <c r="C70" s="165">
        <f t="shared" si="44"/>
        <v>19.281870853000001</v>
      </c>
      <c r="D70" s="165">
        <v>0.89482663699999998</v>
      </c>
      <c r="E70" s="165">
        <v>0.69609173300000005</v>
      </c>
      <c r="F70" s="165">
        <v>0.73489177299999997</v>
      </c>
      <c r="G70" s="165">
        <v>0.78806089499999998</v>
      </c>
      <c r="H70" s="171">
        <v>0.85405014800000001</v>
      </c>
      <c r="I70" s="165">
        <v>1.385444887</v>
      </c>
      <c r="J70" s="171">
        <v>2.1913334280000001</v>
      </c>
      <c r="K70" s="171">
        <v>2.1509999999999998</v>
      </c>
      <c r="L70" s="165">
        <v>1.9406706380000001</v>
      </c>
      <c r="M70" s="165">
        <v>2.018500714</v>
      </c>
      <c r="N70" s="165">
        <v>2.2290000000000001</v>
      </c>
      <c r="O70" s="165">
        <v>3.3979999999999997</v>
      </c>
      <c r="P70" s="165">
        <f ca="1">SUM(OFFSET(Q70,0,$B$2-1):OFFSET(Q70,0,$B$3-1))</f>
        <v>17.426428164000001</v>
      </c>
      <c r="Q70" s="165">
        <v>8.2913018869999995</v>
      </c>
      <c r="R70" s="165">
        <f>4214/1000</f>
        <v>4.2140000000000004</v>
      </c>
      <c r="S70" s="165">
        <v>4.9211262769999999</v>
      </c>
      <c r="T70" s="165"/>
      <c r="U70" s="171"/>
      <c r="V70" s="165"/>
      <c r="W70" s="165"/>
      <c r="X70" s="165"/>
      <c r="Y70" s="165"/>
      <c r="Z70" s="165"/>
      <c r="AA70" s="165"/>
      <c r="AB70" s="165"/>
      <c r="AE70" s="164" t="s">
        <v>139</v>
      </c>
      <c r="AF70" s="148">
        <v>0.36808280958134448</v>
      </c>
      <c r="AG70" s="148">
        <v>0.43198610897360701</v>
      </c>
      <c r="AH70" s="148">
        <v>0.39203584855497781</v>
      </c>
      <c r="AI70" s="148">
        <v>0.60669082455189527</v>
      </c>
      <c r="AJ70" s="148">
        <v>0.71475647232488981</v>
      </c>
      <c r="AK70" s="148">
        <v>0.81923758951914227</v>
      </c>
      <c r="AL70" s="148">
        <v>1.2758981320496108</v>
      </c>
      <c r="AM70" s="148">
        <v>1.5301904308575898</v>
      </c>
      <c r="AN70" s="148">
        <v>1.566217662434505</v>
      </c>
      <c r="AO70" s="148">
        <v>2.2306203840632048</v>
      </c>
      <c r="AP70" s="148">
        <v>2.2586275360680066</v>
      </c>
      <c r="AQ70" s="148">
        <v>2.2771925703723834</v>
      </c>
      <c r="AR70" s="150">
        <f ca="1">SUM(OFFSET(AF70,0,$B$2-1):OFFSET(AF70,0,$B$3-1))</f>
        <v>12.194343798978773</v>
      </c>
      <c r="AS70" s="169">
        <f t="shared" si="15"/>
        <v>14.471536369351156</v>
      </c>
      <c r="AT70" s="148">
        <v>9.8811460732765699</v>
      </c>
      <c r="AU70" s="148">
        <v>3.0763817583469999</v>
      </c>
      <c r="AV70" s="148">
        <v>4.2292469058239099</v>
      </c>
      <c r="AW70" s="148">
        <v>5.5217550015952499</v>
      </c>
      <c r="AX70" s="148">
        <v>5.3672560188911698</v>
      </c>
      <c r="AY70" s="148">
        <v>5.54535737646468</v>
      </c>
      <c r="AZ70" s="148">
        <v>6.7018988900160297</v>
      </c>
      <c r="BA70" s="148">
        <v>7.1531917813520103</v>
      </c>
      <c r="BB70" s="148">
        <v>7.7567031619352402</v>
      </c>
      <c r="BC70" s="148">
        <v>8.2419745017976105</v>
      </c>
      <c r="BD70" s="148">
        <v>8.5777588783473302</v>
      </c>
      <c r="BE70" s="148">
        <v>8.8352685049250699</v>
      </c>
      <c r="BF70" s="148">
        <f ca="1">SUM(OFFSET(AT70,0,$B$2-1):OFFSET(AT70,0,$B$3-1))</f>
        <v>72.052670347846799</v>
      </c>
      <c r="BG70" s="148">
        <f t="shared" si="7"/>
        <v>80.887938852771867</v>
      </c>
    </row>
    <row r="71" spans="1:60">
      <c r="A71" s="164" t="s">
        <v>140</v>
      </c>
      <c r="B71" s="166">
        <f t="shared" ca="1" si="40"/>
        <v>0</v>
      </c>
      <c r="C71" s="165">
        <f t="shared" si="44"/>
        <v>0</v>
      </c>
      <c r="D71" s="165"/>
      <c r="E71" s="165"/>
      <c r="F71" s="165"/>
      <c r="G71" s="165"/>
      <c r="H71" s="171"/>
      <c r="I71" s="165"/>
      <c r="J71" s="171"/>
      <c r="K71" s="171"/>
      <c r="L71" s="165"/>
      <c r="M71" s="165"/>
      <c r="N71" s="165"/>
      <c r="O71" s="165"/>
      <c r="P71" s="165">
        <f ca="1">SUM(OFFSET(Q71,0,$B$2-1):OFFSET(Q71,0,$B$3-1))</f>
        <v>0</v>
      </c>
      <c r="Q71" s="165"/>
      <c r="R71" s="165"/>
      <c r="S71" s="165"/>
      <c r="T71" s="165"/>
      <c r="U71" s="171"/>
      <c r="V71" s="165"/>
      <c r="W71" s="171"/>
      <c r="X71" s="171"/>
      <c r="Y71" s="165"/>
      <c r="Z71" s="165"/>
      <c r="AA71" s="165"/>
      <c r="AB71" s="165"/>
      <c r="AE71" s="164" t="s">
        <v>140</v>
      </c>
      <c r="AF71" s="148">
        <v>0</v>
      </c>
      <c r="AG71" s="148">
        <v>4.3312500000000004E-2</v>
      </c>
      <c r="AH71" s="148">
        <v>5.3796187499999988E-2</v>
      </c>
      <c r="AI71" s="148">
        <v>9.4686109374999994E-2</v>
      </c>
      <c r="AJ71" s="148">
        <v>0.32825610660598242</v>
      </c>
      <c r="AK71" s="148">
        <v>0.46543890051975823</v>
      </c>
      <c r="AL71" s="148">
        <v>0.60853923294161927</v>
      </c>
      <c r="AM71" s="148">
        <v>0.74786821963448469</v>
      </c>
      <c r="AN71" s="148">
        <v>0.99406769154237384</v>
      </c>
      <c r="AO71" s="148">
        <v>1.2585604334707086</v>
      </c>
      <c r="AP71" s="148">
        <v>1.6084436645693261</v>
      </c>
      <c r="AQ71" s="148">
        <v>2.1838307463640279</v>
      </c>
      <c r="AR71" s="150">
        <f ca="1">SUM(OFFSET(AF71,0,$B$2-1):OFFSET(AF71,0,$B$3-1))</f>
        <v>6.2029690461592528</v>
      </c>
      <c r="AS71" s="169">
        <f t="shared" si="15"/>
        <v>8.3867997925232807</v>
      </c>
      <c r="AT71" s="148">
        <v>1.4999999999999999E-2</v>
      </c>
      <c r="AU71" s="148">
        <v>3.3375000000000002E-2</v>
      </c>
      <c r="AV71" s="148">
        <v>5.4118333333333303E-2</v>
      </c>
      <c r="AW71" s="148">
        <v>7.6501133333333304E-2</v>
      </c>
      <c r="AX71" s="148">
        <v>0.107465376666667</v>
      </c>
      <c r="AY71" s="148">
        <v>0.14487034901333301</v>
      </c>
      <c r="AZ71" s="148">
        <v>0.18517586627413299</v>
      </c>
      <c r="BA71" s="148">
        <v>0.23682556445063499</v>
      </c>
      <c r="BB71" s="148">
        <v>0.32535606567709902</v>
      </c>
      <c r="BC71" s="148">
        <v>0.44242081198755401</v>
      </c>
      <c r="BD71" s="148">
        <v>0.577332056531352</v>
      </c>
      <c r="BE71" s="148">
        <v>0.721220991945559</v>
      </c>
      <c r="BF71" s="148">
        <f ca="1">SUM(OFFSET(AT71,0,$B$2-1):OFFSET(AT71,0,$B$3-1))</f>
        <v>2.1984405572674399</v>
      </c>
      <c r="BG71" s="148">
        <f t="shared" si="7"/>
        <v>2.9196615492129991</v>
      </c>
    </row>
    <row r="72" spans="1:60">
      <c r="A72" s="164" t="s">
        <v>141</v>
      </c>
      <c r="B72" s="166">
        <f t="shared" ca="1" si="40"/>
        <v>0.13626161553820085</v>
      </c>
      <c r="C72" s="165">
        <f t="shared" si="44"/>
        <v>1.299520529</v>
      </c>
      <c r="D72" s="165"/>
      <c r="E72" s="165"/>
      <c r="F72" s="165"/>
      <c r="G72" s="165"/>
      <c r="H72" s="171"/>
      <c r="I72" s="165">
        <v>1.3023997000000001E-2</v>
      </c>
      <c r="J72" s="171">
        <v>8.4185872999999994E-2</v>
      </c>
      <c r="K72" s="171">
        <v>0.108</v>
      </c>
      <c r="L72" s="165">
        <v>0.12931065899999999</v>
      </c>
      <c r="M72" s="165">
        <v>0.1</v>
      </c>
      <c r="N72" s="165">
        <v>0.30499999999999999</v>
      </c>
      <c r="O72" s="165">
        <v>0.56000000000000005</v>
      </c>
      <c r="P72" s="165">
        <f ca="1">SUM(OFFSET(Q72,0,$B$2-1):OFFSET(Q72,0,$B$3-1))</f>
        <v>3.3892931000000002</v>
      </c>
      <c r="Q72" s="165">
        <v>0.742168104</v>
      </c>
      <c r="R72" s="165">
        <f>1084/1000</f>
        <v>1.0840000000000001</v>
      </c>
      <c r="S72" s="165">
        <v>1.563124996</v>
      </c>
      <c r="T72" s="165"/>
      <c r="U72" s="171"/>
      <c r="V72" s="165"/>
      <c r="W72" s="171"/>
      <c r="X72" s="171"/>
      <c r="Y72" s="165"/>
      <c r="Z72" s="165"/>
      <c r="AA72" s="165"/>
      <c r="AB72" s="165"/>
      <c r="AE72" s="164" t="s">
        <v>141</v>
      </c>
      <c r="AF72" s="148">
        <v>0</v>
      </c>
      <c r="AG72" s="148">
        <v>7.425000000000001E-2</v>
      </c>
      <c r="AH72" s="148">
        <v>3.3000000000000002E-2</v>
      </c>
      <c r="AI72" s="148">
        <v>6.2528125000000004E-2</v>
      </c>
      <c r="AJ72" s="148">
        <v>0.20746328873867967</v>
      </c>
      <c r="AK72" s="148">
        <v>0.31856524753839122</v>
      </c>
      <c r="AL72" s="148">
        <v>0.39836048027210508</v>
      </c>
      <c r="AM72" s="148">
        <v>0.4538130297006982</v>
      </c>
      <c r="AN72" s="148">
        <v>0.6042245941747012</v>
      </c>
      <c r="AO72" s="148">
        <v>0.74100126145921819</v>
      </c>
      <c r="AP72" s="148">
        <v>0.91049051672313375</v>
      </c>
      <c r="AQ72" s="148">
        <v>1.0995038948149036</v>
      </c>
      <c r="AR72" s="150">
        <f ca="1">SUM(OFFSET(AF72,0,$B$2-1):OFFSET(AF72,0,$B$3-1))</f>
        <v>3.8036965436069274</v>
      </c>
      <c r="AS72" s="169">
        <f t="shared" si="15"/>
        <v>4.9032004384218313</v>
      </c>
      <c r="AT72" s="148">
        <v>0.53040411561457901</v>
      </c>
      <c r="AU72" s="148">
        <v>0.90612596660587097</v>
      </c>
      <c r="AV72" s="148">
        <v>1.2465041740893701</v>
      </c>
      <c r="AW72" s="148">
        <v>1.44150112708616</v>
      </c>
      <c r="AX72" s="148">
        <v>1.6873196149729099</v>
      </c>
      <c r="AY72" s="148">
        <v>1.93329879822918</v>
      </c>
      <c r="AZ72" s="148">
        <v>1.9511893170649799</v>
      </c>
      <c r="BA72" s="148">
        <v>2.1824113125440299</v>
      </c>
      <c r="BB72" s="148">
        <v>2.7353014804860698</v>
      </c>
      <c r="BC72" s="148">
        <v>3.1453963282900799</v>
      </c>
      <c r="BD72" s="148">
        <v>3.4535198433417902</v>
      </c>
      <c r="BE72" s="148">
        <v>3.6604531090478201</v>
      </c>
      <c r="BF72" s="148">
        <f ca="1">SUM(OFFSET(AT72,0,$B$2-1):OFFSET(AT72,0,$B$3-1))</f>
        <v>21.212972078325024</v>
      </c>
      <c r="BG72" s="148">
        <f t="shared" si="7"/>
        <v>24.873425187372845</v>
      </c>
    </row>
    <row r="73" spans="1:60">
      <c r="A73" s="164" t="s">
        <v>142</v>
      </c>
      <c r="B73" s="166">
        <f t="shared" ca="1" si="40"/>
        <v>0.27906411938558767</v>
      </c>
      <c r="C73" s="165">
        <f t="shared" si="44"/>
        <v>102.01822029000002</v>
      </c>
      <c r="D73" s="165">
        <v>5.5139673149999995</v>
      </c>
      <c r="E73" s="165">
        <v>8.8570792459999996</v>
      </c>
      <c r="F73" s="165">
        <v>10.846860786000001</v>
      </c>
      <c r="G73" s="165">
        <v>6.5146334100000001</v>
      </c>
      <c r="H73" s="171">
        <v>6.3443005250000004</v>
      </c>
      <c r="I73" s="165">
        <v>9.9942444150000007</v>
      </c>
      <c r="J73" s="171">
        <v>8.6051140369999999</v>
      </c>
      <c r="K73" s="171">
        <v>7.6151194230000003</v>
      </c>
      <c r="L73" s="165">
        <v>8.4055703739999998</v>
      </c>
      <c r="M73" s="165">
        <v>9.2313307590000004</v>
      </c>
      <c r="N73" s="165">
        <v>8.6240000000000006</v>
      </c>
      <c r="O73" s="165">
        <v>11.466000000000001</v>
      </c>
      <c r="P73" s="165">
        <f ca="1">SUM(OFFSET(Q73,0,$B$2-1):OFFSET(Q73,0,$B$3-1))</f>
        <v>54.879800152999998</v>
      </c>
      <c r="Q73" s="165">
        <v>25.264429822999997</v>
      </c>
      <c r="R73" s="165">
        <f>13065/1000</f>
        <v>13.065</v>
      </c>
      <c r="S73" s="165">
        <v>16.55037033</v>
      </c>
      <c r="T73" s="165"/>
      <c r="U73" s="171"/>
      <c r="V73" s="165"/>
      <c r="W73" s="171"/>
      <c r="X73" s="171"/>
      <c r="Y73" s="165"/>
      <c r="Z73" s="165"/>
      <c r="AA73" s="165"/>
      <c r="AB73" s="165"/>
      <c r="AE73" s="164" t="s">
        <v>142</v>
      </c>
      <c r="AF73" s="148">
        <v>14.089725603036838</v>
      </c>
      <c r="AG73" s="148">
        <v>15.083390954885665</v>
      </c>
      <c r="AH73" s="148">
        <v>9.5956210948724081</v>
      </c>
      <c r="AI73" s="148">
        <v>6.6950801261212822</v>
      </c>
      <c r="AJ73" s="148">
        <v>6.339016943562128</v>
      </c>
      <c r="AK73" s="148">
        <v>6.2452300881315388</v>
      </c>
      <c r="AL73" s="148">
        <v>6.4737418855606208</v>
      </c>
      <c r="AM73" s="148">
        <v>5.7761460511164131</v>
      </c>
      <c r="AN73" s="148">
        <v>6.0254791810882864</v>
      </c>
      <c r="AO73" s="148">
        <v>5.9213565969675548</v>
      </c>
      <c r="AP73" s="148">
        <v>5.6846166309471968</v>
      </c>
      <c r="AQ73" s="148">
        <v>5.6871956495791505</v>
      </c>
      <c r="AR73" s="150">
        <f ca="1">SUM(OFFSET(AF73,0,$B$2-1):OFFSET(AF73,0,$B$3-1))</f>
        <v>87.929405156289931</v>
      </c>
      <c r="AS73" s="169">
        <f>SUM(AF73:AQ73)</f>
        <v>93.616600805869084</v>
      </c>
      <c r="AT73" s="148">
        <v>29.7841765203916</v>
      </c>
      <c r="AU73" s="148">
        <v>11.352377304496899</v>
      </c>
      <c r="AV73" s="148">
        <v>12.829219500556</v>
      </c>
      <c r="AW73" s="148">
        <v>14.1926894696928</v>
      </c>
      <c r="AX73" s="148">
        <v>15.1946513116166</v>
      </c>
      <c r="AY73" s="148">
        <v>15.401797255521499</v>
      </c>
      <c r="AZ73" s="148">
        <v>16.130751238301301</v>
      </c>
      <c r="BA73" s="148">
        <v>15.920511454847899</v>
      </c>
      <c r="BB73" s="148">
        <v>15.8055609359033</v>
      </c>
      <c r="BC73" s="148">
        <v>16.026841832562798</v>
      </c>
      <c r="BD73" s="148">
        <v>16.6616305580452</v>
      </c>
      <c r="BE73" s="148">
        <v>17.356389939956401</v>
      </c>
      <c r="BF73" s="148">
        <f ca="1">SUM(OFFSET(AT73,0,$B$2-1):OFFSET(AT73,0,$B$3-1))</f>
        <v>179.30020738193591</v>
      </c>
      <c r="BG73" s="148">
        <f t="shared" si="7"/>
        <v>196.65659732189232</v>
      </c>
    </row>
    <row r="74" spans="1:60">
      <c r="A74" s="173" t="s">
        <v>143</v>
      </c>
      <c r="B74" s="166">
        <f t="shared" ca="1" si="40"/>
        <v>0.7871704519187428</v>
      </c>
      <c r="C74" s="165">
        <f t="shared" si="44"/>
        <v>365.98020732386249</v>
      </c>
      <c r="D74" s="170">
        <v>9.1156930901766913</v>
      </c>
      <c r="E74" s="170">
        <v>6.0849659901743749</v>
      </c>
      <c r="F74" s="170">
        <v>9.738278433946622</v>
      </c>
      <c r="G74" s="170">
        <v>11.375529088957624</v>
      </c>
      <c r="H74" s="338">
        <v>16.2157650567686</v>
      </c>
      <c r="I74" s="338">
        <v>27.909775596290629</v>
      </c>
      <c r="J74" s="338">
        <v>28.114848886931632</v>
      </c>
      <c r="K74" s="338">
        <v>51.183700541683358</v>
      </c>
      <c r="L74" s="338">
        <v>34.07888960999999</v>
      </c>
      <c r="M74" s="338">
        <v>55.677734340777754</v>
      </c>
      <c r="N74" s="338">
        <v>52.184223708555585</v>
      </c>
      <c r="O74" s="338">
        <v>64.300802979599638</v>
      </c>
      <c r="P74" s="165">
        <f ca="1">SUM(OFFSET(Q74,0,$B$2-1):OFFSET(Q74,0,$B$3-1))</f>
        <v>505.37247383599822</v>
      </c>
      <c r="Q74" s="170">
        <f>Q66-Q67</f>
        <v>-6.8477078252392545</v>
      </c>
      <c r="R74" s="170">
        <f t="shared" ref="R74:U74" si="60">R66-R67</f>
        <v>20.559313994111093</v>
      </c>
      <c r="S74" s="170">
        <f t="shared" si="60"/>
        <v>31.439798208682035</v>
      </c>
      <c r="T74" s="170">
        <f t="shared" si="60"/>
        <v>55.713322756758423</v>
      </c>
      <c r="U74" s="338">
        <f t="shared" si="60"/>
        <v>56.193516655801147</v>
      </c>
      <c r="V74" s="338">
        <f t="shared" ref="V74:AA74" si="61">V66-V67</f>
        <v>61.462272342444464</v>
      </c>
      <c r="W74" s="338">
        <f t="shared" si="61"/>
        <v>85.033474086444457</v>
      </c>
      <c r="X74" s="338">
        <f t="shared" si="61"/>
        <v>83.683175439827451</v>
      </c>
      <c r="Y74" s="338">
        <f t="shared" si="61"/>
        <v>118.13530817716841</v>
      </c>
      <c r="Z74" s="338">
        <f t="shared" si="61"/>
        <v>0</v>
      </c>
      <c r="AA74" s="338">
        <f t="shared" si="61"/>
        <v>0</v>
      </c>
      <c r="AB74" s="338">
        <f t="shared" ref="AB74" si="62">AB66-AB67</f>
        <v>0</v>
      </c>
      <c r="AE74" s="173" t="s">
        <v>143</v>
      </c>
      <c r="AF74" s="150">
        <f>AF66-AF67</f>
        <v>3.6048000306608969</v>
      </c>
      <c r="AG74" s="150">
        <f t="shared" ref="AG74:AO74" si="63">AG66-AG67</f>
        <v>0.43791796457647436</v>
      </c>
      <c r="AH74" s="150">
        <f t="shared" si="63"/>
        <v>13.559794688489418</v>
      </c>
      <c r="AI74" s="150">
        <f t="shared" si="63"/>
        <v>18.515921225824787</v>
      </c>
      <c r="AJ74" s="150">
        <f t="shared" si="63"/>
        <v>24.914435694862846</v>
      </c>
      <c r="AK74" s="150">
        <f t="shared" si="63"/>
        <v>33.236780266587523</v>
      </c>
      <c r="AL74" s="150">
        <f t="shared" si="63"/>
        <v>39.182914161783614</v>
      </c>
      <c r="AM74" s="150">
        <f t="shared" si="63"/>
        <v>46.12084311526521</v>
      </c>
      <c r="AN74" s="150">
        <f t="shared" si="63"/>
        <v>50.742740739686873</v>
      </c>
      <c r="AO74" s="150">
        <f t="shared" si="63"/>
        <v>53.538733229250134</v>
      </c>
      <c r="AP74" s="150">
        <f>AP66-AP67</f>
        <v>57.680983056115053</v>
      </c>
      <c r="AQ74" s="150">
        <f>AQ66-AQ67</f>
        <v>107.83917302314039</v>
      </c>
      <c r="AR74" s="150">
        <f ca="1">SUM(OFFSET(AF74,0,$B$2-1):OFFSET(AF74,0,$B$3-1))</f>
        <v>341.53586417310282</v>
      </c>
      <c r="AS74" s="169">
        <f t="shared" si="15"/>
        <v>449.37503719624323</v>
      </c>
      <c r="AT74" s="150">
        <f>AT66-AT67</f>
        <v>-12.913677279646564</v>
      </c>
      <c r="AU74" s="150">
        <f t="shared" ref="AU74:BE74" si="64">AU66-AU67</f>
        <v>43.973259492340723</v>
      </c>
      <c r="AV74" s="150">
        <f t="shared" si="64"/>
        <v>41.875496563333257</v>
      </c>
      <c r="AW74" s="150">
        <f t="shared" si="64"/>
        <v>44.136746476563488</v>
      </c>
      <c r="AX74" s="150">
        <f t="shared" si="64"/>
        <v>48.765021483808383</v>
      </c>
      <c r="AY74" s="150">
        <f t="shared" si="64"/>
        <v>51.874209317563654</v>
      </c>
      <c r="AZ74" s="150">
        <f t="shared" si="64"/>
        <v>55.024037023661506</v>
      </c>
      <c r="BA74" s="150">
        <f t="shared" si="64"/>
        <v>56.07564469115961</v>
      </c>
      <c r="BB74" s="150">
        <f t="shared" si="64"/>
        <v>66.955722870103145</v>
      </c>
      <c r="BC74" s="150">
        <f t="shared" si="64"/>
        <v>63.552785071574533</v>
      </c>
      <c r="BD74" s="150">
        <f t="shared" si="64"/>
        <v>68.765887881862028</v>
      </c>
      <c r="BE74" s="150">
        <f t="shared" si="64"/>
        <v>113.92635528425109</v>
      </c>
      <c r="BF74" s="148">
        <f ca="1">SUM(OFFSET(AT74,0,$B$2-1):OFFSET(AT74,0,$B$3-1))</f>
        <v>528.0851335923237</v>
      </c>
      <c r="BG74" s="148">
        <f t="shared" si="7"/>
        <v>642.01148887657473</v>
      </c>
    </row>
    <row r="75" spans="1:60">
      <c r="A75" s="173" t="s">
        <v>144</v>
      </c>
      <c r="B75" s="166"/>
      <c r="C75" s="165"/>
      <c r="D75" s="170"/>
      <c r="E75" s="170"/>
      <c r="F75" s="170"/>
      <c r="G75" s="170"/>
      <c r="H75" s="338"/>
      <c r="I75" s="338"/>
      <c r="J75" s="338"/>
      <c r="K75" s="338"/>
      <c r="L75" s="338"/>
      <c r="M75" s="338"/>
      <c r="N75" s="338"/>
      <c r="O75" s="338"/>
      <c r="P75" s="165"/>
      <c r="Q75" s="170"/>
      <c r="R75" s="170"/>
      <c r="S75" s="170"/>
      <c r="T75" s="170"/>
      <c r="U75" s="338"/>
      <c r="V75" s="338"/>
      <c r="W75" s="338"/>
      <c r="X75" s="338"/>
      <c r="Y75" s="338"/>
      <c r="Z75" s="338"/>
      <c r="AA75" s="338"/>
      <c r="AB75" s="338"/>
      <c r="AE75" s="173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69"/>
      <c r="AT75" s="150">
        <v>3.3333333333333299</v>
      </c>
      <c r="AU75" s="150">
        <v>3.3333333333333299</v>
      </c>
      <c r="AV75" s="150">
        <v>3.3333333333333299</v>
      </c>
      <c r="AW75" s="150">
        <v>3.3333333333333299</v>
      </c>
      <c r="AX75" s="150">
        <v>3.3333333333333299</v>
      </c>
      <c r="AY75" s="150">
        <v>3.3333333333333299</v>
      </c>
      <c r="AZ75" s="150">
        <v>3.3333333333333299</v>
      </c>
      <c r="BA75" s="150">
        <v>3.3333333333333299</v>
      </c>
      <c r="BB75" s="150">
        <v>3.3333333333333299</v>
      </c>
      <c r="BC75" s="150">
        <v>3.3333333333333299</v>
      </c>
      <c r="BD75" s="150">
        <v>3.3333333333333299</v>
      </c>
      <c r="BE75" s="150">
        <v>3.3333333333333299</v>
      </c>
      <c r="BF75" s="148">
        <f ca="1">SUM(OFFSET(AT75,0,$B$2-1):OFFSET(AT75,0,$B$3-1))</f>
        <v>36.666666666666622</v>
      </c>
      <c r="BG75" s="148">
        <f t="shared" ref="BG75" si="65">SUM(AT75:BE75)</f>
        <v>39.99999999999995</v>
      </c>
    </row>
    <row r="76" spans="1:60">
      <c r="A76" s="173"/>
      <c r="B76" s="166"/>
      <c r="C76" s="165"/>
      <c r="D76" s="170"/>
      <c r="E76" s="170"/>
      <c r="F76" s="170"/>
      <c r="G76" s="170"/>
      <c r="H76" s="338"/>
      <c r="I76" s="338"/>
      <c r="J76" s="338"/>
      <c r="K76" s="338"/>
      <c r="L76" s="338"/>
      <c r="M76" s="338"/>
      <c r="N76" s="338"/>
      <c r="O76" s="338"/>
      <c r="P76" s="165"/>
      <c r="Q76" s="170"/>
      <c r="R76" s="170"/>
      <c r="S76" s="170"/>
      <c r="T76" s="170"/>
      <c r="U76" s="338"/>
      <c r="V76" s="338"/>
      <c r="W76" s="338"/>
      <c r="X76" s="338"/>
      <c r="Y76" s="338"/>
      <c r="Z76" s="338"/>
      <c r="AA76" s="338"/>
      <c r="AB76" s="338"/>
      <c r="AE76" s="173"/>
      <c r="AF76" s="150"/>
      <c r="AG76" s="150"/>
      <c r="AH76" s="150"/>
      <c r="AI76" s="150"/>
      <c r="AJ76" s="150"/>
      <c r="AK76" s="150"/>
      <c r="AL76" s="150"/>
      <c r="AM76" s="150"/>
      <c r="AN76" s="150"/>
      <c r="AO76" s="150"/>
      <c r="AP76" s="150"/>
      <c r="AQ76" s="150"/>
      <c r="AR76" s="150"/>
      <c r="AS76" s="169"/>
      <c r="AT76" s="150"/>
      <c r="AU76" s="150"/>
      <c r="AV76" s="150"/>
      <c r="AW76" s="150"/>
      <c r="AX76" s="150"/>
      <c r="AY76" s="150"/>
      <c r="AZ76" s="150"/>
      <c r="BA76" s="150"/>
      <c r="BB76" s="150"/>
      <c r="BC76" s="150"/>
      <c r="BD76" s="150"/>
      <c r="BE76" s="150"/>
      <c r="BF76" s="148"/>
      <c r="BG76" s="148"/>
    </row>
    <row r="77" spans="1:60">
      <c r="A77" s="155" t="s">
        <v>145</v>
      </c>
      <c r="B77" s="166">
        <f t="shared" ca="1" si="40"/>
        <v>0.64737923686383825</v>
      </c>
      <c r="C77" s="165">
        <f t="shared" si="44"/>
        <v>387.88186814404321</v>
      </c>
      <c r="D77" s="157">
        <v>25.388071382865636</v>
      </c>
      <c r="E77" s="157">
        <v>15.97740096939993</v>
      </c>
      <c r="F77" s="157">
        <v>28.066610380313666</v>
      </c>
      <c r="G77" s="157">
        <v>27.240486073527251</v>
      </c>
      <c r="H77" s="339">
        <v>27.466908984349409</v>
      </c>
      <c r="I77" s="339">
        <v>29.426299320999998</v>
      </c>
      <c r="J77" s="339">
        <v>30.82282957755552</v>
      </c>
      <c r="K77" s="339">
        <v>32.524790505222228</v>
      </c>
      <c r="L77" s="339">
        <v>31.263000000000002</v>
      </c>
      <c r="M77" s="339">
        <v>41.612220455000042</v>
      </c>
      <c r="N77" s="339">
        <v>33.132316271888897</v>
      </c>
      <c r="O77" s="339">
        <v>64.960934222920642</v>
      </c>
      <c r="P77" s="165">
        <f ca="1">SUM(OFFSET(Q77,0,$B$2-1):OFFSET(Q77,0,$B$3-1))</f>
        <v>356.31562502186745</v>
      </c>
      <c r="Q77" s="157">
        <f>Q78+Q79+Q80+Q81+Q82+Q90+Q91+Q92+Q93+Q94</f>
        <v>41.583167953666667</v>
      </c>
      <c r="R77" s="157">
        <f t="shared" ref="R77:T77" si="66">R78+R79+R80+R81+R82+R90+R91+R92+R93+R94</f>
        <v>32.850326978999966</v>
      </c>
      <c r="S77" s="157">
        <f>S78+S79+S80+S81+S82+S90+S91+S92+S93+S94</f>
        <v>32.238851914777783</v>
      </c>
      <c r="T77" s="157">
        <f t="shared" si="66"/>
        <v>34.880000000000003</v>
      </c>
      <c r="U77" s="157">
        <f>U78+U79+U80+U81+U82+U90+U91+U92+U93+U94</f>
        <v>34.130737743555599</v>
      </c>
      <c r="V77" s="339">
        <f>V78+V79+V80+V81+V82+V90+V91+V92+V93+V94</f>
        <v>36.728033861111108</v>
      </c>
      <c r="W77" s="339">
        <f t="shared" ref="W77:Z77" si="67">W78+W79+W80+W81+W82+W90+W91+W92+W93+W94</f>
        <v>52.424999587333332</v>
      </c>
      <c r="X77" s="339">
        <f t="shared" si="67"/>
        <v>46.984985797666667</v>
      </c>
      <c r="Y77" s="339">
        <f t="shared" si="67"/>
        <v>44.494521184756358</v>
      </c>
      <c r="Z77" s="339">
        <f t="shared" si="67"/>
        <v>0</v>
      </c>
      <c r="AA77" s="339">
        <f>AA78+AA79+AA80+AA81+AA82+AA90+AA91+AA92+AA93+AA94</f>
        <v>0</v>
      </c>
      <c r="AB77" s="339">
        <f>AB78+AB79+AB80+AB81+AB82+AB90+AB91+AB92+AB93+AB94</f>
        <v>0</v>
      </c>
      <c r="AD77" s="5"/>
      <c r="AE77" s="155" t="s">
        <v>145</v>
      </c>
      <c r="AF77" s="150">
        <f>AF78+AF79+AF80+AF81+AF82+AF90+AF91+AF92+AF93+AF94</f>
        <v>33.14863218811864</v>
      </c>
      <c r="AG77" s="150">
        <f t="shared" ref="AG77:AQ77" si="68">AG78+AG79+AG80+AG81+AG82+AG90+AG91+AG92+AG93+AG94</f>
        <v>33.499896570170812</v>
      </c>
      <c r="AH77" s="150">
        <f t="shared" si="68"/>
        <v>33.817192030601227</v>
      </c>
      <c r="AI77" s="150">
        <f t="shared" si="68"/>
        <v>33.421668376446796</v>
      </c>
      <c r="AJ77" s="150">
        <f t="shared" si="68"/>
        <v>33.661495009437751</v>
      </c>
      <c r="AK77" s="150">
        <f t="shared" si="68"/>
        <v>33.969525477931199</v>
      </c>
      <c r="AL77" s="150">
        <f t="shared" si="68"/>
        <v>34.160331948818012</v>
      </c>
      <c r="AM77" s="150">
        <f t="shared" si="68"/>
        <v>34.381131546537894</v>
      </c>
      <c r="AN77" s="150">
        <f t="shared" si="68"/>
        <v>34.95642589107414</v>
      </c>
      <c r="AO77" s="150">
        <f t="shared" si="68"/>
        <v>35.147168606411739</v>
      </c>
      <c r="AP77" s="150">
        <f t="shared" si="68"/>
        <v>35.347132224949227</v>
      </c>
      <c r="AQ77" s="150">
        <f t="shared" si="68"/>
        <v>83.415057673423661</v>
      </c>
      <c r="AR77" s="150">
        <f ca="1">SUM(OFFSET(AF77,0,$B$2-1):OFFSET(AF77,0,$B$3-1))</f>
        <v>375.51059987049751</v>
      </c>
      <c r="AS77" s="169">
        <f t="shared" si="15"/>
        <v>458.92565754392115</v>
      </c>
      <c r="AT77" s="150">
        <f>AT78+AT79+AT80+AT81+AT82+AT90+AT91+AT92+AT93+AT94+AT98</f>
        <v>46.075838956927811</v>
      </c>
      <c r="AU77" s="150">
        <f t="shared" ref="AU77:BE77" si="69">AU78+AU79+AU80+AU81+AU82+AU90+AU91+AU92+AU93+AU94+AU98</f>
        <v>46.155649667816235</v>
      </c>
      <c r="AV77" s="150">
        <f t="shared" si="69"/>
        <v>46.235364979356902</v>
      </c>
      <c r="AW77" s="150">
        <f t="shared" si="69"/>
        <v>46.018774857295185</v>
      </c>
      <c r="AX77" s="150">
        <f t="shared" si="69"/>
        <v>46.093706849282967</v>
      </c>
      <c r="AY77" s="150">
        <f t="shared" si="69"/>
        <v>46.169210861603212</v>
      </c>
      <c r="AZ77" s="150">
        <f t="shared" si="69"/>
        <v>45.441797051822363</v>
      </c>
      <c r="BA77" s="150">
        <f t="shared" si="69"/>
        <v>45.507995340342887</v>
      </c>
      <c r="BB77" s="150">
        <f t="shared" si="69"/>
        <v>45.575628718312359</v>
      </c>
      <c r="BC77" s="150">
        <f t="shared" si="69"/>
        <v>45.64232168814425</v>
      </c>
      <c r="BD77" s="150">
        <f t="shared" si="69"/>
        <v>45.709279406085727</v>
      </c>
      <c r="BE77" s="150">
        <f t="shared" si="69"/>
        <v>45.771485980208183</v>
      </c>
      <c r="BF77" s="148">
        <f ca="1">SUM(OFFSET(AT77,0,$B$2-1):OFFSET(AT77,0,$B$3-1))</f>
        <v>504.62556837698992</v>
      </c>
      <c r="BG77" s="148">
        <f t="shared" si="7"/>
        <v>550.39705435719816</v>
      </c>
    </row>
    <row r="78" spans="1:60">
      <c r="A78" s="156" t="s">
        <v>146</v>
      </c>
      <c r="B78" s="166">
        <f t="shared" ca="1" si="40"/>
        <v>0.64293588242280897</v>
      </c>
      <c r="C78" s="165">
        <f t="shared" si="44"/>
        <v>201.38125321947695</v>
      </c>
      <c r="D78" s="158">
        <v>12.521225135602501</v>
      </c>
      <c r="E78" s="158">
        <v>7.0590288177135996</v>
      </c>
      <c r="F78" s="158">
        <v>13.939249893935798</v>
      </c>
      <c r="G78" s="158">
        <v>13.9661142219755</v>
      </c>
      <c r="H78" s="160">
        <v>13.9908770689162</v>
      </c>
      <c r="I78" s="158">
        <v>13.903596153666665</v>
      </c>
      <c r="J78" s="160">
        <v>14.414315312333299</v>
      </c>
      <c r="K78" s="160">
        <v>16.172959571888899</v>
      </c>
      <c r="L78" s="158">
        <v>16</v>
      </c>
      <c r="M78" s="158">
        <v>20.623515104555601</v>
      </c>
      <c r="N78" s="158">
        <v>17.145068992888902</v>
      </c>
      <c r="O78" s="158">
        <v>41.645302946000001</v>
      </c>
      <c r="P78" s="165">
        <f ca="1">SUM(OFFSET(Q78,0,$B$2-1):OFFSET(Q78,0,$B$3-1))</f>
        <v>191.97158875988885</v>
      </c>
      <c r="Q78" s="158">
        <v>17.070031036</v>
      </c>
      <c r="R78" s="158">
        <f>16063.2389963333/1000</f>
        <v>16.0632389963333</v>
      </c>
      <c r="S78" s="158">
        <v>17.48604121855556</v>
      </c>
      <c r="T78" s="158">
        <v>17.916</v>
      </c>
      <c r="U78" s="160">
        <v>18.4567377435556</v>
      </c>
      <c r="V78" s="158">
        <v>18.507495414444442</v>
      </c>
      <c r="W78" s="158">
        <v>33.438622245111112</v>
      </c>
      <c r="X78" s="158">
        <v>27.592331031888889</v>
      </c>
      <c r="Y78" s="158">
        <v>25.441091073999999</v>
      </c>
      <c r="Z78" s="158">
        <f t="shared" ref="Z78" si="70">Z79/1000</f>
        <v>0</v>
      </c>
      <c r="AA78" s="158"/>
      <c r="AB78" s="158"/>
      <c r="AC78" s="98"/>
      <c r="AE78" s="156" t="s">
        <v>146</v>
      </c>
      <c r="AF78" s="148">
        <v>15.946285402256132</v>
      </c>
      <c r="AG78" s="148">
        <v>15.946285402256132</v>
      </c>
      <c r="AH78" s="148">
        <v>15.946285402256132</v>
      </c>
      <c r="AI78" s="148">
        <v>15.946285402256132</v>
      </c>
      <c r="AJ78" s="148">
        <v>15.946285402256132</v>
      </c>
      <c r="AK78" s="148">
        <v>15.946285402256132</v>
      </c>
      <c r="AL78" s="148">
        <v>15.946285402256132</v>
      </c>
      <c r="AM78" s="148">
        <v>15.946285402256132</v>
      </c>
      <c r="AN78" s="148">
        <v>15.946285402256132</v>
      </c>
      <c r="AO78" s="148">
        <v>15.946285402256132</v>
      </c>
      <c r="AP78" s="148">
        <v>15.946285402256132</v>
      </c>
      <c r="AQ78" s="148">
        <v>63.785141609024492</v>
      </c>
      <c r="AR78" s="150">
        <f ca="1">SUM(OFFSET(AF78,0,$B$2-1):OFFSET(AF78,0,$B$3-1))</f>
        <v>175.40913942481748</v>
      </c>
      <c r="AS78" s="169">
        <f t="shared" si="15"/>
        <v>239.19428103384197</v>
      </c>
      <c r="AT78" s="148">
        <v>24.8821582898324</v>
      </c>
      <c r="AU78" s="148">
        <v>24.8821582898324</v>
      </c>
      <c r="AV78" s="148">
        <v>24.8821582898324</v>
      </c>
      <c r="AW78" s="148">
        <v>24.8821582898324</v>
      </c>
      <c r="AX78" s="148">
        <v>24.8821582898324</v>
      </c>
      <c r="AY78" s="148">
        <v>24.8821582898324</v>
      </c>
      <c r="AZ78" s="148">
        <v>24.8821582898324</v>
      </c>
      <c r="BA78" s="148">
        <v>24.8821582898324</v>
      </c>
      <c r="BB78" s="148">
        <v>24.8821582898324</v>
      </c>
      <c r="BC78" s="148">
        <v>24.8821582898324</v>
      </c>
      <c r="BD78" s="148">
        <v>24.8821582898324</v>
      </c>
      <c r="BE78" s="148">
        <v>24.8821582898324</v>
      </c>
      <c r="BF78" s="148">
        <f ca="1">SUM(OFFSET(AT78,0,$B$2-1):OFFSET(AT78,0,$B$3-1))</f>
        <v>273.70374118815641</v>
      </c>
      <c r="BG78" s="148">
        <f t="shared" si="7"/>
        <v>298.58589947798879</v>
      </c>
    </row>
    <row r="79" spans="1:60">
      <c r="A79" s="156" t="s">
        <v>147</v>
      </c>
      <c r="B79" s="166">
        <f t="shared" ca="1" si="40"/>
        <v>0.42290546661301109</v>
      </c>
      <c r="C79" s="165">
        <f t="shared" si="44"/>
        <v>13.192524387999999</v>
      </c>
      <c r="D79" s="158">
        <v>1.3469666090000001</v>
      </c>
      <c r="E79" s="158">
        <v>0.44142992299999995</v>
      </c>
      <c r="F79" s="158">
        <v>0.84881937000000007</v>
      </c>
      <c r="G79" s="158">
        <v>0.793594943</v>
      </c>
      <c r="H79" s="160">
        <v>0.78313415099999995</v>
      </c>
      <c r="I79" s="158">
        <v>1.2253137839999999</v>
      </c>
      <c r="J79" s="160">
        <v>0.95716810899999993</v>
      </c>
      <c r="K79" s="160">
        <v>0.55468098700000001</v>
      </c>
      <c r="L79" s="158">
        <v>0.93400000000000005</v>
      </c>
      <c r="M79" s="158">
        <v>1.4397237359999999</v>
      </c>
      <c r="N79" s="158">
        <v>0.514247279</v>
      </c>
      <c r="O79" s="158">
        <v>3.3534454970000001</v>
      </c>
      <c r="P79" s="165">
        <f ca="1">SUM(OFFSET(Q79,0,$B$2-1):OFFSET(Q79,0,$B$3-1))</f>
        <v>10.424890616000001</v>
      </c>
      <c r="Q79" s="158">
        <v>0.91361415899999998</v>
      </c>
      <c r="R79" s="158">
        <f>470.222598/1000</f>
        <v>0.47022259799999999</v>
      </c>
      <c r="S79" s="158">
        <v>0.23572910999999999</v>
      </c>
      <c r="T79" s="158">
        <v>1.31</v>
      </c>
      <c r="U79" s="160">
        <v>0.54100000000000004</v>
      </c>
      <c r="V79" s="158">
        <v>2.2329271180000001</v>
      </c>
      <c r="W79" s="158">
        <v>0.74917817900000006</v>
      </c>
      <c r="X79" s="158">
        <v>2.493666105</v>
      </c>
      <c r="Y79" s="158">
        <v>1.4785533470000001</v>
      </c>
      <c r="Z79" s="158"/>
      <c r="AA79" s="158"/>
      <c r="AB79" s="158"/>
      <c r="AE79" s="156" t="s">
        <v>147</v>
      </c>
      <c r="AF79" s="148">
        <v>1.4166666666666667</v>
      </c>
      <c r="AG79" s="148">
        <v>1.4166666666666667</v>
      </c>
      <c r="AH79" s="148">
        <v>1.4166666666666667</v>
      </c>
      <c r="AI79" s="148">
        <v>1.4166666666666667</v>
      </c>
      <c r="AJ79" s="148">
        <v>1.4166666666666667</v>
      </c>
      <c r="AK79" s="148">
        <v>1.4166666666666667</v>
      </c>
      <c r="AL79" s="148">
        <v>1.4166666666666667</v>
      </c>
      <c r="AM79" s="148">
        <v>1.4166666666666667</v>
      </c>
      <c r="AN79" s="148">
        <v>1.4166666666666667</v>
      </c>
      <c r="AO79" s="148">
        <v>1.4166666666666667</v>
      </c>
      <c r="AP79" s="148">
        <v>1.4166666666666667</v>
      </c>
      <c r="AQ79" s="148">
        <v>1.4166666666666667</v>
      </c>
      <c r="AR79" s="150">
        <f ca="1">SUM(OFFSET(AF79,0,$B$2-1):OFFSET(AF79,0,$B$3-1))</f>
        <v>15.58333333333333</v>
      </c>
      <c r="AS79" s="169">
        <f t="shared" si="15"/>
        <v>16.999999999999996</v>
      </c>
      <c r="AT79" s="148">
        <v>2.0542200402947901</v>
      </c>
      <c r="AU79" s="148">
        <v>2.0542200402947901</v>
      </c>
      <c r="AV79" s="148">
        <v>2.0542200402947901</v>
      </c>
      <c r="AW79" s="148">
        <v>2.0542200402947901</v>
      </c>
      <c r="AX79" s="148">
        <v>2.0542200402947901</v>
      </c>
      <c r="AY79" s="148">
        <v>2.0542200402947901</v>
      </c>
      <c r="AZ79" s="148">
        <v>2.0542200402947901</v>
      </c>
      <c r="BA79" s="148">
        <v>2.0542200402947901</v>
      </c>
      <c r="BB79" s="148">
        <v>2.0542200402947901</v>
      </c>
      <c r="BC79" s="148">
        <v>2.0542200402947901</v>
      </c>
      <c r="BD79" s="148">
        <v>2.0542200402947901</v>
      </c>
      <c r="BE79" s="148">
        <v>2.0542200402947901</v>
      </c>
      <c r="BF79" s="148">
        <f ca="1">SUM(OFFSET(AT79,0,$B$2-1):OFFSET(AT79,0,$B$3-1))</f>
        <v>22.596420443242692</v>
      </c>
      <c r="BG79" s="148">
        <f t="shared" si="7"/>
        <v>24.650640483537483</v>
      </c>
    </row>
    <row r="80" spans="1:60">
      <c r="A80" s="156" t="s">
        <v>148</v>
      </c>
      <c r="B80" s="166" t="e">
        <f t="shared" ca="1" si="40"/>
        <v>#DIV/0!</v>
      </c>
      <c r="C80" s="165">
        <f t="shared" si="44"/>
        <v>0</v>
      </c>
      <c r="D80" s="158"/>
      <c r="E80" s="158"/>
      <c r="F80" s="158"/>
      <c r="G80" s="158"/>
      <c r="H80" s="160"/>
      <c r="I80" s="158"/>
      <c r="J80" s="160"/>
      <c r="K80" s="160"/>
      <c r="L80" s="158"/>
      <c r="M80" s="158"/>
      <c r="N80" s="158"/>
      <c r="O80" s="158"/>
      <c r="P80" s="165">
        <f ca="1">SUM(OFFSET(Q80,0,$B$2-1):OFFSET(Q80,0,$B$3-1))</f>
        <v>0</v>
      </c>
      <c r="Q80" s="158"/>
      <c r="R80" s="158"/>
      <c r="S80" s="158"/>
      <c r="T80" s="158"/>
      <c r="U80" s="160"/>
      <c r="V80" s="158"/>
      <c r="W80" s="160"/>
      <c r="X80" s="160"/>
      <c r="Y80" s="158"/>
      <c r="Z80" s="158"/>
      <c r="AA80" s="158"/>
      <c r="AB80" s="158"/>
      <c r="AE80" s="156" t="s">
        <v>148</v>
      </c>
      <c r="AF80" s="148">
        <v>0.25</v>
      </c>
      <c r="AG80" s="148">
        <v>0.25</v>
      </c>
      <c r="AH80" s="148">
        <v>0.25</v>
      </c>
      <c r="AI80" s="148">
        <v>0.25</v>
      </c>
      <c r="AJ80" s="148">
        <v>0.25</v>
      </c>
      <c r="AK80" s="148">
        <v>0.25</v>
      </c>
      <c r="AL80" s="148">
        <v>0.25</v>
      </c>
      <c r="AM80" s="148">
        <v>0.25</v>
      </c>
      <c r="AN80" s="148">
        <v>0.25</v>
      </c>
      <c r="AO80" s="148">
        <v>0.25</v>
      </c>
      <c r="AP80" s="148">
        <v>0.25</v>
      </c>
      <c r="AQ80" s="148">
        <v>0.25</v>
      </c>
      <c r="AR80" s="150">
        <f ca="1">SUM(OFFSET(AF80,0,$B$2-1):OFFSET(AF80,0,$B$3-1))</f>
        <v>2.75</v>
      </c>
      <c r="AS80" s="169">
        <f t="shared" si="15"/>
        <v>3</v>
      </c>
      <c r="AT80" s="148"/>
      <c r="AU80" s="148"/>
      <c r="AV80" s="148"/>
      <c r="AW80" s="148"/>
      <c r="AX80" s="148"/>
      <c r="AY80" s="148"/>
      <c r="AZ80" s="148"/>
      <c r="BA80" s="148"/>
      <c r="BB80" s="148"/>
      <c r="BC80" s="148"/>
      <c r="BD80" s="148"/>
      <c r="BE80" s="148"/>
      <c r="BF80" s="148">
        <f ca="1">SUM(OFFSET(AT80,0,$B$2-1):OFFSET(AT80,0,$B$3-1))</f>
        <v>0</v>
      </c>
      <c r="BG80" s="148">
        <f t="shared" si="7"/>
        <v>0</v>
      </c>
    </row>
    <row r="81" spans="1:59">
      <c r="A81" s="156" t="s">
        <v>149</v>
      </c>
      <c r="B81" s="166" t="e">
        <f t="shared" ca="1" si="40"/>
        <v>#DIV/0!</v>
      </c>
      <c r="C81" s="165">
        <f t="shared" si="44"/>
        <v>0</v>
      </c>
      <c r="D81" s="158"/>
      <c r="E81" s="158"/>
      <c r="F81" s="158"/>
      <c r="G81" s="158"/>
      <c r="H81" s="160"/>
      <c r="I81" s="158"/>
      <c r="J81" s="160"/>
      <c r="K81" s="160"/>
      <c r="L81" s="158"/>
      <c r="M81" s="158"/>
      <c r="N81" s="158"/>
      <c r="O81" s="158"/>
      <c r="P81" s="165">
        <f ca="1">SUM(OFFSET(Q81,0,$B$2-1):OFFSET(Q81,0,$B$3-1))</f>
        <v>0</v>
      </c>
      <c r="Q81" s="158"/>
      <c r="R81" s="158"/>
      <c r="S81" s="158"/>
      <c r="T81" s="158"/>
      <c r="U81" s="160"/>
      <c r="V81" s="158"/>
      <c r="W81" s="160"/>
      <c r="X81" s="160"/>
      <c r="Y81" s="158"/>
      <c r="Z81" s="158"/>
      <c r="AA81" s="158"/>
      <c r="AB81" s="158"/>
      <c r="AE81" s="156" t="s">
        <v>149</v>
      </c>
      <c r="AF81" s="148">
        <v>0.16666666666666666</v>
      </c>
      <c r="AG81" s="148">
        <v>0.16666666666666666</v>
      </c>
      <c r="AH81" s="148">
        <v>0.16666666666666666</v>
      </c>
      <c r="AI81" s="148">
        <v>0.16666666666666666</v>
      </c>
      <c r="AJ81" s="148">
        <v>0.16666666666666666</v>
      </c>
      <c r="AK81" s="148">
        <v>0.16666666666666666</v>
      </c>
      <c r="AL81" s="148">
        <v>0.16666666666666666</v>
      </c>
      <c r="AM81" s="148">
        <v>0.16666666666666666</v>
      </c>
      <c r="AN81" s="148">
        <v>0.16666666666666666</v>
      </c>
      <c r="AO81" s="148">
        <v>0.16666666666666666</v>
      </c>
      <c r="AP81" s="148">
        <v>0.16666666666666666</v>
      </c>
      <c r="AQ81" s="148">
        <v>0.16666666666666666</v>
      </c>
      <c r="AR81" s="150">
        <f ca="1">SUM(OFFSET(AF81,0,$B$2-1):OFFSET(AF81,0,$B$3-1))</f>
        <v>1.8333333333333335</v>
      </c>
      <c r="AS81" s="169">
        <f t="shared" si="15"/>
        <v>2</v>
      </c>
      <c r="AT81" s="148"/>
      <c r="AU81" s="148"/>
      <c r="AV81" s="148"/>
      <c r="AW81" s="148"/>
      <c r="AX81" s="148"/>
      <c r="AY81" s="148"/>
      <c r="AZ81" s="148"/>
      <c r="BA81" s="148"/>
      <c r="BB81" s="148"/>
      <c r="BC81" s="148"/>
      <c r="BD81" s="148"/>
      <c r="BE81" s="148"/>
      <c r="BF81" s="148">
        <f ca="1">SUM(OFFSET(AT81,0,$B$2-1):OFFSET(AT81,0,$B$3-1))</f>
        <v>0</v>
      </c>
      <c r="BG81" s="148">
        <f t="shared" si="7"/>
        <v>0</v>
      </c>
    </row>
    <row r="82" spans="1:59">
      <c r="A82" s="156" t="s">
        <v>150</v>
      </c>
      <c r="B82" s="166">
        <f t="shared" ref="B82:B90" ca="1" si="71">P82/BG82</f>
        <v>0.65258842226426872</v>
      </c>
      <c r="C82" s="165">
        <f t="shared" si="44"/>
        <v>44.661246403179227</v>
      </c>
      <c r="D82" s="165">
        <v>3.8814328909895677</v>
      </c>
      <c r="E82" s="165">
        <v>2.9369037227500501</v>
      </c>
      <c r="F82" s="165">
        <v>4.64671877067103</v>
      </c>
      <c r="G82" s="165">
        <v>3.1339197645146002</v>
      </c>
      <c r="H82" s="171">
        <v>3.6602791559999996</v>
      </c>
      <c r="I82" s="171">
        <v>4.1761900290000007</v>
      </c>
      <c r="J82" s="171">
        <v>4.0508784606666666</v>
      </c>
      <c r="K82" s="171">
        <v>3.2668206488888911</v>
      </c>
      <c r="L82" s="171">
        <v>3.3200000000000003</v>
      </c>
      <c r="M82" s="171">
        <v>3.5430565457777781</v>
      </c>
      <c r="N82" s="171">
        <v>4.843</v>
      </c>
      <c r="O82" s="171">
        <v>3.2020464139206508</v>
      </c>
      <c r="P82" s="165">
        <f ca="1">SUM(OFFSET(Q82,0,$B$2-1):OFFSET(Q82,0,$B$3-1))</f>
        <v>39.356721632756354</v>
      </c>
      <c r="Q82" s="165">
        <f t="shared" ref="Q82:Y82" si="72">SUM(Q83:Q89)</f>
        <v>4.9751154666666659</v>
      </c>
      <c r="R82" s="165">
        <f t="shared" si="72"/>
        <v>5.1067269966666675</v>
      </c>
      <c r="S82" s="165">
        <f>SUM(S83:S89)</f>
        <v>4.2300000000000004</v>
      </c>
      <c r="T82" s="165">
        <f>SUM(T83:T89)</f>
        <v>3.8260000000000001</v>
      </c>
      <c r="U82" s="171">
        <f t="shared" si="72"/>
        <v>2.5179999999999998</v>
      </c>
      <c r="V82" s="171">
        <f t="shared" si="72"/>
        <v>3.8376466493333341</v>
      </c>
      <c r="W82" s="171">
        <f t="shared" si="72"/>
        <v>6.1624197052222236</v>
      </c>
      <c r="X82" s="171">
        <f t="shared" si="72"/>
        <v>4.0803233751111119</v>
      </c>
      <c r="Y82" s="171">
        <f t="shared" si="72"/>
        <v>4.6204894397563505</v>
      </c>
      <c r="Z82" s="171">
        <f>SUM(Z83:Z89)</f>
        <v>0</v>
      </c>
      <c r="AA82" s="171">
        <f>SUM(AA83:AA89)</f>
        <v>0</v>
      </c>
      <c r="AB82" s="171">
        <f>SUM(AB83:AB89)</f>
        <v>0</v>
      </c>
      <c r="AE82" s="156" t="s">
        <v>150</v>
      </c>
      <c r="AF82" s="202">
        <f>SUM(AF83:AF89)</f>
        <v>3.5363999999999995</v>
      </c>
      <c r="AG82" s="202">
        <f t="shared" ref="AG82:AQ82" si="73">SUM(AG83:AG89)</f>
        <v>3.5363999999999995</v>
      </c>
      <c r="AH82" s="202">
        <f t="shared" si="73"/>
        <v>3.5363999999999995</v>
      </c>
      <c r="AI82" s="202">
        <f t="shared" si="73"/>
        <v>2.9003999999999999</v>
      </c>
      <c r="AJ82" s="202">
        <f t="shared" si="73"/>
        <v>2.9003999999999999</v>
      </c>
      <c r="AK82" s="202">
        <f t="shared" si="73"/>
        <v>2.9654000000000003</v>
      </c>
      <c r="AL82" s="202">
        <f t="shared" si="73"/>
        <v>2.9133999999999998</v>
      </c>
      <c r="AM82" s="202">
        <f t="shared" si="73"/>
        <v>2.9133999999999998</v>
      </c>
      <c r="AN82" s="202">
        <f t="shared" si="73"/>
        <v>2.9784000000000002</v>
      </c>
      <c r="AO82" s="202">
        <f t="shared" si="73"/>
        <v>2.9784000000000002</v>
      </c>
      <c r="AP82" s="202">
        <f t="shared" si="73"/>
        <v>2.9784000000000002</v>
      </c>
      <c r="AQ82" s="202">
        <f t="shared" si="73"/>
        <v>2.9784000000000002</v>
      </c>
      <c r="AR82" s="150">
        <f ca="1">SUM(OFFSET(AF82,0,$B$2-1):OFFSET(AF82,0,$B$3-1))</f>
        <v>34.137399999999992</v>
      </c>
      <c r="AS82" s="169">
        <f t="shared" si="15"/>
        <v>37.115799999999993</v>
      </c>
      <c r="AT82" s="148">
        <f>SUM(AT83:AT89)</f>
        <v>5.6160743462403637</v>
      </c>
      <c r="AU82" s="148">
        <f t="shared" ref="AU82:BE82" si="74">SUM(AU83:AU89)</f>
        <v>5.6220326795736977</v>
      </c>
      <c r="AV82" s="148">
        <f t="shared" si="74"/>
        <v>5.6279910129070299</v>
      </c>
      <c r="AW82" s="148">
        <f t="shared" si="74"/>
        <v>5.3364493462403626</v>
      </c>
      <c r="AX82" s="148">
        <f t="shared" si="74"/>
        <v>5.3424076795736966</v>
      </c>
      <c r="AY82" s="148">
        <f t="shared" si="74"/>
        <v>5.3483660129070305</v>
      </c>
      <c r="AZ82" s="148">
        <f t="shared" si="74"/>
        <v>4.5543243462403638</v>
      </c>
      <c r="BA82" s="148">
        <f t="shared" si="74"/>
        <v>4.5602826795736977</v>
      </c>
      <c r="BB82" s="148">
        <f t="shared" si="74"/>
        <v>4.5662410129070299</v>
      </c>
      <c r="BC82" s="148">
        <f t="shared" si="74"/>
        <v>4.5721993462403629</v>
      </c>
      <c r="BD82" s="148">
        <f t="shared" si="74"/>
        <v>4.5781576795736978</v>
      </c>
      <c r="BE82" s="148">
        <f t="shared" si="74"/>
        <v>4.58411601290703</v>
      </c>
      <c r="BF82" s="148">
        <f ca="1">SUM(OFFSET(AT82,0,$B$2-1):OFFSET(AT82,0,$B$3-1))</f>
        <v>55.724526141977329</v>
      </c>
      <c r="BG82" s="148">
        <f t="shared" si="7"/>
        <v>60.30864215488436</v>
      </c>
    </row>
    <row r="83" spans="1:59">
      <c r="A83" s="164" t="s">
        <v>151</v>
      </c>
      <c r="B83" s="166">
        <f t="shared" ca="1" si="71"/>
        <v>1.6563215714388557</v>
      </c>
      <c r="C83" s="165">
        <f t="shared" si="44"/>
        <v>13.392112832672366</v>
      </c>
      <c r="D83" s="165">
        <v>1.7106728436149201</v>
      </c>
      <c r="E83" s="165">
        <v>1.02516583602086</v>
      </c>
      <c r="F83" s="165">
        <v>1.42245807679543</v>
      </c>
      <c r="G83" s="165">
        <v>0.92102917261893302</v>
      </c>
      <c r="H83" s="171">
        <v>1.0990655229999999</v>
      </c>
      <c r="I83" s="165">
        <v>1.3668029954444401</v>
      </c>
      <c r="J83" s="171">
        <v>1.2805255897777799</v>
      </c>
      <c r="K83" s="171">
        <v>0.59513087099999995</v>
      </c>
      <c r="L83" s="165">
        <v>0.33</v>
      </c>
      <c r="M83" s="165">
        <v>0.65066294800000002</v>
      </c>
      <c r="N83" s="165">
        <v>2.1070000000000002</v>
      </c>
      <c r="O83" s="165">
        <v>0.88359897640000007</v>
      </c>
      <c r="P83" s="165">
        <f ca="1">SUM(OFFSET(Q83,0,$B$2-1):OFFSET(Q83,0,$B$3-1))</f>
        <v>4.8571630082444441</v>
      </c>
      <c r="Q83" s="165">
        <v>0.83697603666666642</v>
      </c>
      <c r="R83" s="165">
        <f>727.693860666667/1000</f>
        <v>0.72769386066666697</v>
      </c>
      <c r="S83" s="165">
        <v>0.72199999999999998</v>
      </c>
      <c r="T83" s="165">
        <v>0.76300000000000001</v>
      </c>
      <c r="U83" s="171">
        <v>0.19500000000000001</v>
      </c>
      <c r="V83" s="165">
        <v>0.40742554222222227</v>
      </c>
      <c r="W83" s="165">
        <v>0.37638229888888897</v>
      </c>
      <c r="X83" s="165">
        <v>0.40578638</v>
      </c>
      <c r="Y83" s="165">
        <v>0.42289888979999996</v>
      </c>
      <c r="Z83" s="165"/>
      <c r="AA83" s="165"/>
      <c r="AB83" s="165"/>
      <c r="AE83" s="164" t="s">
        <v>151</v>
      </c>
      <c r="AF83" s="148">
        <v>1.4179999999999999</v>
      </c>
      <c r="AG83" s="148">
        <v>1.4179999999999999</v>
      </c>
      <c r="AH83" s="148">
        <v>1.4179999999999999</v>
      </c>
      <c r="AI83" s="148">
        <v>0.78199999999999992</v>
      </c>
      <c r="AJ83" s="148">
        <v>0.78199999999999992</v>
      </c>
      <c r="AK83" s="148">
        <v>0.78199999999999992</v>
      </c>
      <c r="AL83" s="148">
        <v>0.4</v>
      </c>
      <c r="AM83" s="148">
        <v>0.4</v>
      </c>
      <c r="AN83" s="148">
        <v>0.4</v>
      </c>
      <c r="AO83" s="148">
        <v>0.4</v>
      </c>
      <c r="AP83" s="148">
        <v>0.4</v>
      </c>
      <c r="AQ83" s="148">
        <v>0.4</v>
      </c>
      <c r="AR83" s="150">
        <f ca="1">SUM(OFFSET(AF83,0,$B$2-1):OFFSET(AF83,0,$B$3-1))</f>
        <v>8.6000000000000014</v>
      </c>
      <c r="AS83" s="169">
        <f t="shared" si="15"/>
        <v>9.0000000000000018</v>
      </c>
      <c r="AT83" s="148">
        <v>0.46750000000000003</v>
      </c>
      <c r="AU83" s="148">
        <v>0.46750000000000003</v>
      </c>
      <c r="AV83" s="148">
        <v>0.46750000000000003</v>
      </c>
      <c r="AW83" s="148">
        <v>0.17</v>
      </c>
      <c r="AX83" s="148">
        <v>0.17</v>
      </c>
      <c r="AY83" s="148">
        <v>0.17</v>
      </c>
      <c r="AZ83" s="148">
        <v>0.17</v>
      </c>
      <c r="BA83" s="148">
        <v>0.17</v>
      </c>
      <c r="BB83" s="148">
        <v>0.17</v>
      </c>
      <c r="BC83" s="148">
        <v>0.17</v>
      </c>
      <c r="BD83" s="148">
        <v>0.17</v>
      </c>
      <c r="BE83" s="148">
        <v>0.17</v>
      </c>
      <c r="BF83" s="148">
        <f ca="1">SUM(OFFSET(AT83,0,$B$2-1):OFFSET(AT83,0,$B$3-1))</f>
        <v>2.7624999999999997</v>
      </c>
      <c r="BG83" s="148">
        <f t="shared" ref="BG83:BG99" si="75">SUM(AT83:BE83)</f>
        <v>2.9324999999999997</v>
      </c>
    </row>
    <row r="84" spans="1:59">
      <c r="A84" s="164" t="s">
        <v>152</v>
      </c>
      <c r="B84" s="166"/>
      <c r="C84" s="165"/>
      <c r="D84" s="165"/>
      <c r="E84" s="165"/>
      <c r="F84" s="165"/>
      <c r="G84" s="165"/>
      <c r="H84" s="171"/>
      <c r="I84" s="165"/>
      <c r="J84" s="171"/>
      <c r="K84" s="171"/>
      <c r="L84" s="165"/>
      <c r="M84" s="165"/>
      <c r="N84" s="165"/>
      <c r="O84" s="165"/>
      <c r="P84" s="165"/>
      <c r="Q84" s="165">
        <v>0.35699999999999998</v>
      </c>
      <c r="R84" s="165">
        <f>223.299/1000</f>
        <v>0.223299</v>
      </c>
      <c r="S84" s="165">
        <v>0.33200000000000002</v>
      </c>
      <c r="T84" s="165">
        <v>0.27600000000000002</v>
      </c>
      <c r="U84" s="171">
        <v>0.27600000000000002</v>
      </c>
      <c r="V84" s="165">
        <v>0.29938500000000001</v>
      </c>
      <c r="W84" s="165">
        <v>0.33900000000000002</v>
      </c>
      <c r="X84" s="165">
        <v>0.32500000000000001</v>
      </c>
      <c r="Y84" s="165">
        <v>0.32111700000000004</v>
      </c>
      <c r="Z84" s="165"/>
      <c r="AA84" s="165"/>
      <c r="AB84" s="165"/>
      <c r="AE84" s="164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150"/>
      <c r="AS84" s="169"/>
      <c r="AT84" s="148">
        <v>1.1399999999999999</v>
      </c>
      <c r="AU84" s="148">
        <v>1.1399999999999999</v>
      </c>
      <c r="AV84" s="148">
        <v>1.1399999999999999</v>
      </c>
      <c r="AW84" s="148">
        <v>1.1399999999999999</v>
      </c>
      <c r="AX84" s="148">
        <v>1.1399999999999999</v>
      </c>
      <c r="AY84" s="148">
        <v>1.1399999999999999</v>
      </c>
      <c r="AZ84" s="148">
        <v>0.34</v>
      </c>
      <c r="BA84" s="148">
        <v>0.34</v>
      </c>
      <c r="BB84" s="148">
        <v>0.34</v>
      </c>
      <c r="BC84" s="148">
        <v>0.34</v>
      </c>
      <c r="BD84" s="148">
        <v>0.34</v>
      </c>
      <c r="BE84" s="148">
        <v>0.34</v>
      </c>
      <c r="BF84" s="148">
        <f ca="1">SUM(OFFSET(AT84,0,$B$2-1):OFFSET(AT84,0,$B$3-1))</f>
        <v>8.5399999999999991</v>
      </c>
      <c r="BG84" s="148">
        <f t="shared" ref="BG84" si="76">SUM(AT84:BE84)</f>
        <v>8.879999999999999</v>
      </c>
    </row>
    <row r="85" spans="1:59">
      <c r="A85" s="164" t="s">
        <v>153</v>
      </c>
      <c r="B85" s="166">
        <f t="shared" ca="1" si="71"/>
        <v>0.7184011333691277</v>
      </c>
      <c r="C85" s="165">
        <f t="shared" si="44"/>
        <v>4.384953126777777</v>
      </c>
      <c r="D85" s="165">
        <v>0.280889416</v>
      </c>
      <c r="E85" s="165">
        <v>0.35</v>
      </c>
      <c r="F85" s="165">
        <v>0.45</v>
      </c>
      <c r="G85" s="165">
        <v>0.27253149399999999</v>
      </c>
      <c r="H85" s="171">
        <v>0.41121363300000002</v>
      </c>
      <c r="I85" s="165">
        <v>0.33556230799999998</v>
      </c>
      <c r="J85" s="171">
        <v>0.46527195500000001</v>
      </c>
      <c r="K85" s="171">
        <v>0.22354323600000001</v>
      </c>
      <c r="L85" s="165">
        <v>0.5</v>
      </c>
      <c r="M85" s="165">
        <v>0.50193858577777795</v>
      </c>
      <c r="N85" s="165">
        <v>0.27300000000000002</v>
      </c>
      <c r="O85" s="165">
        <v>0.321002499</v>
      </c>
      <c r="P85" s="165">
        <f ca="1">SUM(OFFSET(Q85,0,$B$2-1):OFFSET(Q85,0,$B$3-1))</f>
        <v>5.5843018909999991</v>
      </c>
      <c r="Q85" s="165">
        <v>0.400420779</v>
      </c>
      <c r="R85" s="165">
        <f>1448.734136/1000</f>
        <v>1.4487341360000001</v>
      </c>
      <c r="S85" s="165">
        <v>0.59</v>
      </c>
      <c r="T85" s="165">
        <v>0.54600000000000004</v>
      </c>
      <c r="U85" s="171">
        <v>0.46800000000000003</v>
      </c>
      <c r="V85" s="165">
        <v>0.601371514</v>
      </c>
      <c r="W85" s="165">
        <v>0.435753842</v>
      </c>
      <c r="X85" s="165">
        <v>0.55360084099999995</v>
      </c>
      <c r="Y85" s="165">
        <v>0.54042077900000007</v>
      </c>
      <c r="Z85" s="165"/>
      <c r="AA85" s="165"/>
      <c r="AB85" s="165"/>
      <c r="AE85" s="164" t="s">
        <v>153</v>
      </c>
      <c r="AF85" s="148">
        <v>0.6</v>
      </c>
      <c r="AG85" s="148">
        <v>0.6</v>
      </c>
      <c r="AH85" s="148">
        <v>0.6</v>
      </c>
      <c r="AI85" s="148">
        <v>0.6</v>
      </c>
      <c r="AJ85" s="148">
        <v>0.6</v>
      </c>
      <c r="AK85" s="148">
        <v>0.6</v>
      </c>
      <c r="AL85" s="148">
        <v>0.8</v>
      </c>
      <c r="AM85" s="148">
        <v>0.8</v>
      </c>
      <c r="AN85" s="148">
        <v>0.8</v>
      </c>
      <c r="AO85" s="148">
        <v>0.8</v>
      </c>
      <c r="AP85" s="148">
        <v>0.8</v>
      </c>
      <c r="AQ85" s="148">
        <v>0.8</v>
      </c>
      <c r="AR85" s="150">
        <f ca="1">SUM(OFFSET(AF85,0,$B$2-1):OFFSET(AF85,0,$B$3-1))</f>
        <v>7.6</v>
      </c>
      <c r="AS85" s="169">
        <f t="shared" si="15"/>
        <v>8.4</v>
      </c>
      <c r="AT85" s="148">
        <v>0.64776970595000005</v>
      </c>
      <c r="AU85" s="148">
        <v>0.64776970595000005</v>
      </c>
      <c r="AV85" s="148">
        <v>0.64776970595000005</v>
      </c>
      <c r="AW85" s="148">
        <v>0.64776970595000005</v>
      </c>
      <c r="AX85" s="148">
        <v>0.64776970595000005</v>
      </c>
      <c r="AY85" s="148">
        <v>0.64776970595000005</v>
      </c>
      <c r="AZ85" s="148">
        <v>0.64776970595000005</v>
      </c>
      <c r="BA85" s="148">
        <v>0.64776970595000005</v>
      </c>
      <c r="BB85" s="148">
        <v>0.64776970595000005</v>
      </c>
      <c r="BC85" s="148">
        <v>0.64776970595000005</v>
      </c>
      <c r="BD85" s="148">
        <v>0.64776970595000005</v>
      </c>
      <c r="BE85" s="148">
        <v>0.64776970595000005</v>
      </c>
      <c r="BF85" s="148">
        <f ca="1">SUM(OFFSET(AT85,0,$B$2-1):OFFSET(AT85,0,$B$3-1))</f>
        <v>7.1254667654500006</v>
      </c>
      <c r="BG85" s="148">
        <f t="shared" si="75"/>
        <v>7.7732364714000006</v>
      </c>
    </row>
    <row r="86" spans="1:59">
      <c r="A86" s="164" t="s">
        <v>154</v>
      </c>
      <c r="B86" s="166" t="e">
        <f t="shared" ca="1" si="71"/>
        <v>#DIV/0!</v>
      </c>
      <c r="C86" s="165">
        <f t="shared" ref="C86:C99" si="77">SUM(D86:O86)</f>
        <v>0</v>
      </c>
      <c r="D86" s="165"/>
      <c r="E86" s="165"/>
      <c r="F86" s="165"/>
      <c r="G86" s="165"/>
      <c r="H86" s="171"/>
      <c r="I86" s="165"/>
      <c r="J86" s="171"/>
      <c r="K86" s="171"/>
      <c r="L86" s="165"/>
      <c r="M86" s="165"/>
      <c r="N86" s="165"/>
      <c r="O86" s="165"/>
      <c r="P86" s="165">
        <f ca="1">SUM(OFFSET(Q86,0,$B$2-1):OFFSET(Q86,0,$B$3-1))</f>
        <v>0</v>
      </c>
      <c r="Q86" s="165"/>
      <c r="R86" s="165"/>
      <c r="S86" s="165"/>
      <c r="T86" s="165"/>
      <c r="U86" s="171"/>
      <c r="V86" s="165"/>
      <c r="W86" s="171"/>
      <c r="X86" s="171"/>
      <c r="Y86" s="165"/>
      <c r="Z86" s="165"/>
      <c r="AA86" s="165"/>
      <c r="AB86" s="165"/>
      <c r="AE86" s="164" t="s">
        <v>154</v>
      </c>
      <c r="AF86" s="148">
        <v>6.8399999999999989E-2</v>
      </c>
      <c r="AG86" s="148">
        <v>6.8399999999999989E-2</v>
      </c>
      <c r="AH86" s="148">
        <v>6.8399999999999989E-2</v>
      </c>
      <c r="AI86" s="148">
        <v>6.8399999999999989E-2</v>
      </c>
      <c r="AJ86" s="148">
        <v>6.8399999999999989E-2</v>
      </c>
      <c r="AK86" s="148">
        <v>6.8399999999999989E-2</v>
      </c>
      <c r="AL86" s="148">
        <v>6.8399999999999989E-2</v>
      </c>
      <c r="AM86" s="148">
        <v>6.8399999999999989E-2</v>
      </c>
      <c r="AN86" s="148">
        <v>6.8399999999999989E-2</v>
      </c>
      <c r="AO86" s="148">
        <v>6.8399999999999989E-2</v>
      </c>
      <c r="AP86" s="148">
        <v>6.8399999999999989E-2</v>
      </c>
      <c r="AQ86" s="148">
        <v>6.8399999999999989E-2</v>
      </c>
      <c r="AR86" s="150">
        <f ca="1">SUM(OFFSET(AF86,0,$B$2-1):OFFSET(AF86,0,$B$3-1))</f>
        <v>0.75240000000000007</v>
      </c>
      <c r="AS86" s="169">
        <f t="shared" ref="AS86:AS98" si="78">SUM(AF86:AQ86)</f>
        <v>0.82080000000000009</v>
      </c>
      <c r="AT86" s="148"/>
      <c r="AU86" s="148"/>
      <c r="AV86" s="148"/>
      <c r="AW86" s="148"/>
      <c r="AX86" s="148"/>
      <c r="AY86" s="148"/>
      <c r="AZ86" s="148"/>
      <c r="BA86" s="148"/>
      <c r="BB86" s="148"/>
      <c r="BC86" s="148"/>
      <c r="BD86" s="148"/>
      <c r="BE86" s="148"/>
      <c r="BF86" s="148">
        <f ca="1">SUM(OFFSET(AT86,0,$B$2-1):OFFSET(AT86,0,$B$3-1))</f>
        <v>0</v>
      </c>
      <c r="BG86" s="148">
        <f t="shared" si="75"/>
        <v>0</v>
      </c>
    </row>
    <row r="87" spans="1:59">
      <c r="A87" s="164" t="s">
        <v>155</v>
      </c>
      <c r="B87" s="166">
        <f t="shared" ca="1" si="71"/>
        <v>7.541478129713422E-2</v>
      </c>
      <c r="C87" s="165">
        <f t="shared" si="77"/>
        <v>4.4460114816678331</v>
      </c>
      <c r="D87" s="165">
        <v>0.16011249999999999</v>
      </c>
      <c r="E87" s="165">
        <v>0.13300000000000001</v>
      </c>
      <c r="F87" s="165">
        <v>0.78552560910550007</v>
      </c>
      <c r="G87" s="165">
        <v>0.36940609789566703</v>
      </c>
      <c r="H87" s="171">
        <v>0.3</v>
      </c>
      <c r="I87" s="67">
        <v>0.26600000000000001</v>
      </c>
      <c r="J87" s="171">
        <v>0.36977629555555591</v>
      </c>
      <c r="K87" s="171">
        <v>0.28878597111111098</v>
      </c>
      <c r="L87" s="165">
        <v>0.8</v>
      </c>
      <c r="M87" s="165">
        <v>0.47340500800000002</v>
      </c>
      <c r="N87" s="165">
        <v>0.7</v>
      </c>
      <c r="O87" s="165">
        <v>-0.2</v>
      </c>
      <c r="P87" s="165">
        <f ca="1">SUM(OFFSET(Q87,0,$B$2-1):OFFSET(Q87,0,$B$3-1))</f>
        <v>0.1</v>
      </c>
      <c r="Q87" s="165"/>
      <c r="R87" s="165"/>
      <c r="S87" s="311">
        <v>0.1</v>
      </c>
      <c r="T87" s="165"/>
      <c r="U87" s="171"/>
      <c r="V87" s="67"/>
      <c r="W87" s="171"/>
      <c r="X87" s="171"/>
      <c r="Y87" s="165"/>
      <c r="Z87" s="165"/>
      <c r="AA87" s="165"/>
      <c r="AB87" s="165"/>
      <c r="AE87" s="164" t="s">
        <v>155</v>
      </c>
      <c r="AF87" s="148">
        <v>0.4</v>
      </c>
      <c r="AG87" s="148">
        <v>0.4</v>
      </c>
      <c r="AH87" s="148">
        <v>0.4</v>
      </c>
      <c r="AI87" s="148">
        <v>0.4</v>
      </c>
      <c r="AJ87" s="148">
        <v>0.4</v>
      </c>
      <c r="AK87" s="148">
        <v>0.4</v>
      </c>
      <c r="AL87" s="148">
        <v>0.4</v>
      </c>
      <c r="AM87" s="148">
        <v>0.4</v>
      </c>
      <c r="AN87" s="148">
        <v>0.4</v>
      </c>
      <c r="AO87" s="148">
        <v>0.4</v>
      </c>
      <c r="AP87" s="148">
        <v>0.4</v>
      </c>
      <c r="AQ87" s="148">
        <v>0.4</v>
      </c>
      <c r="AR87" s="150">
        <f ca="1">SUM(OFFSET(AF87,0,$B$2-1):OFFSET(AF87,0,$B$3-1))</f>
        <v>4.3999999999999995</v>
      </c>
      <c r="AS87" s="169">
        <f t="shared" si="78"/>
        <v>4.8</v>
      </c>
      <c r="AT87" s="148">
        <v>0.1105</v>
      </c>
      <c r="AU87" s="148">
        <v>0.1105</v>
      </c>
      <c r="AV87" s="148">
        <v>0.1105</v>
      </c>
      <c r="AW87" s="148">
        <v>0.1105</v>
      </c>
      <c r="AX87" s="148">
        <v>0.1105</v>
      </c>
      <c r="AY87" s="148">
        <v>0.1105</v>
      </c>
      <c r="AZ87" s="148">
        <v>0.1105</v>
      </c>
      <c r="BA87" s="148">
        <v>0.1105</v>
      </c>
      <c r="BB87" s="148">
        <v>0.1105</v>
      </c>
      <c r="BC87" s="148">
        <v>0.1105</v>
      </c>
      <c r="BD87" s="148">
        <v>0.1105</v>
      </c>
      <c r="BE87" s="148">
        <v>0.1105</v>
      </c>
      <c r="BF87" s="148">
        <f ca="1">SUM(OFFSET(AT87,0,$B$2-1):OFFSET(AT87,0,$B$3-1))</f>
        <v>1.2155000000000002</v>
      </c>
      <c r="BG87" s="148">
        <f t="shared" si="75"/>
        <v>1.3260000000000003</v>
      </c>
    </row>
    <row r="88" spans="1:59">
      <c r="A88" s="164" t="s">
        <v>156</v>
      </c>
      <c r="B88" s="166">
        <f t="shared" ca="1" si="71"/>
        <v>0.67199759730133268</v>
      </c>
      <c r="C88" s="165">
        <f t="shared" si="77"/>
        <v>3.1968543577777799</v>
      </c>
      <c r="D88" s="165">
        <v>0.34993099999999999</v>
      </c>
      <c r="E88" s="165">
        <v>0.34</v>
      </c>
      <c r="F88" s="311">
        <v>0.3</v>
      </c>
      <c r="G88" s="165">
        <v>0.270953</v>
      </c>
      <c r="H88" s="171">
        <v>0.3</v>
      </c>
      <c r="I88" s="165">
        <v>0.77897035777778001</v>
      </c>
      <c r="J88" s="171">
        <v>0.4</v>
      </c>
      <c r="K88" s="171">
        <v>0.45700000000000002</v>
      </c>
      <c r="L88" s="165"/>
      <c r="M88" s="165"/>
      <c r="N88" s="165"/>
      <c r="O88" s="165"/>
      <c r="P88" s="165">
        <f ca="1">SUM(OFFSET(Q88,0,$B$2-1):OFFSET(Q88,0,$B$3-1))</f>
        <v>3.0379331379999996</v>
      </c>
      <c r="Q88" s="165">
        <v>0.32271865100000002</v>
      </c>
      <c r="R88" s="165">
        <v>0.20699999999999999</v>
      </c>
      <c r="S88" s="165">
        <v>0.186</v>
      </c>
      <c r="T88" s="165">
        <v>0.311</v>
      </c>
      <c r="U88" s="171">
        <v>0.26800000000000002</v>
      </c>
      <c r="V88" s="165">
        <v>0.3840841378888889</v>
      </c>
      <c r="W88" s="171">
        <v>0.47701469399999996</v>
      </c>
      <c r="X88" s="171">
        <v>0.43629716211111108</v>
      </c>
      <c r="Y88" s="165">
        <v>0.44581849299999998</v>
      </c>
      <c r="Z88" s="165"/>
      <c r="AA88" s="165"/>
      <c r="AB88" s="165"/>
      <c r="AE88" s="164" t="s">
        <v>156</v>
      </c>
      <c r="AF88" s="148">
        <v>0.65</v>
      </c>
      <c r="AG88" s="148">
        <v>0.65</v>
      </c>
      <c r="AH88" s="148">
        <v>0.65</v>
      </c>
      <c r="AI88" s="148">
        <v>0.65</v>
      </c>
      <c r="AJ88" s="148">
        <v>0.65</v>
      </c>
      <c r="AK88" s="148">
        <v>0.71500000000000008</v>
      </c>
      <c r="AL88" s="148">
        <v>0.84499999999999997</v>
      </c>
      <c r="AM88" s="148">
        <v>0.84499999999999997</v>
      </c>
      <c r="AN88" s="148">
        <v>0.90999999999999992</v>
      </c>
      <c r="AO88" s="148">
        <v>0.90999999999999992</v>
      </c>
      <c r="AP88" s="148">
        <v>0.90999999999999992</v>
      </c>
      <c r="AQ88" s="148">
        <v>0.90999999999999992</v>
      </c>
      <c r="AR88" s="150">
        <f ca="1">SUM(OFFSET(AF88,0,$B$2-1):OFFSET(AF88,0,$B$3-1))</f>
        <v>8.3849999999999998</v>
      </c>
      <c r="AS88" s="169">
        <f t="shared" si="78"/>
        <v>9.2949999999999999</v>
      </c>
      <c r="AT88" s="148">
        <v>0.34395833333333298</v>
      </c>
      <c r="AU88" s="148">
        <v>0.34991666666666699</v>
      </c>
      <c r="AV88" s="148">
        <v>0.355875</v>
      </c>
      <c r="AW88" s="148">
        <v>0.36183333333333301</v>
      </c>
      <c r="AX88" s="148">
        <v>0.36779166666666702</v>
      </c>
      <c r="AY88" s="148">
        <v>0.37375000000000003</v>
      </c>
      <c r="AZ88" s="148">
        <v>0.37970833333333298</v>
      </c>
      <c r="BA88" s="148">
        <v>0.38566666666666699</v>
      </c>
      <c r="BB88" s="148">
        <v>0.391625</v>
      </c>
      <c r="BC88" s="148">
        <v>0.39758333333333301</v>
      </c>
      <c r="BD88" s="148">
        <v>0.40354166666666702</v>
      </c>
      <c r="BE88" s="148">
        <v>0.40949999999999998</v>
      </c>
      <c r="BF88" s="148">
        <f ca="1">SUM(OFFSET(AT88,0,$B$2-1):OFFSET(AT88,0,$B$3-1))</f>
        <v>4.1112500000000001</v>
      </c>
      <c r="BG88" s="148">
        <f t="shared" si="75"/>
        <v>4.5207499999999996</v>
      </c>
    </row>
    <row r="89" spans="1:59">
      <c r="A89" s="164" t="s">
        <v>157</v>
      </c>
      <c r="B89" s="166">
        <f t="shared" ca="1" si="71"/>
        <v>0.66029417933861012</v>
      </c>
      <c r="C89" s="165">
        <f t="shared" si="77"/>
        <v>19.241314604283481</v>
      </c>
      <c r="D89" s="165">
        <v>1.3798271313746477</v>
      </c>
      <c r="E89" s="165">
        <v>1.0887378867291901</v>
      </c>
      <c r="F89" s="165">
        <v>1.6887350847701001</v>
      </c>
      <c r="G89" s="165">
        <v>1.3</v>
      </c>
      <c r="H89" s="171">
        <v>1.55</v>
      </c>
      <c r="I89" s="165">
        <v>1.4288543677777803</v>
      </c>
      <c r="J89" s="171">
        <v>1.5353046203333305</v>
      </c>
      <c r="K89" s="171">
        <v>1.7023605707777802</v>
      </c>
      <c r="L89" s="165">
        <v>1.6900000000000002</v>
      </c>
      <c r="M89" s="165">
        <v>1.917050004</v>
      </c>
      <c r="N89" s="165">
        <v>1.7630000000000001</v>
      </c>
      <c r="O89" s="165">
        <v>2.1974449385206505</v>
      </c>
      <c r="P89" s="165">
        <f ca="1">SUM(OFFSET(Q89,0,$B$2-1):OFFSET(Q89,0,$B$3-1))</f>
        <v>23.028522595511909</v>
      </c>
      <c r="Q89" s="165">
        <f>4.3-Q90</f>
        <v>3.0579999999999998</v>
      </c>
      <c r="R89" s="165">
        <v>2.5</v>
      </c>
      <c r="S89" s="165">
        <v>2.2999999999999998</v>
      </c>
      <c r="T89" s="165">
        <v>1.93</v>
      </c>
      <c r="U89" s="171">
        <v>1.3109999999999999</v>
      </c>
      <c r="V89" s="165">
        <v>2.1453804552222229</v>
      </c>
      <c r="W89" s="165">
        <v>4.5342688703333343</v>
      </c>
      <c r="X89" s="165">
        <v>2.3596389920000003</v>
      </c>
      <c r="Y89" s="165">
        <v>2.8902342779563504</v>
      </c>
      <c r="Z89" s="165"/>
      <c r="AA89" s="165"/>
      <c r="AB89" s="165"/>
      <c r="AE89" s="164" t="s">
        <v>157</v>
      </c>
      <c r="AF89" s="148">
        <v>0.4</v>
      </c>
      <c r="AG89" s="148">
        <v>0.4</v>
      </c>
      <c r="AH89" s="148">
        <v>0.4</v>
      </c>
      <c r="AI89" s="148">
        <v>0.4</v>
      </c>
      <c r="AJ89" s="148">
        <v>0.4</v>
      </c>
      <c r="AK89" s="148">
        <v>0.4</v>
      </c>
      <c r="AL89" s="148">
        <v>0.4</v>
      </c>
      <c r="AM89" s="148">
        <v>0.4</v>
      </c>
      <c r="AN89" s="148">
        <v>0.4</v>
      </c>
      <c r="AO89" s="148">
        <v>0.4</v>
      </c>
      <c r="AP89" s="148">
        <v>0.4</v>
      </c>
      <c r="AQ89" s="148">
        <v>0.4</v>
      </c>
      <c r="AR89" s="150">
        <f ca="1">SUM(OFFSET(AF89,0,$B$2-1):OFFSET(AF89,0,$B$3-1))</f>
        <v>4.3999999999999995</v>
      </c>
      <c r="AS89" s="169">
        <f t="shared" si="78"/>
        <v>4.8</v>
      </c>
      <c r="AT89" s="148">
        <v>2.9063463069570301</v>
      </c>
      <c r="AU89" s="148">
        <v>2.9063463069570301</v>
      </c>
      <c r="AV89" s="148">
        <v>2.9063463069570301</v>
      </c>
      <c r="AW89" s="148">
        <v>2.9063463069570301</v>
      </c>
      <c r="AX89" s="148">
        <v>2.9063463069570301</v>
      </c>
      <c r="AY89" s="148">
        <v>2.9063463069570301</v>
      </c>
      <c r="AZ89" s="148">
        <v>2.9063463069570301</v>
      </c>
      <c r="BA89" s="148">
        <v>2.9063463069570301</v>
      </c>
      <c r="BB89" s="148">
        <v>2.9063463069570301</v>
      </c>
      <c r="BC89" s="148">
        <v>2.9063463069570301</v>
      </c>
      <c r="BD89" s="148">
        <v>2.9063463069570301</v>
      </c>
      <c r="BE89" s="148">
        <v>2.9063463069570301</v>
      </c>
      <c r="BF89" s="148">
        <f ca="1">SUM(OFFSET(AT89,0,$B$2-1):OFFSET(AT89,0,$B$3-1))</f>
        <v>31.96980937652733</v>
      </c>
      <c r="BG89" s="148">
        <f t="shared" si="75"/>
        <v>34.876155683484363</v>
      </c>
    </row>
    <row r="90" spans="1:59">
      <c r="A90" s="156" t="s">
        <v>158</v>
      </c>
      <c r="B90" s="166">
        <f t="shared" ca="1" si="71"/>
        <v>0.62729999999999864</v>
      </c>
      <c r="C90" s="165">
        <f t="shared" si="77"/>
        <v>17.021439088585989</v>
      </c>
      <c r="D90" s="160">
        <v>0.709216847172082</v>
      </c>
      <c r="E90" s="160">
        <v>1.3112649152298999</v>
      </c>
      <c r="F90" s="160">
        <v>1.3112649152298999</v>
      </c>
      <c r="G90" s="160">
        <v>1.3331731115209</v>
      </c>
      <c r="H90" s="160">
        <v>1.47969944043321</v>
      </c>
      <c r="I90" s="160">
        <v>1.406892477</v>
      </c>
      <c r="J90" s="160">
        <v>1.4139999999999999</v>
      </c>
      <c r="K90" s="160">
        <v>1.5</v>
      </c>
      <c r="L90" s="160">
        <v>1.4330000000000001</v>
      </c>
      <c r="M90" s="160">
        <v>1.6089273820000001</v>
      </c>
      <c r="N90" s="160">
        <v>1.514</v>
      </c>
      <c r="O90" s="160">
        <v>2</v>
      </c>
      <c r="P90" s="165">
        <f ca="1">SUM(OFFSET(Q90,0,$B$2-1):OFFSET(Q90,0,$B$3-1))</f>
        <v>12.545999999999999</v>
      </c>
      <c r="Q90" s="160">
        <v>1.242</v>
      </c>
      <c r="R90" s="160">
        <v>1.25</v>
      </c>
      <c r="S90" s="160">
        <v>1.454</v>
      </c>
      <c r="T90" s="160">
        <v>1.3480000000000001</v>
      </c>
      <c r="U90" s="160">
        <v>1.4179999999999999</v>
      </c>
      <c r="V90" s="160">
        <v>1.3839999999999999</v>
      </c>
      <c r="W90" s="160">
        <v>1.5249999999999999</v>
      </c>
      <c r="X90" s="160">
        <v>1.4179999999999999</v>
      </c>
      <c r="Y90" s="160">
        <v>1.5069999999999999</v>
      </c>
      <c r="Z90" s="160"/>
      <c r="AA90" s="160"/>
      <c r="AB90" s="160"/>
      <c r="AE90" s="156" t="s">
        <v>158</v>
      </c>
      <c r="AF90" s="148">
        <v>2.3333333333333335</v>
      </c>
      <c r="AG90" s="148">
        <v>2.3333333333333335</v>
      </c>
      <c r="AH90" s="148">
        <v>2.3333333333333335</v>
      </c>
      <c r="AI90" s="148">
        <v>2.3333333333333335</v>
      </c>
      <c r="AJ90" s="148">
        <v>2.3333333333333335</v>
      </c>
      <c r="AK90" s="148">
        <v>2.3333333333333335</v>
      </c>
      <c r="AL90" s="148">
        <v>2.3333333333333335</v>
      </c>
      <c r="AM90" s="148">
        <v>2.3333333333333335</v>
      </c>
      <c r="AN90" s="148">
        <v>2.3333333333333335</v>
      </c>
      <c r="AO90" s="148">
        <v>2.3333333333333335</v>
      </c>
      <c r="AP90" s="148">
        <v>2.3333333333333335</v>
      </c>
      <c r="AQ90" s="148">
        <v>2.3333333333333335</v>
      </c>
      <c r="AR90" s="150">
        <f ca="1">SUM(OFFSET(AF90,0,$B$2-1):OFFSET(AF90,0,$B$3-1))</f>
        <v>25.666666666666664</v>
      </c>
      <c r="AS90" s="169">
        <f t="shared" si="78"/>
        <v>27.999999999999996</v>
      </c>
      <c r="AT90" s="148">
        <v>1.6666666666666701</v>
      </c>
      <c r="AU90" s="148">
        <v>1.6666666666666701</v>
      </c>
      <c r="AV90" s="148">
        <v>1.6666666666666701</v>
      </c>
      <c r="AW90" s="148">
        <v>1.6666666666666701</v>
      </c>
      <c r="AX90" s="148">
        <v>1.6666666666666701</v>
      </c>
      <c r="AY90" s="148">
        <v>1.6666666666666701</v>
      </c>
      <c r="AZ90" s="148">
        <v>1.6666666666666701</v>
      </c>
      <c r="BA90" s="148">
        <v>1.6666666666666701</v>
      </c>
      <c r="BB90" s="148">
        <v>1.6666666666666701</v>
      </c>
      <c r="BC90" s="148">
        <v>1.6666666666666701</v>
      </c>
      <c r="BD90" s="148">
        <v>1.6666666666666701</v>
      </c>
      <c r="BE90" s="148">
        <v>1.6666666666666701</v>
      </c>
      <c r="BF90" s="148">
        <f ca="1">SUM(OFFSET(AT90,0,$B$2-1):OFFSET(AT90,0,$B$3-1))</f>
        <v>18.333333333333371</v>
      </c>
      <c r="BG90" s="148">
        <f t="shared" si="75"/>
        <v>20.000000000000043</v>
      </c>
    </row>
    <row r="91" spans="1:59">
      <c r="A91" s="156" t="s">
        <v>159</v>
      </c>
      <c r="B91" s="166" t="e">
        <f ca="1">P91/BG91</f>
        <v>#DIV/0!</v>
      </c>
      <c r="C91" s="165">
        <f t="shared" si="77"/>
        <v>0</v>
      </c>
      <c r="D91" s="158"/>
      <c r="E91" s="158"/>
      <c r="F91" s="158"/>
      <c r="G91" s="158"/>
      <c r="H91" s="160"/>
      <c r="I91" s="158"/>
      <c r="J91" s="160"/>
      <c r="K91" s="160"/>
      <c r="L91" s="158"/>
      <c r="M91" s="158"/>
      <c r="N91" s="158"/>
      <c r="O91" s="158"/>
      <c r="P91" s="165">
        <f ca="1">SUM(OFFSET(Q91,0,$B$2-1):OFFSET(Q91,0,$B$3-1))</f>
        <v>0</v>
      </c>
      <c r="Q91" s="158"/>
      <c r="R91" s="158"/>
      <c r="S91" s="158"/>
      <c r="T91" s="158"/>
      <c r="U91" s="160"/>
      <c r="V91" s="158"/>
      <c r="W91" s="158"/>
      <c r="X91" s="158"/>
      <c r="Y91" s="158"/>
      <c r="Z91" s="158"/>
      <c r="AA91" s="158"/>
      <c r="AB91" s="158"/>
      <c r="AE91" s="156" t="s">
        <v>159</v>
      </c>
      <c r="AF91" s="148">
        <v>0.98954049739999994</v>
      </c>
      <c r="AG91" s="148">
        <v>0.98954049739999994</v>
      </c>
      <c r="AH91" s="148">
        <v>0.98954049739999994</v>
      </c>
      <c r="AI91" s="148">
        <v>0.98954049739999994</v>
      </c>
      <c r="AJ91" s="148">
        <v>0.98954049739999994</v>
      </c>
      <c r="AK91" s="148">
        <v>0.98954049739999994</v>
      </c>
      <c r="AL91" s="148">
        <v>0.98954049739999994</v>
      </c>
      <c r="AM91" s="148">
        <v>0.98954049739999994</v>
      </c>
      <c r="AN91" s="148">
        <v>0.98954049739999994</v>
      </c>
      <c r="AO91" s="148">
        <v>0.98954049739999994</v>
      </c>
      <c r="AP91" s="148">
        <v>0.98954049739999994</v>
      </c>
      <c r="AQ91" s="148">
        <v>0.98954049739999994</v>
      </c>
      <c r="AR91" s="150">
        <f ca="1">SUM(OFFSET(AF91,0,$B$2-1):OFFSET(AF91,0,$B$3-1))</f>
        <v>10.8849454714</v>
      </c>
      <c r="AS91" s="169">
        <f t="shared" si="78"/>
        <v>11.8744859688</v>
      </c>
      <c r="AT91" s="148"/>
      <c r="AU91" s="148"/>
      <c r="AV91" s="148"/>
      <c r="AW91" s="148"/>
      <c r="AX91" s="148"/>
      <c r="AY91" s="148"/>
      <c r="AZ91" s="148"/>
      <c r="BA91" s="148"/>
      <c r="BB91" s="148"/>
      <c r="BC91" s="148"/>
      <c r="BD91" s="148"/>
      <c r="BE91" s="148"/>
      <c r="BF91" s="148">
        <f ca="1">SUM(OFFSET(AT91,0,$B$2-1):OFFSET(AT91,0,$B$3-1))</f>
        <v>0</v>
      </c>
      <c r="BG91" s="148">
        <f>SUM(AT91:BE91)</f>
        <v>0</v>
      </c>
    </row>
    <row r="92" spans="1:59">
      <c r="A92" s="156" t="s">
        <v>160</v>
      </c>
      <c r="B92" s="166"/>
      <c r="C92" s="165">
        <f t="shared" si="77"/>
        <v>3.3696834049999995</v>
      </c>
      <c r="D92" s="158">
        <v>0.29886343499999996</v>
      </c>
      <c r="E92" s="158">
        <v>0.27778914700000001</v>
      </c>
      <c r="F92" s="160">
        <v>0.24756415700000001</v>
      </c>
      <c r="G92" s="159">
        <v>0.52470335599999995</v>
      </c>
      <c r="H92" s="160">
        <v>1.5470772000000001E-2</v>
      </c>
      <c r="I92" s="158">
        <v>0.31548056800000002</v>
      </c>
      <c r="J92" s="160">
        <v>0.28964776199999998</v>
      </c>
      <c r="K92" s="160">
        <v>0.25343520400000003</v>
      </c>
      <c r="L92" s="160">
        <v>0.27600000000000002</v>
      </c>
      <c r="M92" s="160">
        <v>0.29672900399999996</v>
      </c>
      <c r="N92" s="160">
        <v>0.28699999999999998</v>
      </c>
      <c r="O92" s="159">
        <v>0.28699999999999998</v>
      </c>
      <c r="P92" s="165">
        <f ca="1">SUM(OFFSET(Q92,0,$B$2-1):OFFSET(Q92,0,$B$3-1))</f>
        <v>2.7018701700000003</v>
      </c>
      <c r="Q92" s="158">
        <v>0.285576993</v>
      </c>
      <c r="R92" s="158">
        <v>0.27300000000000002</v>
      </c>
      <c r="S92" s="160">
        <v>0.27400000000000002</v>
      </c>
      <c r="T92" s="160">
        <v>0.29499999999999998</v>
      </c>
      <c r="U92" s="160">
        <v>0.27600000000000002</v>
      </c>
      <c r="V92" s="158">
        <v>0.27998768699999999</v>
      </c>
      <c r="W92" s="158">
        <v>0.35452244199999999</v>
      </c>
      <c r="X92" s="158">
        <v>0.321243475</v>
      </c>
      <c r="Y92" s="158">
        <v>0.34253957300000004</v>
      </c>
      <c r="Z92" s="160"/>
      <c r="AA92" s="160"/>
      <c r="AB92" s="159"/>
      <c r="AE92" s="156" t="s">
        <v>160</v>
      </c>
      <c r="AF92" s="148">
        <v>0</v>
      </c>
      <c r="AG92" s="148">
        <v>0</v>
      </c>
      <c r="AH92" s="148">
        <v>0</v>
      </c>
      <c r="AI92" s="148">
        <v>0</v>
      </c>
      <c r="AJ92" s="148">
        <v>0</v>
      </c>
      <c r="AK92" s="148">
        <v>0</v>
      </c>
      <c r="AL92" s="148">
        <v>0</v>
      </c>
      <c r="AM92" s="148">
        <v>0</v>
      </c>
      <c r="AN92" s="148">
        <v>0</v>
      </c>
      <c r="AO92" s="148">
        <v>0</v>
      </c>
      <c r="AP92" s="148">
        <v>0</v>
      </c>
      <c r="AQ92" s="148">
        <v>0</v>
      </c>
      <c r="AR92" s="150">
        <f ca="1">SUM(OFFSET(AF92,0,$B$2-1):OFFSET(AF92,0,$B$3-1))</f>
        <v>0</v>
      </c>
      <c r="AS92" s="169">
        <f t="shared" si="78"/>
        <v>0</v>
      </c>
      <c r="AT92" s="148">
        <v>0</v>
      </c>
      <c r="AU92" s="148">
        <v>0</v>
      </c>
      <c r="AV92" s="148">
        <v>0</v>
      </c>
      <c r="AW92" s="148">
        <v>0</v>
      </c>
      <c r="AX92" s="148">
        <v>0</v>
      </c>
      <c r="AY92" s="148">
        <v>0</v>
      </c>
      <c r="AZ92" s="148">
        <v>0</v>
      </c>
      <c r="BA92" s="148">
        <v>0</v>
      </c>
      <c r="BB92" s="148">
        <v>0</v>
      </c>
      <c r="BC92" s="148">
        <v>0</v>
      </c>
      <c r="BD92" s="148">
        <v>0</v>
      </c>
      <c r="BE92" s="148">
        <v>0</v>
      </c>
      <c r="BF92" s="148">
        <f ca="1">SUM(OFFSET(AT92,0,$B$2-1):OFFSET(AT92,0,$B$3-1))</f>
        <v>0</v>
      </c>
      <c r="BG92" s="148">
        <f t="shared" si="75"/>
        <v>0</v>
      </c>
    </row>
    <row r="93" spans="1:59">
      <c r="A93" s="156" t="s">
        <v>161</v>
      </c>
      <c r="B93" s="166">
        <f t="shared" ref="B93:B100" ca="1" si="79">P93/BG93</f>
        <v>0.66789987111069038</v>
      </c>
      <c r="C93" s="165">
        <f t="shared" si="77"/>
        <v>28.762108296000001</v>
      </c>
      <c r="D93" s="158">
        <v>0.56413762699999992</v>
      </c>
      <c r="E93" s="158">
        <v>0.62203274499999994</v>
      </c>
      <c r="F93" s="158">
        <v>0.74039198799999995</v>
      </c>
      <c r="G93" s="158">
        <v>0.93380694500000005</v>
      </c>
      <c r="H93" s="160">
        <v>1.269448396</v>
      </c>
      <c r="I93" s="158">
        <v>1.4041534250000001</v>
      </c>
      <c r="J93" s="160">
        <v>2.7568237419999999</v>
      </c>
      <c r="K93" s="160">
        <v>3.132509786</v>
      </c>
      <c r="L93" s="160">
        <v>2.1</v>
      </c>
      <c r="M93" s="158">
        <v>7.3668036419999998</v>
      </c>
      <c r="N93" s="158">
        <v>3.032</v>
      </c>
      <c r="O93" s="158">
        <v>4.84</v>
      </c>
      <c r="P93" s="165">
        <f ca="1">SUM(OFFSET(Q93,0,$B$2-1):OFFSET(Q93,0,$B$3-1))</f>
        <v>25.380816974999998</v>
      </c>
      <c r="Q93" s="158">
        <f>9945.830299/1000</f>
        <v>9.9458302989999989</v>
      </c>
      <c r="R93" s="158">
        <f>1654.138388/1000</f>
        <v>1.654138388</v>
      </c>
      <c r="S93" s="158">
        <f>1828.259645/1000</f>
        <v>1.8282596450000002</v>
      </c>
      <c r="T93" s="158">
        <v>1.7909999999999999</v>
      </c>
      <c r="U93" s="160">
        <v>2.34</v>
      </c>
      <c r="V93" s="158">
        <v>1.942292336</v>
      </c>
      <c r="W93" s="158">
        <v>2.0364461080000003</v>
      </c>
      <c r="X93" s="158">
        <v>2.0029439089999999</v>
      </c>
      <c r="Y93" s="158">
        <v>1.8399062899999998</v>
      </c>
      <c r="Z93" s="158"/>
      <c r="AA93" s="158"/>
      <c r="AB93" s="158"/>
      <c r="AE93" s="156" t="s">
        <v>161</v>
      </c>
      <c r="AF93" s="148">
        <v>1.1792276217958422</v>
      </c>
      <c r="AG93" s="148">
        <v>1.4715115238480101</v>
      </c>
      <c r="AH93" s="148">
        <v>1.7274672850784247</v>
      </c>
      <c r="AI93" s="148">
        <v>1.9041503437559955</v>
      </c>
      <c r="AJ93" s="148">
        <v>2.0776319580922347</v>
      </c>
      <c r="AK93" s="148">
        <v>2.2516636071847755</v>
      </c>
      <c r="AL93" s="148">
        <v>2.4227113058946421</v>
      </c>
      <c r="AM93" s="148">
        <v>2.5688817805504982</v>
      </c>
      <c r="AN93" s="148">
        <v>3.0015618371001609</v>
      </c>
      <c r="AO93" s="148">
        <v>3.1115856929317101</v>
      </c>
      <c r="AP93" s="148">
        <v>3.2276016975829109</v>
      </c>
      <c r="AQ93" s="148">
        <v>3.3693654208472399</v>
      </c>
      <c r="AR93" s="150">
        <f ca="1">SUM(OFFSET(AF93,0,$B$2-1):OFFSET(AF93,0,$B$3-1))</f>
        <v>24.94399465381521</v>
      </c>
      <c r="AS93" s="169">
        <f t="shared" si="78"/>
        <v>28.313360074662448</v>
      </c>
      <c r="AT93" s="148">
        <v>3.1667442572383302</v>
      </c>
      <c r="AU93" s="148">
        <v>3.1667442572383302</v>
      </c>
      <c r="AV93" s="148">
        <v>3.1667442572383302</v>
      </c>
      <c r="AW93" s="148">
        <v>3.1667442572383302</v>
      </c>
      <c r="AX93" s="148">
        <v>3.1667442572383302</v>
      </c>
      <c r="AY93" s="148">
        <v>3.1667442572383302</v>
      </c>
      <c r="AZ93" s="148">
        <v>3.1667442572383302</v>
      </c>
      <c r="BA93" s="148">
        <v>3.1667442572383302</v>
      </c>
      <c r="BB93" s="148">
        <v>3.1667442572383302</v>
      </c>
      <c r="BC93" s="148">
        <v>3.1667442572383302</v>
      </c>
      <c r="BD93" s="148">
        <v>3.1667442572383302</v>
      </c>
      <c r="BE93" s="148">
        <v>3.1667442572383302</v>
      </c>
      <c r="BF93" s="148">
        <f ca="1">SUM(OFFSET(AT93,0,$B$2-1):OFFSET(AT93,0,$B$3-1))</f>
        <v>34.834186829621636</v>
      </c>
      <c r="BG93" s="148">
        <f t="shared" si="75"/>
        <v>38.000931086859964</v>
      </c>
    </row>
    <row r="94" spans="1:59">
      <c r="A94" s="156" t="s">
        <v>162</v>
      </c>
      <c r="B94" s="166">
        <f t="shared" ca="1" si="79"/>
        <v>0.67922000567428853</v>
      </c>
      <c r="C94" s="165">
        <f t="shared" si="77"/>
        <v>79.493613343801044</v>
      </c>
      <c r="D94" s="165">
        <v>6.0662288381014804</v>
      </c>
      <c r="E94" s="165">
        <v>3.3289516987063799</v>
      </c>
      <c r="F94" s="165">
        <v>6.3326012854769402</v>
      </c>
      <c r="G94" s="165">
        <v>6.5551737315162502</v>
      </c>
      <c r="H94" s="171">
        <v>6.2679999999999998</v>
      </c>
      <c r="I94" s="165">
        <v>6.9946728843333297</v>
      </c>
      <c r="J94" s="171">
        <v>6.9399961915555552</v>
      </c>
      <c r="K94" s="171">
        <v>7.6443843074444402</v>
      </c>
      <c r="L94" s="171">
        <v>7.2</v>
      </c>
      <c r="M94" s="165">
        <v>6.7334650406666672</v>
      </c>
      <c r="N94" s="165">
        <v>5.7969999999999997</v>
      </c>
      <c r="O94" s="165">
        <v>9.633139366</v>
      </c>
      <c r="P94" s="165">
        <f ca="1">SUM(OFFSET(Q94,0,$B$2-1):OFFSET(Q94,0,$B$3-1))</f>
        <v>73.933736868222226</v>
      </c>
      <c r="Q94" s="165">
        <f>6.368+Q95</f>
        <v>7.1510000000000007</v>
      </c>
      <c r="R94" s="165">
        <v>8.0329999999999995</v>
      </c>
      <c r="S94" s="165">
        <f>S95+S96</f>
        <v>6.7308219412222208</v>
      </c>
      <c r="T94" s="165">
        <f>7.344+0.75+0.3</f>
        <v>8.3940000000000019</v>
      </c>
      <c r="U94" s="171">
        <f>8.181+0.4</f>
        <v>8.5809999999999995</v>
      </c>
      <c r="V94" s="165">
        <v>8.5436846563333333</v>
      </c>
      <c r="W94" s="165">
        <v>8.1588109079999995</v>
      </c>
      <c r="X94" s="165">
        <v>9.0764779016666672</v>
      </c>
      <c r="Y94" s="165">
        <v>9.2649414610000012</v>
      </c>
      <c r="Z94" s="165"/>
      <c r="AA94" s="165"/>
      <c r="AB94" s="165"/>
      <c r="AE94" s="156" t="s">
        <v>162</v>
      </c>
      <c r="AF94" s="148">
        <v>7.3305119999999997</v>
      </c>
      <c r="AG94" s="148">
        <v>7.3894924800000004</v>
      </c>
      <c r="AH94" s="148">
        <v>7.4508321791999998</v>
      </c>
      <c r="AI94" s="148">
        <v>7.5146254663679999</v>
      </c>
      <c r="AJ94" s="148">
        <v>7.5809704850227204</v>
      </c>
      <c r="AK94" s="148">
        <v>7.649969304423629</v>
      </c>
      <c r="AL94" s="148">
        <v>7.7217280766005745</v>
      </c>
      <c r="AM94" s="148">
        <v>7.7963571996645973</v>
      </c>
      <c r="AN94" s="148">
        <v>7.8739714876511817</v>
      </c>
      <c r="AO94" s="148">
        <v>7.9546903471572286</v>
      </c>
      <c r="AP94" s="148">
        <v>8.0386379610435164</v>
      </c>
      <c r="AQ94" s="148">
        <v>8.1259434794852581</v>
      </c>
      <c r="AR94" s="150">
        <f ca="1">SUM(OFFSET(AF94,0,$B$2-1):OFFSET(AF94,0,$B$3-1))</f>
        <v>84.30178698713145</v>
      </c>
      <c r="AS94" s="169">
        <f t="shared" si="78"/>
        <v>92.427730466616708</v>
      </c>
      <c r="AT94" s="148">
        <f>AT95+AT96+AT97</f>
        <v>8.6899753566552569</v>
      </c>
      <c r="AU94" s="148">
        <f t="shared" ref="AU94:BE94" si="80">AU95+AU96+AU97</f>
        <v>8.7638277342103432</v>
      </c>
      <c r="AV94" s="148">
        <f t="shared" si="80"/>
        <v>8.8375847124176765</v>
      </c>
      <c r="AW94" s="148">
        <f t="shared" si="80"/>
        <v>8.9125362570226301</v>
      </c>
      <c r="AX94" s="148">
        <f t="shared" si="80"/>
        <v>8.9815099156770799</v>
      </c>
      <c r="AY94" s="148">
        <f t="shared" si="80"/>
        <v>9.0510555946639908</v>
      </c>
      <c r="AZ94" s="148">
        <f t="shared" si="80"/>
        <v>9.1176834515498104</v>
      </c>
      <c r="BA94" s="148">
        <f t="shared" si="80"/>
        <v>9.1779234067369995</v>
      </c>
      <c r="BB94" s="148">
        <f t="shared" si="80"/>
        <v>9.2395984513731406</v>
      </c>
      <c r="BC94" s="148">
        <f t="shared" si="80"/>
        <v>9.3003330878716994</v>
      </c>
      <c r="BD94" s="148">
        <f t="shared" si="80"/>
        <v>9.361332472479841</v>
      </c>
      <c r="BE94" s="148">
        <f t="shared" si="80"/>
        <v>9.4175807132689595</v>
      </c>
      <c r="BF94" s="148">
        <f ca="1">SUM(OFFSET(AT94,0,$B$2-1):OFFSET(AT94,0,$B$3-1))</f>
        <v>99.433360440658461</v>
      </c>
      <c r="BG94" s="148">
        <f>SUM(AT94:BE94)</f>
        <v>108.85094115392742</v>
      </c>
    </row>
    <row r="95" spans="1:59">
      <c r="A95" s="161" t="s">
        <v>163</v>
      </c>
      <c r="B95" s="166">
        <f t="shared" ca="1" si="79"/>
        <v>0.57783092086791987</v>
      </c>
      <c r="C95" s="165">
        <f t="shared" si="77"/>
        <v>8.4798231580000003</v>
      </c>
      <c r="D95" s="172">
        <v>0.55009315800000003</v>
      </c>
      <c r="E95" s="172">
        <v>0.57199999999999995</v>
      </c>
      <c r="F95" s="172">
        <v>0.69572999999999996</v>
      </c>
      <c r="G95" s="172">
        <v>0.5</v>
      </c>
      <c r="H95" s="340">
        <v>0.7</v>
      </c>
      <c r="I95" s="172">
        <v>0.70299999999999996</v>
      </c>
      <c r="J95" s="340">
        <v>0.94599999999999995</v>
      </c>
      <c r="K95" s="340">
        <v>0.9</v>
      </c>
      <c r="L95" s="340">
        <v>0.753</v>
      </c>
      <c r="M95" s="172">
        <v>0.76800000000000002</v>
      </c>
      <c r="N95" s="172">
        <v>0.69199999999999995</v>
      </c>
      <c r="O95" s="172">
        <v>0.7</v>
      </c>
      <c r="P95" s="165">
        <f ca="1">SUM(OFFSET(Q95,0,$B$2-1):OFFSET(Q95,0,$B$3-1))</f>
        <v>8.2639999999999993</v>
      </c>
      <c r="Q95" s="172">
        <v>0.78300000000000003</v>
      </c>
      <c r="R95" s="172">
        <v>1.2529999999999999</v>
      </c>
      <c r="S95" s="172">
        <v>0.81</v>
      </c>
      <c r="T95" s="172">
        <v>0.751</v>
      </c>
      <c r="U95" s="340">
        <v>0.95099999999999996</v>
      </c>
      <c r="V95" s="172">
        <v>0.86699999999999999</v>
      </c>
      <c r="W95" s="172">
        <v>0.86</v>
      </c>
      <c r="X95" s="172">
        <v>0.90900000000000003</v>
      </c>
      <c r="Y95" s="172">
        <v>1.08</v>
      </c>
      <c r="Z95" s="172"/>
      <c r="AA95" s="172"/>
      <c r="AB95" s="172"/>
      <c r="AE95" s="161" t="s">
        <v>163</v>
      </c>
      <c r="AF95" s="148">
        <v>1.2</v>
      </c>
      <c r="AG95" s="148">
        <v>1.2</v>
      </c>
      <c r="AH95" s="148">
        <v>1.2</v>
      </c>
      <c r="AI95" s="148">
        <v>1.2</v>
      </c>
      <c r="AJ95" s="148">
        <v>1.2</v>
      </c>
      <c r="AK95" s="148">
        <v>1.2</v>
      </c>
      <c r="AL95" s="148">
        <v>1.2</v>
      </c>
      <c r="AM95" s="148">
        <v>1.2</v>
      </c>
      <c r="AN95" s="148">
        <v>1.2</v>
      </c>
      <c r="AO95" s="148">
        <v>1.2</v>
      </c>
      <c r="AP95" s="148">
        <v>1.2</v>
      </c>
      <c r="AQ95" s="148">
        <v>1.2</v>
      </c>
      <c r="AR95" s="150">
        <f ca="1">SUM(OFFSET(AF95,0,$B$2-1):OFFSET(AF95,0,$B$3-1))</f>
        <v>13.199999999999998</v>
      </c>
      <c r="AS95" s="169">
        <f t="shared" si="78"/>
        <v>14.399999999999997</v>
      </c>
      <c r="AT95" s="148">
        <v>0.810877049626197</v>
      </c>
      <c r="AU95" s="148">
        <v>0.884729427181283</v>
      </c>
      <c r="AV95" s="148">
        <v>0.95848640538861596</v>
      </c>
      <c r="AW95" s="148">
        <v>1.03343794999357</v>
      </c>
      <c r="AX95" s="148">
        <v>1.10241160864802</v>
      </c>
      <c r="AY95" s="148">
        <v>1.17195728763493</v>
      </c>
      <c r="AZ95" s="148">
        <v>1.2385851445207501</v>
      </c>
      <c r="BA95" s="148">
        <v>1.29882509970794</v>
      </c>
      <c r="BB95" s="148">
        <v>1.3605001443440801</v>
      </c>
      <c r="BC95" s="148">
        <v>1.42123478084264</v>
      </c>
      <c r="BD95" s="148">
        <v>1.48223416545078</v>
      </c>
      <c r="BE95" s="148">
        <v>1.5384824062399001</v>
      </c>
      <c r="BF95" s="148">
        <f ca="1">SUM(OFFSET(AT95,0,$B$2-1):OFFSET(AT95,0,$B$3-1))</f>
        <v>12.763279063338807</v>
      </c>
      <c r="BG95" s="148">
        <f t="shared" si="75"/>
        <v>14.301761469578707</v>
      </c>
    </row>
    <row r="96" spans="1:59">
      <c r="A96" s="161" t="s">
        <v>164</v>
      </c>
      <c r="B96" s="166">
        <f t="shared" ca="1" si="79"/>
        <v>9.2996893301246761E-2</v>
      </c>
      <c r="C96" s="165">
        <f t="shared" si="77"/>
        <v>47.141418377801038</v>
      </c>
      <c r="D96" s="172">
        <v>3.7507012971014797</v>
      </c>
      <c r="E96" s="172">
        <v>1.23294137470638</v>
      </c>
      <c r="F96" s="172">
        <v>4.0483266224769396</v>
      </c>
      <c r="G96" s="172">
        <v>4.3420196865162497</v>
      </c>
      <c r="H96" s="340">
        <v>3.8548459549999996</v>
      </c>
      <c r="I96" s="172">
        <v>4.3565985363333297</v>
      </c>
      <c r="J96" s="340">
        <v>4.2329961915555554</v>
      </c>
      <c r="K96" s="340">
        <v>4.8233843074444396</v>
      </c>
      <c r="L96" s="340">
        <v>4.5049999999999999</v>
      </c>
      <c r="M96" s="172">
        <v>4.2544650406666671</v>
      </c>
      <c r="N96" s="172">
        <v>3.1230000000000002</v>
      </c>
      <c r="O96" s="172">
        <v>4.6171393660000009</v>
      </c>
      <c r="P96" s="165">
        <f ca="1">SUM(OFFSET(Q96,0,$B$2-1):OFFSET(Q96,0,$B$3-1))</f>
        <v>5.9208219412222203</v>
      </c>
      <c r="Q96" s="172"/>
      <c r="R96" s="172"/>
      <c r="S96" s="172">
        <v>5.9208219412222203</v>
      </c>
      <c r="T96" s="172"/>
      <c r="U96" s="340"/>
      <c r="V96" s="172"/>
      <c r="W96" s="172"/>
      <c r="X96" s="172"/>
      <c r="Y96" s="172"/>
      <c r="Z96" s="172"/>
      <c r="AA96" s="172"/>
      <c r="AB96" s="172"/>
      <c r="AE96" s="161" t="s">
        <v>164</v>
      </c>
      <c r="AF96" s="148">
        <v>4.6559999999999997</v>
      </c>
      <c r="AG96" s="148">
        <v>4.6559999999999997</v>
      </c>
      <c r="AH96" s="148">
        <v>4.6559999999999997</v>
      </c>
      <c r="AI96" s="148">
        <v>4.6559999999999997</v>
      </c>
      <c r="AJ96" s="148">
        <v>4.6559999999999997</v>
      </c>
      <c r="AK96" s="148">
        <v>4.6559999999999997</v>
      </c>
      <c r="AL96" s="148">
        <v>4.6559999999999997</v>
      </c>
      <c r="AM96" s="148">
        <v>4.6559999999999997</v>
      </c>
      <c r="AN96" s="148">
        <v>4.6559999999999997</v>
      </c>
      <c r="AO96" s="148">
        <v>4.6559999999999997</v>
      </c>
      <c r="AP96" s="148">
        <v>4.6559999999999997</v>
      </c>
      <c r="AQ96" s="148">
        <v>4.6559999999999997</v>
      </c>
      <c r="AR96" s="150">
        <f ca="1">SUM(OFFSET(AF96,0,$B$2-1):OFFSET(AF96,0,$B$3-1))</f>
        <v>51.215999999999994</v>
      </c>
      <c r="AS96" s="169">
        <f t="shared" si="78"/>
        <v>55.871999999999993</v>
      </c>
      <c r="AT96" s="148">
        <v>5.3055732392790604</v>
      </c>
      <c r="AU96" s="148">
        <v>5.3055732392790604</v>
      </c>
      <c r="AV96" s="148">
        <v>5.3055732392790604</v>
      </c>
      <c r="AW96" s="148">
        <v>5.3055732392790604</v>
      </c>
      <c r="AX96" s="148">
        <v>5.3055732392790604</v>
      </c>
      <c r="AY96" s="148">
        <v>5.3055732392790604</v>
      </c>
      <c r="AZ96" s="148">
        <v>5.3055732392790604</v>
      </c>
      <c r="BA96" s="148">
        <v>5.3055732392790604</v>
      </c>
      <c r="BB96" s="148">
        <v>5.3055732392790604</v>
      </c>
      <c r="BC96" s="148">
        <v>5.3055732392790604</v>
      </c>
      <c r="BD96" s="148">
        <v>5.3055732392790604</v>
      </c>
      <c r="BE96" s="148">
        <v>5.3055732392790604</v>
      </c>
      <c r="BF96" s="148">
        <f ca="1">SUM(OFFSET(AT96,0,$B$2-1):OFFSET(AT96,0,$B$3-1))</f>
        <v>58.361305632069673</v>
      </c>
      <c r="BG96" s="148">
        <f t="shared" si="75"/>
        <v>63.666878871348736</v>
      </c>
    </row>
    <row r="97" spans="1:59">
      <c r="A97" s="161" t="s">
        <v>165</v>
      </c>
      <c r="B97" s="166">
        <f t="shared" ca="1" si="79"/>
        <v>4.1480070016698976E-2</v>
      </c>
      <c r="C97" s="165">
        <f t="shared" si="77"/>
        <v>23.872371807999997</v>
      </c>
      <c r="D97" s="172">
        <v>1.7654343830000001</v>
      </c>
      <c r="E97" s="172">
        <v>1.524010324</v>
      </c>
      <c r="F97" s="172">
        <v>1.588544663</v>
      </c>
      <c r="G97" s="172">
        <v>1.713154045</v>
      </c>
      <c r="H97" s="340">
        <v>1.713154045</v>
      </c>
      <c r="I97" s="172">
        <v>1.9350743480000001</v>
      </c>
      <c r="J97" s="340">
        <v>1.7609999999999999</v>
      </c>
      <c r="K97" s="340">
        <v>1.921</v>
      </c>
      <c r="L97" s="172">
        <v>1.9419999999999999</v>
      </c>
      <c r="M97" s="172">
        <v>1.7110000000000001</v>
      </c>
      <c r="N97" s="172">
        <v>1.982</v>
      </c>
      <c r="O97" s="172">
        <v>4.3159999999999998</v>
      </c>
      <c r="P97" s="165">
        <f ca="1">SUM(OFFSET(Q97,0,$B$2-1):OFFSET(Q97,0,$B$3-1))</f>
        <v>1.2809999999999999</v>
      </c>
      <c r="Q97" s="172"/>
      <c r="R97" s="172"/>
      <c r="S97" s="172"/>
      <c r="T97" s="172">
        <v>0.3</v>
      </c>
      <c r="U97" s="340">
        <v>0.4</v>
      </c>
      <c r="V97" s="172"/>
      <c r="W97" s="340"/>
      <c r="X97" s="340">
        <v>0.58099999999999996</v>
      </c>
      <c r="Y97" s="172"/>
      <c r="Z97" s="172"/>
      <c r="AA97" s="172"/>
      <c r="AB97" s="172"/>
      <c r="AE97" s="161" t="s">
        <v>165</v>
      </c>
      <c r="AF97" s="148">
        <v>1.474512</v>
      </c>
      <c r="AG97" s="148">
        <v>1.53349248</v>
      </c>
      <c r="AH97" s="148">
        <v>1.5948321792000002</v>
      </c>
      <c r="AI97" s="148">
        <v>1.6586254663680002</v>
      </c>
      <c r="AJ97" s="148">
        <v>1.7249704850227203</v>
      </c>
      <c r="AK97" s="148">
        <v>1.7939693044236291</v>
      </c>
      <c r="AL97" s="148">
        <v>1.8657280766005744</v>
      </c>
      <c r="AM97" s="148">
        <v>1.9403571996645974</v>
      </c>
      <c r="AN97" s="148">
        <v>2.0179714876511814</v>
      </c>
      <c r="AO97" s="148">
        <v>2.0986903471572287</v>
      </c>
      <c r="AP97" s="148">
        <v>2.1826379610435178</v>
      </c>
      <c r="AQ97" s="148">
        <v>2.2699434794852587</v>
      </c>
      <c r="AR97" s="150">
        <f ca="1">SUM(OFFSET(AF97,0,$B$2-1):OFFSET(AF97,0,$B$3-1))</f>
        <v>19.885786987131446</v>
      </c>
      <c r="AS97" s="169">
        <f t="shared" si="78"/>
        <v>22.155730466616706</v>
      </c>
      <c r="AT97" s="148">
        <v>2.5735250677499999</v>
      </c>
      <c r="AU97" s="148">
        <v>2.5735250677499999</v>
      </c>
      <c r="AV97" s="148">
        <v>2.5735250677499999</v>
      </c>
      <c r="AW97" s="148">
        <v>2.5735250677499999</v>
      </c>
      <c r="AX97" s="148">
        <v>2.5735250677499999</v>
      </c>
      <c r="AY97" s="148">
        <v>2.5735250677499999</v>
      </c>
      <c r="AZ97" s="148">
        <v>2.5735250677499999</v>
      </c>
      <c r="BA97" s="148">
        <v>2.5735250677499999</v>
      </c>
      <c r="BB97" s="148">
        <v>2.5735250677499999</v>
      </c>
      <c r="BC97" s="148">
        <v>2.5735250677499999</v>
      </c>
      <c r="BD97" s="148">
        <v>2.5735250677499999</v>
      </c>
      <c r="BE97" s="148">
        <v>2.5735250677499999</v>
      </c>
      <c r="BF97" s="148">
        <f ca="1">SUM(OFFSET(AT97,0,$B$2-1):OFFSET(AT97,0,$B$3-1))</f>
        <v>28.308775745250003</v>
      </c>
      <c r="BG97" s="148">
        <f t="shared" si="75"/>
        <v>30.882300813000004</v>
      </c>
    </row>
    <row r="98" spans="1:59">
      <c r="A98" s="156" t="s">
        <v>166</v>
      </c>
      <c r="B98" s="166" t="e">
        <f t="shared" ca="1" si="79"/>
        <v>#DIV/0!</v>
      </c>
      <c r="C98" s="165">
        <f t="shared" si="77"/>
        <v>3.3326234999999996E-2</v>
      </c>
      <c r="D98" s="163">
        <v>3.3326234999999996E-2</v>
      </c>
      <c r="E98" s="163"/>
      <c r="F98" s="163"/>
      <c r="G98" s="163"/>
      <c r="H98" s="162"/>
      <c r="I98" s="163"/>
      <c r="J98" s="162"/>
      <c r="K98" s="162"/>
      <c r="L98" s="163"/>
      <c r="M98" s="163"/>
      <c r="N98" s="163"/>
      <c r="O98" s="163"/>
      <c r="P98" s="165">
        <f ca="1">SUM(OFFSET(Q98,0,$B$2-1):OFFSET(Q98,0,$B$3-1))</f>
        <v>1.8892455000000002E-2</v>
      </c>
      <c r="Q98" s="163">
        <v>1.8892455000000002E-2</v>
      </c>
      <c r="R98" s="163"/>
      <c r="S98" s="163"/>
      <c r="T98" s="163"/>
      <c r="U98" s="162"/>
      <c r="V98" s="163"/>
      <c r="W98" s="162"/>
      <c r="X98" s="162"/>
      <c r="Y98" s="163"/>
      <c r="Z98" s="163"/>
      <c r="AA98" s="163"/>
      <c r="AB98" s="163"/>
      <c r="AE98" s="156" t="s">
        <v>166</v>
      </c>
      <c r="AF98" s="148">
        <v>4.9883217599999995E-2</v>
      </c>
      <c r="AG98" s="148">
        <v>4.9883217599999995E-2</v>
      </c>
      <c r="AH98" s="148">
        <v>4.9883217599999995E-2</v>
      </c>
      <c r="AI98" s="148">
        <v>4.9883217599999995E-2</v>
      </c>
      <c r="AJ98" s="148">
        <v>4.9883217599999995E-2</v>
      </c>
      <c r="AK98" s="148">
        <v>4.9883217599999995E-2</v>
      </c>
      <c r="AL98" s="148">
        <v>4.9883217599999995E-2</v>
      </c>
      <c r="AM98" s="148">
        <v>4.9883217599999995E-2</v>
      </c>
      <c r="AN98" s="148">
        <v>4.9883217599999995E-2</v>
      </c>
      <c r="AO98" s="148">
        <v>4.9883217599999995E-2</v>
      </c>
      <c r="AP98" s="148">
        <v>4.9883217599999995E-2</v>
      </c>
      <c r="AQ98" s="148">
        <v>4.9883217599999995E-2</v>
      </c>
      <c r="AR98" s="150">
        <f ca="1">SUM(OFFSET(AF98,0,$B$2-1):OFFSET(AF98,0,$B$3-1))</f>
        <v>0.54871539359999988</v>
      </c>
      <c r="AS98" s="169">
        <f t="shared" si="78"/>
        <v>0.59859861119999991</v>
      </c>
      <c r="AT98" s="148"/>
      <c r="AU98" s="148"/>
      <c r="AV98" s="148"/>
      <c r="AW98" s="148"/>
      <c r="AX98" s="148"/>
      <c r="AY98" s="148"/>
      <c r="AZ98" s="148"/>
      <c r="BA98" s="148"/>
      <c r="BB98" s="148"/>
      <c r="BC98" s="148"/>
      <c r="BD98" s="148"/>
      <c r="BE98" s="148"/>
      <c r="BF98" s="148">
        <f ca="1">SUM(OFFSET(AT98,0,$B$2-1):OFFSET(AT98,0,$B$3-1))</f>
        <v>0</v>
      </c>
      <c r="BG98" s="148">
        <f t="shared" si="75"/>
        <v>0</v>
      </c>
    </row>
    <row r="99" spans="1:59">
      <c r="A99" s="173" t="s">
        <v>167</v>
      </c>
      <c r="B99" s="166">
        <f t="shared" ca="1" si="79"/>
        <v>2.8878907654829118</v>
      </c>
      <c r="C99" s="165">
        <f t="shared" si="77"/>
        <v>-21.792003244847393</v>
      </c>
      <c r="D99" s="162">
        <v>-16.272378292688945</v>
      </c>
      <c r="E99" s="162">
        <v>-9.8924349792255555</v>
      </c>
      <c r="F99" s="162">
        <v>-18.328331946367044</v>
      </c>
      <c r="G99" s="162">
        <v>-15.864956984569627</v>
      </c>
      <c r="H99" s="162">
        <v>-11.251143927580809</v>
      </c>
      <c r="I99" s="162">
        <v>-1.4068661493760359</v>
      </c>
      <c r="J99" s="162">
        <v>-2.7079806906238879</v>
      </c>
      <c r="K99" s="162">
        <v>18.65891003646113</v>
      </c>
      <c r="L99" s="162">
        <v>2.8158896099999886</v>
      </c>
      <c r="M99" s="162">
        <v>14.065513885777712</v>
      </c>
      <c r="N99" s="162">
        <v>19.051907436666689</v>
      </c>
      <c r="O99" s="162">
        <v>-0.66013124332100404</v>
      </c>
      <c r="P99" s="165">
        <f ca="1">SUM(OFFSET(Q99,0,$B$2-1):OFFSET(Q99,0,$B$3-1))</f>
        <v>149.05684881413075</v>
      </c>
      <c r="Q99" s="162">
        <f>Q74-Q77</f>
        <v>-48.430875778905921</v>
      </c>
      <c r="R99" s="162">
        <f t="shared" ref="R99:V99" si="81">R74-R77</f>
        <v>-12.291012984888873</v>
      </c>
      <c r="S99" s="162">
        <f t="shared" si="81"/>
        <v>-0.79905370609574788</v>
      </c>
      <c r="T99" s="162">
        <f t="shared" si="81"/>
        <v>20.83332275675842</v>
      </c>
      <c r="U99" s="162">
        <f t="shared" si="81"/>
        <v>22.062778912245548</v>
      </c>
      <c r="V99" s="162">
        <f t="shared" si="81"/>
        <v>24.734238481333357</v>
      </c>
      <c r="W99" s="162">
        <f t="shared" ref="W99:AA99" si="82">W74-W77</f>
        <v>32.608474499111125</v>
      </c>
      <c r="X99" s="162">
        <f t="shared" si="82"/>
        <v>36.698189642160784</v>
      </c>
      <c r="Y99" s="162">
        <f t="shared" si="82"/>
        <v>73.640786992412046</v>
      </c>
      <c r="Z99" s="162">
        <f t="shared" si="82"/>
        <v>0</v>
      </c>
      <c r="AA99" s="162">
        <f t="shared" si="82"/>
        <v>0</v>
      </c>
      <c r="AB99" s="162">
        <f>AB74-AB77</f>
        <v>0</v>
      </c>
      <c r="AE99" s="173" t="s">
        <v>167</v>
      </c>
      <c r="AF99" s="150">
        <f>AF74-AF77</f>
        <v>-29.543832157457743</v>
      </c>
      <c r="AG99" s="150">
        <f t="shared" ref="AG99:AQ99" si="83">AG74-AG77</f>
        <v>-33.061978605594334</v>
      </c>
      <c r="AH99" s="150">
        <f t="shared" si="83"/>
        <v>-20.257397342111808</v>
      </c>
      <c r="AI99" s="150">
        <f t="shared" si="83"/>
        <v>-14.905747150622009</v>
      </c>
      <c r="AJ99" s="150">
        <f t="shared" si="83"/>
        <v>-8.7470593145749049</v>
      </c>
      <c r="AK99" s="150">
        <f t="shared" si="83"/>
        <v>-0.73274521134367632</v>
      </c>
      <c r="AL99" s="150">
        <f t="shared" si="83"/>
        <v>5.0225822129656024</v>
      </c>
      <c r="AM99" s="150">
        <f t="shared" si="83"/>
        <v>11.739711568727316</v>
      </c>
      <c r="AN99" s="150">
        <f t="shared" si="83"/>
        <v>15.786314848612733</v>
      </c>
      <c r="AO99" s="150">
        <f t="shared" si="83"/>
        <v>18.391564622838395</v>
      </c>
      <c r="AP99" s="150">
        <f t="shared" si="83"/>
        <v>22.333850831165826</v>
      </c>
      <c r="AQ99" s="150">
        <f t="shared" si="83"/>
        <v>24.424115349716729</v>
      </c>
      <c r="AR99" s="150">
        <f ca="1">SUM(OFFSET(AF99,0,$B$2-1):OFFSET(AF99,0,$B$3-1))</f>
        <v>-33.974735697394607</v>
      </c>
      <c r="AS99" s="169">
        <f>SUM(AF99:AQ99)</f>
        <v>-9.5506203476778779</v>
      </c>
      <c r="AT99" s="150">
        <f>AT74-AT77-AT75</f>
        <v>-62.322849569907703</v>
      </c>
      <c r="AU99" s="150">
        <f t="shared" ref="AU99:BE99" si="84">AU74-AU77-AU75</f>
        <v>-5.5157235088088417</v>
      </c>
      <c r="AV99" s="150">
        <f t="shared" si="84"/>
        <v>-7.6932017493569749</v>
      </c>
      <c r="AW99" s="150">
        <f t="shared" si="84"/>
        <v>-5.2153617140650272</v>
      </c>
      <c r="AX99" s="150">
        <f t="shared" si="84"/>
        <v>-0.66201869880791397</v>
      </c>
      <c r="AY99" s="150">
        <f t="shared" si="84"/>
        <v>2.3716651226271126</v>
      </c>
      <c r="AZ99" s="150">
        <f t="shared" si="84"/>
        <v>6.2489066385058134</v>
      </c>
      <c r="BA99" s="150">
        <f t="shared" si="84"/>
        <v>7.2343160174833923</v>
      </c>
      <c r="BB99" s="150">
        <f t="shared" si="84"/>
        <v>18.046760818457457</v>
      </c>
      <c r="BC99" s="150">
        <f t="shared" si="84"/>
        <v>14.577130050096953</v>
      </c>
      <c r="BD99" s="150">
        <f t="shared" si="84"/>
        <v>19.723275142442972</v>
      </c>
      <c r="BE99" s="150">
        <f t="shared" si="84"/>
        <v>64.821535970709576</v>
      </c>
      <c r="BF99" s="150">
        <f ca="1">SUM(OFFSET(AT99,0,$B$2-1):OFFSET(AT99,0,$B$3-1))</f>
        <v>-13.207101451332761</v>
      </c>
      <c r="BG99" s="150">
        <f t="shared" si="75"/>
        <v>51.614434519376815</v>
      </c>
    </row>
    <row r="100" spans="1:59">
      <c r="A100" s="173" t="s">
        <v>168</v>
      </c>
      <c r="B100" s="166">
        <f t="shared" ca="1" si="79"/>
        <v>1.976664769047181</v>
      </c>
      <c r="C100" s="165">
        <f>SUM(D100:O100)</f>
        <v>10.339788456152604</v>
      </c>
      <c r="D100" s="176">
        <v>-15.409377230688946</v>
      </c>
      <c r="E100" s="176">
        <v>-8.9926130872255552</v>
      </c>
      <c r="F100" s="176">
        <v>-17.340375801367045</v>
      </c>
      <c r="G100" s="176">
        <v>-14.406446683569627</v>
      </c>
      <c r="H100" s="176">
        <v>-9.9662247595808093</v>
      </c>
      <c r="I100" s="176">
        <v>0.31276784362396415</v>
      </c>
      <c r="J100" s="176">
        <v>0.33849081337611198</v>
      </c>
      <c r="K100" s="176">
        <v>22.044855026461128</v>
      </c>
      <c r="L100" s="176">
        <v>5.1918896099999881</v>
      </c>
      <c r="M100" s="176">
        <v>21.729046531777712</v>
      </c>
      <c r="N100" s="176">
        <v>22.370907436666688</v>
      </c>
      <c r="O100" s="176">
        <v>4.4668687566789957</v>
      </c>
      <c r="P100" s="165">
        <f ca="1">SUM(OFFSET(Q100,0,$B$2-1):OFFSET(Q100,0,$B$3-1))</f>
        <v>177.13953595913074</v>
      </c>
      <c r="Q100" s="176">
        <f>Q99+Q93+Q92</f>
        <v>-38.199468486905921</v>
      </c>
      <c r="R100" s="176">
        <f t="shared" ref="R100:T100" si="85">R99+R93+R92</f>
        <v>-10.363874596888873</v>
      </c>
      <c r="S100" s="176">
        <f t="shared" si="85"/>
        <v>1.3032059389042523</v>
      </c>
      <c r="T100" s="176">
        <f t="shared" si="85"/>
        <v>22.919322756758422</v>
      </c>
      <c r="U100" s="176">
        <f t="shared" ref="U100:Y100" si="86">U99+U93+U92</f>
        <v>24.678778912245548</v>
      </c>
      <c r="V100" s="176">
        <f>V99+V93+V92</f>
        <v>26.956518504333356</v>
      </c>
      <c r="W100" s="176">
        <f>W99+W93+W92</f>
        <v>34.999443049111122</v>
      </c>
      <c r="X100" s="176">
        <f t="shared" si="86"/>
        <v>39.02237702616079</v>
      </c>
      <c r="Y100" s="176">
        <f t="shared" si="86"/>
        <v>75.823232855412044</v>
      </c>
      <c r="Z100" s="176">
        <f>Z99+Z93+Z92</f>
        <v>0</v>
      </c>
      <c r="AA100" s="176">
        <f>AA99+AA93+AA92</f>
        <v>0</v>
      </c>
      <c r="AB100" s="176">
        <f>AB99+AB93+AB92</f>
        <v>0</v>
      </c>
      <c r="AE100" s="173" t="s">
        <v>168</v>
      </c>
      <c r="AF100" s="148">
        <f t="shared" ref="AF100:AQ100" si="87">AF99+AF93</f>
        <v>-28.364604535661901</v>
      </c>
      <c r="AG100" s="148">
        <f t="shared" si="87"/>
        <v>-31.590467081746322</v>
      </c>
      <c r="AH100" s="148">
        <f t="shared" si="87"/>
        <v>-18.529930057033383</v>
      </c>
      <c r="AI100" s="148">
        <f t="shared" si="87"/>
        <v>-13.001596806866013</v>
      </c>
      <c r="AJ100" s="148">
        <f t="shared" si="87"/>
        <v>-6.6694273564826698</v>
      </c>
      <c r="AK100" s="148">
        <f t="shared" si="87"/>
        <v>1.5189183958410992</v>
      </c>
      <c r="AL100" s="148">
        <f t="shared" si="87"/>
        <v>7.4452935188602449</v>
      </c>
      <c r="AM100" s="148">
        <f t="shared" si="87"/>
        <v>14.308593349277814</v>
      </c>
      <c r="AN100" s="148">
        <f t="shared" si="87"/>
        <v>18.787876685712895</v>
      </c>
      <c r="AO100" s="148">
        <f t="shared" si="87"/>
        <v>21.503150315770107</v>
      </c>
      <c r="AP100" s="148">
        <f t="shared" si="87"/>
        <v>25.561452528748738</v>
      </c>
      <c r="AQ100" s="148">
        <f t="shared" si="87"/>
        <v>27.793480770563967</v>
      </c>
      <c r="AR100" s="150">
        <f ca="1">SUM(OFFSET(AF100,0,$B$2-1):OFFSET(AF100,0,$B$3-1))</f>
        <v>-9.030741043579404</v>
      </c>
      <c r="AS100" s="169">
        <f t="shared" ref="AS100" si="88">SUM(AF100:AQ100)</f>
        <v>18.762739726984563</v>
      </c>
      <c r="AT100" s="150">
        <f>AT99+AT93+AT92</f>
        <v>-59.156105312669375</v>
      </c>
      <c r="AU100" s="150">
        <f>AU99+AU93+AU92</f>
        <v>-2.3489792515705115</v>
      </c>
      <c r="AV100" s="150">
        <f t="shared" ref="AV100:BE100" si="89">AV99+AV93+AV92</f>
        <v>-4.5264574921186451</v>
      </c>
      <c r="AW100" s="150">
        <f t="shared" si="89"/>
        <v>-2.048617456826697</v>
      </c>
      <c r="AX100" s="150">
        <f t="shared" si="89"/>
        <v>2.5047255584304162</v>
      </c>
      <c r="AY100" s="150">
        <f t="shared" si="89"/>
        <v>5.5384093798654428</v>
      </c>
      <c r="AZ100" s="150">
        <f t="shared" si="89"/>
        <v>9.4156508957441432</v>
      </c>
      <c r="BA100" s="150">
        <f t="shared" si="89"/>
        <v>10.401060274721722</v>
      </c>
      <c r="BB100" s="150">
        <f t="shared" si="89"/>
        <v>21.213505075695789</v>
      </c>
      <c r="BC100" s="150">
        <f t="shared" si="89"/>
        <v>17.743874307335282</v>
      </c>
      <c r="BD100" s="150">
        <f t="shared" si="89"/>
        <v>22.890019399681304</v>
      </c>
      <c r="BE100" s="150">
        <f t="shared" si="89"/>
        <v>67.988280227947911</v>
      </c>
      <c r="BF100" s="150">
        <f ca="1">SUM(OFFSET(AT100,0,$B$2-1):OFFSET(AT100,0,$B$3-1))</f>
        <v>21.627085378288882</v>
      </c>
      <c r="BG100" s="150">
        <f>SUM(AT100:BE100)</f>
        <v>89.615365606236793</v>
      </c>
    </row>
    <row r="101" spans="1:59">
      <c r="C101" s="5"/>
    </row>
    <row r="102" spans="1:59">
      <c r="C102" s="5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Q102" s="91"/>
      <c r="R102" s="91"/>
      <c r="S102" s="91"/>
      <c r="T102" s="91"/>
      <c r="U102" s="91"/>
      <c r="V102" s="91"/>
      <c r="X102" s="91"/>
      <c r="Y102" s="91"/>
      <c r="Z102" s="91"/>
      <c r="AA102" s="91"/>
      <c r="AB102" s="91"/>
      <c r="AT102" s="5"/>
      <c r="BG102" s="5"/>
    </row>
    <row r="103" spans="1:59">
      <c r="C103" s="5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Q103" s="5"/>
      <c r="R103" s="5"/>
      <c r="S103" s="5"/>
      <c r="T103" s="5"/>
      <c r="U103" s="5"/>
      <c r="V103" s="5"/>
      <c r="X103" s="474"/>
      <c r="Y103" s="474"/>
      <c r="Z103" s="474"/>
      <c r="AA103" s="474"/>
      <c r="AB103" s="474"/>
      <c r="AT103" s="5"/>
    </row>
    <row r="104" spans="1:59">
      <c r="C104" s="5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X104" s="474"/>
      <c r="Y104" s="474"/>
      <c r="Z104" s="474"/>
      <c r="AA104" s="474"/>
      <c r="AB104" s="474"/>
      <c r="AT104" s="5"/>
    </row>
    <row r="105" spans="1:59"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Q105" s="5"/>
    </row>
    <row r="106" spans="1:59">
      <c r="P106" s="5"/>
      <c r="W106" s="474">
        <f>W77-W93</f>
        <v>50.388553479333332</v>
      </c>
    </row>
    <row r="107" spans="1:59">
      <c r="R107" s="5"/>
    </row>
    <row r="108" spans="1:59"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X108" s="5"/>
      <c r="Y108" s="5"/>
      <c r="Z108" s="5"/>
      <c r="AA108" s="5"/>
      <c r="AB108" s="5"/>
    </row>
  </sheetData>
  <conditionalFormatting sqref="A17:A29 A31:A44 A60:A65 A67:A73 A78:A98 A46:A58">
    <cfRule type="duplicateValues" dxfId="4" priority="5"/>
  </conditionalFormatting>
  <conditionalFormatting sqref="D6:O13">
    <cfRule type="duplicateValues" dxfId="3" priority="1"/>
  </conditionalFormatting>
  <conditionalFormatting sqref="AE17:AE29 AE31:AE44 AE46:AE58 AE60:AE65 AE67:AE73 AE78:AE98">
    <cfRule type="duplicateValues" dxfId="2" priority="11"/>
  </conditionalFormatting>
  <conditionalFormatting sqref="AE6:BG13 B6:C9 C13 B10:B13 Q6:AB13">
    <cfRule type="duplicateValues" dxfId="1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E7E08-46FD-4EEB-A80E-7934AB524868}">
  <sheetPr>
    <tabColor rgb="FFFFFF00"/>
  </sheetPr>
  <dimension ref="A1:AF92"/>
  <sheetViews>
    <sheetView showGridLines="0" topLeftCell="A74" zoomScale="70" zoomScaleNormal="70" workbookViewId="0">
      <selection activeCell="I88" activeCellId="1" sqref="I66 I88"/>
    </sheetView>
  </sheetViews>
  <sheetFormatPr baseColWidth="10" defaultColWidth="8.83203125" defaultRowHeight="15" outlineLevelRow="1"/>
  <cols>
    <col min="1" max="1" width="46.5" bestFit="1" customWidth="1"/>
    <col min="2" max="2" width="11.33203125" customWidth="1"/>
    <col min="3" max="5" width="12.83203125" customWidth="1"/>
    <col min="6" max="6" width="14.33203125" bestFit="1" customWidth="1"/>
    <col min="7" max="8" width="13.33203125" customWidth="1"/>
    <col min="9" max="9" width="18.33203125" bestFit="1" customWidth="1"/>
    <col min="10" max="10" width="16.83203125" bestFit="1" customWidth="1"/>
    <col min="11" max="12" width="12.5" customWidth="1"/>
  </cols>
  <sheetData>
    <row r="1" spans="1:32" ht="27" customHeight="1">
      <c r="A1" s="178" t="s">
        <v>1</v>
      </c>
      <c r="B1" s="178"/>
      <c r="C1" s="179"/>
      <c r="D1" s="179"/>
      <c r="E1" s="179"/>
      <c r="F1" s="179"/>
      <c r="G1" s="179"/>
      <c r="H1" s="179"/>
      <c r="I1" s="179"/>
      <c r="J1" s="179"/>
      <c r="K1" s="179"/>
      <c r="L1" s="179"/>
    </row>
    <row r="3" spans="1:32" ht="14.5" customHeight="1">
      <c r="A3" s="1409" t="s">
        <v>169</v>
      </c>
      <c r="B3" s="1410"/>
      <c r="C3" s="177">
        <v>45901</v>
      </c>
    </row>
    <row r="4" spans="1:32" ht="14.5" customHeight="1">
      <c r="A4" s="1409" t="s">
        <v>170</v>
      </c>
      <c r="B4" s="1410"/>
      <c r="C4" s="177">
        <v>45870</v>
      </c>
    </row>
    <row r="6" spans="1:32">
      <c r="A6" t="s">
        <v>73</v>
      </c>
      <c r="AF6" s="154">
        <v>45292</v>
      </c>
    </row>
    <row r="7" spans="1:32" ht="16">
      <c r="A7" s="180" t="s">
        <v>74</v>
      </c>
      <c r="B7" s="180">
        <f>C4</f>
        <v>45870</v>
      </c>
      <c r="C7" s="180">
        <f>C3</f>
        <v>45901</v>
      </c>
      <c r="D7" s="180" t="s">
        <v>171</v>
      </c>
      <c r="E7" s="180" t="s">
        <v>172</v>
      </c>
      <c r="F7" s="180" t="s">
        <v>60</v>
      </c>
      <c r="G7" s="180" t="s">
        <v>173</v>
      </c>
      <c r="H7" s="180" t="s">
        <v>76</v>
      </c>
      <c r="I7" s="180" t="s">
        <v>174</v>
      </c>
      <c r="J7" s="180" t="s">
        <v>175</v>
      </c>
      <c r="K7" s="180" t="s">
        <v>173</v>
      </c>
      <c r="L7" s="180" t="s">
        <v>176</v>
      </c>
      <c r="AF7" s="154">
        <v>45323</v>
      </c>
    </row>
    <row r="8" spans="1:32" ht="16">
      <c r="A8" s="181" t="s">
        <v>83</v>
      </c>
      <c r="B8" s="289">
        <f>INDEX(EBITDA!$A$5:$AB$100,MATCH('Tracking KPI'!A8,EBITDA!$A$5:$A$100,0),MATCH('Tracking KPI'!$C$4,EBITDA!$A$5:$AB$5,0))</f>
        <v>323.17577290588889</v>
      </c>
      <c r="C8" s="182">
        <f>INDEX(EBITDA!$A$5:$AB$100,MATCH('Tracking KPI'!A8,EBITDA!$A$5:$A$100,0),MATCH('Tracking KPI'!$C$3,EBITDA!$A$5:$AB$5,0))</f>
        <v>378.21175708700008</v>
      </c>
      <c r="D8" s="182">
        <f>INDEX(EBITDA!$AE$5:$BG$100,MATCH(A8,EBITDA!$AE$5:$AE$100,0),MATCH('Tracking KPI'!$C$3,EBITDA!$AE$5:$BG$5,0))</f>
        <v>333.98489718134874</v>
      </c>
      <c r="E8" s="182">
        <f>C8-INDEX(EBITDA!$A$5:$AB$100,MATCH('Tracking KPI'!A8,EBITDA!$A$5:$A$100,0),MATCH('Tracking KPI'!$C$4,EBITDA!$A$5:$AB$5,0))</f>
        <v>55.035984181111189</v>
      </c>
      <c r="F8" s="183">
        <f>IFERROR(C8/(C8-E8),"")</f>
        <v>1.1702973700232724</v>
      </c>
      <c r="G8" s="182">
        <f>C8-D8</f>
        <v>44.226859905651338</v>
      </c>
      <c r="H8" s="182">
        <f ca="1">EBITDA!P14</f>
        <v>2214.4411221268488</v>
      </c>
      <c r="I8" s="182">
        <f ca="1">EBITDA!BF14</f>
        <v>3040.3105513307946</v>
      </c>
      <c r="J8" s="182">
        <f>EBITDA!BG14</f>
        <v>3458.8800777119441</v>
      </c>
      <c r="K8" s="289">
        <f ca="1">H8-I8</f>
        <v>-825.86942920394586</v>
      </c>
      <c r="L8" s="183">
        <f ca="1">IFERROR(H8/J8,"")</f>
        <v>0.64021910918394886</v>
      </c>
      <c r="M8" s="80"/>
      <c r="AF8" s="154">
        <v>45352</v>
      </c>
    </row>
    <row r="9" spans="1:32" ht="16">
      <c r="A9" s="189" t="s">
        <v>84</v>
      </c>
      <c r="B9" s="190">
        <f>INDEX(EBITDA!$A$5:$AB$100,MATCH('Tracking KPI'!A9,EBITDA!$A$5:$A$100,0),MATCH('Tracking KPI'!$C$4,EBITDA!$A$5:$AB$5,0))</f>
        <v>89.812773583111124</v>
      </c>
      <c r="C9" s="190">
        <f>INDEX(EBITDA!$A$5:$AB$100,MATCH('Tracking KPI'!A9,EBITDA!$A$5:$A$100,0),MATCH('Tracking KPI'!$C$3,EBITDA!$A$5:$AB$5,0))</f>
        <v>92.826867821681674</v>
      </c>
      <c r="D9" s="190">
        <f>INDEX(EBITDA!$AE$5:$BG$100,MATCH(A9,EBITDA!$AE$5:$AE$100,0),MATCH('Tracking KPI'!$C$3,EBITDA!$AE$5:$BG$5,0))</f>
        <v>109.11745416881692</v>
      </c>
      <c r="E9" s="190">
        <f>C9-INDEX(EBITDA!$A$5:$AB$100,MATCH('Tracking KPI'!A9,EBITDA!$A$5:$A$100,0),MATCH('Tracking KPI'!$C$4,EBITDA!$A$5:$AB$5,0))</f>
        <v>3.01409423857055</v>
      </c>
      <c r="F9" s="191">
        <f t="shared" ref="F9:F72" si="0">IFERROR(C9/(C9-E9),"")</f>
        <v>1.033559750114847</v>
      </c>
      <c r="G9" s="190">
        <f t="shared" ref="G9" si="1">C9-D9</f>
        <v>-16.290586347135246</v>
      </c>
      <c r="H9" s="190">
        <f ca="1">EBITDA!P15</f>
        <v>665.79168701066078</v>
      </c>
      <c r="I9" s="190">
        <f ca="1">EBITDA!BF15</f>
        <v>1001.4525766995309</v>
      </c>
      <c r="J9" s="190">
        <f>EBITDA!BG15</f>
        <v>1127.0906499278135</v>
      </c>
      <c r="K9" s="190">
        <f t="shared" ref="K9:K39" ca="1" si="2">H9-I9</f>
        <v>-335.66088968887016</v>
      </c>
      <c r="L9" s="191">
        <f t="shared" ref="L9" ca="1" si="3">IFERROR(H9/J9,"")</f>
        <v>0.59071707058638323</v>
      </c>
      <c r="M9" s="80"/>
      <c r="P9" s="98"/>
      <c r="AF9" s="154">
        <v>45383</v>
      </c>
    </row>
    <row r="10" spans="1:32" ht="16">
      <c r="A10" s="184" t="s">
        <v>85</v>
      </c>
      <c r="B10" s="290">
        <f>INDEX(EBITDA!$A$5:$AB$100,MATCH('Tracking KPI'!A10,EBITDA!$A$5:$A$100,0),MATCH('Tracking KPI'!$C$4,EBITDA!$A$5:$AB$5,0))</f>
        <v>233.36299932277777</v>
      </c>
      <c r="C10" s="197">
        <f>INDEX(EBITDA!$A$5:$AB$100,MATCH('Tracking KPI'!A10,EBITDA!$A$5:$A$100,0),MATCH('Tracking KPI'!$C$3,EBITDA!$A$5:$AB$5,0))</f>
        <v>285.38488926531841</v>
      </c>
      <c r="D10" s="197">
        <f>INDEX(EBITDA!$AE$5:$BG$100,MATCH(A10,EBITDA!$AE$5:$AE$100,0),MATCH('Tracking KPI'!$C$3,EBITDA!$AE$5:$BG$5,0))</f>
        <v>224.86744301253182</v>
      </c>
      <c r="E10" s="197">
        <f>C10-INDEX(EBITDA!$A$5:$AB$100,MATCH('Tracking KPI'!A10,EBITDA!$A$5:$A$100,0),MATCH('Tracking KPI'!$C$4,EBITDA!$A$5:$AB$5,0))</f>
        <v>52.021889942540639</v>
      </c>
      <c r="F10" s="198">
        <f t="shared" si="0"/>
        <v>1.2229226145254766</v>
      </c>
      <c r="G10" s="197">
        <f>C10-D10</f>
        <v>60.517446252786584</v>
      </c>
      <c r="H10" s="197">
        <f ca="1">EBITDA!P16</f>
        <v>1548.649435116188</v>
      </c>
      <c r="I10" s="290">
        <f ca="1">EBITDA!BF16</f>
        <v>2038.857974631263</v>
      </c>
      <c r="J10" s="290">
        <f>EBITDA!BG16</f>
        <v>2331.7894277841297</v>
      </c>
      <c r="K10" s="290">
        <f t="shared" ca="1" si="2"/>
        <v>-490.20853951507502</v>
      </c>
      <c r="L10" s="198">
        <f ca="1">IFERROR(H10/J10,"")</f>
        <v>0.66414634900710146</v>
      </c>
      <c r="M10" s="80"/>
      <c r="AF10" s="154">
        <v>45413</v>
      </c>
    </row>
    <row r="11" spans="1:32" ht="16">
      <c r="A11" s="185" t="s">
        <v>86</v>
      </c>
      <c r="B11" s="289">
        <f>INDEX(EBITDA!$A$5:$AB$100,MATCH('Tracking KPI'!A11,EBITDA!$A$5:$A$100,0),MATCH('Tracking KPI'!$C$4,EBITDA!$A$5:$AB$5,0))</f>
        <v>13.051333579000003</v>
      </c>
      <c r="C11" s="182">
        <f>INDEX(EBITDA!$A$5:$AB$100,MATCH('Tracking KPI'!A11,EBITDA!$A$5:$A$100,0),MATCH('Tracking KPI'!$C$3,EBITDA!$A$5:$AB$5,0))</f>
        <v>13.565148028208558</v>
      </c>
      <c r="D11" s="182">
        <f>INDEX(EBITDA!$AE$5:$BG$100,MATCH(A11,EBITDA!$AE$5:$AE$100,0),MATCH('Tracking KPI'!$C$3,EBITDA!$AE$5:$BG$5,0))</f>
        <v>17.455793506990151</v>
      </c>
      <c r="E11" s="182">
        <f>C11-INDEX(EBITDA!$A$5:$AB$100,MATCH('Tracking KPI'!A11,EBITDA!$A$5:$A$100,0),MATCH('Tracking KPI'!$C$4,EBITDA!$A$5:$AB$5,0))</f>
        <v>0.51381444920855479</v>
      </c>
      <c r="F11" s="183">
        <f t="shared" si="0"/>
        <v>1.0393687316394471</v>
      </c>
      <c r="G11" s="182">
        <f t="shared" ref="G11:G74" si="4">C11-D11</f>
        <v>-3.8906454787815932</v>
      </c>
      <c r="H11" s="182">
        <f ca="1">EBITDA!P17</f>
        <v>101.23718831397713</v>
      </c>
      <c r="I11" s="182">
        <f ca="1">EBITDA!BF17</f>
        <v>161.50355391316771</v>
      </c>
      <c r="J11" s="182">
        <f>EBITDA!BG17</f>
        <v>219.74233103552876</v>
      </c>
      <c r="K11" s="289">
        <f t="shared" ca="1" si="2"/>
        <v>-60.266365599190578</v>
      </c>
      <c r="L11" s="183">
        <f t="shared" ref="L11:L74" ca="1" si="5">IFERROR(H11/J11,"")</f>
        <v>0.46070863013466767</v>
      </c>
      <c r="M11" s="80"/>
      <c r="AF11" s="154">
        <v>45444</v>
      </c>
    </row>
    <row r="12" spans="1:32" ht="16" outlineLevel="1">
      <c r="A12" s="186" t="s">
        <v>87</v>
      </c>
      <c r="B12" s="289">
        <f>INDEX(EBITDA!$A$5:$AB$100,MATCH('Tracking KPI'!A12,EBITDA!$A$5:$A$100,0),MATCH('Tracking KPI'!$C$4,EBITDA!$A$5:$AB$5,0))</f>
        <v>12.643310526333337</v>
      </c>
      <c r="C12" s="182">
        <f>INDEX(EBITDA!$A$5:$AB$100,MATCH('Tracking KPI'!A12,EBITDA!$A$5:$A$100,0),MATCH('Tracking KPI'!$C$3,EBITDA!$A$5:$AB$5,0))</f>
        <v>13.231731990208559</v>
      </c>
      <c r="D12" s="182">
        <f>INDEX(EBITDA!$AE$5:$BG$100,MATCH(A12,EBITDA!$AE$5:$AE$100,0),MATCH('Tracking KPI'!$C$3,EBITDA!$AE$5:$BG$5,0))</f>
        <v>15.286016666666683</v>
      </c>
      <c r="E12" s="182">
        <f>C12-INDEX(EBITDA!$A$5:$AB$100,MATCH('Tracking KPI'!A12,EBITDA!$A$5:$A$100,0),MATCH('Tracking KPI'!$C$4,EBITDA!$A$5:$AB$5,0))</f>
        <v>0.58842146387522121</v>
      </c>
      <c r="F12" s="183">
        <f t="shared" si="0"/>
        <v>1.0465401417334221</v>
      </c>
      <c r="G12" s="182">
        <f t="shared" si="4"/>
        <v>-2.0542846764581242</v>
      </c>
      <c r="H12" s="182">
        <f ca="1">EBITDA!P18</f>
        <v>93.820368948866033</v>
      </c>
      <c r="I12" s="182">
        <f ca="1">EBITDA!BF18</f>
        <v>136.44658333333336</v>
      </c>
      <c r="J12" s="182">
        <f>EBITDA!BG18</f>
        <v>154.20783333333335</v>
      </c>
      <c r="K12" s="289">
        <f t="shared" ca="1" si="2"/>
        <v>-42.626214384467332</v>
      </c>
      <c r="L12" s="183">
        <f t="shared" ca="1" si="5"/>
        <v>0.60840209554118641</v>
      </c>
      <c r="M12" s="80"/>
      <c r="AF12" s="154">
        <v>45474</v>
      </c>
    </row>
    <row r="13" spans="1:32" ht="16" outlineLevel="1">
      <c r="A13" s="186" t="s">
        <v>88</v>
      </c>
      <c r="B13" s="289">
        <f>INDEX(EBITDA!$A$5:$AB$100,MATCH('Tracking KPI'!A13,EBITDA!$A$5:$A$100,0),MATCH('Tracking KPI'!$C$4,EBITDA!$A$5:$AB$5,0))</f>
        <v>-0.46231738833333352</v>
      </c>
      <c r="C13" s="182">
        <f>INDEX(EBITDA!$A$5:$AB$100,MATCH('Tracking KPI'!A13,EBITDA!$A$5:$A$100,0),MATCH('Tracking KPI'!$C$3,EBITDA!$A$5:$AB$5,0))</f>
        <v>-0.55058396200000015</v>
      </c>
      <c r="D13" s="182">
        <f>INDEX(EBITDA!$AE$5:$BG$100,MATCH(A13,EBITDA!$AE$5:$AE$100,0),MATCH('Tracking KPI'!$C$3,EBITDA!$AE$5:$BG$5,0))</f>
        <v>1.0377768403234655</v>
      </c>
      <c r="E13" s="182">
        <f>C13-INDEX(EBITDA!$A$5:$AB$100,MATCH('Tracking KPI'!A13,EBITDA!$A$5:$A$100,0),MATCH('Tracking KPI'!$C$4,EBITDA!$A$5:$AB$5,0))</f>
        <v>-8.8266573666666626E-2</v>
      </c>
      <c r="F13" s="183">
        <f t="shared" si="0"/>
        <v>1.1909220286627547</v>
      </c>
      <c r="G13" s="182">
        <f t="shared" si="4"/>
        <v>-1.5883608023234657</v>
      </c>
      <c r="H13" s="182">
        <f ca="1">EBITDA!P19</f>
        <v>-3.3175443694444446</v>
      </c>
      <c r="I13" s="182">
        <f ca="1">EBITDA!BF19</f>
        <v>11.904970579834307</v>
      </c>
      <c r="J13" s="182">
        <f>EBITDA!BG19</f>
        <v>12.980497702195366</v>
      </c>
      <c r="K13" s="289">
        <f t="shared" ca="1" si="2"/>
        <v>-15.222514949278752</v>
      </c>
      <c r="L13" s="183">
        <f ca="1">IFERROR(H13/J13,"")</f>
        <v>-0.25557913460308651</v>
      </c>
      <c r="M13" s="80"/>
      <c r="AF13" s="154">
        <v>45505</v>
      </c>
    </row>
    <row r="14" spans="1:32" ht="16" outlineLevel="1">
      <c r="A14" s="186" t="s">
        <v>89</v>
      </c>
      <c r="B14" s="289">
        <f>INDEX(EBITDA!$A$5:$AB$100,MATCH('Tracking KPI'!A14,EBITDA!$A$5:$A$100,0),MATCH('Tracking KPI'!$C$4,EBITDA!$A$5:$AB$5,0))</f>
        <v>0.87034044100000008</v>
      </c>
      <c r="C14" s="182">
        <f>INDEX(EBITDA!$A$5:$AB$100,MATCH('Tracking KPI'!A14,EBITDA!$A$5:$A$100,0),MATCH('Tracking KPI'!$C$3,EBITDA!$A$5:$AB$5,0))</f>
        <v>0.88400000000000001</v>
      </c>
      <c r="D14" s="182">
        <f>INDEX(EBITDA!$AE$5:$BG$100,MATCH(A14,EBITDA!$AE$5:$AE$100,0),MATCH('Tracking KPI'!$C$3,EBITDA!$AE$5:$BG$5,0))</f>
        <v>1.1320000000000001</v>
      </c>
      <c r="E14" s="182">
        <f>C14-INDEX(EBITDA!$A$5:$AB$100,MATCH('Tracking KPI'!A14,EBITDA!$A$5:$A$100,0),MATCH('Tracking KPI'!$C$4,EBITDA!$A$5:$AB$5,0))</f>
        <v>1.3659558999999932E-2</v>
      </c>
      <c r="F14" s="183">
        <f t="shared" si="0"/>
        <v>1.0156945010900624</v>
      </c>
      <c r="G14" s="182">
        <f>C14-D14</f>
        <v>-0.24800000000000011</v>
      </c>
      <c r="H14" s="182">
        <f ca="1">EBITDA!P20</f>
        <v>10.734363734555558</v>
      </c>
      <c r="I14" s="182">
        <f ca="1">EBITDA!BF20</f>
        <v>13.151999999999999</v>
      </c>
      <c r="J14" s="182">
        <f>EBITDA!BG20</f>
        <v>52.554000000000002</v>
      </c>
      <c r="K14" s="289">
        <f t="shared" ca="1" si="2"/>
        <v>-2.4176362654444414</v>
      </c>
      <c r="L14" s="183">
        <f t="shared" ca="1" si="5"/>
        <v>0.20425398132502867</v>
      </c>
      <c r="M14" s="80"/>
      <c r="AF14" s="154">
        <v>45536</v>
      </c>
    </row>
    <row r="15" spans="1:32" ht="16">
      <c r="A15" s="185" t="s">
        <v>90</v>
      </c>
      <c r="B15" s="289">
        <f>INDEX(EBITDA!$A$5:$AB$100,MATCH('Tracking KPI'!A15,EBITDA!$A$5:$A$100,0),MATCH('Tracking KPI'!$C$4,EBITDA!$A$5:$AB$5,0))</f>
        <v>30.850780060000002</v>
      </c>
      <c r="C15" s="182">
        <f>INDEX(EBITDA!$A$5:$AB$100,MATCH('Tracking KPI'!A15,EBITDA!$A$5:$A$100,0),MATCH('Tracking KPI'!$C$3,EBITDA!$A$5:$AB$5,0))</f>
        <v>40.524879540574801</v>
      </c>
      <c r="D15" s="182">
        <f>INDEX(EBITDA!$AE$5:$BG$100,MATCH(A15,EBITDA!$AE$5:$AE$100,0),MATCH('Tracking KPI'!$C$3,EBITDA!$AE$5:$BG$5,0))</f>
        <v>32.148462361054499</v>
      </c>
      <c r="E15" s="182">
        <f>C15-INDEX(EBITDA!$A$5:$AB$100,MATCH('Tracking KPI'!A15,EBITDA!$A$5:$A$100,0),MATCH('Tracking KPI'!$C$4,EBITDA!$A$5:$AB$5,0))</f>
        <v>9.6740994805747995</v>
      </c>
      <c r="F15" s="183">
        <f>IFERROR(C15/(C15-E15),"")</f>
        <v>1.3135771433253931</v>
      </c>
      <c r="G15" s="182">
        <f t="shared" si="4"/>
        <v>8.3764171795203026</v>
      </c>
      <c r="H15" s="182">
        <f ca="1">EBITDA!P21</f>
        <v>203.38519846798454</v>
      </c>
      <c r="I15" s="182">
        <f ca="1">EBITDA!BF21</f>
        <v>251.00313106649935</v>
      </c>
      <c r="J15" s="182">
        <f>EBITDA!BG21</f>
        <v>279.38298142849936</v>
      </c>
      <c r="K15" s="289">
        <f t="shared" ca="1" si="2"/>
        <v>-47.617932598514813</v>
      </c>
      <c r="L15" s="183">
        <f ca="1">IFERROR(H15/J15,"")</f>
        <v>0.72797991283529762</v>
      </c>
      <c r="M15" s="80"/>
      <c r="AF15" s="154">
        <v>45566</v>
      </c>
    </row>
    <row r="16" spans="1:32" ht="16" outlineLevel="1">
      <c r="A16" s="186" t="s">
        <v>91</v>
      </c>
      <c r="B16" s="289">
        <f>INDEX(EBITDA!$A$5:$AB$100,MATCH('Tracking KPI'!A16,EBITDA!$A$5:$A$100,0),MATCH('Tracking KPI'!$C$4,EBITDA!$A$5:$AB$5,0))</f>
        <v>0.19916440222222226</v>
      </c>
      <c r="C16" s="182">
        <f>INDEX(EBITDA!$A$5:$AB$100,MATCH('Tracking KPI'!A16,EBITDA!$A$5:$A$100,0),MATCH('Tracking KPI'!$C$3,EBITDA!$A$5:$AB$5,0))</f>
        <v>4.9663518139999994</v>
      </c>
      <c r="D16" s="182">
        <f>INDEX(EBITDA!$AE$5:$BG$100,MATCH(A16,EBITDA!$AE$5:$AE$100,0),MATCH('Tracking KPI'!$C$3,EBITDA!$AE$5:$BG$5,0))</f>
        <v>5.5972303619999995</v>
      </c>
      <c r="E16" s="182">
        <f>C16-INDEX(EBITDA!$A$5:$AB$100,MATCH('Tracking KPI'!A16,EBITDA!$A$5:$A$100,0),MATCH('Tracking KPI'!$C$4,EBITDA!$A$5:$AB$5,0))</f>
        <v>4.7671874117777771</v>
      </c>
      <c r="F16" s="183">
        <f t="shared" si="0"/>
        <v>24.935941155079895</v>
      </c>
      <c r="G16" s="182">
        <f t="shared" si="4"/>
        <v>-0.63087854800000009</v>
      </c>
      <c r="H16" s="182">
        <f ca="1">EBITDA!P22</f>
        <v>4.1939892615555552</v>
      </c>
      <c r="I16" s="182">
        <f ca="1">EBITDA!BF22</f>
        <v>7.6607139819999981</v>
      </c>
      <c r="J16" s="182">
        <f>EBITDA!BG22</f>
        <v>8.0405643439999981</v>
      </c>
      <c r="K16" s="289">
        <f t="shared" ca="1" si="2"/>
        <v>-3.4667247204444429</v>
      </c>
      <c r="L16" s="183">
        <f t="shared" ca="1" si="5"/>
        <v>0.5216038429796509</v>
      </c>
      <c r="M16" s="80"/>
      <c r="AF16" s="154">
        <v>45597</v>
      </c>
    </row>
    <row r="17" spans="1:32" ht="16" outlineLevel="1">
      <c r="A17" s="186" t="s">
        <v>92</v>
      </c>
      <c r="B17" s="289">
        <f>INDEX(EBITDA!$A$5:$AB$100,MATCH('Tracking KPI'!A17,EBITDA!$A$5:$A$100,0),MATCH('Tracking KPI'!$C$4,EBITDA!$A$5:$AB$5,0))</f>
        <v>30.651615657777779</v>
      </c>
      <c r="C17" s="182">
        <f>INDEX(EBITDA!$A$5:$AB$100,MATCH('Tracking KPI'!A17,EBITDA!$A$5:$A$100,0),MATCH('Tracking KPI'!$C$3,EBITDA!$A$5:$AB$5,0))</f>
        <v>35.558527726574802</v>
      </c>
      <c r="D17" s="182">
        <f>INDEX(EBITDA!$AE$5:$BG$100,MATCH(A17,EBITDA!$AE$5:$AE$100,0),MATCH('Tracking KPI'!$C$3,EBITDA!$AE$5:$BG$5,0))</f>
        <v>26.551231999054497</v>
      </c>
      <c r="E17" s="182">
        <f>C17-INDEX(EBITDA!$A$5:$AB$100,MATCH('Tracking KPI'!A17,EBITDA!$A$5:$A$100,0),MATCH('Tracking KPI'!$C$4,EBITDA!$A$5:$AB$5,0))</f>
        <v>4.9069120687970234</v>
      </c>
      <c r="F17" s="183">
        <f t="shared" si="0"/>
        <v>1.1600865717351478</v>
      </c>
      <c r="G17" s="182">
        <f t="shared" si="4"/>
        <v>9.0072957275203045</v>
      </c>
      <c r="H17" s="182">
        <f ca="1">EBITDA!P23</f>
        <v>199.19120920642897</v>
      </c>
      <c r="I17" s="182">
        <f ca="1">EBITDA!BF23</f>
        <v>243.3424170844994</v>
      </c>
      <c r="J17" s="182">
        <f>EBITDA!BG23</f>
        <v>271.3424170844994</v>
      </c>
      <c r="K17" s="289">
        <f t="shared" ca="1" si="2"/>
        <v>-44.151207878070437</v>
      </c>
      <c r="L17" s="183">
        <f t="shared" ca="1" si="5"/>
        <v>0.73409535946014048</v>
      </c>
      <c r="M17" s="80"/>
      <c r="AF17" s="192">
        <v>45627</v>
      </c>
    </row>
    <row r="18" spans="1:32" ht="16">
      <c r="A18" s="185" t="s">
        <v>93</v>
      </c>
      <c r="B18" s="289">
        <f>INDEX(EBITDA!$A$5:$AB$100,MATCH('Tracking KPI'!A18,EBITDA!$A$5:$A$100,0),MATCH('Tracking KPI'!$C$4,EBITDA!$A$5:$AB$5,0))</f>
        <v>189.46094935966667</v>
      </c>
      <c r="C18" s="182">
        <f>INDEX(EBITDA!$A$5:$AB$100,MATCH('Tracking KPI'!A18,EBITDA!$A$5:$A$100,0),MATCH('Tracking KPI'!$C$3,EBITDA!$A$5:$AB$5,0))</f>
        <v>231.29427451353499</v>
      </c>
      <c r="D18" s="182">
        <f>INDEX(EBITDA!$AE$5:$BG$100,MATCH(A18,EBITDA!$AE$5:$AE$100,0),MATCH('Tracking KPI'!$C$3,EBITDA!$AE$5:$BG$5,0))</f>
        <v>175.26318714448718</v>
      </c>
      <c r="E18" s="182">
        <f>C18-INDEX(EBITDA!$A$5:$AB$100,MATCH('Tracking KPI'!A18,EBITDA!$A$5:$A$100,0),MATCH('Tracking KPI'!$C$4,EBITDA!$A$5:$AB$5,0))</f>
        <v>41.833325153868316</v>
      </c>
      <c r="F18" s="183">
        <f t="shared" si="0"/>
        <v>1.220801834337129</v>
      </c>
      <c r="G18" s="182">
        <f t="shared" si="4"/>
        <v>56.03108736904781</v>
      </c>
      <c r="H18" s="182">
        <f ca="1">EBITDA!P24</f>
        <v>1244.07685272442</v>
      </c>
      <c r="I18" s="182">
        <f ca="1">EBITDA!BF24</f>
        <v>1626.3512896515961</v>
      </c>
      <c r="J18" s="182">
        <f>EBITDA!BG24</f>
        <v>1832.6641153201019</v>
      </c>
      <c r="K18" s="289">
        <f t="shared" ca="1" si="2"/>
        <v>-382.27443692717611</v>
      </c>
      <c r="L18" s="183">
        <f t="shared" ca="1" si="5"/>
        <v>0.67883516806194655</v>
      </c>
      <c r="M18" s="80"/>
      <c r="AF18" s="154">
        <v>45658</v>
      </c>
    </row>
    <row r="19" spans="1:32" ht="16" outlineLevel="1">
      <c r="A19" s="186" t="s">
        <v>94</v>
      </c>
      <c r="B19" s="289">
        <f>INDEX(EBITDA!$A$5:$AB$100,MATCH('Tracking KPI'!A19,EBITDA!$A$5:$A$100,0),MATCH('Tracking KPI'!$C$4,EBITDA!$A$5:$AB$5,0))</f>
        <v>155.61404644788888</v>
      </c>
      <c r="C19" s="182">
        <f>INDEX(EBITDA!$A$5:$AB$100,MATCH('Tracking KPI'!A19,EBITDA!$A$5:$A$100,0),MATCH('Tracking KPI'!$C$3,EBITDA!$A$5:$AB$5,0))</f>
        <v>186.10549811251266</v>
      </c>
      <c r="D19" s="182">
        <f>INDEX(EBITDA!$AE$5:$BG$100,MATCH(A19,EBITDA!$AE$5:$AE$100,0),MATCH('Tracking KPI'!$C$3,EBITDA!$AE$5:$BG$5,0))</f>
        <v>136.22010101212939</v>
      </c>
      <c r="E19" s="182">
        <f>C19-INDEX(EBITDA!$A$5:$AB$100,MATCH('Tracking KPI'!A19,EBITDA!$A$5:$A$100,0),MATCH('Tracking KPI'!$C$4,EBITDA!$A$5:$AB$5,0))</f>
        <v>30.491451664623781</v>
      </c>
      <c r="F19" s="183">
        <f t="shared" si="0"/>
        <v>1.1959427979712267</v>
      </c>
      <c r="G19" s="182">
        <f t="shared" si="4"/>
        <v>49.885397100383273</v>
      </c>
      <c r="H19" s="182">
        <f ca="1">EBITDA!P25</f>
        <v>996.00470690451857</v>
      </c>
      <c r="I19" s="182">
        <f ca="1">EBITDA!BF25</f>
        <v>1259.4219006300095</v>
      </c>
      <c r="J19" s="182">
        <f>EBITDA!BG25</f>
        <v>1419.3948125898683</v>
      </c>
      <c r="K19" s="289">
        <f t="shared" ca="1" si="2"/>
        <v>-263.41719372549096</v>
      </c>
      <c r="L19" s="183">
        <f t="shared" ca="1" si="5"/>
        <v>0.70171082638182958</v>
      </c>
      <c r="M19" s="80"/>
      <c r="AF19" s="154">
        <v>45689</v>
      </c>
    </row>
    <row r="20" spans="1:32" ht="16" outlineLevel="1">
      <c r="A20" s="186" t="s">
        <v>95</v>
      </c>
      <c r="B20" s="289">
        <f>INDEX(EBITDA!$A$5:$AB$100,MATCH('Tracking KPI'!A20,EBITDA!$A$5:$A$100,0),MATCH('Tracking KPI'!$C$4,EBITDA!$A$5:$AB$5,0))</f>
        <v>25.749059058444445</v>
      </c>
      <c r="C20" s="182">
        <f>INDEX(EBITDA!$A$5:$AB$100,MATCH('Tracking KPI'!A20,EBITDA!$A$5:$A$100,0),MATCH('Tracking KPI'!$C$3,EBITDA!$A$5:$AB$5,0))</f>
        <v>37.132869263514031</v>
      </c>
      <c r="D20" s="182">
        <f>INDEX(EBITDA!$AE$5:$BG$100,MATCH(A20,EBITDA!$AE$5:$AE$100,0),MATCH('Tracking KPI'!$C$3,EBITDA!$AE$5:$BG$5,0))</f>
        <v>19.773785811610125</v>
      </c>
      <c r="E20" s="182">
        <f>C20-INDEX(EBITDA!$A$5:$AB$100,MATCH('Tracking KPI'!A20,EBITDA!$A$5:$A$100,0),MATCH('Tracking KPI'!$C$4,EBITDA!$A$5:$AB$5,0))</f>
        <v>11.383810205069587</v>
      </c>
      <c r="F20" s="183">
        <f t="shared" si="0"/>
        <v>1.4421058718779181</v>
      </c>
      <c r="G20" s="182">
        <f t="shared" si="4"/>
        <v>17.359083451903906</v>
      </c>
      <c r="H20" s="182">
        <f ca="1">EBITDA!P26</f>
        <v>179.251447180578</v>
      </c>
      <c r="I20" s="182">
        <f ca="1">EBITDA!BF26</f>
        <v>202.75434992826442</v>
      </c>
      <c r="J20" s="182">
        <f>EBITDA!BG26</f>
        <v>223.86297557783212</v>
      </c>
      <c r="K20" s="289">
        <f t="shared" ca="1" si="2"/>
        <v>-23.50290274768642</v>
      </c>
      <c r="L20" s="183">
        <f t="shared" ca="1" si="5"/>
        <v>0.8007194879720354</v>
      </c>
      <c r="M20" s="80"/>
      <c r="AF20" s="154">
        <v>45717</v>
      </c>
    </row>
    <row r="21" spans="1:32" ht="16" outlineLevel="1">
      <c r="A21" s="186" t="s">
        <v>96</v>
      </c>
      <c r="B21" s="289">
        <f>INDEX(EBITDA!$A$5:$AB$100,MATCH('Tracking KPI'!A21,EBITDA!$A$5:$A$100,0),MATCH('Tracking KPI'!$C$4,EBITDA!$A$5:$AB$5,0))</f>
        <v>5.7167435355555556</v>
      </c>
      <c r="C21" s="182">
        <f>INDEX(EBITDA!$A$5:$AB$100,MATCH('Tracking KPI'!A21,EBITDA!$A$5:$A$100,0),MATCH('Tracking KPI'!$C$3,EBITDA!$A$5:$AB$5,0))</f>
        <v>4.9732508492337786</v>
      </c>
      <c r="D21" s="182">
        <f>INDEX(EBITDA!$AE$5:$BG$100,MATCH(A21,EBITDA!$AE$5:$AE$100,0),MATCH('Tracking KPI'!$C$3,EBITDA!$AE$5:$BG$5,0))</f>
        <v>12.659272300953194</v>
      </c>
      <c r="E21" s="182">
        <f>C21-INDEX(EBITDA!$A$5:$AB$100,MATCH('Tracking KPI'!A21,EBITDA!$A$5:$A$100,0),MATCH('Tracking KPI'!$C$4,EBITDA!$A$5:$AB$5,0))</f>
        <v>-0.74349268632177701</v>
      </c>
      <c r="F21" s="183">
        <f t="shared" si="0"/>
        <v>0.86994471910492588</v>
      </c>
      <c r="G21" s="182">
        <f t="shared" si="4"/>
        <v>-7.6860214517194159</v>
      </c>
      <c r="H21" s="182">
        <f ca="1">EBITDA!P27</f>
        <v>54.473486971042142</v>
      </c>
      <c r="I21" s="182">
        <f ca="1">EBITDA!BF27</f>
        <v>115.22439918525721</v>
      </c>
      <c r="J21" s="182">
        <f>EBITDA!BG27</f>
        <v>131.08198067430624</v>
      </c>
      <c r="K21" s="289">
        <f t="shared" ca="1" si="2"/>
        <v>-60.75091221421507</v>
      </c>
      <c r="L21" s="183">
        <f t="shared" ca="1" si="5"/>
        <v>0.41556807953939967</v>
      </c>
      <c r="M21" s="80"/>
      <c r="AF21" s="154">
        <v>45748</v>
      </c>
    </row>
    <row r="22" spans="1:32" ht="16" outlineLevel="1">
      <c r="A22" s="186" t="s">
        <v>97</v>
      </c>
      <c r="B22" s="289">
        <f>INDEX(EBITDA!$A$5:$AB$100,MATCH('Tracking KPI'!A22,EBITDA!$A$5:$A$100,0),MATCH('Tracking KPI'!$C$4,EBITDA!$A$5:$AB$5,0))</f>
        <v>0</v>
      </c>
      <c r="C22" s="182">
        <f>INDEX(EBITDA!$A$5:$AB$100,MATCH('Tracking KPI'!A22,EBITDA!$A$5:$A$100,0),MATCH('Tracking KPI'!$C$3,EBITDA!$A$5:$AB$5,0))</f>
        <v>0</v>
      </c>
      <c r="D22" s="182">
        <f>INDEX(EBITDA!$AE$5:$BG$100,MATCH(A22,EBITDA!$AE$5:$AE$100,0),MATCH('Tracking KPI'!$C$3,EBITDA!$AE$5:$BG$5,0))</f>
        <v>4.217242852619405</v>
      </c>
      <c r="E22" s="182">
        <f>C22-INDEX(EBITDA!$A$5:$AB$100,MATCH('Tracking KPI'!A22,EBITDA!$A$5:$A$100,0),MATCH('Tracking KPI'!$C$4,EBITDA!$A$5:$AB$5,0))</f>
        <v>0</v>
      </c>
      <c r="F22" s="183" t="str">
        <f t="shared" si="0"/>
        <v/>
      </c>
      <c r="G22" s="182">
        <f t="shared" si="4"/>
        <v>-4.217242852619405</v>
      </c>
      <c r="H22" s="182">
        <f ca="1">EBITDA!P28</f>
        <v>0</v>
      </c>
      <c r="I22" s="182">
        <f ca="1">EBITDA!BF28</f>
        <v>29.13657262321999</v>
      </c>
      <c r="J22" s="182">
        <f>EBITDA!BG28</f>
        <v>35.35134370641201</v>
      </c>
      <c r="K22" s="289">
        <f t="shared" ca="1" si="2"/>
        <v>-29.13657262321999</v>
      </c>
      <c r="L22" s="183">
        <f t="shared" ca="1" si="5"/>
        <v>0</v>
      </c>
      <c r="M22" s="80"/>
      <c r="AF22" s="154">
        <v>45778</v>
      </c>
    </row>
    <row r="23" spans="1:32" ht="16" outlineLevel="1">
      <c r="A23" s="186" t="s">
        <v>98</v>
      </c>
      <c r="B23" s="289">
        <f>INDEX(EBITDA!$A$5:$AB$100,MATCH('Tracking KPI'!A23,EBITDA!$A$5:$A$100,0),MATCH('Tracking KPI'!$C$4,EBITDA!$A$5:$AB$5,0))</f>
        <v>2.3811003177777774</v>
      </c>
      <c r="C23" s="182">
        <f>INDEX(EBITDA!$A$5:$AB$100,MATCH('Tracking KPI'!A23,EBITDA!$A$5:$A$100,0),MATCH('Tracking KPI'!$C$3,EBITDA!$A$5:$AB$5,0))</f>
        <v>3.0826562882744999</v>
      </c>
      <c r="D23" s="182">
        <f>INDEX(EBITDA!$AE$5:$BG$100,MATCH(A23,EBITDA!$AE$5:$AE$100,0),MATCH('Tracking KPI'!$C$3,EBITDA!$AE$5:$BG$5,0))</f>
        <v>2.3927851671750635</v>
      </c>
      <c r="E23" s="182">
        <f>C23-INDEX(EBITDA!$A$5:$AB$100,MATCH('Tracking KPI'!A23,EBITDA!$A$5:$A$100,0),MATCH('Tracking KPI'!$C$4,EBITDA!$A$5:$AB$5,0))</f>
        <v>0.70155597049672247</v>
      </c>
      <c r="F23" s="183">
        <f t="shared" si="0"/>
        <v>1.2946352009021893</v>
      </c>
      <c r="G23" s="182">
        <f t="shared" si="4"/>
        <v>0.68987112109943638</v>
      </c>
      <c r="H23" s="182">
        <f ca="1">EBITDA!P29</f>
        <v>14.347211668281235</v>
      </c>
      <c r="I23" s="182">
        <f ca="1">EBITDA!BF29</f>
        <v>19.814067284844974</v>
      </c>
      <c r="J23" s="182">
        <f>EBITDA!BG29</f>
        <v>22.973002771683291</v>
      </c>
      <c r="K23" s="289">
        <f t="shared" ca="1" si="2"/>
        <v>-5.4668556165637394</v>
      </c>
      <c r="L23" s="183">
        <f t="shared" ca="1" si="5"/>
        <v>0.62452487430009473</v>
      </c>
      <c r="M23" s="80"/>
      <c r="AF23" s="154">
        <v>45809</v>
      </c>
    </row>
    <row r="24" spans="1:32" ht="16">
      <c r="A24" s="187" t="s">
        <v>99</v>
      </c>
      <c r="B24" s="290">
        <f>INDEX(EBITDA!$A$5:$AB$100,MATCH('Tracking KPI'!A24,EBITDA!$A$5:$A$100,0),MATCH('Tracking KPI'!$C$4,EBITDA!$A$5:$AB$5,0))</f>
        <v>45.372823882950328</v>
      </c>
      <c r="C24" s="197">
        <f>INDEX(EBITDA!$A$5:$AB$100,MATCH('Tracking KPI'!A24,EBITDA!$A$5:$A$100,0),MATCH('Tracking KPI'!$C$3,EBITDA!$A$5:$AB$5,0))</f>
        <v>55.356581088149987</v>
      </c>
      <c r="D24" s="197">
        <f>INDEX(EBITDA!$AE$5:$BG$100,MATCH(A24,EBITDA!$AE$5:$AE$100,0),MATCH('Tracking KPI'!$C$3,EBITDA!$AE$5:$BG$5,0))</f>
        <v>45.274120868946397</v>
      </c>
      <c r="E24" s="197">
        <f>C24-INDEX(EBITDA!$A$5:$AB$100,MATCH('Tracking KPI'!A24,EBITDA!$A$5:$A$100,0),MATCH('Tracking KPI'!$C$4,EBITDA!$A$5:$AB$5,0))</f>
        <v>9.9837572051996588</v>
      </c>
      <c r="F24" s="198">
        <f t="shared" si="0"/>
        <v>1.2200382597070676</v>
      </c>
      <c r="G24" s="197">
        <f t="shared" si="4"/>
        <v>10.08246021920359</v>
      </c>
      <c r="H24" s="197">
        <f ca="1">EBITDA!P30</f>
        <v>314.48841718718973</v>
      </c>
      <c r="I24" s="290">
        <f ca="1">EBITDA!BF30</f>
        <v>482.31145797362353</v>
      </c>
      <c r="J24" s="290">
        <f>EBITDA!BG30</f>
        <v>534.44975915154896</v>
      </c>
      <c r="K24" s="290">
        <f t="shared" ca="1" si="2"/>
        <v>-167.82304078643381</v>
      </c>
      <c r="L24" s="198">
        <f t="shared" ca="1" si="5"/>
        <v>0.58843401424007968</v>
      </c>
      <c r="M24" s="80"/>
      <c r="AF24" s="154">
        <v>45839</v>
      </c>
    </row>
    <row r="25" spans="1:32" ht="16">
      <c r="A25" s="185" t="s">
        <v>100</v>
      </c>
      <c r="B25" s="289">
        <f>INDEX(EBITDA!$A$5:$AB$100,MATCH('Tracking KPI'!A25,EBITDA!$A$5:$A$100,0),MATCH('Tracking KPI'!$C$4,EBITDA!$A$5:$AB$5,0))</f>
        <v>4.7119907985555622</v>
      </c>
      <c r="C25" s="182">
        <f>INDEX(EBITDA!$A$5:$AB$100,MATCH('Tracking KPI'!A25,EBITDA!$A$5:$A$100,0),MATCH('Tracking KPI'!$C$3,EBITDA!$A$5:$AB$5,0))</f>
        <v>6.0797883651499927</v>
      </c>
      <c r="D25" s="182">
        <f>INDEX(EBITDA!$AE$5:$BG$100,MATCH(A25,EBITDA!$AE$5:$AE$100,0),MATCH('Tracking KPI'!$C$3,EBITDA!$AE$5:$BG$5,0))</f>
        <v>4.4333295392378567</v>
      </c>
      <c r="E25" s="182">
        <f>C25-INDEX(EBITDA!$A$5:$AB$100,MATCH('Tracking KPI'!A25,EBITDA!$A$5:$A$100,0),MATCH('Tracking KPI'!$C$4,EBITDA!$A$5:$AB$5,0))</f>
        <v>1.3677975665944304</v>
      </c>
      <c r="F25" s="183">
        <f t="shared" si="0"/>
        <v>1.2902801862460602</v>
      </c>
      <c r="G25" s="182">
        <f t="shared" si="4"/>
        <v>1.646458825912136</v>
      </c>
      <c r="H25" s="182">
        <f ca="1">EBITDA!P31</f>
        <v>31.322757589261144</v>
      </c>
      <c r="I25" s="182">
        <f ca="1">EBITDA!BF31</f>
        <v>45.658821738232774</v>
      </c>
      <c r="J25" s="182">
        <f>EBITDA!BG31</f>
        <v>50.310781113232771</v>
      </c>
      <c r="K25" s="289">
        <f t="shared" ca="1" si="2"/>
        <v>-14.33606414897163</v>
      </c>
      <c r="L25" s="183">
        <f t="shared" ca="1" si="5"/>
        <v>0.62258539613535469</v>
      </c>
      <c r="M25" s="80"/>
      <c r="AF25" s="154">
        <v>45870</v>
      </c>
    </row>
    <row r="26" spans="1:32" ht="16" outlineLevel="1">
      <c r="A26" s="186" t="s">
        <v>101</v>
      </c>
      <c r="B26" s="289">
        <f>INDEX(EBITDA!$A$5:$AB$100,MATCH('Tracking KPI'!A26,EBITDA!$A$5:$A$100,0),MATCH('Tracking KPI'!$C$4,EBITDA!$A$5:$AB$5,0))</f>
        <v>0</v>
      </c>
      <c r="C26" s="182">
        <f>INDEX(EBITDA!$A$5:$AB$100,MATCH('Tracking KPI'!A26,EBITDA!$A$5:$A$100,0),MATCH('Tracking KPI'!$C$3,EBITDA!$A$5:$AB$5,0))</f>
        <v>0</v>
      </c>
      <c r="D26" s="182">
        <f>INDEX(EBITDA!$AE$5:$BG$100,MATCH(A26,EBITDA!$AE$5:$AE$100,0),MATCH('Tracking KPI'!$C$3,EBITDA!$AE$5:$BG$5,0))</f>
        <v>2.0386292006961901</v>
      </c>
      <c r="E26" s="182">
        <f>C26-INDEX(EBITDA!$A$5:$AB$100,MATCH('Tracking KPI'!A26,EBITDA!$A$5:$A$100,0),MATCH('Tracking KPI'!$C$4,EBITDA!$A$5:$AB$5,0))</f>
        <v>0</v>
      </c>
      <c r="F26" s="183" t="str">
        <f t="shared" si="0"/>
        <v/>
      </c>
      <c r="G26" s="182">
        <f>C26-D26</f>
        <v>-2.0386292006961901</v>
      </c>
      <c r="H26" s="182">
        <f ca="1">EBITDA!P32</f>
        <v>3.5176197338888997</v>
      </c>
      <c r="I26" s="182">
        <f ca="1">EBITDA!BF32</f>
        <v>21.686217415316111</v>
      </c>
      <c r="J26" s="182">
        <f>EBITDA!BG32</f>
        <v>23.74696741531611</v>
      </c>
      <c r="K26" s="289">
        <f t="shared" ca="1" si="2"/>
        <v>-18.168597681427212</v>
      </c>
      <c r="L26" s="183">
        <f t="shared" ca="1" si="5"/>
        <v>0.14812921887533884</v>
      </c>
      <c r="M26" s="80"/>
      <c r="AF26" s="154">
        <v>45901</v>
      </c>
    </row>
    <row r="27" spans="1:32" ht="16" outlineLevel="1">
      <c r="A27" s="186" t="s">
        <v>102</v>
      </c>
      <c r="B27" s="289">
        <f>INDEX(EBITDA!$A$5:$AB$100,MATCH('Tracking KPI'!A27,EBITDA!$A$5:$A$100,0),MATCH('Tracking KPI'!$C$4,EBITDA!$A$5:$AB$5,0))</f>
        <v>0</v>
      </c>
      <c r="C27" s="182">
        <f>INDEX(EBITDA!$A$5:$AB$100,MATCH('Tracking KPI'!A27,EBITDA!$A$5:$A$100,0),MATCH('Tracking KPI'!$C$3,EBITDA!$A$5:$AB$5,0))</f>
        <v>0</v>
      </c>
      <c r="D27" s="182">
        <f>INDEX(EBITDA!$AE$5:$BG$100,MATCH(A27,EBITDA!$AE$5:$AE$100,0),MATCH('Tracking KPI'!$C$3,EBITDA!$AE$5:$BG$5,0))</f>
        <v>0.59806666666666597</v>
      </c>
      <c r="E27" s="182">
        <f>C27-INDEX(EBITDA!$A$5:$AB$100,MATCH('Tracking KPI'!A27,EBITDA!$A$5:$A$100,0),MATCH('Tracking KPI'!$C$4,EBITDA!$A$5:$AB$5,0))</f>
        <v>0</v>
      </c>
      <c r="F27" s="183" t="str">
        <f t="shared" si="0"/>
        <v/>
      </c>
      <c r="G27" s="182">
        <f t="shared" si="4"/>
        <v>-0.59806666666666597</v>
      </c>
      <c r="H27" s="182">
        <f ca="1">EBITDA!P33</f>
        <v>0.6382957279999999</v>
      </c>
      <c r="I27" s="182">
        <f ca="1">EBITDA!BF33</f>
        <v>5.8747666666666642</v>
      </c>
      <c r="J27" s="182">
        <f>EBITDA!BG33</f>
        <v>6.5179666666666645</v>
      </c>
      <c r="K27" s="289">
        <f t="shared" ca="1" si="2"/>
        <v>-5.2364709386666641</v>
      </c>
      <c r="L27" s="183">
        <f t="shared" ca="1" si="5"/>
        <v>9.7928657914789399E-2</v>
      </c>
      <c r="M27" s="80"/>
      <c r="AF27" s="154">
        <v>45931</v>
      </c>
    </row>
    <row r="28" spans="1:32" ht="16" outlineLevel="1">
      <c r="A28" s="186" t="s">
        <v>103</v>
      </c>
      <c r="B28" s="289">
        <f>INDEX(EBITDA!$A$5:$AB$100,MATCH('Tracking KPI'!A28,EBITDA!$A$5:$A$100,0),MATCH('Tracking KPI'!$C$4,EBITDA!$A$5:$AB$5,0))</f>
        <v>0</v>
      </c>
      <c r="C28" s="182">
        <f>INDEX(EBITDA!$A$5:$AB$100,MATCH('Tracking KPI'!A28,EBITDA!$A$5:$A$100,0),MATCH('Tracking KPI'!$C$3,EBITDA!$A$5:$AB$5,0))</f>
        <v>0</v>
      </c>
      <c r="D28" s="182">
        <f>INDEX(EBITDA!$AE$5:$BG$100,MATCH(A28,EBITDA!$AE$5:$AE$100,0),MATCH('Tracking KPI'!$C$3,EBITDA!$AE$5:$BG$5,0))</f>
        <v>0.32624999999999998</v>
      </c>
      <c r="E28" s="182">
        <f>C28-INDEX(EBITDA!$A$5:$AB$100,MATCH('Tracking KPI'!A28,EBITDA!$A$5:$A$100,0),MATCH('Tracking KPI'!$C$4,EBITDA!$A$5:$AB$5,0))</f>
        <v>0</v>
      </c>
      <c r="F28" s="183" t="str">
        <f t="shared" si="0"/>
        <v/>
      </c>
      <c r="G28" s="182">
        <f t="shared" si="4"/>
        <v>-0.32624999999999998</v>
      </c>
      <c r="H28" s="182">
        <f ca="1">EBITDA!P34</f>
        <v>0.29789821100000002</v>
      </c>
      <c r="I28" s="182">
        <f ca="1">EBITDA!BF34</f>
        <v>3.0524999999999998</v>
      </c>
      <c r="J28" s="182">
        <f>EBITDA!BG34</f>
        <v>3.4274999999999998</v>
      </c>
      <c r="K28" s="289">
        <f t="shared" ca="1" si="2"/>
        <v>-2.7546017889999996</v>
      </c>
      <c r="L28" s="183">
        <f t="shared" ca="1" si="5"/>
        <v>8.6914138876732328E-2</v>
      </c>
      <c r="M28" s="80"/>
      <c r="AF28" s="154">
        <v>45962</v>
      </c>
    </row>
    <row r="29" spans="1:32" ht="16" outlineLevel="1">
      <c r="A29" s="186" t="s">
        <v>104</v>
      </c>
      <c r="B29" s="289">
        <f>INDEX(EBITDA!$A$5:$AB$100,MATCH('Tracking KPI'!A29,EBITDA!$A$5:$A$100,0),MATCH('Tracking KPI'!$C$4,EBITDA!$A$5:$AB$5,0))</f>
        <v>0</v>
      </c>
      <c r="C29" s="182">
        <f>INDEX(EBITDA!$A$5:$AB$100,MATCH('Tracking KPI'!A29,EBITDA!$A$5:$A$100,0),MATCH('Tracking KPI'!$C$3,EBITDA!$A$5:$AB$5,0))</f>
        <v>0</v>
      </c>
      <c r="D29" s="182">
        <f>INDEX(EBITDA!$AE$5:$BG$100,MATCH(A29,EBITDA!$AE$5:$AE$100,0),MATCH('Tracking KPI'!$C$3,EBITDA!$AE$5:$BG$5,0))</f>
        <v>7.4999999999999997E-2</v>
      </c>
      <c r="E29" s="182">
        <f>C29-INDEX(EBITDA!$A$5:$AB$100,MATCH('Tracking KPI'!A29,EBITDA!$A$5:$A$100,0),MATCH('Tracking KPI'!$C$4,EBITDA!$A$5:$AB$5,0))</f>
        <v>0</v>
      </c>
      <c r="F29" s="183" t="str">
        <f t="shared" si="0"/>
        <v/>
      </c>
      <c r="G29" s="182">
        <f t="shared" si="4"/>
        <v>-7.4999999999999997E-2</v>
      </c>
      <c r="H29" s="182">
        <f ca="1">EBITDA!P35</f>
        <v>0</v>
      </c>
      <c r="I29" s="182">
        <f ca="1">EBITDA!BF35</f>
        <v>0.55000000000000004</v>
      </c>
      <c r="J29" s="182">
        <f>EBITDA!BG35</f>
        <v>0.65</v>
      </c>
      <c r="K29" s="289">
        <f t="shared" ca="1" si="2"/>
        <v>-0.55000000000000004</v>
      </c>
      <c r="L29" s="183">
        <f t="shared" ca="1" si="5"/>
        <v>0</v>
      </c>
      <c r="M29" s="80"/>
      <c r="AF29" s="154">
        <v>45992</v>
      </c>
    </row>
    <row r="30" spans="1:32" ht="16" outlineLevel="1">
      <c r="A30" s="186" t="s">
        <v>105</v>
      </c>
      <c r="B30" s="289">
        <f>INDEX(EBITDA!$A$5:$AB$100,MATCH('Tracking KPI'!A30,EBITDA!$A$5:$A$100,0),MATCH('Tracking KPI'!$C$4,EBITDA!$A$5:$AB$5,0))</f>
        <v>0</v>
      </c>
      <c r="C30" s="182">
        <f>INDEX(EBITDA!$A$5:$AB$100,MATCH('Tracking KPI'!A30,EBITDA!$A$5:$A$100,0),MATCH('Tracking KPI'!$C$3,EBITDA!$A$5:$AB$5,0))</f>
        <v>0</v>
      </c>
      <c r="D30" s="182">
        <f>INDEX(EBITDA!$AE$5:$BG$100,MATCH(A30,EBITDA!$AE$5:$AE$100,0),MATCH('Tracking KPI'!$C$3,EBITDA!$AE$5:$BG$5,0))</f>
        <v>0.88537500000000002</v>
      </c>
      <c r="E30" s="182">
        <f>C30-INDEX(EBITDA!$A$5:$AB$100,MATCH('Tracking KPI'!A30,EBITDA!$A$5:$A$100,0),MATCH('Tracking KPI'!$C$4,EBITDA!$A$5:$AB$5,0))</f>
        <v>0</v>
      </c>
      <c r="F30" s="183" t="str">
        <f t="shared" si="0"/>
        <v/>
      </c>
      <c r="G30" s="182">
        <f t="shared" si="4"/>
        <v>-0.88537500000000002</v>
      </c>
      <c r="H30" s="182">
        <f ca="1">EBITDA!P36</f>
        <v>1.044243354</v>
      </c>
      <c r="I30" s="182">
        <f ca="1">EBITDA!BF36</f>
        <v>9.1052499999999981</v>
      </c>
      <c r="J30" s="182">
        <f>EBITDA!BG36</f>
        <v>10.048249999999998</v>
      </c>
      <c r="K30" s="289">
        <f t="shared" ca="1" si="2"/>
        <v>-8.0610066459999974</v>
      </c>
      <c r="L30" s="183">
        <f t="shared" ca="1" si="5"/>
        <v>0.10392290737193047</v>
      </c>
      <c r="M30" s="80"/>
    </row>
    <row r="31" spans="1:32" ht="16" outlineLevel="1">
      <c r="A31" s="186" t="s">
        <v>106</v>
      </c>
      <c r="B31" s="289">
        <f>INDEX(EBITDA!$A$5:$AB$100,MATCH('Tracking KPI'!A31,EBITDA!$A$5:$A$100,0),MATCH('Tracking KPI'!$C$4,EBITDA!$A$5:$AB$5,0))</f>
        <v>0</v>
      </c>
      <c r="C31" s="182">
        <f>INDEX(EBITDA!$A$5:$AB$100,MATCH('Tracking KPI'!A31,EBITDA!$A$5:$A$100,0),MATCH('Tracking KPI'!$C$3,EBITDA!$A$5:$AB$5,0))</f>
        <v>0</v>
      </c>
      <c r="D31" s="182">
        <f>INDEX(EBITDA!$AE$5:$BG$100,MATCH(A31,EBITDA!$AE$5:$AE$100,0),MATCH('Tracking KPI'!$C$3,EBITDA!$AE$5:$BG$5,0))</f>
        <v>0.51000867187499999</v>
      </c>
      <c r="E31" s="182">
        <f>C31-INDEX(EBITDA!$A$5:$AB$100,MATCH('Tracking KPI'!A31,EBITDA!$A$5:$A$100,0),MATCH('Tracking KPI'!$C$4,EBITDA!$A$5:$AB$5,0))</f>
        <v>0</v>
      </c>
      <c r="F31" s="183" t="str">
        <f t="shared" si="0"/>
        <v/>
      </c>
      <c r="G31" s="182">
        <f t="shared" si="4"/>
        <v>-0.51000867187499999</v>
      </c>
      <c r="H31" s="182">
        <f ca="1">EBITDA!P37</f>
        <v>1.44688331</v>
      </c>
      <c r="I31" s="182">
        <f ca="1">EBITDA!BF37</f>
        <v>5.3900876562499995</v>
      </c>
      <c r="J31" s="182">
        <f>EBITDA!BG37</f>
        <v>5.9200970312499992</v>
      </c>
      <c r="K31" s="289">
        <f t="shared" ca="1" si="2"/>
        <v>-3.9432043462499995</v>
      </c>
      <c r="L31" s="183">
        <f t="shared" ca="1" si="5"/>
        <v>0.24440195867777825</v>
      </c>
      <c r="M31" s="80"/>
    </row>
    <row r="32" spans="1:32" ht="16">
      <c r="A32" s="185" t="s">
        <v>107</v>
      </c>
      <c r="B32" s="289">
        <f>INDEX(EBITDA!$A$5:$AB$100,MATCH('Tracking KPI'!A32,EBITDA!$A$5:$A$100,0),MATCH('Tracking KPI'!$C$4,EBITDA!$A$5:$AB$5,0))</f>
        <v>2.0910000000000002</v>
      </c>
      <c r="C32" s="182">
        <f>INDEX(EBITDA!$A$5:$AB$100,MATCH('Tracking KPI'!A32,EBITDA!$A$5:$A$100,0),MATCH('Tracking KPI'!$C$3,EBITDA!$A$5:$AB$5,0))</f>
        <v>2.4039999999999999</v>
      </c>
      <c r="D32" s="182">
        <f>INDEX(EBITDA!$AE$5:$BG$100,MATCH(A32,EBITDA!$AE$5:$AE$100,0),MATCH('Tracking KPI'!$C$3,EBITDA!$AE$5:$BG$5,0))</f>
        <v>5.2243304773988148</v>
      </c>
      <c r="E32" s="182">
        <f>C32-INDEX(EBITDA!$A$5:$AB$100,MATCH('Tracking KPI'!A32,EBITDA!$A$5:$A$100,0),MATCH('Tracking KPI'!$C$4,EBITDA!$A$5:$AB$5,0))</f>
        <v>0.31299999999999972</v>
      </c>
      <c r="F32" s="183">
        <f t="shared" si="0"/>
        <v>1.1496891439502628</v>
      </c>
      <c r="G32" s="182">
        <f t="shared" si="4"/>
        <v>-2.8203304773988149</v>
      </c>
      <c r="H32" s="182">
        <f ca="1">EBITDA!P38</f>
        <v>24.115376310543663</v>
      </c>
      <c r="I32" s="182">
        <f ca="1">EBITDA!BF38</f>
        <v>49.327391316162227</v>
      </c>
      <c r="J32" s="182">
        <f>EBITDA!BG38</f>
        <v>54.953582700892852</v>
      </c>
      <c r="K32" s="289">
        <f t="shared" ca="1" si="2"/>
        <v>-25.212015005618564</v>
      </c>
      <c r="L32" s="183">
        <f t="shared" ca="1" si="5"/>
        <v>0.43883173990313556</v>
      </c>
      <c r="M32" s="80"/>
    </row>
    <row r="33" spans="1:13" ht="16" outlineLevel="1">
      <c r="A33" s="186" t="s">
        <v>108</v>
      </c>
      <c r="B33" s="289">
        <f>INDEX(EBITDA!$A$5:$AB$100,MATCH('Tracking KPI'!A33,EBITDA!$A$5:$A$100,0),MATCH('Tracking KPI'!$C$4,EBITDA!$A$5:$AB$5,0))</f>
        <v>0</v>
      </c>
      <c r="C33" s="182">
        <f>INDEX(EBITDA!$A$5:$AB$100,MATCH('Tracking KPI'!A33,EBITDA!$A$5:$A$100,0),MATCH('Tracking KPI'!$C$3,EBITDA!$A$5:$AB$5,0))</f>
        <v>0</v>
      </c>
      <c r="D33" s="182">
        <f>INDEX(EBITDA!$AE$5:$BG$100,MATCH(A33,EBITDA!$AE$5:$AE$100,0),MATCH('Tracking KPI'!$C$3,EBITDA!$AE$5:$BG$5,0))</f>
        <v>3.5489160514670699</v>
      </c>
      <c r="E33" s="182">
        <f>C33-INDEX(EBITDA!$A$5:$AB$100,MATCH('Tracking KPI'!A33,EBITDA!$A$5:$A$100,0),MATCH('Tracking KPI'!$C$4,EBITDA!$A$5:$AB$5,0))</f>
        <v>0</v>
      </c>
      <c r="F33" s="183" t="str">
        <f t="shared" si="0"/>
        <v/>
      </c>
      <c r="G33" s="182">
        <f t="shared" si="4"/>
        <v>-3.5489160514670699</v>
      </c>
      <c r="H33" s="182">
        <f ca="1">EBITDA!P39</f>
        <v>4.7827320228236898</v>
      </c>
      <c r="I33" s="182">
        <f ca="1">EBITDA!BF39</f>
        <v>33.111749050183469</v>
      </c>
      <c r="J33" s="182">
        <f>EBITDA!BG39</f>
        <v>36.815315055839989</v>
      </c>
      <c r="K33" s="289">
        <f t="shared" ca="1" si="2"/>
        <v>-28.329017027359779</v>
      </c>
      <c r="L33" s="183">
        <f t="shared" ca="1" si="5"/>
        <v>0.12991147883888632</v>
      </c>
      <c r="M33" s="80"/>
    </row>
    <row r="34" spans="1:13" ht="16" outlineLevel="1">
      <c r="A34" s="186" t="s">
        <v>109</v>
      </c>
      <c r="B34" s="289">
        <f>INDEX(EBITDA!$A$5:$AB$100,MATCH('Tracking KPI'!A34,EBITDA!$A$5:$A$100,0),MATCH('Tracking KPI'!$C$4,EBITDA!$A$5:$AB$5,0))</f>
        <v>0</v>
      </c>
      <c r="C34" s="182">
        <f>INDEX(EBITDA!$A$5:$AB$100,MATCH('Tracking KPI'!A34,EBITDA!$A$5:$A$100,0),MATCH('Tracking KPI'!$C$3,EBITDA!$A$5:$AB$5,0))</f>
        <v>0</v>
      </c>
      <c r="D34" s="182">
        <f>INDEX(EBITDA!$AE$5:$BG$100,MATCH(A34,EBITDA!$AE$5:$AE$100,0),MATCH('Tracking KPI'!$C$3,EBITDA!$AE$5:$BG$5,0))</f>
        <v>0.27520277777777802</v>
      </c>
      <c r="E34" s="182">
        <f>C34-INDEX(EBITDA!$A$5:$AB$100,MATCH('Tracking KPI'!A34,EBITDA!$A$5:$A$100,0),MATCH('Tracking KPI'!$C$4,EBITDA!$A$5:$AB$5,0))</f>
        <v>0</v>
      </c>
      <c r="F34" s="183" t="str">
        <f t="shared" si="0"/>
        <v/>
      </c>
      <c r="G34" s="182">
        <f t="shared" si="4"/>
        <v>-0.27520277777777802</v>
      </c>
      <c r="H34" s="182">
        <f ca="1">EBITDA!P40</f>
        <v>1.040133277538005</v>
      </c>
      <c r="I34" s="182">
        <f ca="1">EBITDA!BF40</f>
        <v>2.8178944444444451</v>
      </c>
      <c r="J34" s="182">
        <f>EBITDA!BG40</f>
        <v>3.1121277777777783</v>
      </c>
      <c r="K34" s="289">
        <f t="shared" ca="1" si="2"/>
        <v>-1.7777611669064401</v>
      </c>
      <c r="L34" s="183">
        <f t="shared" ca="1" si="5"/>
        <v>0.33421933539011511</v>
      </c>
      <c r="M34" s="80"/>
    </row>
    <row r="35" spans="1:13" ht="16" outlineLevel="1">
      <c r="A35" s="186" t="s">
        <v>110</v>
      </c>
      <c r="B35" s="289">
        <f>INDEX(EBITDA!$A$5:$AB$100,MATCH('Tracking KPI'!A35,EBITDA!$A$5:$A$100,0),MATCH('Tracking KPI'!$C$4,EBITDA!$A$5:$AB$5,0))</f>
        <v>0</v>
      </c>
      <c r="C35" s="182">
        <f>INDEX(EBITDA!$A$5:$AB$100,MATCH('Tracking KPI'!A35,EBITDA!$A$5:$A$100,0),MATCH('Tracking KPI'!$C$3,EBITDA!$A$5:$AB$5,0))</f>
        <v>0</v>
      </c>
      <c r="D35" s="182">
        <f>INDEX(EBITDA!$AE$5:$BG$100,MATCH(A35,EBITDA!$AE$5:$AE$100,0),MATCH('Tracking KPI'!$C$3,EBITDA!$AE$5:$BG$5,0))</f>
        <v>0.3467953614873</v>
      </c>
      <c r="E35" s="182">
        <f>C35-INDEX(EBITDA!$A$5:$AB$100,MATCH('Tracking KPI'!A35,EBITDA!$A$5:$A$100,0),MATCH('Tracking KPI'!$C$4,EBITDA!$A$5:$AB$5,0))</f>
        <v>0</v>
      </c>
      <c r="F35" s="183" t="str">
        <f t="shared" si="0"/>
        <v/>
      </c>
      <c r="G35" s="182">
        <f t="shared" si="4"/>
        <v>-0.3467953614873</v>
      </c>
      <c r="H35" s="182">
        <f ca="1">EBITDA!P41</f>
        <v>0.72686716316714473</v>
      </c>
      <c r="I35" s="182">
        <f ca="1">EBITDA!BF41</f>
        <v>3.4505582515343014</v>
      </c>
      <c r="J35" s="182">
        <f>EBITDA!BG41</f>
        <v>3.8475540106084045</v>
      </c>
      <c r="K35" s="289">
        <f t="shared" ca="1" si="2"/>
        <v>-2.7236910883671568</v>
      </c>
      <c r="L35" s="183">
        <f t="shared" ca="1" si="5"/>
        <v>0.18891668867104661</v>
      </c>
      <c r="M35" s="80"/>
    </row>
    <row r="36" spans="1:13" ht="16" outlineLevel="1">
      <c r="A36" s="186" t="s">
        <v>111</v>
      </c>
      <c r="B36" s="289">
        <f>INDEX(EBITDA!$A$5:$AB$100,MATCH('Tracking KPI'!A36,EBITDA!$A$5:$A$100,0),MATCH('Tracking KPI'!$C$4,EBITDA!$A$5:$AB$5,0))</f>
        <v>0</v>
      </c>
      <c r="C36" s="182">
        <f>INDEX(EBITDA!$A$5:$AB$100,MATCH('Tracking KPI'!A36,EBITDA!$A$5:$A$100,0),MATCH('Tracking KPI'!$C$3,EBITDA!$A$5:$AB$5,0))</f>
        <v>0</v>
      </c>
      <c r="D36" s="182">
        <f>INDEX(EBITDA!$AE$5:$BG$100,MATCH(A36,EBITDA!$AE$5:$AE$100,0),MATCH('Tracking KPI'!$C$3,EBITDA!$AE$5:$BG$5,0))</f>
        <v>4.4999999999999998E-2</v>
      </c>
      <c r="E36" s="182">
        <f>C36-INDEX(EBITDA!$A$5:$AB$100,MATCH('Tracking KPI'!A36,EBITDA!$A$5:$A$100,0),MATCH('Tracking KPI'!$C$4,EBITDA!$A$5:$AB$5,0))</f>
        <v>0</v>
      </c>
      <c r="F36" s="183" t="str">
        <f t="shared" si="0"/>
        <v/>
      </c>
      <c r="G36" s="182">
        <f t="shared" si="4"/>
        <v>-4.4999999999999998E-2</v>
      </c>
      <c r="H36" s="182">
        <f ca="1">EBITDA!P42</f>
        <v>0</v>
      </c>
      <c r="I36" s="182">
        <f ca="1">EBITDA!BF42</f>
        <v>0.27500000000000002</v>
      </c>
      <c r="J36" s="182">
        <f>EBITDA!BG42</f>
        <v>0.35750000000000004</v>
      </c>
      <c r="K36" s="289">
        <f t="shared" ca="1" si="2"/>
        <v>-0.27500000000000002</v>
      </c>
      <c r="L36" s="183">
        <f t="shared" ca="1" si="5"/>
        <v>0</v>
      </c>
      <c r="M36" s="80"/>
    </row>
    <row r="37" spans="1:13" ht="16" outlineLevel="1">
      <c r="A37" s="186" t="s">
        <v>112</v>
      </c>
      <c r="B37" s="289">
        <f>INDEX(EBITDA!$A$5:$AB$100,MATCH('Tracking KPI'!A37,EBITDA!$A$5:$A$100,0),MATCH('Tracking KPI'!$C$4,EBITDA!$A$5:$AB$5,0))</f>
        <v>0</v>
      </c>
      <c r="C37" s="182">
        <f>INDEX(EBITDA!$A$5:$AB$100,MATCH('Tracking KPI'!A37,EBITDA!$A$5:$A$100,0),MATCH('Tracking KPI'!$C$3,EBITDA!$A$5:$AB$5,0))</f>
        <v>0</v>
      </c>
      <c r="D37" s="182">
        <f>INDEX(EBITDA!$AE$5:$BG$100,MATCH(A37,EBITDA!$AE$5:$AE$100,0),MATCH('Tracking KPI'!$C$3,EBITDA!$AE$5:$BG$5,0))</f>
        <v>0.28288770000000002</v>
      </c>
      <c r="E37" s="182">
        <f>C37-INDEX(EBITDA!$A$5:$AB$100,MATCH('Tracking KPI'!A37,EBITDA!$A$5:$A$100,0),MATCH('Tracking KPI'!$C$4,EBITDA!$A$5:$AB$5,0))</f>
        <v>0</v>
      </c>
      <c r="F37" s="183" t="str">
        <f t="shared" si="0"/>
        <v/>
      </c>
      <c r="G37" s="182">
        <f t="shared" si="4"/>
        <v>-0.28288770000000002</v>
      </c>
      <c r="H37" s="182">
        <f ca="1">EBITDA!P43</f>
        <v>0.57200000000000006</v>
      </c>
      <c r="I37" s="182">
        <f ca="1">EBITDA!BF43</f>
        <v>2.381647116666668</v>
      </c>
      <c r="J37" s="182">
        <f>EBITDA!BG43</f>
        <v>2.7373348166666678</v>
      </c>
      <c r="K37" s="289">
        <f t="shared" ca="1" si="2"/>
        <v>-1.8096471166666679</v>
      </c>
      <c r="L37" s="183">
        <f t="shared" ca="1" si="5"/>
        <v>0.20896238067674203</v>
      </c>
      <c r="M37" s="80"/>
    </row>
    <row r="38" spans="1:13" ht="16" outlineLevel="1">
      <c r="A38" s="186" t="s">
        <v>113</v>
      </c>
      <c r="B38" s="289">
        <f>INDEX(EBITDA!$A$5:$AB$100,MATCH('Tracking KPI'!A38,EBITDA!$A$5:$A$100,0),MATCH('Tracking KPI'!$C$4,EBITDA!$A$5:$AB$5,0))</f>
        <v>0</v>
      </c>
      <c r="C38" s="182">
        <f>INDEX(EBITDA!$A$5:$AB$100,MATCH('Tracking KPI'!A38,EBITDA!$A$5:$A$100,0),MATCH('Tracking KPI'!$C$3,EBITDA!$A$5:$AB$5,0))</f>
        <v>0</v>
      </c>
      <c r="D38" s="182">
        <f>INDEX(EBITDA!$AE$5:$BG$100,MATCH(A38,EBITDA!$AE$5:$AE$100,0),MATCH('Tracking KPI'!$C$3,EBITDA!$AE$5:$BG$5,0))</f>
        <v>0.72552858666666697</v>
      </c>
      <c r="E38" s="182">
        <f>C38-INDEX(EBITDA!$A$5:$AB$100,MATCH('Tracking KPI'!A38,EBITDA!$A$5:$A$100,0),MATCH('Tracking KPI'!$C$4,EBITDA!$A$5:$AB$5,0))</f>
        <v>0</v>
      </c>
      <c r="F38" s="183" t="str">
        <f t="shared" si="0"/>
        <v/>
      </c>
      <c r="G38" s="182">
        <f t="shared" si="4"/>
        <v>-0.72552858666666697</v>
      </c>
      <c r="H38" s="182">
        <f ca="1">EBITDA!P44</f>
        <v>2.7121943286814947</v>
      </c>
      <c r="I38" s="182">
        <f ca="1">EBITDA!BF44</f>
        <v>7.2905424533333374</v>
      </c>
      <c r="J38" s="182">
        <f>EBITDA!BG44</f>
        <v>8.0837510400000046</v>
      </c>
      <c r="K38" s="289">
        <f t="shared" ca="1" si="2"/>
        <v>-4.5783481246518427</v>
      </c>
      <c r="L38" s="183">
        <f t="shared" ca="1" si="5"/>
        <v>0.33551185770826175</v>
      </c>
      <c r="M38" s="80"/>
    </row>
    <row r="39" spans="1:13" ht="16">
      <c r="A39" s="185" t="s">
        <v>114</v>
      </c>
      <c r="B39" s="289">
        <f>INDEX(EBITDA!$A$5:$AB$100,MATCH('Tracking KPI'!A39,EBITDA!$A$5:$A$100,0),MATCH('Tracking KPI'!$C$4,EBITDA!$A$5:$AB$5,0))</f>
        <v>6.7574059946666667</v>
      </c>
      <c r="C39" s="182">
        <f>INDEX(EBITDA!$A$5:$AB$100,MATCH('Tracking KPI'!A39,EBITDA!$A$5:$A$100,0),MATCH('Tracking KPI'!$C$3,EBITDA!$A$5:$AB$5,0))</f>
        <v>3.9547734809999997</v>
      </c>
      <c r="D39" s="182">
        <f>INDEX(EBITDA!$AE$5:$BG$100,MATCH(A39,EBITDA!$AE$5:$AE$100,0),MATCH('Tracking KPI'!$C$3,EBITDA!$AE$5:$BG$5,0))</f>
        <v>5.1260321668543547</v>
      </c>
      <c r="E39" s="182">
        <f>C39-INDEX(EBITDA!$A$5:$AB$100,MATCH('Tracking KPI'!A39,EBITDA!$A$5:$A$100,0),MATCH('Tracking KPI'!$C$4,EBITDA!$A$5:$AB$5,0))</f>
        <v>-2.802632513666667</v>
      </c>
      <c r="F39" s="183">
        <f t="shared" si="0"/>
        <v>0.58525024012488436</v>
      </c>
      <c r="G39" s="182">
        <f t="shared" si="4"/>
        <v>-1.171258685854355</v>
      </c>
      <c r="H39" s="182">
        <f ca="1">EBITDA!P45</f>
        <v>34.834377160333332</v>
      </c>
      <c r="I39" s="182">
        <f ca="1">EBITDA!BF45</f>
        <v>54.71759875938438</v>
      </c>
      <c r="J39" s="182">
        <f>EBITDA!BG45</f>
        <v>59.679728469236281</v>
      </c>
      <c r="K39" s="289">
        <f t="shared" ca="1" si="2"/>
        <v>-19.883221599051048</v>
      </c>
      <c r="L39" s="183">
        <f t="shared" ca="1" si="5"/>
        <v>0.58368860002923384</v>
      </c>
      <c r="M39" s="80"/>
    </row>
    <row r="40" spans="1:13" ht="16" outlineLevel="1">
      <c r="A40" s="186" t="s">
        <v>115</v>
      </c>
      <c r="B40" s="289">
        <f>INDEX(EBITDA!$A$5:$AB$100,MATCH('Tracking KPI'!A40,EBITDA!$A$5:$A$100,0),MATCH('Tracking KPI'!$C$4,EBITDA!$A$5:$AB$5,0))</f>
        <v>6.6716615050000003</v>
      </c>
      <c r="C40" s="182">
        <f>INDEX(EBITDA!$A$5:$AB$100,MATCH('Tracking KPI'!A40,EBITDA!$A$5:$A$100,0),MATCH('Tracking KPI'!$C$3,EBITDA!$A$5:$AB$5,0))</f>
        <v>3.9537144899999999</v>
      </c>
      <c r="D40" s="182">
        <f>INDEX(EBITDA!$AE$5:$BG$100,MATCH(A40,EBITDA!$AE$5:$AE$100,0),MATCH('Tracking KPI'!$C$3,EBITDA!$AE$5:$BG$5,0))</f>
        <v>3.7631000000000001</v>
      </c>
      <c r="E40" s="182">
        <f>C40-INDEX(EBITDA!$A$5:$AB$100,MATCH('Tracking KPI'!A40,EBITDA!$A$5:$A$100,0),MATCH('Tracking KPI'!$C$4,EBITDA!$A$5:$AB$5,0))</f>
        <v>-2.7179470150000005</v>
      </c>
      <c r="F40" s="183">
        <f t="shared" si="0"/>
        <v>0.59261317245141021</v>
      </c>
      <c r="G40" s="182">
        <f t="shared" si="4"/>
        <v>0.19061448999999975</v>
      </c>
      <c r="H40" s="182">
        <f ca="1">EBITDA!P46</f>
        <v>32.816833746999997</v>
      </c>
      <c r="I40" s="182">
        <f ca="1">EBITDA!BF46</f>
        <v>40.900900000000007</v>
      </c>
      <c r="J40" s="182">
        <f>EBITDA!BG46</f>
        <v>44.331100000000006</v>
      </c>
      <c r="K40" s="289">
        <f t="shared" ref="K40:K71" ca="1" si="6">H40-I40</f>
        <v>-8.0840662530000102</v>
      </c>
      <c r="L40" s="183">
        <f t="shared" ca="1" si="5"/>
        <v>0.74026662426603429</v>
      </c>
      <c r="M40" s="80"/>
    </row>
    <row r="41" spans="1:13" ht="16" outlineLevel="1">
      <c r="A41" s="186" t="s">
        <v>116</v>
      </c>
      <c r="B41" s="289">
        <f>INDEX(EBITDA!$A$5:$AB$100,MATCH('Tracking KPI'!A41,EBITDA!$A$5:$A$100,0),MATCH('Tracking KPI'!$C$4,EBITDA!$A$5:$AB$5,0))</f>
        <v>0</v>
      </c>
      <c r="C41" s="182">
        <f>INDEX(EBITDA!$A$5:$AB$100,MATCH('Tracking KPI'!A41,EBITDA!$A$5:$A$100,0),MATCH('Tracking KPI'!$C$3,EBITDA!$A$5:$AB$5,0))</f>
        <v>0</v>
      </c>
      <c r="D41" s="182">
        <f>INDEX(EBITDA!$AE$5:$BG$100,MATCH(A41,EBITDA!$AE$5:$AE$100,0),MATCH('Tracking KPI'!$C$3,EBITDA!$AE$5:$BG$5,0))</f>
        <v>0.49409999999999998</v>
      </c>
      <c r="E41" s="182">
        <f>C41-INDEX(EBITDA!$A$5:$AB$100,MATCH('Tracking KPI'!A41,EBITDA!$A$5:$A$100,0),MATCH('Tracking KPI'!$C$4,EBITDA!$A$5:$AB$5,0))</f>
        <v>0</v>
      </c>
      <c r="F41" s="183" t="str">
        <f t="shared" si="0"/>
        <v/>
      </c>
      <c r="G41" s="182">
        <f t="shared" si="4"/>
        <v>-0.49409999999999998</v>
      </c>
      <c r="H41" s="182">
        <f ca="1">EBITDA!P48</f>
        <v>0</v>
      </c>
      <c r="I41" s="182">
        <f ca="1">EBITDA!BF48</f>
        <v>6.3628999999999962</v>
      </c>
      <c r="J41" s="182">
        <f>EBITDA!BG48</f>
        <v>6.4660999999999964</v>
      </c>
      <c r="K41" s="289">
        <f t="shared" ca="1" si="6"/>
        <v>-6.3628999999999962</v>
      </c>
      <c r="L41" s="183">
        <f t="shared" ca="1" si="5"/>
        <v>0</v>
      </c>
      <c r="M41" s="80"/>
    </row>
    <row r="42" spans="1:13" ht="16" outlineLevel="1">
      <c r="A42" s="186" t="s">
        <v>117</v>
      </c>
      <c r="B42" s="289">
        <f>INDEX(EBITDA!$A$5:$AB$100,MATCH('Tracking KPI'!A42,EBITDA!$A$5:$A$100,0),MATCH('Tracking KPI'!$C$4,EBITDA!$A$5:$AB$5,0))</f>
        <v>0</v>
      </c>
      <c r="C42" s="182">
        <f>INDEX(EBITDA!$A$5:$AB$100,MATCH('Tracking KPI'!A42,EBITDA!$A$5:$A$100,0),MATCH('Tracking KPI'!$C$3,EBITDA!$A$5:$AB$5,0))</f>
        <v>0</v>
      </c>
      <c r="D42" s="182">
        <f>INDEX(EBITDA!$AE$5:$BG$100,MATCH(A42,EBITDA!$AE$5:$AE$100,0),MATCH('Tracking KPI'!$C$3,EBITDA!$AE$5:$BG$5,0))</f>
        <v>2.1059999999999999</v>
      </c>
      <c r="E42" s="182">
        <f>C42-INDEX(EBITDA!$A$5:$AB$100,MATCH('Tracking KPI'!A42,EBITDA!$A$5:$A$100,0),MATCH('Tracking KPI'!$C$4,EBITDA!$A$5:$AB$5,0))</f>
        <v>0</v>
      </c>
      <c r="F42" s="183" t="str">
        <f t="shared" si="0"/>
        <v/>
      </c>
      <c r="G42" s="182">
        <f t="shared" si="4"/>
        <v>-2.1059999999999999</v>
      </c>
      <c r="H42" s="182">
        <f ca="1">EBITDA!P49</f>
        <v>0</v>
      </c>
      <c r="I42" s="182">
        <f ca="1">EBITDA!BF49</f>
        <v>21.986999999999998</v>
      </c>
      <c r="J42" s="182">
        <f>EBITDA!BG49</f>
        <v>24.128999999999998</v>
      </c>
      <c r="K42" s="289">
        <f t="shared" ca="1" si="6"/>
        <v>-21.986999999999998</v>
      </c>
      <c r="L42" s="183">
        <f t="shared" ca="1" si="5"/>
        <v>0</v>
      </c>
      <c r="M42" s="80"/>
    </row>
    <row r="43" spans="1:13" ht="16" outlineLevel="1">
      <c r="A43" s="186" t="s">
        <v>118</v>
      </c>
      <c r="B43" s="289">
        <f>INDEX(EBITDA!$A$5:$AB$100,MATCH('Tracking KPI'!A43,EBITDA!$A$5:$A$100,0),MATCH('Tracking KPI'!$C$4,EBITDA!$A$5:$AB$5,0))</f>
        <v>0</v>
      </c>
      <c r="C43" s="182">
        <f>INDEX(EBITDA!$A$5:$AB$100,MATCH('Tracking KPI'!A43,EBITDA!$A$5:$A$100,0),MATCH('Tracking KPI'!$C$3,EBITDA!$A$5:$AB$5,0))</f>
        <v>0</v>
      </c>
      <c r="D43" s="182">
        <f>INDEX(EBITDA!$AE$5:$BG$100,MATCH(A43,EBITDA!$AE$5:$AE$100,0),MATCH('Tracking KPI'!$C$3,EBITDA!$AE$5:$BG$5,0))</f>
        <v>7.4999999999999997E-3</v>
      </c>
      <c r="E43" s="182">
        <f>C43-INDEX(EBITDA!$A$5:$AB$100,MATCH('Tracking KPI'!A43,EBITDA!$A$5:$A$100,0),MATCH('Tracking KPI'!$C$4,EBITDA!$A$5:$AB$5,0))</f>
        <v>0</v>
      </c>
      <c r="F43" s="183" t="str">
        <f t="shared" si="0"/>
        <v/>
      </c>
      <c r="G43" s="182">
        <f t="shared" si="4"/>
        <v>-7.4999999999999997E-3</v>
      </c>
      <c r="H43" s="182">
        <f ca="1">EBITDA!P50</f>
        <v>0</v>
      </c>
      <c r="I43" s="182">
        <f ca="1">EBITDA!BF50</f>
        <v>5.5000000000000007E-2</v>
      </c>
      <c r="J43" s="182">
        <f>EBITDA!BG50</f>
        <v>6.5000000000000002E-2</v>
      </c>
      <c r="K43" s="289">
        <f t="shared" ca="1" si="6"/>
        <v>-5.5000000000000007E-2</v>
      </c>
      <c r="L43" s="183">
        <f t="shared" ca="1" si="5"/>
        <v>0</v>
      </c>
      <c r="M43" s="80"/>
    </row>
    <row r="44" spans="1:13" ht="16" outlineLevel="1">
      <c r="A44" s="186" t="s">
        <v>119</v>
      </c>
      <c r="B44" s="289">
        <f>INDEX(EBITDA!$A$5:$AB$100,MATCH('Tracking KPI'!A44,EBITDA!$A$5:$A$100,0),MATCH('Tracking KPI'!$C$4,EBITDA!$A$5:$AB$5,0))</f>
        <v>0</v>
      </c>
      <c r="C44" s="182">
        <f>INDEX(EBITDA!$A$5:$AB$100,MATCH('Tracking KPI'!A44,EBITDA!$A$5:$A$100,0),MATCH('Tracking KPI'!$C$3,EBITDA!$A$5:$AB$5,0))</f>
        <v>0</v>
      </c>
      <c r="D44" s="182">
        <f>INDEX(EBITDA!$AE$5:$BG$100,MATCH(A44,EBITDA!$AE$5:$AE$100,0),MATCH('Tracking KPI'!$C$3,EBITDA!$AE$5:$BG$5,0))</f>
        <v>0.1305</v>
      </c>
      <c r="E44" s="182">
        <f>C44-INDEX(EBITDA!$A$5:$AB$100,MATCH('Tracking KPI'!A44,EBITDA!$A$5:$A$100,0),MATCH('Tracking KPI'!$C$4,EBITDA!$A$5:$AB$5,0))</f>
        <v>0</v>
      </c>
      <c r="F44" s="183" t="str">
        <f t="shared" si="0"/>
        <v/>
      </c>
      <c r="G44" s="182">
        <f t="shared" si="4"/>
        <v>-0.1305</v>
      </c>
      <c r="H44" s="182">
        <f ca="1">EBITDA!P51</f>
        <v>0</v>
      </c>
      <c r="I44" s="182">
        <f ca="1">EBITDA!BF51</f>
        <v>1.2209999999999999</v>
      </c>
      <c r="J44" s="182">
        <f>EBITDA!BG51</f>
        <v>1.3709999999999998</v>
      </c>
      <c r="K44" s="289">
        <f t="shared" ca="1" si="6"/>
        <v>-1.2209999999999999</v>
      </c>
      <c r="L44" s="183">
        <f t="shared" ca="1" si="5"/>
        <v>0</v>
      </c>
      <c r="M44" s="80"/>
    </row>
    <row r="45" spans="1:13" ht="16" outlineLevel="1">
      <c r="A45" s="186" t="s">
        <v>120</v>
      </c>
      <c r="B45" s="289">
        <f>INDEX(EBITDA!$A$5:$AB$100,MATCH('Tracking KPI'!A45,EBITDA!$A$5:$A$100,0),MATCH('Tracking KPI'!$C$4,EBITDA!$A$5:$AB$5,0))</f>
        <v>0</v>
      </c>
      <c r="C45" s="182">
        <f>INDEX(EBITDA!$A$5:$AB$100,MATCH('Tracking KPI'!A45,EBITDA!$A$5:$A$100,0),MATCH('Tracking KPI'!$C$3,EBITDA!$A$5:$AB$5,0))</f>
        <v>0</v>
      </c>
      <c r="D45" s="182">
        <f>INDEX(EBITDA!$AE$5:$BG$100,MATCH(A45,EBITDA!$AE$5:$AE$100,0),MATCH('Tracking KPI'!$C$3,EBITDA!$AE$5:$BG$5,0))</f>
        <v>0</v>
      </c>
      <c r="E45" s="182">
        <f>C45-INDEX(EBITDA!$A$5:$AB$100,MATCH('Tracking KPI'!A45,EBITDA!$A$5:$A$100,0),MATCH('Tracking KPI'!$C$4,EBITDA!$A$5:$AB$5,0))</f>
        <v>0</v>
      </c>
      <c r="F45" s="183" t="str">
        <f t="shared" si="0"/>
        <v/>
      </c>
      <c r="G45" s="182">
        <f t="shared" si="4"/>
        <v>0</v>
      </c>
      <c r="H45" s="182">
        <f ca="1">EBITDA!P52</f>
        <v>0</v>
      </c>
      <c r="I45" s="182">
        <f ca="1">EBITDA!BF52</f>
        <v>0</v>
      </c>
      <c r="J45" s="182">
        <f>EBITDA!BG52</f>
        <v>0</v>
      </c>
      <c r="K45" s="289">
        <f t="shared" ca="1" si="6"/>
        <v>0</v>
      </c>
      <c r="L45" s="183" t="str">
        <f t="shared" ca="1" si="5"/>
        <v/>
      </c>
      <c r="M45" s="80"/>
    </row>
    <row r="46" spans="1:13" ht="16" outlineLevel="1">
      <c r="A46" s="186" t="s">
        <v>121</v>
      </c>
      <c r="B46" s="289">
        <f>INDEX(EBITDA!$A$5:$AB$100,MATCH('Tracking KPI'!A46,EBITDA!$A$5:$A$100,0),MATCH('Tracking KPI'!$C$4,EBITDA!$A$5:$AB$5,0))</f>
        <v>0</v>
      </c>
      <c r="C46" s="182">
        <f>INDEX(EBITDA!$A$5:$AB$100,MATCH('Tracking KPI'!A46,EBITDA!$A$5:$A$100,0),MATCH('Tracking KPI'!$C$3,EBITDA!$A$5:$AB$5,0))</f>
        <v>0</v>
      </c>
      <c r="D46" s="182">
        <f>INDEX(EBITDA!$AE$5:$BG$100,MATCH(A46,EBITDA!$AE$5:$AE$100,0),MATCH('Tracking KPI'!$C$3,EBITDA!$AE$5:$BG$5,0))</f>
        <v>0</v>
      </c>
      <c r="E46" s="182">
        <f>C46-INDEX(EBITDA!$A$5:$AB$100,MATCH('Tracking KPI'!A46,EBITDA!$A$5:$A$100,0),MATCH('Tracking KPI'!$C$4,EBITDA!$A$5:$AB$5,0))</f>
        <v>0</v>
      </c>
      <c r="F46" s="183" t="str">
        <f t="shared" si="0"/>
        <v/>
      </c>
      <c r="G46" s="182">
        <f t="shared" si="4"/>
        <v>0</v>
      </c>
      <c r="H46" s="182">
        <f ca="1">EBITDA!P53</f>
        <v>0</v>
      </c>
      <c r="I46" s="182">
        <f ca="1">EBITDA!BF53</f>
        <v>0</v>
      </c>
      <c r="J46" s="182">
        <f>EBITDA!BG53</f>
        <v>0</v>
      </c>
      <c r="K46" s="289">
        <f t="shared" ca="1" si="6"/>
        <v>0</v>
      </c>
      <c r="L46" s="183" t="str">
        <f t="shared" ca="1" si="5"/>
        <v/>
      </c>
      <c r="M46" s="80"/>
    </row>
    <row r="47" spans="1:13" ht="16" outlineLevel="1">
      <c r="A47" s="186" t="s">
        <v>122</v>
      </c>
      <c r="B47" s="289">
        <f>INDEX(EBITDA!$A$5:$AB$100,MATCH('Tracking KPI'!A47,EBITDA!$A$5:$A$100,0),MATCH('Tracking KPI'!$C$4,EBITDA!$A$5:$AB$5,0))</f>
        <v>0</v>
      </c>
      <c r="C47" s="182">
        <f>INDEX(EBITDA!$A$5:$AB$100,MATCH('Tracking KPI'!A47,EBITDA!$A$5:$A$100,0),MATCH('Tracking KPI'!$C$3,EBITDA!$A$5:$AB$5,0))</f>
        <v>0</v>
      </c>
      <c r="D47" s="182">
        <f>INDEX(EBITDA!$AE$5:$BG$100,MATCH(A47,EBITDA!$AE$5:$AE$100,0),MATCH('Tracking KPI'!$C$3,EBITDA!$AE$5:$BG$5,0))</f>
        <v>0.6</v>
      </c>
      <c r="E47" s="182">
        <f>C47-INDEX(EBITDA!$A$5:$AB$100,MATCH('Tracking KPI'!A47,EBITDA!$A$5:$A$100,0),MATCH('Tracking KPI'!$C$4,EBITDA!$A$5:$AB$5,0))</f>
        <v>0</v>
      </c>
      <c r="F47" s="183" t="str">
        <f t="shared" si="0"/>
        <v/>
      </c>
      <c r="G47" s="182">
        <f t="shared" si="4"/>
        <v>-0.6</v>
      </c>
      <c r="H47" s="182">
        <f ca="1">EBITDA!P54</f>
        <v>0</v>
      </c>
      <c r="I47" s="182">
        <f ca="1">EBITDA!BF54</f>
        <v>6.5999999999999988</v>
      </c>
      <c r="J47" s="182">
        <f>EBITDA!BG54</f>
        <v>7.1999999999999984</v>
      </c>
      <c r="K47" s="289">
        <f t="shared" ca="1" si="6"/>
        <v>-6.5999999999999988</v>
      </c>
      <c r="L47" s="183">
        <f t="shared" ca="1" si="5"/>
        <v>0</v>
      </c>
      <c r="M47" s="80"/>
    </row>
    <row r="48" spans="1:13" ht="16" outlineLevel="1">
      <c r="A48" s="186" t="s">
        <v>123</v>
      </c>
      <c r="B48" s="289">
        <f>INDEX(EBITDA!$A$5:$AB$100,MATCH('Tracking KPI'!A48,EBITDA!$A$5:$A$100,0),MATCH('Tracking KPI'!$C$4,EBITDA!$A$5:$AB$5,0))</f>
        <v>8.574448966666659E-2</v>
      </c>
      <c r="C48" s="182">
        <f>INDEX(EBITDA!$A$5:$AB$100,MATCH('Tracking KPI'!A48,EBITDA!$A$5:$A$100,0),MATCH('Tracking KPI'!$C$3,EBITDA!$A$5:$AB$5,0))</f>
        <v>1.0589909999998781E-3</v>
      </c>
      <c r="D48" s="182">
        <f>INDEX(EBITDA!$AE$5:$BG$100,MATCH(A48,EBITDA!$AE$5:$AE$100,0),MATCH('Tracking KPI'!$C$3,EBITDA!$AE$5:$BG$5,0))</f>
        <v>1.3629321668543541</v>
      </c>
      <c r="E48" s="182">
        <f>C48-INDEX(EBITDA!$A$5:$AB$100,MATCH('Tracking KPI'!A48,EBITDA!$A$5:$A$100,0),MATCH('Tracking KPI'!$C$4,EBITDA!$A$5:$AB$5,0))</f>
        <v>-8.4685498666666706E-2</v>
      </c>
      <c r="F48" s="183">
        <f t="shared" si="0"/>
        <v>1.2350542922544956E-2</v>
      </c>
      <c r="G48" s="182">
        <f t="shared" si="4"/>
        <v>-1.3618731758543543</v>
      </c>
      <c r="H48" s="182">
        <f ca="1">EBITDA!P55</f>
        <v>2.0175434133333323</v>
      </c>
      <c r="I48" s="182">
        <f ca="1">EBITDA!BF55</f>
        <v>13.816698759384382</v>
      </c>
      <c r="J48" s="182">
        <f>EBITDA!BG55</f>
        <v>15.34862846923628</v>
      </c>
      <c r="K48" s="289">
        <f t="shared" ca="1" si="6"/>
        <v>-11.79915534605105</v>
      </c>
      <c r="L48" s="183">
        <f t="shared" ca="1" si="5"/>
        <v>0.13144779791739408</v>
      </c>
      <c r="M48" s="80"/>
    </row>
    <row r="49" spans="1:13" ht="16" outlineLevel="1">
      <c r="A49" s="186" t="s">
        <v>125</v>
      </c>
      <c r="B49" s="289" t="e">
        <f>INDEX(EBITDA!$A$5:$AB$100,MATCH('Tracking KPI'!A49,EBITDA!$A$5:$A$100,0),MATCH('Tracking KPI'!$C$4,EBITDA!$A$5:$AB$5,0))</f>
        <v>#N/A</v>
      </c>
      <c r="C49" s="182" t="e">
        <f>INDEX(EBITDA!$A$5:$AB$100,MATCH('Tracking KPI'!A49,EBITDA!$A$5:$A$100,0),MATCH('Tracking KPI'!$C$3,EBITDA!$A$5:$AB$5,0))</f>
        <v>#N/A</v>
      </c>
      <c r="D49" s="182">
        <f>INDEX(EBITDA!$AE$5:$BG$100,MATCH(A49,EBITDA!$AE$5:$AE$100,0),MATCH('Tracking KPI'!$C$3,EBITDA!$AE$5:$BG$5,0))</f>
        <v>0.458243243243243</v>
      </c>
      <c r="E49" s="182" t="e">
        <f>C49-INDEX(EBITDA!$A$5:$AB$100,MATCH('Tracking KPI'!A49,EBITDA!$A$5:$A$100,0),MATCH('Tracking KPI'!$C$4,EBITDA!$A$5:$AB$5,0))</f>
        <v>#N/A</v>
      </c>
      <c r="F49" s="183" t="str">
        <f t="shared" si="0"/>
        <v/>
      </c>
      <c r="G49" s="182" t="e">
        <f t="shared" si="4"/>
        <v>#N/A</v>
      </c>
      <c r="H49" s="182">
        <f ca="1">EBITDA!P57</f>
        <v>0</v>
      </c>
      <c r="I49" s="182">
        <f ca="1">EBITDA!BF57</f>
        <v>4.1921621621621608</v>
      </c>
      <c r="J49" s="182">
        <f>EBITDA!BG57</f>
        <v>4.7056756756756748</v>
      </c>
      <c r="K49" s="289">
        <f t="shared" ca="1" si="6"/>
        <v>-4.1921621621621608</v>
      </c>
      <c r="L49" s="183">
        <f t="shared" ca="1" si="5"/>
        <v>0</v>
      </c>
      <c r="M49" s="80"/>
    </row>
    <row r="50" spans="1:13" ht="16" outlineLevel="1">
      <c r="A50" s="186" t="s">
        <v>127</v>
      </c>
      <c r="B50" s="289" t="e">
        <f>INDEX(EBITDA!$A$5:$AB$100,MATCH('Tracking KPI'!A50,EBITDA!$A$5:$A$100,0),MATCH('Tracking KPI'!$C$4,EBITDA!$A$5:$AB$5,0))</f>
        <v>#N/A</v>
      </c>
      <c r="C50" s="182" t="e">
        <f>INDEX(EBITDA!$A$5:$AB$100,MATCH('Tracking KPI'!A50,EBITDA!$A$5:$A$100,0),MATCH('Tracking KPI'!$C$3,EBITDA!$A$5:$AB$5,0))</f>
        <v>#N/A</v>
      </c>
      <c r="D50" s="182">
        <f>INDEX(EBITDA!$AE$5:$BG$100,MATCH(A50,EBITDA!$AE$5:$AE$100,0),MATCH('Tracking KPI'!$C$3,EBITDA!$AE$5:$BG$5,0))</f>
        <v>0.65468892361111097</v>
      </c>
      <c r="E50" s="182" t="e">
        <f>C50-INDEX(EBITDA!$A$5:$AB$100,MATCH('Tracking KPI'!A50,EBITDA!$A$5:$A$100,0),MATCH('Tracking KPI'!$C$4,EBITDA!$A$5:$AB$5,0))</f>
        <v>#N/A</v>
      </c>
      <c r="F50" s="183" t="str">
        <f t="shared" si="0"/>
        <v/>
      </c>
      <c r="G50" s="182" t="e">
        <f t="shared" si="4"/>
        <v>#N/A</v>
      </c>
      <c r="H50" s="182">
        <f ca="1">EBITDA!P58</f>
        <v>0</v>
      </c>
      <c r="I50" s="182">
        <f ca="1">EBITDA!BF58</f>
        <v>7.2995365972222217</v>
      </c>
      <c r="J50" s="182">
        <f>EBITDA!BG58</f>
        <v>8.0452255208333323</v>
      </c>
      <c r="K50" s="289">
        <f t="shared" ca="1" si="6"/>
        <v>-7.2995365972222217</v>
      </c>
      <c r="L50" s="183">
        <f t="shared" ca="1" si="5"/>
        <v>0</v>
      </c>
      <c r="M50" s="80"/>
    </row>
    <row r="51" spans="1:13" ht="16">
      <c r="A51" s="185" t="s">
        <v>128</v>
      </c>
      <c r="B51" s="289">
        <f>INDEX(EBITDA!$A$5:$AB$100,MATCH('Tracking KPI'!A51,EBITDA!$A$5:$A$100,0),MATCH('Tracking KPI'!$C$4,EBITDA!$A$5:$AB$5,0))</f>
        <v>31.812427089728104</v>
      </c>
      <c r="C51" s="182">
        <f>INDEX(EBITDA!$A$5:$AB$100,MATCH('Tracking KPI'!A51,EBITDA!$A$5:$A$100,0),MATCH('Tracking KPI'!$C$3,EBITDA!$A$5:$AB$5,0))</f>
        <v>42.918019241999993</v>
      </c>
      <c r="D51" s="182">
        <f>INDEX(EBITDA!$AE$5:$BG$100,MATCH(A51,EBITDA!$AE$5:$AE$100,0),MATCH('Tracking KPI'!$C$3,EBITDA!$AE$5:$BG$5,0))</f>
        <v>30.490428685455367</v>
      </c>
      <c r="E51" s="182">
        <f>C51-INDEX(EBITDA!$A$5:$AB$100,MATCH('Tracking KPI'!A51,EBITDA!$A$5:$A$100,0),MATCH('Tracking KPI'!$C$4,EBITDA!$A$5:$AB$5,0))</f>
        <v>11.105592152271889</v>
      </c>
      <c r="F51" s="183">
        <f t="shared" si="0"/>
        <v>1.3490960347334757</v>
      </c>
      <c r="G51" s="182">
        <f t="shared" si="4"/>
        <v>12.427590556544626</v>
      </c>
      <c r="H51" s="182">
        <f ca="1">EBITDA!P59</f>
        <v>224.21590612705157</v>
      </c>
      <c r="I51" s="182">
        <f ca="1">EBITDA!BF59</f>
        <v>332.60764615984419</v>
      </c>
      <c r="J51" s="182">
        <f>EBITDA!BG59</f>
        <v>369.50566686818706</v>
      </c>
      <c r="K51" s="289">
        <f t="shared" ca="1" si="6"/>
        <v>-108.39174003279263</v>
      </c>
      <c r="L51" s="183">
        <f t="shared" ca="1" si="5"/>
        <v>0.60679964133550246</v>
      </c>
      <c r="M51" s="80"/>
    </row>
    <row r="52" spans="1:13" ht="16" outlineLevel="1">
      <c r="A52" s="186" t="s">
        <v>129</v>
      </c>
      <c r="B52" s="289">
        <f>INDEX(EBITDA!$A$5:$AB$100,MATCH('Tracking KPI'!A52,EBITDA!$A$5:$A$100,0),MATCH('Tracking KPI'!$C$4,EBITDA!$A$5:$AB$5,0))</f>
        <v>0</v>
      </c>
      <c r="C52" s="182">
        <f>INDEX(EBITDA!$A$5:$AB$100,MATCH('Tracking KPI'!A52,EBITDA!$A$5:$A$100,0),MATCH('Tracking KPI'!$C$3,EBITDA!$A$5:$AB$5,0))</f>
        <v>0</v>
      </c>
      <c r="D52" s="182">
        <f>INDEX(EBITDA!$AE$5:$BG$100,MATCH(A52,EBITDA!$AE$5:$AE$100,0),MATCH('Tracking KPI'!$C$3,EBITDA!$AE$5:$BG$5,0))</f>
        <v>3.30235416666667</v>
      </c>
      <c r="E52" s="182">
        <f>C52-INDEX(EBITDA!$A$5:$AB$100,MATCH('Tracking KPI'!A52,EBITDA!$A$5:$A$100,0),MATCH('Tracking KPI'!$C$4,EBITDA!$A$5:$AB$5,0))</f>
        <v>0</v>
      </c>
      <c r="F52" s="183" t="str">
        <f t="shared" si="0"/>
        <v/>
      </c>
      <c r="G52" s="182">
        <f t="shared" si="4"/>
        <v>-3.30235416666667</v>
      </c>
      <c r="H52" s="182">
        <f ca="1">EBITDA!P60</f>
        <v>3.0191535199999997</v>
      </c>
      <c r="I52" s="182">
        <f ca="1">EBITDA!BF60</f>
        <v>26.759812500000013</v>
      </c>
      <c r="J52" s="182">
        <f>EBITDA!BG60</f>
        <v>31.062583333333343</v>
      </c>
      <c r="K52" s="289">
        <f t="shared" ca="1" si="6"/>
        <v>-23.740658980000013</v>
      </c>
      <c r="L52" s="183">
        <f t="shared" ca="1" si="5"/>
        <v>9.7195828421654099E-2</v>
      </c>
      <c r="M52" s="80"/>
    </row>
    <row r="53" spans="1:13" ht="16" outlineLevel="1">
      <c r="A53" s="186" t="s">
        <v>130</v>
      </c>
      <c r="B53" s="289">
        <f>INDEX(EBITDA!$A$5:$AB$100,MATCH('Tracking KPI'!A53,EBITDA!$A$5:$A$100,0),MATCH('Tracking KPI'!$C$4,EBITDA!$A$5:$AB$5,0))</f>
        <v>0</v>
      </c>
      <c r="C53" s="182">
        <f>INDEX(EBITDA!$A$5:$AB$100,MATCH('Tracking KPI'!A53,EBITDA!$A$5:$A$100,0),MATCH('Tracking KPI'!$C$3,EBITDA!$A$5:$AB$5,0))</f>
        <v>0</v>
      </c>
      <c r="D53" s="182">
        <f>INDEX(EBITDA!$AE$5:$BG$100,MATCH(A53,EBITDA!$AE$5:$AE$100,0),MATCH('Tracking KPI'!$C$3,EBITDA!$AE$5:$BG$5,0))</f>
        <v>19.619629826190799</v>
      </c>
      <c r="E53" s="182">
        <f>C53-INDEX(EBITDA!$A$5:$AB$100,MATCH('Tracking KPI'!A53,EBITDA!$A$5:$A$100,0),MATCH('Tracking KPI'!$C$4,EBITDA!$A$5:$AB$5,0))</f>
        <v>0</v>
      </c>
      <c r="F53" s="183" t="str">
        <f t="shared" si="0"/>
        <v/>
      </c>
      <c r="G53" s="182">
        <f t="shared" si="4"/>
        <v>-19.619629826190799</v>
      </c>
      <c r="H53" s="182">
        <f ca="1">EBITDA!P61</f>
        <v>26.693456793472979</v>
      </c>
      <c r="I53" s="182">
        <f ca="1">EBITDA!BF61</f>
        <v>230.48791051730606</v>
      </c>
      <c r="J53" s="182">
        <f>EBITDA!BG61</f>
        <v>254.15873896175816</v>
      </c>
      <c r="K53" s="289">
        <f t="shared" ca="1" si="6"/>
        <v>-203.79445372383307</v>
      </c>
      <c r="L53" s="183">
        <f t="shared" ca="1" si="5"/>
        <v>0.1050267124495349</v>
      </c>
      <c r="M53" s="80"/>
    </row>
    <row r="54" spans="1:13" ht="16" outlineLevel="1">
      <c r="A54" s="186" t="s">
        <v>131</v>
      </c>
      <c r="B54" s="289">
        <f>INDEX(EBITDA!$A$5:$AB$100,MATCH('Tracking KPI'!A54,EBITDA!$A$5:$A$100,0),MATCH('Tracking KPI'!$C$4,EBITDA!$A$5:$AB$5,0))</f>
        <v>0</v>
      </c>
      <c r="C54" s="182">
        <f>INDEX(EBITDA!$A$5:$AB$100,MATCH('Tracking KPI'!A54,EBITDA!$A$5:$A$100,0),MATCH('Tracking KPI'!$C$3,EBITDA!$A$5:$AB$5,0))</f>
        <v>0</v>
      </c>
      <c r="D54" s="182">
        <f>INDEX(EBITDA!$AE$5:$BG$100,MATCH(A54,EBITDA!$AE$5:$AE$100,0),MATCH('Tracking KPI'!$C$3,EBITDA!$AE$5:$BG$5,0))</f>
        <v>6.4144244363249401</v>
      </c>
      <c r="E54" s="182">
        <f>C54-INDEX(EBITDA!$A$5:$AB$100,MATCH('Tracking KPI'!A54,EBITDA!$A$5:$A$100,0),MATCH('Tracking KPI'!$C$4,EBITDA!$A$5:$AB$5,0))</f>
        <v>0</v>
      </c>
      <c r="F54" s="183" t="str">
        <f t="shared" si="0"/>
        <v/>
      </c>
      <c r="G54" s="182">
        <f t="shared" si="4"/>
        <v>-6.4144244363249401</v>
      </c>
      <c r="H54" s="182">
        <f ca="1">EBITDA!P62</f>
        <v>16.185610372985007</v>
      </c>
      <c r="I54" s="182">
        <f ca="1">EBITDA!BF62</f>
        <v>67.642425515406856</v>
      </c>
      <c r="J54" s="182">
        <f>EBITDA!BG62</f>
        <v>74.447764337752488</v>
      </c>
      <c r="K54" s="289">
        <f t="shared" ca="1" si="6"/>
        <v>-51.456815142421846</v>
      </c>
      <c r="L54" s="183">
        <f t="shared" ca="1" si="5"/>
        <v>0.21740895132262927</v>
      </c>
      <c r="M54" s="80"/>
    </row>
    <row r="55" spans="1:13" ht="16" outlineLevel="1">
      <c r="A55" s="186" t="s">
        <v>132</v>
      </c>
      <c r="B55" s="289">
        <f>INDEX(EBITDA!$A$5:$AB$100,MATCH('Tracking KPI'!A55,EBITDA!$A$5:$A$100,0),MATCH('Tracking KPI'!$C$4,EBITDA!$A$5:$AB$5,0))</f>
        <v>0</v>
      </c>
      <c r="C55" s="182">
        <f>INDEX(EBITDA!$A$5:$AB$100,MATCH('Tracking KPI'!A55,EBITDA!$A$5:$A$100,0),MATCH('Tracking KPI'!$C$3,EBITDA!$A$5:$AB$5,0))</f>
        <v>0</v>
      </c>
      <c r="D55" s="182">
        <f>INDEX(EBITDA!$AE$5:$BG$100,MATCH(A55,EBITDA!$AE$5:$AE$100,0),MATCH('Tracking KPI'!$C$3,EBITDA!$AE$5:$BG$5,0))</f>
        <v>1.13487627231822</v>
      </c>
      <c r="E55" s="182">
        <f>C55-INDEX(EBITDA!$A$5:$AB$100,MATCH('Tracking KPI'!A55,EBITDA!$A$5:$A$100,0),MATCH('Tracking KPI'!$C$4,EBITDA!$A$5:$AB$5,0))</f>
        <v>0</v>
      </c>
      <c r="F55" s="183" t="str">
        <f t="shared" si="0"/>
        <v/>
      </c>
      <c r="G55" s="182">
        <f t="shared" si="4"/>
        <v>-1.13487627231822</v>
      </c>
      <c r="H55" s="182">
        <f ca="1">EBITDA!P63</f>
        <v>0</v>
      </c>
      <c r="I55" s="182">
        <f ca="1">EBITDA!BF63</f>
        <v>8.0316887572454405</v>
      </c>
      <c r="J55" s="182">
        <f>EBITDA!BG63</f>
        <v>9.6534335155567703</v>
      </c>
      <c r="K55" s="289">
        <f t="shared" ca="1" si="6"/>
        <v>-8.0316887572454405</v>
      </c>
      <c r="L55" s="183">
        <f t="shared" ca="1" si="5"/>
        <v>0</v>
      </c>
      <c r="M55" s="80"/>
    </row>
    <row r="56" spans="1:13" ht="16" outlineLevel="1">
      <c r="A56" s="186" t="s">
        <v>133</v>
      </c>
      <c r="B56" s="289">
        <f>INDEX(EBITDA!$A$5:$AB$100,MATCH('Tracking KPI'!A56,EBITDA!$A$5:$A$100,0),MATCH('Tracking KPI'!$C$4,EBITDA!$A$5:$AB$5,0))</f>
        <v>0</v>
      </c>
      <c r="C56" s="182">
        <f>INDEX(EBITDA!$A$5:$AB$100,MATCH('Tracking KPI'!A56,EBITDA!$A$5:$A$100,0),MATCH('Tracking KPI'!$C$3,EBITDA!$A$5:$AB$5,0))</f>
        <v>0</v>
      </c>
      <c r="D56" s="182">
        <f>INDEX(EBITDA!$AE$5:$BG$100,MATCH(A56,EBITDA!$AE$5:$AE$100,0),MATCH('Tracking KPI'!$C$3,EBITDA!$AE$5:$BG$5,0))</f>
        <v>-0.21834537278546201</v>
      </c>
      <c r="E56" s="182">
        <f>C56-INDEX(EBITDA!$A$5:$AB$100,MATCH('Tracking KPI'!A56,EBITDA!$A$5:$A$100,0),MATCH('Tracking KPI'!$C$4,EBITDA!$A$5:$AB$5,0))</f>
        <v>0</v>
      </c>
      <c r="F56" s="183" t="str">
        <f t="shared" si="0"/>
        <v/>
      </c>
      <c r="G56" s="182">
        <f t="shared" si="4"/>
        <v>0.21834537278546201</v>
      </c>
      <c r="H56" s="182">
        <f ca="1">EBITDA!P64</f>
        <v>0</v>
      </c>
      <c r="I56" s="182">
        <f ca="1">EBITDA!BF64</f>
        <v>-1.9936298440071603</v>
      </c>
      <c r="J56" s="182">
        <f>EBITDA!BG64</f>
        <v>-2.0780251124961979</v>
      </c>
      <c r="K56" s="289">
        <f t="shared" ca="1" si="6"/>
        <v>1.9936298440071603</v>
      </c>
      <c r="L56" s="183">
        <f t="shared" ca="1" si="5"/>
        <v>0</v>
      </c>
      <c r="M56" s="80"/>
    </row>
    <row r="57" spans="1:13" ht="16" outlineLevel="1">
      <c r="A57" s="186" t="s">
        <v>134</v>
      </c>
      <c r="B57" s="289">
        <f>INDEX(EBITDA!$A$5:$AB$100,MATCH('Tracking KPI'!A57,EBITDA!$A$5:$A$100,0),MATCH('Tracking KPI'!$C$4,EBITDA!$A$5:$AB$5,0))</f>
        <v>0</v>
      </c>
      <c r="C57" s="182">
        <f>INDEX(EBITDA!$A$5:$AB$100,MATCH('Tracking KPI'!A57,EBITDA!$A$5:$A$100,0),MATCH('Tracking KPI'!$C$3,EBITDA!$A$5:$AB$5,0))</f>
        <v>0</v>
      </c>
      <c r="D57" s="182">
        <f>INDEX(EBITDA!$AE$5:$BG$100,MATCH(A57,EBITDA!$AE$5:$AE$100,0),MATCH('Tracking KPI'!$C$3,EBITDA!$AE$5:$BG$5,0))</f>
        <v>0.237489356740197</v>
      </c>
      <c r="E57" s="182">
        <f>C57-INDEX(EBITDA!$A$5:$AB$100,MATCH('Tracking KPI'!A57,EBITDA!$A$5:$A$100,0),MATCH('Tracking KPI'!$C$4,EBITDA!$A$5:$AB$5,0))</f>
        <v>0</v>
      </c>
      <c r="F57" s="183" t="str">
        <f t="shared" si="0"/>
        <v/>
      </c>
      <c r="G57" s="182">
        <f t="shared" si="4"/>
        <v>-0.237489356740197</v>
      </c>
      <c r="H57" s="182">
        <f ca="1">EBITDA!P65</f>
        <v>0</v>
      </c>
      <c r="I57" s="182">
        <f ca="1">EBITDA!BF65</f>
        <v>1.6794387138929523</v>
      </c>
      <c r="J57" s="182">
        <f>EBITDA!BG65</f>
        <v>2.2611718322824741</v>
      </c>
      <c r="K57" s="289">
        <f t="shared" ca="1" si="6"/>
        <v>-1.6794387138929523</v>
      </c>
      <c r="L57" s="183">
        <f t="shared" ca="1" si="5"/>
        <v>0</v>
      </c>
      <c r="M57" s="80"/>
    </row>
    <row r="58" spans="1:13" ht="16">
      <c r="A58" s="187" t="s">
        <v>135</v>
      </c>
      <c r="B58" s="290">
        <f>INDEX(EBITDA!$A$5:$AB$100,MATCH('Tracking KPI'!A58,EBITDA!$A$5:$A$100,0),MATCH('Tracking KPI'!$C$4,EBITDA!$A$5:$AB$5,0))</f>
        <v>187.99017543982745</v>
      </c>
      <c r="C58" s="197">
        <f>INDEX(EBITDA!$A$5:$AB$100,MATCH('Tracking KPI'!A58,EBITDA!$A$5:$A$100,0),MATCH('Tracking KPI'!$C$3,EBITDA!$A$5:$AB$5,0))</f>
        <v>230.02830817716841</v>
      </c>
      <c r="D58" s="197">
        <f>INDEX(EBITDA!$AE$5:$BG$100,MATCH(A58,EBITDA!$AE$5:$AE$100,0),MATCH('Tracking KPI'!$C$3,EBITDA!$AE$5:$BG$5,0))</f>
        <v>179.59332214358543</v>
      </c>
      <c r="E58" s="197">
        <f>C58-INDEX(EBITDA!$A$5:$AB$100,MATCH('Tracking KPI'!A58,EBITDA!$A$5:$A$100,0),MATCH('Tracking KPI'!$C$4,EBITDA!$A$5:$AB$5,0))</f>
        <v>42.038132737340959</v>
      </c>
      <c r="F58" s="198">
        <f t="shared" si="0"/>
        <v>1.2236187749651666</v>
      </c>
      <c r="G58" s="197">
        <f t="shared" si="4"/>
        <v>50.434986033582987</v>
      </c>
      <c r="H58" s="197">
        <f ca="1">EBITDA!P66</f>
        <v>1234.1610179289983</v>
      </c>
      <c r="I58" s="290">
        <f ca="1">EBITDA!BF66</f>
        <v>1556.54651665764</v>
      </c>
      <c r="J58" s="290">
        <f>EBITDA!BG66</f>
        <v>1797.3396686325816</v>
      </c>
      <c r="K58" s="290">
        <f t="shared" ca="1" si="6"/>
        <v>-322.38549872864178</v>
      </c>
      <c r="L58" s="198">
        <f t="shared" ca="1" si="5"/>
        <v>0.686659867062273</v>
      </c>
      <c r="M58" s="80"/>
    </row>
    <row r="59" spans="1:13" ht="16">
      <c r="A59" s="185" t="s">
        <v>136</v>
      </c>
      <c r="B59" s="289">
        <f>INDEX(EBITDA!$A$5:$AB$100,MATCH('Tracking KPI'!A59,EBITDA!$A$5:$A$100,0),MATCH('Tracking KPI'!$C$4,EBITDA!$A$5:$AB$5,0))</f>
        <v>104.307</v>
      </c>
      <c r="C59" s="182">
        <f>INDEX(EBITDA!$A$5:$AB$100,MATCH('Tracking KPI'!A59,EBITDA!$A$5:$A$100,0),MATCH('Tracking KPI'!$C$3,EBITDA!$A$5:$AB$5,0))</f>
        <v>111.893</v>
      </c>
      <c r="D59" s="182">
        <f>INDEX(EBITDA!$AE$5:$BG$100,MATCH(A59,EBITDA!$AE$5:$AE$100,0),MATCH('Tracking KPI'!$C$3,EBITDA!$AE$5:$BG$5,0))</f>
        <v>112.63759927348228</v>
      </c>
      <c r="E59" s="182">
        <f>C59-INDEX(EBITDA!$A$5:$AB$100,MATCH('Tracking KPI'!A59,EBITDA!$A$5:$A$100,0),MATCH('Tracking KPI'!$C$4,EBITDA!$A$5:$AB$5,0))</f>
        <v>7.5859999999999985</v>
      </c>
      <c r="F59" s="183">
        <f t="shared" si="0"/>
        <v>1.0727276213485193</v>
      </c>
      <c r="G59" s="182">
        <f t="shared" si="4"/>
        <v>-0.7445992734822795</v>
      </c>
      <c r="H59" s="182">
        <f ca="1">EBITDA!P67</f>
        <v>728.78854409300004</v>
      </c>
      <c r="I59" s="182">
        <f ca="1">EBITDA!BF67</f>
        <v>1028.4613830653159</v>
      </c>
      <c r="J59" s="182">
        <f>EBITDA!BG67</f>
        <v>1155.3281797560062</v>
      </c>
      <c r="K59" s="289">
        <f t="shared" ca="1" si="6"/>
        <v>-299.67283897231584</v>
      </c>
      <c r="L59" s="183">
        <f t="shared" ca="1" si="5"/>
        <v>0.63080651615968797</v>
      </c>
      <c r="M59" s="80"/>
    </row>
    <row r="60" spans="1:13" ht="16" outlineLevel="1">
      <c r="A60" s="186" t="s">
        <v>137</v>
      </c>
      <c r="B60" s="289">
        <f>INDEX(EBITDA!$A$5:$AB$100,MATCH('Tracking KPI'!A60,EBITDA!$A$5:$A$100,0),MATCH('Tracking KPI'!$C$4,EBITDA!$A$5:$AB$5,0))</f>
        <v>0</v>
      </c>
      <c r="C60" s="182">
        <f>INDEX(EBITDA!$A$5:$AB$100,MATCH('Tracking KPI'!A60,EBITDA!$A$5:$A$100,0),MATCH('Tracking KPI'!$C$3,EBITDA!$A$5:$AB$5,0))</f>
        <v>0</v>
      </c>
      <c r="D60" s="182">
        <f>INDEX(EBITDA!$AE$5:$BG$100,MATCH(A60,EBITDA!$AE$5:$AE$100,0),MATCH('Tracking KPI'!$C$3,EBITDA!$AE$5:$BG$5,0))</f>
        <v>79.367474514574397</v>
      </c>
      <c r="E60" s="182">
        <f>C60-INDEX(EBITDA!$A$5:$AB$100,MATCH('Tracking KPI'!A60,EBITDA!$A$5:$A$100,0),MATCH('Tracking KPI'!$C$4,EBITDA!$A$5:$AB$5,0))</f>
        <v>0</v>
      </c>
      <c r="F60" s="183" t="str">
        <f t="shared" si="0"/>
        <v/>
      </c>
      <c r="G60" s="182">
        <f t="shared" si="4"/>
        <v>-79.367474514574397</v>
      </c>
      <c r="H60" s="182">
        <f ca="1">EBITDA!P68</f>
        <v>138.012199463</v>
      </c>
      <c r="I60" s="182">
        <f ca="1">EBITDA!BF68</f>
        <v>681.59546129289197</v>
      </c>
      <c r="J60" s="182">
        <f>EBITDA!BG68</f>
        <v>770.4271108016211</v>
      </c>
      <c r="K60" s="289">
        <f t="shared" ca="1" si="6"/>
        <v>-543.58326182989197</v>
      </c>
      <c r="L60" s="183">
        <f t="shared" ca="1" si="5"/>
        <v>0.17913725714999801</v>
      </c>
      <c r="M60" s="80"/>
    </row>
    <row r="61" spans="1:13" ht="16" outlineLevel="1">
      <c r="A61" s="186" t="s">
        <v>138</v>
      </c>
      <c r="B61" s="289">
        <f>INDEX(EBITDA!$A$5:$AB$100,MATCH('Tracking KPI'!A61,EBITDA!$A$5:$A$100,0),MATCH('Tracking KPI'!$C$4,EBITDA!$A$5:$AB$5,0))</f>
        <v>0</v>
      </c>
      <c r="C61" s="182">
        <f>INDEX(EBITDA!$A$5:$AB$100,MATCH('Tracking KPI'!A61,EBITDA!$A$5:$A$100,0),MATCH('Tracking KPI'!$C$3,EBITDA!$A$5:$AB$5,0))</f>
        <v>0</v>
      </c>
      <c r="D61" s="182">
        <f>INDEX(EBITDA!$AE$5:$BG$100,MATCH(A61,EBITDA!$AE$5:$AE$100,0),MATCH('Tracking KPI'!$C$3,EBITDA!$AE$5:$BG$5,0))</f>
        <v>6.6472031149061701</v>
      </c>
      <c r="E61" s="182">
        <f>C61-INDEX(EBITDA!$A$5:$AB$100,MATCH('Tracking KPI'!A61,EBITDA!$A$5:$A$100,0),MATCH('Tracking KPI'!$C$4,EBITDA!$A$5:$AB$5,0))</f>
        <v>0</v>
      </c>
      <c r="F61" s="183" t="str">
        <f t="shared" si="0"/>
        <v/>
      </c>
      <c r="G61" s="182">
        <f t="shared" si="4"/>
        <v>-6.6472031149061701</v>
      </c>
      <c r="H61" s="182">
        <f ca="1">EBITDA!P69</f>
        <v>19.584431827</v>
      </c>
      <c r="I61" s="182">
        <f ca="1">EBITDA!BF69</f>
        <v>72.101631407048714</v>
      </c>
      <c r="J61" s="182">
        <f>EBITDA!BG69</f>
        <v>79.563446043135201</v>
      </c>
      <c r="K61" s="289">
        <f t="shared" ca="1" si="6"/>
        <v>-52.517199580048711</v>
      </c>
      <c r="L61" s="183">
        <f t="shared" ca="1" si="5"/>
        <v>0.24614861222052059</v>
      </c>
      <c r="M61" s="80"/>
    </row>
    <row r="62" spans="1:13" ht="16" outlineLevel="1">
      <c r="A62" s="186" t="s">
        <v>139</v>
      </c>
      <c r="B62" s="289">
        <f>INDEX(EBITDA!$A$5:$AB$100,MATCH('Tracking KPI'!A62,EBITDA!$A$5:$A$100,0),MATCH('Tracking KPI'!$C$4,EBITDA!$A$5:$AB$5,0))</f>
        <v>0</v>
      </c>
      <c r="C62" s="182">
        <f>INDEX(EBITDA!$A$5:$AB$100,MATCH('Tracking KPI'!A62,EBITDA!$A$5:$A$100,0),MATCH('Tracking KPI'!$C$3,EBITDA!$A$5:$AB$5,0))</f>
        <v>0</v>
      </c>
      <c r="D62" s="182">
        <f>INDEX(EBITDA!$AE$5:$BG$100,MATCH(A62,EBITDA!$AE$5:$AE$100,0),MATCH('Tracking KPI'!$C$3,EBITDA!$AE$5:$BG$5,0))</f>
        <v>7.7567031619352402</v>
      </c>
      <c r="E62" s="182">
        <f>C62-INDEX(EBITDA!$A$5:$AB$100,MATCH('Tracking KPI'!A62,EBITDA!$A$5:$A$100,0),MATCH('Tracking KPI'!$C$4,EBITDA!$A$5:$AB$5,0))</f>
        <v>0</v>
      </c>
      <c r="F62" s="183" t="str">
        <f t="shared" si="0"/>
        <v/>
      </c>
      <c r="G62" s="182">
        <f t="shared" si="4"/>
        <v>-7.7567031619352402</v>
      </c>
      <c r="H62" s="182">
        <f ca="1">EBITDA!P70</f>
        <v>17.426428164000001</v>
      </c>
      <c r="I62" s="182">
        <f ca="1">EBITDA!BF70</f>
        <v>72.052670347846799</v>
      </c>
      <c r="J62" s="182">
        <f>EBITDA!BG70</f>
        <v>80.887938852771867</v>
      </c>
      <c r="K62" s="289">
        <f t="shared" ca="1" si="6"/>
        <v>-54.626242183846799</v>
      </c>
      <c r="L62" s="183">
        <f t="shared" ca="1" si="5"/>
        <v>0.21543914223996613</v>
      </c>
      <c r="M62" s="80"/>
    </row>
    <row r="63" spans="1:13" ht="16" outlineLevel="1">
      <c r="A63" s="186" t="s">
        <v>140</v>
      </c>
      <c r="B63" s="289">
        <f>INDEX(EBITDA!$A$5:$AB$100,MATCH('Tracking KPI'!A63,EBITDA!$A$5:$A$100,0),MATCH('Tracking KPI'!$C$4,EBITDA!$A$5:$AB$5,0))</f>
        <v>0</v>
      </c>
      <c r="C63" s="182">
        <f>INDEX(EBITDA!$A$5:$AB$100,MATCH('Tracking KPI'!A63,EBITDA!$A$5:$A$100,0),MATCH('Tracking KPI'!$C$3,EBITDA!$A$5:$AB$5,0))</f>
        <v>0</v>
      </c>
      <c r="D63" s="182">
        <f>INDEX(EBITDA!$AE$5:$BG$100,MATCH(A63,EBITDA!$AE$5:$AE$100,0),MATCH('Tracking KPI'!$C$3,EBITDA!$AE$5:$BG$5,0))</f>
        <v>0.32535606567709902</v>
      </c>
      <c r="E63" s="182">
        <f>C63-INDEX(EBITDA!$A$5:$AB$100,MATCH('Tracking KPI'!A63,EBITDA!$A$5:$A$100,0),MATCH('Tracking KPI'!$C$4,EBITDA!$A$5:$AB$5,0))</f>
        <v>0</v>
      </c>
      <c r="F63" s="183" t="str">
        <f t="shared" si="0"/>
        <v/>
      </c>
      <c r="G63" s="182">
        <f t="shared" si="4"/>
        <v>-0.32535606567709902</v>
      </c>
      <c r="H63" s="182">
        <f ca="1">EBITDA!P71</f>
        <v>0</v>
      </c>
      <c r="I63" s="182">
        <f ca="1">EBITDA!BF71</f>
        <v>2.1984405572674399</v>
      </c>
      <c r="J63" s="182">
        <f>EBITDA!BG71</f>
        <v>2.9196615492129991</v>
      </c>
      <c r="K63" s="289">
        <f t="shared" ca="1" si="6"/>
        <v>-2.1984405572674399</v>
      </c>
      <c r="L63" s="183">
        <f t="shared" ca="1" si="5"/>
        <v>0</v>
      </c>
      <c r="M63" s="80"/>
    </row>
    <row r="64" spans="1:13" ht="16" outlineLevel="1">
      <c r="A64" s="186" t="s">
        <v>141</v>
      </c>
      <c r="B64" s="289">
        <f>INDEX(EBITDA!$A$5:$AB$100,MATCH('Tracking KPI'!A64,EBITDA!$A$5:$A$100,0),MATCH('Tracking KPI'!$C$4,EBITDA!$A$5:$AB$5,0))</f>
        <v>0</v>
      </c>
      <c r="C64" s="182">
        <f>INDEX(EBITDA!$A$5:$AB$100,MATCH('Tracking KPI'!A64,EBITDA!$A$5:$A$100,0),MATCH('Tracking KPI'!$C$3,EBITDA!$A$5:$AB$5,0))</f>
        <v>0</v>
      </c>
      <c r="D64" s="182">
        <f>INDEX(EBITDA!$AE$5:$BG$100,MATCH(A64,EBITDA!$AE$5:$AE$100,0),MATCH('Tracking KPI'!$C$3,EBITDA!$AE$5:$BG$5,0))</f>
        <v>2.7353014804860698</v>
      </c>
      <c r="E64" s="182">
        <f>C64-INDEX(EBITDA!$A$5:$AB$100,MATCH('Tracking KPI'!A64,EBITDA!$A$5:$A$100,0),MATCH('Tracking KPI'!$C$4,EBITDA!$A$5:$AB$5,0))</f>
        <v>0</v>
      </c>
      <c r="F64" s="183" t="str">
        <f t="shared" si="0"/>
        <v/>
      </c>
      <c r="G64" s="182">
        <f t="shared" si="4"/>
        <v>-2.7353014804860698</v>
      </c>
      <c r="H64" s="182">
        <f ca="1">EBITDA!P72</f>
        <v>3.3892931000000002</v>
      </c>
      <c r="I64" s="182">
        <f ca="1">EBITDA!BF72</f>
        <v>21.212972078325024</v>
      </c>
      <c r="J64" s="182">
        <f>EBITDA!BG72</f>
        <v>24.873425187372845</v>
      </c>
      <c r="K64" s="289">
        <f t="shared" ca="1" si="6"/>
        <v>-17.823678978325024</v>
      </c>
      <c r="L64" s="183">
        <f t="shared" ca="1" si="5"/>
        <v>0.13626161553820085</v>
      </c>
      <c r="M64" s="80"/>
    </row>
    <row r="65" spans="1:13" ht="16" outlineLevel="1">
      <c r="A65" s="186" t="s">
        <v>142</v>
      </c>
      <c r="B65" s="289">
        <f>INDEX(EBITDA!$A$5:$AB$100,MATCH('Tracking KPI'!A65,EBITDA!$A$5:$A$100,0),MATCH('Tracking KPI'!$C$4,EBITDA!$A$5:$AB$5,0))</f>
        <v>0</v>
      </c>
      <c r="C65" s="182">
        <f>INDEX(EBITDA!$A$5:$AB$100,MATCH('Tracking KPI'!A65,EBITDA!$A$5:$A$100,0),MATCH('Tracking KPI'!$C$3,EBITDA!$A$5:$AB$5,0))</f>
        <v>0</v>
      </c>
      <c r="D65" s="182">
        <f>INDEX(EBITDA!$AE$5:$BG$100,MATCH(A65,EBITDA!$AE$5:$AE$100,0),MATCH('Tracking KPI'!$C$3,EBITDA!$AE$5:$BG$5,0))</f>
        <v>15.8055609359033</v>
      </c>
      <c r="E65" s="182">
        <f>C65-INDEX(EBITDA!$A$5:$AB$100,MATCH('Tracking KPI'!A65,EBITDA!$A$5:$A$100,0),MATCH('Tracking KPI'!$C$4,EBITDA!$A$5:$AB$5,0))</f>
        <v>0</v>
      </c>
      <c r="F65" s="183" t="str">
        <f t="shared" si="0"/>
        <v/>
      </c>
      <c r="G65" s="182">
        <f t="shared" si="4"/>
        <v>-15.8055609359033</v>
      </c>
      <c r="H65" s="182">
        <f ca="1">EBITDA!P73</f>
        <v>54.879800152999998</v>
      </c>
      <c r="I65" s="182">
        <f ca="1">EBITDA!BF73</f>
        <v>179.30020738193591</v>
      </c>
      <c r="J65" s="182">
        <f>EBITDA!BG73</f>
        <v>196.65659732189232</v>
      </c>
      <c r="K65" s="289">
        <f t="shared" ca="1" si="6"/>
        <v>-124.42040722893591</v>
      </c>
      <c r="L65" s="183">
        <f t="shared" ca="1" si="5"/>
        <v>0.27906411938558767</v>
      </c>
      <c r="M65" s="80"/>
    </row>
    <row r="66" spans="1:13" ht="16">
      <c r="A66" s="187" t="s">
        <v>143</v>
      </c>
      <c r="B66" s="290">
        <f>INDEX(EBITDA!$A$5:$AB$100,MATCH('Tracking KPI'!A66,EBITDA!$A$5:$A$100,0),MATCH('Tracking KPI'!$C$4,EBITDA!$A$5:$AB$5,0))</f>
        <v>83.683175439827451</v>
      </c>
      <c r="C66" s="197">
        <f>INDEX(EBITDA!$A$5:$AB$100,MATCH('Tracking KPI'!A66,EBITDA!$A$5:$A$100,0),MATCH('Tracking KPI'!$C$3,EBITDA!$A$5:$AB$5,0))</f>
        <v>118.13530817716841</v>
      </c>
      <c r="D66" s="197">
        <f>INDEX(EBITDA!$AE$5:$BG$100,MATCH(A66,EBITDA!$AE$5:$AE$100,0),MATCH('Tracking KPI'!$C$3,EBITDA!$AE$5:$BG$5,0))</f>
        <v>66.955722870103145</v>
      </c>
      <c r="E66" s="197">
        <f>C66-INDEX(EBITDA!$A$5:$AB$100,MATCH('Tracking KPI'!A66,EBITDA!$A$5:$A$100,0),MATCH('Tracking KPI'!$C$4,EBITDA!$A$5:$AB$5,0))</f>
        <v>34.45213273734096</v>
      </c>
      <c r="F66" s="198">
        <f t="shared" si="0"/>
        <v>1.4116972444731597</v>
      </c>
      <c r="G66" s="197">
        <f t="shared" si="4"/>
        <v>51.179585307065267</v>
      </c>
      <c r="H66" s="197">
        <f ca="1">EBITDA!P74</f>
        <v>505.37247383599822</v>
      </c>
      <c r="I66" s="290">
        <f ca="1">EBITDA!BF74</f>
        <v>528.0851335923237</v>
      </c>
      <c r="J66" s="290">
        <f>EBITDA!BG74</f>
        <v>642.01148887657473</v>
      </c>
      <c r="K66" s="290">
        <f t="shared" ca="1" si="6"/>
        <v>-22.712659756325479</v>
      </c>
      <c r="L66" s="198">
        <f t="shared" ca="1" si="5"/>
        <v>0.7871704519187428</v>
      </c>
      <c r="M66" s="80"/>
    </row>
    <row r="67" spans="1:13" ht="16">
      <c r="A67" s="185" t="s">
        <v>145</v>
      </c>
      <c r="B67" s="289">
        <f>INDEX(EBITDA!$A$5:$AB$100,MATCH('Tracking KPI'!A67,EBITDA!$A$5:$A$100,0),MATCH('Tracking KPI'!$C$4,EBITDA!$A$5:$AB$5,0))</f>
        <v>46.984985797666667</v>
      </c>
      <c r="C67" s="182">
        <f>INDEX(EBITDA!$A$5:$AB$100,MATCH('Tracking KPI'!A67,EBITDA!$A$5:$A$100,0),MATCH('Tracking KPI'!$C$3,EBITDA!$A$5:$AB$5,0))</f>
        <v>44.494521184756358</v>
      </c>
      <c r="D67" s="182">
        <f>INDEX(EBITDA!$AE$5:$BG$100,MATCH(A67,EBITDA!$AE$5:$AE$100,0),MATCH('Tracking KPI'!$C$3,EBITDA!$AE$5:$BG$5,0))</f>
        <v>45.575628718312359</v>
      </c>
      <c r="E67" s="182">
        <f>C67-INDEX(EBITDA!$A$5:$AB$100,MATCH('Tracking KPI'!A67,EBITDA!$A$5:$A$100,0),MATCH('Tracking KPI'!$C$4,EBITDA!$A$5:$AB$5,0))</f>
        <v>-2.4904646129103085</v>
      </c>
      <c r="F67" s="183">
        <f t="shared" si="0"/>
        <v>0.94699445853543307</v>
      </c>
      <c r="G67" s="182">
        <f t="shared" si="4"/>
        <v>-1.0811075335560005</v>
      </c>
      <c r="H67" s="182">
        <f ca="1">EBITDA!P77</f>
        <v>356.31562502186745</v>
      </c>
      <c r="I67" s="182">
        <f ca="1">EBITDA!BF77</f>
        <v>504.62556837698992</v>
      </c>
      <c r="J67" s="182">
        <f>EBITDA!BG77</f>
        <v>550.39705435719816</v>
      </c>
      <c r="K67" s="289">
        <f t="shared" ca="1" si="6"/>
        <v>-148.30994335512247</v>
      </c>
      <c r="L67" s="183">
        <f t="shared" ca="1" si="5"/>
        <v>0.64737923686383825</v>
      </c>
      <c r="M67" s="80"/>
    </row>
    <row r="68" spans="1:13" ht="16" outlineLevel="1">
      <c r="A68" s="186" t="s">
        <v>146</v>
      </c>
      <c r="B68" s="289">
        <f>INDEX(EBITDA!$A$5:$AB$100,MATCH('Tracking KPI'!A68,EBITDA!$A$5:$A$100,0),MATCH('Tracking KPI'!$C$4,EBITDA!$A$5:$AB$5,0))</f>
        <v>27.592331031888889</v>
      </c>
      <c r="C68" s="182">
        <f>INDEX(EBITDA!$A$5:$AB$100,MATCH('Tracking KPI'!A68,EBITDA!$A$5:$A$100,0),MATCH('Tracking KPI'!$C$3,EBITDA!$A$5:$AB$5,0))</f>
        <v>25.441091073999999</v>
      </c>
      <c r="D68" s="182">
        <f>INDEX(EBITDA!$AE$5:$BG$100,MATCH(A68,EBITDA!$AE$5:$AE$100,0),MATCH('Tracking KPI'!$C$3,EBITDA!$AE$5:$BG$5,0))</f>
        <v>24.8821582898324</v>
      </c>
      <c r="E68" s="182">
        <f>C68-INDEX(EBITDA!$A$5:$AB$100,MATCH('Tracking KPI'!A68,EBITDA!$A$5:$A$100,0),MATCH('Tracking KPI'!$C$4,EBITDA!$A$5:$AB$5,0))</f>
        <v>-2.1512399578888903</v>
      </c>
      <c r="F68" s="183">
        <f t="shared" si="0"/>
        <v>0.92203485978032562</v>
      </c>
      <c r="G68" s="182">
        <f t="shared" si="4"/>
        <v>0.55893278416759884</v>
      </c>
      <c r="H68" s="182">
        <f ca="1">EBITDA!P78</f>
        <v>191.97158875988885</v>
      </c>
      <c r="I68" s="182">
        <f ca="1">EBITDA!BF78</f>
        <v>273.70374118815641</v>
      </c>
      <c r="J68" s="182">
        <f>EBITDA!BG78</f>
        <v>298.58589947798879</v>
      </c>
      <c r="K68" s="289">
        <f t="shared" ca="1" si="6"/>
        <v>-81.732152428267568</v>
      </c>
      <c r="L68" s="183">
        <f t="shared" ca="1" si="5"/>
        <v>0.64293588242280897</v>
      </c>
      <c r="M68" s="80"/>
    </row>
    <row r="69" spans="1:13" ht="16" outlineLevel="1">
      <c r="A69" s="186" t="s">
        <v>147</v>
      </c>
      <c r="B69" s="289">
        <f>INDEX(EBITDA!$A$5:$AB$100,MATCH('Tracking KPI'!A69,EBITDA!$A$5:$A$100,0),MATCH('Tracking KPI'!$C$4,EBITDA!$A$5:$AB$5,0))</f>
        <v>2.493666105</v>
      </c>
      <c r="C69" s="182">
        <f>INDEX(EBITDA!$A$5:$AB$100,MATCH('Tracking KPI'!A69,EBITDA!$A$5:$A$100,0),MATCH('Tracking KPI'!$C$3,EBITDA!$A$5:$AB$5,0))</f>
        <v>1.4785533470000001</v>
      </c>
      <c r="D69" s="182">
        <f>INDEX(EBITDA!$AE$5:$BG$100,MATCH(A69,EBITDA!$AE$5:$AE$100,0),MATCH('Tracking KPI'!$C$3,EBITDA!$AE$5:$BG$5,0))</f>
        <v>2.0542200402947901</v>
      </c>
      <c r="E69" s="182">
        <f>C69-INDEX(EBITDA!$A$5:$AB$100,MATCH('Tracking KPI'!A69,EBITDA!$A$5:$A$100,0),MATCH('Tracking KPI'!$C$4,EBITDA!$A$5:$AB$5,0))</f>
        <v>-1.0151127579999999</v>
      </c>
      <c r="F69" s="183">
        <f t="shared" si="0"/>
        <v>0.5929235449907998</v>
      </c>
      <c r="G69" s="182">
        <f t="shared" si="4"/>
        <v>-0.57566669329479003</v>
      </c>
      <c r="H69" s="182">
        <f ca="1">EBITDA!P79</f>
        <v>10.424890616000001</v>
      </c>
      <c r="I69" s="182">
        <f ca="1">EBITDA!BF79</f>
        <v>22.596420443242692</v>
      </c>
      <c r="J69" s="182">
        <f>EBITDA!BG79</f>
        <v>24.650640483537483</v>
      </c>
      <c r="K69" s="289">
        <f t="shared" ca="1" si="6"/>
        <v>-12.171529827242692</v>
      </c>
      <c r="L69" s="183">
        <f t="shared" ca="1" si="5"/>
        <v>0.42290546661301109</v>
      </c>
      <c r="M69" s="80"/>
    </row>
    <row r="70" spans="1:13" ht="16" outlineLevel="1">
      <c r="A70" s="186" t="s">
        <v>148</v>
      </c>
      <c r="B70" s="289">
        <f>INDEX(EBITDA!$A$5:$AB$100,MATCH('Tracking KPI'!A70,EBITDA!$A$5:$A$100,0),MATCH('Tracking KPI'!$C$4,EBITDA!$A$5:$AB$5,0))</f>
        <v>0</v>
      </c>
      <c r="C70" s="182">
        <f>INDEX(EBITDA!$A$5:$AB$100,MATCH('Tracking KPI'!A70,EBITDA!$A$5:$A$100,0),MATCH('Tracking KPI'!$C$3,EBITDA!$A$5:$AB$5,0))</f>
        <v>0</v>
      </c>
      <c r="D70" s="182">
        <f>INDEX(EBITDA!$AE$5:$BG$100,MATCH(A70,EBITDA!$AE$5:$AE$100,0),MATCH('Tracking KPI'!$C$3,EBITDA!$AE$5:$BG$5,0))</f>
        <v>0</v>
      </c>
      <c r="E70" s="182">
        <f>C70-INDEX(EBITDA!$A$5:$AB$100,MATCH('Tracking KPI'!A70,EBITDA!$A$5:$A$100,0),MATCH('Tracking KPI'!$C$4,EBITDA!$A$5:$AB$5,0))</f>
        <v>0</v>
      </c>
      <c r="F70" s="183" t="str">
        <f t="shared" si="0"/>
        <v/>
      </c>
      <c r="G70" s="182">
        <f t="shared" si="4"/>
        <v>0</v>
      </c>
      <c r="H70" s="182">
        <f ca="1">EBITDA!P80</f>
        <v>0</v>
      </c>
      <c r="I70" s="182">
        <f ca="1">EBITDA!BF80</f>
        <v>0</v>
      </c>
      <c r="J70" s="182">
        <f>EBITDA!BG80</f>
        <v>0</v>
      </c>
      <c r="K70" s="289">
        <f t="shared" ca="1" si="6"/>
        <v>0</v>
      </c>
      <c r="L70" s="183" t="str">
        <f t="shared" ca="1" si="5"/>
        <v/>
      </c>
      <c r="M70" s="80"/>
    </row>
    <row r="71" spans="1:13" ht="16" outlineLevel="1">
      <c r="A71" s="186" t="s">
        <v>149</v>
      </c>
      <c r="B71" s="289">
        <f>INDEX(EBITDA!$A$5:$AB$100,MATCH('Tracking KPI'!A71,EBITDA!$A$5:$A$100,0),MATCH('Tracking KPI'!$C$4,EBITDA!$A$5:$AB$5,0))</f>
        <v>0</v>
      </c>
      <c r="C71" s="182">
        <f>INDEX(EBITDA!$A$5:$AB$100,MATCH('Tracking KPI'!A71,EBITDA!$A$5:$A$100,0),MATCH('Tracking KPI'!$C$3,EBITDA!$A$5:$AB$5,0))</f>
        <v>0</v>
      </c>
      <c r="D71" s="182">
        <f>INDEX(EBITDA!$AE$5:$BG$100,MATCH(A71,EBITDA!$AE$5:$AE$100,0),MATCH('Tracking KPI'!$C$3,EBITDA!$AE$5:$BG$5,0))</f>
        <v>0</v>
      </c>
      <c r="E71" s="182">
        <f>C71-INDEX(EBITDA!$A$5:$AB$100,MATCH('Tracking KPI'!A71,EBITDA!$A$5:$A$100,0),MATCH('Tracking KPI'!$C$4,EBITDA!$A$5:$AB$5,0))</f>
        <v>0</v>
      </c>
      <c r="F71" s="183" t="str">
        <f t="shared" si="0"/>
        <v/>
      </c>
      <c r="G71" s="182">
        <f t="shared" si="4"/>
        <v>0</v>
      </c>
      <c r="H71" s="182">
        <f ca="1">EBITDA!P81</f>
        <v>0</v>
      </c>
      <c r="I71" s="182">
        <f ca="1">EBITDA!BF81</f>
        <v>0</v>
      </c>
      <c r="J71" s="182">
        <f>EBITDA!BG81</f>
        <v>0</v>
      </c>
      <c r="K71" s="289">
        <f t="shared" ca="1" si="6"/>
        <v>0</v>
      </c>
      <c r="L71" s="183" t="str">
        <f t="shared" ca="1" si="5"/>
        <v/>
      </c>
      <c r="M71" s="80"/>
    </row>
    <row r="72" spans="1:13" ht="16" outlineLevel="1">
      <c r="A72" s="186" t="s">
        <v>150</v>
      </c>
      <c r="B72" s="289">
        <f>INDEX(EBITDA!$A$5:$AB$100,MATCH('Tracking KPI'!A72,EBITDA!$A$5:$A$100,0),MATCH('Tracking KPI'!$C$4,EBITDA!$A$5:$AB$5,0))</f>
        <v>4.0803233751111119</v>
      </c>
      <c r="C72" s="182">
        <f>INDEX(EBITDA!$A$5:$AB$100,MATCH('Tracking KPI'!A72,EBITDA!$A$5:$A$100,0),MATCH('Tracking KPI'!$C$3,EBITDA!$A$5:$AB$5,0))</f>
        <v>4.6204894397563505</v>
      </c>
      <c r="D72" s="182">
        <f>INDEX(EBITDA!$AE$5:$BG$100,MATCH(A72,EBITDA!$AE$5:$AE$100,0),MATCH('Tracking KPI'!$C$3,EBITDA!$AE$5:$BG$5,0))</f>
        <v>4.5662410129070299</v>
      </c>
      <c r="E72" s="182">
        <f>C72-INDEX(EBITDA!$A$5:$AB$100,MATCH('Tracking KPI'!A72,EBITDA!$A$5:$A$100,0),MATCH('Tracking KPI'!$C$4,EBITDA!$A$5:$AB$5,0))</f>
        <v>0.54016606464523864</v>
      </c>
      <c r="F72" s="183">
        <f t="shared" si="0"/>
        <v>1.1323831507914563</v>
      </c>
      <c r="G72" s="182">
        <f t="shared" si="4"/>
        <v>5.424842684932063E-2</v>
      </c>
      <c r="H72" s="182">
        <f ca="1">EBITDA!P82</f>
        <v>39.356721632756354</v>
      </c>
      <c r="I72" s="182">
        <f ca="1">EBITDA!BF82</f>
        <v>55.724526141977329</v>
      </c>
      <c r="J72" s="182">
        <f>EBITDA!BG82</f>
        <v>60.30864215488436</v>
      </c>
      <c r="K72" s="289">
        <f t="shared" ref="K72:K89" ca="1" si="7">H72-I72</f>
        <v>-16.367804509220974</v>
      </c>
      <c r="L72" s="183">
        <f t="shared" ca="1" si="5"/>
        <v>0.65258842226426872</v>
      </c>
      <c r="M72" s="80"/>
    </row>
    <row r="73" spans="1:13" ht="16" outlineLevel="1">
      <c r="A73" s="186" t="s">
        <v>151</v>
      </c>
      <c r="B73" s="289">
        <f>INDEX(EBITDA!$A$5:$AB$100,MATCH('Tracking KPI'!A73,EBITDA!$A$5:$A$100,0),MATCH('Tracking KPI'!$C$4,EBITDA!$A$5:$AB$5,0))</f>
        <v>0.40578638</v>
      </c>
      <c r="C73" s="182">
        <f>INDEX(EBITDA!$A$5:$AB$100,MATCH('Tracking KPI'!A73,EBITDA!$A$5:$A$100,0),MATCH('Tracking KPI'!$C$3,EBITDA!$A$5:$AB$5,0))</f>
        <v>0.42289888979999996</v>
      </c>
      <c r="D73" s="182">
        <f>INDEX(EBITDA!$AE$5:$BG$100,MATCH(A73,EBITDA!$AE$5:$AE$100,0),MATCH('Tracking KPI'!$C$3,EBITDA!$AE$5:$BG$5,0))</f>
        <v>0.17</v>
      </c>
      <c r="E73" s="182">
        <f>C73-INDEX(EBITDA!$A$5:$AB$100,MATCH('Tracking KPI'!A73,EBITDA!$A$5:$A$100,0),MATCH('Tracking KPI'!$C$4,EBITDA!$A$5:$AB$5,0))</f>
        <v>1.7112509799999953E-2</v>
      </c>
      <c r="F73" s="183">
        <f t="shared" ref="F73:F89" si="8">IFERROR(C73/(C73-E73),"")</f>
        <v>1.0421712276296704</v>
      </c>
      <c r="G73" s="182">
        <f t="shared" si="4"/>
        <v>0.25289888979999997</v>
      </c>
      <c r="H73" s="182">
        <f ca="1">EBITDA!P83</f>
        <v>4.8571630082444441</v>
      </c>
      <c r="I73" s="182">
        <f ca="1">EBITDA!BF83</f>
        <v>2.7624999999999997</v>
      </c>
      <c r="J73" s="182">
        <f>EBITDA!BG83</f>
        <v>2.9324999999999997</v>
      </c>
      <c r="K73" s="289">
        <f t="shared" ca="1" si="7"/>
        <v>2.0946630082444444</v>
      </c>
      <c r="L73" s="183">
        <f t="shared" ca="1" si="5"/>
        <v>1.6563215714388557</v>
      </c>
      <c r="M73" s="80"/>
    </row>
    <row r="74" spans="1:13" ht="16" outlineLevel="1">
      <c r="A74" s="186" t="s">
        <v>153</v>
      </c>
      <c r="B74" s="289">
        <f>INDEX(EBITDA!$A$5:$AB$100,MATCH('Tracking KPI'!A74,EBITDA!$A$5:$A$100,0),MATCH('Tracking KPI'!$C$4,EBITDA!$A$5:$AB$5,0))</f>
        <v>0.55360084099999995</v>
      </c>
      <c r="C74" s="182">
        <f>INDEX(EBITDA!$A$5:$AB$100,MATCH('Tracking KPI'!A74,EBITDA!$A$5:$A$100,0),MATCH('Tracking KPI'!$C$3,EBITDA!$A$5:$AB$5,0))</f>
        <v>0.54042077900000007</v>
      </c>
      <c r="D74" s="182">
        <f>INDEX(EBITDA!$AE$5:$BG$100,MATCH(A74,EBITDA!$AE$5:$AE$100,0),MATCH('Tracking KPI'!$C$3,EBITDA!$AE$5:$BG$5,0))</f>
        <v>0.64776970595000005</v>
      </c>
      <c r="E74" s="182">
        <f>C74-INDEX(EBITDA!$A$5:$AB$100,MATCH('Tracking KPI'!A74,EBITDA!$A$5:$A$100,0),MATCH('Tracking KPI'!$C$4,EBITDA!$A$5:$AB$5,0))</f>
        <v>-1.3180061999999881E-2</v>
      </c>
      <c r="F74" s="183">
        <f t="shared" si="8"/>
        <v>0.97619212070525041</v>
      </c>
      <c r="G74" s="182">
        <f t="shared" si="4"/>
        <v>-0.10734892694999998</v>
      </c>
      <c r="H74" s="182">
        <f ca="1">EBITDA!P85</f>
        <v>5.5843018909999991</v>
      </c>
      <c r="I74" s="182">
        <f ca="1">EBITDA!BF85</f>
        <v>7.1254667654500006</v>
      </c>
      <c r="J74" s="182">
        <f>EBITDA!BG85</f>
        <v>7.7732364714000006</v>
      </c>
      <c r="K74" s="289">
        <f t="shared" ca="1" si="7"/>
        <v>-1.5411648744500015</v>
      </c>
      <c r="L74" s="183">
        <f t="shared" ca="1" si="5"/>
        <v>0.7184011333691277</v>
      </c>
      <c r="M74" s="80"/>
    </row>
    <row r="75" spans="1:13" ht="16" outlineLevel="1">
      <c r="A75" s="186" t="s">
        <v>154</v>
      </c>
      <c r="B75" s="289">
        <f>INDEX(EBITDA!$A$5:$AB$100,MATCH('Tracking KPI'!A75,EBITDA!$A$5:$A$100,0),MATCH('Tracking KPI'!$C$4,EBITDA!$A$5:$AB$5,0))</f>
        <v>0</v>
      </c>
      <c r="C75" s="182">
        <f>INDEX(EBITDA!$A$5:$AB$100,MATCH('Tracking KPI'!A75,EBITDA!$A$5:$A$100,0),MATCH('Tracking KPI'!$C$3,EBITDA!$A$5:$AB$5,0))</f>
        <v>0</v>
      </c>
      <c r="D75" s="182">
        <f>INDEX(EBITDA!$AE$5:$BG$100,MATCH(A75,EBITDA!$AE$5:$AE$100,0),MATCH('Tracking KPI'!$C$3,EBITDA!$AE$5:$BG$5,0))</f>
        <v>0</v>
      </c>
      <c r="E75" s="182">
        <f>C75-INDEX(EBITDA!$A$5:$AB$100,MATCH('Tracking KPI'!A75,EBITDA!$A$5:$A$100,0),MATCH('Tracking KPI'!$C$4,EBITDA!$A$5:$AB$5,0))</f>
        <v>0</v>
      </c>
      <c r="F75" s="183" t="str">
        <f t="shared" si="8"/>
        <v/>
      </c>
      <c r="G75" s="182">
        <f t="shared" ref="G75:G88" si="9">C75-D75</f>
        <v>0</v>
      </c>
      <c r="H75" s="182">
        <f ca="1">EBITDA!P86</f>
        <v>0</v>
      </c>
      <c r="I75" s="182">
        <f ca="1">EBITDA!BF86</f>
        <v>0</v>
      </c>
      <c r="J75" s="182">
        <f>EBITDA!BG86</f>
        <v>0</v>
      </c>
      <c r="K75" s="289">
        <f t="shared" ca="1" si="7"/>
        <v>0</v>
      </c>
      <c r="L75" s="183" t="str">
        <f t="shared" ref="L75:L89" ca="1" si="10">IFERROR(H75/J75,"")</f>
        <v/>
      </c>
      <c r="M75" s="80"/>
    </row>
    <row r="76" spans="1:13" ht="16" outlineLevel="1">
      <c r="A76" s="186" t="s">
        <v>155</v>
      </c>
      <c r="B76" s="289">
        <f>INDEX(EBITDA!$A$5:$AB$100,MATCH('Tracking KPI'!A76,EBITDA!$A$5:$A$100,0),MATCH('Tracking KPI'!$C$4,EBITDA!$A$5:$AB$5,0))</f>
        <v>0</v>
      </c>
      <c r="C76" s="182">
        <f>INDEX(EBITDA!$A$5:$AB$100,MATCH('Tracking KPI'!A76,EBITDA!$A$5:$A$100,0),MATCH('Tracking KPI'!$C$3,EBITDA!$A$5:$AB$5,0))</f>
        <v>0</v>
      </c>
      <c r="D76" s="182">
        <f>INDEX(EBITDA!$AE$5:$BG$100,MATCH(A76,EBITDA!$AE$5:$AE$100,0),MATCH('Tracking KPI'!$C$3,EBITDA!$AE$5:$BG$5,0))</f>
        <v>0.1105</v>
      </c>
      <c r="E76" s="182">
        <f>C76-INDEX(EBITDA!$A$5:$AB$100,MATCH('Tracking KPI'!A76,EBITDA!$A$5:$A$100,0),MATCH('Tracking KPI'!$C$4,EBITDA!$A$5:$AB$5,0))</f>
        <v>0</v>
      </c>
      <c r="F76" s="183" t="str">
        <f t="shared" si="8"/>
        <v/>
      </c>
      <c r="G76" s="182">
        <f t="shared" si="9"/>
        <v>-0.1105</v>
      </c>
      <c r="H76" s="182">
        <f ca="1">EBITDA!P87</f>
        <v>0.1</v>
      </c>
      <c r="I76" s="182">
        <f ca="1">EBITDA!BF87</f>
        <v>1.2155000000000002</v>
      </c>
      <c r="J76" s="182">
        <f>EBITDA!BG87</f>
        <v>1.3260000000000003</v>
      </c>
      <c r="K76" s="289">
        <f t="shared" ca="1" si="7"/>
        <v>-1.1155000000000002</v>
      </c>
      <c r="L76" s="183">
        <f t="shared" ca="1" si="10"/>
        <v>7.541478129713422E-2</v>
      </c>
      <c r="M76" s="80"/>
    </row>
    <row r="77" spans="1:13" ht="16" outlineLevel="1">
      <c r="A77" s="186" t="s">
        <v>156</v>
      </c>
      <c r="B77" s="289">
        <f>INDEX(EBITDA!$A$5:$AB$100,MATCH('Tracking KPI'!A77,EBITDA!$A$5:$A$100,0),MATCH('Tracking KPI'!$C$4,EBITDA!$A$5:$AB$5,0))</f>
        <v>0.43629716211111108</v>
      </c>
      <c r="C77" s="182">
        <f>INDEX(EBITDA!$A$5:$AB$100,MATCH('Tracking KPI'!A77,EBITDA!$A$5:$A$100,0),MATCH('Tracking KPI'!$C$3,EBITDA!$A$5:$AB$5,0))</f>
        <v>0.44581849299999998</v>
      </c>
      <c r="D77" s="182">
        <f>INDEX(EBITDA!$AE$5:$BG$100,MATCH(A77,EBITDA!$AE$5:$AE$100,0),MATCH('Tracking KPI'!$C$3,EBITDA!$AE$5:$BG$5,0))</f>
        <v>0.391625</v>
      </c>
      <c r="E77" s="182">
        <f>C77-INDEX(EBITDA!$A$5:$AB$100,MATCH('Tracking KPI'!A77,EBITDA!$A$5:$A$100,0),MATCH('Tracking KPI'!$C$4,EBITDA!$A$5:$AB$5,0))</f>
        <v>9.5213308888889014E-3</v>
      </c>
      <c r="F77" s="183">
        <f t="shared" si="8"/>
        <v>1.0218230410732401</v>
      </c>
      <c r="G77" s="182">
        <f t="shared" si="9"/>
        <v>5.4193492999999981E-2</v>
      </c>
      <c r="H77" s="182">
        <f ca="1">EBITDA!P88</f>
        <v>3.0379331379999996</v>
      </c>
      <c r="I77" s="182">
        <f ca="1">EBITDA!BF88</f>
        <v>4.1112500000000001</v>
      </c>
      <c r="J77" s="182">
        <f>EBITDA!BG88</f>
        <v>4.5207499999999996</v>
      </c>
      <c r="K77" s="289">
        <f t="shared" ca="1" si="7"/>
        <v>-1.0733168620000004</v>
      </c>
      <c r="L77" s="183">
        <f t="shared" ca="1" si="10"/>
        <v>0.67199759730133268</v>
      </c>
      <c r="M77" s="80"/>
    </row>
    <row r="78" spans="1:13" ht="16" outlineLevel="1">
      <c r="A78" s="186" t="s">
        <v>157</v>
      </c>
      <c r="B78" s="289">
        <f>INDEX(EBITDA!$A$5:$AB$100,MATCH('Tracking KPI'!A78,EBITDA!$A$5:$A$100,0),MATCH('Tracking KPI'!$C$4,EBITDA!$A$5:$AB$5,0))</f>
        <v>2.3596389920000003</v>
      </c>
      <c r="C78" s="182">
        <f>INDEX(EBITDA!$A$5:$AB$100,MATCH('Tracking KPI'!A78,EBITDA!$A$5:$A$100,0),MATCH('Tracking KPI'!$C$3,EBITDA!$A$5:$AB$5,0))</f>
        <v>2.8902342779563504</v>
      </c>
      <c r="D78" s="182">
        <f>INDEX(EBITDA!$AE$5:$BG$100,MATCH(A78,EBITDA!$AE$5:$AE$100,0),MATCH('Tracking KPI'!$C$3,EBITDA!$AE$5:$BG$5,0))</f>
        <v>2.9063463069570301</v>
      </c>
      <c r="E78" s="182">
        <f>C78-INDEX(EBITDA!$A$5:$AB$100,MATCH('Tracking KPI'!A78,EBITDA!$A$5:$A$100,0),MATCH('Tracking KPI'!$C$4,EBITDA!$A$5:$AB$5,0))</f>
        <v>0.53059528595635008</v>
      </c>
      <c r="F78" s="183">
        <f t="shared" si="8"/>
        <v>1.2248629081631781</v>
      </c>
      <c r="G78" s="182">
        <f t="shared" si="9"/>
        <v>-1.6112029000679762E-2</v>
      </c>
      <c r="H78" s="182">
        <f ca="1">EBITDA!P89</f>
        <v>23.028522595511909</v>
      </c>
      <c r="I78" s="182">
        <f ca="1">EBITDA!BF89</f>
        <v>31.96980937652733</v>
      </c>
      <c r="J78" s="182">
        <f>EBITDA!BG89</f>
        <v>34.876155683484363</v>
      </c>
      <c r="K78" s="289">
        <f t="shared" ca="1" si="7"/>
        <v>-8.9412867810154211</v>
      </c>
      <c r="L78" s="183">
        <f t="shared" ca="1" si="10"/>
        <v>0.66029417933861012</v>
      </c>
      <c r="M78" s="80"/>
    </row>
    <row r="79" spans="1:13" ht="16" outlineLevel="1">
      <c r="A79" s="186" t="s">
        <v>158</v>
      </c>
      <c r="B79" s="289">
        <f>INDEX(EBITDA!$A$5:$AB$100,MATCH('Tracking KPI'!A79,EBITDA!$A$5:$A$100,0),MATCH('Tracking KPI'!$C$4,EBITDA!$A$5:$AB$5,0))</f>
        <v>1.4179999999999999</v>
      </c>
      <c r="C79" s="182">
        <f>INDEX(EBITDA!$A$5:$AB$100,MATCH('Tracking KPI'!A79,EBITDA!$A$5:$A$100,0),MATCH('Tracking KPI'!$C$3,EBITDA!$A$5:$AB$5,0))</f>
        <v>1.5069999999999999</v>
      </c>
      <c r="D79" s="182">
        <f>INDEX(EBITDA!$AE$5:$BG$100,MATCH(A79,EBITDA!$AE$5:$AE$100,0),MATCH('Tracking KPI'!$C$3,EBITDA!$AE$5:$BG$5,0))</f>
        <v>1.6666666666666701</v>
      </c>
      <c r="E79" s="182">
        <f>C79-INDEX(EBITDA!$A$5:$AB$100,MATCH('Tracking KPI'!A79,EBITDA!$A$5:$A$100,0),MATCH('Tracking KPI'!$C$4,EBITDA!$A$5:$AB$5,0))</f>
        <v>8.8999999999999968E-2</v>
      </c>
      <c r="F79" s="183">
        <f t="shared" si="8"/>
        <v>1.0627644569816643</v>
      </c>
      <c r="G79" s="182">
        <f t="shared" si="9"/>
        <v>-0.15966666666667018</v>
      </c>
      <c r="H79" s="182">
        <f ca="1">EBITDA!P90</f>
        <v>12.545999999999999</v>
      </c>
      <c r="I79" s="182">
        <f ca="1">EBITDA!BF90</f>
        <v>18.333333333333371</v>
      </c>
      <c r="J79" s="182">
        <f>EBITDA!BG90</f>
        <v>20.000000000000043</v>
      </c>
      <c r="K79" s="289">
        <f t="shared" ca="1" si="7"/>
        <v>-5.7873333333333719</v>
      </c>
      <c r="L79" s="183">
        <f t="shared" ca="1" si="10"/>
        <v>0.62729999999999864</v>
      </c>
      <c r="M79" s="80"/>
    </row>
    <row r="80" spans="1:13" ht="16" outlineLevel="1">
      <c r="A80" s="186" t="s">
        <v>159</v>
      </c>
      <c r="B80" s="289">
        <f>INDEX(EBITDA!$A$5:$AB$100,MATCH('Tracking KPI'!A80,EBITDA!$A$5:$A$100,0),MATCH('Tracking KPI'!$C$4,EBITDA!$A$5:$AB$5,0))</f>
        <v>0</v>
      </c>
      <c r="C80" s="182">
        <f>INDEX(EBITDA!$A$5:$AB$100,MATCH('Tracking KPI'!A80,EBITDA!$A$5:$A$100,0),MATCH('Tracking KPI'!$C$3,EBITDA!$A$5:$AB$5,0))</f>
        <v>0</v>
      </c>
      <c r="D80" s="182">
        <f>INDEX(EBITDA!$AE$5:$BG$100,MATCH(A80,EBITDA!$AE$5:$AE$100,0),MATCH('Tracking KPI'!$C$3,EBITDA!$AE$5:$BG$5,0))</f>
        <v>0</v>
      </c>
      <c r="E80" s="182">
        <f>C80-INDEX(EBITDA!$A$5:$AB$100,MATCH('Tracking KPI'!A80,EBITDA!$A$5:$A$100,0),MATCH('Tracking KPI'!$C$4,EBITDA!$A$5:$AB$5,0))</f>
        <v>0</v>
      </c>
      <c r="F80" s="183" t="str">
        <f t="shared" si="8"/>
        <v/>
      </c>
      <c r="G80" s="182">
        <f t="shared" si="9"/>
        <v>0</v>
      </c>
      <c r="H80" s="182">
        <f ca="1">EBITDA!P91</f>
        <v>0</v>
      </c>
      <c r="I80" s="182">
        <f ca="1">EBITDA!BF91</f>
        <v>0</v>
      </c>
      <c r="J80" s="182">
        <f>EBITDA!BG91</f>
        <v>0</v>
      </c>
      <c r="K80" s="289">
        <f t="shared" ca="1" si="7"/>
        <v>0</v>
      </c>
      <c r="L80" s="183" t="str">
        <f t="shared" ca="1" si="10"/>
        <v/>
      </c>
      <c r="M80" s="80"/>
    </row>
    <row r="81" spans="1:13" ht="16" outlineLevel="1">
      <c r="A81" s="186" t="s">
        <v>160</v>
      </c>
      <c r="B81" s="289">
        <f>INDEX(EBITDA!$A$5:$AB$100,MATCH('Tracking KPI'!A81,EBITDA!$A$5:$A$100,0),MATCH('Tracking KPI'!$C$4,EBITDA!$A$5:$AB$5,0))</f>
        <v>0.321243475</v>
      </c>
      <c r="C81" s="182">
        <f>INDEX(EBITDA!$A$5:$AB$100,MATCH('Tracking KPI'!A81,EBITDA!$A$5:$A$100,0),MATCH('Tracking KPI'!$C$3,EBITDA!$A$5:$AB$5,0))</f>
        <v>0.34253957300000004</v>
      </c>
      <c r="D81" s="182">
        <f>INDEX(EBITDA!$AE$5:$BG$100,MATCH(A81,EBITDA!$AE$5:$AE$100,0),MATCH('Tracking KPI'!$C$3,EBITDA!$AE$5:$BG$5,0))</f>
        <v>0</v>
      </c>
      <c r="E81" s="182">
        <f>C81-INDEX(EBITDA!$A$5:$AB$100,MATCH('Tracking KPI'!A81,EBITDA!$A$5:$A$100,0),MATCH('Tracking KPI'!$C$4,EBITDA!$A$5:$AB$5,0))</f>
        <v>2.1296098000000041E-2</v>
      </c>
      <c r="F81" s="183">
        <f t="shared" si="8"/>
        <v>1.0662927021319266</v>
      </c>
      <c r="G81" s="182">
        <f t="shared" si="9"/>
        <v>0.34253957300000004</v>
      </c>
      <c r="H81" s="182">
        <f ca="1">EBITDA!P92</f>
        <v>2.7018701700000003</v>
      </c>
      <c r="I81" s="182">
        <f ca="1">EBITDA!BF92</f>
        <v>0</v>
      </c>
      <c r="J81" s="182">
        <f>EBITDA!BG92</f>
        <v>0</v>
      </c>
      <c r="K81" s="289">
        <f t="shared" ca="1" si="7"/>
        <v>2.7018701700000003</v>
      </c>
      <c r="L81" s="183" t="str">
        <f t="shared" ca="1" si="10"/>
        <v/>
      </c>
      <c r="M81" s="80"/>
    </row>
    <row r="82" spans="1:13" ht="16" outlineLevel="1">
      <c r="A82" s="186" t="s">
        <v>161</v>
      </c>
      <c r="B82" s="289">
        <f>INDEX(EBITDA!$A$5:$AB$100,MATCH('Tracking KPI'!A82,EBITDA!$A$5:$A$100,0),MATCH('Tracking KPI'!$C$4,EBITDA!$A$5:$AB$5,0))</f>
        <v>2.0029439089999999</v>
      </c>
      <c r="C82" s="182">
        <f>INDEX(EBITDA!$A$5:$AB$100,MATCH('Tracking KPI'!A82,EBITDA!$A$5:$A$100,0),MATCH('Tracking KPI'!$C$3,EBITDA!$A$5:$AB$5,0))</f>
        <v>1.8399062899999998</v>
      </c>
      <c r="D82" s="182">
        <f>INDEX(EBITDA!$AE$5:$BG$100,MATCH(A82,EBITDA!$AE$5:$AE$100,0),MATCH('Tracking KPI'!$C$3,EBITDA!$AE$5:$BG$5,0))</f>
        <v>3.1667442572383302</v>
      </c>
      <c r="E82" s="182">
        <f>C82-INDEX(EBITDA!$A$5:$AB$100,MATCH('Tracking KPI'!A82,EBITDA!$A$5:$A$100,0),MATCH('Tracking KPI'!$C$4,EBITDA!$A$5:$AB$5,0))</f>
        <v>-0.16303761900000002</v>
      </c>
      <c r="F82" s="183">
        <f t="shared" si="8"/>
        <v>0.91860100611534401</v>
      </c>
      <c r="G82" s="182">
        <f t="shared" si="9"/>
        <v>-1.3268379672383304</v>
      </c>
      <c r="H82" s="182">
        <f ca="1">EBITDA!P93</f>
        <v>25.380816974999998</v>
      </c>
      <c r="I82" s="182">
        <f ca="1">EBITDA!BF93</f>
        <v>34.834186829621636</v>
      </c>
      <c r="J82" s="182">
        <f>EBITDA!BG93</f>
        <v>38.000931086859964</v>
      </c>
      <c r="K82" s="289">
        <f t="shared" ca="1" si="7"/>
        <v>-9.4533698546216378</v>
      </c>
      <c r="L82" s="183">
        <f t="shared" ca="1" si="10"/>
        <v>0.66789987111069038</v>
      </c>
      <c r="M82" s="80"/>
    </row>
    <row r="83" spans="1:13" ht="16" outlineLevel="1">
      <c r="A83" s="186" t="s">
        <v>162</v>
      </c>
      <c r="B83" s="289">
        <f>INDEX(EBITDA!$A$5:$AB$100,MATCH('Tracking KPI'!A83,EBITDA!$A$5:$A$100,0),MATCH('Tracking KPI'!$C$4,EBITDA!$A$5:$AB$5,0))</f>
        <v>9.0764779016666672</v>
      </c>
      <c r="C83" s="182">
        <f>INDEX(EBITDA!$A$5:$AB$100,MATCH('Tracking KPI'!A83,EBITDA!$A$5:$A$100,0),MATCH('Tracking KPI'!$C$3,EBITDA!$A$5:$AB$5,0))</f>
        <v>9.2649414610000012</v>
      </c>
      <c r="D83" s="182">
        <f>INDEX(EBITDA!$AE$5:$BG$100,MATCH(A83,EBITDA!$AE$5:$AE$100,0),MATCH('Tracking KPI'!$C$3,EBITDA!$AE$5:$BG$5,0))</f>
        <v>9.2395984513731406</v>
      </c>
      <c r="E83" s="182">
        <f>C83-INDEX(EBITDA!$A$5:$AB$100,MATCH('Tracking KPI'!A83,EBITDA!$A$5:$A$100,0),MATCH('Tracking KPI'!$C$4,EBITDA!$A$5:$AB$5,0))</f>
        <v>0.18846355933333392</v>
      </c>
      <c r="F83" s="183">
        <f t="shared" si="8"/>
        <v>1.020763952865321</v>
      </c>
      <c r="G83" s="182">
        <f t="shared" si="9"/>
        <v>2.5343009626860535E-2</v>
      </c>
      <c r="H83" s="182">
        <f ca="1">EBITDA!P94</f>
        <v>73.933736868222226</v>
      </c>
      <c r="I83" s="182">
        <f ca="1">EBITDA!BF94</f>
        <v>99.433360440658461</v>
      </c>
      <c r="J83" s="182">
        <f>EBITDA!BG94</f>
        <v>108.85094115392742</v>
      </c>
      <c r="K83" s="289">
        <f t="shared" ca="1" si="7"/>
        <v>-25.499623572436235</v>
      </c>
      <c r="L83" s="183">
        <f t="shared" ca="1" si="10"/>
        <v>0.67922000567428853</v>
      </c>
      <c r="M83" s="80"/>
    </row>
    <row r="84" spans="1:13" ht="16" outlineLevel="1">
      <c r="A84" s="188" t="s">
        <v>163</v>
      </c>
      <c r="B84" s="289">
        <f>INDEX(EBITDA!$A$5:$AB$100,MATCH('Tracking KPI'!A84,EBITDA!$A$5:$A$100,0),MATCH('Tracking KPI'!$C$4,EBITDA!$A$5:$AB$5,0))</f>
        <v>0.90900000000000003</v>
      </c>
      <c r="C84" s="182">
        <f>INDEX(EBITDA!$A$5:$AB$100,MATCH('Tracking KPI'!A84,EBITDA!$A$5:$A$100,0),MATCH('Tracking KPI'!$C$3,EBITDA!$A$5:$AB$5,0))</f>
        <v>1.08</v>
      </c>
      <c r="D84" s="182">
        <f>INDEX(EBITDA!$AE$5:$BG$100,MATCH(A84,EBITDA!$AE$5:$AE$100,0),MATCH('Tracking KPI'!$C$3,EBITDA!$AE$5:$BG$5,0))</f>
        <v>1.3605001443440801</v>
      </c>
      <c r="E84" s="182">
        <f>C84-INDEX(EBITDA!$A$5:$AB$100,MATCH('Tracking KPI'!A84,EBITDA!$A$5:$A$100,0),MATCH('Tracking KPI'!$C$4,EBITDA!$A$5:$AB$5,0))</f>
        <v>0.17100000000000004</v>
      </c>
      <c r="F84" s="183">
        <f t="shared" si="8"/>
        <v>1.1881188118811881</v>
      </c>
      <c r="G84" s="182">
        <f t="shared" si="9"/>
        <v>-0.28050014434407999</v>
      </c>
      <c r="H84" s="182">
        <f ca="1">EBITDA!P95</f>
        <v>8.2639999999999993</v>
      </c>
      <c r="I84" s="182">
        <f ca="1">EBITDA!BF95</f>
        <v>12.763279063338807</v>
      </c>
      <c r="J84" s="182">
        <f>EBITDA!BG95</f>
        <v>14.301761469578707</v>
      </c>
      <c r="K84" s="289">
        <f t="shared" ca="1" si="7"/>
        <v>-4.4992790633388076</v>
      </c>
      <c r="L84" s="183">
        <f t="shared" ca="1" si="10"/>
        <v>0.57783092086791987</v>
      </c>
      <c r="M84" s="80"/>
    </row>
    <row r="85" spans="1:13" ht="16" outlineLevel="1">
      <c r="A85" s="188" t="s">
        <v>164</v>
      </c>
      <c r="B85" s="289">
        <f>INDEX(EBITDA!$A$5:$AB$100,MATCH('Tracking KPI'!A85,EBITDA!$A$5:$A$100,0),MATCH('Tracking KPI'!$C$4,EBITDA!$A$5:$AB$5,0))</f>
        <v>0</v>
      </c>
      <c r="C85" s="182">
        <f>INDEX(EBITDA!$A$5:$AB$100,MATCH('Tracking KPI'!A85,EBITDA!$A$5:$A$100,0),MATCH('Tracking KPI'!$C$3,EBITDA!$A$5:$AB$5,0))</f>
        <v>0</v>
      </c>
      <c r="D85" s="182">
        <f>INDEX(EBITDA!$AE$5:$BG$100,MATCH(A85,EBITDA!$AE$5:$AE$100,0),MATCH('Tracking KPI'!$C$3,EBITDA!$AE$5:$BG$5,0))</f>
        <v>5.3055732392790604</v>
      </c>
      <c r="E85" s="182">
        <f>C85-INDEX(EBITDA!$A$5:$AB$100,MATCH('Tracking KPI'!A85,EBITDA!$A$5:$A$100,0),MATCH('Tracking KPI'!$C$4,EBITDA!$A$5:$AB$5,0))</f>
        <v>0</v>
      </c>
      <c r="F85" s="183" t="str">
        <f t="shared" si="8"/>
        <v/>
      </c>
      <c r="G85" s="182">
        <f t="shared" si="9"/>
        <v>-5.3055732392790604</v>
      </c>
      <c r="H85" s="182">
        <f ca="1">EBITDA!P96</f>
        <v>5.9208219412222203</v>
      </c>
      <c r="I85" s="182">
        <f ca="1">EBITDA!BF96</f>
        <v>58.361305632069673</v>
      </c>
      <c r="J85" s="182">
        <f>EBITDA!BG96</f>
        <v>63.666878871348736</v>
      </c>
      <c r="K85" s="289">
        <f t="shared" ca="1" si="7"/>
        <v>-52.440483690847451</v>
      </c>
      <c r="L85" s="183">
        <f t="shared" ca="1" si="10"/>
        <v>9.2996893301246761E-2</v>
      </c>
      <c r="M85" s="80"/>
    </row>
    <row r="86" spans="1:13" ht="16" outlineLevel="1">
      <c r="A86" s="188" t="s">
        <v>165</v>
      </c>
      <c r="B86" s="289">
        <f>INDEX(EBITDA!$A$5:$AB$100,MATCH('Tracking KPI'!A86,EBITDA!$A$5:$A$100,0),MATCH('Tracking KPI'!$C$4,EBITDA!$A$5:$AB$5,0))</f>
        <v>0.58099999999999996</v>
      </c>
      <c r="C86" s="182">
        <f>INDEX(EBITDA!$A$5:$AB$100,MATCH('Tracking KPI'!A86,EBITDA!$A$5:$A$100,0),MATCH('Tracking KPI'!$C$3,EBITDA!$A$5:$AB$5,0))</f>
        <v>0</v>
      </c>
      <c r="D86" s="182">
        <f>INDEX(EBITDA!$AE$5:$BG$100,MATCH(A86,EBITDA!$AE$5:$AE$100,0),MATCH('Tracking KPI'!$C$3,EBITDA!$AE$5:$BG$5,0))</f>
        <v>2.5735250677499999</v>
      </c>
      <c r="E86" s="182">
        <f>C86-INDEX(EBITDA!$A$5:$AB$100,MATCH('Tracking KPI'!A86,EBITDA!$A$5:$A$100,0),MATCH('Tracking KPI'!$C$4,EBITDA!$A$5:$AB$5,0))</f>
        <v>-0.58099999999999996</v>
      </c>
      <c r="F86" s="183">
        <f t="shared" si="8"/>
        <v>0</v>
      </c>
      <c r="G86" s="182">
        <f t="shared" si="9"/>
        <v>-2.5735250677499999</v>
      </c>
      <c r="H86" s="182">
        <f ca="1">EBITDA!P97</f>
        <v>1.2809999999999999</v>
      </c>
      <c r="I86" s="182">
        <f ca="1">EBITDA!BF97</f>
        <v>28.308775745250003</v>
      </c>
      <c r="J86" s="182">
        <f>EBITDA!BG97</f>
        <v>30.882300813000004</v>
      </c>
      <c r="K86" s="289">
        <f t="shared" ca="1" si="7"/>
        <v>-27.027775745250004</v>
      </c>
      <c r="L86" s="183">
        <f t="shared" ca="1" si="10"/>
        <v>4.1480070016698976E-2</v>
      </c>
      <c r="M86" s="80"/>
    </row>
    <row r="87" spans="1:13" ht="16" outlineLevel="1">
      <c r="A87" s="186" t="s">
        <v>166</v>
      </c>
      <c r="B87" s="289">
        <f>INDEX(EBITDA!$A$5:$AB$100,MATCH('Tracking KPI'!A87,EBITDA!$A$5:$A$100,0),MATCH('Tracking KPI'!$C$4,EBITDA!$A$5:$AB$5,0))</f>
        <v>0</v>
      </c>
      <c r="C87" s="182">
        <f>INDEX(EBITDA!$A$5:$AB$100,MATCH('Tracking KPI'!A87,EBITDA!$A$5:$A$100,0),MATCH('Tracking KPI'!$C$3,EBITDA!$A$5:$AB$5,0))</f>
        <v>0</v>
      </c>
      <c r="D87" s="182">
        <f>INDEX(EBITDA!$AE$5:$BG$100,MATCH(A87,EBITDA!$AE$5:$AE$100,0),MATCH('Tracking KPI'!$C$3,EBITDA!$AE$5:$BG$5,0))</f>
        <v>0</v>
      </c>
      <c r="E87" s="182">
        <f>C87-INDEX(EBITDA!$A$5:$AB$100,MATCH('Tracking KPI'!A87,EBITDA!$A$5:$A$100,0),MATCH('Tracking KPI'!$C$4,EBITDA!$A$5:$AB$5,0))</f>
        <v>0</v>
      </c>
      <c r="F87" s="183" t="str">
        <f t="shared" si="8"/>
        <v/>
      </c>
      <c r="G87" s="182">
        <f t="shared" si="9"/>
        <v>0</v>
      </c>
      <c r="H87" s="182">
        <f ca="1">EBITDA!P98</f>
        <v>1.8892455000000002E-2</v>
      </c>
      <c r="I87" s="182">
        <f ca="1">EBITDA!BF98</f>
        <v>0</v>
      </c>
      <c r="J87" s="182">
        <f>EBITDA!BG98</f>
        <v>0</v>
      </c>
      <c r="K87" s="289">
        <f t="shared" ca="1" si="7"/>
        <v>1.8892455000000002E-2</v>
      </c>
      <c r="L87" s="183" t="str">
        <f t="shared" ca="1" si="10"/>
        <v/>
      </c>
      <c r="M87" s="80"/>
    </row>
    <row r="88" spans="1:13" ht="16">
      <c r="A88" s="189" t="s">
        <v>167</v>
      </c>
      <c r="B88" s="199">
        <f>INDEX(EBITDA!$A$5:$AB$100,MATCH('Tracking KPI'!A88,EBITDA!$A$5:$A$100,0),MATCH('Tracking KPI'!$C$4,EBITDA!$A$5:$AB$5,0))</f>
        <v>36.698189642160784</v>
      </c>
      <c r="C88" s="199">
        <f>INDEX(EBITDA!$A$5:$AB$100,MATCH('Tracking KPI'!A88,EBITDA!$A$5:$A$100,0),MATCH('Tracking KPI'!$C$3,EBITDA!$A$5:$AB$5,0))</f>
        <v>73.640786992412046</v>
      </c>
      <c r="D88" s="199">
        <f>INDEX(EBITDA!$AE$5:$BG$100,MATCH(A88,EBITDA!$AE$5:$AE$100,0),MATCH('Tracking KPI'!$C$3,EBITDA!$AE$5:$BG$5,0))</f>
        <v>18.046760818457457</v>
      </c>
      <c r="E88" s="199">
        <f>C88-INDEX(EBITDA!$A$5:$AB$100,MATCH('Tracking KPI'!A88,EBITDA!$A$5:$A$100,0),MATCH('Tracking KPI'!$C$4,EBITDA!$A$5:$AB$5,0))</f>
        <v>36.942597350251262</v>
      </c>
      <c r="F88" s="200">
        <f t="shared" si="8"/>
        <v>2.006659939099821</v>
      </c>
      <c r="G88" s="199">
        <f t="shared" si="9"/>
        <v>55.594026173954589</v>
      </c>
      <c r="H88" s="199">
        <f ca="1">EBITDA!P99</f>
        <v>149.05684881413075</v>
      </c>
      <c r="I88" s="199">
        <f ca="1">EBITDA!BF99</f>
        <v>-13.207101451332761</v>
      </c>
      <c r="J88" s="199">
        <f>EBITDA!BG99</f>
        <v>51.614434519376815</v>
      </c>
      <c r="K88" s="199">
        <f t="shared" ca="1" si="7"/>
        <v>162.26395026546351</v>
      </c>
      <c r="L88" s="200">
        <f t="shared" ca="1" si="10"/>
        <v>2.8878907654829118</v>
      </c>
      <c r="M88" s="80"/>
    </row>
    <row r="89" spans="1:13" ht="16">
      <c r="A89" s="194" t="s">
        <v>168</v>
      </c>
      <c r="B89" s="195">
        <f>INDEX(EBITDA!$A$5:$AB$100,MATCH('Tracking KPI'!A89,EBITDA!$A$5:$A$100,0),MATCH('Tracking KPI'!$C$4,EBITDA!$A$5:$AB$5,0))</f>
        <v>39.02237702616079</v>
      </c>
      <c r="C89" s="195">
        <f>INDEX(EBITDA!$A$5:$AB$100,MATCH('Tracking KPI'!A89,EBITDA!$A$5:$A$100,0),MATCH('Tracking KPI'!$C$3,EBITDA!$A$5:$AB$5,0))</f>
        <v>75.823232855412044</v>
      </c>
      <c r="D89" s="195">
        <f>INDEX(EBITDA!$AE$5:$BG$100,MATCH(A89,EBITDA!$AE$5:$AE$100,0),MATCH('Tracking KPI'!$C$3,EBITDA!$AE$5:$BG$5,0))</f>
        <v>21.213505075695789</v>
      </c>
      <c r="E89" s="195">
        <f>C89-INDEX(EBITDA!$A$5:$AB$100,MATCH('Tracking KPI'!A89,EBITDA!$A$5:$A$100,0),MATCH('Tracking KPI'!$C$4,EBITDA!$A$5:$AB$5,0))</f>
        <v>36.800855829251255</v>
      </c>
      <c r="F89" s="196">
        <f t="shared" si="8"/>
        <v>1.9430705824142847</v>
      </c>
      <c r="G89" s="195">
        <f>C89-D89</f>
        <v>54.609727779716252</v>
      </c>
      <c r="H89" s="1047">
        <f ca="1">EBITDA!P100</f>
        <v>177.13953595913074</v>
      </c>
      <c r="I89" s="1047">
        <f ca="1">EBITDA!BF100</f>
        <v>21.627085378288882</v>
      </c>
      <c r="J89" s="1047">
        <f>EBITDA!BG100</f>
        <v>89.615365606236793</v>
      </c>
      <c r="K89" s="1047">
        <f t="shared" ca="1" si="7"/>
        <v>155.51245058084186</v>
      </c>
      <c r="L89" s="196">
        <f t="shared" ca="1" si="10"/>
        <v>1.976664769047181</v>
      </c>
      <c r="M89" s="80"/>
    </row>
    <row r="90" spans="1:13">
      <c r="J90" s="5"/>
    </row>
    <row r="91" spans="1:13">
      <c r="J91" s="5"/>
    </row>
    <row r="92" spans="1:13">
      <c r="C92" s="98"/>
      <c r="E92" s="98"/>
    </row>
  </sheetData>
  <dataConsolidate/>
  <mergeCells count="2">
    <mergeCell ref="A3:B3"/>
    <mergeCell ref="A4:B4"/>
  </mergeCells>
  <conditionalFormatting sqref="A11:A23 A59:A65 A68:A87 A25:A57">
    <cfRule type="duplicateValues" dxfId="0" priority="18"/>
  </conditionalFormatting>
  <dataValidations count="1">
    <dataValidation type="list" allowBlank="1" showInputMessage="1" showErrorMessage="1" sqref="C3:C4" xr:uid="{8CD3553D-49C1-4342-89A7-2225685844D4}">
      <formula1>$AF$6:$AF$29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6368E-7C5F-4DBE-85C7-6CAE796A6717}">
  <sheetPr filterMode="1">
    <tabColor rgb="FF92D050"/>
  </sheetPr>
  <dimension ref="B1:AD369"/>
  <sheetViews>
    <sheetView zoomScale="55" zoomScaleNormal="55" workbookViewId="0">
      <pane xSplit="12" ySplit="2" topLeftCell="W9" activePane="bottomRight" state="frozen"/>
      <selection pane="topRight" activeCell="J1" sqref="J1"/>
      <selection pane="bottomLeft" activeCell="A3" sqref="A3"/>
      <selection pane="bottomRight" activeCell="G233" sqref="G233"/>
    </sheetView>
  </sheetViews>
  <sheetFormatPr baseColWidth="10" defaultColWidth="11" defaultRowHeight="15"/>
  <cols>
    <col min="1" max="1" width="11" customWidth="1"/>
    <col min="2" max="4" width="11" hidden="1" customWidth="1"/>
    <col min="5" max="5" width="11" customWidth="1"/>
    <col min="6" max="7" width="26.83203125" customWidth="1"/>
    <col min="8" max="9" width="11" customWidth="1"/>
    <col min="10" max="10" width="7.33203125" customWidth="1"/>
    <col min="11" max="11" width="11" customWidth="1"/>
    <col min="12" max="12" width="31.6640625" customWidth="1"/>
    <col min="13" max="13" width="17.5" customWidth="1"/>
    <col min="14" max="15" width="15.5" customWidth="1"/>
    <col min="16" max="16" width="11" customWidth="1"/>
    <col min="17" max="19" width="15.5" bestFit="1" customWidth="1"/>
    <col min="20" max="21" width="15.6640625" bestFit="1" customWidth="1"/>
    <col min="22" max="22" width="15.6640625" style="7" bestFit="1" customWidth="1"/>
    <col min="23" max="23" width="16.83203125" bestFit="1" customWidth="1"/>
    <col min="24" max="24" width="17.5" customWidth="1"/>
    <col min="25" max="25" width="17.6640625" customWidth="1"/>
    <col min="26" max="26" width="17.1640625" bestFit="1" customWidth="1"/>
    <col min="27" max="28" width="19.33203125" customWidth="1"/>
    <col min="29" max="29" width="18.33203125" bestFit="1" customWidth="1"/>
    <col min="30" max="30" width="12.83203125" bestFit="1" customWidth="1"/>
  </cols>
  <sheetData>
    <row r="1" spans="2:30" ht="24" customHeight="1">
      <c r="B1" s="466" t="s">
        <v>177</v>
      </c>
      <c r="C1" s="466" t="s">
        <v>178</v>
      </c>
      <c r="D1" s="466" t="s">
        <v>179</v>
      </c>
      <c r="E1" s="466" t="s">
        <v>180</v>
      </c>
      <c r="F1" s="1156" t="s">
        <v>181</v>
      </c>
      <c r="G1" s="1407" t="s">
        <v>182</v>
      </c>
      <c r="H1" s="466"/>
      <c r="I1" s="466" t="s">
        <v>183</v>
      </c>
      <c r="J1" s="467" t="s">
        <v>184</v>
      </c>
      <c r="L1" s="1048" t="s">
        <v>185</v>
      </c>
      <c r="M1" s="1048" t="s">
        <v>8</v>
      </c>
      <c r="N1" s="1049">
        <v>45597</v>
      </c>
      <c r="O1" s="1049">
        <v>45627</v>
      </c>
      <c r="P1" s="1049">
        <v>45658</v>
      </c>
      <c r="Q1" s="1049">
        <v>45689</v>
      </c>
      <c r="R1" s="1049">
        <v>45717</v>
      </c>
      <c r="S1" s="1049">
        <v>45748</v>
      </c>
      <c r="T1" s="1049">
        <v>45778</v>
      </c>
      <c r="U1" s="1049">
        <v>45809</v>
      </c>
      <c r="V1" s="1049">
        <v>45839</v>
      </c>
      <c r="W1" s="1049">
        <v>45870</v>
      </c>
      <c r="X1" s="1049">
        <v>45901</v>
      </c>
      <c r="Y1" s="1049">
        <v>45931</v>
      </c>
      <c r="Z1" s="1049">
        <v>45962</v>
      </c>
      <c r="AA1" s="1049">
        <v>45992</v>
      </c>
      <c r="AB1" s="1289" t="s">
        <v>186</v>
      </c>
      <c r="AC1" t="s">
        <v>187</v>
      </c>
      <c r="AD1" s="34">
        <f>AA80+AA186+AA239+AA292+AA345</f>
        <v>374868547</v>
      </c>
    </row>
    <row r="2" spans="2:30" hidden="1">
      <c r="B2" s="468"/>
      <c r="C2" s="468"/>
      <c r="D2" s="468"/>
      <c r="E2" s="468"/>
      <c r="F2" s="468"/>
      <c r="G2" s="468"/>
      <c r="H2" s="468"/>
      <c r="I2" s="468"/>
      <c r="J2" s="468"/>
      <c r="L2" s="1048" t="s">
        <v>25</v>
      </c>
      <c r="M2" s="1048"/>
      <c r="N2" s="1049"/>
      <c r="O2" s="1049"/>
      <c r="P2" s="1049"/>
      <c r="Q2" s="1049"/>
      <c r="R2" s="1049"/>
      <c r="S2" s="1049"/>
      <c r="T2" s="1049"/>
      <c r="U2" s="1049"/>
      <c r="V2" s="1289"/>
      <c r="W2" s="1049"/>
      <c r="X2" s="1049"/>
      <c r="Y2" s="1049"/>
      <c r="Z2" s="1049"/>
      <c r="AA2" s="1049"/>
      <c r="AB2" s="1049"/>
      <c r="AC2" t="s">
        <v>188</v>
      </c>
      <c r="AD2" s="34">
        <f>AA90+AA196+AA249+AA302+AA355</f>
        <v>630277621</v>
      </c>
    </row>
    <row r="3" spans="2:30" hidden="1">
      <c r="B3" s="468" t="s">
        <v>189</v>
      </c>
      <c r="C3" s="468" t="s">
        <v>190</v>
      </c>
      <c r="D3" s="468" t="s">
        <v>190</v>
      </c>
      <c r="E3" s="468" t="s">
        <v>191</v>
      </c>
      <c r="F3" s="468"/>
      <c r="G3" s="468"/>
      <c r="H3" s="468"/>
      <c r="I3" s="1050"/>
      <c r="J3" s="468"/>
      <c r="K3" t="s">
        <v>192</v>
      </c>
      <c r="L3" s="1052" t="s">
        <v>193</v>
      </c>
      <c r="N3" s="7">
        <f t="shared" ref="N3:P5" si="0">N53+N159+N212+N265</f>
        <v>6543</v>
      </c>
      <c r="O3" s="7">
        <f t="shared" si="0"/>
        <v>7080</v>
      </c>
      <c r="P3" s="7">
        <f t="shared" si="0"/>
        <v>6883</v>
      </c>
      <c r="Q3" s="7">
        <f t="shared" ref="Q3:AA3" si="1">Q53+Q159+Q212+Q265+Q318</f>
        <v>15455</v>
      </c>
      <c r="R3" s="7">
        <f t="shared" si="1"/>
        <v>7234</v>
      </c>
      <c r="S3" s="7">
        <f t="shared" si="1"/>
        <v>7199</v>
      </c>
      <c r="T3" s="7">
        <f t="shared" si="1"/>
        <v>7341</v>
      </c>
      <c r="U3" s="7">
        <f t="shared" si="1"/>
        <v>9544</v>
      </c>
      <c r="V3" s="7">
        <f t="shared" si="1"/>
        <v>9371</v>
      </c>
      <c r="W3" s="7">
        <f t="shared" si="1"/>
        <v>8431</v>
      </c>
      <c r="X3" s="7">
        <f t="shared" si="1"/>
        <v>8440</v>
      </c>
      <c r="Y3" s="7">
        <f t="shared" si="1"/>
        <v>9649</v>
      </c>
      <c r="Z3" s="7">
        <f t="shared" si="1"/>
        <v>9525</v>
      </c>
      <c r="AA3" s="7">
        <f t="shared" si="1"/>
        <v>11975</v>
      </c>
      <c r="AB3" s="7"/>
    </row>
    <row r="4" spans="2:30" hidden="1">
      <c r="B4" s="468" t="s">
        <v>189</v>
      </c>
      <c r="C4" s="468" t="s">
        <v>190</v>
      </c>
      <c r="D4" s="468" t="s">
        <v>190</v>
      </c>
      <c r="E4" s="468" t="s">
        <v>191</v>
      </c>
      <c r="F4" s="468"/>
      <c r="G4" s="468"/>
      <c r="H4" s="468"/>
      <c r="I4" s="1050"/>
      <c r="J4" s="468" t="str">
        <f t="shared" ref="J4:J50" si="2">B4&amp;"_"&amp;C4&amp;"_"&amp;D4&amp;"_"&amp;E4&amp;"_"&amp;I4</f>
        <v>lending_paylater_paylater_all_</v>
      </c>
      <c r="K4" t="s">
        <v>192</v>
      </c>
      <c r="L4" s="1052" t="s">
        <v>194</v>
      </c>
      <c r="N4" s="34">
        <f t="shared" si="0"/>
        <v>46582</v>
      </c>
      <c r="O4" s="34">
        <f t="shared" si="0"/>
        <v>53662</v>
      </c>
      <c r="P4" s="34">
        <f t="shared" si="0"/>
        <v>60545</v>
      </c>
      <c r="Q4" s="34">
        <f t="shared" ref="Q4:AA4" si="3">Q54+Q160+Q213+Q266+Q319</f>
        <v>76000</v>
      </c>
      <c r="R4" s="34">
        <f t="shared" si="3"/>
        <v>83234</v>
      </c>
      <c r="S4" s="34">
        <f t="shared" si="3"/>
        <v>90433</v>
      </c>
      <c r="T4" s="34">
        <f t="shared" si="3"/>
        <v>97774</v>
      </c>
      <c r="U4" s="34">
        <f t="shared" si="3"/>
        <v>107318</v>
      </c>
      <c r="V4" s="34">
        <f t="shared" si="3"/>
        <v>116689</v>
      </c>
      <c r="W4" s="34">
        <f t="shared" si="3"/>
        <v>125120</v>
      </c>
      <c r="X4" s="34">
        <f t="shared" si="3"/>
        <v>133560</v>
      </c>
      <c r="Y4" s="34">
        <f t="shared" si="3"/>
        <v>143209</v>
      </c>
      <c r="Z4" s="34">
        <f t="shared" si="3"/>
        <v>152734</v>
      </c>
      <c r="AA4" s="34">
        <f t="shared" si="3"/>
        <v>164709</v>
      </c>
      <c r="AB4" s="34"/>
    </row>
    <row r="5" spans="2:30" hidden="1">
      <c r="B5" s="468" t="s">
        <v>189</v>
      </c>
      <c r="C5" s="468" t="s">
        <v>190</v>
      </c>
      <c r="D5" s="468" t="s">
        <v>190</v>
      </c>
      <c r="E5" s="468" t="s">
        <v>191</v>
      </c>
      <c r="F5" s="468"/>
      <c r="G5" s="468"/>
      <c r="H5" s="468"/>
      <c r="I5" s="1050"/>
      <c r="J5" s="468" t="str">
        <f t="shared" si="2"/>
        <v>lending_paylater_paylater_all_</v>
      </c>
      <c r="K5" t="s">
        <v>192</v>
      </c>
      <c r="L5" s="1052" t="s">
        <v>195</v>
      </c>
      <c r="N5" s="7">
        <f t="shared" si="0"/>
        <v>14245</v>
      </c>
      <c r="O5" s="7">
        <f t="shared" si="0"/>
        <v>17150</v>
      </c>
      <c r="P5" s="7">
        <f t="shared" si="0"/>
        <v>18893</v>
      </c>
      <c r="Q5" s="7">
        <f t="shared" ref="Q5:AA5" si="4">Q55+Q161+Q214+Q267+Q320</f>
        <v>22017</v>
      </c>
      <c r="R5" s="7">
        <f t="shared" si="4"/>
        <v>34315</v>
      </c>
      <c r="S5" s="7">
        <f t="shared" si="4"/>
        <v>24567</v>
      </c>
      <c r="T5" s="7">
        <f t="shared" si="4"/>
        <v>27071</v>
      </c>
      <c r="U5" s="7">
        <f t="shared" si="4"/>
        <v>29160</v>
      </c>
      <c r="V5" s="7">
        <f t="shared" si="4"/>
        <v>31947</v>
      </c>
      <c r="W5" s="7">
        <f t="shared" si="4"/>
        <v>30783</v>
      </c>
      <c r="X5" s="7">
        <f t="shared" si="4"/>
        <v>30429</v>
      </c>
      <c r="Y5" s="7">
        <f t="shared" si="4"/>
        <v>31064</v>
      </c>
      <c r="Z5" s="7">
        <f t="shared" si="4"/>
        <v>32697</v>
      </c>
      <c r="AA5" s="7">
        <f t="shared" si="4"/>
        <v>35158</v>
      </c>
      <c r="AB5" s="7"/>
    </row>
    <row r="6" spans="2:30" hidden="1">
      <c r="B6" s="468" t="s">
        <v>189</v>
      </c>
      <c r="C6" s="468" t="s">
        <v>190</v>
      </c>
      <c r="D6" s="468" t="s">
        <v>190</v>
      </c>
      <c r="E6" s="468" t="s">
        <v>191</v>
      </c>
      <c r="F6" s="468"/>
      <c r="G6" s="468"/>
      <c r="H6" s="468"/>
      <c r="I6" s="1050"/>
      <c r="J6" s="468" t="str">
        <f t="shared" si="2"/>
        <v>lending_paylater_paylater_all_</v>
      </c>
      <c r="K6" t="s">
        <v>192</v>
      </c>
      <c r="L6" s="1052" t="s">
        <v>196</v>
      </c>
      <c r="N6" s="42">
        <f t="shared" ref="N6:T6" si="5">N5/N4</f>
        <v>0.30580481731140785</v>
      </c>
      <c r="O6" s="42">
        <f t="shared" si="5"/>
        <v>0.31959300808765978</v>
      </c>
      <c r="P6" s="42">
        <f t="shared" si="5"/>
        <v>0.31204888925592533</v>
      </c>
      <c r="Q6" s="42">
        <f t="shared" si="5"/>
        <v>0.28969736842105265</v>
      </c>
      <c r="R6" s="42">
        <f t="shared" si="5"/>
        <v>0.4122714275416296</v>
      </c>
      <c r="S6" s="42">
        <f t="shared" si="5"/>
        <v>0.27165968175334226</v>
      </c>
      <c r="T6" s="42">
        <f t="shared" si="5"/>
        <v>0.27687319737353489</v>
      </c>
      <c r="U6" s="42">
        <f t="shared" ref="U6" si="6">U5/U4</f>
        <v>0.27171583518142345</v>
      </c>
      <c r="V6" s="42">
        <f t="shared" ref="V6:AA6" si="7">V5/V4</f>
        <v>0.27377901944484911</v>
      </c>
      <c r="W6" s="42">
        <f t="shared" si="7"/>
        <v>0.24602781329923273</v>
      </c>
      <c r="X6" s="42">
        <f t="shared" si="7"/>
        <v>0.22783018867924529</v>
      </c>
      <c r="Y6" s="42">
        <f t="shared" si="7"/>
        <v>0.21691374145479683</v>
      </c>
      <c r="Z6" s="42">
        <f t="shared" si="7"/>
        <v>0.21407807037070986</v>
      </c>
      <c r="AA6" s="42">
        <f t="shared" si="7"/>
        <v>0.21345524531142804</v>
      </c>
      <c r="AB6" s="42"/>
    </row>
    <row r="7" spans="2:30" hidden="1">
      <c r="B7" s="468" t="s">
        <v>189</v>
      </c>
      <c r="C7" s="468" t="s">
        <v>190</v>
      </c>
      <c r="D7" s="468" t="s">
        <v>190</v>
      </c>
      <c r="E7" s="468" t="s">
        <v>191</v>
      </c>
      <c r="F7" s="468"/>
      <c r="G7" s="468"/>
      <c r="H7" s="468"/>
      <c r="I7" s="1050"/>
      <c r="J7" s="468" t="str">
        <f t="shared" si="2"/>
        <v>lending_paylater_paylater_all_</v>
      </c>
      <c r="K7" t="s">
        <v>192</v>
      </c>
      <c r="L7" s="1052" t="s">
        <v>197</v>
      </c>
      <c r="N7" s="7">
        <f t="shared" ref="N7:T7" si="8">N9/N4</f>
        <v>335043.57906487485</v>
      </c>
      <c r="O7" s="7">
        <f t="shared" si="8"/>
        <v>372870.93287615071</v>
      </c>
      <c r="P7" s="7">
        <f t="shared" si="8"/>
        <v>407498.55479395489</v>
      </c>
      <c r="Q7" s="7">
        <f t="shared" si="8"/>
        <v>490083.62631578947</v>
      </c>
      <c r="R7" s="7">
        <f t="shared" si="8"/>
        <v>405308.37439027318</v>
      </c>
      <c r="S7" s="7">
        <f t="shared" si="8"/>
        <v>367585.50952638971</v>
      </c>
      <c r="T7" s="7">
        <f t="shared" si="8"/>
        <v>382000.70098390162</v>
      </c>
      <c r="U7" s="7">
        <f t="shared" ref="U7" si="9">U9/U4</f>
        <v>403570.38899345871</v>
      </c>
      <c r="V7" s="7">
        <f t="shared" ref="V7:AA7" si="10">V9/V4</f>
        <v>414334.18536451593</v>
      </c>
      <c r="W7" s="7">
        <f t="shared" si="10"/>
        <v>375792.64110453962</v>
      </c>
      <c r="X7" s="7">
        <f t="shared" si="10"/>
        <v>345044.26011530397</v>
      </c>
      <c r="Y7" s="7">
        <f t="shared" si="10"/>
        <v>391120.3849758046</v>
      </c>
      <c r="Z7" s="7">
        <f t="shared" si="10"/>
        <v>427844.27433970169</v>
      </c>
      <c r="AA7" s="7">
        <f t="shared" si="10"/>
        <v>411193.48458189901</v>
      </c>
      <c r="AB7" s="7"/>
    </row>
    <row r="8" spans="2:30" hidden="1">
      <c r="B8" s="468" t="s">
        <v>189</v>
      </c>
      <c r="C8" s="468" t="s">
        <v>190</v>
      </c>
      <c r="D8" s="468" t="s">
        <v>190</v>
      </c>
      <c r="E8" s="468" t="s">
        <v>191</v>
      </c>
      <c r="F8" s="468"/>
      <c r="G8" s="468"/>
      <c r="H8" s="468"/>
      <c r="I8" s="1050"/>
      <c r="J8" s="468" t="str">
        <f t="shared" si="2"/>
        <v>lending_paylater_paylater_all_</v>
      </c>
      <c r="K8" t="s">
        <v>192</v>
      </c>
      <c r="L8" s="1053" t="s">
        <v>198</v>
      </c>
      <c r="N8" s="7">
        <f t="shared" ref="N8:T8" si="11">N9/N5</f>
        <v>1095612.4956124956</v>
      </c>
      <c r="O8" s="7">
        <f t="shared" si="11"/>
        <v>1166705.5393586005</v>
      </c>
      <c r="P8" s="7">
        <f t="shared" si="11"/>
        <v>1305880.4848356533</v>
      </c>
      <c r="Q8" s="7">
        <f t="shared" si="11"/>
        <v>1691708.9340055413</v>
      </c>
      <c r="R8" s="7">
        <f t="shared" si="11"/>
        <v>983110.51242896693</v>
      </c>
      <c r="S8" s="7">
        <f t="shared" si="11"/>
        <v>1353110.2854642407</v>
      </c>
      <c r="T8" s="7">
        <f t="shared" si="11"/>
        <v>1379695.4873480846</v>
      </c>
      <c r="U8" s="7">
        <f t="shared" ref="U8" si="12">U9/U5</f>
        <v>1485266.3582304528</v>
      </c>
      <c r="V8" s="7">
        <f t="shared" ref="V8:AA8" si="13">V9/V5</f>
        <v>1513389.1055811187</v>
      </c>
      <c r="W8" s="7">
        <f t="shared" si="13"/>
        <v>1527439.6665367249</v>
      </c>
      <c r="X8" s="7">
        <f t="shared" si="13"/>
        <v>1514479.9822866344</v>
      </c>
      <c r="Y8" s="7">
        <f t="shared" si="13"/>
        <v>1803114.8342776203</v>
      </c>
      <c r="Z8" s="7">
        <f t="shared" si="13"/>
        <v>1998543.2118237147</v>
      </c>
      <c r="AA8" s="7">
        <f t="shared" si="13"/>
        <v>1926368.6117526593</v>
      </c>
      <c r="AB8" s="7"/>
    </row>
    <row r="9" spans="2:30">
      <c r="B9" s="468" t="s">
        <v>189</v>
      </c>
      <c r="C9" s="468" t="s">
        <v>190</v>
      </c>
      <c r="D9" s="468" t="s">
        <v>190</v>
      </c>
      <c r="E9" s="468" t="s">
        <v>191</v>
      </c>
      <c r="F9" s="468" t="str">
        <f>E9&amp;"PL"</f>
        <v>allPL</v>
      </c>
      <c r="G9" s="468" t="str">
        <f>L9&amp;F9</f>
        <v>SpendingallPL</v>
      </c>
      <c r="H9" s="468" t="str">
        <f>L9&amp;E9</f>
        <v>Spendingall</v>
      </c>
      <c r="I9" s="1050"/>
      <c r="J9" s="468" t="str">
        <f t="shared" si="2"/>
        <v>lending_paylater_paylater_all_</v>
      </c>
      <c r="K9" t="s">
        <v>192</v>
      </c>
      <c r="L9" s="1052" t="s">
        <v>199</v>
      </c>
      <c r="M9" s="34">
        <f>SUM(P9:AA9)</f>
        <v>540092879414</v>
      </c>
      <c r="N9" s="34">
        <f t="shared" ref="N9:AA9" si="14">N59+N165+N218+N271+N324</f>
        <v>15607000000</v>
      </c>
      <c r="O9" s="34">
        <f t="shared" si="14"/>
        <v>20009000000</v>
      </c>
      <c r="P9" s="34">
        <f t="shared" si="14"/>
        <v>24672000000</v>
      </c>
      <c r="Q9" s="34">
        <f t="shared" si="14"/>
        <v>37246355600</v>
      </c>
      <c r="R9" s="34">
        <f t="shared" si="14"/>
        <v>33735437234</v>
      </c>
      <c r="S9" s="34">
        <f t="shared" si="14"/>
        <v>33241860383</v>
      </c>
      <c r="T9" s="34">
        <f t="shared" si="14"/>
        <v>37349736538</v>
      </c>
      <c r="U9" s="34">
        <f t="shared" si="14"/>
        <v>43310367006</v>
      </c>
      <c r="V9" s="34">
        <f t="shared" si="14"/>
        <v>48348241756</v>
      </c>
      <c r="W9" s="34">
        <f t="shared" si="14"/>
        <v>47019175255</v>
      </c>
      <c r="X9" s="34">
        <f t="shared" si="14"/>
        <v>46084111381</v>
      </c>
      <c r="Y9" s="34">
        <f t="shared" si="14"/>
        <v>56011959212</v>
      </c>
      <c r="Z9" s="34">
        <f t="shared" si="14"/>
        <v>65346367397</v>
      </c>
      <c r="AA9" s="34">
        <f t="shared" si="14"/>
        <v>67727267652</v>
      </c>
      <c r="AB9" s="7">
        <f>SUM(P9:AA9)</f>
        <v>540092879414</v>
      </c>
    </row>
    <row r="10" spans="2:30" hidden="1">
      <c r="B10" s="468" t="s">
        <v>189</v>
      </c>
      <c r="C10" s="468" t="s">
        <v>190</v>
      </c>
      <c r="D10" s="468" t="s">
        <v>190</v>
      </c>
      <c r="E10" s="468" t="s">
        <v>191</v>
      </c>
      <c r="F10" s="468"/>
      <c r="G10" s="468"/>
      <c r="H10" s="468"/>
      <c r="I10" s="455"/>
      <c r="J10" s="468" t="str">
        <f t="shared" si="2"/>
        <v>lending_paylater_paylater_all_</v>
      </c>
      <c r="K10" t="s">
        <v>192</v>
      </c>
      <c r="L10" s="1052" t="s">
        <v>200</v>
      </c>
      <c r="N10" s="34">
        <f t="shared" ref="N10:AA10" si="15">N60+N166+N219+N272+N325</f>
        <v>19901753440</v>
      </c>
      <c r="O10" s="34">
        <f t="shared" si="15"/>
        <v>26019348460</v>
      </c>
      <c r="P10" s="34">
        <f t="shared" si="15"/>
        <v>32772966364</v>
      </c>
      <c r="Q10" s="34">
        <f t="shared" si="15"/>
        <v>47654457310</v>
      </c>
      <c r="R10" s="34">
        <f t="shared" si="15"/>
        <v>50464191113</v>
      </c>
      <c r="S10" s="34">
        <f t="shared" si="15"/>
        <v>57096907297</v>
      </c>
      <c r="T10" s="34">
        <f t="shared" si="15"/>
        <v>64191029587</v>
      </c>
      <c r="U10" s="34">
        <f t="shared" si="15"/>
        <v>75116810740</v>
      </c>
      <c r="V10" s="34">
        <f t="shared" si="15"/>
        <v>90871551821</v>
      </c>
      <c r="W10" s="34">
        <f t="shared" si="15"/>
        <v>106882449807</v>
      </c>
      <c r="X10" s="34">
        <f t="shared" si="15"/>
        <v>121764644082</v>
      </c>
      <c r="Y10" s="34">
        <f t="shared" si="15"/>
        <v>129701056042</v>
      </c>
      <c r="Z10" s="34">
        <f t="shared" si="15"/>
        <v>150340802454</v>
      </c>
      <c r="AA10" s="34">
        <f t="shared" si="15"/>
        <v>169253246441</v>
      </c>
      <c r="AB10" s="34"/>
    </row>
    <row r="11" spans="2:30" hidden="1">
      <c r="B11" s="468" t="s">
        <v>189</v>
      </c>
      <c r="C11" s="468" t="s">
        <v>190</v>
      </c>
      <c r="D11" s="468" t="s">
        <v>190</v>
      </c>
      <c r="E11" s="468" t="s">
        <v>191</v>
      </c>
      <c r="F11" s="468"/>
      <c r="G11" s="468"/>
      <c r="H11" s="468"/>
      <c r="I11" s="455"/>
      <c r="J11" s="468" t="str">
        <f t="shared" si="2"/>
        <v>lending_paylater_paylater_all_</v>
      </c>
      <c r="K11" t="s">
        <v>192</v>
      </c>
      <c r="L11" s="1052" t="s">
        <v>201</v>
      </c>
      <c r="N11" s="34">
        <f t="shared" ref="N11:AA11" si="16">N61+N167+N220+N273+N326</f>
        <v>0</v>
      </c>
      <c r="O11" s="34">
        <f t="shared" si="16"/>
        <v>0</v>
      </c>
      <c r="P11" s="34">
        <f t="shared" si="16"/>
        <v>0</v>
      </c>
      <c r="Q11" s="34">
        <f t="shared" si="16"/>
        <v>0</v>
      </c>
      <c r="R11" s="34">
        <f t="shared" si="16"/>
        <v>0</v>
      </c>
      <c r="S11" s="34">
        <f t="shared" si="16"/>
        <v>0</v>
      </c>
      <c r="T11" s="34">
        <f t="shared" si="16"/>
        <v>0</v>
      </c>
      <c r="U11" s="34">
        <f t="shared" si="16"/>
        <v>72714029194</v>
      </c>
      <c r="V11" s="34">
        <f t="shared" si="16"/>
        <v>84048581123</v>
      </c>
      <c r="W11" s="34">
        <f t="shared" si="16"/>
        <v>96786565751</v>
      </c>
      <c r="X11" s="34">
        <f t="shared" si="16"/>
        <v>108081973142</v>
      </c>
      <c r="Y11" s="34">
        <f t="shared" si="16"/>
        <v>109199495683</v>
      </c>
      <c r="Z11" s="34">
        <f t="shared" si="16"/>
        <v>120785506452</v>
      </c>
      <c r="AA11" s="34">
        <f t="shared" si="16"/>
        <v>131054611363</v>
      </c>
      <c r="AB11" s="34"/>
    </row>
    <row r="12" spans="2:30" hidden="1">
      <c r="B12" s="468" t="s">
        <v>189</v>
      </c>
      <c r="C12" s="468" t="s">
        <v>190</v>
      </c>
      <c r="D12" s="468" t="s">
        <v>190</v>
      </c>
      <c r="E12" s="468" t="s">
        <v>191</v>
      </c>
      <c r="F12" s="468"/>
      <c r="G12" s="468"/>
      <c r="H12" s="468"/>
      <c r="I12" s="455"/>
      <c r="J12" s="468" t="str">
        <f t="shared" si="2"/>
        <v>lending_paylater_paylater_all_</v>
      </c>
      <c r="K12" t="s">
        <v>192</v>
      </c>
      <c r="L12" s="1052" t="s">
        <v>202</v>
      </c>
      <c r="N12" s="34">
        <f t="shared" ref="N12:AA12" si="17">N62+N168+N221+N274+N327</f>
        <v>0</v>
      </c>
      <c r="O12" s="34">
        <f t="shared" si="17"/>
        <v>0</v>
      </c>
      <c r="P12" s="34">
        <f t="shared" si="17"/>
        <v>0</v>
      </c>
      <c r="Q12" s="34">
        <f t="shared" si="17"/>
        <v>0</v>
      </c>
      <c r="R12" s="34">
        <f t="shared" si="17"/>
        <v>0</v>
      </c>
      <c r="S12" s="34">
        <f t="shared" si="17"/>
        <v>0</v>
      </c>
      <c r="T12" s="34">
        <f t="shared" si="17"/>
        <v>0</v>
      </c>
      <c r="U12" s="34">
        <f t="shared" si="17"/>
        <v>2402781546</v>
      </c>
      <c r="V12" s="34">
        <f t="shared" si="17"/>
        <v>6822970698</v>
      </c>
      <c r="W12" s="34">
        <f t="shared" si="17"/>
        <v>10095884056</v>
      </c>
      <c r="X12" s="34">
        <f t="shared" si="17"/>
        <v>13682670940</v>
      </c>
      <c r="Y12" s="34">
        <f t="shared" si="17"/>
        <v>20501560359</v>
      </c>
      <c r="Z12" s="34">
        <f t="shared" si="17"/>
        <v>29555296002</v>
      </c>
      <c r="AA12" s="34">
        <f t="shared" si="17"/>
        <v>38198635078</v>
      </c>
      <c r="AB12" s="34"/>
    </row>
    <row r="13" spans="2:30" hidden="1">
      <c r="B13" s="468" t="s">
        <v>189</v>
      </c>
      <c r="C13" s="468" t="s">
        <v>190</v>
      </c>
      <c r="D13" s="468" t="s">
        <v>190</v>
      </c>
      <c r="E13" s="468" t="s">
        <v>191</v>
      </c>
      <c r="F13" s="468"/>
      <c r="G13" s="468"/>
      <c r="H13" s="468"/>
      <c r="I13" s="455"/>
      <c r="J13" s="468" t="str">
        <f t="shared" si="2"/>
        <v>lending_paylater_paylater_all_</v>
      </c>
      <c r="K13" t="s">
        <v>192</v>
      </c>
      <c r="L13" s="1052" t="s">
        <v>203</v>
      </c>
      <c r="N13" s="34">
        <f t="shared" ref="N13:AA13" si="18">N63+N169+N222+N275+N328</f>
        <v>549100000</v>
      </c>
      <c r="O13" s="34">
        <f t="shared" si="18"/>
        <v>1062000000</v>
      </c>
      <c r="P13" s="34">
        <f t="shared" si="18"/>
        <v>1925578001</v>
      </c>
      <c r="Q13" s="34">
        <f t="shared" si="18"/>
        <v>3488248069</v>
      </c>
      <c r="R13" s="34">
        <f t="shared" si="18"/>
        <v>11085768686</v>
      </c>
      <c r="S13" s="34">
        <f t="shared" si="18"/>
        <v>13775460067</v>
      </c>
      <c r="T13" s="34">
        <f t="shared" si="18"/>
        <v>15851506561</v>
      </c>
      <c r="U13" s="34">
        <f t="shared" si="18"/>
        <v>34485431691</v>
      </c>
      <c r="V13" s="34">
        <f t="shared" si="18"/>
        <v>43019028717</v>
      </c>
      <c r="W13" s="34">
        <f t="shared" si="18"/>
        <v>56372727539</v>
      </c>
      <c r="X13" s="34">
        <f t="shared" si="18"/>
        <v>69343140134</v>
      </c>
      <c r="Y13" s="34">
        <f t="shared" si="18"/>
        <v>68653349500</v>
      </c>
      <c r="Z13" s="34">
        <f t="shared" si="18"/>
        <v>72974701705</v>
      </c>
      <c r="AA13" s="34">
        <f t="shared" si="18"/>
        <v>84871594100</v>
      </c>
      <c r="AB13" s="34"/>
    </row>
    <row r="14" spans="2:30" hidden="1">
      <c r="B14" s="468" t="s">
        <v>189</v>
      </c>
      <c r="C14" s="468" t="s">
        <v>190</v>
      </c>
      <c r="D14" s="468" t="s">
        <v>190</v>
      </c>
      <c r="E14" s="468" t="s">
        <v>191</v>
      </c>
      <c r="F14" s="468"/>
      <c r="G14" s="468"/>
      <c r="H14" s="468"/>
      <c r="I14" s="455"/>
      <c r="J14" s="468" t="str">
        <f t="shared" si="2"/>
        <v>lending_paylater_paylater_all_</v>
      </c>
      <c r="K14" t="s">
        <v>192</v>
      </c>
      <c r="L14" s="1052" t="s">
        <v>204</v>
      </c>
      <c r="M14" s="34">
        <f t="shared" ref="M14:M20" si="19">SUM(P14:AA14)</f>
        <v>373374596988</v>
      </c>
      <c r="N14" s="34">
        <f>N64+N170+N223+N276</f>
        <v>6147093080</v>
      </c>
      <c r="O14" s="34">
        <f>O64+O170+O223+O276</f>
        <v>8660555602</v>
      </c>
      <c r="P14" s="34">
        <f>P64+P170+P223+P276</f>
        <v>10241712726</v>
      </c>
      <c r="Q14" s="34">
        <f>Q15+Q16</f>
        <v>13580440801</v>
      </c>
      <c r="R14" s="34">
        <f>R15+R16</f>
        <v>20217396298</v>
      </c>
      <c r="S14" s="34">
        <f>S15+S16</f>
        <v>21724803227</v>
      </c>
      <c r="T14" s="34">
        <f t="shared" ref="T14:U14" si="20">T15+T16</f>
        <v>25137223829</v>
      </c>
      <c r="U14" s="34">
        <f t="shared" si="20"/>
        <v>30722535652</v>
      </c>
      <c r="V14" s="34">
        <f t="shared" ref="V14:AA14" si="21">V15+V16</f>
        <v>34462971293</v>
      </c>
      <c r="W14" s="34">
        <f t="shared" si="21"/>
        <v>39651118535</v>
      </c>
      <c r="X14" s="34">
        <f t="shared" si="21"/>
        <v>49422273893</v>
      </c>
      <c r="Y14" s="34">
        <f t="shared" si="21"/>
        <v>40068377120</v>
      </c>
      <c r="Z14" s="34">
        <f t="shared" si="21"/>
        <v>39927269431</v>
      </c>
      <c r="AA14" s="34">
        <f t="shared" si="21"/>
        <v>48218474183</v>
      </c>
      <c r="AB14" s="34"/>
    </row>
    <row r="15" spans="2:30" hidden="1">
      <c r="B15" s="468" t="s">
        <v>189</v>
      </c>
      <c r="C15" s="468" t="s">
        <v>190</v>
      </c>
      <c r="D15" s="468" t="s">
        <v>190</v>
      </c>
      <c r="E15" s="468" t="s">
        <v>191</v>
      </c>
      <c r="F15" s="468"/>
      <c r="G15" s="468"/>
      <c r="H15" s="468"/>
      <c r="I15" s="455"/>
      <c r="J15" s="468" t="str">
        <f t="shared" si="2"/>
        <v>lending_paylater_paylater_all_</v>
      </c>
      <c r="K15" t="s">
        <v>192</v>
      </c>
      <c r="L15" s="1052" t="s">
        <v>205</v>
      </c>
      <c r="M15" s="34">
        <f t="shared" si="19"/>
        <v>191542258960</v>
      </c>
      <c r="N15" s="34">
        <f t="shared" ref="N15:AA15" si="22">N65+N171+N224+N277+N330</f>
        <v>4133944602</v>
      </c>
      <c r="O15" s="34">
        <f t="shared" si="22"/>
        <v>5126396021</v>
      </c>
      <c r="P15" s="34">
        <f t="shared" si="22"/>
        <v>5817077500</v>
      </c>
      <c r="Q15" s="34">
        <f t="shared" si="22"/>
        <v>7881467554</v>
      </c>
      <c r="R15" s="34">
        <f t="shared" si="22"/>
        <v>12293110555</v>
      </c>
      <c r="S15" s="34">
        <f t="shared" si="22"/>
        <v>12462289424</v>
      </c>
      <c r="T15" s="34">
        <f t="shared" si="22"/>
        <v>12552646415</v>
      </c>
      <c r="U15" s="34">
        <f t="shared" si="22"/>
        <v>12298306449</v>
      </c>
      <c r="V15" s="34">
        <f t="shared" si="22"/>
        <v>14183620140</v>
      </c>
      <c r="W15" s="34">
        <f t="shared" si="22"/>
        <v>16103923150</v>
      </c>
      <c r="X15" s="34">
        <f t="shared" si="22"/>
        <v>20325334771</v>
      </c>
      <c r="Y15" s="34">
        <f t="shared" si="22"/>
        <v>22774009904</v>
      </c>
      <c r="Z15" s="34">
        <f t="shared" si="22"/>
        <v>25663389910</v>
      </c>
      <c r="AA15" s="34">
        <f t="shared" si="22"/>
        <v>29187083188</v>
      </c>
      <c r="AB15" s="34"/>
    </row>
    <row r="16" spans="2:30" hidden="1">
      <c r="B16" s="468" t="s">
        <v>189</v>
      </c>
      <c r="C16" s="468" t="s">
        <v>190</v>
      </c>
      <c r="D16" s="468" t="s">
        <v>190</v>
      </c>
      <c r="E16" s="468" t="s">
        <v>191</v>
      </c>
      <c r="F16" s="468"/>
      <c r="G16" s="468"/>
      <c r="H16" s="468"/>
      <c r="I16" s="455"/>
      <c r="J16" s="468" t="str">
        <f t="shared" si="2"/>
        <v>lending_paylater_paylater_all_</v>
      </c>
      <c r="K16" t="s">
        <v>192</v>
      </c>
      <c r="L16" s="1052" t="s">
        <v>206</v>
      </c>
      <c r="M16" s="34">
        <f t="shared" si="19"/>
        <v>181832338028</v>
      </c>
      <c r="N16" s="34">
        <f>N66+N172+N225+N278</f>
        <v>2013148478</v>
      </c>
      <c r="O16" s="34">
        <f>O66+O172+O225+O278</f>
        <v>3534159581</v>
      </c>
      <c r="P16" s="34">
        <f>P66+P172+P225+P278</f>
        <v>4424635226</v>
      </c>
      <c r="Q16" s="34">
        <f>Q66+Q172+Q225+Q278+Q331</f>
        <v>5698973247</v>
      </c>
      <c r="R16" s="34">
        <f>R66+R172+R225+R278</f>
        <v>7924285743</v>
      </c>
      <c r="S16" s="34">
        <f t="shared" ref="S16:AA16" si="23">S66+S172+S225+S278+S331</f>
        <v>9262513803</v>
      </c>
      <c r="T16" s="34">
        <f t="shared" si="23"/>
        <v>12584577414</v>
      </c>
      <c r="U16" s="34">
        <f t="shared" si="23"/>
        <v>18424229203</v>
      </c>
      <c r="V16" s="34">
        <f t="shared" si="23"/>
        <v>20279351153</v>
      </c>
      <c r="W16" s="34">
        <f t="shared" si="23"/>
        <v>23547195385</v>
      </c>
      <c r="X16" s="34">
        <f t="shared" si="23"/>
        <v>29096939122</v>
      </c>
      <c r="Y16" s="34">
        <f t="shared" si="23"/>
        <v>17294367216</v>
      </c>
      <c r="Z16" s="34">
        <f t="shared" si="23"/>
        <v>14263879521</v>
      </c>
      <c r="AA16" s="34">
        <f t="shared" si="23"/>
        <v>19031390995</v>
      </c>
      <c r="AB16" s="34"/>
    </row>
    <row r="17" spans="2:29" hidden="1">
      <c r="B17" s="468" t="s">
        <v>189</v>
      </c>
      <c r="C17" s="468" t="s">
        <v>190</v>
      </c>
      <c r="D17" s="468" t="s">
        <v>190</v>
      </c>
      <c r="E17" s="468" t="s">
        <v>191</v>
      </c>
      <c r="F17" s="468"/>
      <c r="G17" s="468"/>
      <c r="H17" s="468"/>
      <c r="I17" s="455"/>
      <c r="J17" s="468" t="str">
        <f t="shared" si="2"/>
        <v>lending_paylater_paylater_all_</v>
      </c>
      <c r="K17" t="s">
        <v>192</v>
      </c>
      <c r="L17" s="1052" t="s">
        <v>207</v>
      </c>
      <c r="M17" s="34">
        <f t="shared" si="19"/>
        <v>134649390164</v>
      </c>
      <c r="N17" s="34">
        <v>1220166498</v>
      </c>
      <c r="O17" s="34">
        <v>2266222442</v>
      </c>
      <c r="P17" s="34">
        <v>3308476872</v>
      </c>
      <c r="Q17" s="34">
        <v>4419113150</v>
      </c>
      <c r="R17" s="34">
        <v>5856329442</v>
      </c>
      <c r="S17" s="34">
        <v>7708220342</v>
      </c>
      <c r="T17" s="34">
        <f t="shared" ref="T17:AA17" si="24">T67+T173+T226+T279+T332</f>
        <v>9851648458</v>
      </c>
      <c r="U17" s="34">
        <f t="shared" si="24"/>
        <v>14755630080</v>
      </c>
      <c r="V17" s="34">
        <f t="shared" si="24"/>
        <v>17375502882</v>
      </c>
      <c r="W17" s="34">
        <f t="shared" si="24"/>
        <v>20254130996</v>
      </c>
      <c r="X17" s="34">
        <f t="shared" si="24"/>
        <v>22991154533</v>
      </c>
      <c r="Y17" s="34">
        <f t="shared" si="24"/>
        <v>11969325572</v>
      </c>
      <c r="Z17" s="34">
        <f t="shared" si="24"/>
        <v>7598883061</v>
      </c>
      <c r="AA17" s="34">
        <f t="shared" si="24"/>
        <v>8560974776</v>
      </c>
      <c r="AB17" s="34"/>
    </row>
    <row r="18" spans="2:29" hidden="1">
      <c r="B18" s="468" t="s">
        <v>189</v>
      </c>
      <c r="C18" s="468" t="s">
        <v>190</v>
      </c>
      <c r="D18" s="468" t="s">
        <v>190</v>
      </c>
      <c r="E18" s="468" t="s">
        <v>191</v>
      </c>
      <c r="F18" s="468"/>
      <c r="G18" s="468"/>
      <c r="H18" s="468"/>
      <c r="I18" s="455"/>
      <c r="J18" s="468" t="str">
        <f t="shared" si="2"/>
        <v>lending_paylater_paylater_all_</v>
      </c>
      <c r="K18" t="s">
        <v>192</v>
      </c>
      <c r="L18" s="1052" t="s">
        <v>208</v>
      </c>
      <c r="M18" s="34">
        <f t="shared" si="19"/>
        <v>29485.634917210311</v>
      </c>
      <c r="N18">
        <f t="shared" ref="N18:P20" si="25">N69+N174+N228+N281</f>
        <v>4666.0287991166833</v>
      </c>
      <c r="O18">
        <f t="shared" si="25"/>
        <v>5846.050021209644</v>
      </c>
      <c r="P18">
        <f t="shared" si="25"/>
        <v>8708.0570528648132</v>
      </c>
      <c r="Q18" s="34">
        <f t="shared" ref="Q18:AA18" si="26">Q69+Q174+Q228+Q281+Q334</f>
        <v>8526.0783989793072</v>
      </c>
      <c r="R18" s="34">
        <f t="shared" si="26"/>
        <v>12250.11921447549</v>
      </c>
      <c r="S18" s="34">
        <f t="shared" si="26"/>
        <v>0.13483281421817389</v>
      </c>
      <c r="T18" s="34">
        <f t="shared" si="26"/>
        <v>0.16424106927970528</v>
      </c>
      <c r="U18" s="34">
        <f t="shared" si="26"/>
        <v>0.19042581461117866</v>
      </c>
      <c r="V18" s="34">
        <f t="shared" si="26"/>
        <v>0.17918954665337308</v>
      </c>
      <c r="W18" s="34">
        <f t="shared" si="26"/>
        <v>0.188027196097827</v>
      </c>
      <c r="X18" s="34">
        <f t="shared" si="26"/>
        <v>0.21191269246099392</v>
      </c>
      <c r="Y18" s="34">
        <f t="shared" si="26"/>
        <v>0.1225513298715018</v>
      </c>
      <c r="Z18" s="34">
        <f t="shared" si="26"/>
        <v>8.7389317605668954E-2</v>
      </c>
      <c r="AA18" s="34">
        <f t="shared" si="26"/>
        <v>0.10168110990099455</v>
      </c>
      <c r="AB18" s="34"/>
    </row>
    <row r="19" spans="2:29" hidden="1">
      <c r="B19" s="468" t="s">
        <v>189</v>
      </c>
      <c r="C19" s="468" t="s">
        <v>190</v>
      </c>
      <c r="D19" s="468" t="s">
        <v>190</v>
      </c>
      <c r="E19" s="468" t="s">
        <v>191</v>
      </c>
      <c r="F19" s="468"/>
      <c r="G19" s="468"/>
      <c r="H19" s="468"/>
      <c r="I19" s="455"/>
      <c r="J19" s="468" t="str">
        <f t="shared" si="2"/>
        <v>lending_paylater_paylater_all_</v>
      </c>
      <c r="K19" t="s">
        <v>192</v>
      </c>
      <c r="L19" s="1052" t="s">
        <v>209</v>
      </c>
      <c r="M19" s="34">
        <f t="shared" si="19"/>
        <v>18098</v>
      </c>
      <c r="N19">
        <f t="shared" si="25"/>
        <v>3851</v>
      </c>
      <c r="O19">
        <f t="shared" si="25"/>
        <v>4165</v>
      </c>
      <c r="P19">
        <f t="shared" si="25"/>
        <v>5581</v>
      </c>
      <c r="Q19">
        <f t="shared" ref="Q19:AA19" si="27">Q70+Q175+Q229+Q282+Q335</f>
        <v>5328</v>
      </c>
      <c r="R19">
        <f t="shared" si="27"/>
        <v>7189</v>
      </c>
      <c r="S19">
        <f t="shared" si="27"/>
        <v>0</v>
      </c>
      <c r="T19">
        <f t="shared" si="27"/>
        <v>0</v>
      </c>
      <c r="U19">
        <f t="shared" si="27"/>
        <v>0</v>
      </c>
      <c r="V19">
        <f t="shared" si="27"/>
        <v>0</v>
      </c>
      <c r="W19">
        <f t="shared" si="27"/>
        <v>0</v>
      </c>
      <c r="X19">
        <f t="shared" si="27"/>
        <v>0</v>
      </c>
      <c r="Y19">
        <f t="shared" si="27"/>
        <v>0</v>
      </c>
      <c r="Z19">
        <f t="shared" si="27"/>
        <v>0</v>
      </c>
      <c r="AA19">
        <f t="shared" si="27"/>
        <v>0</v>
      </c>
    </row>
    <row r="20" spans="2:29" hidden="1">
      <c r="B20" s="468" t="s">
        <v>189</v>
      </c>
      <c r="C20" s="468" t="s">
        <v>190</v>
      </c>
      <c r="D20" s="468" t="s">
        <v>190</v>
      </c>
      <c r="E20" s="468" t="s">
        <v>191</v>
      </c>
      <c r="F20" s="468"/>
      <c r="G20" s="468"/>
      <c r="H20" s="468"/>
      <c r="I20" s="455"/>
      <c r="J20" s="468" t="str">
        <f t="shared" si="2"/>
        <v>lending_paylater_paylater_all_</v>
      </c>
      <c r="K20" t="s">
        <v>192</v>
      </c>
      <c r="L20" s="1052" t="s">
        <v>210</v>
      </c>
      <c r="M20" s="34">
        <f t="shared" si="19"/>
        <v>16751</v>
      </c>
      <c r="N20">
        <f t="shared" si="25"/>
        <v>1306</v>
      </c>
      <c r="O20">
        <f t="shared" si="25"/>
        <v>2427</v>
      </c>
      <c r="P20">
        <f t="shared" si="25"/>
        <v>4728</v>
      </c>
      <c r="Q20">
        <f t="shared" ref="Q20:AA20" si="28">Q71+Q176+Q230+Q283+Q336</f>
        <v>4676</v>
      </c>
      <c r="R20">
        <f t="shared" si="28"/>
        <v>7347</v>
      </c>
      <c r="S20">
        <f t="shared" si="28"/>
        <v>0</v>
      </c>
      <c r="T20">
        <f t="shared" si="28"/>
        <v>0</v>
      </c>
      <c r="U20">
        <f t="shared" si="28"/>
        <v>0</v>
      </c>
      <c r="V20">
        <f t="shared" si="28"/>
        <v>0</v>
      </c>
      <c r="W20">
        <f t="shared" si="28"/>
        <v>0</v>
      </c>
      <c r="X20">
        <f t="shared" si="28"/>
        <v>0</v>
      </c>
      <c r="Y20">
        <f t="shared" si="28"/>
        <v>0</v>
      </c>
      <c r="Z20">
        <f t="shared" si="28"/>
        <v>0</v>
      </c>
      <c r="AA20">
        <f t="shared" si="28"/>
        <v>0</v>
      </c>
    </row>
    <row r="21" spans="2:29" hidden="1">
      <c r="B21" s="468" t="s">
        <v>189</v>
      </c>
      <c r="C21" s="468" t="s">
        <v>190</v>
      </c>
      <c r="D21" s="468" t="s">
        <v>190</v>
      </c>
      <c r="E21" s="468" t="s">
        <v>191</v>
      </c>
      <c r="F21" s="468"/>
      <c r="G21" s="468"/>
      <c r="H21" s="468"/>
      <c r="I21" s="455"/>
      <c r="J21" s="468" t="str">
        <f t="shared" si="2"/>
        <v>lending_paylater_paylater_all_</v>
      </c>
      <c r="K21" t="s">
        <v>192</v>
      </c>
      <c r="L21" s="1051" t="s">
        <v>211</v>
      </c>
      <c r="N21" s="42">
        <f t="shared" ref="N21:T21" si="29">N15/N10</f>
        <v>0.20771760711753648</v>
      </c>
      <c r="O21" s="42">
        <f t="shared" si="29"/>
        <v>0.19702245922417691</v>
      </c>
      <c r="P21" s="42">
        <f t="shared" si="29"/>
        <v>0.17749621549027261</v>
      </c>
      <c r="Q21" s="345">
        <f t="shared" si="29"/>
        <v>0.16538783565889276</v>
      </c>
      <c r="R21" s="345">
        <f t="shared" si="29"/>
        <v>0.24360066581614526</v>
      </c>
      <c r="S21" s="345">
        <f t="shared" si="29"/>
        <v>0.21826557713844505</v>
      </c>
      <c r="T21" s="345">
        <f t="shared" si="29"/>
        <v>0.19555141108909971</v>
      </c>
      <c r="U21" s="345">
        <f t="shared" ref="U21" si="30">U15/U10</f>
        <v>0.16372242548432775</v>
      </c>
      <c r="V21" s="345">
        <f t="shared" ref="V21:AA21" si="31">V15/V10</f>
        <v>0.1560842734141823</v>
      </c>
      <c r="W21" s="345">
        <f t="shared" si="31"/>
        <v>0.15066948015393744</v>
      </c>
      <c r="X21" s="345">
        <f t="shared" si="31"/>
        <v>0.16692312390214276</v>
      </c>
      <c r="Y21" s="345">
        <f t="shared" si="31"/>
        <v>0.17558846935390629</v>
      </c>
      <c r="Z21" s="345">
        <f t="shared" si="31"/>
        <v>0.17070142962588128</v>
      </c>
      <c r="AA21" s="345">
        <f t="shared" si="31"/>
        <v>0.1724462236425954</v>
      </c>
      <c r="AB21" s="345"/>
    </row>
    <row r="22" spans="2:29" hidden="1">
      <c r="B22" s="468" t="s">
        <v>189</v>
      </c>
      <c r="C22" s="468" t="s">
        <v>190</v>
      </c>
      <c r="D22" s="468" t="s">
        <v>190</v>
      </c>
      <c r="E22" s="468" t="s">
        <v>191</v>
      </c>
      <c r="F22" s="468"/>
      <c r="G22" s="468"/>
      <c r="H22" s="468"/>
      <c r="I22" s="455"/>
      <c r="J22" s="468" t="str">
        <f t="shared" si="2"/>
        <v>lending_paylater_paylater_all_</v>
      </c>
      <c r="K22" t="s">
        <v>192</v>
      </c>
      <c r="L22" s="1051" t="s">
        <v>212</v>
      </c>
      <c r="N22" s="42">
        <f t="shared" ref="N22:T22" si="32">N14/N10</f>
        <v>0.30887193425103554</v>
      </c>
      <c r="O22" s="42">
        <f t="shared" si="32"/>
        <v>0.33285059444566889</v>
      </c>
      <c r="P22" s="42">
        <f t="shared" si="32"/>
        <v>0.31250490456824126</v>
      </c>
      <c r="Q22" s="42">
        <f t="shared" si="32"/>
        <v>0.28497734666574887</v>
      </c>
      <c r="R22" s="42">
        <f t="shared" si="32"/>
        <v>0.40062856160180932</v>
      </c>
      <c r="S22" s="42">
        <f t="shared" si="32"/>
        <v>0.38049001698103307</v>
      </c>
      <c r="T22" s="42">
        <f t="shared" si="32"/>
        <v>0.3916002592687936</v>
      </c>
      <c r="U22" s="42">
        <f t="shared" ref="U22" si="33">U14/U10</f>
        <v>0.40899680576614428</v>
      </c>
      <c r="V22" s="42">
        <f t="shared" ref="V22:AA22" si="34">V14/V10</f>
        <v>0.37924928761958004</v>
      </c>
      <c r="W22" s="42">
        <f t="shared" si="34"/>
        <v>0.37097875850150236</v>
      </c>
      <c r="X22" s="42">
        <f t="shared" si="34"/>
        <v>0.4058836147849087</v>
      </c>
      <c r="Y22" s="42">
        <f t="shared" si="34"/>
        <v>0.30892868834487358</v>
      </c>
      <c r="Z22" s="42">
        <f t="shared" si="34"/>
        <v>0.26557839774213393</v>
      </c>
      <c r="AA22" s="42">
        <f t="shared" si="34"/>
        <v>0.28488950845506222</v>
      </c>
      <c r="AB22" s="42"/>
    </row>
    <row r="23" spans="2:29" hidden="1">
      <c r="B23" s="468" t="s">
        <v>189</v>
      </c>
      <c r="C23" s="468" t="s">
        <v>190</v>
      </c>
      <c r="D23" s="468" t="s">
        <v>190</v>
      </c>
      <c r="E23" s="468" t="s">
        <v>191</v>
      </c>
      <c r="F23" s="468"/>
      <c r="G23" s="468"/>
      <c r="H23" s="468"/>
      <c r="I23" s="455" t="s">
        <v>213</v>
      </c>
      <c r="J23" s="468" t="str">
        <f t="shared" si="2"/>
        <v>lending_paylater_paylater_all_npl</v>
      </c>
      <c r="K23" t="s">
        <v>192</v>
      </c>
      <c r="L23" s="1051" t="s">
        <v>214</v>
      </c>
      <c r="N23" s="80">
        <v>0.1</v>
      </c>
      <c r="O23" s="104">
        <f t="shared" ref="O23:T23" si="35">O16/O10</f>
        <v>0.13582813522149201</v>
      </c>
      <c r="P23" s="104">
        <f t="shared" si="35"/>
        <v>0.13500868907796862</v>
      </c>
      <c r="Q23" s="104">
        <f t="shared" si="35"/>
        <v>0.11958951100685612</v>
      </c>
      <c r="R23" s="104">
        <f t="shared" si="35"/>
        <v>0.15702789578566409</v>
      </c>
      <c r="S23" s="104">
        <f t="shared" si="35"/>
        <v>0.162224439842588</v>
      </c>
      <c r="T23" s="104">
        <f t="shared" si="35"/>
        <v>0.19604884817969387</v>
      </c>
      <c r="U23" s="104">
        <f t="shared" ref="U23" si="36">U16/U10</f>
        <v>0.24527438028181653</v>
      </c>
      <c r="V23" s="104">
        <f t="shared" ref="V23:AA23" si="37">V16/V10</f>
        <v>0.22316501420539772</v>
      </c>
      <c r="W23" s="104">
        <f t="shared" si="37"/>
        <v>0.22030927834756492</v>
      </c>
      <c r="X23" s="104">
        <f t="shared" si="37"/>
        <v>0.23896049088276594</v>
      </c>
      <c r="Y23" s="104">
        <f t="shared" si="37"/>
        <v>0.13334021899096729</v>
      </c>
      <c r="Z23" s="104">
        <f t="shared" si="37"/>
        <v>9.487696811625268E-2</v>
      </c>
      <c r="AA23" s="104">
        <f t="shared" si="37"/>
        <v>0.11244328481246682</v>
      </c>
      <c r="AB23" s="104"/>
    </row>
    <row r="24" spans="2:29" hidden="1">
      <c r="B24" s="468" t="s">
        <v>189</v>
      </c>
      <c r="C24" s="468" t="s">
        <v>190</v>
      </c>
      <c r="D24" s="468" t="s">
        <v>190</v>
      </c>
      <c r="E24" s="468" t="s">
        <v>191</v>
      </c>
      <c r="F24" s="468"/>
      <c r="G24" s="468"/>
      <c r="H24" s="468"/>
      <c r="I24" s="455"/>
      <c r="J24" s="468" t="str">
        <f t="shared" si="2"/>
        <v>lending_paylater_paylater_all_</v>
      </c>
      <c r="K24" t="s">
        <v>192</v>
      </c>
      <c r="L24" s="85" t="s">
        <v>215</v>
      </c>
      <c r="M24" s="7">
        <f t="shared" ref="M24:M49" si="38">SUM(P24:AA24)</f>
        <v>30785892495</v>
      </c>
      <c r="N24" s="34">
        <f t="shared" ref="N24:T24" si="39">N28+N30+N39</f>
        <v>702128694</v>
      </c>
      <c r="O24" s="34">
        <f t="shared" si="39"/>
        <v>716604057</v>
      </c>
      <c r="P24" s="34">
        <f t="shared" si="39"/>
        <v>923544947</v>
      </c>
      <c r="Q24" s="34">
        <f t="shared" si="39"/>
        <v>1069745680</v>
      </c>
      <c r="R24" s="34">
        <f t="shared" si="39"/>
        <v>1426499988</v>
      </c>
      <c r="S24" s="34">
        <f t="shared" si="39"/>
        <v>1351132922</v>
      </c>
      <c r="T24" s="34">
        <f t="shared" si="39"/>
        <v>1656385562</v>
      </c>
      <c r="U24" s="34">
        <f t="shared" ref="U24" si="40">U28+U30+U39</f>
        <v>1844474489</v>
      </c>
      <c r="V24" s="34">
        <f t="shared" ref="V24:AA24" si="41">V28+V30+V39</f>
        <v>2091044528</v>
      </c>
      <c r="W24" s="34">
        <f t="shared" si="41"/>
        <v>2776590684</v>
      </c>
      <c r="X24" s="34">
        <f t="shared" si="41"/>
        <v>3577293473</v>
      </c>
      <c r="Y24" s="34">
        <f t="shared" si="41"/>
        <v>4016595911</v>
      </c>
      <c r="Z24" s="34">
        <f t="shared" si="41"/>
        <v>4756231746</v>
      </c>
      <c r="AA24" s="34">
        <f t="shared" si="41"/>
        <v>5296352565</v>
      </c>
      <c r="AB24" s="34"/>
    </row>
    <row r="25" spans="2:29" hidden="1">
      <c r="B25" s="468" t="s">
        <v>189</v>
      </c>
      <c r="C25" s="468" t="s">
        <v>190</v>
      </c>
      <c r="D25" s="468" t="s">
        <v>190</v>
      </c>
      <c r="E25" s="468" t="s">
        <v>191</v>
      </c>
      <c r="F25" s="468"/>
      <c r="G25" s="468"/>
      <c r="H25" s="468"/>
      <c r="I25" s="455"/>
      <c r="J25" s="468" t="str">
        <f t="shared" si="2"/>
        <v>lending_paylater_paylater_all_</v>
      </c>
      <c r="K25" t="s">
        <v>192</v>
      </c>
      <c r="L25" s="85" t="s">
        <v>216</v>
      </c>
      <c r="M25" s="7">
        <f t="shared" si="38"/>
        <v>4521571907.3763371</v>
      </c>
      <c r="N25" s="34">
        <f t="shared" ref="N25:T25" si="42">N29</f>
        <v>59103237</v>
      </c>
      <c r="O25" s="34">
        <f t="shared" si="42"/>
        <v>83019594</v>
      </c>
      <c r="P25" s="34">
        <f t="shared" si="42"/>
        <v>109106795</v>
      </c>
      <c r="Q25" s="34">
        <f t="shared" si="42"/>
        <v>137782223</v>
      </c>
      <c r="R25" s="34">
        <f t="shared" si="42"/>
        <v>187240111.53359857</v>
      </c>
      <c r="S25" s="34">
        <f t="shared" si="42"/>
        <v>189016762.79299828</v>
      </c>
      <c r="T25" s="34">
        <f t="shared" si="42"/>
        <v>232438121.35119885</v>
      </c>
      <c r="U25" s="34">
        <f t="shared" ref="U25" si="43">U29</f>
        <v>254127445.39999902</v>
      </c>
      <c r="V25" s="34">
        <f t="shared" ref="V25:AA25" si="44">V29</f>
        <v>334032935.00499809</v>
      </c>
      <c r="W25" s="34">
        <f t="shared" si="44"/>
        <v>441332960.78814894</v>
      </c>
      <c r="X25" s="34">
        <f t="shared" si="44"/>
        <v>494716708.72550052</v>
      </c>
      <c r="Y25" s="34">
        <f t="shared" si="44"/>
        <v>618378898.36850083</v>
      </c>
      <c r="Z25" s="34">
        <f t="shared" si="44"/>
        <v>648672134.53589487</v>
      </c>
      <c r="AA25" s="34">
        <f t="shared" si="44"/>
        <v>874726810.87549973</v>
      </c>
      <c r="AB25" s="34"/>
    </row>
    <row r="26" spans="2:29">
      <c r="B26" s="468" t="s">
        <v>189</v>
      </c>
      <c r="C26" s="468" t="s">
        <v>190</v>
      </c>
      <c r="D26" s="468" t="s">
        <v>190</v>
      </c>
      <c r="E26" s="468" t="s">
        <v>191</v>
      </c>
      <c r="F26" s="468" t="str">
        <f>E26&amp;"PL"</f>
        <v>allPL</v>
      </c>
      <c r="G26" s="468" t="str">
        <f>L26&amp;F26</f>
        <v>TOIallPL</v>
      </c>
      <c r="H26" s="468" t="str">
        <f>L26&amp;E26</f>
        <v>TOIall</v>
      </c>
      <c r="I26" s="461"/>
      <c r="J26" s="468" t="str">
        <f t="shared" si="2"/>
        <v>lending_paylater_paylater_all_</v>
      </c>
      <c r="K26" t="s">
        <v>192</v>
      </c>
      <c r="L26" s="1051" t="s">
        <v>217</v>
      </c>
      <c r="M26" s="7">
        <f t="shared" si="38"/>
        <v>26264320587.623661</v>
      </c>
      <c r="N26" s="81">
        <f t="shared" ref="N26:T26" si="45">N27+N30+N39</f>
        <v>643025457</v>
      </c>
      <c r="O26" s="81">
        <f t="shared" si="45"/>
        <v>633584463</v>
      </c>
      <c r="P26" s="81">
        <f t="shared" si="45"/>
        <v>814438152</v>
      </c>
      <c r="Q26" s="81">
        <f t="shared" si="45"/>
        <v>931963457</v>
      </c>
      <c r="R26" s="81">
        <f t="shared" si="45"/>
        <v>1239259876.4664016</v>
      </c>
      <c r="S26" s="81">
        <f t="shared" si="45"/>
        <v>1162116159.2070017</v>
      </c>
      <c r="T26" s="81">
        <f t="shared" si="45"/>
        <v>1423947440.6488011</v>
      </c>
      <c r="U26" s="81">
        <f t="shared" ref="U26" si="46">U27+U30+U39</f>
        <v>1590347043.6000009</v>
      </c>
      <c r="V26" s="81">
        <f t="shared" ref="V26:AA26" si="47">V27+V30+V39</f>
        <v>1757011592.9950018</v>
      </c>
      <c r="W26" s="81">
        <f t="shared" si="47"/>
        <v>2335257723.2118511</v>
      </c>
      <c r="X26" s="81">
        <f>X27+X30+X39</f>
        <v>3082576764.2744994</v>
      </c>
      <c r="Y26" s="81">
        <f t="shared" si="47"/>
        <v>3398217012.6314993</v>
      </c>
      <c r="Z26" s="81">
        <f t="shared" si="47"/>
        <v>4107559611.4641051</v>
      </c>
      <c r="AA26" s="81">
        <f t="shared" si="47"/>
        <v>4421625754.1245003</v>
      </c>
      <c r="AB26" s="7">
        <f>SUM(P26:AA26)</f>
        <v>26264320587.623661</v>
      </c>
    </row>
    <row r="27" spans="2:29" hidden="1">
      <c r="B27" s="468" t="s">
        <v>189</v>
      </c>
      <c r="C27" s="468" t="s">
        <v>190</v>
      </c>
      <c r="D27" s="468" t="s">
        <v>190</v>
      </c>
      <c r="E27" s="468" t="s">
        <v>191</v>
      </c>
      <c r="F27" s="468"/>
      <c r="G27" s="468"/>
      <c r="H27" s="468"/>
      <c r="I27" s="461"/>
      <c r="J27" s="468" t="str">
        <f t="shared" si="2"/>
        <v>lending_paylater_paylater_all_</v>
      </c>
      <c r="K27" t="s">
        <v>192</v>
      </c>
      <c r="L27" s="1055" t="s">
        <v>218</v>
      </c>
      <c r="M27" s="7">
        <f t="shared" si="38"/>
        <v>7978904035.6236629</v>
      </c>
      <c r="N27" s="81">
        <f t="shared" ref="N27:T27" si="48">N28-N29</f>
        <v>-36522000</v>
      </c>
      <c r="O27" s="81">
        <f t="shared" si="48"/>
        <v>-44421574</v>
      </c>
      <c r="P27" s="81">
        <f t="shared" si="48"/>
        <v>6781699</v>
      </c>
      <c r="Q27" s="81">
        <f t="shared" si="48"/>
        <v>58105374</v>
      </c>
      <c r="R27" s="81">
        <f t="shared" si="48"/>
        <v>298044632.46640146</v>
      </c>
      <c r="S27" s="81">
        <f t="shared" si="48"/>
        <v>237196520.20700172</v>
      </c>
      <c r="T27" s="81">
        <f t="shared" si="48"/>
        <v>257815206.64880115</v>
      </c>
      <c r="U27" s="81">
        <f t="shared" ref="U27" si="49">U28-U29</f>
        <v>315133810.60000098</v>
      </c>
      <c r="V27" s="81">
        <f t="shared" ref="V27:AA27" si="50">V28-V29</f>
        <v>355269107.99500191</v>
      </c>
      <c r="W27" s="81">
        <f t="shared" si="50"/>
        <v>706512533.21185112</v>
      </c>
      <c r="X27" s="81">
        <f t="shared" si="50"/>
        <v>1213630421.2744994</v>
      </c>
      <c r="Y27" s="81">
        <f t="shared" si="50"/>
        <v>1275563321.6314993</v>
      </c>
      <c r="Z27" s="81">
        <f t="shared" si="50"/>
        <v>1516584901.4641051</v>
      </c>
      <c r="AA27" s="81">
        <f t="shared" si="50"/>
        <v>1738266507.1245003</v>
      </c>
      <c r="AB27" s="81"/>
    </row>
    <row r="28" spans="2:29" hidden="1">
      <c r="B28" s="468" t="s">
        <v>189</v>
      </c>
      <c r="C28" s="468" t="s">
        <v>190</v>
      </c>
      <c r="D28" s="468" t="s">
        <v>190</v>
      </c>
      <c r="E28" s="468" t="s">
        <v>191</v>
      </c>
      <c r="F28" s="468"/>
      <c r="G28" s="468"/>
      <c r="H28" s="468"/>
      <c r="I28" s="455"/>
      <c r="J28" s="468" t="str">
        <f t="shared" si="2"/>
        <v>lending_paylater_paylater_all_</v>
      </c>
      <c r="K28" t="s">
        <v>192</v>
      </c>
      <c r="L28" s="1056" t="s">
        <v>20</v>
      </c>
      <c r="M28" s="7">
        <f t="shared" si="38"/>
        <v>12500475943</v>
      </c>
      <c r="N28" s="34">
        <f t="shared" ref="N28:AA28" si="51">N76+N182+N235+N288+N341</f>
        <v>22581237</v>
      </c>
      <c r="O28" s="34">
        <f t="shared" si="51"/>
        <v>38598020</v>
      </c>
      <c r="P28" s="34">
        <f t="shared" si="51"/>
        <v>115888494</v>
      </c>
      <c r="Q28" s="34">
        <f t="shared" si="51"/>
        <v>195887597</v>
      </c>
      <c r="R28" s="34">
        <f t="shared" si="51"/>
        <v>485284744</v>
      </c>
      <c r="S28" s="34">
        <f t="shared" si="51"/>
        <v>426213283</v>
      </c>
      <c r="T28" s="34">
        <f t="shared" si="51"/>
        <v>490253328</v>
      </c>
      <c r="U28" s="34">
        <f t="shared" si="51"/>
        <v>569261256</v>
      </c>
      <c r="V28" s="34">
        <f t="shared" si="51"/>
        <v>689302043</v>
      </c>
      <c r="W28" s="34">
        <f t="shared" si="51"/>
        <v>1147845494</v>
      </c>
      <c r="X28" s="34">
        <f t="shared" si="51"/>
        <v>1708347130</v>
      </c>
      <c r="Y28" s="34">
        <f t="shared" si="51"/>
        <v>1893942220</v>
      </c>
      <c r="Z28" s="34">
        <f t="shared" si="51"/>
        <v>2165257036</v>
      </c>
      <c r="AA28" s="34">
        <f t="shared" si="51"/>
        <v>2612993318</v>
      </c>
      <c r="AB28" s="34"/>
    </row>
    <row r="29" spans="2:29" hidden="1">
      <c r="B29" s="468" t="s">
        <v>189</v>
      </c>
      <c r="C29" s="468" t="s">
        <v>190</v>
      </c>
      <c r="D29" s="468" t="s">
        <v>190</v>
      </c>
      <c r="E29" s="468" t="s">
        <v>191</v>
      </c>
      <c r="F29" s="468"/>
      <c r="G29" s="468"/>
      <c r="H29" s="468"/>
      <c r="I29" s="461"/>
      <c r="J29" s="468" t="str">
        <f t="shared" si="2"/>
        <v>lending_paylater_paylater_all_</v>
      </c>
      <c r="K29" t="s">
        <v>192</v>
      </c>
      <c r="L29" s="1060" t="s">
        <v>219</v>
      </c>
      <c r="M29" s="7">
        <f t="shared" si="38"/>
        <v>4521571907.3763371</v>
      </c>
      <c r="N29" s="34">
        <f t="shared" ref="N29:AA29" si="52">N82+N188+N241+N294+N347</f>
        <v>59103237</v>
      </c>
      <c r="O29" s="34">
        <f t="shared" si="52"/>
        <v>83019594</v>
      </c>
      <c r="P29" s="34">
        <f t="shared" si="52"/>
        <v>109106795</v>
      </c>
      <c r="Q29" s="34">
        <f t="shared" si="52"/>
        <v>137782223</v>
      </c>
      <c r="R29" s="34">
        <f t="shared" si="52"/>
        <v>187240111.53359857</v>
      </c>
      <c r="S29" s="34">
        <f t="shared" si="52"/>
        <v>189016762.79299828</v>
      </c>
      <c r="T29" s="34">
        <f t="shared" si="52"/>
        <v>232438121.35119885</v>
      </c>
      <c r="U29" s="34">
        <f t="shared" si="52"/>
        <v>254127445.39999902</v>
      </c>
      <c r="V29" s="34">
        <f t="shared" si="52"/>
        <v>334032935.00499809</v>
      </c>
      <c r="W29" s="34">
        <f t="shared" si="52"/>
        <v>441332960.78814894</v>
      </c>
      <c r="X29" s="34">
        <f t="shared" si="52"/>
        <v>494716708.72550052</v>
      </c>
      <c r="Y29" s="34">
        <f t="shared" si="52"/>
        <v>618378898.36850083</v>
      </c>
      <c r="Z29" s="34">
        <f t="shared" si="52"/>
        <v>648672134.53589487</v>
      </c>
      <c r="AA29" s="34">
        <f t="shared" si="52"/>
        <v>874726810.87549973</v>
      </c>
      <c r="AB29" s="34"/>
    </row>
    <row r="30" spans="2:29" hidden="1">
      <c r="B30" s="468" t="s">
        <v>189</v>
      </c>
      <c r="C30" s="468" t="s">
        <v>190</v>
      </c>
      <c r="D30" s="468" t="s">
        <v>190</v>
      </c>
      <c r="E30" s="468" t="s">
        <v>191</v>
      </c>
      <c r="F30" s="468"/>
      <c r="G30" s="468"/>
      <c r="H30" s="468"/>
      <c r="I30" s="461"/>
      <c r="J30" s="468" t="str">
        <f t="shared" si="2"/>
        <v>lending_paylater_paylater_all_</v>
      </c>
      <c r="K30" t="s">
        <v>192</v>
      </c>
      <c r="L30" s="1055" t="s">
        <v>220</v>
      </c>
      <c r="M30" s="7">
        <f t="shared" si="38"/>
        <v>18051845183</v>
      </c>
      <c r="N30" s="81">
        <f t="shared" ref="N30:S30" si="53">SUM(N31:N36)-N37+N38</f>
        <v>679547457</v>
      </c>
      <c r="O30" s="81">
        <f t="shared" si="53"/>
        <v>678006037</v>
      </c>
      <c r="P30" s="81">
        <f t="shared" si="53"/>
        <v>807656453</v>
      </c>
      <c r="Q30" s="81">
        <f t="shared" si="53"/>
        <v>873858083</v>
      </c>
      <c r="R30" s="81">
        <f t="shared" si="53"/>
        <v>941215244</v>
      </c>
      <c r="S30" s="81">
        <f t="shared" si="53"/>
        <v>924919639</v>
      </c>
      <c r="T30" s="81">
        <f t="shared" ref="T30:AA30" si="54">SUM(T31:T36)-T37+T38</f>
        <v>1166132234</v>
      </c>
      <c r="U30" s="81">
        <f t="shared" si="54"/>
        <v>1275213233</v>
      </c>
      <c r="V30" s="81">
        <f t="shared" si="54"/>
        <v>1401742485</v>
      </c>
      <c r="W30" s="81">
        <f>SUM(W31:W36)-W37+W38</f>
        <v>1628745190</v>
      </c>
      <c r="X30" s="81">
        <f>SUM(X31:X36)-X37+X38</f>
        <v>1868946343</v>
      </c>
      <c r="Y30" s="81">
        <f>SUM(Y31:Y36)-Y37+Y38</f>
        <v>2118775629</v>
      </c>
      <c r="Z30" s="81">
        <f t="shared" si="54"/>
        <v>2500393520</v>
      </c>
      <c r="AA30" s="81">
        <f t="shared" si="54"/>
        <v>2544247130</v>
      </c>
      <c r="AB30" s="81"/>
    </row>
    <row r="31" spans="2:29" hidden="1">
      <c r="B31" s="468" t="s">
        <v>189</v>
      </c>
      <c r="C31" s="468" t="s">
        <v>190</v>
      </c>
      <c r="D31" s="468" t="s">
        <v>190</v>
      </c>
      <c r="E31" s="468" t="s">
        <v>191</v>
      </c>
      <c r="F31" s="468"/>
      <c r="G31" s="468"/>
      <c r="H31" s="468"/>
      <c r="I31" s="461"/>
      <c r="J31" s="468" t="str">
        <f t="shared" si="2"/>
        <v>lending_paylater_paylater_all_</v>
      </c>
      <c r="K31" t="s">
        <v>192</v>
      </c>
      <c r="L31" s="1063" t="s">
        <v>221</v>
      </c>
      <c r="M31" s="7">
        <f t="shared" si="38"/>
        <v>4633660437</v>
      </c>
      <c r="N31" s="34">
        <f t="shared" ref="N31:AA31" si="55">N84+N190+N243+N296+N349</f>
        <v>497665406</v>
      </c>
      <c r="O31" s="34">
        <f t="shared" si="55"/>
        <v>497705674</v>
      </c>
      <c r="P31" s="34">
        <f t="shared" si="55"/>
        <v>475854479</v>
      </c>
      <c r="Q31" s="34">
        <f t="shared" si="55"/>
        <v>507941760</v>
      </c>
      <c r="R31" s="34">
        <f t="shared" si="55"/>
        <v>597551627</v>
      </c>
      <c r="S31" s="34">
        <f t="shared" si="55"/>
        <v>563735322</v>
      </c>
      <c r="T31" s="34">
        <f t="shared" si="55"/>
        <v>552419377</v>
      </c>
      <c r="U31" s="34">
        <f t="shared" si="55"/>
        <v>572102653</v>
      </c>
      <c r="V31" s="34">
        <f t="shared" si="55"/>
        <v>543590180</v>
      </c>
      <c r="W31" s="34">
        <f t="shared" si="55"/>
        <v>414268204</v>
      </c>
      <c r="X31" s="34">
        <f t="shared" si="55"/>
        <v>406196835</v>
      </c>
      <c r="Y31" s="34">
        <f t="shared" si="55"/>
        <v>0</v>
      </c>
      <c r="Z31" s="34">
        <f t="shared" si="55"/>
        <v>0</v>
      </c>
      <c r="AA31" s="34">
        <f t="shared" si="55"/>
        <v>0</v>
      </c>
      <c r="AB31" s="34"/>
    </row>
    <row r="32" spans="2:29" hidden="1">
      <c r="B32" s="468" t="s">
        <v>189</v>
      </c>
      <c r="C32" s="468" t="s">
        <v>190</v>
      </c>
      <c r="D32" s="468" t="s">
        <v>190</v>
      </c>
      <c r="E32" s="468" t="s">
        <v>191</v>
      </c>
      <c r="F32" s="468"/>
      <c r="G32" s="468"/>
      <c r="H32" s="468"/>
      <c r="I32" s="461"/>
      <c r="J32" s="468" t="str">
        <f t="shared" si="2"/>
        <v>lending_paylater_paylater_all_</v>
      </c>
      <c r="K32" t="s">
        <v>192</v>
      </c>
      <c r="L32" s="1063" t="s">
        <v>222</v>
      </c>
      <c r="M32" s="7">
        <f t="shared" si="38"/>
        <v>4112993524</v>
      </c>
      <c r="N32" s="34">
        <f t="shared" ref="N32:AA32" si="56">N85+N191+N244+N297+N350</f>
        <v>147524809</v>
      </c>
      <c r="O32" s="34">
        <f t="shared" si="56"/>
        <v>123076467</v>
      </c>
      <c r="P32" s="34">
        <f t="shared" si="56"/>
        <v>200023341</v>
      </c>
      <c r="Q32" s="34">
        <f t="shared" si="56"/>
        <v>238395384</v>
      </c>
      <c r="R32" s="34">
        <f t="shared" si="56"/>
        <v>213451759</v>
      </c>
      <c r="S32" s="34">
        <f t="shared" si="56"/>
        <v>219422692</v>
      </c>
      <c r="T32" s="34">
        <f t="shared" si="56"/>
        <v>240777232</v>
      </c>
      <c r="U32" s="34">
        <f t="shared" si="56"/>
        <v>277760221</v>
      </c>
      <c r="V32" s="34">
        <f t="shared" si="56"/>
        <v>323350281</v>
      </c>
      <c r="W32" s="34">
        <f t="shared" si="56"/>
        <v>458091376</v>
      </c>
      <c r="X32" s="34">
        <f t="shared" si="56"/>
        <v>563045153</v>
      </c>
      <c r="Y32" s="34">
        <f t="shared" si="56"/>
        <v>422511319</v>
      </c>
      <c r="Z32" s="34">
        <f t="shared" si="56"/>
        <v>501638927</v>
      </c>
      <c r="AA32" s="34">
        <f t="shared" si="56"/>
        <v>454525839</v>
      </c>
      <c r="AB32" s="34"/>
      <c r="AC32" s="34"/>
    </row>
    <row r="33" spans="2:29" hidden="1">
      <c r="B33" s="468" t="s">
        <v>189</v>
      </c>
      <c r="C33" s="468" t="s">
        <v>190</v>
      </c>
      <c r="D33" s="468" t="s">
        <v>190</v>
      </c>
      <c r="E33" s="468" t="s">
        <v>191</v>
      </c>
      <c r="F33" s="468"/>
      <c r="G33" s="468"/>
      <c r="H33" s="468"/>
      <c r="I33" s="461"/>
      <c r="J33" s="468" t="str">
        <f t="shared" si="2"/>
        <v>lending_paylater_paylater_all_</v>
      </c>
      <c r="K33" t="s">
        <v>192</v>
      </c>
      <c r="L33" s="1063" t="s">
        <v>223</v>
      </c>
      <c r="M33" s="7">
        <f t="shared" si="38"/>
        <v>5778869782</v>
      </c>
      <c r="N33" s="34">
        <f t="shared" ref="N33:AA33" si="57">N86+N192+N245+N298+N351</f>
        <v>62457030</v>
      </c>
      <c r="O33" s="34">
        <f t="shared" si="57"/>
        <v>86253934</v>
      </c>
      <c r="P33" s="34">
        <f t="shared" si="57"/>
        <v>111256756</v>
      </c>
      <c r="Q33" s="34">
        <f t="shared" si="57"/>
        <v>143826833</v>
      </c>
      <c r="R33" s="34">
        <f t="shared" si="57"/>
        <v>123497522</v>
      </c>
      <c r="S33" s="34">
        <f t="shared" si="57"/>
        <v>149761556</v>
      </c>
      <c r="T33" s="34">
        <f t="shared" si="57"/>
        <v>384337559</v>
      </c>
      <c r="U33" s="34">
        <f t="shared" si="57"/>
        <v>438393720</v>
      </c>
      <c r="V33" s="34">
        <f t="shared" si="57"/>
        <v>522993873</v>
      </c>
      <c r="W33" s="34">
        <f t="shared" si="57"/>
        <v>520800838</v>
      </c>
      <c r="X33" s="34">
        <f t="shared" si="57"/>
        <v>582996075</v>
      </c>
      <c r="Y33" s="34">
        <f t="shared" si="57"/>
        <v>952886893</v>
      </c>
      <c r="Z33" s="34">
        <f t="shared" si="57"/>
        <v>1058917722</v>
      </c>
      <c r="AA33" s="34">
        <f t="shared" si="57"/>
        <v>789200435</v>
      </c>
      <c r="AB33" s="34"/>
    </row>
    <row r="34" spans="2:29" hidden="1">
      <c r="B34" s="468" t="s">
        <v>189</v>
      </c>
      <c r="C34" s="468" t="s">
        <v>190</v>
      </c>
      <c r="D34" s="468" t="s">
        <v>190</v>
      </c>
      <c r="E34" s="468" t="s">
        <v>191</v>
      </c>
      <c r="F34" s="468"/>
      <c r="G34" s="468"/>
      <c r="H34" s="468"/>
      <c r="I34" s="461"/>
      <c r="J34" s="468" t="str">
        <f t="shared" si="2"/>
        <v>lending_paylater_paylater_all_</v>
      </c>
      <c r="K34" t="s">
        <v>192</v>
      </c>
      <c r="L34" s="1063" t="s">
        <v>224</v>
      </c>
      <c r="M34" s="7">
        <f t="shared" si="38"/>
        <v>1598035667</v>
      </c>
      <c r="N34" s="34">
        <f t="shared" ref="N34:AA34" si="58">N87+N193+N246+N299+N352</f>
        <v>0</v>
      </c>
      <c r="O34" s="34">
        <f t="shared" si="58"/>
        <v>0</v>
      </c>
      <c r="P34" s="34">
        <f t="shared" si="58"/>
        <v>0</v>
      </c>
      <c r="Q34" s="34">
        <f t="shared" si="58"/>
        <v>0</v>
      </c>
      <c r="R34" s="34">
        <f t="shared" si="58"/>
        <v>0</v>
      </c>
      <c r="S34" s="34">
        <f t="shared" si="58"/>
        <v>0</v>
      </c>
      <c r="T34" s="34">
        <f t="shared" si="58"/>
        <v>0</v>
      </c>
      <c r="U34" s="34">
        <f t="shared" si="58"/>
        <v>0</v>
      </c>
      <c r="V34" s="34">
        <f t="shared" si="58"/>
        <v>109994319</v>
      </c>
      <c r="W34" s="34">
        <f t="shared" si="58"/>
        <v>182896359</v>
      </c>
      <c r="X34" s="34">
        <f t="shared" si="58"/>
        <v>230560394</v>
      </c>
      <c r="Y34" s="34">
        <f t="shared" si="58"/>
        <v>294776275</v>
      </c>
      <c r="Z34" s="34">
        <f t="shared" si="58"/>
        <v>361979280</v>
      </c>
      <c r="AA34" s="34">
        <f t="shared" si="58"/>
        <v>417829040</v>
      </c>
      <c r="AB34" s="34"/>
    </row>
    <row r="35" spans="2:29" hidden="1">
      <c r="B35" s="468" t="s">
        <v>189</v>
      </c>
      <c r="C35" s="468" t="s">
        <v>190</v>
      </c>
      <c r="D35" s="468" t="s">
        <v>190</v>
      </c>
      <c r="E35" s="468" t="s">
        <v>191</v>
      </c>
      <c r="F35" s="468"/>
      <c r="G35" s="468"/>
      <c r="H35" s="468"/>
      <c r="I35" s="461"/>
      <c r="J35" s="468" t="str">
        <f t="shared" si="2"/>
        <v>lending_paylater_paylater_all_</v>
      </c>
      <c r="K35" t="s">
        <v>192</v>
      </c>
      <c r="L35" s="1063" t="s">
        <v>225</v>
      </c>
      <c r="M35" s="7">
        <f t="shared" si="38"/>
        <v>2454921564</v>
      </c>
      <c r="N35" s="34"/>
      <c r="O35" s="34"/>
      <c r="P35" s="34">
        <f t="shared" ref="P35:AA35" si="59">P88+P194+P247+P300+P353</f>
        <v>0</v>
      </c>
      <c r="Q35" s="34">
        <f t="shared" si="59"/>
        <v>0</v>
      </c>
      <c r="R35" s="34">
        <f t="shared" si="59"/>
        <v>0</v>
      </c>
      <c r="S35" s="34">
        <f t="shared" si="59"/>
        <v>0</v>
      </c>
      <c r="T35" s="34">
        <f t="shared" si="59"/>
        <v>0</v>
      </c>
      <c r="U35" s="34">
        <f t="shared" si="59"/>
        <v>0</v>
      </c>
      <c r="V35" s="34">
        <f t="shared" si="59"/>
        <v>0</v>
      </c>
      <c r="W35" s="34">
        <f t="shared" si="59"/>
        <v>103360386</v>
      </c>
      <c r="X35" s="34">
        <f t="shared" si="59"/>
        <v>207920476</v>
      </c>
      <c r="Y35" s="34">
        <f t="shared" si="59"/>
        <v>525117419.99999994</v>
      </c>
      <c r="Z35" s="34">
        <f t="shared" si="59"/>
        <v>702290237</v>
      </c>
      <c r="AA35" s="34">
        <f t="shared" si="59"/>
        <v>916233045</v>
      </c>
      <c r="AB35" s="34"/>
    </row>
    <row r="36" spans="2:29" hidden="1">
      <c r="B36" s="468" t="s">
        <v>189</v>
      </c>
      <c r="C36" s="468" t="s">
        <v>190</v>
      </c>
      <c r="D36" s="468" t="s">
        <v>190</v>
      </c>
      <c r="E36" s="468" t="s">
        <v>191</v>
      </c>
      <c r="F36" s="468"/>
      <c r="G36" s="468"/>
      <c r="H36" s="468"/>
      <c r="I36" s="461"/>
      <c r="J36" s="468" t="str">
        <f t="shared" si="2"/>
        <v>lending_paylater_paylater_all_</v>
      </c>
      <c r="K36" t="s">
        <v>192</v>
      </c>
      <c r="L36" s="1063" t="s">
        <v>226</v>
      </c>
      <c r="M36" s="7">
        <f t="shared" si="38"/>
        <v>0</v>
      </c>
      <c r="N36" s="34">
        <f t="shared" ref="N36:O38" si="60">N89+N195+N248+N301+N354</f>
        <v>0</v>
      </c>
      <c r="O36" s="34">
        <f t="shared" si="60"/>
        <v>0</v>
      </c>
      <c r="P36" s="34">
        <f t="shared" ref="P36:AA36" si="61">P89+P195+P248+P301+P354</f>
        <v>0</v>
      </c>
      <c r="Q36" s="34">
        <f t="shared" si="61"/>
        <v>0</v>
      </c>
      <c r="R36" s="34">
        <f t="shared" si="61"/>
        <v>0</v>
      </c>
      <c r="S36" s="34">
        <f t="shared" si="61"/>
        <v>0</v>
      </c>
      <c r="T36" s="34">
        <f t="shared" si="61"/>
        <v>0</v>
      </c>
      <c r="U36" s="34">
        <f t="shared" si="61"/>
        <v>0</v>
      </c>
      <c r="V36" s="34">
        <f t="shared" si="61"/>
        <v>0</v>
      </c>
      <c r="W36" s="34">
        <f t="shared" si="61"/>
        <v>0</v>
      </c>
      <c r="X36" s="34">
        <f t="shared" si="61"/>
        <v>0</v>
      </c>
      <c r="Y36" s="34">
        <f t="shared" si="61"/>
        <v>0</v>
      </c>
      <c r="Z36" s="34">
        <f t="shared" si="61"/>
        <v>0</v>
      </c>
      <c r="AA36" s="34">
        <f t="shared" si="61"/>
        <v>0</v>
      </c>
      <c r="AB36" s="34"/>
    </row>
    <row r="37" spans="2:29" hidden="1">
      <c r="B37" s="468" t="s">
        <v>189</v>
      </c>
      <c r="C37" s="468" t="s">
        <v>190</v>
      </c>
      <c r="D37" s="468" t="s">
        <v>190</v>
      </c>
      <c r="E37" s="468" t="s">
        <v>191</v>
      </c>
      <c r="F37" s="468"/>
      <c r="G37" s="468"/>
      <c r="H37" s="468"/>
      <c r="I37" s="461"/>
      <c r="J37" s="468" t="str">
        <f t="shared" si="2"/>
        <v>lending_paylater_paylater_all_</v>
      </c>
      <c r="K37" t="s">
        <v>192</v>
      </c>
      <c r="L37" s="1063" t="s">
        <v>227</v>
      </c>
      <c r="M37" s="7">
        <f t="shared" si="38"/>
        <v>3205701876</v>
      </c>
      <c r="N37" s="34">
        <f t="shared" si="60"/>
        <v>74611792</v>
      </c>
      <c r="O37" s="34">
        <f t="shared" si="60"/>
        <v>103641830</v>
      </c>
      <c r="P37" s="34">
        <f t="shared" ref="P37:AA37" si="62">P90+P196+P249+P302+P355</f>
        <v>83119953</v>
      </c>
      <c r="Q37" s="34">
        <f t="shared" si="62"/>
        <v>99425847</v>
      </c>
      <c r="R37" s="34">
        <f t="shared" si="62"/>
        <v>92711511</v>
      </c>
      <c r="S37" s="34">
        <f t="shared" si="62"/>
        <v>100711442</v>
      </c>
      <c r="T37" s="34">
        <f t="shared" si="62"/>
        <v>112113376</v>
      </c>
      <c r="U37" s="34">
        <f t="shared" si="62"/>
        <v>125156737</v>
      </c>
      <c r="V37" s="34">
        <f t="shared" si="62"/>
        <v>223342905</v>
      </c>
      <c r="W37" s="34">
        <f t="shared" si="62"/>
        <v>274014878</v>
      </c>
      <c r="X37" s="34">
        <f t="shared" si="62"/>
        <v>395787468</v>
      </c>
      <c r="Y37" s="34">
        <f t="shared" si="62"/>
        <v>472303746</v>
      </c>
      <c r="Z37" s="34">
        <f t="shared" si="62"/>
        <v>596736392</v>
      </c>
      <c r="AA37" s="34">
        <f t="shared" si="62"/>
        <v>630277621</v>
      </c>
      <c r="AB37" s="34"/>
    </row>
    <row r="38" spans="2:29" hidden="1">
      <c r="B38" s="468" t="s">
        <v>189</v>
      </c>
      <c r="C38" s="468" t="s">
        <v>190</v>
      </c>
      <c r="D38" s="468" t="s">
        <v>190</v>
      </c>
      <c r="E38" s="468" t="s">
        <v>191</v>
      </c>
      <c r="F38" s="468"/>
      <c r="G38" s="468"/>
      <c r="H38" s="468"/>
      <c r="I38" s="461"/>
      <c r="J38" s="468" t="str">
        <f t="shared" si="2"/>
        <v>lending_paylater_paylater_all_</v>
      </c>
      <c r="K38" t="s">
        <v>192</v>
      </c>
      <c r="L38" s="1063" t="s">
        <v>228</v>
      </c>
      <c r="M38" s="7">
        <f t="shared" si="38"/>
        <v>2679066085</v>
      </c>
      <c r="N38" s="34">
        <f t="shared" si="60"/>
        <v>46512004</v>
      </c>
      <c r="O38" s="34">
        <f t="shared" si="60"/>
        <v>74611792</v>
      </c>
      <c r="P38" s="34">
        <f t="shared" ref="P38:AA38" si="63">P91+P197+P250+P303+P356</f>
        <v>103641830</v>
      </c>
      <c r="Q38" s="34">
        <f t="shared" si="63"/>
        <v>83119953</v>
      </c>
      <c r="R38" s="34">
        <f t="shared" si="63"/>
        <v>99425847</v>
      </c>
      <c r="S38" s="34">
        <f t="shared" si="63"/>
        <v>92711511</v>
      </c>
      <c r="T38" s="34">
        <f t="shared" si="63"/>
        <v>100711442</v>
      </c>
      <c r="U38" s="34">
        <f t="shared" si="63"/>
        <v>112113376</v>
      </c>
      <c r="V38" s="34">
        <f t="shared" si="63"/>
        <v>125156737</v>
      </c>
      <c r="W38" s="34">
        <f t="shared" si="63"/>
        <v>223342905</v>
      </c>
      <c r="X38" s="34">
        <f t="shared" si="63"/>
        <v>274014878</v>
      </c>
      <c r="Y38" s="34">
        <f t="shared" si="63"/>
        <v>395787468</v>
      </c>
      <c r="Z38" s="34">
        <f t="shared" si="63"/>
        <v>472303746</v>
      </c>
      <c r="AA38" s="34">
        <f t="shared" si="63"/>
        <v>596736392</v>
      </c>
      <c r="AB38" s="34"/>
    </row>
    <row r="39" spans="2:29" s="4" customFormat="1" hidden="1">
      <c r="B39" s="1298" t="s">
        <v>189</v>
      </c>
      <c r="C39" s="1298" t="s">
        <v>190</v>
      </c>
      <c r="D39" s="1298" t="s">
        <v>190</v>
      </c>
      <c r="E39" s="1298" t="s">
        <v>191</v>
      </c>
      <c r="F39" s="1298"/>
      <c r="G39" s="1298"/>
      <c r="H39" s="1298"/>
      <c r="I39" s="1401"/>
      <c r="J39" s="1298" t="str">
        <f t="shared" si="2"/>
        <v>lending_paylater_paylater_all_</v>
      </c>
      <c r="K39" s="4" t="s">
        <v>192</v>
      </c>
      <c r="L39" s="1055" t="s">
        <v>89</v>
      </c>
      <c r="M39" s="47">
        <f t="shared" si="38"/>
        <v>233571369</v>
      </c>
      <c r="N39" s="81"/>
      <c r="O39" s="81"/>
      <c r="P39" s="81"/>
      <c r="Q39" s="81"/>
      <c r="R39" s="81"/>
      <c r="S39" s="81"/>
      <c r="T39" s="81"/>
      <c r="U39" s="81"/>
      <c r="V39" s="47"/>
      <c r="W39" s="81"/>
      <c r="X39" s="81"/>
      <c r="Y39" s="81">
        <f t="shared" ref="Y39:AA40" si="64">Y92+Y198+Y251+Y304+Y357</f>
        <v>3878062</v>
      </c>
      <c r="Z39" s="81">
        <f t="shared" si="64"/>
        <v>90581190</v>
      </c>
      <c r="AA39" s="81">
        <f t="shared" si="64"/>
        <v>139112117</v>
      </c>
      <c r="AB39" s="81"/>
    </row>
    <row r="40" spans="2:29" hidden="1">
      <c r="B40" s="468" t="s">
        <v>189</v>
      </c>
      <c r="C40" s="468" t="s">
        <v>190</v>
      </c>
      <c r="D40" s="468" t="s">
        <v>190</v>
      </c>
      <c r="E40" s="468" t="s">
        <v>191</v>
      </c>
      <c r="F40" s="468"/>
      <c r="G40" s="468"/>
      <c r="H40" s="468"/>
      <c r="I40" s="461"/>
      <c r="J40" s="468" t="str">
        <f t="shared" si="2"/>
        <v>lending_paylater_paylater_all_</v>
      </c>
      <c r="K40" t="s">
        <v>192</v>
      </c>
      <c r="L40" s="85" t="s">
        <v>136</v>
      </c>
      <c r="M40" s="7">
        <f t="shared" si="38"/>
        <v>37850729652</v>
      </c>
      <c r="N40" s="81">
        <f t="shared" ref="N40:X40" si="65">N93+N199+N252+N305+N358</f>
        <v>305860039</v>
      </c>
      <c r="O40" s="81">
        <f t="shared" si="65"/>
        <v>560801857</v>
      </c>
      <c r="P40" s="81">
        <f t="shared" si="65"/>
        <v>742168104</v>
      </c>
      <c r="Q40" s="81">
        <f t="shared" si="65"/>
        <v>1084168166</v>
      </c>
      <c r="R40" s="81">
        <f t="shared" si="65"/>
        <v>1563124996</v>
      </c>
      <c r="S40" s="81">
        <f t="shared" si="65"/>
        <v>893698312</v>
      </c>
      <c r="T40" s="81">
        <f t="shared" si="65"/>
        <v>1573940676</v>
      </c>
      <c r="U40" s="81">
        <f t="shared" si="65"/>
        <v>2335355976</v>
      </c>
      <c r="V40" s="81">
        <f t="shared" si="65"/>
        <v>1961648221</v>
      </c>
      <c r="W40" s="81">
        <f t="shared" si="65"/>
        <v>3587025429</v>
      </c>
      <c r="X40" s="81">
        <f t="shared" si="65"/>
        <v>5294403138</v>
      </c>
      <c r="Y40" s="81">
        <f t="shared" si="64"/>
        <v>6686213915</v>
      </c>
      <c r="Z40" s="81">
        <f t="shared" si="64"/>
        <v>4736705460</v>
      </c>
      <c r="AA40" s="81">
        <f t="shared" si="64"/>
        <v>7392277259</v>
      </c>
      <c r="AB40" s="81"/>
    </row>
    <row r="41" spans="2:29" hidden="1">
      <c r="B41" s="468" t="s">
        <v>189</v>
      </c>
      <c r="C41" s="468" t="s">
        <v>190</v>
      </c>
      <c r="D41" s="468" t="s">
        <v>190</v>
      </c>
      <c r="E41" s="468" t="s">
        <v>191</v>
      </c>
      <c r="F41" s="468"/>
      <c r="G41" s="468"/>
      <c r="H41" s="468"/>
      <c r="I41" s="461"/>
      <c r="J41" s="468" t="str">
        <f t="shared" si="2"/>
        <v>lending_paylater_paylater_all_</v>
      </c>
      <c r="K41" t="s">
        <v>192</v>
      </c>
      <c r="L41" s="85" t="s">
        <v>229</v>
      </c>
      <c r="M41" s="7">
        <f t="shared" si="38"/>
        <v>12848317220.605211</v>
      </c>
      <c r="N41" s="81">
        <f t="shared" ref="N41:T41" si="66">SUM(N42:N49)</f>
        <v>366186711.70891553</v>
      </c>
      <c r="O41" s="81">
        <f t="shared" si="66"/>
        <v>474086436.82962799</v>
      </c>
      <c r="P41" s="81">
        <f t="shared" si="66"/>
        <v>485027652.49423862</v>
      </c>
      <c r="Q41" s="81">
        <f t="shared" si="66"/>
        <v>1162557149.193023</v>
      </c>
      <c r="R41" s="81">
        <f t="shared" si="66"/>
        <v>637432195.1949985</v>
      </c>
      <c r="S41" s="81">
        <f t="shared" si="66"/>
        <v>726447604.20287728</v>
      </c>
      <c r="T41" s="81">
        <f t="shared" si="66"/>
        <v>771411050.49595022</v>
      </c>
      <c r="U41" s="81">
        <f t="shared" ref="U41" si="67">SUM(U42:U49)</f>
        <v>856653151.01990819</v>
      </c>
      <c r="V41" s="81">
        <f t="shared" ref="V41:AA41" si="68">SUM(V42:V49)</f>
        <v>947374907.0284642</v>
      </c>
      <c r="W41" s="81">
        <f t="shared" si="68"/>
        <v>968389260.88334239</v>
      </c>
      <c r="X41" s="81">
        <f t="shared" si="68"/>
        <v>1142188172.2832549</v>
      </c>
      <c r="Y41" s="81">
        <f t="shared" si="68"/>
        <v>1386715155.2184215</v>
      </c>
      <c r="Z41" s="81">
        <f t="shared" si="68"/>
        <v>2017128389.9185915</v>
      </c>
      <c r="AA41" s="81">
        <f t="shared" si="68"/>
        <v>1746992532.6721399</v>
      </c>
      <c r="AB41" s="81"/>
      <c r="AC41" s="34"/>
    </row>
    <row r="42" spans="2:29" hidden="1">
      <c r="B42" s="468" t="s">
        <v>189</v>
      </c>
      <c r="C42" s="468" t="s">
        <v>190</v>
      </c>
      <c r="D42" s="468" t="s">
        <v>190</v>
      </c>
      <c r="E42" s="468" t="s">
        <v>191</v>
      </c>
      <c r="F42" s="468"/>
      <c r="G42" s="468"/>
      <c r="H42" s="468"/>
      <c r="I42" s="461"/>
      <c r="J42" s="468" t="str">
        <f t="shared" si="2"/>
        <v>lending_paylater_paylater_all_</v>
      </c>
      <c r="K42" t="s">
        <v>192</v>
      </c>
      <c r="L42" s="563" t="s">
        <v>230</v>
      </c>
      <c r="M42" s="7">
        <f t="shared" si="38"/>
        <v>0</v>
      </c>
      <c r="N42" s="34">
        <f t="shared" ref="N42:AA42" si="69">N95+N201+N254+N307+N360</f>
        <v>0</v>
      </c>
      <c r="O42" s="34">
        <f t="shared" si="69"/>
        <v>0</v>
      </c>
      <c r="P42" s="34">
        <f t="shared" si="69"/>
        <v>0</v>
      </c>
      <c r="Q42" s="34">
        <f t="shared" si="69"/>
        <v>0</v>
      </c>
      <c r="R42" s="34">
        <f t="shared" si="69"/>
        <v>0</v>
      </c>
      <c r="S42" s="34">
        <f t="shared" si="69"/>
        <v>0</v>
      </c>
      <c r="T42" s="34">
        <f t="shared" si="69"/>
        <v>0</v>
      </c>
      <c r="U42" s="34">
        <f t="shared" si="69"/>
        <v>0</v>
      </c>
      <c r="V42" s="34">
        <f t="shared" si="69"/>
        <v>0</v>
      </c>
      <c r="W42" s="34">
        <f t="shared" si="69"/>
        <v>0</v>
      </c>
      <c r="X42" s="34">
        <f t="shared" si="69"/>
        <v>0</v>
      </c>
      <c r="Y42" s="34">
        <f t="shared" si="69"/>
        <v>0</v>
      </c>
      <c r="Z42" s="34">
        <f t="shared" si="69"/>
        <v>0</v>
      </c>
      <c r="AA42" s="34">
        <f t="shared" si="69"/>
        <v>0</v>
      </c>
      <c r="AB42" s="34"/>
      <c r="AC42" s="34"/>
    </row>
    <row r="43" spans="2:29" hidden="1">
      <c r="B43" s="468" t="s">
        <v>189</v>
      </c>
      <c r="C43" s="468" t="s">
        <v>190</v>
      </c>
      <c r="D43" s="468" t="s">
        <v>190</v>
      </c>
      <c r="E43" s="468" t="s">
        <v>191</v>
      </c>
      <c r="F43" s="468"/>
      <c r="G43" s="468"/>
      <c r="H43" s="468"/>
      <c r="I43" s="461"/>
      <c r="J43" s="468" t="str">
        <f t="shared" si="2"/>
        <v>lending_paylater_paylater_all_</v>
      </c>
      <c r="K43" t="s">
        <v>192</v>
      </c>
      <c r="L43" s="563" t="s">
        <v>231</v>
      </c>
      <c r="M43" s="7">
        <f t="shared" si="38"/>
        <v>2096105841.7335801</v>
      </c>
      <c r="N43" s="34">
        <f t="shared" ref="N43:AA43" si="70">N96+N202+N255+N308+N361</f>
        <v>12690352</v>
      </c>
      <c r="O43" s="34">
        <f t="shared" si="70"/>
        <v>0</v>
      </c>
      <c r="P43" s="34">
        <f t="shared" si="70"/>
        <v>7011409</v>
      </c>
      <c r="Q43" s="34">
        <f t="shared" si="70"/>
        <v>16848900.5</v>
      </c>
      <c r="R43" s="34">
        <f t="shared" si="70"/>
        <v>52420122</v>
      </c>
      <c r="S43" s="34">
        <f t="shared" si="70"/>
        <v>72292016</v>
      </c>
      <c r="T43" s="34">
        <f t="shared" si="70"/>
        <v>59487335</v>
      </c>
      <c r="U43" s="34">
        <f t="shared" si="70"/>
        <v>45819480</v>
      </c>
      <c r="V43" s="34">
        <f t="shared" si="70"/>
        <v>61188687</v>
      </c>
      <c r="W43" s="34">
        <f t="shared" si="70"/>
        <v>62134457</v>
      </c>
      <c r="X43" s="34">
        <f t="shared" si="70"/>
        <v>169645528</v>
      </c>
      <c r="Y43" s="34">
        <f t="shared" si="70"/>
        <v>568039406.87091994</v>
      </c>
      <c r="Z43" s="34">
        <f t="shared" si="70"/>
        <v>497392904.07048023</v>
      </c>
      <c r="AA43" s="34">
        <f t="shared" si="70"/>
        <v>483825596.29218</v>
      </c>
      <c r="AB43" s="34"/>
      <c r="AC43" s="34"/>
    </row>
    <row r="44" spans="2:29" hidden="1">
      <c r="B44" s="468" t="s">
        <v>189</v>
      </c>
      <c r="C44" s="468" t="s">
        <v>190</v>
      </c>
      <c r="D44" s="468" t="s">
        <v>190</v>
      </c>
      <c r="E44" s="468" t="s">
        <v>191</v>
      </c>
      <c r="F44" s="468"/>
      <c r="G44" s="468"/>
      <c r="H44" s="468"/>
      <c r="I44" s="461"/>
      <c r="J44" s="468" t="str">
        <f t="shared" si="2"/>
        <v>lending_paylater_paylater_all_</v>
      </c>
      <c r="K44" t="s">
        <v>192</v>
      </c>
      <c r="L44" s="563" t="s">
        <v>232</v>
      </c>
      <c r="M44" s="7">
        <f t="shared" si="38"/>
        <v>5076933095</v>
      </c>
      <c r="N44" s="34">
        <f t="shared" ref="N44:AA44" si="71">N97+N203+N256+N309+N362</f>
        <v>167802048</v>
      </c>
      <c r="O44" s="34">
        <f t="shared" si="71"/>
        <v>181752172</v>
      </c>
      <c r="P44" s="34">
        <f t="shared" si="71"/>
        <v>138004527</v>
      </c>
      <c r="Q44" s="34">
        <f t="shared" si="71"/>
        <v>714394704</v>
      </c>
      <c r="R44" s="34">
        <f t="shared" si="71"/>
        <v>166755047</v>
      </c>
      <c r="S44" s="34">
        <f t="shared" si="71"/>
        <v>195049660</v>
      </c>
      <c r="T44" s="34">
        <f t="shared" si="71"/>
        <v>259005929</v>
      </c>
      <c r="U44" s="34">
        <f t="shared" si="71"/>
        <v>514505702.00000012</v>
      </c>
      <c r="V44" s="34">
        <f t="shared" si="71"/>
        <v>518864882</v>
      </c>
      <c r="W44" s="34">
        <f t="shared" si="71"/>
        <v>491421302</v>
      </c>
      <c r="X44" s="34">
        <f t="shared" si="71"/>
        <v>477366582</v>
      </c>
      <c r="Y44" s="34">
        <f t="shared" si="71"/>
        <v>520143772</v>
      </c>
      <c r="Z44" s="34">
        <f t="shared" si="71"/>
        <v>469466500</v>
      </c>
      <c r="AA44" s="34">
        <f t="shared" si="71"/>
        <v>611954488</v>
      </c>
      <c r="AB44" s="34"/>
      <c r="AC44" s="34"/>
    </row>
    <row r="45" spans="2:29" hidden="1">
      <c r="B45" s="468" t="s">
        <v>189</v>
      </c>
      <c r="C45" s="468" t="s">
        <v>190</v>
      </c>
      <c r="D45" s="468" t="s">
        <v>190</v>
      </c>
      <c r="E45" s="468" t="s">
        <v>191</v>
      </c>
      <c r="F45" s="468"/>
      <c r="G45" s="468"/>
      <c r="H45" s="468"/>
      <c r="I45" s="461"/>
      <c r="J45" s="468" t="str">
        <f t="shared" si="2"/>
        <v>lending_paylater_paylater_all_</v>
      </c>
      <c r="K45" t="s">
        <v>192</v>
      </c>
      <c r="L45" s="563" t="s">
        <v>233</v>
      </c>
      <c r="M45" s="7">
        <f t="shared" si="38"/>
        <v>111960074</v>
      </c>
      <c r="N45" s="34">
        <f t="shared" ref="N45:AA45" si="72">N98+N204+N257+N310+N363</f>
        <v>5014151</v>
      </c>
      <c r="O45" s="34">
        <f t="shared" si="72"/>
        <v>5344322</v>
      </c>
      <c r="P45" s="34">
        <f t="shared" si="72"/>
        <v>5100557</v>
      </c>
      <c r="Q45" s="34">
        <f t="shared" si="72"/>
        <v>11394276</v>
      </c>
      <c r="R45" s="34">
        <f t="shared" si="72"/>
        <v>16069813</v>
      </c>
      <c r="S45" s="34">
        <f t="shared" si="72"/>
        <v>15319706</v>
      </c>
      <c r="T45" s="34">
        <f t="shared" si="72"/>
        <v>2947214</v>
      </c>
      <c r="U45" s="34">
        <f t="shared" si="72"/>
        <v>8965209</v>
      </c>
      <c r="V45" s="34">
        <f t="shared" si="72"/>
        <v>10361937</v>
      </c>
      <c r="W45" s="34">
        <f t="shared" si="72"/>
        <v>11235409</v>
      </c>
      <c r="X45" s="34">
        <f t="shared" si="72"/>
        <v>7410230</v>
      </c>
      <c r="Y45" s="34">
        <f t="shared" si="72"/>
        <v>7139183</v>
      </c>
      <c r="Z45" s="34">
        <f t="shared" si="72"/>
        <v>6994688</v>
      </c>
      <c r="AA45" s="34">
        <f t="shared" si="72"/>
        <v>9021852</v>
      </c>
      <c r="AB45" s="34"/>
      <c r="AC45" s="34"/>
    </row>
    <row r="46" spans="2:29" hidden="1">
      <c r="B46" s="468" t="s">
        <v>189</v>
      </c>
      <c r="C46" s="468" t="s">
        <v>190</v>
      </c>
      <c r="D46" s="468" t="s">
        <v>190</v>
      </c>
      <c r="E46" s="468" t="s">
        <v>191</v>
      </c>
      <c r="F46" s="468"/>
      <c r="G46" s="468"/>
      <c r="H46" s="468"/>
      <c r="I46" s="461"/>
      <c r="J46" s="468" t="str">
        <f t="shared" si="2"/>
        <v>lending_paylater_paylater_all_</v>
      </c>
      <c r="K46" t="s">
        <v>192</v>
      </c>
      <c r="L46" s="563" t="s">
        <v>152</v>
      </c>
      <c r="M46" s="7">
        <f t="shared" si="38"/>
        <v>98897012.5</v>
      </c>
      <c r="N46" s="34">
        <f t="shared" ref="N46:AA46" si="73">N99+N205+N258+N311+N364</f>
        <v>0</v>
      </c>
      <c r="O46" s="34">
        <f t="shared" si="73"/>
        <v>0</v>
      </c>
      <c r="P46" s="34">
        <f t="shared" si="73"/>
        <v>8924400</v>
      </c>
      <c r="Q46" s="34">
        <f t="shared" si="73"/>
        <v>5582475</v>
      </c>
      <c r="R46" s="34">
        <f t="shared" si="73"/>
        <v>8289224.9999999991</v>
      </c>
      <c r="S46" s="34">
        <f t="shared" si="73"/>
        <v>6892424.9999999991</v>
      </c>
      <c r="T46" s="34">
        <f t="shared" si="73"/>
        <v>6903900</v>
      </c>
      <c r="U46" s="34">
        <f t="shared" si="73"/>
        <v>7484625</v>
      </c>
      <c r="V46" s="34">
        <f t="shared" si="73"/>
        <v>8474550</v>
      </c>
      <c r="W46" s="34">
        <f t="shared" si="73"/>
        <v>8135725</v>
      </c>
      <c r="X46" s="34">
        <f t="shared" si="73"/>
        <v>8027924.9999999991</v>
      </c>
      <c r="Y46" s="34">
        <f t="shared" si="73"/>
        <v>9213225</v>
      </c>
      <c r="Z46" s="34">
        <f t="shared" si="73"/>
        <v>9202725</v>
      </c>
      <c r="AA46" s="34">
        <f t="shared" si="73"/>
        <v>11765812.5</v>
      </c>
      <c r="AB46" s="34"/>
      <c r="AC46" s="34"/>
    </row>
    <row r="47" spans="2:29" hidden="1">
      <c r="B47" s="468" t="s">
        <v>189</v>
      </c>
      <c r="C47" s="468" t="s">
        <v>190</v>
      </c>
      <c r="D47" s="468" t="s">
        <v>190</v>
      </c>
      <c r="E47" s="468" t="s">
        <v>191</v>
      </c>
      <c r="F47" s="468"/>
      <c r="G47" s="468"/>
      <c r="H47" s="468"/>
      <c r="I47" s="461"/>
      <c r="J47" s="468" t="str">
        <f t="shared" si="2"/>
        <v>lending_paylater_paylater_all_</v>
      </c>
      <c r="K47" t="s">
        <v>192</v>
      </c>
      <c r="L47" s="563" t="s">
        <v>234</v>
      </c>
      <c r="M47" s="7">
        <f>SUM(P47:AA47)</f>
        <v>2913566689.7037435</v>
      </c>
      <c r="N47" s="34">
        <f t="shared" ref="N47:AA47" si="74">N100+N206+N259+N312+N365</f>
        <v>96003773.164028913</v>
      </c>
      <c r="O47" s="34">
        <f t="shared" si="74"/>
        <v>189931342.82962802</v>
      </c>
      <c r="P47" s="34">
        <f t="shared" si="74"/>
        <v>206232062.34873098</v>
      </c>
      <c r="Q47" s="34">
        <f t="shared" si="74"/>
        <v>304594997.84993851</v>
      </c>
      <c r="R47" s="34">
        <f t="shared" si="74"/>
        <v>268443013.62830836</v>
      </c>
      <c r="S47" s="34">
        <f t="shared" si="74"/>
        <v>288601740.02660316</v>
      </c>
      <c r="T47" s="34">
        <f t="shared" si="74"/>
        <v>303647164.66533339</v>
      </c>
      <c r="U47" s="34">
        <f t="shared" si="74"/>
        <v>146284351.1591315</v>
      </c>
      <c r="V47" s="34">
        <f t="shared" si="74"/>
        <v>214921930.84285757</v>
      </c>
      <c r="W47" s="34">
        <f t="shared" si="74"/>
        <v>274939426.54952782</v>
      </c>
      <c r="X47" s="34">
        <f t="shared" si="74"/>
        <v>353410530.13331234</v>
      </c>
      <c r="Y47" s="34">
        <f t="shared" si="74"/>
        <v>156048440.56000003</v>
      </c>
      <c r="Z47" s="34">
        <f t="shared" si="74"/>
        <v>189619908.66000003</v>
      </c>
      <c r="AA47" s="34">
        <f t="shared" si="74"/>
        <v>206823123.28000003</v>
      </c>
      <c r="AB47" s="34"/>
      <c r="AC47" s="34"/>
    </row>
    <row r="48" spans="2:29" hidden="1">
      <c r="B48" s="468" t="s">
        <v>189</v>
      </c>
      <c r="C48" s="468" t="s">
        <v>190</v>
      </c>
      <c r="D48" s="468" t="s">
        <v>190</v>
      </c>
      <c r="E48" s="468" t="s">
        <v>191</v>
      </c>
      <c r="F48" s="468"/>
      <c r="G48" s="468"/>
      <c r="H48" s="468"/>
      <c r="I48" s="461"/>
      <c r="J48" s="468" t="str">
        <f t="shared" si="2"/>
        <v>lending_paylater_paylater_all_</v>
      </c>
      <c r="K48" t="s">
        <v>192</v>
      </c>
      <c r="L48" s="563" t="s">
        <v>235</v>
      </c>
      <c r="M48" s="7">
        <f t="shared" si="38"/>
        <v>993856572</v>
      </c>
      <c r="N48" s="34">
        <f t="shared" ref="N48:AA48" si="75">N101+N207+N260+N313+N366</f>
        <v>0</v>
      </c>
      <c r="O48" s="34">
        <f t="shared" si="75"/>
        <v>0</v>
      </c>
      <c r="P48" s="34">
        <f t="shared" si="75"/>
        <v>0</v>
      </c>
      <c r="Q48" s="34">
        <f t="shared" si="75"/>
        <v>0</v>
      </c>
      <c r="R48" s="34">
        <f t="shared" si="75"/>
        <v>0</v>
      </c>
      <c r="S48" s="34">
        <f t="shared" si="75"/>
        <v>0</v>
      </c>
      <c r="T48" s="34">
        <f t="shared" si="75"/>
        <v>0</v>
      </c>
      <c r="U48" s="34">
        <f t="shared" si="75"/>
        <v>0</v>
      </c>
      <c r="V48" s="34">
        <f t="shared" si="75"/>
        <v>0</v>
      </c>
      <c r="W48" s="34">
        <f t="shared" si="75"/>
        <v>0</v>
      </c>
      <c r="X48" s="34">
        <f t="shared" si="75"/>
        <v>0</v>
      </c>
      <c r="Y48" s="34">
        <f t="shared" si="75"/>
        <v>0</v>
      </c>
      <c r="Z48" s="34">
        <f t="shared" si="75"/>
        <v>712650000</v>
      </c>
      <c r="AA48" s="34">
        <f t="shared" si="75"/>
        <v>281206572</v>
      </c>
      <c r="AB48" s="34"/>
      <c r="AC48" s="34"/>
    </row>
    <row r="49" spans="2:29" ht="16" hidden="1" thickBot="1">
      <c r="B49" s="468" t="s">
        <v>189</v>
      </c>
      <c r="C49" s="468" t="s">
        <v>190</v>
      </c>
      <c r="D49" s="468" t="s">
        <v>190</v>
      </c>
      <c r="E49" s="468" t="s">
        <v>191</v>
      </c>
      <c r="F49" s="468"/>
      <c r="G49" s="468"/>
      <c r="H49" s="468"/>
      <c r="I49" s="461"/>
      <c r="J49" s="468" t="str">
        <f t="shared" si="2"/>
        <v>lending_paylater_paylater_all_</v>
      </c>
      <c r="K49" t="s">
        <v>192</v>
      </c>
      <c r="L49" s="1093" t="s">
        <v>163</v>
      </c>
      <c r="M49" s="1094">
        <f t="shared" si="38"/>
        <v>1556997935.6678863</v>
      </c>
      <c r="N49" s="1095">
        <f t="shared" ref="N49:AA49" si="76">N102+N208+N261+N314+N367</f>
        <v>84676387.544886664</v>
      </c>
      <c r="O49" s="1095">
        <f t="shared" si="76"/>
        <v>97058600</v>
      </c>
      <c r="P49" s="1095">
        <f t="shared" si="76"/>
        <v>119754697.1455076</v>
      </c>
      <c r="Q49" s="1095">
        <f t="shared" si="76"/>
        <v>109741795.84308439</v>
      </c>
      <c r="R49" s="1095">
        <f t="shared" si="76"/>
        <v>125454974.56669019</v>
      </c>
      <c r="S49" s="1095">
        <f t="shared" si="76"/>
        <v>148292057.17627412</v>
      </c>
      <c r="T49" s="1095">
        <f t="shared" si="76"/>
        <v>139419507.83061686</v>
      </c>
      <c r="U49" s="1095">
        <f t="shared" si="76"/>
        <v>133593783.8607765</v>
      </c>
      <c r="V49" s="1095">
        <f t="shared" si="76"/>
        <v>133562920.18560657</v>
      </c>
      <c r="W49" s="1095">
        <f t="shared" si="76"/>
        <v>120522941.33381453</v>
      </c>
      <c r="X49" s="1095">
        <f t="shared" si="76"/>
        <v>126327377.14994262</v>
      </c>
      <c r="Y49" s="1095">
        <f t="shared" si="76"/>
        <v>126131127.78750169</v>
      </c>
      <c r="Z49" s="1095">
        <f t="shared" si="76"/>
        <v>131801664.18811135</v>
      </c>
      <c r="AA49" s="1095">
        <f t="shared" si="76"/>
        <v>142395088.59995991</v>
      </c>
      <c r="AB49" s="34"/>
      <c r="AC49" s="34"/>
    </row>
    <row r="50" spans="2:29">
      <c r="B50" s="468" t="s">
        <v>189</v>
      </c>
      <c r="C50" s="468" t="s">
        <v>190</v>
      </c>
      <c r="D50" s="468" t="s">
        <v>190</v>
      </c>
      <c r="E50" s="468" t="s">
        <v>191</v>
      </c>
      <c r="F50" s="468" t="str">
        <f>E50&amp;"PL"</f>
        <v>allPL</v>
      </c>
      <c r="G50" s="468" t="str">
        <f>L50&amp;F50</f>
        <v>Profit before allocation costallPL</v>
      </c>
      <c r="H50" s="468" t="str">
        <f>L50&amp;E50</f>
        <v>Profit before allocation costall</v>
      </c>
      <c r="I50" s="461"/>
      <c r="J50" s="468" t="str">
        <f t="shared" si="2"/>
        <v>lending_paylater_paylater_all_</v>
      </c>
      <c r="K50" t="s">
        <v>192</v>
      </c>
      <c r="L50" s="85" t="s">
        <v>236</v>
      </c>
      <c r="M50" s="7">
        <f>SUM(P50:AA50)</f>
        <v>-24434726284.981544</v>
      </c>
      <c r="N50" s="81">
        <f t="shared" ref="N50:T50" si="77">N26-N40-N41</f>
        <v>-29021293.708915532</v>
      </c>
      <c r="O50" s="81">
        <f t="shared" si="77"/>
        <v>-401303830.82962799</v>
      </c>
      <c r="P50" s="81">
        <f t="shared" si="77"/>
        <v>-412757604.49423862</v>
      </c>
      <c r="Q50" s="81">
        <f t="shared" si="77"/>
        <v>-1314761858.193023</v>
      </c>
      <c r="R50" s="81">
        <f t="shared" si="77"/>
        <v>-961297314.72859693</v>
      </c>
      <c r="S50" s="81">
        <f t="shared" si="77"/>
        <v>-458029756.9958756</v>
      </c>
      <c r="T50" s="81">
        <f t="shared" si="77"/>
        <v>-921404285.84714913</v>
      </c>
      <c r="U50" s="81">
        <f t="shared" ref="U50" si="78">U26-U40-U41</f>
        <v>-1601662083.4199073</v>
      </c>
      <c r="V50" s="81">
        <f t="shared" ref="V50:AA50" si="79">V26-V40-V41</f>
        <v>-1152011535.0334625</v>
      </c>
      <c r="W50" s="81">
        <f t="shared" si="79"/>
        <v>-2220156966.6714911</v>
      </c>
      <c r="X50" s="81">
        <f t="shared" si="79"/>
        <v>-3354014546.0087557</v>
      </c>
      <c r="Y50" s="81">
        <f t="shared" si="79"/>
        <v>-4674712057.5869217</v>
      </c>
      <c r="Z50" s="81">
        <f t="shared" si="79"/>
        <v>-2646274238.4544864</v>
      </c>
      <c r="AA50" s="81">
        <f t="shared" si="79"/>
        <v>-4717644037.5476398</v>
      </c>
      <c r="AB50" s="7">
        <f>SUM(P50:AA50)</f>
        <v>-24434726284.981544</v>
      </c>
      <c r="AC50" s="7">
        <f>SUM(P50:AA50)</f>
        <v>-24434726284.981544</v>
      </c>
    </row>
    <row r="51" spans="2:29" hidden="1">
      <c r="B51" s="468"/>
      <c r="C51" s="468"/>
      <c r="D51" s="468"/>
      <c r="E51" s="468"/>
      <c r="F51" s="468"/>
      <c r="G51" s="468"/>
      <c r="H51" s="468"/>
      <c r="I51" s="461"/>
      <c r="J51" s="468"/>
      <c r="L51" s="85"/>
      <c r="M51" s="7"/>
      <c r="N51" s="34"/>
      <c r="O51" s="34"/>
      <c r="P51" s="34"/>
      <c r="Q51" s="34"/>
      <c r="R51" s="34"/>
      <c r="S51" s="34"/>
      <c r="T51" s="34"/>
      <c r="U51" s="34"/>
      <c r="W51" s="34"/>
      <c r="X51" s="34"/>
      <c r="Y51" s="34"/>
      <c r="Z51" s="34"/>
      <c r="AA51" s="34"/>
      <c r="AB51" s="34"/>
    </row>
    <row r="52" spans="2:29" hidden="1">
      <c r="B52" s="468" t="s">
        <v>189</v>
      </c>
      <c r="C52" s="468" t="s">
        <v>190</v>
      </c>
      <c r="D52" s="468" t="s">
        <v>190</v>
      </c>
      <c r="E52" s="468" t="s">
        <v>237</v>
      </c>
      <c r="F52" s="468"/>
      <c r="G52" s="468"/>
      <c r="H52" s="468"/>
      <c r="I52" s="126"/>
      <c r="J52" s="468"/>
      <c r="K52" t="s">
        <v>237</v>
      </c>
      <c r="L52" s="1048" t="s">
        <v>238</v>
      </c>
      <c r="O52" s="34"/>
      <c r="P52" s="34"/>
      <c r="AA52" s="34"/>
      <c r="AB52" s="34"/>
    </row>
    <row r="53" spans="2:29" hidden="1">
      <c r="B53" s="468" t="s">
        <v>189</v>
      </c>
      <c r="C53" s="468" t="s">
        <v>190</v>
      </c>
      <c r="D53" s="468" t="s">
        <v>190</v>
      </c>
      <c r="E53" s="468" t="s">
        <v>237</v>
      </c>
      <c r="F53" s="468"/>
      <c r="G53" s="468"/>
      <c r="H53" s="468"/>
      <c r="I53" s="126" t="s">
        <v>239</v>
      </c>
      <c r="J53" s="468" t="str">
        <f t="shared" ref="J53:J84" si="80">B53&amp;"_"&amp;C53&amp;"_"&amp;D53&amp;"_"&amp;E53&amp;"_"&amp;I53</f>
        <v>lending_paylater_paylater_VDS_new_account</v>
      </c>
      <c r="K53" t="s">
        <v>237</v>
      </c>
      <c r="L53" s="1052" t="s">
        <v>193</v>
      </c>
      <c r="N53">
        <v>4397</v>
      </c>
      <c r="O53" s="89">
        <v>3846</v>
      </c>
      <c r="P53" s="89">
        <v>2796</v>
      </c>
      <c r="Q53">
        <v>2488</v>
      </c>
      <c r="R53">
        <v>3537</v>
      </c>
      <c r="S53">
        <v>3277</v>
      </c>
      <c r="T53" s="7">
        <v>2415</v>
      </c>
      <c r="U53" s="7">
        <v>3055</v>
      </c>
      <c r="V53" s="7">
        <v>1904</v>
      </c>
      <c r="W53" s="7">
        <v>1887</v>
      </c>
      <c r="X53" s="7">
        <v>2031</v>
      </c>
      <c r="Y53" s="34">
        <v>2082</v>
      </c>
      <c r="Z53" s="7">
        <v>1442</v>
      </c>
      <c r="AA53" s="89">
        <v>1429</v>
      </c>
      <c r="AB53" s="89"/>
    </row>
    <row r="54" spans="2:29" hidden="1">
      <c r="B54" s="468" t="s">
        <v>189</v>
      </c>
      <c r="C54" s="468" t="s">
        <v>190</v>
      </c>
      <c r="D54" s="468" t="s">
        <v>190</v>
      </c>
      <c r="E54" s="468" t="s">
        <v>237</v>
      </c>
      <c r="F54" s="468"/>
      <c r="G54" s="468"/>
      <c r="H54" s="468"/>
      <c r="I54" s="126" t="s">
        <v>240</v>
      </c>
      <c r="J54" s="468" t="str">
        <f t="shared" si="80"/>
        <v>lending_paylater_paylater_VDS_accum_account</v>
      </c>
      <c r="K54" t="s">
        <v>237</v>
      </c>
      <c r="L54" s="1052" t="s">
        <v>194</v>
      </c>
      <c r="N54" s="34">
        <v>41375</v>
      </c>
      <c r="O54" s="34">
        <v>45221</v>
      </c>
      <c r="P54" s="34">
        <v>48017</v>
      </c>
      <c r="Q54" s="34">
        <f t="shared" ref="Q54:AA54" si="81">P54+Q53</f>
        <v>50505</v>
      </c>
      <c r="R54" s="34">
        <f t="shared" si="81"/>
        <v>54042</v>
      </c>
      <c r="S54" s="34">
        <f t="shared" si="81"/>
        <v>57319</v>
      </c>
      <c r="T54" s="7">
        <f t="shared" si="81"/>
        <v>59734</v>
      </c>
      <c r="U54" s="7">
        <f t="shared" si="81"/>
        <v>62789</v>
      </c>
      <c r="V54" s="7">
        <f t="shared" si="81"/>
        <v>64693</v>
      </c>
      <c r="W54" s="7">
        <f t="shared" si="81"/>
        <v>66580</v>
      </c>
      <c r="X54" s="7">
        <f t="shared" si="81"/>
        <v>68611</v>
      </c>
      <c r="Y54" s="7">
        <f t="shared" si="81"/>
        <v>70693</v>
      </c>
      <c r="Z54" s="7">
        <f t="shared" si="81"/>
        <v>72135</v>
      </c>
      <c r="AA54" s="7">
        <f t="shared" si="81"/>
        <v>73564</v>
      </c>
      <c r="AB54" s="7"/>
    </row>
    <row r="55" spans="2:29" hidden="1">
      <c r="B55" s="468" t="s">
        <v>189</v>
      </c>
      <c r="C55" s="468" t="s">
        <v>190</v>
      </c>
      <c r="D55" s="468" t="s">
        <v>190</v>
      </c>
      <c r="E55" s="468" t="s">
        <v>237</v>
      </c>
      <c r="F55" s="468"/>
      <c r="G55" s="468"/>
      <c r="H55" s="468"/>
      <c r="I55" s="126" t="s">
        <v>241</v>
      </c>
      <c r="J55" s="468" t="str">
        <f t="shared" si="80"/>
        <v>lending_paylater_paylater_VDS_active_account</v>
      </c>
      <c r="K55" t="s">
        <v>237</v>
      </c>
      <c r="L55" s="1052" t="s">
        <v>195</v>
      </c>
      <c r="N55">
        <v>11727</v>
      </c>
      <c r="O55" s="89">
        <v>12138</v>
      </c>
      <c r="P55" s="89">
        <v>11404</v>
      </c>
      <c r="Q55">
        <v>11447</v>
      </c>
      <c r="R55">
        <v>18266</v>
      </c>
      <c r="S55">
        <v>12561</v>
      </c>
      <c r="T55" s="7">
        <v>12486</v>
      </c>
      <c r="U55" s="7">
        <v>12498</v>
      </c>
      <c r="V55" s="7">
        <v>12437</v>
      </c>
      <c r="W55" s="7">
        <v>11083</v>
      </c>
      <c r="X55" s="7">
        <v>10452</v>
      </c>
      <c r="Y55" s="7">
        <v>9956</v>
      </c>
      <c r="Z55" s="7">
        <v>8508</v>
      </c>
      <c r="AA55" s="89">
        <v>8257</v>
      </c>
      <c r="AB55" s="89"/>
    </row>
    <row r="56" spans="2:29" hidden="1">
      <c r="B56" s="468" t="s">
        <v>189</v>
      </c>
      <c r="C56" s="468" t="s">
        <v>190</v>
      </c>
      <c r="D56" s="468" t="s">
        <v>190</v>
      </c>
      <c r="E56" s="468" t="s">
        <v>237</v>
      </c>
      <c r="F56" s="468"/>
      <c r="G56" s="468"/>
      <c r="H56" s="468"/>
      <c r="I56" s="1050"/>
      <c r="J56" s="468" t="str">
        <f t="shared" si="80"/>
        <v>lending_paylater_paylater_VDS_</v>
      </c>
      <c r="K56" t="s">
        <v>237</v>
      </c>
      <c r="L56" s="1052" t="s">
        <v>196</v>
      </c>
      <c r="N56" s="42">
        <f t="shared" ref="N56:T56" si="82">N55/N54</f>
        <v>0.28343202416918428</v>
      </c>
      <c r="O56" s="42">
        <f t="shared" si="82"/>
        <v>0.26841511687048053</v>
      </c>
      <c r="P56" s="42">
        <f t="shared" si="82"/>
        <v>0.23749921902659474</v>
      </c>
      <c r="Q56" s="42">
        <f t="shared" si="82"/>
        <v>0.22665082665082664</v>
      </c>
      <c r="R56" s="42">
        <f t="shared" si="82"/>
        <v>0.33799637319122167</v>
      </c>
      <c r="S56" s="42">
        <f t="shared" si="82"/>
        <v>0.21914199480102584</v>
      </c>
      <c r="T56" s="42">
        <f t="shared" si="82"/>
        <v>0.20902668497003382</v>
      </c>
      <c r="U56" s="42">
        <f t="shared" ref="U56" si="83">U55/U54</f>
        <v>0.19904760387966045</v>
      </c>
      <c r="V56" s="42">
        <f t="shared" ref="V56:AA56" si="84">V55/V54</f>
        <v>0.19224645633994406</v>
      </c>
      <c r="W56" s="42">
        <f t="shared" si="84"/>
        <v>0.16646139981976568</v>
      </c>
      <c r="X56" s="42">
        <f t="shared" si="84"/>
        <v>0.1523370888050021</v>
      </c>
      <c r="Y56" s="42">
        <f t="shared" si="84"/>
        <v>0.14083431174232244</v>
      </c>
      <c r="Z56" s="42">
        <f t="shared" si="84"/>
        <v>0.11794551881888127</v>
      </c>
      <c r="AA56" s="42">
        <f t="shared" si="84"/>
        <v>0.11224240117448753</v>
      </c>
      <c r="AB56" s="42"/>
    </row>
    <row r="57" spans="2:29" hidden="1">
      <c r="B57" s="468" t="s">
        <v>189</v>
      </c>
      <c r="C57" s="468" t="s">
        <v>190</v>
      </c>
      <c r="D57" s="468" t="s">
        <v>190</v>
      </c>
      <c r="E57" s="468" t="s">
        <v>237</v>
      </c>
      <c r="F57" s="468"/>
      <c r="G57" s="468"/>
      <c r="H57" s="468"/>
      <c r="I57" s="126"/>
      <c r="J57" s="468" t="str">
        <f t="shared" si="80"/>
        <v>lending_paylater_paylater_VDS_</v>
      </c>
      <c r="K57" t="s">
        <v>237</v>
      </c>
      <c r="L57" s="1052" t="s">
        <v>197</v>
      </c>
      <c r="N57" s="7">
        <f t="shared" ref="N57:T57" si="85">N59/N54</f>
        <v>277679.75830815709</v>
      </c>
      <c r="O57" s="7">
        <f t="shared" si="85"/>
        <v>260609.00908869773</v>
      </c>
      <c r="P57" s="7">
        <f t="shared" si="85"/>
        <v>235354.14540683507</v>
      </c>
      <c r="Q57" s="7">
        <f t="shared" si="85"/>
        <v>230118.9981189981</v>
      </c>
      <c r="R57" s="7">
        <f t="shared" si="85"/>
        <v>251482.75160060695</v>
      </c>
      <c r="S57" s="7">
        <f t="shared" si="85"/>
        <v>222516.61236239292</v>
      </c>
      <c r="T57" s="7">
        <f t="shared" si="85"/>
        <v>211314.38592761243</v>
      </c>
      <c r="U57" s="7">
        <f t="shared" ref="U57" si="86">U59/U54</f>
        <v>205915.68736562136</v>
      </c>
      <c r="V57" s="7">
        <f t="shared" ref="V57:AA57" si="87">V59/V54</f>
        <v>192830.90337439909</v>
      </c>
      <c r="W57" s="7">
        <f t="shared" si="87"/>
        <v>141864.47260438569</v>
      </c>
      <c r="X57" s="7">
        <f t="shared" si="87"/>
        <v>132996.2114383991</v>
      </c>
      <c r="Y57" s="7">
        <f t="shared" si="87"/>
        <v>134009.07061519529</v>
      </c>
      <c r="Z57" s="7">
        <f t="shared" si="87"/>
        <v>117853.03636237609</v>
      </c>
      <c r="AA57" s="7">
        <f t="shared" si="87"/>
        <v>113236.688448154</v>
      </c>
      <c r="AB57" s="7"/>
    </row>
    <row r="58" spans="2:29" hidden="1">
      <c r="B58" s="468" t="s">
        <v>189</v>
      </c>
      <c r="C58" s="468" t="s">
        <v>190</v>
      </c>
      <c r="D58" s="468" t="s">
        <v>190</v>
      </c>
      <c r="E58" s="468" t="s">
        <v>237</v>
      </c>
      <c r="F58" s="468"/>
      <c r="G58" s="468"/>
      <c r="H58" s="468"/>
      <c r="I58" s="1050"/>
      <c r="J58" s="468" t="str">
        <f t="shared" si="80"/>
        <v>lending_paylater_paylater_VDS_</v>
      </c>
      <c r="K58" t="s">
        <v>237</v>
      </c>
      <c r="L58" s="1053" t="s">
        <v>198</v>
      </c>
      <c r="N58" s="7">
        <f t="shared" ref="N58:T58" si="88">N59/N55</f>
        <v>979704.95437878405</v>
      </c>
      <c r="O58" s="7">
        <f t="shared" si="88"/>
        <v>970917.77887625643</v>
      </c>
      <c r="P58" s="7">
        <f t="shared" si="88"/>
        <v>990968.08137495618</v>
      </c>
      <c r="Q58" s="7">
        <f t="shared" si="88"/>
        <v>1015301.825805888</v>
      </c>
      <c r="R58" s="7">
        <f t="shared" si="88"/>
        <v>744039.79316763382</v>
      </c>
      <c r="S58" s="7">
        <f t="shared" si="88"/>
        <v>1015399.2280869357</v>
      </c>
      <c r="T58" s="7">
        <f t="shared" si="88"/>
        <v>1010944.5402050297</v>
      </c>
      <c r="U58" s="7">
        <f t="shared" ref="U58" si="89">U59/U55</f>
        <v>1034504.7282765242</v>
      </c>
      <c r="V58" s="7">
        <f t="shared" ref="V58:AA58" si="90">V59/V55</f>
        <v>1003040.0926268393</v>
      </c>
      <c r="W58" s="7">
        <f t="shared" si="90"/>
        <v>852236.45096093114</v>
      </c>
      <c r="X58" s="7">
        <f t="shared" si="90"/>
        <v>873038.9459433601</v>
      </c>
      <c r="Y58" s="7">
        <f t="shared" si="90"/>
        <v>951537.08607874648</v>
      </c>
      <c r="Z58" s="7">
        <f t="shared" si="90"/>
        <v>999215.8883403854</v>
      </c>
      <c r="AA58" s="7">
        <f t="shared" si="90"/>
        <v>1008858.3927576602</v>
      </c>
      <c r="AB58" s="7"/>
    </row>
    <row r="59" spans="2:29" s="1054" customFormat="1">
      <c r="B59" s="468" t="s">
        <v>189</v>
      </c>
      <c r="C59" s="468" t="s">
        <v>190</v>
      </c>
      <c r="D59" s="468" t="s">
        <v>190</v>
      </c>
      <c r="E59" s="473" t="s">
        <v>237</v>
      </c>
      <c r="F59" s="468" t="str">
        <f>E59&amp;"PL"</f>
        <v>VDSPL</v>
      </c>
      <c r="G59" s="468" t="str">
        <f>L59&amp;F59</f>
        <v>SpendingVDSPL</v>
      </c>
      <c r="H59" s="468" t="str">
        <f>L59&amp;E59</f>
        <v>SpendingVDS</v>
      </c>
      <c r="I59" s="126" t="s">
        <v>242</v>
      </c>
      <c r="J59" s="468" t="str">
        <f t="shared" si="80"/>
        <v>lending_paylater_paylater_VDS_disburse/spend</v>
      </c>
      <c r="K59" t="s">
        <v>237</v>
      </c>
      <c r="L59" s="1052" t="s">
        <v>199</v>
      </c>
      <c r="M59" s="7">
        <f t="shared" ref="M59" si="91">SUM(P59:AA59)</f>
        <v>132170239226</v>
      </c>
      <c r="N59" s="7">
        <v>11489000000</v>
      </c>
      <c r="O59" s="7">
        <v>11785000000</v>
      </c>
      <c r="P59" s="7">
        <v>11301000000</v>
      </c>
      <c r="Q59" s="7">
        <f>11622.16*10^6</f>
        <v>11622160000</v>
      </c>
      <c r="R59" s="34">
        <v>13590630862</v>
      </c>
      <c r="S59" s="7">
        <v>12754429704</v>
      </c>
      <c r="T59" s="7">
        <v>12622653529</v>
      </c>
      <c r="U59" s="7">
        <f>12929.240094*10^6</f>
        <v>12929240094</v>
      </c>
      <c r="V59" s="7">
        <f>12474.809632*10^6</f>
        <v>12474809632</v>
      </c>
      <c r="W59" s="7">
        <f>9445.336586*10^6</f>
        <v>9445336586</v>
      </c>
      <c r="X59" s="7">
        <f>9125.003063*10^6</f>
        <v>9125003063</v>
      </c>
      <c r="Y59" s="34">
        <f>9473.503229*10^6</f>
        <v>9473503229</v>
      </c>
      <c r="Z59" s="7">
        <f>8501.328778*10^6</f>
        <v>8501328777.999999</v>
      </c>
      <c r="AA59" s="86">
        <f>8330.143749*10^6</f>
        <v>8330143749.000001</v>
      </c>
      <c r="AB59" s="7">
        <f>SUM(P59:AA59)</f>
        <v>132170239226</v>
      </c>
    </row>
    <row r="60" spans="2:29" hidden="1">
      <c r="B60" s="468" t="s">
        <v>189</v>
      </c>
      <c r="C60" s="468" t="s">
        <v>190</v>
      </c>
      <c r="D60" s="468" t="s">
        <v>190</v>
      </c>
      <c r="E60" s="468" t="s">
        <v>237</v>
      </c>
      <c r="F60" s="468"/>
      <c r="G60" s="468"/>
      <c r="H60" s="468"/>
      <c r="I60" s="126" t="s">
        <v>243</v>
      </c>
      <c r="J60" s="468" t="str">
        <f t="shared" si="80"/>
        <v>lending_paylater_paylater_VDS_ENR</v>
      </c>
      <c r="K60" t="s">
        <v>237</v>
      </c>
      <c r="L60" s="1052" t="s">
        <v>200</v>
      </c>
      <c r="N60" s="7">
        <v>15780519284</v>
      </c>
      <c r="O60" s="7">
        <v>17728580922</v>
      </c>
      <c r="P60" s="7">
        <v>18624242009</v>
      </c>
      <c r="Q60" s="7">
        <v>20291830923</v>
      </c>
      <c r="R60" s="7">
        <v>21938111323</v>
      </c>
      <c r="S60" s="7">
        <v>23662771283</v>
      </c>
      <c r="T60" s="7">
        <v>24637043730</v>
      </c>
      <c r="U60" s="7">
        <v>26040511140</v>
      </c>
      <c r="V60" s="7">
        <v>27730732486</v>
      </c>
      <c r="W60" s="7">
        <v>28744359931</v>
      </c>
      <c r="X60" s="7">
        <v>30178361985</v>
      </c>
      <c r="Y60" s="7">
        <v>24192603030</v>
      </c>
      <c r="Z60" s="7">
        <v>22623611209</v>
      </c>
      <c r="AA60" s="7">
        <v>22342137159</v>
      </c>
      <c r="AB60" s="7"/>
    </row>
    <row r="61" spans="2:29" hidden="1">
      <c r="B61" s="468" t="s">
        <v>189</v>
      </c>
      <c r="C61" s="468" t="s">
        <v>190</v>
      </c>
      <c r="D61" s="468" t="s">
        <v>190</v>
      </c>
      <c r="E61" s="468" t="s">
        <v>237</v>
      </c>
      <c r="F61" s="468"/>
      <c r="G61" s="468"/>
      <c r="H61" s="468"/>
      <c r="I61" s="126" t="s">
        <v>244</v>
      </c>
      <c r="J61" s="468" t="str">
        <f t="shared" si="80"/>
        <v>lending_paylater_paylater_VDS_nonEMI_ENR</v>
      </c>
      <c r="K61" t="s">
        <v>237</v>
      </c>
      <c r="L61" s="1052" t="s">
        <v>201</v>
      </c>
      <c r="N61" s="7"/>
      <c r="O61" s="7"/>
      <c r="P61" s="7"/>
      <c r="Q61" s="7"/>
      <c r="R61" s="7"/>
      <c r="S61" s="7"/>
      <c r="T61" s="7"/>
      <c r="U61" s="7">
        <f t="shared" ref="U61:AA61" si="92">U60-U62</f>
        <v>26040511140</v>
      </c>
      <c r="V61" s="7">
        <f t="shared" si="92"/>
        <v>27730732486</v>
      </c>
      <c r="W61" s="7">
        <f t="shared" si="92"/>
        <v>28744359931</v>
      </c>
      <c r="X61" s="7">
        <f>X60-X62</f>
        <v>30178361985</v>
      </c>
      <c r="Y61" s="7">
        <f t="shared" si="92"/>
        <v>24192603030</v>
      </c>
      <c r="Z61" s="7">
        <f t="shared" si="92"/>
        <v>22623611209</v>
      </c>
      <c r="AA61" s="7">
        <f t="shared" si="92"/>
        <v>22342137159</v>
      </c>
      <c r="AB61" s="7"/>
    </row>
    <row r="62" spans="2:29" hidden="1">
      <c r="B62" s="468" t="s">
        <v>189</v>
      </c>
      <c r="C62" s="468" t="s">
        <v>190</v>
      </c>
      <c r="D62" s="468" t="s">
        <v>190</v>
      </c>
      <c r="E62" s="468" t="s">
        <v>237</v>
      </c>
      <c r="F62" s="468"/>
      <c r="G62" s="468"/>
      <c r="H62" s="468"/>
      <c r="I62" s="126" t="s">
        <v>245</v>
      </c>
      <c r="J62" s="468" t="str">
        <f t="shared" si="80"/>
        <v>lending_paylater_paylater_VDS_EMI_ENR</v>
      </c>
      <c r="K62" t="s">
        <v>237</v>
      </c>
      <c r="L62" s="1052" t="s">
        <v>202</v>
      </c>
      <c r="X62" s="7"/>
    </row>
    <row r="63" spans="2:29" hidden="1">
      <c r="B63" s="468" t="s">
        <v>189</v>
      </c>
      <c r="C63" s="468" t="s">
        <v>190</v>
      </c>
      <c r="D63" s="468" t="s">
        <v>190</v>
      </c>
      <c r="E63" s="468" t="s">
        <v>237</v>
      </c>
      <c r="F63" s="468"/>
      <c r="G63" s="468"/>
      <c r="H63" s="468"/>
      <c r="I63" s="126" t="s">
        <v>246</v>
      </c>
      <c r="J63" s="468" t="str">
        <f t="shared" si="80"/>
        <v>lending_paylater_paylater_VDS_revolving_ENR</v>
      </c>
      <c r="K63" t="s">
        <v>237</v>
      </c>
      <c r="L63" s="1052" t="s">
        <v>203</v>
      </c>
      <c r="U63" s="7">
        <f>15087.266335*10^6</f>
        <v>15087266335</v>
      </c>
      <c r="V63" s="7">
        <f>17380.177451*10^6</f>
        <v>17380177451</v>
      </c>
      <c r="W63" s="7">
        <f>20452.61472*10^6</f>
        <v>20452614720</v>
      </c>
      <c r="X63" s="7">
        <f>22543.365551*10^6</f>
        <v>22543365551</v>
      </c>
      <c r="Y63" s="7">
        <f>16615.429577*10^6</f>
        <v>16615429576.999998</v>
      </c>
      <c r="Z63" s="7">
        <f>15581.463765*10^6</f>
        <v>15581463765</v>
      </c>
      <c r="AA63" s="7">
        <f>15891.243203*10^6</f>
        <v>15891243203</v>
      </c>
      <c r="AB63" s="7"/>
    </row>
    <row r="64" spans="2:29" hidden="1">
      <c r="B64" s="468" t="s">
        <v>189</v>
      </c>
      <c r="C64" s="468" t="s">
        <v>190</v>
      </c>
      <c r="D64" s="468" t="s">
        <v>190</v>
      </c>
      <c r="E64" s="468" t="s">
        <v>237</v>
      </c>
      <c r="F64" s="468"/>
      <c r="G64" s="468"/>
      <c r="H64" s="468"/>
      <c r="I64" s="126" t="s">
        <v>247</v>
      </c>
      <c r="J64" s="468" t="str">
        <f t="shared" si="80"/>
        <v>lending_paylater_paylater_VDS_overdue_balance_10d</v>
      </c>
      <c r="K64" t="s">
        <v>237</v>
      </c>
      <c r="L64" s="1052" t="s">
        <v>204</v>
      </c>
      <c r="N64" s="7">
        <f t="shared" ref="N64:S64" si="93">N65+N66</f>
        <v>5559994472</v>
      </c>
      <c r="O64" s="7">
        <f t="shared" si="93"/>
        <v>7402326801</v>
      </c>
      <c r="P64" s="7">
        <f t="shared" si="93"/>
        <v>8308642934</v>
      </c>
      <c r="Q64" s="7">
        <f t="shared" si="93"/>
        <v>9479962872</v>
      </c>
      <c r="R64" s="7">
        <f t="shared" si="93"/>
        <v>11053330767</v>
      </c>
      <c r="S64" s="7">
        <f t="shared" si="93"/>
        <v>11577101031</v>
      </c>
      <c r="T64" s="7">
        <f t="shared" ref="T64:AA64" si="94">T65+T66</f>
        <v>12796062302</v>
      </c>
      <c r="U64" s="7">
        <f t="shared" si="94"/>
        <v>14278570400</v>
      </c>
      <c r="V64" s="7">
        <f t="shared" si="94"/>
        <v>15279126696</v>
      </c>
      <c r="W64" s="7">
        <f t="shared" si="94"/>
        <v>16220916660</v>
      </c>
      <c r="X64" s="7">
        <f t="shared" si="94"/>
        <v>17940213765</v>
      </c>
      <c r="Y64" s="7">
        <f t="shared" si="94"/>
        <v>10476934037</v>
      </c>
      <c r="Z64" s="7">
        <f t="shared" si="94"/>
        <v>8804389478</v>
      </c>
      <c r="AA64" s="7">
        <f t="shared" si="94"/>
        <v>9251891143</v>
      </c>
      <c r="AB64" s="7"/>
    </row>
    <row r="65" spans="2:28" hidden="1">
      <c r="B65" s="468" t="s">
        <v>189</v>
      </c>
      <c r="C65" s="468" t="s">
        <v>190</v>
      </c>
      <c r="D65" s="468" t="s">
        <v>190</v>
      </c>
      <c r="E65" s="468" t="s">
        <v>237</v>
      </c>
      <c r="F65" s="468"/>
      <c r="G65" s="468"/>
      <c r="H65" s="468"/>
      <c r="I65" s="1050"/>
      <c r="J65" s="468" t="str">
        <f t="shared" si="80"/>
        <v>lending_paylater_paylater_VDS_</v>
      </c>
      <c r="K65" t="s">
        <v>237</v>
      </c>
      <c r="L65" s="1052" t="s">
        <v>205</v>
      </c>
      <c r="N65" s="7">
        <v>3622845517</v>
      </c>
      <c r="O65" s="89">
        <v>4104686728</v>
      </c>
      <c r="P65" s="89">
        <v>4230964770</v>
      </c>
      <c r="Q65" s="7">
        <v>4345980797</v>
      </c>
      <c r="R65" s="7">
        <v>4313894228</v>
      </c>
      <c r="S65" s="7">
        <v>4081565587</v>
      </c>
      <c r="T65" s="7">
        <v>4137538645</v>
      </c>
      <c r="U65" s="7">
        <v>4220207447</v>
      </c>
      <c r="V65" s="7">
        <v>4593183992</v>
      </c>
      <c r="W65" s="7">
        <v>4497717542</v>
      </c>
      <c r="X65" s="7">
        <v>4687672653</v>
      </c>
      <c r="Y65" s="7">
        <v>4753319751</v>
      </c>
      <c r="Z65" s="7">
        <v>4969211260</v>
      </c>
      <c r="AA65" s="89">
        <v>4984375579</v>
      </c>
      <c r="AB65" s="89"/>
    </row>
    <row r="66" spans="2:28" hidden="1">
      <c r="B66" s="468" t="s">
        <v>189</v>
      </c>
      <c r="C66" s="468" t="s">
        <v>190</v>
      </c>
      <c r="D66" s="468" t="s">
        <v>190</v>
      </c>
      <c r="E66" s="468" t="s">
        <v>237</v>
      </c>
      <c r="F66" s="468"/>
      <c r="G66" s="468"/>
      <c r="H66" s="468"/>
      <c r="I66" s="126" t="s">
        <v>248</v>
      </c>
      <c r="J66" s="468" t="str">
        <f t="shared" si="80"/>
        <v>lending_paylater_paylater_VDS_overdue_balance_90d</v>
      </c>
      <c r="K66" t="s">
        <v>237</v>
      </c>
      <c r="L66" s="1052" t="s">
        <v>206</v>
      </c>
      <c r="N66" s="7">
        <v>1937148955</v>
      </c>
      <c r="O66" s="89">
        <v>3297640073</v>
      </c>
      <c r="P66" s="89">
        <v>4077678164</v>
      </c>
      <c r="Q66" s="7">
        <v>5133982075</v>
      </c>
      <c r="R66" s="7">
        <v>6739436539</v>
      </c>
      <c r="S66">
        <v>7495535444</v>
      </c>
      <c r="T66" s="7">
        <v>8658523657</v>
      </c>
      <c r="U66" s="7">
        <v>10058362953</v>
      </c>
      <c r="V66" s="7">
        <v>10685942704</v>
      </c>
      <c r="W66" s="7">
        <v>11723199118</v>
      </c>
      <c r="X66" s="7">
        <v>13252541112</v>
      </c>
      <c r="Y66" s="7">
        <v>5723614286</v>
      </c>
      <c r="Z66" s="7">
        <v>3835178218</v>
      </c>
      <c r="AA66" s="89">
        <v>4267515564</v>
      </c>
      <c r="AB66" s="89"/>
    </row>
    <row r="67" spans="2:28" hidden="1">
      <c r="B67" s="468" t="s">
        <v>189</v>
      </c>
      <c r="C67" s="468" t="s">
        <v>190</v>
      </c>
      <c r="D67" s="468" t="s">
        <v>190</v>
      </c>
      <c r="E67" s="468" t="s">
        <v>237</v>
      </c>
      <c r="F67" s="468"/>
      <c r="G67" s="468"/>
      <c r="H67" s="468"/>
      <c r="I67" s="1059"/>
      <c r="J67" s="468" t="str">
        <f t="shared" si="80"/>
        <v>lending_paylater_paylater_VDS_</v>
      </c>
      <c r="K67" t="s">
        <v>237</v>
      </c>
      <c r="L67" s="1052" t="s">
        <v>207</v>
      </c>
      <c r="N67" s="7"/>
      <c r="O67" s="89"/>
      <c r="P67" s="89"/>
      <c r="Q67" s="7"/>
      <c r="R67" s="7">
        <v>5207111254</v>
      </c>
      <c r="S67">
        <v>6439687551</v>
      </c>
      <c r="T67">
        <v>7492211612</v>
      </c>
      <c r="U67" s="7">
        <v>8501326013</v>
      </c>
      <c r="V67" s="7">
        <v>9419438156</v>
      </c>
      <c r="W67" s="7">
        <v>10477545423</v>
      </c>
      <c r="X67" s="1325">
        <v>11401937255</v>
      </c>
      <c r="Y67" s="7">
        <v>4220495801</v>
      </c>
      <c r="Z67" s="7">
        <v>2058153062</v>
      </c>
      <c r="AA67" s="89">
        <v>1737599944</v>
      </c>
      <c r="AB67" s="89"/>
    </row>
    <row r="68" spans="2:28" hidden="1">
      <c r="B68" s="468" t="s">
        <v>189</v>
      </c>
      <c r="C68" s="468" t="s">
        <v>190</v>
      </c>
      <c r="D68" s="468" t="s">
        <v>190</v>
      </c>
      <c r="E68" s="468" t="s">
        <v>237</v>
      </c>
      <c r="F68" s="468"/>
      <c r="G68" s="468"/>
      <c r="H68" s="468"/>
      <c r="I68" s="126" t="s">
        <v>213</v>
      </c>
      <c r="J68" s="468" t="str">
        <f t="shared" si="80"/>
        <v>lending_paylater_paylater_VDS_npl</v>
      </c>
      <c r="K68" t="s">
        <v>237</v>
      </c>
      <c r="L68" s="1052" t="s">
        <v>249</v>
      </c>
      <c r="N68" s="42">
        <f t="shared" ref="N68:U68" si="95">N66/N60</f>
        <v>0.12275571672499343</v>
      </c>
      <c r="O68" s="42">
        <f t="shared" si="95"/>
        <v>0.18600699556882447</v>
      </c>
      <c r="P68" s="42">
        <f t="shared" si="95"/>
        <v>0.21894465084965595</v>
      </c>
      <c r="Q68" s="42">
        <f t="shared" si="95"/>
        <v>0.2530073355372201</v>
      </c>
      <c r="R68" s="42">
        <f t="shared" si="95"/>
        <v>0.3072022217306532</v>
      </c>
      <c r="S68" s="42">
        <f t="shared" si="95"/>
        <v>0.31676490273922409</v>
      </c>
      <c r="T68" s="42">
        <f t="shared" si="95"/>
        <v>0.35144328807829739</v>
      </c>
      <c r="U68" s="42">
        <f t="shared" si="95"/>
        <v>0.38625827653396821</v>
      </c>
      <c r="V68" s="42">
        <f t="shared" ref="V68:AA68" si="96">V66/V60</f>
        <v>0.38534657205304085</v>
      </c>
      <c r="W68" s="42">
        <f t="shared" si="96"/>
        <v>0.40784345680826423</v>
      </c>
      <c r="X68" s="42">
        <f t="shared" si="96"/>
        <v>0.43914050466314597</v>
      </c>
      <c r="Y68" s="42">
        <f t="shared" si="96"/>
        <v>0.23658530166854888</v>
      </c>
      <c r="Z68" s="42">
        <f t="shared" si="96"/>
        <v>0.16952104518461272</v>
      </c>
      <c r="AA68" s="42">
        <f t="shared" si="96"/>
        <v>0.19100749107526324</v>
      </c>
      <c r="AB68" s="42"/>
    </row>
    <row r="69" spans="2:28" hidden="1">
      <c r="B69" s="468" t="s">
        <v>189</v>
      </c>
      <c r="C69" s="468" t="s">
        <v>190</v>
      </c>
      <c r="D69" s="468" t="s">
        <v>190</v>
      </c>
      <c r="E69" s="468" t="s">
        <v>237</v>
      </c>
      <c r="F69" s="468"/>
      <c r="G69" s="468"/>
      <c r="H69" s="468"/>
      <c r="I69" s="126" t="s">
        <v>250</v>
      </c>
      <c r="J69" s="468" t="str">
        <f t="shared" si="80"/>
        <v>lending_paylater_paylater_VDS_overdue_account_10d</v>
      </c>
      <c r="K69" t="s">
        <v>237</v>
      </c>
      <c r="L69" s="1052" t="s">
        <v>208</v>
      </c>
      <c r="N69">
        <v>4666</v>
      </c>
      <c r="O69" s="7">
        <v>5846</v>
      </c>
      <c r="P69" s="7">
        <f>P70+P71</f>
        <v>8708</v>
      </c>
      <c r="Q69" s="7">
        <f>Q70+Q71</f>
        <v>8146</v>
      </c>
      <c r="R69" s="7">
        <f>R70+R71</f>
        <v>10647</v>
      </c>
      <c r="X69" s="7"/>
      <c r="Y69" s="7"/>
      <c r="AA69" s="7"/>
      <c r="AB69" s="7"/>
    </row>
    <row r="70" spans="2:28" hidden="1">
      <c r="B70" s="468" t="s">
        <v>189</v>
      </c>
      <c r="C70" s="468" t="s">
        <v>190</v>
      </c>
      <c r="D70" s="468" t="s">
        <v>190</v>
      </c>
      <c r="E70" s="468" t="s">
        <v>237</v>
      </c>
      <c r="F70" s="468"/>
      <c r="G70" s="468"/>
      <c r="H70" s="468"/>
      <c r="I70" s="126"/>
      <c r="J70" s="468" t="str">
        <f t="shared" si="80"/>
        <v>lending_paylater_paylater_VDS_</v>
      </c>
      <c r="K70" t="s">
        <v>237</v>
      </c>
      <c r="L70" s="1052" t="s">
        <v>209</v>
      </c>
      <c r="N70">
        <v>3404</v>
      </c>
      <c r="O70" s="7">
        <v>3585</v>
      </c>
      <c r="P70" s="7">
        <v>4356</v>
      </c>
      <c r="Q70">
        <v>3919</v>
      </c>
      <c r="R70">
        <v>4193</v>
      </c>
      <c r="X70" s="7"/>
      <c r="Y70" s="7"/>
      <c r="AA70" s="7"/>
      <c r="AB70" s="7"/>
    </row>
    <row r="71" spans="2:28" hidden="1">
      <c r="B71" s="468" t="s">
        <v>189</v>
      </c>
      <c r="C71" s="468" t="s">
        <v>190</v>
      </c>
      <c r="D71" s="468" t="s">
        <v>190</v>
      </c>
      <c r="E71" s="468" t="s">
        <v>237</v>
      </c>
      <c r="F71" s="468"/>
      <c r="G71" s="468"/>
      <c r="H71" s="468"/>
      <c r="I71" s="126" t="s">
        <v>251</v>
      </c>
      <c r="J71" s="468" t="str">
        <f t="shared" si="80"/>
        <v>lending_paylater_paylater_VDS_overdue_account_90d</v>
      </c>
      <c r="K71" t="s">
        <v>237</v>
      </c>
      <c r="L71" s="1052" t="s">
        <v>210</v>
      </c>
      <c r="N71">
        <v>1262</v>
      </c>
      <c r="O71" s="7">
        <v>2261</v>
      </c>
      <c r="P71" s="7">
        <v>4352</v>
      </c>
      <c r="Q71">
        <v>4227</v>
      </c>
      <c r="R71">
        <v>6454</v>
      </c>
      <c r="X71" s="7"/>
      <c r="AA71" s="7"/>
      <c r="AB71" s="7"/>
    </row>
    <row r="72" spans="2:28" hidden="1">
      <c r="B72" s="468" t="s">
        <v>189</v>
      </c>
      <c r="C72" s="468" t="s">
        <v>190</v>
      </c>
      <c r="D72" s="468" t="s">
        <v>190</v>
      </c>
      <c r="E72" s="468" t="s">
        <v>237</v>
      </c>
      <c r="F72" s="468"/>
      <c r="G72" s="468"/>
      <c r="H72" s="468"/>
      <c r="I72" s="126" t="s">
        <v>252</v>
      </c>
      <c r="J72" s="468" t="str">
        <f t="shared" si="80"/>
        <v>lending_paylater_paylater_VDS_revenue</v>
      </c>
      <c r="K72" t="s">
        <v>237</v>
      </c>
      <c r="L72" s="85" t="s">
        <v>215</v>
      </c>
      <c r="M72" s="7">
        <f t="shared" ref="M72:M103" si="97">SUM(P72:AA72)</f>
        <v>9465948463</v>
      </c>
      <c r="N72" s="7">
        <f t="shared" ref="N72:T72" si="98">N76+N83+N92</f>
        <v>602069583</v>
      </c>
      <c r="O72" s="7">
        <f t="shared" si="98"/>
        <v>581571843</v>
      </c>
      <c r="P72" s="7">
        <f t="shared" si="98"/>
        <v>648010703</v>
      </c>
      <c r="Q72" s="7">
        <f t="shared" si="98"/>
        <v>658461369</v>
      </c>
      <c r="R72" s="7">
        <f t="shared" si="98"/>
        <v>723775186</v>
      </c>
      <c r="S72" s="7">
        <f t="shared" si="98"/>
        <v>671541057</v>
      </c>
      <c r="T72" s="7">
        <f t="shared" si="98"/>
        <v>668787553</v>
      </c>
      <c r="U72" s="7">
        <f t="shared" ref="U72:AA72" si="99">U76+U83+U92</f>
        <v>704772094</v>
      </c>
      <c r="V72" s="7">
        <f t="shared" si="99"/>
        <v>658291954</v>
      </c>
      <c r="W72" s="7">
        <f t="shared" si="99"/>
        <v>752673560</v>
      </c>
      <c r="X72" s="7">
        <f t="shared" si="99"/>
        <v>986799018</v>
      </c>
      <c r="Y72" s="7">
        <f t="shared" si="99"/>
        <v>918582817</v>
      </c>
      <c r="Z72" s="7">
        <f t="shared" si="99"/>
        <v>1004546878</v>
      </c>
      <c r="AA72" s="7">
        <f t="shared" si="99"/>
        <v>1069706274</v>
      </c>
      <c r="AB72" s="7"/>
    </row>
    <row r="73" spans="2:28" hidden="1">
      <c r="B73" s="468" t="s">
        <v>189</v>
      </c>
      <c r="C73" s="468" t="s">
        <v>190</v>
      </c>
      <c r="D73" s="468" t="s">
        <v>190</v>
      </c>
      <c r="E73" s="468" t="s">
        <v>237</v>
      </c>
      <c r="F73" s="468"/>
      <c r="G73" s="468"/>
      <c r="H73" s="468"/>
      <c r="I73" s="126" t="s">
        <v>253</v>
      </c>
      <c r="J73" s="468" t="str">
        <f t="shared" si="80"/>
        <v>lending_paylater_paylater_VDS_COGs</v>
      </c>
      <c r="K73" t="s">
        <v>237</v>
      </c>
      <c r="L73" s="85" t="s">
        <v>216</v>
      </c>
      <c r="M73" s="7">
        <f t="shared" si="97"/>
        <v>1234780191.635869</v>
      </c>
      <c r="N73" s="7">
        <f>N82</f>
        <v>50650246</v>
      </c>
      <c r="O73" s="7">
        <f t="shared" ref="O73:T73" si="100">O82</f>
        <v>61151956</v>
      </c>
      <c r="P73" s="7">
        <f t="shared" si="100"/>
        <v>67284678</v>
      </c>
      <c r="Q73" s="7">
        <f t="shared" si="100"/>
        <v>66220249</v>
      </c>
      <c r="R73" s="7">
        <f t="shared" si="100"/>
        <v>81078691.911898747</v>
      </c>
      <c r="S73" s="7">
        <f t="shared" si="100"/>
        <v>80360041.265198052</v>
      </c>
      <c r="T73" s="7">
        <f t="shared" si="100"/>
        <v>92640895.28029862</v>
      </c>
      <c r="U73" s="7">
        <f t="shared" ref="U73:AA73" si="101">U82</f>
        <v>93985855.958998874</v>
      </c>
      <c r="V73" s="7">
        <f t="shared" si="101"/>
        <v>109322397.14409748</v>
      </c>
      <c r="W73" s="7">
        <f t="shared" si="101"/>
        <v>126865209.02437453</v>
      </c>
      <c r="X73" s="7">
        <f t="shared" si="101"/>
        <v>129339019.52710201</v>
      </c>
      <c r="Y73" s="7">
        <f t="shared" si="101"/>
        <v>148442757.23130199</v>
      </c>
      <c r="Z73" s="7">
        <f t="shared" si="101"/>
        <v>112710188.06009953</v>
      </c>
      <c r="AA73" s="7">
        <f t="shared" si="101"/>
        <v>126530209.23249906</v>
      </c>
      <c r="AB73" s="7"/>
    </row>
    <row r="74" spans="2:28">
      <c r="B74" s="468" t="s">
        <v>189</v>
      </c>
      <c r="C74" s="468" t="s">
        <v>190</v>
      </c>
      <c r="D74" s="468" t="s">
        <v>190</v>
      </c>
      <c r="E74" s="468" t="s">
        <v>237</v>
      </c>
      <c r="F74" s="468" t="str">
        <f>E74&amp;"PL"</f>
        <v>VDSPL</v>
      </c>
      <c r="G74" s="468" t="str">
        <f>L74&amp;F74</f>
        <v>TOIVDSPL</v>
      </c>
      <c r="H74" s="468" t="str">
        <f>L74&amp;E74</f>
        <v>TOIVDS</v>
      </c>
      <c r="I74" s="126" t="s">
        <v>217</v>
      </c>
      <c r="J74" s="468" t="str">
        <f t="shared" si="80"/>
        <v>lending_paylater_paylater_VDS_TOI</v>
      </c>
      <c r="K74" t="s">
        <v>237</v>
      </c>
      <c r="L74" s="1051" t="s">
        <v>217</v>
      </c>
      <c r="M74" s="7">
        <f t="shared" si="97"/>
        <v>8231168271.3641319</v>
      </c>
      <c r="N74" s="81">
        <f t="shared" ref="N74:T74" si="102">N75+N83+N92</f>
        <v>551419337</v>
      </c>
      <c r="O74" s="81">
        <f t="shared" si="102"/>
        <v>520419887</v>
      </c>
      <c r="P74" s="81">
        <f t="shared" si="102"/>
        <v>580726025</v>
      </c>
      <c r="Q74" s="81">
        <f t="shared" si="102"/>
        <v>592241120</v>
      </c>
      <c r="R74" s="81">
        <f t="shared" si="102"/>
        <v>642696494.08810127</v>
      </c>
      <c r="S74" s="81">
        <f t="shared" si="102"/>
        <v>591181015.73480201</v>
      </c>
      <c r="T74" s="81">
        <f t="shared" si="102"/>
        <v>576146657.71970141</v>
      </c>
      <c r="U74" s="81">
        <f t="shared" ref="U74:AA74" si="103">U75+U83+U92</f>
        <v>610786238.04100108</v>
      </c>
      <c r="V74" s="81">
        <f t="shared" si="103"/>
        <v>548969556.85590255</v>
      </c>
      <c r="W74" s="81">
        <f t="shared" si="103"/>
        <v>625808350.97562551</v>
      </c>
      <c r="X74" s="81">
        <f t="shared" si="103"/>
        <v>857459998.47289801</v>
      </c>
      <c r="Y74" s="81">
        <f t="shared" si="103"/>
        <v>770140059.76869798</v>
      </c>
      <c r="Z74" s="81">
        <f t="shared" si="103"/>
        <v>891836689.9399004</v>
      </c>
      <c r="AA74" s="81">
        <f t="shared" si="103"/>
        <v>943176064.76750088</v>
      </c>
      <c r="AB74" s="7">
        <f>SUM(P74:AA74)</f>
        <v>8231168271.3641319</v>
      </c>
    </row>
    <row r="75" spans="2:28" hidden="1">
      <c r="B75" s="468" t="s">
        <v>189</v>
      </c>
      <c r="C75" s="468" t="s">
        <v>190</v>
      </c>
      <c r="D75" s="468" t="s">
        <v>190</v>
      </c>
      <c r="E75" s="468" t="s">
        <v>237</v>
      </c>
      <c r="F75" s="468"/>
      <c r="G75" s="468"/>
      <c r="H75" s="468"/>
      <c r="I75" s="126" t="s">
        <v>254</v>
      </c>
      <c r="J75" s="468" t="str">
        <f t="shared" si="80"/>
        <v>lending_paylater_paylater_VDS_NII</v>
      </c>
      <c r="K75" t="s">
        <v>237</v>
      </c>
      <c r="L75" s="1055" t="s">
        <v>218</v>
      </c>
      <c r="M75" s="7">
        <f t="shared" si="97"/>
        <v>505691120.36413109</v>
      </c>
      <c r="N75" s="81">
        <f t="shared" ref="N75:T75" si="104">N76-N82</f>
        <v>-50650246</v>
      </c>
      <c r="O75" s="81">
        <f t="shared" si="104"/>
        <v>-61151956</v>
      </c>
      <c r="P75" s="81">
        <f t="shared" si="104"/>
        <v>-67284678</v>
      </c>
      <c r="Q75" s="81">
        <f t="shared" si="104"/>
        <v>-66220249</v>
      </c>
      <c r="R75" s="81">
        <f t="shared" si="104"/>
        <v>-81078691.911898747</v>
      </c>
      <c r="S75" s="81">
        <f t="shared" si="104"/>
        <v>-80360041.265198052</v>
      </c>
      <c r="T75" s="81">
        <f t="shared" si="104"/>
        <v>-92640895.28029862</v>
      </c>
      <c r="U75" s="81">
        <f t="shared" ref="U75:AA75" si="105">U76-U82</f>
        <v>-93985855.958998874</v>
      </c>
      <c r="V75" s="81">
        <f t="shared" si="105"/>
        <v>-109322397.14409748</v>
      </c>
      <c r="W75" s="81">
        <f t="shared" si="105"/>
        <v>-5008560.0243745297</v>
      </c>
      <c r="X75" s="81">
        <f t="shared" si="105"/>
        <v>241364988.47289801</v>
      </c>
      <c r="Y75" s="81">
        <f t="shared" si="105"/>
        <v>237466663.76869801</v>
      </c>
      <c r="Z75" s="81">
        <f t="shared" si="105"/>
        <v>308324363.93990046</v>
      </c>
      <c r="AA75" s="81">
        <f t="shared" si="105"/>
        <v>314436472.76750094</v>
      </c>
      <c r="AB75" s="81"/>
    </row>
    <row r="76" spans="2:28" hidden="1">
      <c r="B76" s="468" t="s">
        <v>189</v>
      </c>
      <c r="C76" s="468" t="s">
        <v>190</v>
      </c>
      <c r="D76" s="468" t="s">
        <v>190</v>
      </c>
      <c r="E76" s="468" t="s">
        <v>237</v>
      </c>
      <c r="F76" s="468"/>
      <c r="G76" s="468"/>
      <c r="H76" s="468"/>
      <c r="I76" s="126" t="s">
        <v>255</v>
      </c>
      <c r="J76" s="468" t="str">
        <f t="shared" si="80"/>
        <v>lending_paylater_paylater_VDS_CII</v>
      </c>
      <c r="K76" t="s">
        <v>237</v>
      </c>
      <c r="L76" s="1056" t="s">
        <v>20</v>
      </c>
      <c r="M76" s="7">
        <f t="shared" si="97"/>
        <v>1740471312</v>
      </c>
      <c r="S76" s="7"/>
      <c r="W76" s="34">
        <f>W77-W78+W79-W80+W81</f>
        <v>121856649</v>
      </c>
      <c r="X76" s="34">
        <f t="shared" ref="X76:AA76" si="106">X77-X78+X79-X80+X81</f>
        <v>370704008</v>
      </c>
      <c r="Y76" s="34">
        <f t="shared" si="106"/>
        <v>385909421</v>
      </c>
      <c r="Z76" s="34">
        <f t="shared" si="106"/>
        <v>421034552</v>
      </c>
      <c r="AA76" s="34">
        <f t="shared" si="106"/>
        <v>440966682</v>
      </c>
      <c r="AB76" s="34"/>
    </row>
    <row r="77" spans="2:28" hidden="1">
      <c r="B77" s="468" t="s">
        <v>189</v>
      </c>
      <c r="C77" s="468" t="s">
        <v>190</v>
      </c>
      <c r="D77" s="468" t="s">
        <v>190</v>
      </c>
      <c r="E77" s="468" t="s">
        <v>237</v>
      </c>
      <c r="F77" s="468"/>
      <c r="G77" s="468"/>
      <c r="H77" s="468"/>
      <c r="I77" s="1058"/>
      <c r="J77" s="468" t="str">
        <f t="shared" si="80"/>
        <v>lending_paylater_paylater_VDS_</v>
      </c>
      <c r="K77" t="s">
        <v>237</v>
      </c>
      <c r="L77" s="1057" t="s">
        <v>256</v>
      </c>
      <c r="M77" s="7">
        <f t="shared" si="97"/>
        <v>1827282949</v>
      </c>
      <c r="S77" s="7"/>
      <c r="W77" s="7">
        <v>145988941</v>
      </c>
      <c r="X77" s="7">
        <v>390536773</v>
      </c>
      <c r="Y77" s="7">
        <v>419755381</v>
      </c>
      <c r="Z77" s="7">
        <v>430997961</v>
      </c>
      <c r="AA77" s="7">
        <v>440003893</v>
      </c>
      <c r="AB77" s="7"/>
    </row>
    <row r="78" spans="2:28" hidden="1">
      <c r="B78" s="468" t="s">
        <v>189</v>
      </c>
      <c r="C78" s="468" t="s">
        <v>190</v>
      </c>
      <c r="D78" s="468" t="s">
        <v>190</v>
      </c>
      <c r="E78" s="468" t="s">
        <v>237</v>
      </c>
      <c r="F78" s="468"/>
      <c r="G78" s="468"/>
      <c r="H78" s="468"/>
      <c r="I78" s="1058"/>
      <c r="J78" s="468" t="str">
        <f t="shared" si="80"/>
        <v>lending_paylater_paylater_VDS_</v>
      </c>
      <c r="K78" t="s">
        <v>237</v>
      </c>
      <c r="L78" s="1057" t="s">
        <v>257</v>
      </c>
      <c r="M78" s="7">
        <f t="shared" si="97"/>
        <v>0</v>
      </c>
      <c r="S78" s="7"/>
    </row>
    <row r="79" spans="2:28" hidden="1">
      <c r="B79" s="468" t="s">
        <v>189</v>
      </c>
      <c r="C79" s="468" t="s">
        <v>190</v>
      </c>
      <c r="D79" s="468" t="s">
        <v>190</v>
      </c>
      <c r="E79" s="468" t="s">
        <v>237</v>
      </c>
      <c r="F79" s="468"/>
      <c r="G79" s="468"/>
      <c r="H79" s="468"/>
      <c r="I79" s="1058"/>
      <c r="J79" s="468" t="str">
        <f t="shared" si="80"/>
        <v>lending_paylater_paylater_VDS_</v>
      </c>
      <c r="K79" t="s">
        <v>237</v>
      </c>
      <c r="L79" s="1057" t="s">
        <v>258</v>
      </c>
      <c r="M79" s="7">
        <f t="shared" si="97"/>
        <v>0</v>
      </c>
      <c r="S79" s="7"/>
    </row>
    <row r="80" spans="2:28" hidden="1">
      <c r="B80" s="468" t="s">
        <v>189</v>
      </c>
      <c r="C80" s="468" t="s">
        <v>190</v>
      </c>
      <c r="D80" s="468" t="s">
        <v>190</v>
      </c>
      <c r="E80" s="468" t="s">
        <v>237</v>
      </c>
      <c r="F80" s="468"/>
      <c r="G80" s="468"/>
      <c r="H80" s="468"/>
      <c r="I80" s="1058"/>
      <c r="J80" s="468" t="str">
        <f t="shared" si="80"/>
        <v>lending_paylater_paylater_VDS_</v>
      </c>
      <c r="K80" t="s">
        <v>237</v>
      </c>
      <c r="L80" s="1057" t="s">
        <v>259</v>
      </c>
      <c r="M80" s="7">
        <f t="shared" si="97"/>
        <v>320494429</v>
      </c>
      <c r="S80" s="7"/>
      <c r="W80" s="7">
        <v>24132292</v>
      </c>
      <c r="X80" s="7">
        <v>43965057</v>
      </c>
      <c r="Y80" s="7">
        <v>77811017</v>
      </c>
      <c r="Z80" s="7">
        <v>87774426</v>
      </c>
      <c r="AA80" s="7">
        <v>86811637</v>
      </c>
      <c r="AB80" s="7"/>
    </row>
    <row r="81" spans="2:28" hidden="1">
      <c r="B81" s="468" t="s">
        <v>189</v>
      </c>
      <c r="C81" s="468" t="s">
        <v>190</v>
      </c>
      <c r="D81" s="468" t="s">
        <v>190</v>
      </c>
      <c r="E81" s="468" t="s">
        <v>237</v>
      </c>
      <c r="F81" s="468"/>
      <c r="G81" s="468"/>
      <c r="H81" s="468"/>
      <c r="I81" s="1058"/>
      <c r="J81" s="468" t="str">
        <f t="shared" si="80"/>
        <v>lending_paylater_paylater_VDS_</v>
      </c>
      <c r="K81" t="s">
        <v>237</v>
      </c>
      <c r="L81" s="1057" t="s">
        <v>228</v>
      </c>
      <c r="M81" s="7">
        <f t="shared" si="97"/>
        <v>233682792</v>
      </c>
      <c r="S81" s="7"/>
      <c r="X81" s="34">
        <f>W80</f>
        <v>24132292</v>
      </c>
      <c r="Y81" s="34">
        <f>X80</f>
        <v>43965057</v>
      </c>
      <c r="Z81" s="7">
        <v>77811017</v>
      </c>
      <c r="AA81" s="7">
        <v>87774426</v>
      </c>
      <c r="AB81" s="7"/>
    </row>
    <row r="82" spans="2:28" hidden="1">
      <c r="B82" s="468" t="s">
        <v>189</v>
      </c>
      <c r="C82" s="468" t="s">
        <v>190</v>
      </c>
      <c r="D82" s="468" t="s">
        <v>190</v>
      </c>
      <c r="E82" s="468" t="s">
        <v>237</v>
      </c>
      <c r="F82" s="468"/>
      <c r="G82" s="468"/>
      <c r="H82" s="468"/>
      <c r="I82" s="126" t="s">
        <v>219</v>
      </c>
      <c r="J82" s="468" t="str">
        <f t="shared" si="80"/>
        <v>lending_paylater_paylater_VDS_COF</v>
      </c>
      <c r="K82" t="s">
        <v>237</v>
      </c>
      <c r="L82" s="1056" t="s">
        <v>219</v>
      </c>
      <c r="M82" s="7">
        <f t="shared" si="97"/>
        <v>1234780191.635869</v>
      </c>
      <c r="N82" s="7">
        <v>50650246</v>
      </c>
      <c r="O82" s="7">
        <v>61151956</v>
      </c>
      <c r="P82" s="7">
        <v>67284678</v>
      </c>
      <c r="Q82" s="7">
        <v>66220249</v>
      </c>
      <c r="R82" s="7">
        <v>81078691.911898747</v>
      </c>
      <c r="S82" s="7">
        <v>80360041.265198052</v>
      </c>
      <c r="T82" s="7">
        <v>92640895.28029862</v>
      </c>
      <c r="U82" s="7">
        <v>93985855.958998874</v>
      </c>
      <c r="V82" s="7">
        <v>109322397.14409748</v>
      </c>
      <c r="W82" s="7">
        <v>126865209.02437453</v>
      </c>
      <c r="X82" s="34">
        <v>129339019.52710201</v>
      </c>
      <c r="Y82" s="7">
        <v>148442757.23130199</v>
      </c>
      <c r="Z82" s="7">
        <v>112710188.06009953</v>
      </c>
      <c r="AA82" s="7">
        <v>126530209.23249906</v>
      </c>
      <c r="AB82" s="7"/>
    </row>
    <row r="83" spans="2:28" hidden="1">
      <c r="B83" s="468" t="s">
        <v>189</v>
      </c>
      <c r="C83" s="468" t="s">
        <v>190</v>
      </c>
      <c r="D83" s="468" t="s">
        <v>190</v>
      </c>
      <c r="E83" s="468" t="s">
        <v>237</v>
      </c>
      <c r="F83" s="468"/>
      <c r="G83" s="468"/>
      <c r="H83" s="468"/>
      <c r="I83" s="126" t="s">
        <v>260</v>
      </c>
      <c r="J83" s="468" t="str">
        <f t="shared" si="80"/>
        <v>lending_paylater_paylater_VDS_NFI</v>
      </c>
      <c r="K83" t="s">
        <v>237</v>
      </c>
      <c r="L83" s="1055" t="s">
        <v>220</v>
      </c>
      <c r="M83" s="7">
        <f t="shared" si="97"/>
        <v>7610422386</v>
      </c>
      <c r="N83" s="47">
        <f>SUM(N84:N89)-N90+N91</f>
        <v>602069583</v>
      </c>
      <c r="O83" s="47">
        <f t="shared" ref="O83:T83" si="107">SUM(O84:O89)-O90+O91</f>
        <v>581571843</v>
      </c>
      <c r="P83" s="47">
        <f t="shared" si="107"/>
        <v>648010703</v>
      </c>
      <c r="Q83" s="47">
        <f t="shared" si="107"/>
        <v>658461369</v>
      </c>
      <c r="R83" s="47">
        <f t="shared" si="107"/>
        <v>723775186</v>
      </c>
      <c r="S83" s="47">
        <f t="shared" si="107"/>
        <v>671541057</v>
      </c>
      <c r="T83" s="47">
        <f t="shared" si="107"/>
        <v>668787553</v>
      </c>
      <c r="U83" s="47">
        <f t="shared" ref="U83:AA83" si="108">SUM(U84:U89)-U90+U91</f>
        <v>704772094</v>
      </c>
      <c r="V83" s="47">
        <f t="shared" si="108"/>
        <v>658291954</v>
      </c>
      <c r="W83" s="47">
        <f t="shared" si="108"/>
        <v>630816911</v>
      </c>
      <c r="X83" s="47">
        <f t="shared" si="108"/>
        <v>616095010</v>
      </c>
      <c r="Y83" s="47">
        <f t="shared" si="108"/>
        <v>531491176</v>
      </c>
      <c r="Z83" s="47">
        <f t="shared" si="108"/>
        <v>552016055</v>
      </c>
      <c r="AA83" s="47">
        <f t="shared" si="108"/>
        <v>546363318</v>
      </c>
      <c r="AB83" s="47"/>
    </row>
    <row r="84" spans="2:28" hidden="1">
      <c r="B84" s="468" t="s">
        <v>189</v>
      </c>
      <c r="C84" s="468" t="s">
        <v>190</v>
      </c>
      <c r="D84" s="468" t="s">
        <v>190</v>
      </c>
      <c r="E84" s="468" t="s">
        <v>237</v>
      </c>
      <c r="F84" s="468"/>
      <c r="G84" s="468"/>
      <c r="H84" s="468"/>
      <c r="I84" s="126" t="s">
        <v>261</v>
      </c>
      <c r="J84" s="468" t="str">
        <f t="shared" si="80"/>
        <v>lending_paylater_paylater_VDS_transaction_fee</v>
      </c>
      <c r="K84" t="s">
        <v>237</v>
      </c>
      <c r="L84" s="1056" t="s">
        <v>221</v>
      </c>
      <c r="M84" s="7">
        <f t="shared" si="97"/>
        <v>4633660437</v>
      </c>
      <c r="N84" s="7">
        <v>497665406</v>
      </c>
      <c r="O84" s="7">
        <v>497705674</v>
      </c>
      <c r="P84" s="7">
        <v>475854479</v>
      </c>
      <c r="Q84" s="7">
        <v>507941760</v>
      </c>
      <c r="R84" s="7">
        <v>597551627</v>
      </c>
      <c r="S84" s="7">
        <v>563735322</v>
      </c>
      <c r="T84" s="7">
        <v>552419377</v>
      </c>
      <c r="U84" s="7">
        <v>572102653</v>
      </c>
      <c r="V84" s="7">
        <v>543590180</v>
      </c>
      <c r="W84" s="7">
        <v>414268204</v>
      </c>
      <c r="X84" s="34">
        <v>406196835</v>
      </c>
      <c r="Y84" s="7"/>
      <c r="Z84" s="7"/>
      <c r="AA84" s="7"/>
      <c r="AB84" s="7"/>
    </row>
    <row r="85" spans="2:28" hidden="1">
      <c r="B85" s="468" t="s">
        <v>189</v>
      </c>
      <c r="C85" s="468" t="s">
        <v>190</v>
      </c>
      <c r="D85" s="468" t="s">
        <v>190</v>
      </c>
      <c r="E85" s="468" t="s">
        <v>237</v>
      </c>
      <c r="F85" s="468"/>
      <c r="G85" s="468"/>
      <c r="H85" s="468"/>
      <c r="I85" s="126" t="s">
        <v>262</v>
      </c>
      <c r="J85" s="468" t="str">
        <f t="shared" ref="J85:J103" si="109">B85&amp;"_"&amp;C85&amp;"_"&amp;D85&amp;"_"&amp;E85&amp;"_"&amp;I85</f>
        <v>lending_paylater_paylater_VDS_late_payment_fee</v>
      </c>
      <c r="K85" t="s">
        <v>237</v>
      </c>
      <c r="L85" s="1056" t="s">
        <v>222</v>
      </c>
      <c r="M85" s="7">
        <f t="shared" si="97"/>
        <v>2137037304</v>
      </c>
      <c r="N85" s="7">
        <v>129379936</v>
      </c>
      <c r="O85" s="7">
        <v>107309232</v>
      </c>
      <c r="P85" s="7">
        <v>151918374</v>
      </c>
      <c r="Q85" s="7">
        <v>159521454</v>
      </c>
      <c r="R85" s="7">
        <v>120517468</v>
      </c>
      <c r="S85" s="7">
        <v>109621767</v>
      </c>
      <c r="T85" s="7">
        <v>118741369</v>
      </c>
      <c r="U85" s="7">
        <v>130860456</v>
      </c>
      <c r="V85" s="7">
        <v>149397211</v>
      </c>
      <c r="W85" s="7">
        <v>251634628</v>
      </c>
      <c r="X85" s="34">
        <v>296321380</v>
      </c>
      <c r="Y85" s="7">
        <v>201523496</v>
      </c>
      <c r="Z85" s="7">
        <v>233157755</v>
      </c>
      <c r="AA85" s="7">
        <v>213821946</v>
      </c>
      <c r="AB85" s="7"/>
    </row>
    <row r="86" spans="2:28" hidden="1">
      <c r="B86" s="468" t="s">
        <v>189</v>
      </c>
      <c r="C86" s="468" t="s">
        <v>190</v>
      </c>
      <c r="D86" s="468" t="s">
        <v>190</v>
      </c>
      <c r="E86" s="468" t="s">
        <v>237</v>
      </c>
      <c r="F86" s="468"/>
      <c r="G86" s="468"/>
      <c r="H86" s="468"/>
      <c r="I86" s="126" t="s">
        <v>263</v>
      </c>
      <c r="J86" s="468" t="str">
        <f t="shared" si="109"/>
        <v>lending_paylater_paylater_VDS_monthly_fee</v>
      </c>
      <c r="K86" t="s">
        <v>237</v>
      </c>
      <c r="L86" s="1056" t="s">
        <v>223</v>
      </c>
      <c r="M86" s="7">
        <f t="shared" si="97"/>
        <v>1117063052</v>
      </c>
      <c r="N86" s="7"/>
      <c r="O86" s="7"/>
      <c r="P86" s="7"/>
      <c r="Q86" s="7"/>
      <c r="R86" s="7"/>
      <c r="S86" s="7"/>
      <c r="T86" s="7"/>
      <c r="U86" s="7"/>
      <c r="W86" s="7"/>
      <c r="X86" s="5"/>
      <c r="Y86" s="7">
        <v>363959982</v>
      </c>
      <c r="Z86" s="7">
        <v>380813593</v>
      </c>
      <c r="AA86" s="7">
        <v>372289477</v>
      </c>
      <c r="AB86" s="7"/>
    </row>
    <row r="87" spans="2:28" hidden="1">
      <c r="B87" s="468" t="s">
        <v>189</v>
      </c>
      <c r="C87" s="468" t="s">
        <v>190</v>
      </c>
      <c r="D87" s="468" t="s">
        <v>190</v>
      </c>
      <c r="E87" s="468" t="s">
        <v>237</v>
      </c>
      <c r="F87" s="468"/>
      <c r="G87" s="468"/>
      <c r="H87" s="468"/>
      <c r="I87" s="126" t="s">
        <v>264</v>
      </c>
      <c r="J87" s="468" t="str">
        <f t="shared" si="109"/>
        <v>lending_paylater_paylater_VDS_installment_fee</v>
      </c>
      <c r="K87" t="s">
        <v>237</v>
      </c>
      <c r="L87" s="1056" t="s">
        <v>224</v>
      </c>
      <c r="M87" s="7">
        <f t="shared" si="97"/>
        <v>0</v>
      </c>
      <c r="N87" s="7"/>
      <c r="O87" s="7"/>
      <c r="P87" s="7"/>
      <c r="Q87" s="7"/>
      <c r="R87" s="7"/>
      <c r="S87" s="7"/>
      <c r="T87" s="7"/>
      <c r="U87" s="7"/>
      <c r="W87" s="7"/>
      <c r="X87" s="5"/>
      <c r="Y87" s="7"/>
      <c r="Z87" s="7"/>
      <c r="AA87" s="7"/>
      <c r="AB87" s="7"/>
    </row>
    <row r="88" spans="2:28" hidden="1">
      <c r="B88" s="468" t="s">
        <v>189</v>
      </c>
      <c r="C88" s="468" t="s">
        <v>190</v>
      </c>
      <c r="D88" s="468" t="s">
        <v>190</v>
      </c>
      <c r="E88" s="468" t="s">
        <v>237</v>
      </c>
      <c r="F88" s="468"/>
      <c r="G88" s="468"/>
      <c r="H88" s="468"/>
      <c r="I88" s="126" t="s">
        <v>265</v>
      </c>
      <c r="J88" s="468" t="str">
        <f t="shared" si="109"/>
        <v>lending_paylater_paylater_VDS_subvention_fee</v>
      </c>
      <c r="K88" t="s">
        <v>237</v>
      </c>
      <c r="L88" s="1063" t="s">
        <v>225</v>
      </c>
      <c r="M88" s="7"/>
      <c r="N88" s="7"/>
      <c r="O88" s="7"/>
      <c r="P88" s="7"/>
      <c r="Q88" s="7"/>
      <c r="R88" s="7"/>
      <c r="S88" s="7"/>
      <c r="T88" s="7"/>
      <c r="U88" s="7"/>
      <c r="W88" s="7"/>
      <c r="X88" s="5"/>
      <c r="Y88" s="7"/>
      <c r="Z88" s="7"/>
      <c r="AA88" s="7"/>
      <c r="AB88" s="7"/>
    </row>
    <row r="89" spans="2:28" hidden="1">
      <c r="B89" s="468" t="s">
        <v>189</v>
      </c>
      <c r="C89" s="468" t="s">
        <v>190</v>
      </c>
      <c r="D89" s="468" t="s">
        <v>190</v>
      </c>
      <c r="E89" s="468" t="s">
        <v>237</v>
      </c>
      <c r="F89" s="468"/>
      <c r="G89" s="468"/>
      <c r="H89" s="468"/>
      <c r="I89" s="126" t="s">
        <v>266</v>
      </c>
      <c r="J89" s="468" t="str">
        <f t="shared" si="109"/>
        <v>lending_paylater_paylater_VDS_other_fee</v>
      </c>
      <c r="K89" t="s">
        <v>237</v>
      </c>
      <c r="L89" s="1056" t="s">
        <v>226</v>
      </c>
      <c r="M89" s="7">
        <f t="shared" si="97"/>
        <v>0</v>
      </c>
      <c r="N89" s="7"/>
      <c r="O89" s="7"/>
      <c r="P89" s="7"/>
      <c r="Q89" s="7"/>
      <c r="R89" s="7"/>
      <c r="S89" s="7"/>
      <c r="T89" s="7"/>
      <c r="U89" s="7"/>
      <c r="W89" s="7"/>
      <c r="X89" s="5"/>
      <c r="Y89" s="7"/>
      <c r="Z89" s="7"/>
      <c r="AA89" s="7"/>
      <c r="AB89" s="7"/>
    </row>
    <row r="90" spans="2:28" hidden="1">
      <c r="B90" s="468" t="s">
        <v>189</v>
      </c>
      <c r="C90" s="468" t="s">
        <v>190</v>
      </c>
      <c r="D90" s="468" t="s">
        <v>190</v>
      </c>
      <c r="E90" s="468" t="s">
        <v>237</v>
      </c>
      <c r="F90" s="468"/>
      <c r="G90" s="468"/>
      <c r="H90" s="468"/>
      <c r="I90" s="126" t="s">
        <v>267</v>
      </c>
      <c r="J90" s="468" t="str">
        <f t="shared" si="109"/>
        <v>lending_paylater_paylater_VDS_adjust_minus_fee</v>
      </c>
      <c r="K90" t="s">
        <v>237</v>
      </c>
      <c r="L90" s="1056" t="s">
        <v>227</v>
      </c>
      <c r="M90" s="7">
        <f t="shared" si="97"/>
        <v>1933300678</v>
      </c>
      <c r="N90" s="7">
        <v>69606763</v>
      </c>
      <c r="O90" s="7">
        <f>70617363+22432463</f>
        <v>93049826</v>
      </c>
      <c r="P90" s="7">
        <v>72811976</v>
      </c>
      <c r="Q90" s="7">
        <v>81813821</v>
      </c>
      <c r="R90" s="7">
        <v>76107730</v>
      </c>
      <c r="S90" s="7">
        <v>77923762</v>
      </c>
      <c r="T90" s="7">
        <v>80296955</v>
      </c>
      <c r="U90" s="7">
        <v>78487970</v>
      </c>
      <c r="V90" s="7">
        <v>113183407</v>
      </c>
      <c r="W90" s="34">
        <v>148269328</v>
      </c>
      <c r="X90" s="34">
        <v>234692533</v>
      </c>
      <c r="Y90" s="7">
        <v>268684835</v>
      </c>
      <c r="Z90" s="86">
        <v>330640128</v>
      </c>
      <c r="AA90" s="7">
        <v>370388233</v>
      </c>
      <c r="AB90" s="7"/>
    </row>
    <row r="91" spans="2:28" hidden="1">
      <c r="B91" s="468" t="s">
        <v>189</v>
      </c>
      <c r="C91" s="468" t="s">
        <v>190</v>
      </c>
      <c r="D91" s="468" t="s">
        <v>190</v>
      </c>
      <c r="E91" s="468" t="s">
        <v>237</v>
      </c>
      <c r="F91" s="468"/>
      <c r="G91" s="468"/>
      <c r="H91" s="468"/>
      <c r="I91" s="126" t="s">
        <v>268</v>
      </c>
      <c r="J91" s="468" t="str">
        <f t="shared" si="109"/>
        <v>lending_paylater_paylater_VDS_adjust_bonus_fee</v>
      </c>
      <c r="K91" t="s">
        <v>237</v>
      </c>
      <c r="L91" s="1056" t="s">
        <v>228</v>
      </c>
      <c r="M91" s="7">
        <f t="shared" si="97"/>
        <v>1655962271</v>
      </c>
      <c r="N91" s="7">
        <v>44631004</v>
      </c>
      <c r="O91" s="7">
        <v>69606763</v>
      </c>
      <c r="P91" s="7">
        <f>70617363+22432463</f>
        <v>93049826</v>
      </c>
      <c r="Q91" s="7">
        <v>72811976</v>
      </c>
      <c r="R91" s="7">
        <v>81813821</v>
      </c>
      <c r="S91" s="7">
        <v>76107730</v>
      </c>
      <c r="T91" s="7">
        <v>77923762</v>
      </c>
      <c r="U91" s="7">
        <v>80296955</v>
      </c>
      <c r="V91" s="7">
        <v>78487970</v>
      </c>
      <c r="W91" s="7">
        <f>V90</f>
        <v>113183407</v>
      </c>
      <c r="X91" s="7">
        <f>W90</f>
        <v>148269328</v>
      </c>
      <c r="Y91" s="7">
        <f>X90</f>
        <v>234692533</v>
      </c>
      <c r="Z91" s="7">
        <v>268684835</v>
      </c>
      <c r="AA91" s="7">
        <v>330640128</v>
      </c>
      <c r="AB91" s="7"/>
    </row>
    <row r="92" spans="2:28" hidden="1">
      <c r="B92" s="468" t="s">
        <v>189</v>
      </c>
      <c r="C92" s="468" t="s">
        <v>190</v>
      </c>
      <c r="D92" s="468" t="s">
        <v>190</v>
      </c>
      <c r="E92" s="468" t="s">
        <v>237</v>
      </c>
      <c r="F92" s="468"/>
      <c r="G92" s="468"/>
      <c r="H92" s="468"/>
      <c r="I92" s="717" t="s">
        <v>269</v>
      </c>
      <c r="J92" s="468" t="str">
        <f t="shared" si="109"/>
        <v>lending_paylater_paylater_VDS_other_TOI</v>
      </c>
      <c r="K92" t="s">
        <v>237</v>
      </c>
      <c r="L92" s="1055" t="s">
        <v>89</v>
      </c>
      <c r="M92" s="7">
        <f t="shared" si="97"/>
        <v>115054765</v>
      </c>
      <c r="N92" s="34"/>
      <c r="O92" s="34"/>
      <c r="P92" s="34"/>
      <c r="Q92" s="34"/>
      <c r="R92" s="34"/>
      <c r="S92" s="34"/>
      <c r="T92" s="34"/>
      <c r="U92" s="34"/>
      <c r="W92" s="34"/>
      <c r="X92" s="34"/>
      <c r="Y92" s="34">
        <v>1182220</v>
      </c>
      <c r="Z92" s="34">
        <v>31496271</v>
      </c>
      <c r="AA92" s="34">
        <v>82376274</v>
      </c>
      <c r="AB92" s="34"/>
    </row>
    <row r="93" spans="2:28" s="4" customFormat="1" hidden="1">
      <c r="B93" s="1298" t="s">
        <v>189</v>
      </c>
      <c r="C93" s="1298" t="s">
        <v>190</v>
      </c>
      <c r="D93" s="1298" t="s">
        <v>190</v>
      </c>
      <c r="E93" s="1298" t="s">
        <v>237</v>
      </c>
      <c r="F93" s="1298"/>
      <c r="G93" s="1298"/>
      <c r="H93" s="1298"/>
      <c r="I93" s="698" t="s">
        <v>270</v>
      </c>
      <c r="J93" s="1298" t="str">
        <f t="shared" si="109"/>
        <v>lending_paylater_paylater_VDS_provision</v>
      </c>
      <c r="K93" s="4" t="s">
        <v>237</v>
      </c>
      <c r="L93" s="85" t="s">
        <v>136</v>
      </c>
      <c r="M93" s="47">
        <f t="shared" si="97"/>
        <v>13944088355</v>
      </c>
      <c r="N93" s="4">
        <v>264765425</v>
      </c>
      <c r="O93" s="47">
        <f>348653059+120536893</f>
        <v>469189952</v>
      </c>
      <c r="P93" s="4">
        <v>642335645</v>
      </c>
      <c r="Q93" s="47">
        <v>813436014</v>
      </c>
      <c r="R93" s="47">
        <f>935299142+193406394</f>
        <v>1128705536</v>
      </c>
      <c r="S93" s="47">
        <v>646951000</v>
      </c>
      <c r="T93" s="47">
        <v>981041441</v>
      </c>
      <c r="U93" s="47">
        <f>929336735+202002988</f>
        <v>1131339723</v>
      </c>
      <c r="V93" s="47">
        <v>1074759659</v>
      </c>
      <c r="W93" s="47">
        <v>1199222676</v>
      </c>
      <c r="X93" s="47">
        <f>1195864141+207890331</f>
        <v>1403754472</v>
      </c>
      <c r="Y93" s="47">
        <v>2237845469</v>
      </c>
      <c r="Z93" s="47">
        <v>1223932243</v>
      </c>
      <c r="AA93" s="47">
        <f>1294023898+166740579</f>
        <v>1460764477</v>
      </c>
      <c r="AB93" s="47"/>
    </row>
    <row r="94" spans="2:28" hidden="1">
      <c r="B94" s="468" t="s">
        <v>189</v>
      </c>
      <c r="C94" s="468" t="s">
        <v>190</v>
      </c>
      <c r="D94" s="468" t="s">
        <v>190</v>
      </c>
      <c r="E94" s="468" t="s">
        <v>237</v>
      </c>
      <c r="F94" s="468"/>
      <c r="G94" s="468"/>
      <c r="H94" s="468"/>
      <c r="I94" s="126" t="s">
        <v>271</v>
      </c>
      <c r="J94" s="468" t="str">
        <f t="shared" si="109"/>
        <v>lending_paylater_paylater_VDS_variable_cost</v>
      </c>
      <c r="K94" t="s">
        <v>237</v>
      </c>
      <c r="L94" s="85" t="s">
        <v>229</v>
      </c>
      <c r="M94" s="7">
        <f t="shared" si="97"/>
        <v>3461783122.1887536</v>
      </c>
      <c r="N94" s="47">
        <f>SUM(N95:N102)</f>
        <v>269610813.80339193</v>
      </c>
      <c r="O94" s="47">
        <f t="shared" ref="O94:U94" si="110">SUM(O95:O102)</f>
        <v>341651051.10702866</v>
      </c>
      <c r="P94" s="47">
        <f t="shared" si="110"/>
        <v>303247709.35698998</v>
      </c>
      <c r="Q94" s="47">
        <f t="shared" si="110"/>
        <v>371462638.06357008</v>
      </c>
      <c r="R94" s="47">
        <f t="shared" si="110"/>
        <v>310291475.70895725</v>
      </c>
      <c r="S94" s="47">
        <f t="shared" si="110"/>
        <v>321160072.37986481</v>
      </c>
      <c r="T94" s="47">
        <f t="shared" si="110"/>
        <v>343575577.64492923</v>
      </c>
      <c r="U94" s="47">
        <f t="shared" si="110"/>
        <v>313779500.18599838</v>
      </c>
      <c r="V94" s="47">
        <f t="shared" ref="V94:AA94" si="111">SUM(V95:V102)</f>
        <v>282090691.25400847</v>
      </c>
      <c r="W94" s="47">
        <f t="shared" si="111"/>
        <v>304871831.83618647</v>
      </c>
      <c r="X94" s="47">
        <f t="shared" si="111"/>
        <v>331931044.4372614</v>
      </c>
      <c r="Y94" s="47">
        <f t="shared" si="111"/>
        <v>230904137.02393785</v>
      </c>
      <c r="Z94" s="47">
        <f t="shared" si="111"/>
        <v>163663952.09352374</v>
      </c>
      <c r="AA94" s="47">
        <f t="shared" si="111"/>
        <v>184804492.20352605</v>
      </c>
      <c r="AB94" s="47"/>
    </row>
    <row r="95" spans="2:28" hidden="1">
      <c r="B95" s="468" t="s">
        <v>189</v>
      </c>
      <c r="C95" s="468" t="s">
        <v>190</v>
      </c>
      <c r="D95" s="468" t="s">
        <v>190</v>
      </c>
      <c r="E95" s="468" t="s">
        <v>237</v>
      </c>
      <c r="F95" s="468"/>
      <c r="G95" s="468"/>
      <c r="H95" s="468"/>
      <c r="I95" s="126" t="s">
        <v>272</v>
      </c>
      <c r="J95" s="468" t="str">
        <f t="shared" si="109"/>
        <v>lending_paylater_paylater_VDS_marketing_acquisition_cost</v>
      </c>
      <c r="K95" t="s">
        <v>237</v>
      </c>
      <c r="L95" s="563" t="s">
        <v>230</v>
      </c>
      <c r="M95" s="7">
        <f t="shared" si="97"/>
        <v>0</v>
      </c>
      <c r="O95" s="7"/>
      <c r="X95" s="74"/>
    </row>
    <row r="96" spans="2:28" hidden="1">
      <c r="B96" s="468" t="s">
        <v>189</v>
      </c>
      <c r="C96" s="468" t="s">
        <v>190</v>
      </c>
      <c r="D96" s="468" t="s">
        <v>190</v>
      </c>
      <c r="E96" s="468" t="s">
        <v>237</v>
      </c>
      <c r="F96" s="468"/>
      <c r="G96" s="468"/>
      <c r="H96" s="468"/>
      <c r="I96" s="126" t="s">
        <v>273</v>
      </c>
      <c r="J96" s="468" t="str">
        <f t="shared" si="109"/>
        <v>lending_paylater_paylater_VDS_partner_acquisition_cost</v>
      </c>
      <c r="K96" t="s">
        <v>237</v>
      </c>
      <c r="L96" s="563" t="s">
        <v>231</v>
      </c>
      <c r="M96" s="7">
        <f t="shared" si="97"/>
        <v>0</v>
      </c>
      <c r="N96" s="7">
        <v>0</v>
      </c>
      <c r="O96" s="7">
        <v>0</v>
      </c>
      <c r="P96" s="7"/>
      <c r="S96" s="86"/>
      <c r="T96" s="86"/>
      <c r="U96" s="86"/>
      <c r="V96" s="86"/>
      <c r="W96" s="7"/>
      <c r="X96" s="7"/>
      <c r="Y96" s="7"/>
      <c r="Z96" s="7"/>
      <c r="AA96" s="7"/>
      <c r="AB96" s="7"/>
    </row>
    <row r="97" spans="2:28" hidden="1">
      <c r="B97" s="468" t="s">
        <v>189</v>
      </c>
      <c r="C97" s="468" t="s">
        <v>190</v>
      </c>
      <c r="D97" s="468" t="s">
        <v>190</v>
      </c>
      <c r="E97" s="468" t="s">
        <v>237</v>
      </c>
      <c r="F97" s="468"/>
      <c r="G97" s="468"/>
      <c r="H97" s="468"/>
      <c r="I97" s="126" t="s">
        <v>274</v>
      </c>
      <c r="J97" s="468" t="str">
        <f t="shared" si="109"/>
        <v>lending_paylater_paylater_VDS_underwritting</v>
      </c>
      <c r="K97" t="s">
        <v>237</v>
      </c>
      <c r="L97" s="563" t="s">
        <v>232</v>
      </c>
      <c r="M97" s="7">
        <f t="shared" si="97"/>
        <v>1451587967.0362875</v>
      </c>
      <c r="N97" s="7">
        <v>142751977.66506284</v>
      </c>
      <c r="O97" s="7">
        <v>143499289.72310138</v>
      </c>
      <c r="P97" s="7">
        <v>99131723.719472021</v>
      </c>
      <c r="Q97" s="7">
        <v>100651891.70549157</v>
      </c>
      <c r="R97" s="7">
        <v>101603571.71136403</v>
      </c>
      <c r="S97" s="7">
        <v>108823681.37106661</v>
      </c>
      <c r="T97" s="7">
        <v>141972161.00315627</v>
      </c>
      <c r="U97" s="7">
        <v>186674223.99760997</v>
      </c>
      <c r="V97" s="7">
        <v>128729311.70285913</v>
      </c>
      <c r="W97" s="7">
        <v>140161724.66714209</v>
      </c>
      <c r="X97" s="7">
        <v>140217248.07565501</v>
      </c>
      <c r="Y97" s="7">
        <v>133818895.95641327</v>
      </c>
      <c r="Z97" s="7">
        <v>72391588.464565456</v>
      </c>
      <c r="AA97" s="7">
        <v>97411944.661492035</v>
      </c>
      <c r="AB97" s="7"/>
    </row>
    <row r="98" spans="2:28" s="7" customFormat="1" hidden="1">
      <c r="B98" s="468" t="s">
        <v>189</v>
      </c>
      <c r="C98" s="468" t="s">
        <v>190</v>
      </c>
      <c r="D98" s="468" t="s">
        <v>190</v>
      </c>
      <c r="E98" s="468" t="s">
        <v>237</v>
      </c>
      <c r="F98" s="468"/>
      <c r="G98" s="468"/>
      <c r="H98" s="468"/>
      <c r="I98" s="126" t="s">
        <v>275</v>
      </c>
      <c r="J98" s="786" t="str">
        <f t="shared" si="109"/>
        <v>lending_paylater_paylater_VDS_e_contract</v>
      </c>
      <c r="K98" t="s">
        <v>237</v>
      </c>
      <c r="L98" s="563" t="s">
        <v>233</v>
      </c>
      <c r="M98" s="7">
        <f t="shared" si="97"/>
        <v>34633840</v>
      </c>
      <c r="N98" s="7">
        <v>3498936</v>
      </c>
      <c r="O98" s="7">
        <v>3055710</v>
      </c>
      <c r="P98" s="7">
        <v>2212532</v>
      </c>
      <c r="Q98" s="7">
        <v>2013522</v>
      </c>
      <c r="R98" s="7">
        <v>9156828</v>
      </c>
      <c r="S98" s="7">
        <v>8258272</v>
      </c>
      <c r="T98" s="7">
        <v>1903790</v>
      </c>
      <c r="U98" s="7">
        <v>2485714</v>
      </c>
      <c r="V98" s="7">
        <v>1516655</v>
      </c>
      <c r="W98" s="7">
        <v>1508647</v>
      </c>
      <c r="X98" s="7">
        <v>1593830</v>
      </c>
      <c r="Y98" s="7">
        <v>1653043</v>
      </c>
      <c r="Z98" s="7">
        <v>1154447</v>
      </c>
      <c r="AA98" s="7">
        <v>1176560</v>
      </c>
    </row>
    <row r="99" spans="2:28" hidden="1">
      <c r="B99" s="468" t="s">
        <v>189</v>
      </c>
      <c r="C99" s="468" t="s">
        <v>190</v>
      </c>
      <c r="D99" s="468" t="s">
        <v>190</v>
      </c>
      <c r="E99" s="468" t="s">
        <v>237</v>
      </c>
      <c r="F99" s="468"/>
      <c r="G99" s="468"/>
      <c r="H99" s="468"/>
      <c r="I99" s="126" t="s">
        <v>276</v>
      </c>
      <c r="J99" s="468" t="str">
        <f t="shared" si="109"/>
        <v>lending_paylater_paylater_VDS_nfc</v>
      </c>
      <c r="K99" t="s">
        <v>237</v>
      </c>
      <c r="L99" s="563" t="s">
        <v>152</v>
      </c>
      <c r="M99" s="7">
        <f t="shared" si="97"/>
        <v>26654776.99103795</v>
      </c>
      <c r="N99" s="7"/>
      <c r="O99" s="7"/>
      <c r="P99" s="7">
        <v>3625253.8718582015</v>
      </c>
      <c r="Q99" s="7">
        <v>898686.36687156255</v>
      </c>
      <c r="R99">
        <v>4035845.0448895027</v>
      </c>
      <c r="S99" s="7">
        <v>3141497.803464171</v>
      </c>
      <c r="T99" s="7">
        <v>2276828.0981595092</v>
      </c>
      <c r="U99" s="7">
        <v>2395801.4852263201</v>
      </c>
      <c r="V99" s="7">
        <v>1721859.2679543272</v>
      </c>
      <c r="W99" s="7">
        <v>1841089.8255813955</v>
      </c>
      <c r="X99" s="7">
        <v>1931838.3501184834</v>
      </c>
      <c r="Y99" s="7">
        <v>1988829.1864915183</v>
      </c>
      <c r="Z99" s="7">
        <v>1393210.4409448819</v>
      </c>
      <c r="AA99" s="7">
        <v>1404037.2494780794</v>
      </c>
      <c r="AB99" s="7"/>
    </row>
    <row r="100" spans="2:28" hidden="1">
      <c r="B100" s="468" t="s">
        <v>189</v>
      </c>
      <c r="C100" s="468" t="s">
        <v>190</v>
      </c>
      <c r="D100" s="468" t="s">
        <v>190</v>
      </c>
      <c r="E100" s="468" t="s">
        <v>237</v>
      </c>
      <c r="F100" s="468"/>
      <c r="G100" s="468"/>
      <c r="H100" s="468"/>
      <c r="I100" s="126" t="s">
        <v>277</v>
      </c>
      <c r="J100" s="468" t="str">
        <f t="shared" si="109"/>
        <v>lending_paylater_paylater_VDS_collection</v>
      </c>
      <c r="K100" t="s">
        <v>237</v>
      </c>
      <c r="L100" s="563" t="s">
        <v>234</v>
      </c>
      <c r="M100" s="7">
        <f t="shared" si="97"/>
        <v>1523875781.9138496</v>
      </c>
      <c r="N100" s="7">
        <v>82232678.039190292</v>
      </c>
      <c r="O100" s="7">
        <v>155472596.38392729</v>
      </c>
      <c r="P100" s="7">
        <v>153692267.84063518</v>
      </c>
      <c r="Q100" s="7">
        <v>228852375.05125383</v>
      </c>
      <c r="R100" s="7">
        <v>150107071.08546919</v>
      </c>
      <c r="S100" s="7">
        <v>152942081.84998435</v>
      </c>
      <c r="T100" s="7">
        <v>152678898.11330536</v>
      </c>
      <c r="U100" s="7">
        <v>80004375.584930167</v>
      </c>
      <c r="V100" s="7">
        <v>111376178.09891139</v>
      </c>
      <c r="W100" s="7">
        <v>133378054.79083981</v>
      </c>
      <c r="X100" s="7">
        <v>161119956.1653451</v>
      </c>
      <c r="Y100" s="7">
        <v>68186294.325412825</v>
      </c>
      <c r="Z100" s="7">
        <v>67197045.201378167</v>
      </c>
      <c r="AA100" s="7">
        <v>64341183.806384236</v>
      </c>
      <c r="AB100" s="7"/>
    </row>
    <row r="101" spans="2:28" hidden="1">
      <c r="B101" s="468" t="s">
        <v>189</v>
      </c>
      <c r="C101" s="468" t="s">
        <v>190</v>
      </c>
      <c r="D101" s="468" t="s">
        <v>190</v>
      </c>
      <c r="E101" s="468" t="s">
        <v>237</v>
      </c>
      <c r="F101" s="468"/>
      <c r="G101" s="468"/>
      <c r="H101" s="468"/>
      <c r="I101" s="126" t="s">
        <v>278</v>
      </c>
      <c r="J101" s="468" t="str">
        <f t="shared" si="109"/>
        <v>lending_paylater_paylater_VDS_promotion</v>
      </c>
      <c r="K101" t="s">
        <v>237</v>
      </c>
      <c r="L101" s="563" t="s">
        <v>235</v>
      </c>
      <c r="M101" s="7">
        <f t="shared" si="97"/>
        <v>0</v>
      </c>
      <c r="O101" s="7"/>
      <c r="X101" s="74"/>
    </row>
    <row r="102" spans="2:28" hidden="1">
      <c r="B102" s="468" t="s">
        <v>189</v>
      </c>
      <c r="C102" s="468" t="s">
        <v>190</v>
      </c>
      <c r="D102" s="468" t="s">
        <v>190</v>
      </c>
      <c r="E102" s="468" t="s">
        <v>237</v>
      </c>
      <c r="F102" s="468"/>
      <c r="G102" s="468"/>
      <c r="H102" s="468"/>
      <c r="I102" s="126" t="s">
        <v>279</v>
      </c>
      <c r="J102" s="468" t="str">
        <f t="shared" si="109"/>
        <v>lending_paylater_paylater_VDS_sms</v>
      </c>
      <c r="K102" t="s">
        <v>237</v>
      </c>
      <c r="L102" s="563" t="s">
        <v>163</v>
      </c>
      <c r="M102" s="7">
        <f t="shared" si="97"/>
        <v>425030756.2475785</v>
      </c>
      <c r="N102" s="7">
        <v>41127222.099138796</v>
      </c>
      <c r="O102" s="7">
        <v>39623455</v>
      </c>
      <c r="P102" s="7">
        <v>44585931.925024554</v>
      </c>
      <c r="Q102" s="7">
        <v>39046162.939953126</v>
      </c>
      <c r="R102" s="7">
        <v>45388159.867234521</v>
      </c>
      <c r="S102" s="7">
        <v>47994539.355349638</v>
      </c>
      <c r="T102" s="7">
        <v>44743900.430308059</v>
      </c>
      <c r="U102" s="7">
        <v>42219385.118231885</v>
      </c>
      <c r="V102" s="7">
        <v>38746687.184283637</v>
      </c>
      <c r="W102" s="7">
        <v>27982315.55262313</v>
      </c>
      <c r="X102" s="7">
        <v>27068171.846142814</v>
      </c>
      <c r="Y102" s="7">
        <v>25257074.555620216</v>
      </c>
      <c r="Z102" s="7">
        <v>21527660.986635223</v>
      </c>
      <c r="AA102" s="7">
        <v>20470766.486171704</v>
      </c>
      <c r="AB102" s="7"/>
    </row>
    <row r="103" spans="2:28">
      <c r="B103" s="468" t="s">
        <v>189</v>
      </c>
      <c r="C103" s="468" t="s">
        <v>190</v>
      </c>
      <c r="D103" s="468" t="s">
        <v>190</v>
      </c>
      <c r="E103" s="468" t="s">
        <v>237</v>
      </c>
      <c r="F103" s="468" t="str">
        <f>E103&amp;"PL"</f>
        <v>VDSPL</v>
      </c>
      <c r="G103" s="468" t="str">
        <f>L103&amp;F103</f>
        <v>Profit before allocation costVDSPL</v>
      </c>
      <c r="H103" s="468" t="str">
        <f>L103&amp;E103</f>
        <v>Profit before allocation costVDS</v>
      </c>
      <c r="I103" s="126" t="s">
        <v>280</v>
      </c>
      <c r="J103" s="468" t="str">
        <f t="shared" si="109"/>
        <v>lending_paylater_paylater_VDS_profit_before_overhead</v>
      </c>
      <c r="K103" t="s">
        <v>237</v>
      </c>
      <c r="L103" s="85" t="s">
        <v>236</v>
      </c>
      <c r="M103" s="7">
        <f t="shared" si="97"/>
        <v>-9174703205.8246231</v>
      </c>
      <c r="N103" s="81">
        <f t="shared" ref="N103:T103" si="112">N74-N93-N94</f>
        <v>17043098.196608067</v>
      </c>
      <c r="O103" s="81">
        <f t="shared" si="112"/>
        <v>-290421116.10702866</v>
      </c>
      <c r="P103" s="81">
        <f t="shared" si="112"/>
        <v>-364857329.35698998</v>
      </c>
      <c r="Q103" s="81">
        <f t="shared" si="112"/>
        <v>-592657532.06357002</v>
      </c>
      <c r="R103" s="81">
        <f t="shared" si="112"/>
        <v>-796300517.62085605</v>
      </c>
      <c r="S103" s="81">
        <f t="shared" si="112"/>
        <v>-376930056.6450628</v>
      </c>
      <c r="T103" s="81">
        <f t="shared" si="112"/>
        <v>-748470360.92522788</v>
      </c>
      <c r="U103" s="81">
        <f t="shared" ref="U103:AA103" si="113">U74-U93-U94</f>
        <v>-834332985.14499736</v>
      </c>
      <c r="V103" s="81">
        <f t="shared" si="113"/>
        <v>-807880793.39810586</v>
      </c>
      <c r="W103" s="81">
        <f t="shared" si="113"/>
        <v>-878286156.86056089</v>
      </c>
      <c r="X103" s="81">
        <f t="shared" si="113"/>
        <v>-878225517.96436334</v>
      </c>
      <c r="Y103" s="81">
        <f t="shared" si="113"/>
        <v>-1698609546.25524</v>
      </c>
      <c r="Z103" s="81">
        <f t="shared" si="113"/>
        <v>-495759505.15362334</v>
      </c>
      <c r="AA103" s="81">
        <f t="shared" si="113"/>
        <v>-702392904.43602514</v>
      </c>
      <c r="AB103" s="7">
        <f>SUM(P103:AA103)</f>
        <v>-9174703205.8246231</v>
      </c>
    </row>
    <row r="104" spans="2:28" hidden="1">
      <c r="B104" s="468"/>
      <c r="C104" s="468"/>
      <c r="D104" s="468"/>
      <c r="E104" s="468"/>
      <c r="F104" s="468"/>
      <c r="G104" s="468"/>
      <c r="H104" s="468"/>
      <c r="I104" s="126"/>
      <c r="J104" s="468"/>
      <c r="L104" s="85"/>
      <c r="M104" s="7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</row>
    <row r="105" spans="2:28" hidden="1">
      <c r="B105" s="468"/>
      <c r="C105" s="468"/>
      <c r="D105" s="468"/>
      <c r="E105" s="468"/>
      <c r="F105" s="468"/>
      <c r="G105" s="468"/>
      <c r="H105" s="468"/>
      <c r="I105" s="126"/>
      <c r="J105" s="468"/>
      <c r="L105" s="1048" t="s">
        <v>281</v>
      </c>
      <c r="M105" s="7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</row>
    <row r="106" spans="2:28" hidden="1">
      <c r="B106" s="468"/>
      <c r="C106" s="468"/>
      <c r="D106" s="468"/>
      <c r="E106" s="468"/>
      <c r="F106" s="468"/>
      <c r="G106" s="468"/>
      <c r="H106" s="468"/>
      <c r="I106" s="126"/>
      <c r="J106" s="468"/>
      <c r="L106" s="1052" t="s">
        <v>193</v>
      </c>
      <c r="M106" s="7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</row>
    <row r="107" spans="2:28" hidden="1">
      <c r="B107" s="468"/>
      <c r="C107" s="468"/>
      <c r="D107" s="468"/>
      <c r="E107" s="468"/>
      <c r="F107" s="468"/>
      <c r="G107" s="468"/>
      <c r="H107" s="468"/>
      <c r="I107" s="126"/>
      <c r="J107" s="468"/>
      <c r="L107" s="1052" t="s">
        <v>194</v>
      </c>
      <c r="M107" s="7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>
        <f>Y107+Z106</f>
        <v>0</v>
      </c>
      <c r="AA107" s="81"/>
      <c r="AB107" s="81"/>
    </row>
    <row r="108" spans="2:28" hidden="1">
      <c r="B108" s="468"/>
      <c r="C108" s="468"/>
      <c r="D108" s="468"/>
      <c r="E108" s="468"/>
      <c r="F108" s="468"/>
      <c r="G108" s="468"/>
      <c r="H108" s="468"/>
      <c r="I108" s="126"/>
      <c r="J108" s="468"/>
      <c r="L108" s="1052" t="s">
        <v>195</v>
      </c>
      <c r="M108" s="7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</row>
    <row r="109" spans="2:28" hidden="1">
      <c r="B109" s="468"/>
      <c r="C109" s="468"/>
      <c r="D109" s="468"/>
      <c r="E109" s="468"/>
      <c r="F109" s="468"/>
      <c r="G109" s="468"/>
      <c r="H109" s="468"/>
      <c r="I109" s="126"/>
      <c r="J109" s="468"/>
      <c r="L109" s="1052" t="s">
        <v>196</v>
      </c>
      <c r="M109" s="7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 t="e">
        <f>Z108/Z107</f>
        <v>#DIV/0!</v>
      </c>
      <c r="AA109" s="81"/>
      <c r="AB109" s="81"/>
    </row>
    <row r="110" spans="2:28" hidden="1">
      <c r="B110" s="468"/>
      <c r="C110" s="468"/>
      <c r="D110" s="468"/>
      <c r="E110" s="468"/>
      <c r="F110" s="468"/>
      <c r="G110" s="468"/>
      <c r="H110" s="468"/>
      <c r="I110" s="126"/>
      <c r="J110" s="468"/>
      <c r="L110" s="1052" t="s">
        <v>197</v>
      </c>
      <c r="M110" s="7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 t="e">
        <f>Z112/Z107</f>
        <v>#DIV/0!</v>
      </c>
      <c r="AA110" s="81"/>
      <c r="AB110" s="81"/>
    </row>
    <row r="111" spans="2:28" hidden="1">
      <c r="B111" s="468"/>
      <c r="C111" s="468"/>
      <c r="D111" s="468"/>
      <c r="E111" s="468"/>
      <c r="F111" s="468"/>
      <c r="G111" s="468"/>
      <c r="H111" s="468"/>
      <c r="I111" s="126"/>
      <c r="J111" s="468"/>
      <c r="L111" s="1053" t="s">
        <v>198</v>
      </c>
      <c r="M111" s="7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 t="e">
        <f>Z112/Z108</f>
        <v>#DIV/0!</v>
      </c>
      <c r="AA111" s="81"/>
      <c r="AB111" s="81"/>
    </row>
    <row r="112" spans="2:28" hidden="1">
      <c r="B112" s="468"/>
      <c r="C112" s="468"/>
      <c r="D112" s="468"/>
      <c r="E112" s="468"/>
      <c r="F112" s="468"/>
      <c r="G112" s="468"/>
      <c r="H112" s="468"/>
      <c r="I112" s="126"/>
      <c r="J112" s="468"/>
      <c r="L112" s="1052" t="s">
        <v>199</v>
      </c>
      <c r="M112" s="7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</row>
    <row r="113" spans="2:28" hidden="1">
      <c r="B113" s="468"/>
      <c r="C113" s="468"/>
      <c r="D113" s="468"/>
      <c r="E113" s="468"/>
      <c r="F113" s="468"/>
      <c r="G113" s="468"/>
      <c r="H113" s="468"/>
      <c r="I113" s="126"/>
      <c r="J113" s="468"/>
      <c r="L113" s="1052" t="s">
        <v>200</v>
      </c>
      <c r="M113" s="7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</row>
    <row r="114" spans="2:28" hidden="1">
      <c r="B114" s="468"/>
      <c r="C114" s="468"/>
      <c r="D114" s="468"/>
      <c r="E114" s="468"/>
      <c r="F114" s="468"/>
      <c r="G114" s="468"/>
      <c r="H114" s="468"/>
      <c r="I114" s="126"/>
      <c r="J114" s="468"/>
      <c r="L114" s="1052" t="s">
        <v>201</v>
      </c>
      <c r="M114" s="7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>
        <f>Z113-Z115</f>
        <v>0</v>
      </c>
      <c r="AA114" s="81"/>
      <c r="AB114" s="81"/>
    </row>
    <row r="115" spans="2:28" hidden="1">
      <c r="B115" s="468"/>
      <c r="C115" s="468"/>
      <c r="D115" s="468"/>
      <c r="E115" s="468"/>
      <c r="F115" s="468"/>
      <c r="G115" s="468"/>
      <c r="H115" s="468"/>
      <c r="I115" s="126"/>
      <c r="J115" s="468"/>
      <c r="L115" s="1052" t="s">
        <v>202</v>
      </c>
      <c r="M115" s="7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</row>
    <row r="116" spans="2:28" hidden="1">
      <c r="B116" s="468"/>
      <c r="C116" s="468"/>
      <c r="D116" s="468"/>
      <c r="E116" s="468"/>
      <c r="F116" s="468"/>
      <c r="G116" s="468"/>
      <c r="H116" s="468"/>
      <c r="I116" s="126"/>
      <c r="J116" s="468"/>
      <c r="L116" s="1052" t="s">
        <v>203</v>
      </c>
      <c r="M116" s="7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</row>
    <row r="117" spans="2:28" hidden="1">
      <c r="B117" s="468"/>
      <c r="C117" s="468"/>
      <c r="D117" s="468"/>
      <c r="E117" s="468"/>
      <c r="F117" s="468"/>
      <c r="G117" s="468"/>
      <c r="H117" s="468"/>
      <c r="I117" s="126"/>
      <c r="J117" s="468"/>
      <c r="L117" s="1052" t="s">
        <v>204</v>
      </c>
      <c r="M117" s="7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</row>
    <row r="118" spans="2:28" hidden="1">
      <c r="B118" s="468"/>
      <c r="C118" s="468"/>
      <c r="D118" s="468"/>
      <c r="E118" s="468"/>
      <c r="F118" s="468"/>
      <c r="G118" s="468"/>
      <c r="H118" s="468"/>
      <c r="I118" s="126"/>
      <c r="J118" s="468"/>
      <c r="L118" s="1052" t="s">
        <v>205</v>
      </c>
      <c r="M118" s="7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</row>
    <row r="119" spans="2:28" hidden="1">
      <c r="B119" s="468"/>
      <c r="C119" s="468"/>
      <c r="D119" s="468"/>
      <c r="E119" s="468"/>
      <c r="F119" s="468"/>
      <c r="G119" s="468"/>
      <c r="H119" s="468"/>
      <c r="I119" s="126"/>
      <c r="J119" s="468"/>
      <c r="L119" s="1052" t="s">
        <v>206</v>
      </c>
      <c r="M119" s="7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</row>
    <row r="120" spans="2:28" hidden="1">
      <c r="B120" s="468"/>
      <c r="C120" s="468"/>
      <c r="D120" s="468"/>
      <c r="E120" s="468"/>
      <c r="F120" s="468"/>
      <c r="G120" s="468"/>
      <c r="H120" s="468"/>
      <c r="I120" s="126"/>
      <c r="J120" s="468"/>
      <c r="L120" s="1052" t="s">
        <v>207</v>
      </c>
      <c r="M120" s="7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</row>
    <row r="121" spans="2:28" hidden="1">
      <c r="B121" s="468"/>
      <c r="C121" s="468"/>
      <c r="D121" s="468"/>
      <c r="E121" s="468"/>
      <c r="F121" s="468"/>
      <c r="G121" s="468"/>
      <c r="H121" s="468"/>
      <c r="I121" s="126"/>
      <c r="J121" s="468"/>
      <c r="L121" s="1052" t="s">
        <v>249</v>
      </c>
      <c r="M121" s="7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</row>
    <row r="122" spans="2:28" hidden="1">
      <c r="B122" s="468"/>
      <c r="C122" s="468"/>
      <c r="D122" s="468"/>
      <c r="E122" s="468"/>
      <c r="F122" s="468"/>
      <c r="G122" s="468"/>
      <c r="H122" s="468"/>
      <c r="I122" s="126"/>
      <c r="J122" s="468"/>
      <c r="L122" s="1052" t="s">
        <v>208</v>
      </c>
      <c r="M122" s="7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</row>
    <row r="123" spans="2:28" hidden="1">
      <c r="B123" s="468"/>
      <c r="C123" s="468"/>
      <c r="D123" s="468"/>
      <c r="E123" s="468"/>
      <c r="F123" s="468"/>
      <c r="G123" s="468"/>
      <c r="H123" s="468"/>
      <c r="I123" s="126"/>
      <c r="J123" s="468"/>
      <c r="L123" s="1052" t="s">
        <v>209</v>
      </c>
      <c r="M123" s="7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</row>
    <row r="124" spans="2:28" hidden="1">
      <c r="B124" s="468"/>
      <c r="C124" s="468"/>
      <c r="D124" s="468"/>
      <c r="E124" s="468"/>
      <c r="F124" s="468"/>
      <c r="G124" s="468"/>
      <c r="H124" s="468"/>
      <c r="I124" s="126"/>
      <c r="J124" s="468"/>
      <c r="L124" s="1052" t="s">
        <v>210</v>
      </c>
      <c r="M124" s="7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</row>
    <row r="125" spans="2:28" hidden="1">
      <c r="B125" s="468"/>
      <c r="C125" s="468"/>
      <c r="D125" s="468"/>
      <c r="E125" s="468"/>
      <c r="F125" s="468"/>
      <c r="G125" s="468"/>
      <c r="H125" s="468"/>
      <c r="I125" s="126"/>
      <c r="J125" s="468"/>
      <c r="L125" s="85" t="s">
        <v>215</v>
      </c>
      <c r="M125" s="7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</row>
    <row r="126" spans="2:28" hidden="1">
      <c r="B126" s="468"/>
      <c r="C126" s="468"/>
      <c r="D126" s="468"/>
      <c r="E126" s="468"/>
      <c r="F126" s="468"/>
      <c r="G126" s="468"/>
      <c r="H126" s="468"/>
      <c r="I126" s="126"/>
      <c r="J126" s="468"/>
      <c r="L126" s="85" t="s">
        <v>216</v>
      </c>
      <c r="M126" s="7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</row>
    <row r="127" spans="2:28" hidden="1">
      <c r="B127" s="468"/>
      <c r="C127" s="468"/>
      <c r="D127" s="468"/>
      <c r="E127" s="468"/>
      <c r="F127" s="468"/>
      <c r="G127" s="468"/>
      <c r="H127" s="468"/>
      <c r="I127" s="126"/>
      <c r="J127" s="468"/>
      <c r="L127" s="1051" t="s">
        <v>217</v>
      </c>
      <c r="M127" s="7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>
        <f>Z128+Z136+Z145</f>
        <v>0</v>
      </c>
      <c r="AA127" s="81"/>
      <c r="AB127" s="81"/>
    </row>
    <row r="128" spans="2:28" hidden="1">
      <c r="B128" s="468"/>
      <c r="C128" s="468"/>
      <c r="D128" s="468"/>
      <c r="E128" s="468"/>
      <c r="F128" s="468"/>
      <c r="G128" s="468"/>
      <c r="H128" s="468"/>
      <c r="I128" s="126"/>
      <c r="J128" s="468"/>
      <c r="L128" s="1055" t="s">
        <v>218</v>
      </c>
      <c r="M128" s="7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>
        <f>Z129-Z135</f>
        <v>0</v>
      </c>
      <c r="AA128" s="81"/>
      <c r="AB128" s="81"/>
    </row>
    <row r="129" spans="2:28" hidden="1">
      <c r="B129" s="468"/>
      <c r="C129" s="468"/>
      <c r="D129" s="468"/>
      <c r="E129" s="468"/>
      <c r="F129" s="468"/>
      <c r="G129" s="468"/>
      <c r="H129" s="468"/>
      <c r="I129" s="126"/>
      <c r="J129" s="468"/>
      <c r="L129" s="1060" t="s">
        <v>20</v>
      </c>
      <c r="M129" s="7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>
        <f>Z130-Z131+Z132-Z133+Z134</f>
        <v>0</v>
      </c>
      <c r="AA129" s="81"/>
      <c r="AB129" s="81"/>
    </row>
    <row r="130" spans="2:28" hidden="1">
      <c r="B130" s="468"/>
      <c r="C130" s="468"/>
      <c r="D130" s="468"/>
      <c r="E130" s="468"/>
      <c r="F130" s="468"/>
      <c r="G130" s="468"/>
      <c r="H130" s="468"/>
      <c r="I130" s="126"/>
      <c r="J130" s="468"/>
      <c r="L130" s="1061" t="s">
        <v>256</v>
      </c>
      <c r="M130" s="7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</row>
    <row r="131" spans="2:28" hidden="1">
      <c r="B131" s="468"/>
      <c r="C131" s="468"/>
      <c r="D131" s="468"/>
      <c r="E131" s="468"/>
      <c r="F131" s="468"/>
      <c r="G131" s="468"/>
      <c r="H131" s="468"/>
      <c r="I131" s="126"/>
      <c r="J131" s="468"/>
      <c r="L131" s="1061" t="s">
        <v>257</v>
      </c>
      <c r="M131" s="7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</row>
    <row r="132" spans="2:28" hidden="1">
      <c r="B132" s="468"/>
      <c r="C132" s="468"/>
      <c r="D132" s="468"/>
      <c r="E132" s="468"/>
      <c r="F132" s="468"/>
      <c r="G132" s="468"/>
      <c r="H132" s="468"/>
      <c r="I132" s="126"/>
      <c r="J132" s="468"/>
      <c r="L132" s="1061" t="s">
        <v>258</v>
      </c>
      <c r="M132" s="7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</row>
    <row r="133" spans="2:28" hidden="1">
      <c r="B133" s="468"/>
      <c r="C133" s="468"/>
      <c r="D133" s="468"/>
      <c r="E133" s="468"/>
      <c r="F133" s="468"/>
      <c r="G133" s="468"/>
      <c r="H133" s="468"/>
      <c r="I133" s="126"/>
      <c r="J133" s="468"/>
      <c r="L133" s="1061" t="s">
        <v>259</v>
      </c>
      <c r="M133" s="7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</row>
    <row r="134" spans="2:28" hidden="1">
      <c r="B134" s="468"/>
      <c r="C134" s="468"/>
      <c r="D134" s="468"/>
      <c r="E134" s="468"/>
      <c r="F134" s="468"/>
      <c r="G134" s="468"/>
      <c r="H134" s="468"/>
      <c r="I134" s="126"/>
      <c r="J134" s="468"/>
      <c r="L134" s="1061" t="s">
        <v>228</v>
      </c>
      <c r="M134" s="7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</row>
    <row r="135" spans="2:28" hidden="1">
      <c r="B135" s="468"/>
      <c r="C135" s="468"/>
      <c r="D135" s="468"/>
      <c r="E135" s="468"/>
      <c r="F135" s="468"/>
      <c r="G135" s="468"/>
      <c r="H135" s="468"/>
      <c r="I135" s="126"/>
      <c r="J135" s="468"/>
      <c r="L135" s="1060" t="s">
        <v>219</v>
      </c>
      <c r="M135" s="7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</row>
    <row r="136" spans="2:28" hidden="1">
      <c r="B136" s="468"/>
      <c r="C136" s="468"/>
      <c r="D136" s="468"/>
      <c r="E136" s="468"/>
      <c r="F136" s="468"/>
      <c r="G136" s="468"/>
      <c r="H136" s="468"/>
      <c r="I136" s="126"/>
      <c r="J136" s="468"/>
      <c r="L136" s="1055" t="s">
        <v>220</v>
      </c>
      <c r="M136" s="7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>
        <f>SUM(Z137:Z142)-Z143+Z144</f>
        <v>0</v>
      </c>
      <c r="AA136" s="81"/>
      <c r="AB136" s="81"/>
    </row>
    <row r="137" spans="2:28" hidden="1">
      <c r="B137" s="468"/>
      <c r="C137" s="468"/>
      <c r="D137" s="468"/>
      <c r="E137" s="468"/>
      <c r="F137" s="468"/>
      <c r="G137" s="468"/>
      <c r="H137" s="468"/>
      <c r="I137" s="126"/>
      <c r="J137" s="468"/>
      <c r="L137" s="1060" t="s">
        <v>221</v>
      </c>
      <c r="M137" s="7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</row>
    <row r="138" spans="2:28" hidden="1">
      <c r="B138" s="468"/>
      <c r="C138" s="468"/>
      <c r="D138" s="468"/>
      <c r="E138" s="468"/>
      <c r="F138" s="468"/>
      <c r="G138" s="468"/>
      <c r="H138" s="468"/>
      <c r="I138" s="126"/>
      <c r="J138" s="468"/>
      <c r="L138" s="1060" t="s">
        <v>222</v>
      </c>
      <c r="M138" s="7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</row>
    <row r="139" spans="2:28" hidden="1">
      <c r="B139" s="468"/>
      <c r="C139" s="468"/>
      <c r="D139" s="468"/>
      <c r="E139" s="468"/>
      <c r="F139" s="468"/>
      <c r="G139" s="468"/>
      <c r="H139" s="468"/>
      <c r="I139" s="126"/>
      <c r="J139" s="468"/>
      <c r="L139" s="1060" t="s">
        <v>223</v>
      </c>
      <c r="M139" s="7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</row>
    <row r="140" spans="2:28" hidden="1">
      <c r="B140" s="468"/>
      <c r="C140" s="468"/>
      <c r="D140" s="468"/>
      <c r="E140" s="468"/>
      <c r="F140" s="468"/>
      <c r="G140" s="468"/>
      <c r="H140" s="468"/>
      <c r="I140" s="126"/>
      <c r="J140" s="468"/>
      <c r="L140" s="1060" t="s">
        <v>224</v>
      </c>
      <c r="M140" s="7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</row>
    <row r="141" spans="2:28" hidden="1">
      <c r="B141" s="468"/>
      <c r="C141" s="468"/>
      <c r="D141" s="468"/>
      <c r="E141" s="468"/>
      <c r="F141" s="468"/>
      <c r="G141" s="468"/>
      <c r="H141" s="468"/>
      <c r="I141" s="126"/>
      <c r="J141" s="468"/>
      <c r="L141" s="1378" t="s">
        <v>225</v>
      </c>
      <c r="M141" s="7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</row>
    <row r="142" spans="2:28" hidden="1">
      <c r="B142" s="468"/>
      <c r="C142" s="468"/>
      <c r="D142" s="468"/>
      <c r="E142" s="468"/>
      <c r="F142" s="468"/>
      <c r="G142" s="468"/>
      <c r="H142" s="468"/>
      <c r="I142" s="126"/>
      <c r="J142" s="468"/>
      <c r="L142" s="1060" t="s">
        <v>226</v>
      </c>
      <c r="M142" s="7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</row>
    <row r="143" spans="2:28" hidden="1">
      <c r="B143" s="468"/>
      <c r="C143" s="468"/>
      <c r="D143" s="468"/>
      <c r="E143" s="468"/>
      <c r="F143" s="468"/>
      <c r="G143" s="468"/>
      <c r="H143" s="468"/>
      <c r="I143" s="126"/>
      <c r="J143" s="468"/>
      <c r="L143" s="1060" t="s">
        <v>227</v>
      </c>
      <c r="M143" s="7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</row>
    <row r="144" spans="2:28" hidden="1">
      <c r="B144" s="468"/>
      <c r="C144" s="468"/>
      <c r="D144" s="468"/>
      <c r="E144" s="468"/>
      <c r="F144" s="468"/>
      <c r="G144" s="468"/>
      <c r="H144" s="468"/>
      <c r="I144" s="126"/>
      <c r="J144" s="468"/>
      <c r="L144" s="1060" t="s">
        <v>228</v>
      </c>
      <c r="M144" s="7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</row>
    <row r="145" spans="2:28" hidden="1">
      <c r="B145" s="468"/>
      <c r="C145" s="468"/>
      <c r="D145" s="468"/>
      <c r="E145" s="468"/>
      <c r="F145" s="468"/>
      <c r="G145" s="468"/>
      <c r="H145" s="468"/>
      <c r="I145" s="126"/>
      <c r="J145" s="468"/>
      <c r="L145" s="1055" t="s">
        <v>89</v>
      </c>
      <c r="M145" s="7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</row>
    <row r="146" spans="2:28" hidden="1">
      <c r="B146" s="468"/>
      <c r="C146" s="468"/>
      <c r="D146" s="468"/>
      <c r="E146" s="468"/>
      <c r="F146" s="468"/>
      <c r="G146" s="468"/>
      <c r="H146" s="468"/>
      <c r="I146" s="126"/>
      <c r="J146" s="468"/>
      <c r="L146" s="85" t="s">
        <v>136</v>
      </c>
      <c r="M146" s="7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</row>
    <row r="147" spans="2:28" hidden="1">
      <c r="B147" s="468"/>
      <c r="C147" s="468"/>
      <c r="D147" s="468"/>
      <c r="E147" s="468"/>
      <c r="F147" s="468"/>
      <c r="G147" s="468"/>
      <c r="H147" s="468"/>
      <c r="I147" s="126"/>
      <c r="J147" s="468"/>
      <c r="L147" s="85" t="s">
        <v>229</v>
      </c>
      <c r="M147" s="7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>
        <f>SUM(Z148:Z155)</f>
        <v>0</v>
      </c>
      <c r="AA147" s="81"/>
      <c r="AB147" s="81"/>
    </row>
    <row r="148" spans="2:28" hidden="1">
      <c r="B148" s="468"/>
      <c r="C148" s="468"/>
      <c r="D148" s="468"/>
      <c r="E148" s="468"/>
      <c r="F148" s="468"/>
      <c r="G148" s="468"/>
      <c r="H148" s="468"/>
      <c r="I148" s="126"/>
      <c r="J148" s="468"/>
      <c r="L148" s="563" t="s">
        <v>230</v>
      </c>
      <c r="M148" s="7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</row>
    <row r="149" spans="2:28" hidden="1">
      <c r="B149" s="468"/>
      <c r="C149" s="468"/>
      <c r="D149" s="468"/>
      <c r="E149" s="468"/>
      <c r="F149" s="468"/>
      <c r="G149" s="468"/>
      <c r="H149" s="468"/>
      <c r="I149" s="126"/>
      <c r="J149" s="468"/>
      <c r="L149" s="563" t="s">
        <v>231</v>
      </c>
      <c r="M149" s="7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</row>
    <row r="150" spans="2:28" hidden="1">
      <c r="B150" s="468"/>
      <c r="C150" s="468"/>
      <c r="D150" s="468"/>
      <c r="E150" s="468"/>
      <c r="F150" s="468"/>
      <c r="G150" s="468"/>
      <c r="H150" s="468"/>
      <c r="I150" s="126"/>
      <c r="J150" s="468"/>
      <c r="L150" s="563" t="s">
        <v>232</v>
      </c>
      <c r="M150" s="7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</row>
    <row r="151" spans="2:28" hidden="1">
      <c r="B151" s="468"/>
      <c r="C151" s="468"/>
      <c r="D151" s="468"/>
      <c r="E151" s="468"/>
      <c r="F151" s="468"/>
      <c r="G151" s="468"/>
      <c r="H151" s="468"/>
      <c r="I151" s="126"/>
      <c r="J151" s="468"/>
      <c r="L151" s="563" t="s">
        <v>233</v>
      </c>
      <c r="M151" s="7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</row>
    <row r="152" spans="2:28" hidden="1">
      <c r="B152" s="468"/>
      <c r="C152" s="468"/>
      <c r="D152" s="468"/>
      <c r="E152" s="468"/>
      <c r="F152" s="468"/>
      <c r="G152" s="468"/>
      <c r="H152" s="468"/>
      <c r="I152" s="126"/>
      <c r="J152" s="468"/>
      <c r="L152" s="563" t="s">
        <v>152</v>
      </c>
      <c r="M152" s="7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</row>
    <row r="153" spans="2:28" hidden="1">
      <c r="B153" s="468"/>
      <c r="C153" s="468"/>
      <c r="D153" s="468"/>
      <c r="E153" s="468"/>
      <c r="F153" s="468"/>
      <c r="G153" s="468"/>
      <c r="H153" s="468"/>
      <c r="I153" s="126"/>
      <c r="J153" s="468"/>
      <c r="L153" s="563" t="s">
        <v>234</v>
      </c>
      <c r="M153" s="7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</row>
    <row r="154" spans="2:28" hidden="1">
      <c r="B154" s="468"/>
      <c r="C154" s="468"/>
      <c r="D154" s="468"/>
      <c r="E154" s="468"/>
      <c r="F154" s="468"/>
      <c r="G154" s="468"/>
      <c r="H154" s="468"/>
      <c r="I154" s="126"/>
      <c r="J154" s="468"/>
      <c r="L154" s="563" t="s">
        <v>235</v>
      </c>
      <c r="M154" s="7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</row>
    <row r="155" spans="2:28" hidden="1">
      <c r="B155" s="468"/>
      <c r="C155" s="468"/>
      <c r="D155" s="468"/>
      <c r="E155" s="468"/>
      <c r="F155" s="468"/>
      <c r="G155" s="468"/>
      <c r="H155" s="468"/>
      <c r="I155" s="126"/>
      <c r="J155" s="468"/>
      <c r="L155" s="563" t="s">
        <v>163</v>
      </c>
      <c r="M155" s="7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</row>
    <row r="156" spans="2:28" hidden="1">
      <c r="B156" s="468"/>
      <c r="C156" s="468"/>
      <c r="D156" s="468"/>
      <c r="E156" s="468"/>
      <c r="F156" s="468"/>
      <c r="G156" s="468"/>
      <c r="H156" s="468"/>
      <c r="I156" s="126"/>
      <c r="J156" s="468"/>
      <c r="L156" s="85" t="s">
        <v>236</v>
      </c>
      <c r="M156" s="7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>
        <f>Z127-Z146-Z147</f>
        <v>0</v>
      </c>
      <c r="AA156" s="81"/>
      <c r="AB156" s="81"/>
    </row>
    <row r="157" spans="2:28" hidden="1">
      <c r="B157" s="468"/>
      <c r="C157" s="468"/>
      <c r="D157" s="468"/>
      <c r="E157" s="468"/>
      <c r="F157" s="468"/>
      <c r="G157" s="468"/>
      <c r="H157" s="468"/>
      <c r="I157" s="126"/>
      <c r="J157" s="468"/>
      <c r="L157" s="47"/>
      <c r="M157" s="47"/>
      <c r="N157" s="81"/>
      <c r="O157" s="81"/>
      <c r="P157" s="81"/>
      <c r="Q157" s="81"/>
      <c r="R157" s="81"/>
      <c r="S157" s="81"/>
      <c r="T157" s="81"/>
      <c r="U157" s="34"/>
      <c r="W157" s="34"/>
      <c r="X157" s="34"/>
      <c r="Y157" s="34"/>
      <c r="Z157" s="34"/>
      <c r="AA157" s="34"/>
      <c r="AB157" s="34"/>
    </row>
    <row r="158" spans="2:28" hidden="1">
      <c r="B158" s="468" t="s">
        <v>189</v>
      </c>
      <c r="C158" s="468" t="s">
        <v>190</v>
      </c>
      <c r="D158" s="468" t="s">
        <v>190</v>
      </c>
      <c r="E158" s="468" t="s">
        <v>282</v>
      </c>
      <c r="F158" s="468"/>
      <c r="G158" s="468"/>
      <c r="H158" s="468"/>
      <c r="I158" s="468"/>
      <c r="J158" s="468" t="str">
        <f t="shared" ref="J158:J189" si="114">B158&amp;"_"&amp;C158&amp;"_"&amp;D158&amp;"_"&amp;E158&amp;"_"&amp;I158</f>
        <v>lending_paylater_paylater_BEG_</v>
      </c>
      <c r="K158" t="s">
        <v>283</v>
      </c>
      <c r="L158" s="1048" t="s">
        <v>284</v>
      </c>
    </row>
    <row r="159" spans="2:28" ht="15" hidden="1" customHeight="1">
      <c r="B159" s="468" t="s">
        <v>189</v>
      </c>
      <c r="C159" s="468" t="s">
        <v>190</v>
      </c>
      <c r="D159" s="468" t="s">
        <v>190</v>
      </c>
      <c r="E159" s="468" t="s">
        <v>282</v>
      </c>
      <c r="F159" s="468"/>
      <c r="G159" s="468"/>
      <c r="H159" s="468"/>
      <c r="I159" s="126" t="s">
        <v>239</v>
      </c>
      <c r="J159" s="468" t="str">
        <f t="shared" si="114"/>
        <v>lending_paylater_paylater_BEG_new_account</v>
      </c>
      <c r="K159" t="s">
        <v>283</v>
      </c>
      <c r="L159" s="1052" t="s">
        <v>193</v>
      </c>
      <c r="N159">
        <v>1139</v>
      </c>
      <c r="O159" s="89">
        <v>1980</v>
      </c>
      <c r="P159">
        <v>1354</v>
      </c>
      <c r="Q159">
        <v>917</v>
      </c>
      <c r="R159" s="7">
        <v>1344</v>
      </c>
      <c r="S159">
        <v>1542</v>
      </c>
      <c r="T159" s="7">
        <v>2065</v>
      </c>
      <c r="U159">
        <v>1914</v>
      </c>
      <c r="V159" s="7">
        <v>1866</v>
      </c>
      <c r="W159" s="7">
        <v>1741</v>
      </c>
      <c r="X159" s="7">
        <v>1832</v>
      </c>
      <c r="Y159" s="7">
        <v>2116</v>
      </c>
      <c r="Z159" s="7">
        <v>2215</v>
      </c>
      <c r="AA159" s="89">
        <v>4216</v>
      </c>
      <c r="AB159" s="89"/>
    </row>
    <row r="160" spans="2:28" ht="15" hidden="1" customHeight="1">
      <c r="B160" s="468" t="s">
        <v>189</v>
      </c>
      <c r="C160" s="468" t="s">
        <v>190</v>
      </c>
      <c r="D160" s="468" t="s">
        <v>190</v>
      </c>
      <c r="E160" s="468" t="s">
        <v>282</v>
      </c>
      <c r="F160" s="468"/>
      <c r="G160" s="468"/>
      <c r="H160" s="468"/>
      <c r="I160" s="126" t="s">
        <v>240</v>
      </c>
      <c r="J160" s="468" t="str">
        <f t="shared" si="114"/>
        <v>lending_paylater_paylater_BEG_accum_account</v>
      </c>
      <c r="K160" t="s">
        <v>283</v>
      </c>
      <c r="L160" s="1052" t="s">
        <v>194</v>
      </c>
      <c r="N160" s="34">
        <v>4185</v>
      </c>
      <c r="O160" s="34">
        <v>6165</v>
      </c>
      <c r="P160" s="34">
        <f t="shared" ref="P160:U160" si="115">O160+P159</f>
        <v>7519</v>
      </c>
      <c r="Q160" s="34">
        <f t="shared" si="115"/>
        <v>8436</v>
      </c>
      <c r="R160" s="7">
        <f t="shared" si="115"/>
        <v>9780</v>
      </c>
      <c r="S160" s="7">
        <f t="shared" si="115"/>
        <v>11322</v>
      </c>
      <c r="T160" s="7">
        <f t="shared" si="115"/>
        <v>13387</v>
      </c>
      <c r="U160" s="34">
        <f t="shared" si="115"/>
        <v>15301</v>
      </c>
      <c r="V160" s="34">
        <f t="shared" ref="V160:AA160" si="116">U160+V159</f>
        <v>17167</v>
      </c>
      <c r="W160" s="34">
        <f t="shared" si="116"/>
        <v>18908</v>
      </c>
      <c r="X160" s="34">
        <f t="shared" si="116"/>
        <v>20740</v>
      </c>
      <c r="Y160" s="34">
        <f t="shared" si="116"/>
        <v>22856</v>
      </c>
      <c r="Z160" s="34">
        <f t="shared" si="116"/>
        <v>25071</v>
      </c>
      <c r="AA160" s="34">
        <f t="shared" si="116"/>
        <v>29287</v>
      </c>
      <c r="AB160" s="34"/>
    </row>
    <row r="161" spans="2:28" ht="15" hidden="1" customHeight="1">
      <c r="B161" s="468" t="s">
        <v>189</v>
      </c>
      <c r="C161" s="468" t="s">
        <v>190</v>
      </c>
      <c r="D161" s="468" t="s">
        <v>190</v>
      </c>
      <c r="E161" s="468" t="s">
        <v>282</v>
      </c>
      <c r="F161" s="468"/>
      <c r="G161" s="468"/>
      <c r="H161" s="468"/>
      <c r="I161" s="126" t="s">
        <v>241</v>
      </c>
      <c r="J161" s="468" t="str">
        <f t="shared" si="114"/>
        <v>lending_paylater_paylater_BEG_active_account</v>
      </c>
      <c r="K161" t="s">
        <v>283</v>
      </c>
      <c r="L161" s="1052" t="s">
        <v>195</v>
      </c>
      <c r="N161" s="7">
        <v>1806</v>
      </c>
      <c r="O161" s="89">
        <v>3528</v>
      </c>
      <c r="P161">
        <v>4085</v>
      </c>
      <c r="Q161">
        <v>4364</v>
      </c>
      <c r="R161" s="7">
        <v>6741</v>
      </c>
      <c r="S161">
        <v>5609</v>
      </c>
      <c r="T161" s="7">
        <v>6803</v>
      </c>
      <c r="U161">
        <v>7542</v>
      </c>
      <c r="V161" s="7">
        <v>8354</v>
      </c>
      <c r="W161" s="7">
        <v>8582</v>
      </c>
      <c r="X161" s="7">
        <v>9232</v>
      </c>
      <c r="Y161" s="7">
        <v>9407</v>
      </c>
      <c r="Z161" s="7">
        <v>10023</v>
      </c>
      <c r="AA161" s="89">
        <v>12277</v>
      </c>
      <c r="AB161" s="89"/>
    </row>
    <row r="162" spans="2:28" ht="15" hidden="1" customHeight="1">
      <c r="B162" s="468" t="s">
        <v>189</v>
      </c>
      <c r="C162" s="468" t="s">
        <v>190</v>
      </c>
      <c r="D162" s="468" t="s">
        <v>190</v>
      </c>
      <c r="E162" s="468" t="s">
        <v>282</v>
      </c>
      <c r="F162" s="468"/>
      <c r="G162" s="468"/>
      <c r="H162" s="468"/>
      <c r="I162" s="1050"/>
      <c r="J162" s="468" t="str">
        <f t="shared" si="114"/>
        <v>lending_paylater_paylater_BEG_</v>
      </c>
      <c r="K162" t="s">
        <v>283</v>
      </c>
      <c r="L162" s="1052" t="s">
        <v>196</v>
      </c>
      <c r="N162" s="1134">
        <f t="shared" ref="N162:U162" si="117">N161/N160</f>
        <v>0.43154121863799283</v>
      </c>
      <c r="O162" s="1134">
        <f t="shared" si="117"/>
        <v>0.57226277372262768</v>
      </c>
      <c r="P162" s="1134">
        <f t="shared" si="117"/>
        <v>0.54329033116105863</v>
      </c>
      <c r="Q162" s="1134">
        <f t="shared" si="117"/>
        <v>0.51730678046467515</v>
      </c>
      <c r="R162" s="1134">
        <f t="shared" si="117"/>
        <v>0.68926380368098161</v>
      </c>
      <c r="S162" s="1134">
        <f t="shared" si="117"/>
        <v>0.49540717187776012</v>
      </c>
      <c r="T162" s="1134">
        <f t="shared" si="117"/>
        <v>0.50817957720176288</v>
      </c>
      <c r="U162" s="1134">
        <f t="shared" si="117"/>
        <v>0.4929089601986798</v>
      </c>
      <c r="V162" s="1134">
        <f t="shared" ref="V162:AA162" si="118">V161/V160</f>
        <v>0.48663132754703792</v>
      </c>
      <c r="W162" s="1134">
        <f t="shared" si="118"/>
        <v>0.4538819547281574</v>
      </c>
      <c r="X162" s="1134">
        <f t="shared" si="118"/>
        <v>0.44513018322082931</v>
      </c>
      <c r="Y162" s="1134">
        <f t="shared" si="118"/>
        <v>0.41157682884144209</v>
      </c>
      <c r="Z162" s="1134">
        <f t="shared" si="118"/>
        <v>0.39978461170276414</v>
      </c>
      <c r="AA162" s="1134">
        <f t="shared" si="118"/>
        <v>0.41919623040939669</v>
      </c>
      <c r="AB162" s="1134"/>
    </row>
    <row r="163" spans="2:28" ht="15" hidden="1" customHeight="1">
      <c r="B163" s="468" t="s">
        <v>189</v>
      </c>
      <c r="C163" s="468" t="s">
        <v>190</v>
      </c>
      <c r="D163" s="468" t="s">
        <v>190</v>
      </c>
      <c r="E163" s="468" t="s">
        <v>282</v>
      </c>
      <c r="F163" s="468"/>
      <c r="G163" s="468"/>
      <c r="H163" s="468"/>
      <c r="I163" s="126"/>
      <c r="J163" s="468" t="str">
        <f t="shared" si="114"/>
        <v>lending_paylater_paylater_BEG_</v>
      </c>
      <c r="K163" t="s">
        <v>283</v>
      </c>
      <c r="L163" s="1052" t="s">
        <v>197</v>
      </c>
      <c r="N163" s="1135">
        <f t="shared" ref="N163:U163" si="119">N165/N160</f>
        <v>583034.6475507766</v>
      </c>
      <c r="O163" s="1135">
        <f t="shared" si="119"/>
        <v>722141.11922141118</v>
      </c>
      <c r="P163" s="1135">
        <f t="shared" si="119"/>
        <v>689054.39553132071</v>
      </c>
      <c r="Q163" s="1135">
        <f t="shared" si="119"/>
        <v>657171.37197724043</v>
      </c>
      <c r="R163" s="1135">
        <f t="shared" si="119"/>
        <v>582038.59182004095</v>
      </c>
      <c r="S163" s="1135">
        <f t="shared" si="119"/>
        <v>495018.0622681505</v>
      </c>
      <c r="T163" s="1135">
        <f t="shared" si="119"/>
        <v>533798.39986554114</v>
      </c>
      <c r="U163" s="1135">
        <f t="shared" si="119"/>
        <v>506194.9349715705</v>
      </c>
      <c r="V163" s="1135">
        <f t="shared" ref="V163:AA163" si="120">V165/V160</f>
        <v>474294.66493854485</v>
      </c>
      <c r="W163" s="1135">
        <f t="shared" si="120"/>
        <v>412590.18240956211</v>
      </c>
      <c r="X163" s="1135">
        <f t="shared" si="120"/>
        <v>382169.78052073286</v>
      </c>
      <c r="Y163" s="1135">
        <f t="shared" si="120"/>
        <v>439314.90400770039</v>
      </c>
      <c r="Z163" s="1135">
        <f t="shared" si="120"/>
        <v>378708.06908380199</v>
      </c>
      <c r="AA163" s="1135">
        <f t="shared" si="120"/>
        <v>382804.42763000651</v>
      </c>
      <c r="AB163" s="1135"/>
    </row>
    <row r="164" spans="2:28" ht="15" hidden="1" customHeight="1">
      <c r="B164" s="468" t="s">
        <v>189</v>
      </c>
      <c r="C164" s="468" t="s">
        <v>190</v>
      </c>
      <c r="D164" s="468" t="s">
        <v>190</v>
      </c>
      <c r="E164" s="468" t="s">
        <v>282</v>
      </c>
      <c r="F164" s="468"/>
      <c r="G164" s="468"/>
      <c r="H164" s="468"/>
      <c r="I164" s="1050"/>
      <c r="J164" s="468" t="str">
        <f t="shared" si="114"/>
        <v>lending_paylater_paylater_BEG_</v>
      </c>
      <c r="K164" t="s">
        <v>283</v>
      </c>
      <c r="L164" s="1053" t="s">
        <v>198</v>
      </c>
      <c r="N164" s="5">
        <f t="shared" ref="N164:T164" si="121">N165/N161</f>
        <v>1351052.0487264674</v>
      </c>
      <c r="O164" s="5">
        <f t="shared" si="121"/>
        <v>1261904.7619047619</v>
      </c>
      <c r="P164" s="5">
        <f t="shared" si="121"/>
        <v>1268298.6536107711</v>
      </c>
      <c r="Q164" s="5">
        <f t="shared" si="121"/>
        <v>1270370.6906507791</v>
      </c>
      <c r="R164" s="5">
        <f t="shared" si="121"/>
        <v>844435.16214211541</v>
      </c>
      <c r="S164" s="5">
        <f t="shared" si="121"/>
        <v>999214.56605455512</v>
      </c>
      <c r="T164" s="5">
        <f t="shared" si="121"/>
        <v>1050412.9323827722</v>
      </c>
      <c r="U164" s="5">
        <f t="shared" ref="U164" si="122">U165/U161</f>
        <v>1026954.2163882259</v>
      </c>
      <c r="V164" s="5">
        <f t="shared" ref="V164:AA164" si="123">V165/V161</f>
        <v>974648.85240603308</v>
      </c>
      <c r="W164" s="5">
        <f t="shared" si="123"/>
        <v>909025.30517361918</v>
      </c>
      <c r="X164" s="5">
        <f t="shared" si="123"/>
        <v>858557.32755632582</v>
      </c>
      <c r="Y164" s="5">
        <f t="shared" si="123"/>
        <v>1067394.6471776336</v>
      </c>
      <c r="Z164" s="5">
        <f t="shared" si="123"/>
        <v>947280.25541255111</v>
      </c>
      <c r="AA164" s="5">
        <f t="shared" si="123"/>
        <v>913186.71271483263</v>
      </c>
      <c r="AB164" s="5"/>
    </row>
    <row r="165" spans="2:28" ht="15" customHeight="1">
      <c r="B165" s="468" t="s">
        <v>189</v>
      </c>
      <c r="C165" s="468" t="s">
        <v>190</v>
      </c>
      <c r="D165" s="468" t="s">
        <v>190</v>
      </c>
      <c r="E165" s="468" t="s">
        <v>282</v>
      </c>
      <c r="F165" s="468" t="str">
        <f>E165&amp;"PL"</f>
        <v>BEGPL</v>
      </c>
      <c r="G165" s="468" t="str">
        <f>L165&amp;F165</f>
        <v>SpendingBEGPL</v>
      </c>
      <c r="H165" s="468" t="str">
        <f>L165&amp;E165</f>
        <v>SpendingBEG</v>
      </c>
      <c r="I165" s="126" t="s">
        <v>242</v>
      </c>
      <c r="J165" s="468" t="str">
        <f t="shared" si="114"/>
        <v>lending_paylater_paylater_BEG_disburse/spend</v>
      </c>
      <c r="K165" t="s">
        <v>283</v>
      </c>
      <c r="L165" s="1052" t="s">
        <v>199</v>
      </c>
      <c r="M165" s="7">
        <f>SUM(P165:AA165)</f>
        <v>91529515150</v>
      </c>
      <c r="N165" s="7">
        <v>2440000000</v>
      </c>
      <c r="O165" s="89">
        <v>4452000000</v>
      </c>
      <c r="P165" s="89">
        <v>5181000000</v>
      </c>
      <c r="Q165" s="7">
        <v>5543897694</v>
      </c>
      <c r="R165" s="7">
        <v>5692337428</v>
      </c>
      <c r="S165" s="7">
        <v>5604594501</v>
      </c>
      <c r="T165" s="7">
        <v>7145959179</v>
      </c>
      <c r="U165" s="7">
        <v>7745288700</v>
      </c>
      <c r="V165" s="7">
        <f>8142.216513*10^6</f>
        <v>8142216513</v>
      </c>
      <c r="W165" s="7">
        <f>7801.255169*10^6</f>
        <v>7801255169</v>
      </c>
      <c r="X165" s="7">
        <f>7926.201248*10^6</f>
        <v>7926201248</v>
      </c>
      <c r="Y165" s="7">
        <f>10040.981446*10^6</f>
        <v>10040981446</v>
      </c>
      <c r="Z165" s="7">
        <f>9494.59*10^6</f>
        <v>9494590000</v>
      </c>
      <c r="AA165" s="7">
        <f>11211.193272*10^6</f>
        <v>11211193272</v>
      </c>
      <c r="AB165" s="7">
        <f>SUM(P165:AA165)</f>
        <v>91529515150</v>
      </c>
    </row>
    <row r="166" spans="2:28" ht="15" hidden="1" customHeight="1">
      <c r="B166" s="468" t="s">
        <v>189</v>
      </c>
      <c r="C166" s="468" t="s">
        <v>190</v>
      </c>
      <c r="D166" s="468" t="s">
        <v>190</v>
      </c>
      <c r="E166" s="468" t="s">
        <v>282</v>
      </c>
      <c r="F166" s="468"/>
      <c r="G166" s="468"/>
      <c r="H166" s="468"/>
      <c r="I166" s="126" t="s">
        <v>243</v>
      </c>
      <c r="J166" s="468" t="str">
        <f t="shared" si="114"/>
        <v>lending_paylater_paylater_BEG_ENR</v>
      </c>
      <c r="K166" t="s">
        <v>283</v>
      </c>
      <c r="L166" s="1052" t="s">
        <v>200</v>
      </c>
      <c r="N166" s="7">
        <v>2638953265</v>
      </c>
      <c r="O166" s="7">
        <v>4728384413</v>
      </c>
      <c r="P166" s="7">
        <v>6081325857</v>
      </c>
      <c r="Q166">
        <v>6925263872</v>
      </c>
      <c r="R166" s="7">
        <v>7952342919</v>
      </c>
      <c r="S166" s="7">
        <v>9384087348</v>
      </c>
      <c r="T166" s="7">
        <v>11375268136</v>
      </c>
      <c r="U166" s="7">
        <v>13217594611</v>
      </c>
      <c r="V166" s="7">
        <v>15461800031</v>
      </c>
      <c r="W166" s="7">
        <v>17508750374</v>
      </c>
      <c r="X166" s="34">
        <v>19473181026</v>
      </c>
      <c r="Y166" s="7">
        <v>21010523131</v>
      </c>
      <c r="Z166" s="7">
        <v>22319288243</v>
      </c>
      <c r="AA166" s="7">
        <v>25487930310</v>
      </c>
      <c r="AB166" s="7"/>
    </row>
    <row r="167" spans="2:28" ht="15" hidden="1" customHeight="1">
      <c r="B167" s="468" t="s">
        <v>189</v>
      </c>
      <c r="C167" s="468" t="s">
        <v>190</v>
      </c>
      <c r="D167" s="468" t="s">
        <v>190</v>
      </c>
      <c r="E167" s="468" t="s">
        <v>282</v>
      </c>
      <c r="F167" s="468"/>
      <c r="G167" s="468"/>
      <c r="H167" s="468"/>
      <c r="I167" s="126" t="s">
        <v>244</v>
      </c>
      <c r="J167" s="468" t="str">
        <f t="shared" si="114"/>
        <v>lending_paylater_paylater_BEG_nonEMI_ENR</v>
      </c>
      <c r="K167" t="s">
        <v>283</v>
      </c>
      <c r="L167" s="1052" t="s">
        <v>201</v>
      </c>
      <c r="N167" s="7"/>
      <c r="O167" s="7"/>
      <c r="P167" s="7"/>
      <c r="R167" s="7"/>
      <c r="S167" s="7"/>
      <c r="T167" s="7"/>
      <c r="U167" s="7">
        <f t="shared" ref="U167:AA167" si="124">U166-U168</f>
        <v>13217594611</v>
      </c>
      <c r="V167" s="7">
        <f t="shared" si="124"/>
        <v>15461800031</v>
      </c>
      <c r="W167" s="7">
        <f t="shared" si="124"/>
        <v>17508750374</v>
      </c>
      <c r="X167" s="7">
        <f t="shared" si="124"/>
        <v>19473181026</v>
      </c>
      <c r="Y167" s="7">
        <f t="shared" si="124"/>
        <v>21010523131</v>
      </c>
      <c r="Z167" s="7">
        <f t="shared" si="124"/>
        <v>22319288243</v>
      </c>
      <c r="AA167" s="7">
        <f t="shared" si="124"/>
        <v>25487930310</v>
      </c>
      <c r="AB167" s="7"/>
    </row>
    <row r="168" spans="2:28" ht="15" hidden="1" customHeight="1">
      <c r="B168" s="468" t="s">
        <v>189</v>
      </c>
      <c r="C168" s="468" t="s">
        <v>190</v>
      </c>
      <c r="D168" s="468" t="s">
        <v>190</v>
      </c>
      <c r="E168" s="468" t="s">
        <v>282</v>
      </c>
      <c r="F168" s="468"/>
      <c r="G168" s="468"/>
      <c r="H168" s="468"/>
      <c r="I168" s="126" t="s">
        <v>245</v>
      </c>
      <c r="J168" s="468" t="str">
        <f t="shared" si="114"/>
        <v>lending_paylater_paylater_BEG_EMI_ENR</v>
      </c>
      <c r="K168" t="s">
        <v>283</v>
      </c>
      <c r="L168" s="1052" t="s">
        <v>202</v>
      </c>
      <c r="N168" s="7"/>
      <c r="O168" s="7"/>
      <c r="P168" s="7"/>
      <c r="R168" s="7"/>
      <c r="S168" s="7"/>
      <c r="T168" s="7"/>
      <c r="U168" s="7"/>
      <c r="W168" s="7"/>
      <c r="X168" s="34"/>
      <c r="Y168" s="7"/>
      <c r="Z168" s="7"/>
      <c r="AA168" s="7"/>
      <c r="AB168" s="7"/>
    </row>
    <row r="169" spans="2:28" ht="15" hidden="1" customHeight="1">
      <c r="B169" s="468" t="s">
        <v>189</v>
      </c>
      <c r="C169" s="468" t="s">
        <v>190</v>
      </c>
      <c r="D169" s="468" t="s">
        <v>190</v>
      </c>
      <c r="E169" s="468" t="s">
        <v>282</v>
      </c>
      <c r="F169" s="468"/>
      <c r="G169" s="468"/>
      <c r="H169" s="468"/>
      <c r="I169" s="126" t="s">
        <v>246</v>
      </c>
      <c r="J169" s="468" t="str">
        <f t="shared" si="114"/>
        <v>lending_paylater_paylater_BEG_revolving_ENR</v>
      </c>
      <c r="K169" t="s">
        <v>283</v>
      </c>
      <c r="L169" s="1052" t="s">
        <v>203</v>
      </c>
      <c r="N169" s="7">
        <v>549100000</v>
      </c>
      <c r="O169" s="89">
        <v>1062000000</v>
      </c>
      <c r="P169" s="7">
        <f>1486.083786*10^6</f>
        <v>1486083786</v>
      </c>
      <c r="Q169" s="7">
        <v>2120613158</v>
      </c>
      <c r="R169" s="7">
        <v>2653866441</v>
      </c>
      <c r="S169" s="7">
        <v>3996839680</v>
      </c>
      <c r="T169" s="7">
        <v>4715595576</v>
      </c>
      <c r="U169" s="7">
        <v>5656858758</v>
      </c>
      <c r="V169" s="7">
        <f>7759.192645*10^6</f>
        <v>7759192645</v>
      </c>
      <c r="W169" s="7">
        <f>10531.08326*10^6</f>
        <v>10531083260</v>
      </c>
      <c r="X169" s="7">
        <f>12502.625335*10^6</f>
        <v>12502625335</v>
      </c>
      <c r="Y169" s="7">
        <f>12686.895389*10^6</f>
        <v>12686895389</v>
      </c>
      <c r="Z169" s="7">
        <f>13885.374995*10^6</f>
        <v>13885374995</v>
      </c>
      <c r="AA169" s="89">
        <f>15828.746063*10^6</f>
        <v>15828746063</v>
      </c>
      <c r="AB169" s="89"/>
    </row>
    <row r="170" spans="2:28" ht="15" hidden="1" customHeight="1">
      <c r="B170" s="468" t="s">
        <v>189</v>
      </c>
      <c r="C170" s="468" t="s">
        <v>190</v>
      </c>
      <c r="D170" s="468" t="s">
        <v>190</v>
      </c>
      <c r="E170" s="468" t="s">
        <v>282</v>
      </c>
      <c r="F170" s="468"/>
      <c r="G170" s="468"/>
      <c r="H170" s="468"/>
      <c r="I170" s="126" t="s">
        <v>247</v>
      </c>
      <c r="J170" s="468" t="str">
        <f t="shared" si="114"/>
        <v>lending_paylater_paylater_BEG_overdue_balance_10d</v>
      </c>
      <c r="K170" t="s">
        <v>283</v>
      </c>
      <c r="L170" s="1052" t="s">
        <v>204</v>
      </c>
      <c r="N170" s="7">
        <f t="shared" ref="N170:S170" si="125">N171+N172</f>
        <v>573192028</v>
      </c>
      <c r="O170" s="7">
        <f t="shared" si="125"/>
        <v>1037215857</v>
      </c>
      <c r="P170" s="7">
        <f t="shared" si="125"/>
        <v>1423450041</v>
      </c>
      <c r="Q170" s="7">
        <f t="shared" si="125"/>
        <v>2080855820</v>
      </c>
      <c r="R170" s="7">
        <f t="shared" si="125"/>
        <v>2857687061</v>
      </c>
      <c r="S170" s="7">
        <f t="shared" si="125"/>
        <v>3117981009</v>
      </c>
      <c r="T170" s="7">
        <f t="shared" ref="T170:AA170" si="126">T171+T172</f>
        <v>3717568147</v>
      </c>
      <c r="U170" s="7">
        <f t="shared" si="126"/>
        <v>4617751425</v>
      </c>
      <c r="V170" s="7">
        <f t="shared" si="126"/>
        <v>5227351891</v>
      </c>
      <c r="W170" s="7">
        <f t="shared" si="126"/>
        <v>5892636563</v>
      </c>
      <c r="X170" s="7">
        <f t="shared" si="126"/>
        <v>7285903722</v>
      </c>
      <c r="Y170" s="7">
        <f t="shared" si="126"/>
        <v>6008814334</v>
      </c>
      <c r="Z170" s="7">
        <f t="shared" si="126"/>
        <v>5801886174</v>
      </c>
      <c r="AA170" s="7">
        <f t="shared" si="126"/>
        <v>6825753289</v>
      </c>
      <c r="AB170" s="7"/>
    </row>
    <row r="171" spans="2:28" ht="15" hidden="1" customHeight="1">
      <c r="B171" s="468" t="s">
        <v>189</v>
      </c>
      <c r="C171" s="468" t="s">
        <v>190</v>
      </c>
      <c r="D171" s="468" t="s">
        <v>190</v>
      </c>
      <c r="E171" s="468" t="s">
        <v>282</v>
      </c>
      <c r="F171" s="468"/>
      <c r="G171" s="468"/>
      <c r="H171" s="468"/>
      <c r="I171" s="1050"/>
      <c r="J171" s="468" t="str">
        <f t="shared" si="114"/>
        <v>lending_paylater_paylater_BEG_</v>
      </c>
      <c r="K171" t="s">
        <v>283</v>
      </c>
      <c r="L171" s="1052" t="s">
        <v>205</v>
      </c>
      <c r="N171" s="7">
        <v>497192505</v>
      </c>
      <c r="O171" s="89">
        <v>800696349</v>
      </c>
      <c r="P171" s="7">
        <v>1076492979</v>
      </c>
      <c r="Q171" s="7">
        <v>1537922201</v>
      </c>
      <c r="R171" s="7">
        <v>1909652671</v>
      </c>
      <c r="S171" s="7">
        <v>1852698103</v>
      </c>
      <c r="T171" s="7">
        <v>1849281945</v>
      </c>
      <c r="U171" s="7">
        <v>2100780204</v>
      </c>
      <c r="V171" s="7">
        <v>2456758953</v>
      </c>
      <c r="W171" s="7">
        <v>2600515323</v>
      </c>
      <c r="X171" s="7">
        <v>3159289500</v>
      </c>
      <c r="Y171" s="7">
        <v>3433946783</v>
      </c>
      <c r="Z171" s="7">
        <v>3851418805</v>
      </c>
      <c r="AA171" s="89">
        <v>4234112246</v>
      </c>
      <c r="AB171" s="89"/>
    </row>
    <row r="172" spans="2:28" ht="15" hidden="1" customHeight="1">
      <c r="B172" s="468" t="s">
        <v>189</v>
      </c>
      <c r="C172" s="468" t="s">
        <v>190</v>
      </c>
      <c r="D172" s="468" t="s">
        <v>190</v>
      </c>
      <c r="E172" s="468" t="s">
        <v>282</v>
      </c>
      <c r="F172" s="468"/>
      <c r="G172" s="468"/>
      <c r="H172" s="468"/>
      <c r="I172" s="126" t="s">
        <v>248</v>
      </c>
      <c r="J172" s="468" t="str">
        <f t="shared" si="114"/>
        <v>lending_paylater_paylater_BEG_overdue_balance_90d</v>
      </c>
      <c r="K172" t="s">
        <v>283</v>
      </c>
      <c r="L172" s="1052" t="s">
        <v>206</v>
      </c>
      <c r="N172" s="7">
        <v>75999523</v>
      </c>
      <c r="O172" s="89">
        <v>236519508</v>
      </c>
      <c r="P172" s="7">
        <v>346957062</v>
      </c>
      <c r="Q172">
        <v>542933619</v>
      </c>
      <c r="R172" s="7">
        <v>948034390</v>
      </c>
      <c r="S172" s="7">
        <v>1265282906</v>
      </c>
      <c r="T172" s="7">
        <v>1868286202</v>
      </c>
      <c r="U172" s="7">
        <v>2516971221</v>
      </c>
      <c r="V172" s="7">
        <v>2770592938</v>
      </c>
      <c r="W172" s="7">
        <v>3292121240</v>
      </c>
      <c r="X172" s="7">
        <v>4126614222</v>
      </c>
      <c r="Y172" s="7">
        <v>2574867551</v>
      </c>
      <c r="Z172" s="7">
        <v>1950467369</v>
      </c>
      <c r="AA172" s="89">
        <v>2591641043</v>
      </c>
      <c r="AB172" s="89"/>
    </row>
    <row r="173" spans="2:28" ht="15" hidden="1" customHeight="1">
      <c r="B173" s="468" t="s">
        <v>189</v>
      </c>
      <c r="C173" s="468" t="s">
        <v>190</v>
      </c>
      <c r="D173" s="468" t="s">
        <v>190</v>
      </c>
      <c r="E173" s="468" t="s">
        <v>282</v>
      </c>
      <c r="F173" s="468"/>
      <c r="G173" s="468"/>
      <c r="H173" s="468"/>
      <c r="I173" s="1059"/>
      <c r="J173" s="468" t="str">
        <f t="shared" si="114"/>
        <v>lending_paylater_paylater_BEG_</v>
      </c>
      <c r="K173" t="s">
        <v>283</v>
      </c>
      <c r="L173" s="1052" t="s">
        <v>207</v>
      </c>
      <c r="N173" s="7"/>
      <c r="O173" s="89"/>
      <c r="P173" s="7"/>
      <c r="R173" s="7">
        <v>607985401</v>
      </c>
      <c r="S173">
        <v>1022539779</v>
      </c>
      <c r="T173">
        <v>1539799611</v>
      </c>
      <c r="U173" s="7">
        <v>2017294720</v>
      </c>
      <c r="V173" s="7">
        <v>2450555190</v>
      </c>
      <c r="W173" s="7">
        <v>2913251001</v>
      </c>
      <c r="X173" s="7">
        <v>3378326633</v>
      </c>
      <c r="Y173" s="7">
        <v>1974429495</v>
      </c>
      <c r="Z173" s="7">
        <v>1023611377</v>
      </c>
      <c r="AA173" s="89">
        <v>1137814223</v>
      </c>
      <c r="AB173" s="89"/>
    </row>
    <row r="174" spans="2:28" ht="15" hidden="1" customHeight="1">
      <c r="B174" s="468" t="s">
        <v>189</v>
      </c>
      <c r="C174" s="468" t="s">
        <v>190</v>
      </c>
      <c r="D174" s="468" t="s">
        <v>190</v>
      </c>
      <c r="E174" s="468" t="s">
        <v>282</v>
      </c>
      <c r="F174" s="468"/>
      <c r="G174" s="468"/>
      <c r="H174" s="468"/>
      <c r="I174" s="126" t="s">
        <v>213</v>
      </c>
      <c r="J174" s="468" t="str">
        <f t="shared" si="114"/>
        <v>lending_paylater_paylater_BEG_npl</v>
      </c>
      <c r="K174" t="s">
        <v>283</v>
      </c>
      <c r="L174" s="1052" t="s">
        <v>249</v>
      </c>
      <c r="N174" s="42">
        <f>N172/N166</f>
        <v>2.879911668310655E-2</v>
      </c>
      <c r="O174" s="42">
        <f t="shared" ref="O174:U174" si="127">O172/O166</f>
        <v>5.0021209643979936E-2</v>
      </c>
      <c r="P174" s="42">
        <f t="shared" si="127"/>
        <v>5.7052864812470121E-2</v>
      </c>
      <c r="Q174" s="42">
        <f t="shared" si="127"/>
        <v>7.8398979307513675E-2</v>
      </c>
      <c r="R174" s="42">
        <f t="shared" si="127"/>
        <v>0.11921447548934604</v>
      </c>
      <c r="S174" s="42">
        <f t="shared" si="127"/>
        <v>0.13483281421817389</v>
      </c>
      <c r="T174" s="42">
        <f t="shared" si="127"/>
        <v>0.16424106927970528</v>
      </c>
      <c r="U174" s="42">
        <f t="shared" si="127"/>
        <v>0.19042581461117866</v>
      </c>
      <c r="V174" s="42">
        <f t="shared" ref="V174:AA174" si="128">V172/V166</f>
        <v>0.17918954665337308</v>
      </c>
      <c r="W174" s="42">
        <f t="shared" si="128"/>
        <v>0.188027196097827</v>
      </c>
      <c r="X174" s="42">
        <f t="shared" si="128"/>
        <v>0.21191269246099392</v>
      </c>
      <c r="Y174" s="42">
        <f t="shared" si="128"/>
        <v>0.1225513298715018</v>
      </c>
      <c r="Z174" s="42">
        <f t="shared" si="128"/>
        <v>8.7389317605668954E-2</v>
      </c>
      <c r="AA174" s="42">
        <f t="shared" si="128"/>
        <v>0.10168110990099455</v>
      </c>
      <c r="AB174" s="42"/>
    </row>
    <row r="175" spans="2:28" ht="15" hidden="1" customHeight="1">
      <c r="B175" s="468" t="s">
        <v>189</v>
      </c>
      <c r="C175" s="468" t="s">
        <v>190</v>
      </c>
      <c r="D175" s="468" t="s">
        <v>190</v>
      </c>
      <c r="E175" s="468" t="s">
        <v>282</v>
      </c>
      <c r="F175" s="468"/>
      <c r="G175" s="468"/>
      <c r="H175" s="468"/>
      <c r="I175" s="126" t="s">
        <v>250</v>
      </c>
      <c r="J175" s="468" t="str">
        <f t="shared" si="114"/>
        <v>lending_paylater_paylater_BEG_overdue_account_10d</v>
      </c>
      <c r="K175" t="s">
        <v>283</v>
      </c>
      <c r="L175" s="1052" t="s">
        <v>208</v>
      </c>
      <c r="N175">
        <v>447</v>
      </c>
      <c r="O175">
        <v>557</v>
      </c>
      <c r="P175">
        <v>1011</v>
      </c>
      <c r="Q175">
        <v>1029</v>
      </c>
      <c r="R175">
        <v>1453</v>
      </c>
      <c r="S175" s="1141"/>
      <c r="T175" s="1141"/>
      <c r="U175" s="1141"/>
      <c r="X175" s="7"/>
    </row>
    <row r="176" spans="2:28" ht="15" hidden="1" customHeight="1">
      <c r="B176" s="468" t="s">
        <v>189</v>
      </c>
      <c r="C176" s="468" t="s">
        <v>190</v>
      </c>
      <c r="D176" s="468" t="s">
        <v>190</v>
      </c>
      <c r="E176" s="468" t="s">
        <v>282</v>
      </c>
      <c r="F176" s="468"/>
      <c r="G176" s="468"/>
      <c r="H176" s="468"/>
      <c r="I176" s="126"/>
      <c r="J176" s="468" t="str">
        <f t="shared" si="114"/>
        <v>lending_paylater_paylater_BEG_</v>
      </c>
      <c r="K176" t="s">
        <v>283</v>
      </c>
      <c r="L176" s="1052" t="s">
        <v>209</v>
      </c>
      <c r="N176">
        <v>44</v>
      </c>
      <c r="O176">
        <v>166</v>
      </c>
      <c r="P176">
        <v>376</v>
      </c>
      <c r="Q176">
        <v>449</v>
      </c>
      <c r="R176">
        <v>833</v>
      </c>
      <c r="S176" s="1141"/>
      <c r="T176" s="1141"/>
      <c r="U176" s="1141"/>
      <c r="X176" s="74"/>
    </row>
    <row r="177" spans="2:28" ht="15" hidden="1" customHeight="1">
      <c r="B177" s="468" t="s">
        <v>189</v>
      </c>
      <c r="C177" s="468" t="s">
        <v>190</v>
      </c>
      <c r="D177" s="468" t="s">
        <v>190</v>
      </c>
      <c r="E177" s="468" t="s">
        <v>282</v>
      </c>
      <c r="F177" s="468"/>
      <c r="G177" s="468"/>
      <c r="H177" s="468"/>
      <c r="I177" s="126" t="s">
        <v>251</v>
      </c>
      <c r="J177" s="468" t="str">
        <f t="shared" si="114"/>
        <v>lending_paylater_paylater_BEG_overdue_account_90d</v>
      </c>
      <c r="K177" t="s">
        <v>283</v>
      </c>
      <c r="L177" s="1052" t="s">
        <v>210</v>
      </c>
      <c r="N177" s="42"/>
      <c r="O177" s="42"/>
      <c r="P177" s="42"/>
      <c r="Q177" s="42"/>
      <c r="R177" s="42"/>
      <c r="S177" s="1143"/>
      <c r="T177" s="1143"/>
      <c r="U177" s="1144"/>
      <c r="X177" s="74"/>
    </row>
    <row r="178" spans="2:28" ht="15" hidden="1" customHeight="1">
      <c r="B178" s="468" t="s">
        <v>189</v>
      </c>
      <c r="C178" s="468" t="s">
        <v>190</v>
      </c>
      <c r="D178" s="468" t="s">
        <v>190</v>
      </c>
      <c r="E178" s="468" t="s">
        <v>282</v>
      </c>
      <c r="F178" s="468"/>
      <c r="G178" s="468"/>
      <c r="H178" s="468"/>
      <c r="I178" s="126" t="s">
        <v>252</v>
      </c>
      <c r="J178" s="468" t="str">
        <f t="shared" si="114"/>
        <v>lending_paylater_paylater_BEG_revenue</v>
      </c>
      <c r="K178" t="s">
        <v>283</v>
      </c>
      <c r="L178" s="85" t="s">
        <v>215</v>
      </c>
      <c r="M178" s="7">
        <f t="shared" ref="M178:M208" si="129">SUM(P178:AA178)</f>
        <v>5702406658</v>
      </c>
      <c r="N178" s="34">
        <f t="shared" ref="N178:T178" si="130">N182+N189+N198</f>
        <v>99789111</v>
      </c>
      <c r="O178" s="34">
        <f t="shared" si="130"/>
        <v>127900281</v>
      </c>
      <c r="P178" s="34">
        <f t="shared" si="130"/>
        <v>223102006</v>
      </c>
      <c r="Q178" s="34">
        <f t="shared" si="130"/>
        <v>258553736</v>
      </c>
      <c r="R178" s="34">
        <f t="shared" si="130"/>
        <v>252132640</v>
      </c>
      <c r="S178" s="34">
        <f t="shared" si="130"/>
        <v>316775038</v>
      </c>
      <c r="T178" s="34">
        <f t="shared" si="130"/>
        <v>359071506</v>
      </c>
      <c r="U178" s="34">
        <f t="shared" ref="U178:AA178" si="131">U182+U189+U198</f>
        <v>429288218</v>
      </c>
      <c r="V178" s="34">
        <f t="shared" si="131"/>
        <v>512686862</v>
      </c>
      <c r="W178" s="34">
        <f t="shared" si="131"/>
        <v>613038037</v>
      </c>
      <c r="X178" s="34">
        <f t="shared" si="131"/>
        <v>671930400</v>
      </c>
      <c r="Y178" s="34">
        <f t="shared" si="131"/>
        <v>691084158</v>
      </c>
      <c r="Z178" s="34">
        <f t="shared" si="131"/>
        <v>779929023</v>
      </c>
      <c r="AA178" s="34">
        <f t="shared" si="131"/>
        <v>594815034</v>
      </c>
      <c r="AB178" s="34"/>
    </row>
    <row r="179" spans="2:28" ht="15" hidden="1" customHeight="1">
      <c r="B179" s="468" t="s">
        <v>189</v>
      </c>
      <c r="C179" s="468" t="s">
        <v>190</v>
      </c>
      <c r="D179" s="468" t="s">
        <v>190</v>
      </c>
      <c r="E179" s="468" t="s">
        <v>282</v>
      </c>
      <c r="F179" s="468"/>
      <c r="G179" s="468"/>
      <c r="H179" s="468"/>
      <c r="I179" s="126" t="s">
        <v>253</v>
      </c>
      <c r="J179" s="468" t="str">
        <f t="shared" si="114"/>
        <v>lending_paylater_paylater_BEG_COGs</v>
      </c>
      <c r="K179" t="s">
        <v>283</v>
      </c>
      <c r="L179" s="85" t="s">
        <v>216</v>
      </c>
      <c r="M179" s="7">
        <f t="shared" si="129"/>
        <v>716537161.04842138</v>
      </c>
      <c r="N179" s="34">
        <f>N188</f>
        <v>7282424</v>
      </c>
      <c r="O179" s="34">
        <f t="shared" ref="O179:T179" si="132">O188</f>
        <v>12931738</v>
      </c>
      <c r="P179" s="34">
        <f t="shared" si="132"/>
        <v>20489752</v>
      </c>
      <c r="Q179" s="34">
        <f t="shared" si="132"/>
        <v>21629222</v>
      </c>
      <c r="R179" s="34">
        <f t="shared" si="132"/>
        <v>27787040.222399805</v>
      </c>
      <c r="S179" s="34">
        <f t="shared" si="132"/>
        <v>29440608.15869996</v>
      </c>
      <c r="T179" s="34">
        <f t="shared" si="132"/>
        <v>38577366.612300068</v>
      </c>
      <c r="U179" s="34">
        <f t="shared" ref="U179:AA179" si="133">U188</f>
        <v>44769404.932300232</v>
      </c>
      <c r="V179" s="34">
        <f t="shared" si="133"/>
        <v>56983717.475600459</v>
      </c>
      <c r="W179" s="34">
        <f t="shared" si="133"/>
        <v>72624452.518723637</v>
      </c>
      <c r="X179" s="34">
        <f t="shared" si="133"/>
        <v>79418504.375600055</v>
      </c>
      <c r="Y179" s="34">
        <f t="shared" si="133"/>
        <v>98068597.409798384</v>
      </c>
      <c r="Z179" s="34">
        <f t="shared" si="133"/>
        <v>98406707.139699206</v>
      </c>
      <c r="AA179" s="34">
        <f t="shared" si="133"/>
        <v>128341788.2032997</v>
      </c>
      <c r="AB179" s="34"/>
    </row>
    <row r="180" spans="2:28" ht="15" customHeight="1">
      <c r="B180" s="468" t="s">
        <v>189</v>
      </c>
      <c r="C180" s="468" t="s">
        <v>190</v>
      </c>
      <c r="D180" s="468" t="s">
        <v>190</v>
      </c>
      <c r="E180" s="468" t="s">
        <v>282</v>
      </c>
      <c r="F180" s="468" t="str">
        <f>E180&amp;"PL"</f>
        <v>BEGPL</v>
      </c>
      <c r="G180" s="468" t="str">
        <f>L180&amp;F180</f>
        <v>TOIBEGPL</v>
      </c>
      <c r="H180" s="468" t="str">
        <f>L180&amp;E180</f>
        <v>TOIBEG</v>
      </c>
      <c r="I180" s="126" t="s">
        <v>217</v>
      </c>
      <c r="J180" s="468" t="str">
        <f t="shared" si="114"/>
        <v>lending_paylater_paylater_BEG_TOI</v>
      </c>
      <c r="K180" t="s">
        <v>283</v>
      </c>
      <c r="L180" s="1051" t="s">
        <v>217</v>
      </c>
      <c r="M180" s="7">
        <f t="shared" si="129"/>
        <v>4985869496.9515781</v>
      </c>
      <c r="N180" s="81">
        <f>N181+N189+N198</f>
        <v>92506687</v>
      </c>
      <c r="O180" s="81">
        <f t="shared" ref="O180:U180" si="134">O181+O189+O198</f>
        <v>114968543</v>
      </c>
      <c r="P180" s="81">
        <f t="shared" si="134"/>
        <v>202612254</v>
      </c>
      <c r="Q180" s="81">
        <f t="shared" si="134"/>
        <v>236924514</v>
      </c>
      <c r="R180" s="81">
        <f t="shared" si="134"/>
        <v>224345599.7776002</v>
      </c>
      <c r="S180" s="81">
        <f t="shared" si="134"/>
        <v>287334429.84130001</v>
      </c>
      <c r="T180" s="81">
        <f t="shared" si="134"/>
        <v>320494139.38769996</v>
      </c>
      <c r="U180" s="81">
        <f t="shared" si="134"/>
        <v>384518813.06769979</v>
      </c>
      <c r="V180" s="81">
        <f t="shared" ref="V180:AA180" si="135">V181+V189+V198</f>
        <v>455703144.52439952</v>
      </c>
      <c r="W180" s="81">
        <f t="shared" si="135"/>
        <v>540413584.48127639</v>
      </c>
      <c r="X180" s="81">
        <f t="shared" si="135"/>
        <v>592511895.6243999</v>
      </c>
      <c r="Y180" s="81">
        <f t="shared" si="135"/>
        <v>593015560.59020162</v>
      </c>
      <c r="Z180" s="81">
        <f t="shared" si="135"/>
        <v>681522315.86030078</v>
      </c>
      <c r="AA180" s="81">
        <f t="shared" si="135"/>
        <v>466473245.7967003</v>
      </c>
      <c r="AB180" s="7">
        <f>SUM(P180:AA180)</f>
        <v>4985869496.9515781</v>
      </c>
    </row>
    <row r="181" spans="2:28" ht="15" hidden="1" customHeight="1">
      <c r="B181" s="468" t="s">
        <v>189</v>
      </c>
      <c r="C181" s="468" t="s">
        <v>190</v>
      </c>
      <c r="D181" s="468" t="s">
        <v>190</v>
      </c>
      <c r="E181" s="468" t="s">
        <v>282</v>
      </c>
      <c r="F181" s="468"/>
      <c r="G181" s="468"/>
      <c r="H181" s="468"/>
      <c r="I181" s="126" t="s">
        <v>254</v>
      </c>
      <c r="J181" s="468" t="str">
        <f t="shared" si="114"/>
        <v>lending_paylater_paylater_BEG_NII</v>
      </c>
      <c r="K181" t="s">
        <v>283</v>
      </c>
      <c r="L181" s="1055" t="s">
        <v>218</v>
      </c>
      <c r="M181" s="7">
        <f t="shared" si="129"/>
        <v>2263768739.9515786</v>
      </c>
      <c r="N181" s="81">
        <f t="shared" ref="N181:T181" si="136">N182-N188</f>
        <v>15298813</v>
      </c>
      <c r="O181" s="81">
        <f t="shared" si="136"/>
        <v>18284349</v>
      </c>
      <c r="P181" s="81">
        <f t="shared" si="136"/>
        <v>55887898</v>
      </c>
      <c r="Q181" s="81">
        <f t="shared" si="136"/>
        <v>82524795</v>
      </c>
      <c r="R181" s="81">
        <f t="shared" si="136"/>
        <v>63044065.777600199</v>
      </c>
      <c r="S181" s="81">
        <f t="shared" si="136"/>
        <v>103964587.84130004</v>
      </c>
      <c r="T181" s="81">
        <f t="shared" si="136"/>
        <v>110199103.38769993</v>
      </c>
      <c r="U181" s="81">
        <f t="shared" ref="U181:AA181" si="137">U182-U188</f>
        <v>141280677.06769976</v>
      </c>
      <c r="V181" s="81">
        <f t="shared" si="137"/>
        <v>181506489.52439955</v>
      </c>
      <c r="W181" s="81">
        <f t="shared" si="137"/>
        <v>248286051.48127636</v>
      </c>
      <c r="X181" s="81">
        <f t="shared" si="137"/>
        <v>275141558.62439996</v>
      </c>
      <c r="Y181" s="81">
        <f t="shared" si="137"/>
        <v>288613080.59020162</v>
      </c>
      <c r="Z181" s="81">
        <f t="shared" si="137"/>
        <v>341975077.86030078</v>
      </c>
      <c r="AA181" s="81">
        <f t="shared" si="137"/>
        <v>371345354.7967003</v>
      </c>
      <c r="AB181" s="81"/>
    </row>
    <row r="182" spans="2:28" ht="15" hidden="1" customHeight="1">
      <c r="B182" s="468" t="s">
        <v>189</v>
      </c>
      <c r="C182" s="468" t="s">
        <v>190</v>
      </c>
      <c r="D182" s="468" t="s">
        <v>190</v>
      </c>
      <c r="E182" s="468" t="s">
        <v>282</v>
      </c>
      <c r="F182" s="468"/>
      <c r="G182" s="468"/>
      <c r="H182" s="468"/>
      <c r="I182" s="126" t="s">
        <v>255</v>
      </c>
      <c r="J182" s="468" t="str">
        <f t="shared" si="114"/>
        <v>lending_paylater_paylater_BEG_CII</v>
      </c>
      <c r="K182" t="s">
        <v>283</v>
      </c>
      <c r="L182" s="1056" t="s">
        <v>20</v>
      </c>
      <c r="M182" s="7">
        <f t="shared" si="129"/>
        <v>2980305901</v>
      </c>
      <c r="N182" s="7">
        <f t="shared" ref="N182:T182" si="138">N183-N186+N187</f>
        <v>22581237</v>
      </c>
      <c r="O182" s="7">
        <f t="shared" si="138"/>
        <v>31216087</v>
      </c>
      <c r="P182" s="7">
        <f t="shared" si="138"/>
        <v>76377650</v>
      </c>
      <c r="Q182" s="7">
        <f t="shared" si="138"/>
        <v>104154017</v>
      </c>
      <c r="R182" s="7">
        <f t="shared" si="138"/>
        <v>90831106</v>
      </c>
      <c r="S182" s="7">
        <f t="shared" si="138"/>
        <v>133405196</v>
      </c>
      <c r="T182" s="7">
        <f t="shared" si="138"/>
        <v>148776470</v>
      </c>
      <c r="U182" s="7">
        <f t="shared" ref="U182:AA182" si="139">U183-U186+U187</f>
        <v>186050082</v>
      </c>
      <c r="V182" s="7">
        <f t="shared" si="139"/>
        <v>238490207</v>
      </c>
      <c r="W182" s="7">
        <f t="shared" si="139"/>
        <v>320910504</v>
      </c>
      <c r="X182" s="7">
        <f t="shared" si="139"/>
        <v>354560063</v>
      </c>
      <c r="Y182" s="7">
        <f t="shared" si="139"/>
        <v>386681678</v>
      </c>
      <c r="Z182" s="7">
        <f t="shared" si="139"/>
        <v>440381785</v>
      </c>
      <c r="AA182" s="7">
        <f t="shared" si="139"/>
        <v>499687143</v>
      </c>
      <c r="AB182" s="7"/>
    </row>
    <row r="183" spans="2:28" ht="15" hidden="1" customHeight="1">
      <c r="B183" s="468" t="s">
        <v>189</v>
      </c>
      <c r="C183" s="468" t="s">
        <v>190</v>
      </c>
      <c r="D183" s="468" t="s">
        <v>190</v>
      </c>
      <c r="E183" s="468" t="s">
        <v>282</v>
      </c>
      <c r="F183" s="468"/>
      <c r="G183" s="468"/>
      <c r="H183" s="468"/>
      <c r="I183" s="1058"/>
      <c r="J183" s="468" t="str">
        <f t="shared" si="114"/>
        <v>lending_paylater_paylater_BEG_</v>
      </c>
      <c r="K183" t="s">
        <v>283</v>
      </c>
      <c r="L183" s="1057" t="s">
        <v>256</v>
      </c>
      <c r="M183" s="7">
        <f t="shared" si="129"/>
        <v>3034365077</v>
      </c>
      <c r="N183" s="7">
        <v>23169466</v>
      </c>
      <c r="O183" s="7">
        <v>32903599</v>
      </c>
      <c r="P183" s="7">
        <v>77010700</v>
      </c>
      <c r="Q183" s="7">
        <v>108072551</v>
      </c>
      <c r="R183" s="7">
        <v>90287657</v>
      </c>
      <c r="S183" s="7">
        <v>135361243</v>
      </c>
      <c r="T183" s="7">
        <v>149306157</v>
      </c>
      <c r="U183" s="7">
        <v>185633735</v>
      </c>
      <c r="V183" s="7">
        <v>251627660</v>
      </c>
      <c r="W183" s="7">
        <v>332359156</v>
      </c>
      <c r="X183" s="7">
        <v>361949911</v>
      </c>
      <c r="Y183" s="7">
        <v>393726401</v>
      </c>
      <c r="Z183" s="7">
        <v>449654265</v>
      </c>
      <c r="AA183" s="7">
        <v>499375641</v>
      </c>
      <c r="AB183" s="7"/>
    </row>
    <row r="184" spans="2:28" ht="15" hidden="1" customHeight="1">
      <c r="B184" s="468" t="s">
        <v>189</v>
      </c>
      <c r="C184" s="468" t="s">
        <v>190</v>
      </c>
      <c r="D184" s="468" t="s">
        <v>190</v>
      </c>
      <c r="E184" s="468" t="s">
        <v>282</v>
      </c>
      <c r="F184" s="468"/>
      <c r="G184" s="468"/>
      <c r="H184" s="468"/>
      <c r="I184" s="1058"/>
      <c r="J184" s="468" t="str">
        <f t="shared" si="114"/>
        <v>lending_paylater_paylater_BEG_</v>
      </c>
      <c r="K184" t="s">
        <v>283</v>
      </c>
      <c r="L184" s="1057" t="s">
        <v>257</v>
      </c>
      <c r="M184" s="7">
        <f t="shared" si="129"/>
        <v>0</v>
      </c>
      <c r="O184" s="7"/>
      <c r="R184" s="7"/>
      <c r="S184" s="7"/>
      <c r="U184" s="7"/>
      <c r="W184" s="7"/>
      <c r="X184" s="74"/>
      <c r="AA184" s="7"/>
      <c r="AB184" s="7"/>
    </row>
    <row r="185" spans="2:28" ht="15" hidden="1" customHeight="1">
      <c r="B185" s="468" t="s">
        <v>189</v>
      </c>
      <c r="C185" s="468" t="s">
        <v>190</v>
      </c>
      <c r="D185" s="468" t="s">
        <v>190</v>
      </c>
      <c r="E185" s="468" t="s">
        <v>282</v>
      </c>
      <c r="F185" s="468"/>
      <c r="G185" s="468"/>
      <c r="H185" s="468"/>
      <c r="I185" s="1058"/>
      <c r="J185" s="468" t="str">
        <f t="shared" si="114"/>
        <v>lending_paylater_paylater_BEG_</v>
      </c>
      <c r="K185" t="s">
        <v>283</v>
      </c>
      <c r="L185" s="1057" t="s">
        <v>258</v>
      </c>
      <c r="M185" s="7">
        <f t="shared" si="129"/>
        <v>0</v>
      </c>
      <c r="O185" s="7"/>
      <c r="R185" s="7"/>
      <c r="S185" s="7"/>
      <c r="U185" s="7"/>
      <c r="W185" s="7"/>
      <c r="X185" s="74"/>
      <c r="AA185" s="7"/>
      <c r="AB185" s="7"/>
    </row>
    <row r="186" spans="2:28" ht="15" hidden="1" customHeight="1">
      <c r="B186" s="468" t="s">
        <v>189</v>
      </c>
      <c r="C186" s="468" t="s">
        <v>190</v>
      </c>
      <c r="D186" s="468" t="s">
        <v>190</v>
      </c>
      <c r="E186" s="468" t="s">
        <v>282</v>
      </c>
      <c r="F186" s="468"/>
      <c r="G186" s="468"/>
      <c r="H186" s="468"/>
      <c r="I186" s="1058"/>
      <c r="J186" s="468" t="str">
        <f t="shared" si="114"/>
        <v>lending_paylater_paylater_BEG_</v>
      </c>
      <c r="K186" t="s">
        <v>283</v>
      </c>
      <c r="L186" s="1057" t="s">
        <v>259</v>
      </c>
      <c r="M186" s="7">
        <f t="shared" si="129"/>
        <v>306583531</v>
      </c>
      <c r="N186">
        <v>1428743</v>
      </c>
      <c r="O186" s="7">
        <f>2361482+754773</f>
        <v>3116255</v>
      </c>
      <c r="P186" s="7">
        <v>3749305</v>
      </c>
      <c r="Q186">
        <v>7667839</v>
      </c>
      <c r="R186" s="7">
        <v>7124390</v>
      </c>
      <c r="S186" s="7">
        <v>9080437</v>
      </c>
      <c r="T186" s="7">
        <v>9610124</v>
      </c>
      <c r="U186" s="7">
        <v>9193777</v>
      </c>
      <c r="V186" s="7">
        <v>22331230</v>
      </c>
      <c r="W186" s="7">
        <v>33779882</v>
      </c>
      <c r="X186" s="7">
        <v>41169730</v>
      </c>
      <c r="Y186" s="7">
        <v>48214453</v>
      </c>
      <c r="Z186" s="7">
        <v>57486933</v>
      </c>
      <c r="AA186" s="7">
        <v>57175431</v>
      </c>
      <c r="AB186" s="7"/>
    </row>
    <row r="187" spans="2:28" ht="15" hidden="1" customHeight="1">
      <c r="B187" s="468" t="s">
        <v>189</v>
      </c>
      <c r="C187" s="468" t="s">
        <v>190</v>
      </c>
      <c r="D187" s="468" t="s">
        <v>190</v>
      </c>
      <c r="E187" s="468" t="s">
        <v>282</v>
      </c>
      <c r="F187" s="468"/>
      <c r="G187" s="468"/>
      <c r="H187" s="468"/>
      <c r="I187" s="1058"/>
      <c r="J187" s="468" t="str">
        <f t="shared" si="114"/>
        <v>lending_paylater_paylater_BEG_</v>
      </c>
      <c r="K187" t="s">
        <v>283</v>
      </c>
      <c r="L187" s="1057" t="s">
        <v>228</v>
      </c>
      <c r="M187" s="7">
        <f t="shared" si="129"/>
        <v>252524355</v>
      </c>
      <c r="N187" s="7">
        <v>840514</v>
      </c>
      <c r="O187" s="7">
        <v>1428743</v>
      </c>
      <c r="P187" s="7">
        <f>2361482+754773</f>
        <v>3116255</v>
      </c>
      <c r="Q187" s="7">
        <v>3749305</v>
      </c>
      <c r="R187" s="7">
        <v>7667839</v>
      </c>
      <c r="S187" s="7">
        <v>7124390</v>
      </c>
      <c r="T187" s="7">
        <v>9080437</v>
      </c>
      <c r="U187" s="7">
        <v>9610124</v>
      </c>
      <c r="V187" s="7">
        <f t="shared" ref="V187:X187" si="140">U186</f>
        <v>9193777</v>
      </c>
      <c r="W187" s="7">
        <f t="shared" si="140"/>
        <v>22331230</v>
      </c>
      <c r="X187" s="7">
        <f t="shared" si="140"/>
        <v>33779882</v>
      </c>
      <c r="Y187" s="7">
        <f>X186</f>
        <v>41169730</v>
      </c>
      <c r="Z187" s="7">
        <v>48214453</v>
      </c>
      <c r="AA187" s="7">
        <v>57486933</v>
      </c>
      <c r="AB187" s="7"/>
    </row>
    <row r="188" spans="2:28" ht="15" hidden="1" customHeight="1">
      <c r="B188" s="468" t="s">
        <v>189</v>
      </c>
      <c r="C188" s="468" t="s">
        <v>190</v>
      </c>
      <c r="D188" s="468" t="s">
        <v>190</v>
      </c>
      <c r="E188" s="468" t="s">
        <v>282</v>
      </c>
      <c r="F188" s="468"/>
      <c r="G188" s="468"/>
      <c r="H188" s="468"/>
      <c r="I188" s="126" t="s">
        <v>219</v>
      </c>
      <c r="J188" s="468" t="str">
        <f t="shared" si="114"/>
        <v>lending_paylater_paylater_BEG_COF</v>
      </c>
      <c r="K188" t="s">
        <v>283</v>
      </c>
      <c r="L188" s="1056" t="s">
        <v>219</v>
      </c>
      <c r="M188" s="7">
        <f t="shared" si="129"/>
        <v>716537161.04842138</v>
      </c>
      <c r="N188" s="7">
        <v>7282424</v>
      </c>
      <c r="O188" s="7">
        <v>12931738</v>
      </c>
      <c r="P188" s="7">
        <v>20489752</v>
      </c>
      <c r="Q188" s="7">
        <v>21629222</v>
      </c>
      <c r="R188" s="7">
        <v>27787040.222399805</v>
      </c>
      <c r="S188" s="7">
        <v>29440608.15869996</v>
      </c>
      <c r="T188" s="7">
        <v>38577366.612300068</v>
      </c>
      <c r="U188" s="7">
        <v>44769404.932300232</v>
      </c>
      <c r="V188" s="7">
        <v>56983717.475600459</v>
      </c>
      <c r="W188" s="7">
        <v>72624452.518723637</v>
      </c>
      <c r="X188" s="7">
        <v>79418504.375600055</v>
      </c>
      <c r="Y188" s="7">
        <v>98068597.409798384</v>
      </c>
      <c r="Z188" s="7">
        <v>98406707.139699206</v>
      </c>
      <c r="AA188" s="7">
        <v>128341788.2032997</v>
      </c>
      <c r="AB188" s="7"/>
    </row>
    <row r="189" spans="2:28" ht="15" hidden="1" customHeight="1">
      <c r="B189" s="468" t="s">
        <v>189</v>
      </c>
      <c r="C189" s="468" t="s">
        <v>190</v>
      </c>
      <c r="D189" s="468" t="s">
        <v>190</v>
      </c>
      <c r="E189" s="468" t="s">
        <v>282</v>
      </c>
      <c r="F189" s="468"/>
      <c r="G189" s="468"/>
      <c r="H189" s="468"/>
      <c r="I189" s="126" t="s">
        <v>260</v>
      </c>
      <c r="J189" s="468" t="str">
        <f t="shared" si="114"/>
        <v>lending_paylater_paylater_BEG_NFI</v>
      </c>
      <c r="K189" t="s">
        <v>283</v>
      </c>
      <c r="L189" s="1055" t="s">
        <v>220</v>
      </c>
      <c r="M189" s="7">
        <f t="shared" si="129"/>
        <v>2690598005</v>
      </c>
      <c r="N189" s="47">
        <f>SUM(N190:N195)+N197-N196</f>
        <v>77207874</v>
      </c>
      <c r="O189" s="47">
        <f t="shared" ref="O189:T189" si="141">SUM(O190:O195)+O197-O196</f>
        <v>96684194</v>
      </c>
      <c r="P189" s="47">
        <f t="shared" si="141"/>
        <v>146724356</v>
      </c>
      <c r="Q189" s="47">
        <f t="shared" si="141"/>
        <v>154399719</v>
      </c>
      <c r="R189" s="47">
        <f t="shared" si="141"/>
        <v>161301534</v>
      </c>
      <c r="S189" s="47">
        <f t="shared" si="141"/>
        <v>183369842</v>
      </c>
      <c r="T189" s="47">
        <f t="shared" si="141"/>
        <v>210295036</v>
      </c>
      <c r="U189" s="47">
        <f t="shared" ref="U189:AA189" si="142">SUM(U190:U195)+U197-U196</f>
        <v>243238136</v>
      </c>
      <c r="V189" s="47">
        <f t="shared" si="142"/>
        <v>274196655</v>
      </c>
      <c r="W189" s="47">
        <f t="shared" si="142"/>
        <v>292127533</v>
      </c>
      <c r="X189" s="47">
        <f t="shared" si="142"/>
        <v>317370337</v>
      </c>
      <c r="Y189" s="47">
        <f t="shared" si="142"/>
        <v>301706638</v>
      </c>
      <c r="Z189" s="47">
        <f t="shared" si="142"/>
        <v>329014384</v>
      </c>
      <c r="AA189" s="47">
        <f t="shared" si="142"/>
        <v>76853835</v>
      </c>
      <c r="AB189" s="47"/>
    </row>
    <row r="190" spans="2:28" ht="15" hidden="1" customHeight="1">
      <c r="B190" s="468" t="s">
        <v>189</v>
      </c>
      <c r="C190" s="468" t="s">
        <v>190</v>
      </c>
      <c r="D190" s="468" t="s">
        <v>190</v>
      </c>
      <c r="E190" s="468" t="s">
        <v>282</v>
      </c>
      <c r="F190" s="468"/>
      <c r="G190" s="468"/>
      <c r="H190" s="468"/>
      <c r="I190" s="126" t="s">
        <v>261</v>
      </c>
      <c r="J190" s="468" t="str">
        <f t="shared" ref="J190:J209" si="143">B190&amp;"_"&amp;C190&amp;"_"&amp;D190&amp;"_"&amp;E190&amp;"_"&amp;I190</f>
        <v>lending_paylater_paylater_BEG_transaction_fee</v>
      </c>
      <c r="K190" t="s">
        <v>283</v>
      </c>
      <c r="L190" s="1056" t="s">
        <v>221</v>
      </c>
      <c r="M190" s="7">
        <f t="shared" si="129"/>
        <v>0</v>
      </c>
      <c r="N190" s="7"/>
      <c r="O190" s="7"/>
      <c r="P190" s="7"/>
      <c r="Q190" s="7"/>
      <c r="R190" s="7"/>
      <c r="S190" s="7"/>
      <c r="T190" s="7"/>
      <c r="W190" s="7"/>
      <c r="X190" s="7"/>
      <c r="Y190" s="7"/>
      <c r="Z190" s="7"/>
      <c r="AA190" s="7"/>
      <c r="AB190" s="7"/>
    </row>
    <row r="191" spans="2:28" ht="15" hidden="1" customHeight="1">
      <c r="B191" s="468" t="s">
        <v>189</v>
      </c>
      <c r="C191" s="468" t="s">
        <v>190</v>
      </c>
      <c r="D191" s="468" t="s">
        <v>190</v>
      </c>
      <c r="E191" s="468" t="s">
        <v>282</v>
      </c>
      <c r="F191" s="468"/>
      <c r="G191" s="468"/>
      <c r="H191" s="468"/>
      <c r="I191" s="126" t="s">
        <v>262</v>
      </c>
      <c r="J191" s="468" t="str">
        <f t="shared" si="143"/>
        <v>lending_paylater_paylater_BEG_late_payment_fee</v>
      </c>
      <c r="K191" t="s">
        <v>283</v>
      </c>
      <c r="L191" s="1056" t="s">
        <v>222</v>
      </c>
      <c r="M191" s="7">
        <f t="shared" si="129"/>
        <v>580949885</v>
      </c>
      <c r="N191" s="7">
        <v>18144873</v>
      </c>
      <c r="O191" s="7">
        <v>15767235</v>
      </c>
      <c r="P191" s="7">
        <v>34333573</v>
      </c>
      <c r="Q191" s="7">
        <v>41952935</v>
      </c>
      <c r="R191" s="7">
        <v>31090448</v>
      </c>
      <c r="S191" s="7">
        <v>32874025</v>
      </c>
      <c r="T191" s="7">
        <v>38591318</v>
      </c>
      <c r="U191" s="7">
        <v>41492646</v>
      </c>
      <c r="V191" s="7">
        <v>60732780</v>
      </c>
      <c r="W191" s="7">
        <v>59457783</v>
      </c>
      <c r="X191" s="7">
        <v>70449112</v>
      </c>
      <c r="Y191" s="7">
        <v>51081268</v>
      </c>
      <c r="Z191" s="7">
        <v>64197192</v>
      </c>
      <c r="AA191" s="7">
        <v>54696805</v>
      </c>
      <c r="AB191" s="7"/>
    </row>
    <row r="192" spans="2:28" ht="15" hidden="1" customHeight="1">
      <c r="B192" s="468" t="s">
        <v>189</v>
      </c>
      <c r="C192" s="468" t="s">
        <v>190</v>
      </c>
      <c r="D192" s="468" t="s">
        <v>190</v>
      </c>
      <c r="E192" s="468" t="s">
        <v>282</v>
      </c>
      <c r="F192" s="468"/>
      <c r="G192" s="468"/>
      <c r="H192" s="468"/>
      <c r="I192" s="126" t="s">
        <v>263</v>
      </c>
      <c r="J192" s="468" t="str">
        <f t="shared" si="143"/>
        <v>lending_paylater_paylater_BEG_monthly_fee</v>
      </c>
      <c r="K192" t="s">
        <v>283</v>
      </c>
      <c r="L192" s="1056" t="s">
        <v>223</v>
      </c>
      <c r="M192" s="7">
        <f t="shared" si="129"/>
        <v>2116879842</v>
      </c>
      <c r="N192" s="7">
        <v>62187030</v>
      </c>
      <c r="O192" s="7">
        <v>86253934</v>
      </c>
      <c r="P192" s="7">
        <v>111256756</v>
      </c>
      <c r="Q192" s="7">
        <v>115786833</v>
      </c>
      <c r="R192" s="7">
        <v>130456140</v>
      </c>
      <c r="S192" s="7">
        <v>149310802</v>
      </c>
      <c r="T192" s="7">
        <v>172208996</v>
      </c>
      <c r="U192" s="7">
        <v>201912426</v>
      </c>
      <c r="V192" s="7">
        <v>230090732</v>
      </c>
      <c r="W192" s="7">
        <v>235315919</v>
      </c>
      <c r="X192" s="7">
        <v>251461806</v>
      </c>
      <c r="Y192" s="7">
        <v>256404631</v>
      </c>
      <c r="Z192" s="7">
        <v>272847032</v>
      </c>
      <c r="AA192" s="7">
        <v>-10172231</v>
      </c>
      <c r="AB192" s="7"/>
    </row>
    <row r="193" spans="2:28" ht="15" hidden="1" customHeight="1">
      <c r="B193" s="468" t="s">
        <v>189</v>
      </c>
      <c r="C193" s="468" t="s">
        <v>190</v>
      </c>
      <c r="D193" s="468" t="s">
        <v>190</v>
      </c>
      <c r="E193" s="468" t="s">
        <v>282</v>
      </c>
      <c r="F193" s="468"/>
      <c r="G193" s="468"/>
      <c r="H193" s="468"/>
      <c r="I193" s="126" t="s">
        <v>264</v>
      </c>
      <c r="J193" s="468" t="str">
        <f t="shared" si="143"/>
        <v>lending_paylater_paylater_BEG_installment_fee</v>
      </c>
      <c r="K193" t="s">
        <v>283</v>
      </c>
      <c r="L193" s="1056" t="s">
        <v>224</v>
      </c>
      <c r="M193" s="7">
        <f t="shared" si="129"/>
        <v>12191505</v>
      </c>
      <c r="N193" s="7"/>
      <c r="O193" s="7"/>
      <c r="P193" s="7"/>
      <c r="Q193" s="7"/>
      <c r="R193" s="7"/>
      <c r="S193" s="7"/>
      <c r="T193" s="7"/>
      <c r="W193" s="7"/>
      <c r="X193" s="7"/>
      <c r="Y193" s="7"/>
      <c r="Z193" s="7"/>
      <c r="AA193" s="7">
        <v>12191505</v>
      </c>
      <c r="AB193" s="7"/>
    </row>
    <row r="194" spans="2:28" ht="15" hidden="1" customHeight="1">
      <c r="B194" s="468" t="s">
        <v>189</v>
      </c>
      <c r="C194" s="468" t="s">
        <v>190</v>
      </c>
      <c r="D194" s="468" t="s">
        <v>190</v>
      </c>
      <c r="E194" s="468" t="s">
        <v>282</v>
      </c>
      <c r="F194" s="468"/>
      <c r="G194" s="468"/>
      <c r="H194" s="468"/>
      <c r="I194" s="126" t="s">
        <v>265</v>
      </c>
      <c r="J194" s="468" t="str">
        <f t="shared" si="143"/>
        <v>lending_paylater_paylater_BEG_subvention_fee</v>
      </c>
      <c r="K194" t="s">
        <v>237</v>
      </c>
      <c r="L194" s="1063" t="s">
        <v>225</v>
      </c>
      <c r="M194" s="7"/>
      <c r="N194" s="7"/>
      <c r="O194" s="7"/>
      <c r="P194" s="7"/>
      <c r="Q194" s="7"/>
      <c r="R194" s="7"/>
      <c r="S194" s="7"/>
      <c r="T194" s="7"/>
      <c r="W194" s="7"/>
      <c r="X194" s="7"/>
      <c r="Y194" s="7"/>
      <c r="Z194" s="7"/>
      <c r="AA194" s="7"/>
      <c r="AB194" s="7"/>
    </row>
    <row r="195" spans="2:28" ht="15" hidden="1" customHeight="1">
      <c r="B195" s="468" t="s">
        <v>189</v>
      </c>
      <c r="C195" s="468" t="s">
        <v>190</v>
      </c>
      <c r="D195" s="468" t="s">
        <v>190</v>
      </c>
      <c r="E195" s="468" t="s">
        <v>282</v>
      </c>
      <c r="F195" s="468"/>
      <c r="G195" s="468"/>
      <c r="H195" s="468"/>
      <c r="I195" s="126" t="s">
        <v>266</v>
      </c>
      <c r="J195" s="468" t="str">
        <f t="shared" si="143"/>
        <v>lending_paylater_paylater_BEG_other_fee</v>
      </c>
      <c r="K195" t="s">
        <v>283</v>
      </c>
      <c r="L195" s="1056" t="s">
        <v>226</v>
      </c>
      <c r="M195" s="7">
        <f t="shared" si="129"/>
        <v>0</v>
      </c>
      <c r="N195" s="7"/>
      <c r="O195" s="7"/>
      <c r="P195" s="7"/>
      <c r="Q195" s="7"/>
      <c r="R195" s="7"/>
      <c r="S195" s="7"/>
      <c r="T195" s="7"/>
      <c r="W195" s="7"/>
      <c r="X195" s="7"/>
      <c r="Y195" s="7"/>
      <c r="Z195" s="7"/>
      <c r="AA195" s="7"/>
      <c r="AB195" s="7"/>
    </row>
    <row r="196" spans="2:28" ht="15" hidden="1" customHeight="1">
      <c r="B196" s="468" t="s">
        <v>189</v>
      </c>
      <c r="C196" s="468" t="s">
        <v>190</v>
      </c>
      <c r="D196" s="468" t="s">
        <v>190</v>
      </c>
      <c r="E196" s="468" t="s">
        <v>282</v>
      </c>
      <c r="F196" s="468"/>
      <c r="G196" s="468"/>
      <c r="H196" s="468"/>
      <c r="I196" s="126" t="s">
        <v>267</v>
      </c>
      <c r="J196" s="468" t="str">
        <f t="shared" si="143"/>
        <v>lending_paylater_paylater_BEG_adjust_minus_fee</v>
      </c>
      <c r="K196" t="s">
        <v>283</v>
      </c>
      <c r="L196" s="1056" t="s">
        <v>227</v>
      </c>
      <c r="M196" s="7">
        <f t="shared" si="129"/>
        <v>288646462</v>
      </c>
      <c r="N196" s="7">
        <v>5005029</v>
      </c>
      <c r="O196" s="7">
        <f>7302914+3039090</f>
        <v>10342004</v>
      </c>
      <c r="P196" s="7">
        <v>9207977</v>
      </c>
      <c r="Q196">
        <v>12548026</v>
      </c>
      <c r="R196" s="7">
        <v>12793080</v>
      </c>
      <c r="S196">
        <v>11608065</v>
      </c>
      <c r="T196" s="7">
        <v>12113343</v>
      </c>
      <c r="U196" s="7">
        <v>12280279</v>
      </c>
      <c r="V196" s="7">
        <v>28907136</v>
      </c>
      <c r="W196" s="7">
        <v>31553305</v>
      </c>
      <c r="X196" s="7">
        <v>36093886</v>
      </c>
      <c r="Y196" s="7">
        <v>41873147</v>
      </c>
      <c r="Z196" s="7">
        <v>49902987</v>
      </c>
      <c r="AA196" s="7">
        <v>29765231</v>
      </c>
      <c r="AB196" s="7"/>
    </row>
    <row r="197" spans="2:28" ht="15" hidden="1" customHeight="1">
      <c r="B197" s="468" t="s">
        <v>189</v>
      </c>
      <c r="C197" s="468" t="s">
        <v>190</v>
      </c>
      <c r="D197" s="468" t="s">
        <v>190</v>
      </c>
      <c r="E197" s="468" t="s">
        <v>282</v>
      </c>
      <c r="F197" s="468"/>
      <c r="G197" s="468"/>
      <c r="H197" s="468"/>
      <c r="I197" s="126" t="s">
        <v>268</v>
      </c>
      <c r="J197" s="468" t="str">
        <f t="shared" si="143"/>
        <v>lending_paylater_paylater_BEG_adjust_bonus_fee</v>
      </c>
      <c r="K197" t="s">
        <v>283</v>
      </c>
      <c r="L197" s="1056" t="s">
        <v>228</v>
      </c>
      <c r="M197" s="7">
        <f t="shared" si="129"/>
        <v>269223235</v>
      </c>
      <c r="N197" s="7">
        <v>1881000</v>
      </c>
      <c r="O197" s="7">
        <v>5005029</v>
      </c>
      <c r="P197" s="7">
        <f>7302914+3039090</f>
        <v>10342004</v>
      </c>
      <c r="Q197" s="7">
        <v>9207977</v>
      </c>
      <c r="R197" s="7">
        <v>12548026</v>
      </c>
      <c r="S197" s="7">
        <v>12793080</v>
      </c>
      <c r="T197" s="7">
        <v>11608065</v>
      </c>
      <c r="U197" s="7">
        <v>12113343</v>
      </c>
      <c r="V197" s="7">
        <f t="shared" ref="V197:X197" si="144">U196</f>
        <v>12280279</v>
      </c>
      <c r="W197" s="7">
        <f t="shared" si="144"/>
        <v>28907136</v>
      </c>
      <c r="X197" s="7">
        <f t="shared" si="144"/>
        <v>31553305</v>
      </c>
      <c r="Y197" s="7">
        <f>X196</f>
        <v>36093886</v>
      </c>
      <c r="Z197" s="7">
        <v>41873147</v>
      </c>
      <c r="AA197" s="7">
        <v>49902987</v>
      </c>
      <c r="AB197" s="7"/>
    </row>
    <row r="198" spans="2:28" ht="15" hidden="1" customHeight="1">
      <c r="B198" s="468" t="s">
        <v>189</v>
      </c>
      <c r="C198" s="468" t="s">
        <v>190</v>
      </c>
      <c r="D198" s="468" t="s">
        <v>190</v>
      </c>
      <c r="E198" s="468" t="s">
        <v>282</v>
      </c>
      <c r="F198" s="468"/>
      <c r="G198" s="468"/>
      <c r="H198" s="468"/>
      <c r="I198" s="717" t="s">
        <v>269</v>
      </c>
      <c r="J198" s="468" t="str">
        <f t="shared" si="143"/>
        <v>lending_paylater_paylater_BEG_other_TOI</v>
      </c>
      <c r="K198" t="s">
        <v>283</v>
      </c>
      <c r="L198" s="1055" t="s">
        <v>89</v>
      </c>
      <c r="M198" s="7">
        <f t="shared" si="129"/>
        <v>31502752</v>
      </c>
      <c r="N198" s="7"/>
      <c r="O198" s="7"/>
      <c r="P198" s="7"/>
      <c r="Q198" s="7"/>
      <c r="R198" s="7"/>
      <c r="S198" s="7"/>
      <c r="T198" s="7"/>
      <c r="W198" s="7"/>
      <c r="X198" s="74"/>
      <c r="Y198" s="7">
        <v>2695842</v>
      </c>
      <c r="Z198" s="7">
        <v>10532854</v>
      </c>
      <c r="AA198" s="7">
        <v>18274056</v>
      </c>
      <c r="AB198" s="7"/>
    </row>
    <row r="199" spans="2:28" s="4" customFormat="1" ht="15" hidden="1" customHeight="1">
      <c r="B199" s="1298" t="s">
        <v>189</v>
      </c>
      <c r="C199" s="1298" t="s">
        <v>190</v>
      </c>
      <c r="D199" s="1298" t="s">
        <v>190</v>
      </c>
      <c r="E199" s="1298" t="s">
        <v>282</v>
      </c>
      <c r="F199" s="1298"/>
      <c r="G199" s="1298"/>
      <c r="H199" s="1298"/>
      <c r="I199" s="698" t="s">
        <v>270</v>
      </c>
      <c r="J199" s="1298" t="str">
        <f t="shared" si="143"/>
        <v>lending_paylater_paylater_BEG_provision</v>
      </c>
      <c r="K199" s="4" t="s">
        <v>283</v>
      </c>
      <c r="L199" s="85" t="s">
        <v>136</v>
      </c>
      <c r="M199" s="47">
        <f t="shared" si="129"/>
        <v>5358449110</v>
      </c>
      <c r="N199" s="47">
        <v>29282777</v>
      </c>
      <c r="O199" s="47">
        <f>51827592+13404061</f>
        <v>65231653</v>
      </c>
      <c r="P199" s="47">
        <v>52038602</v>
      </c>
      <c r="Q199" s="47">
        <v>99148600</v>
      </c>
      <c r="R199" s="47">
        <f>142245745+43701532</f>
        <v>185947277</v>
      </c>
      <c r="S199" s="47">
        <v>139525176</v>
      </c>
      <c r="T199" s="47">
        <v>240012972</v>
      </c>
      <c r="U199" s="47">
        <f>268068590+82902456</f>
        <v>350971046</v>
      </c>
      <c r="V199" s="47">
        <v>332755374</v>
      </c>
      <c r="W199" s="47">
        <v>591059171</v>
      </c>
      <c r="X199" s="47">
        <f>548217378+108276382</f>
        <v>656493760</v>
      </c>
      <c r="Y199" s="47">
        <v>1051340977</v>
      </c>
      <c r="Z199" s="47">
        <v>684529822</v>
      </c>
      <c r="AA199" s="47">
        <f>824682363+149943970</f>
        <v>974626333</v>
      </c>
      <c r="AB199" s="47"/>
    </row>
    <row r="200" spans="2:28" ht="15" hidden="1" customHeight="1">
      <c r="B200" s="468" t="s">
        <v>189</v>
      </c>
      <c r="C200" s="468" t="s">
        <v>190</v>
      </c>
      <c r="D200" s="468" t="s">
        <v>190</v>
      </c>
      <c r="E200" s="468" t="s">
        <v>282</v>
      </c>
      <c r="F200" s="468"/>
      <c r="G200" s="468"/>
      <c r="H200" s="468"/>
      <c r="I200" s="126" t="s">
        <v>271</v>
      </c>
      <c r="J200" s="468" t="str">
        <f t="shared" si="143"/>
        <v>lending_paylater_paylater_BEG_variable_cost</v>
      </c>
      <c r="K200" t="s">
        <v>283</v>
      </c>
      <c r="L200" s="85" t="s">
        <v>229</v>
      </c>
      <c r="M200" s="7">
        <f t="shared" si="129"/>
        <v>2290876611.0794721</v>
      </c>
      <c r="N200" s="47">
        <f>SUM(N201:N208)</f>
        <v>77494051.37011984</v>
      </c>
      <c r="O200" s="47">
        <f t="shared" ref="O200:U200" si="145">SUM(O201:O208)</f>
        <v>95131268.997777045</v>
      </c>
      <c r="P200" s="47">
        <f t="shared" si="145"/>
        <v>108916789.79990533</v>
      </c>
      <c r="Q200" s="47">
        <f t="shared" si="145"/>
        <v>117134490.52226856</v>
      </c>
      <c r="R200" s="47">
        <f t="shared" si="145"/>
        <v>113304356.19925496</v>
      </c>
      <c r="S200" s="47">
        <f t="shared" si="145"/>
        <v>138653991.65114269</v>
      </c>
      <c r="T200" s="47">
        <f t="shared" si="145"/>
        <v>157840376.52733353</v>
      </c>
      <c r="U200" s="47">
        <f t="shared" si="145"/>
        <v>129983059.4269245</v>
      </c>
      <c r="V200" s="47">
        <f t="shared" ref="V200:AA200" si="146">SUM(V201:V208)</f>
        <v>142719456.77565739</v>
      </c>
      <c r="W200" s="47">
        <f t="shared" si="146"/>
        <v>160758188.49867505</v>
      </c>
      <c r="X200" s="47">
        <f t="shared" si="146"/>
        <v>175620998.22904009</v>
      </c>
      <c r="Y200" s="47">
        <f t="shared" si="146"/>
        <v>135425074.7945362</v>
      </c>
      <c r="Z200" s="47">
        <f>SUM(Z201:Z208)</f>
        <v>589058746.19971645</v>
      </c>
      <c r="AA200" s="47">
        <f t="shared" si="146"/>
        <v>321461082.45501763</v>
      </c>
      <c r="AB200" s="47"/>
    </row>
    <row r="201" spans="2:28" ht="15" hidden="1" customHeight="1">
      <c r="B201" s="468" t="s">
        <v>189</v>
      </c>
      <c r="C201" s="468" t="s">
        <v>190</v>
      </c>
      <c r="D201" s="468" t="s">
        <v>190</v>
      </c>
      <c r="E201" s="468" t="s">
        <v>282</v>
      </c>
      <c r="F201" s="468"/>
      <c r="G201" s="468"/>
      <c r="H201" s="468"/>
      <c r="I201" s="126" t="s">
        <v>272</v>
      </c>
      <c r="J201" s="468" t="str">
        <f t="shared" si="143"/>
        <v>lending_paylater_paylater_BEG_marketing_acquisition_cost</v>
      </c>
      <c r="K201" t="s">
        <v>283</v>
      </c>
      <c r="L201" s="563" t="s">
        <v>230</v>
      </c>
      <c r="M201" s="7">
        <f t="shared" si="129"/>
        <v>0</v>
      </c>
      <c r="P201" s="7"/>
      <c r="X201" s="74"/>
    </row>
    <row r="202" spans="2:28" ht="15" hidden="1" customHeight="1">
      <c r="B202" s="468" t="s">
        <v>189</v>
      </c>
      <c r="C202" s="468" t="s">
        <v>190</v>
      </c>
      <c r="D202" s="468" t="s">
        <v>190</v>
      </c>
      <c r="E202" s="468" t="s">
        <v>282</v>
      </c>
      <c r="F202" s="468"/>
      <c r="G202" s="468"/>
      <c r="H202" s="468"/>
      <c r="I202" s="126" t="s">
        <v>273</v>
      </c>
      <c r="J202" s="468" t="str">
        <f t="shared" si="143"/>
        <v>lending_paylater_paylater_BEG_partner_acquisition_cost</v>
      </c>
      <c r="K202" t="s">
        <v>283</v>
      </c>
      <c r="L202" s="563" t="s">
        <v>231</v>
      </c>
      <c r="M202" s="7">
        <f t="shared" si="129"/>
        <v>19314775.5</v>
      </c>
      <c r="N202" s="89">
        <v>12690352</v>
      </c>
      <c r="O202">
        <v>0</v>
      </c>
      <c r="P202" s="7">
        <v>6337156</v>
      </c>
      <c r="Q202" s="7">
        <v>12977619.5</v>
      </c>
      <c r="X202" s="7"/>
      <c r="Y202" s="89"/>
      <c r="Z202" s="89"/>
    </row>
    <row r="203" spans="2:28" ht="15" hidden="1" customHeight="1">
      <c r="B203" s="468" t="s">
        <v>189</v>
      </c>
      <c r="C203" s="468" t="s">
        <v>190</v>
      </c>
      <c r="D203" s="468" t="s">
        <v>190</v>
      </c>
      <c r="E203" s="468" t="s">
        <v>282</v>
      </c>
      <c r="F203" s="468"/>
      <c r="G203" s="468"/>
      <c r="H203" s="468"/>
      <c r="I203" s="126" t="s">
        <v>274</v>
      </c>
      <c r="J203" s="468" t="str">
        <f t="shared" si="143"/>
        <v>lending_paylater_paylater_BEG_underwritting</v>
      </c>
      <c r="K203" t="s">
        <v>283</v>
      </c>
      <c r="L203" s="563" t="s">
        <v>232</v>
      </c>
      <c r="M203" s="7">
        <f t="shared" si="129"/>
        <v>427574546.18658406</v>
      </c>
      <c r="N203" s="7">
        <v>13812047.098556573</v>
      </c>
      <c r="O203" s="7">
        <v>20316002.11551857</v>
      </c>
      <c r="P203" s="7">
        <v>11603595.47538265</v>
      </c>
      <c r="Q203" s="7">
        <v>14460475.215849679</v>
      </c>
      <c r="R203" s="7">
        <v>14369181.824432019</v>
      </c>
      <c r="S203" s="7">
        <v>21513650.688189622</v>
      </c>
      <c r="T203" s="7">
        <v>41114954.136666603</v>
      </c>
      <c r="U203" s="7">
        <v>49820157.942142352</v>
      </c>
      <c r="V203" s="7">
        <v>44659945.118723847</v>
      </c>
      <c r="W203" s="7">
        <v>47917903.833197087</v>
      </c>
      <c r="X203" s="7">
        <v>46082423.808647819</v>
      </c>
      <c r="Y203" s="7">
        <v>44259629.877347372</v>
      </c>
      <c r="Z203" s="7">
        <v>34176286.399580255</v>
      </c>
      <c r="AA203" s="7">
        <v>57596341.866424792</v>
      </c>
      <c r="AB203" s="7"/>
    </row>
    <row r="204" spans="2:28" ht="15" hidden="1" customHeight="1">
      <c r="B204" s="468" t="s">
        <v>189</v>
      </c>
      <c r="C204" s="468" t="s">
        <v>190</v>
      </c>
      <c r="D204" s="468" t="s">
        <v>190</v>
      </c>
      <c r="E204" s="468" t="s">
        <v>282</v>
      </c>
      <c r="F204" s="468"/>
      <c r="G204" s="468"/>
      <c r="H204" s="468"/>
      <c r="I204" s="126" t="s">
        <v>275</v>
      </c>
      <c r="J204" s="786" t="str">
        <f t="shared" si="143"/>
        <v>lending_paylater_paylater_BEG_e_contract</v>
      </c>
      <c r="K204" t="s">
        <v>283</v>
      </c>
      <c r="L204" s="563" t="s">
        <v>233</v>
      </c>
      <c r="M204" s="7">
        <f t="shared" si="129"/>
        <v>24108087</v>
      </c>
      <c r="N204" s="7">
        <v>809117</v>
      </c>
      <c r="O204" s="7">
        <v>1393683</v>
      </c>
      <c r="P204" s="7">
        <v>962654</v>
      </c>
      <c r="Q204" s="7">
        <v>660818</v>
      </c>
      <c r="R204" s="7">
        <v>2459121</v>
      </c>
      <c r="S204" s="7">
        <v>2766744</v>
      </c>
      <c r="T204" s="7">
        <v>475896</v>
      </c>
      <c r="U204" s="7">
        <v>2149753</v>
      </c>
      <c r="V204" s="7">
        <v>3360600</v>
      </c>
      <c r="W204" s="7">
        <v>3133800</v>
      </c>
      <c r="X204" s="7">
        <v>1817814</v>
      </c>
      <c r="Y204" s="7">
        <v>1543525</v>
      </c>
      <c r="Z204" s="7">
        <v>1606280</v>
      </c>
      <c r="AA204" s="7">
        <v>3171082</v>
      </c>
      <c r="AB204" s="7"/>
    </row>
    <row r="205" spans="2:28" ht="15" hidden="1" customHeight="1">
      <c r="B205" s="468" t="s">
        <v>189</v>
      </c>
      <c r="C205" s="468" t="s">
        <v>190</v>
      </c>
      <c r="D205" s="468" t="s">
        <v>190</v>
      </c>
      <c r="E205" s="468" t="s">
        <v>282</v>
      </c>
      <c r="F205" s="468"/>
      <c r="G205" s="468"/>
      <c r="H205" s="468"/>
      <c r="I205" s="126" t="s">
        <v>276</v>
      </c>
      <c r="J205" s="468" t="str">
        <f t="shared" si="143"/>
        <v>lending_paylater_paylater_BEG_nfc</v>
      </c>
      <c r="K205" t="s">
        <v>283</v>
      </c>
      <c r="L205" s="563" t="s">
        <v>152</v>
      </c>
      <c r="M205" s="7">
        <f t="shared" si="129"/>
        <v>21851955.885034956</v>
      </c>
      <c r="N205" s="7"/>
      <c r="O205" s="7"/>
      <c r="P205" s="7">
        <v>1755577.161121604</v>
      </c>
      <c r="Q205" s="7">
        <v>331228.05402782268</v>
      </c>
      <c r="R205" s="7">
        <v>1554802.1477900553</v>
      </c>
      <c r="S205" s="7">
        <v>1472065.6271825675</v>
      </c>
      <c r="T205" s="7">
        <v>1944574.9693251534</v>
      </c>
      <c r="U205" s="7">
        <v>1501002.9599748533</v>
      </c>
      <c r="V205" s="7">
        <v>1687494.429623306</v>
      </c>
      <c r="W205" s="7">
        <v>1560923.9825581396</v>
      </c>
      <c r="X205" s="7">
        <v>1742554.336492891</v>
      </c>
      <c r="Y205" s="7">
        <v>2019323.932043856</v>
      </c>
      <c r="Z205" s="7">
        <v>2140056.2598425196</v>
      </c>
      <c r="AA205" s="7">
        <v>4142352.0250521917</v>
      </c>
      <c r="AB205" s="7"/>
    </row>
    <row r="206" spans="2:28" ht="15" hidden="1" customHeight="1">
      <c r="B206" s="468" t="s">
        <v>189</v>
      </c>
      <c r="C206" s="468" t="s">
        <v>190</v>
      </c>
      <c r="D206" s="468" t="s">
        <v>190</v>
      </c>
      <c r="E206" s="468" t="s">
        <v>282</v>
      </c>
      <c r="F206" s="468"/>
      <c r="G206" s="468"/>
      <c r="H206" s="468"/>
      <c r="I206" s="126" t="s">
        <v>277</v>
      </c>
      <c r="J206" s="468" t="str">
        <f t="shared" si="143"/>
        <v>lending_paylater_paylater_BEG_collection</v>
      </c>
      <c r="K206" t="s">
        <v>283</v>
      </c>
      <c r="L206" s="563" t="s">
        <v>234</v>
      </c>
      <c r="M206" s="7">
        <f t="shared" si="129"/>
        <v>601779763.52672362</v>
      </c>
      <c r="N206" s="7">
        <v>13733220.825815402</v>
      </c>
      <c r="O206" s="7">
        <v>28559057.882258482</v>
      </c>
      <c r="P206" s="7">
        <v>38719689.527753793</v>
      </c>
      <c r="Q206" s="7">
        <v>49567759.316780001</v>
      </c>
      <c r="R206" s="7">
        <v>53340706.310058005</v>
      </c>
      <c r="S206" s="7">
        <v>60435856.718918875</v>
      </c>
      <c r="T206" s="7">
        <v>65607751.644285969</v>
      </c>
      <c r="U206" s="7">
        <v>30852587.785312537</v>
      </c>
      <c r="V206" s="7">
        <v>46212271.637946576</v>
      </c>
      <c r="W206" s="7">
        <v>58532057.230430171</v>
      </c>
      <c r="X206" s="7">
        <v>74722117.631350651</v>
      </c>
      <c r="Y206" s="7">
        <v>33295616.554463204</v>
      </c>
      <c r="Z206" s="7">
        <v>43190375.24536825</v>
      </c>
      <c r="AA206" s="7">
        <v>47302973.924055554</v>
      </c>
      <c r="AB206" s="7"/>
    </row>
    <row r="207" spans="2:28" ht="15" hidden="1" customHeight="1">
      <c r="B207" s="468" t="s">
        <v>189</v>
      </c>
      <c r="C207" s="468" t="s">
        <v>190</v>
      </c>
      <c r="D207" s="468" t="s">
        <v>190</v>
      </c>
      <c r="E207" s="468" t="s">
        <v>282</v>
      </c>
      <c r="F207" s="468"/>
      <c r="G207" s="468"/>
      <c r="H207" s="468"/>
      <c r="I207" s="126" t="s">
        <v>278</v>
      </c>
      <c r="J207" s="468" t="str">
        <f t="shared" si="143"/>
        <v>lending_paylater_paylater_BEG_promotion</v>
      </c>
      <c r="K207" t="s">
        <v>283</v>
      </c>
      <c r="L207" s="563" t="s">
        <v>235</v>
      </c>
      <c r="M207" s="7">
        <f t="shared" si="129"/>
        <v>591206572</v>
      </c>
      <c r="N207" s="7"/>
      <c r="O207" s="7"/>
      <c r="P207" s="7"/>
      <c r="Q207" s="7"/>
      <c r="R207" s="7"/>
      <c r="S207" s="7"/>
      <c r="T207" s="7"/>
      <c r="X207" s="74"/>
      <c r="Z207" s="7">
        <v>450000000</v>
      </c>
      <c r="AA207" s="34">
        <v>141206572</v>
      </c>
      <c r="AB207" s="34"/>
    </row>
    <row r="208" spans="2:28" ht="15" hidden="1" customHeight="1">
      <c r="B208" s="468" t="s">
        <v>189</v>
      </c>
      <c r="C208" s="468" t="s">
        <v>190</v>
      </c>
      <c r="D208" s="468" t="s">
        <v>190</v>
      </c>
      <c r="E208" s="468" t="s">
        <v>282</v>
      </c>
      <c r="F208" s="468"/>
      <c r="G208" s="468"/>
      <c r="H208" s="468"/>
      <c r="I208" s="126" t="s">
        <v>279</v>
      </c>
      <c r="J208" s="468" t="str">
        <f t="shared" si="143"/>
        <v>lending_paylater_paylater_BEG_sms</v>
      </c>
      <c r="K208" t="s">
        <v>283</v>
      </c>
      <c r="L208" s="563" t="s">
        <v>163</v>
      </c>
      <c r="M208" s="7">
        <f t="shared" si="129"/>
        <v>605040910.98112977</v>
      </c>
      <c r="N208" s="7">
        <v>36449314.445747867</v>
      </c>
      <c r="O208" s="7">
        <v>44862526</v>
      </c>
      <c r="P208" s="7">
        <v>49538117.635647275</v>
      </c>
      <c r="Q208" s="7">
        <v>39136590.435611062</v>
      </c>
      <c r="R208" s="7">
        <v>41580544.91697488</v>
      </c>
      <c r="S208" s="7">
        <v>52465674.616851635</v>
      </c>
      <c r="T208" s="7">
        <v>48697199.7770558</v>
      </c>
      <c r="U208" s="7">
        <v>45659557.739494756</v>
      </c>
      <c r="V208" s="7">
        <v>46799145.589363672</v>
      </c>
      <c r="W208" s="7">
        <v>49613503.452489637</v>
      </c>
      <c r="X208" s="7">
        <v>51256088.452548735</v>
      </c>
      <c r="Y208" s="7">
        <v>54306979.430681765</v>
      </c>
      <c r="Z208" s="7">
        <v>57945748.294925429</v>
      </c>
      <c r="AA208" s="7">
        <v>68041760.639485106</v>
      </c>
      <c r="AB208" s="7"/>
    </row>
    <row r="209" spans="2:29" ht="15" customHeight="1">
      <c r="B209" s="468" t="s">
        <v>189</v>
      </c>
      <c r="C209" s="468" t="s">
        <v>190</v>
      </c>
      <c r="D209" s="468" t="s">
        <v>190</v>
      </c>
      <c r="E209" s="468" t="s">
        <v>282</v>
      </c>
      <c r="F209" s="468" t="str">
        <f>E209&amp;"PL"</f>
        <v>BEGPL</v>
      </c>
      <c r="G209" s="468" t="str">
        <f>L209&amp;F209</f>
        <v>Profit before allocation costBEGPL</v>
      </c>
      <c r="H209" s="468" t="str">
        <f>L209&amp;E209</f>
        <v>Profit before allocation costBEG</v>
      </c>
      <c r="I209" s="126" t="s">
        <v>280</v>
      </c>
      <c r="J209" s="468" t="str">
        <f t="shared" si="143"/>
        <v>lending_paylater_paylater_BEG_profit_before_overhead</v>
      </c>
      <c r="K209" t="s">
        <v>283</v>
      </c>
      <c r="L209" s="85" t="s">
        <v>236</v>
      </c>
      <c r="M209" s="7">
        <f>SUM(P209:AA209)</f>
        <v>-2663456224.1278934</v>
      </c>
      <c r="N209" s="81">
        <f>N180-N199-N200</f>
        <v>-14270141.37011984</v>
      </c>
      <c r="O209" s="81">
        <f t="shared" ref="O209:T209" si="147">O180-O199-O200</f>
        <v>-45394378.997777045</v>
      </c>
      <c r="P209" s="81">
        <f t="shared" si="147"/>
        <v>41656862.20009467</v>
      </c>
      <c r="Q209" s="81">
        <f t="shared" si="147"/>
        <v>20641423.477731436</v>
      </c>
      <c r="R209" s="81">
        <f t="shared" si="147"/>
        <v>-74906033.421654761</v>
      </c>
      <c r="S209" s="81">
        <f t="shared" si="147"/>
        <v>9155262.1901573241</v>
      </c>
      <c r="T209" s="81">
        <f t="shared" si="147"/>
        <v>-77359209.139633566</v>
      </c>
      <c r="U209" s="81">
        <f t="shared" ref="U209:AA209" si="148">U180-U199-U200</f>
        <v>-96435292.359224707</v>
      </c>
      <c r="V209" s="81">
        <f t="shared" si="148"/>
        <v>-19771686.251257867</v>
      </c>
      <c r="W209" s="81">
        <f t="shared" si="148"/>
        <v>-211403775.01739866</v>
      </c>
      <c r="X209" s="81">
        <f t="shared" si="148"/>
        <v>-239602862.60464019</v>
      </c>
      <c r="Y209" s="81">
        <f t="shared" si="148"/>
        <v>-593750491.20433462</v>
      </c>
      <c r="Z209" s="81">
        <f t="shared" si="148"/>
        <v>-592066252.33941567</v>
      </c>
      <c r="AA209" s="81">
        <f t="shared" si="148"/>
        <v>-829614169.65831733</v>
      </c>
      <c r="AB209" s="7">
        <f>SUM(P209:AA209)</f>
        <v>-2663456224.1278934</v>
      </c>
    </row>
    <row r="210" spans="2:29" ht="15" hidden="1" customHeight="1">
      <c r="B210" s="468"/>
      <c r="C210" s="468"/>
      <c r="D210" s="468"/>
      <c r="E210" s="468"/>
      <c r="F210" s="468"/>
      <c r="G210" s="468"/>
      <c r="H210" s="468"/>
      <c r="I210" s="126"/>
      <c r="J210" s="468"/>
      <c r="L210" s="85"/>
      <c r="M210" s="47"/>
      <c r="N210" s="81"/>
      <c r="O210" s="81"/>
      <c r="P210" s="81"/>
      <c r="Q210" s="81"/>
      <c r="R210" s="81"/>
      <c r="S210" s="81"/>
      <c r="T210" s="81"/>
      <c r="U210" s="34"/>
      <c r="W210" s="34"/>
      <c r="X210" s="34"/>
      <c r="Y210" s="34"/>
      <c r="Z210" s="34"/>
      <c r="AA210" s="34"/>
      <c r="AB210" s="34"/>
    </row>
    <row r="211" spans="2:29" hidden="1">
      <c r="B211" s="468" t="s">
        <v>189</v>
      </c>
      <c r="C211" s="468" t="s">
        <v>190</v>
      </c>
      <c r="D211" s="468" t="s">
        <v>190</v>
      </c>
      <c r="E211" s="468" t="s">
        <v>285</v>
      </c>
      <c r="F211" s="468"/>
      <c r="G211" s="468"/>
      <c r="H211" s="468"/>
      <c r="I211" s="468"/>
      <c r="J211" s="468" t="str">
        <f t="shared" ref="J211:J242" si="149">B211&amp;"_"&amp;C211&amp;"_"&amp;D211&amp;"_"&amp;E211&amp;"_"&amp;I211</f>
        <v>lending_paylater_paylater_VNPAY_</v>
      </c>
      <c r="K211" t="s">
        <v>286</v>
      </c>
      <c r="L211" s="1048" t="s">
        <v>287</v>
      </c>
    </row>
    <row r="212" spans="2:29" hidden="1">
      <c r="B212" s="468" t="s">
        <v>189</v>
      </c>
      <c r="C212" s="468" t="s">
        <v>190</v>
      </c>
      <c r="D212" s="468" t="s">
        <v>190</v>
      </c>
      <c r="E212" s="468" t="s">
        <v>285</v>
      </c>
      <c r="F212" s="468"/>
      <c r="G212" s="468"/>
      <c r="H212" s="468"/>
      <c r="I212" s="126" t="s">
        <v>239</v>
      </c>
      <c r="J212" s="468" t="str">
        <f t="shared" si="149"/>
        <v>lending_paylater_paylater_VNPAY_new_account</v>
      </c>
      <c r="K212" t="s">
        <v>286</v>
      </c>
      <c r="L212" s="1052" t="s">
        <v>193</v>
      </c>
      <c r="N212">
        <v>988</v>
      </c>
      <c r="O212">
        <v>983</v>
      </c>
      <c r="P212">
        <v>2588</v>
      </c>
      <c r="Q212">
        <v>2334</v>
      </c>
      <c r="R212">
        <v>2252</v>
      </c>
      <c r="S212">
        <v>2288</v>
      </c>
      <c r="T212">
        <v>2704</v>
      </c>
      <c r="U212">
        <v>2503</v>
      </c>
      <c r="V212" s="7">
        <v>2589</v>
      </c>
      <c r="W212">
        <v>2029</v>
      </c>
      <c r="X212" s="7">
        <v>2239</v>
      </c>
      <c r="Y212" s="7">
        <v>2272</v>
      </c>
      <c r="Z212" s="7">
        <v>2075</v>
      </c>
      <c r="AA212">
        <v>2079</v>
      </c>
    </row>
    <row r="213" spans="2:29" hidden="1">
      <c r="B213" s="468" t="s">
        <v>189</v>
      </c>
      <c r="C213" s="468" t="s">
        <v>190</v>
      </c>
      <c r="D213" s="468" t="s">
        <v>190</v>
      </c>
      <c r="E213" s="468" t="s">
        <v>285</v>
      </c>
      <c r="F213" s="468"/>
      <c r="G213" s="468"/>
      <c r="H213" s="468"/>
      <c r="I213" s="126" t="s">
        <v>240</v>
      </c>
      <c r="J213" s="468" t="str">
        <f t="shared" si="149"/>
        <v>lending_paylater_paylater_VNPAY_accum_account</v>
      </c>
      <c r="K213" t="s">
        <v>286</v>
      </c>
      <c r="L213" s="1052" t="s">
        <v>194</v>
      </c>
      <c r="N213">
        <v>994</v>
      </c>
      <c r="O213">
        <v>1977</v>
      </c>
      <c r="P213">
        <f t="shared" ref="P213:U213" si="150">O213+P212</f>
        <v>4565</v>
      </c>
      <c r="Q213">
        <f t="shared" si="150"/>
        <v>6899</v>
      </c>
      <c r="R213">
        <f t="shared" si="150"/>
        <v>9151</v>
      </c>
      <c r="S213">
        <f t="shared" si="150"/>
        <v>11439</v>
      </c>
      <c r="T213">
        <f t="shared" si="150"/>
        <v>14143</v>
      </c>
      <c r="U213">
        <f t="shared" si="150"/>
        <v>16646</v>
      </c>
      <c r="V213">
        <f t="shared" ref="V213:AA213" si="151">U213+V212</f>
        <v>19235</v>
      </c>
      <c r="W213">
        <f t="shared" si="151"/>
        <v>21264</v>
      </c>
      <c r="X213">
        <f t="shared" si="151"/>
        <v>23503</v>
      </c>
      <c r="Y213">
        <f t="shared" si="151"/>
        <v>25775</v>
      </c>
      <c r="Z213">
        <f t="shared" si="151"/>
        <v>27850</v>
      </c>
      <c r="AA213">
        <f t="shared" si="151"/>
        <v>29929</v>
      </c>
    </row>
    <row r="214" spans="2:29" hidden="1">
      <c r="B214" s="468" t="s">
        <v>189</v>
      </c>
      <c r="C214" s="468" t="s">
        <v>190</v>
      </c>
      <c r="D214" s="468" t="s">
        <v>190</v>
      </c>
      <c r="E214" s="468" t="s">
        <v>285</v>
      </c>
      <c r="F214" s="468"/>
      <c r="G214" s="468"/>
      <c r="H214" s="468"/>
      <c r="I214" s="126" t="s">
        <v>241</v>
      </c>
      <c r="J214" s="468" t="str">
        <f t="shared" si="149"/>
        <v>lending_paylater_paylater_VNPAY_active_account</v>
      </c>
      <c r="K214" t="s">
        <v>286</v>
      </c>
      <c r="L214" s="1052" t="s">
        <v>195</v>
      </c>
      <c r="N214">
        <v>698</v>
      </c>
      <c r="O214" s="89">
        <v>1283</v>
      </c>
      <c r="P214">
        <v>3170</v>
      </c>
      <c r="Q214">
        <v>4546</v>
      </c>
      <c r="R214">
        <v>7459</v>
      </c>
      <c r="S214">
        <v>6097</v>
      </c>
      <c r="T214">
        <v>7413</v>
      </c>
      <c r="U214">
        <v>8022</v>
      </c>
      <c r="V214" s="7">
        <v>9017</v>
      </c>
      <c r="W214" s="7">
        <v>8214</v>
      </c>
      <c r="X214" s="7">
        <v>8116</v>
      </c>
      <c r="Y214">
        <v>7966</v>
      </c>
      <c r="Z214">
        <v>8524</v>
      </c>
      <c r="AA214" s="89">
        <v>8420</v>
      </c>
      <c r="AB214" s="89"/>
    </row>
    <row r="215" spans="2:29" hidden="1">
      <c r="B215" s="468" t="s">
        <v>189</v>
      </c>
      <c r="C215" s="468" t="s">
        <v>190</v>
      </c>
      <c r="D215" s="468" t="s">
        <v>190</v>
      </c>
      <c r="E215" s="468" t="s">
        <v>285</v>
      </c>
      <c r="F215" s="468"/>
      <c r="G215" s="468"/>
      <c r="H215" s="468"/>
      <c r="I215" s="1050"/>
      <c r="J215" s="468" t="str">
        <f t="shared" si="149"/>
        <v>lending_paylater_paylater_VNPAY_</v>
      </c>
      <c r="K215" t="s">
        <v>286</v>
      </c>
      <c r="L215" s="1052" t="s">
        <v>196</v>
      </c>
      <c r="N215" s="42">
        <f t="shared" ref="N215:T215" si="152">N214/N213</f>
        <v>0.70221327967806846</v>
      </c>
      <c r="O215" s="42">
        <f t="shared" si="152"/>
        <v>0.64896307536671727</v>
      </c>
      <c r="P215" s="42">
        <f t="shared" si="152"/>
        <v>0.69441401971522454</v>
      </c>
      <c r="Q215" s="42">
        <f t="shared" si="152"/>
        <v>0.65893607769241924</v>
      </c>
      <c r="R215" s="42">
        <f t="shared" si="152"/>
        <v>0.81510217462572399</v>
      </c>
      <c r="S215" s="42">
        <f t="shared" si="152"/>
        <v>0.53300113646297753</v>
      </c>
      <c r="T215" s="42">
        <f t="shared" si="152"/>
        <v>0.52414622074524497</v>
      </c>
      <c r="U215" s="42">
        <f t="shared" ref="U215" si="153">U214/U213</f>
        <v>0.4819175777964676</v>
      </c>
      <c r="V215" s="42">
        <f t="shared" ref="V215:AA215" si="154">V214/V213</f>
        <v>0.46878086820899401</v>
      </c>
      <c r="W215" s="42">
        <f t="shared" si="154"/>
        <v>0.38628668171557562</v>
      </c>
      <c r="X215" s="42">
        <f t="shared" si="154"/>
        <v>0.34531761902735819</v>
      </c>
      <c r="Y215" s="42">
        <f t="shared" si="154"/>
        <v>0.30905916585838994</v>
      </c>
      <c r="Z215" s="42">
        <f t="shared" si="154"/>
        <v>0.30606822262118494</v>
      </c>
      <c r="AA215" s="42">
        <f t="shared" si="154"/>
        <v>0.28133248688562934</v>
      </c>
      <c r="AB215" s="42"/>
    </row>
    <row r="216" spans="2:29" hidden="1">
      <c r="B216" s="468" t="s">
        <v>189</v>
      </c>
      <c r="C216" s="468" t="s">
        <v>190</v>
      </c>
      <c r="D216" s="468" t="s">
        <v>190</v>
      </c>
      <c r="E216" s="468" t="s">
        <v>285</v>
      </c>
      <c r="F216" s="468"/>
      <c r="G216" s="468"/>
      <c r="H216" s="468"/>
      <c r="I216" s="126"/>
      <c r="J216" s="468" t="str">
        <f t="shared" si="149"/>
        <v>lending_paylater_paylater_VNPAY_</v>
      </c>
      <c r="K216" t="s">
        <v>286</v>
      </c>
      <c r="L216" s="1052" t="s">
        <v>197</v>
      </c>
      <c r="N216" s="7">
        <f t="shared" ref="N216:T216" si="155">N218/N212</f>
        <v>1695344.1295546559</v>
      </c>
      <c r="O216" s="7">
        <f t="shared" si="155"/>
        <v>2989827.0600203457</v>
      </c>
      <c r="P216" s="7">
        <f t="shared" si="155"/>
        <v>2877897.9907264295</v>
      </c>
      <c r="Q216" s="7">
        <f t="shared" si="155"/>
        <v>4159995.2240788345</v>
      </c>
      <c r="R216" s="7">
        <f t="shared" si="155"/>
        <v>5994250.178507993</v>
      </c>
      <c r="S216" s="7">
        <f t="shared" si="155"/>
        <v>6138293.9790209793</v>
      </c>
      <c r="T216" s="7">
        <f t="shared" si="155"/>
        <v>6130650.1301775146</v>
      </c>
      <c r="U216" s="7">
        <f t="shared" ref="U216" si="156">U218/U212</f>
        <v>7040527.8865361568</v>
      </c>
      <c r="V216" s="7">
        <f t="shared" ref="V216:AA216" si="157">V218/V212</f>
        <v>6906644.8327539591</v>
      </c>
      <c r="W216" s="7">
        <f t="shared" si="157"/>
        <v>8006074.342533268</v>
      </c>
      <c r="X216" s="7">
        <f t="shared" si="157"/>
        <v>6822656.2170611881</v>
      </c>
      <c r="Y216" s="7">
        <f t="shared" si="157"/>
        <v>6982746.0026408453</v>
      </c>
      <c r="Z216" s="7">
        <f t="shared" si="157"/>
        <v>8251189.4390361449</v>
      </c>
      <c r="AA216" s="7">
        <f t="shared" si="157"/>
        <v>8080717.6753246756</v>
      </c>
      <c r="AB216" s="7"/>
    </row>
    <row r="217" spans="2:29" hidden="1">
      <c r="B217" s="468" t="s">
        <v>189</v>
      </c>
      <c r="C217" s="468" t="s">
        <v>190</v>
      </c>
      <c r="D217" s="468" t="s">
        <v>190</v>
      </c>
      <c r="E217" s="468" t="s">
        <v>285</v>
      </c>
      <c r="F217" s="468"/>
      <c r="G217" s="468"/>
      <c r="H217" s="468"/>
      <c r="I217" s="1050"/>
      <c r="J217" s="468" t="str">
        <f t="shared" si="149"/>
        <v>lending_paylater_paylater_VNPAY_</v>
      </c>
      <c r="K217" t="s">
        <v>286</v>
      </c>
      <c r="L217" s="1053" t="s">
        <v>198</v>
      </c>
      <c r="N217" s="5">
        <f t="shared" ref="N217:T217" si="158">N218/N214</f>
        <v>2399713.4670487107</v>
      </c>
      <c r="O217" s="5">
        <f t="shared" si="158"/>
        <v>2290724.8636009353</v>
      </c>
      <c r="P217" s="5">
        <f t="shared" si="158"/>
        <v>2349526.813880126</v>
      </c>
      <c r="Q217" s="5">
        <f t="shared" si="158"/>
        <v>2135818.0494940607</v>
      </c>
      <c r="R217" s="5">
        <f t="shared" si="158"/>
        <v>1809766.9127228851</v>
      </c>
      <c r="S217" s="5">
        <f t="shared" si="158"/>
        <v>2303496.247990815</v>
      </c>
      <c r="T217" s="5">
        <f t="shared" si="158"/>
        <v>2236244.1591798193</v>
      </c>
      <c r="U217" s="5">
        <f t="shared" ref="U217" si="159">U218/U214</f>
        <v>2196764.0613313387</v>
      </c>
      <c r="V217" s="5">
        <f t="shared" ref="V217:AA217" si="160">V218/V214</f>
        <v>1983065.7061106798</v>
      </c>
      <c r="W217" s="5">
        <f t="shared" si="160"/>
        <v>1977638.7680788897</v>
      </c>
      <c r="X217" s="5">
        <f t="shared" si="160"/>
        <v>1882199.0229176935</v>
      </c>
      <c r="Y217" s="5">
        <f t="shared" si="160"/>
        <v>1991564.0118001506</v>
      </c>
      <c r="Z217" s="5">
        <f t="shared" si="160"/>
        <v>2008589.6393711872</v>
      </c>
      <c r="AA217" s="5">
        <f t="shared" si="160"/>
        <v>1995227.0839667458</v>
      </c>
      <c r="AB217" s="5"/>
    </row>
    <row r="218" spans="2:29">
      <c r="B218" s="468" t="s">
        <v>189</v>
      </c>
      <c r="C218" s="468" t="s">
        <v>190</v>
      </c>
      <c r="D218" s="468" t="s">
        <v>190</v>
      </c>
      <c r="E218" s="468" t="s">
        <v>285</v>
      </c>
      <c r="F218" s="468" t="str">
        <f>E218&amp;"PL"</f>
        <v>VNPAYPL</v>
      </c>
      <c r="G218" s="468" t="str">
        <f>L218&amp;F218</f>
        <v>SpendingVNPAYPL</v>
      </c>
      <c r="H218" s="468" t="str">
        <f>L218&amp;E218</f>
        <v>SpendingVNPAY</v>
      </c>
      <c r="I218" s="126" t="s">
        <v>242</v>
      </c>
      <c r="J218" s="468" t="str">
        <f t="shared" si="149"/>
        <v>lending_paylater_paylater_VNPAY_disburse/spend</v>
      </c>
      <c r="K218" t="s">
        <v>286</v>
      </c>
      <c r="L218" s="1052" t="s">
        <v>199</v>
      </c>
      <c r="M218" s="7">
        <f t="shared" ref="M218" si="161">SUM(P218:AA218)</f>
        <v>178088000765</v>
      </c>
      <c r="N218" s="7">
        <v>1675000000</v>
      </c>
      <c r="O218" s="89">
        <v>2939000000</v>
      </c>
      <c r="P218" s="7">
        <f>7448*10^6</f>
        <v>7448000000</v>
      </c>
      <c r="Q218" s="7">
        <v>9709428853</v>
      </c>
      <c r="R218" s="7">
        <v>13499051402</v>
      </c>
      <c r="S218" s="7">
        <v>14044416624</v>
      </c>
      <c r="T218" s="7">
        <v>16577277952</v>
      </c>
      <c r="U218" s="7">
        <f>17622.4413*10^6</f>
        <v>17622441300</v>
      </c>
      <c r="V218" s="7">
        <f>17881.303472*10^6</f>
        <v>17881303472</v>
      </c>
      <c r="W218" s="7">
        <f>16244.324841*10^6</f>
        <v>16244324841</v>
      </c>
      <c r="X218" s="7">
        <f>15275.92727*10^6</f>
        <v>15275927270</v>
      </c>
      <c r="Y218" s="7">
        <f>15864.798918*10^6</f>
        <v>15864798918</v>
      </c>
      <c r="Z218" s="7">
        <f>17121.218086*10^6</f>
        <v>17121218086</v>
      </c>
      <c r="AA218" s="89">
        <f>16799.812047*10^6</f>
        <v>16799812047</v>
      </c>
      <c r="AB218" s="7">
        <f>SUM(P218:AA218)</f>
        <v>178088000765</v>
      </c>
    </row>
    <row r="219" spans="2:29" hidden="1">
      <c r="B219" s="468" t="s">
        <v>189</v>
      </c>
      <c r="C219" s="468" t="s">
        <v>190</v>
      </c>
      <c r="D219" s="468" t="s">
        <v>190</v>
      </c>
      <c r="E219" s="468" t="s">
        <v>285</v>
      </c>
      <c r="F219" s="468"/>
      <c r="G219" s="468"/>
      <c r="H219" s="468"/>
      <c r="I219" s="126" t="s">
        <v>243</v>
      </c>
      <c r="J219" s="468" t="str">
        <f t="shared" si="149"/>
        <v>lending_paylater_paylater_VNPAY_ENR</v>
      </c>
      <c r="K219" t="s">
        <v>286</v>
      </c>
      <c r="L219" s="1052" t="s">
        <v>200</v>
      </c>
      <c r="N219" s="7">
        <v>1481941291</v>
      </c>
      <c r="O219" s="7">
        <v>2962698280</v>
      </c>
      <c r="P219" s="7">
        <v>7146770265</v>
      </c>
      <c r="Q219" s="7">
        <v>10397178146</v>
      </c>
      <c r="R219" s="7">
        <v>13403947341</v>
      </c>
      <c r="S219" s="7">
        <v>17283032506</v>
      </c>
      <c r="T219" s="7">
        <v>21592967506</v>
      </c>
      <c r="U219" s="7">
        <v>25457141269</v>
      </c>
      <c r="V219" s="7">
        <v>29352371776</v>
      </c>
      <c r="W219" s="7">
        <v>32857251042</v>
      </c>
      <c r="X219" s="7">
        <v>36526402954</v>
      </c>
      <c r="Y219" s="7">
        <v>38814903819</v>
      </c>
      <c r="Z219" s="7">
        <v>41556943161</v>
      </c>
      <c r="AA219" s="7">
        <v>42948957038</v>
      </c>
      <c r="AB219" s="7"/>
    </row>
    <row r="220" spans="2:29" hidden="1">
      <c r="B220" s="468" t="s">
        <v>189</v>
      </c>
      <c r="C220" s="468" t="s">
        <v>190</v>
      </c>
      <c r="D220" s="468" t="s">
        <v>190</v>
      </c>
      <c r="E220" s="468" t="s">
        <v>285</v>
      </c>
      <c r="F220" s="468"/>
      <c r="G220" s="468"/>
      <c r="H220" s="468"/>
      <c r="I220" s="126" t="s">
        <v>244</v>
      </c>
      <c r="J220" s="468" t="str">
        <f t="shared" si="149"/>
        <v>lending_paylater_paylater_VNPAY_nonEMI_ENR</v>
      </c>
      <c r="K220" t="s">
        <v>286</v>
      </c>
      <c r="L220" s="1052" t="s">
        <v>201</v>
      </c>
      <c r="N220" s="7"/>
      <c r="O220" s="7"/>
      <c r="P220" s="7"/>
      <c r="Q220" s="7"/>
      <c r="R220" s="7"/>
      <c r="S220" s="7"/>
      <c r="T220" s="7"/>
      <c r="U220" s="34">
        <f t="shared" ref="U220:AA220" si="162">U219-U221</f>
        <v>25457141269</v>
      </c>
      <c r="V220" s="34">
        <f t="shared" si="162"/>
        <v>29352371776</v>
      </c>
      <c r="W220" s="34">
        <f t="shared" si="162"/>
        <v>32857251042</v>
      </c>
      <c r="X220" s="34">
        <f t="shared" si="162"/>
        <v>36526402954</v>
      </c>
      <c r="Y220" s="34">
        <f t="shared" si="162"/>
        <v>38814903819</v>
      </c>
      <c r="Z220" s="34">
        <f t="shared" si="162"/>
        <v>41556943161</v>
      </c>
      <c r="AA220" s="34">
        <f t="shared" si="162"/>
        <v>42948957038</v>
      </c>
      <c r="AB220" s="34"/>
    </row>
    <row r="221" spans="2:29" hidden="1">
      <c r="B221" s="468" t="s">
        <v>189</v>
      </c>
      <c r="C221" s="468" t="s">
        <v>190</v>
      </c>
      <c r="D221" s="468" t="s">
        <v>190</v>
      </c>
      <c r="E221" s="468" t="s">
        <v>285</v>
      </c>
      <c r="F221" s="468"/>
      <c r="G221" s="468"/>
      <c r="H221" s="468"/>
      <c r="I221" s="126" t="s">
        <v>245</v>
      </c>
      <c r="J221" s="468" t="str">
        <f t="shared" si="149"/>
        <v>lending_paylater_paylater_VNPAY_EMI_ENR</v>
      </c>
      <c r="K221" t="s">
        <v>286</v>
      </c>
      <c r="L221" s="1052" t="s">
        <v>202</v>
      </c>
      <c r="N221" s="7"/>
      <c r="O221" s="7"/>
      <c r="P221" s="7"/>
      <c r="Q221" s="7"/>
      <c r="R221" s="7"/>
      <c r="S221" s="7"/>
      <c r="T221" s="7"/>
      <c r="Z221" s="7"/>
      <c r="AA221" s="7"/>
      <c r="AB221" s="7"/>
    </row>
    <row r="222" spans="2:29" hidden="1">
      <c r="B222" s="468" t="s">
        <v>189</v>
      </c>
      <c r="C222" s="468" t="s">
        <v>190</v>
      </c>
      <c r="D222" s="468" t="s">
        <v>190</v>
      </c>
      <c r="E222" s="468" t="s">
        <v>285</v>
      </c>
      <c r="F222" s="468"/>
      <c r="G222" s="468"/>
      <c r="H222" s="468"/>
      <c r="I222" s="126" t="s">
        <v>246</v>
      </c>
      <c r="J222" s="468" t="str">
        <f t="shared" si="149"/>
        <v>lending_paylater_paylater_VNPAY_revolving_ENR</v>
      </c>
      <c r="K222" t="s">
        <v>286</v>
      </c>
      <c r="L222" s="1052" t="s">
        <v>203</v>
      </c>
      <c r="P222" s="7">
        <f>439.494215*10^6</f>
        <v>439494215</v>
      </c>
      <c r="Q222" s="7">
        <v>1367634911</v>
      </c>
      <c r="R222" s="7">
        <v>2553098271</v>
      </c>
      <c r="S222" s="7">
        <v>4505581175</v>
      </c>
      <c r="T222" s="7">
        <v>6313205964</v>
      </c>
      <c r="U222" s="7">
        <v>8253816353</v>
      </c>
      <c r="V222" s="7">
        <f>12266.675272*10^6</f>
        <v>12266675272</v>
      </c>
      <c r="W222" s="7">
        <f>17324.60501*10^6</f>
        <v>17324605010</v>
      </c>
      <c r="X222" s="7">
        <f>20923.612803*10^6</f>
        <v>20923612803</v>
      </c>
      <c r="Y222" s="7">
        <f>23265.742446*10^6</f>
        <v>23265742446</v>
      </c>
      <c r="Z222" s="7">
        <f>24357.921128*10^6</f>
        <v>24357921128</v>
      </c>
      <c r="AA222" s="7">
        <f>27097.12073*10^6</f>
        <v>27097120730</v>
      </c>
      <c r="AB222" s="7"/>
    </row>
    <row r="223" spans="2:29" hidden="1">
      <c r="B223" s="468" t="s">
        <v>189</v>
      </c>
      <c r="C223" s="468" t="s">
        <v>190</v>
      </c>
      <c r="D223" s="468" t="s">
        <v>190</v>
      </c>
      <c r="E223" s="468" t="s">
        <v>285</v>
      </c>
      <c r="F223" s="468"/>
      <c r="G223" s="468"/>
      <c r="H223" s="468"/>
      <c r="I223" s="126" t="s">
        <v>247</v>
      </c>
      <c r="J223" s="468" t="str">
        <f t="shared" si="149"/>
        <v>lending_paylater_paylater_VNPAY_overdue_balance_10d</v>
      </c>
      <c r="K223" t="s">
        <v>286</v>
      </c>
      <c r="L223" s="1052" t="s">
        <v>204</v>
      </c>
      <c r="N223" s="34">
        <f t="shared" ref="N223:S223" si="163">N224+N225</f>
        <v>13906580</v>
      </c>
      <c r="O223" s="34">
        <f t="shared" si="163"/>
        <v>211248092</v>
      </c>
      <c r="P223" s="34">
        <f t="shared" si="163"/>
        <v>425083002</v>
      </c>
      <c r="Q223" s="34">
        <f t="shared" si="163"/>
        <v>1224410013</v>
      </c>
      <c r="R223" s="34">
        <f t="shared" si="163"/>
        <v>2633876487</v>
      </c>
      <c r="S223" s="34">
        <f t="shared" si="163"/>
        <v>3209485380</v>
      </c>
      <c r="T223" s="34">
        <f t="shared" ref="T223:AA223" si="164">T224+T225</f>
        <v>4508086988</v>
      </c>
      <c r="U223" s="34">
        <f t="shared" si="164"/>
        <v>6688963771</v>
      </c>
      <c r="V223" s="34">
        <f t="shared" si="164"/>
        <v>7915286531</v>
      </c>
      <c r="W223" s="34">
        <f t="shared" si="164"/>
        <v>9685909921</v>
      </c>
      <c r="X223" s="34">
        <f t="shared" si="164"/>
        <v>12659844355</v>
      </c>
      <c r="Y223" s="34">
        <f t="shared" si="164"/>
        <v>12233177853</v>
      </c>
      <c r="Z223" s="34">
        <f t="shared" si="164"/>
        <v>12186720557</v>
      </c>
      <c r="AA223" s="34">
        <f t="shared" si="164"/>
        <v>14068153333</v>
      </c>
      <c r="AB223" s="34"/>
      <c r="AC223" s="1393"/>
    </row>
    <row r="224" spans="2:29" hidden="1">
      <c r="B224" s="468" t="s">
        <v>189</v>
      </c>
      <c r="C224" s="468" t="s">
        <v>190</v>
      </c>
      <c r="D224" s="468" t="s">
        <v>190</v>
      </c>
      <c r="E224" s="468" t="s">
        <v>285</v>
      </c>
      <c r="F224" s="468"/>
      <c r="G224" s="468"/>
      <c r="H224" s="468"/>
      <c r="I224" s="1050"/>
      <c r="J224" s="468" t="str">
        <f t="shared" si="149"/>
        <v>lending_paylater_paylater_VNPAY_</v>
      </c>
      <c r="K224" t="s">
        <v>286</v>
      </c>
      <c r="L224" s="1052" t="s">
        <v>205</v>
      </c>
      <c r="N224" s="7">
        <v>13906580</v>
      </c>
      <c r="O224" s="89">
        <v>211248092</v>
      </c>
      <c r="P224" s="7">
        <v>425083002</v>
      </c>
      <c r="Q224" s="7">
        <v>1207117601</v>
      </c>
      <c r="R224" s="7">
        <v>2415095705</v>
      </c>
      <c r="S224" s="7">
        <v>2815473954</v>
      </c>
      <c r="T224" s="7">
        <v>3384068662</v>
      </c>
      <c r="U224" s="7">
        <v>4358375209</v>
      </c>
      <c r="V224" s="7">
        <v>5083174510</v>
      </c>
      <c r="W224" s="7">
        <v>5717791337</v>
      </c>
      <c r="X224" s="7">
        <v>6518603968</v>
      </c>
      <c r="Y224" s="7">
        <v>7167243839</v>
      </c>
      <c r="Z224" s="7">
        <v>7615228997</v>
      </c>
      <c r="AA224" s="7">
        <v>8319205471</v>
      </c>
      <c r="AB224" s="7"/>
    </row>
    <row r="225" spans="2:28" hidden="1">
      <c r="B225" s="468" t="s">
        <v>189</v>
      </c>
      <c r="C225" s="468" t="s">
        <v>190</v>
      </c>
      <c r="D225" s="468" t="s">
        <v>190</v>
      </c>
      <c r="E225" s="468" t="s">
        <v>285</v>
      </c>
      <c r="F225" s="468"/>
      <c r="G225" s="468"/>
      <c r="H225" s="468"/>
      <c r="I225" s="126" t="s">
        <v>248</v>
      </c>
      <c r="J225" s="468" t="str">
        <f t="shared" si="149"/>
        <v>lending_paylater_paylater_VNPAY_overdue_balance_90d</v>
      </c>
      <c r="K225" t="s">
        <v>286</v>
      </c>
      <c r="L225" s="1052" t="s">
        <v>206</v>
      </c>
      <c r="N225">
        <v>0</v>
      </c>
      <c r="O225">
        <v>0</v>
      </c>
      <c r="Q225" s="7">
        <v>17292412</v>
      </c>
      <c r="R225" s="7">
        <v>218780782</v>
      </c>
      <c r="S225" s="7">
        <v>394011426</v>
      </c>
      <c r="T225" s="7">
        <v>1124018326</v>
      </c>
      <c r="U225" s="7">
        <v>2330588562</v>
      </c>
      <c r="V225" s="7">
        <v>2832112021</v>
      </c>
      <c r="W225" s="7">
        <v>3968118584</v>
      </c>
      <c r="X225" s="7">
        <v>6141240387</v>
      </c>
      <c r="Y225" s="7">
        <v>5065934014</v>
      </c>
      <c r="Z225" s="7">
        <v>4571491560</v>
      </c>
      <c r="AA225" s="7">
        <v>5748947862</v>
      </c>
      <c r="AB225" s="7"/>
    </row>
    <row r="226" spans="2:28" hidden="1">
      <c r="B226" s="468" t="s">
        <v>189</v>
      </c>
      <c r="C226" s="468" t="s">
        <v>190</v>
      </c>
      <c r="D226" s="468" t="s">
        <v>190</v>
      </c>
      <c r="E226" s="468" t="s">
        <v>285</v>
      </c>
      <c r="F226" s="468"/>
      <c r="G226" s="468"/>
      <c r="H226" s="468"/>
      <c r="I226" s="1059"/>
      <c r="J226" s="468" t="str">
        <f t="shared" si="149"/>
        <v>lending_paylater_paylater_VNPAY_</v>
      </c>
      <c r="K226" t="s">
        <v>286</v>
      </c>
      <c r="L226" s="1052" t="s">
        <v>207</v>
      </c>
      <c r="Q226" s="7"/>
      <c r="R226" s="7">
        <v>41232787</v>
      </c>
      <c r="S226" s="7">
        <v>198422485</v>
      </c>
      <c r="T226" s="7">
        <v>687496360</v>
      </c>
      <c r="U226" s="7">
        <v>1437944434</v>
      </c>
      <c r="V226" s="7">
        <v>2134094173</v>
      </c>
      <c r="W226" s="7">
        <v>3151360018</v>
      </c>
      <c r="X226" s="7">
        <v>4345398264</v>
      </c>
      <c r="Y226" s="7">
        <v>3731227543</v>
      </c>
      <c r="Z226" s="7">
        <v>2465635621</v>
      </c>
      <c r="AA226" s="7">
        <v>2498664435</v>
      </c>
      <c r="AB226" s="7"/>
    </row>
    <row r="227" spans="2:28" hidden="1">
      <c r="B227" s="468" t="s">
        <v>189</v>
      </c>
      <c r="C227" s="468" t="s">
        <v>190</v>
      </c>
      <c r="D227" s="468" t="s">
        <v>190</v>
      </c>
      <c r="E227" s="468" t="s">
        <v>285</v>
      </c>
      <c r="F227" s="468"/>
      <c r="G227" s="468"/>
      <c r="H227" s="468"/>
      <c r="I227" s="126" t="s">
        <v>213</v>
      </c>
      <c r="J227" s="468" t="str">
        <f t="shared" si="149"/>
        <v>lending_paylater_paylater_VNPAY_npl</v>
      </c>
      <c r="K227" t="s">
        <v>286</v>
      </c>
      <c r="L227" s="1052" t="s">
        <v>249</v>
      </c>
      <c r="Q227" s="42">
        <f t="shared" ref="Q227:AA227" si="165">Q225/Q219</f>
        <v>1.6631831980923337E-3</v>
      </c>
      <c r="R227" s="42">
        <f t="shared" si="165"/>
        <v>1.6322115898709424E-2</v>
      </c>
      <c r="S227" s="42">
        <f t="shared" si="165"/>
        <v>2.2797586353159639E-2</v>
      </c>
      <c r="T227" s="42">
        <f t="shared" si="165"/>
        <v>5.2054833393681117E-2</v>
      </c>
      <c r="U227" s="42">
        <f t="shared" si="165"/>
        <v>9.1549500290436556E-2</v>
      </c>
      <c r="V227" s="42">
        <f t="shared" si="165"/>
        <v>9.6486649958409137E-2</v>
      </c>
      <c r="W227" s="42">
        <f t="shared" si="165"/>
        <v>0.12076842882953677</v>
      </c>
      <c r="X227" s="42">
        <f t="shared" si="165"/>
        <v>0.16813154021035279</v>
      </c>
      <c r="Y227" s="42">
        <f t="shared" si="165"/>
        <v>0.13051517627412518</v>
      </c>
      <c r="Z227" s="42">
        <f t="shared" si="165"/>
        <v>0.11000548193088018</v>
      </c>
      <c r="AA227" s="42">
        <f t="shared" si="165"/>
        <v>0.13385535432009435</v>
      </c>
      <c r="AB227" s="42"/>
    </row>
    <row r="228" spans="2:28" hidden="1">
      <c r="B228" s="468" t="s">
        <v>189</v>
      </c>
      <c r="C228" s="468" t="s">
        <v>190</v>
      </c>
      <c r="D228" s="468" t="s">
        <v>190</v>
      </c>
      <c r="E228" s="468" t="s">
        <v>285</v>
      </c>
      <c r="F228" s="468"/>
      <c r="G228" s="468"/>
      <c r="H228" s="468"/>
      <c r="I228" s="126" t="s">
        <v>250</v>
      </c>
      <c r="J228" s="468" t="str">
        <f t="shared" si="149"/>
        <v>lending_paylater_paylater_VNPAY_overdue_account_10d</v>
      </c>
      <c r="K228" t="s">
        <v>286</v>
      </c>
      <c r="L228" s="1052" t="s">
        <v>208</v>
      </c>
      <c r="Q228">
        <f>Q229+Q230</f>
        <v>337</v>
      </c>
      <c r="R228">
        <f>R229+R230</f>
        <v>1018</v>
      </c>
      <c r="S228" s="1141"/>
      <c r="T228" s="1141"/>
      <c r="U228" s="1142"/>
    </row>
    <row r="229" spans="2:28" hidden="1">
      <c r="B229" s="468" t="s">
        <v>189</v>
      </c>
      <c r="C229" s="468" t="s">
        <v>190</v>
      </c>
      <c r="D229" s="468" t="s">
        <v>190</v>
      </c>
      <c r="E229" s="468" t="s">
        <v>285</v>
      </c>
      <c r="F229" s="468"/>
      <c r="G229" s="468"/>
      <c r="H229" s="468"/>
      <c r="I229" s="126"/>
      <c r="J229" s="468" t="str">
        <f t="shared" si="149"/>
        <v>lending_paylater_paylater_VNPAY_</v>
      </c>
      <c r="K229" t="s">
        <v>286</v>
      </c>
      <c r="L229" s="1052" t="s">
        <v>209</v>
      </c>
      <c r="O229">
        <v>21</v>
      </c>
      <c r="P229">
        <v>189</v>
      </c>
      <c r="Q229">
        <v>337</v>
      </c>
      <c r="R229">
        <v>961</v>
      </c>
      <c r="S229" s="1141"/>
      <c r="T229" s="1141"/>
      <c r="U229" s="1141"/>
    </row>
    <row r="230" spans="2:28" hidden="1">
      <c r="B230" s="468" t="s">
        <v>189</v>
      </c>
      <c r="C230" s="468" t="s">
        <v>190</v>
      </c>
      <c r="D230" s="468" t="s">
        <v>190</v>
      </c>
      <c r="E230" s="468" t="s">
        <v>285</v>
      </c>
      <c r="F230" s="468"/>
      <c r="G230" s="468"/>
      <c r="H230" s="468"/>
      <c r="I230" s="126" t="s">
        <v>251</v>
      </c>
      <c r="J230" s="468" t="str">
        <f t="shared" si="149"/>
        <v>lending_paylater_paylater_VNPAY_overdue_account_90d</v>
      </c>
      <c r="K230" t="s">
        <v>286</v>
      </c>
      <c r="L230" s="1052" t="s">
        <v>210</v>
      </c>
      <c r="R230">
        <v>57</v>
      </c>
      <c r="S230" s="1141"/>
      <c r="T230" s="1141"/>
      <c r="U230" s="1141"/>
    </row>
    <row r="231" spans="2:28" hidden="1">
      <c r="B231" s="468" t="s">
        <v>189</v>
      </c>
      <c r="C231" s="468" t="s">
        <v>190</v>
      </c>
      <c r="D231" s="468" t="s">
        <v>190</v>
      </c>
      <c r="E231" s="468" t="s">
        <v>285</v>
      </c>
      <c r="F231" s="468"/>
      <c r="G231" s="468"/>
      <c r="H231" s="468"/>
      <c r="I231" s="126" t="s">
        <v>252</v>
      </c>
      <c r="J231" s="468" t="str">
        <f t="shared" si="149"/>
        <v>lending_paylater_paylater_VNPAY_revenue</v>
      </c>
      <c r="K231" t="s">
        <v>286</v>
      </c>
      <c r="L231" s="85" t="s">
        <v>215</v>
      </c>
      <c r="M231" s="7">
        <f t="shared" ref="M231:M262" si="166">SUM(P231:AA231)</f>
        <v>7434223311</v>
      </c>
      <c r="N231" s="34">
        <f t="shared" ref="N231:T231" si="167">N235+N242+N251</f>
        <v>270000</v>
      </c>
      <c r="O231" s="34">
        <f t="shared" si="167"/>
        <v>7131933</v>
      </c>
      <c r="P231" s="34">
        <f t="shared" si="167"/>
        <v>50282238</v>
      </c>
      <c r="Q231" s="34">
        <f t="shared" si="167"/>
        <v>125298489</v>
      </c>
      <c r="R231" s="34">
        <f t="shared" si="167"/>
        <v>168307917</v>
      </c>
      <c r="S231" s="34">
        <f t="shared" si="167"/>
        <v>239403322</v>
      </c>
      <c r="T231" s="34">
        <f t="shared" si="167"/>
        <v>531490543</v>
      </c>
      <c r="U231" s="34">
        <f t="shared" ref="U231:AA231" si="168">U235+U242+U251</f>
        <v>627701198</v>
      </c>
      <c r="V231" s="34">
        <f t="shared" si="168"/>
        <v>721255534</v>
      </c>
      <c r="W231" s="34">
        <f t="shared" si="168"/>
        <v>863251917</v>
      </c>
      <c r="X231" s="34">
        <f t="shared" si="168"/>
        <v>941948611</v>
      </c>
      <c r="Y231" s="34">
        <f t="shared" si="168"/>
        <v>943578866</v>
      </c>
      <c r="Z231" s="34">
        <f t="shared" si="168"/>
        <v>1067878762</v>
      </c>
      <c r="AA231" s="34">
        <f t="shared" si="168"/>
        <v>1153825914</v>
      </c>
      <c r="AB231" s="34"/>
    </row>
    <row r="232" spans="2:28" hidden="1">
      <c r="B232" s="468" t="s">
        <v>189</v>
      </c>
      <c r="C232" s="468" t="s">
        <v>190</v>
      </c>
      <c r="D232" s="468" t="s">
        <v>190</v>
      </c>
      <c r="E232" s="468" t="s">
        <v>285</v>
      </c>
      <c r="F232" s="468"/>
      <c r="G232" s="468"/>
      <c r="H232" s="468"/>
      <c r="I232" s="126" t="s">
        <v>253</v>
      </c>
      <c r="J232" s="468" t="str">
        <f t="shared" si="149"/>
        <v>lending_paylater_paylater_VNPAY_COGs</v>
      </c>
      <c r="K232" t="s">
        <v>286</v>
      </c>
      <c r="L232" s="85" t="s">
        <v>216</v>
      </c>
      <c r="M232" s="7">
        <f t="shared" si="166"/>
        <v>1315068839.1634583</v>
      </c>
      <c r="N232" s="34">
        <f t="shared" ref="N232:T232" si="169">N241</f>
        <v>1169035</v>
      </c>
      <c r="O232" s="34">
        <f t="shared" si="169"/>
        <v>7809549</v>
      </c>
      <c r="P232" s="34">
        <f t="shared" si="169"/>
        <v>18313145</v>
      </c>
      <c r="Q232" s="34">
        <f t="shared" si="169"/>
        <v>30634960</v>
      </c>
      <c r="R232" s="34">
        <f t="shared" si="169"/>
        <v>45427014.394900009</v>
      </c>
      <c r="S232" s="34">
        <f t="shared" si="169"/>
        <v>54452059.990900248</v>
      </c>
      <c r="T232" s="34">
        <f t="shared" si="169"/>
        <v>75309347.033100113</v>
      </c>
      <c r="U232" s="34">
        <f t="shared" ref="U232:AA232" si="170">U241</f>
        <v>88923289.565899879</v>
      </c>
      <c r="V232" s="34">
        <f t="shared" si="170"/>
        <v>111944080.24490011</v>
      </c>
      <c r="W232" s="34">
        <f t="shared" si="170"/>
        <v>139498826.21065933</v>
      </c>
      <c r="X232" s="34">
        <f t="shared" si="170"/>
        <v>151252105.05889967</v>
      </c>
      <c r="Y232" s="34">
        <f t="shared" si="170"/>
        <v>179616714.29080087</v>
      </c>
      <c r="Z232" s="34">
        <f t="shared" si="170"/>
        <v>186281933.29519808</v>
      </c>
      <c r="AA232" s="34">
        <f t="shared" si="170"/>
        <v>233415364.07820022</v>
      </c>
      <c r="AB232" s="34"/>
    </row>
    <row r="233" spans="2:28">
      <c r="B233" s="468" t="s">
        <v>189</v>
      </c>
      <c r="C233" s="468" t="s">
        <v>190</v>
      </c>
      <c r="D233" s="468" t="s">
        <v>190</v>
      </c>
      <c r="E233" s="468" t="s">
        <v>285</v>
      </c>
      <c r="F233" s="468" t="str">
        <f>E233&amp;"PL"</f>
        <v>VNPAYPL</v>
      </c>
      <c r="G233" s="468" t="str">
        <f>L233&amp;F233</f>
        <v>TOIVNPAYPL</v>
      </c>
      <c r="H233" s="468" t="str">
        <f>L233&amp;E233</f>
        <v>TOIVNPAY</v>
      </c>
      <c r="I233" s="126" t="s">
        <v>217</v>
      </c>
      <c r="J233" s="468" t="str">
        <f t="shared" si="149"/>
        <v>lending_paylater_paylater_VNPAY_TOI</v>
      </c>
      <c r="K233" t="s">
        <v>286</v>
      </c>
      <c r="L233" s="1051" t="s">
        <v>217</v>
      </c>
      <c r="M233" s="7">
        <f t="shared" si="166"/>
        <v>6119154471.8365402</v>
      </c>
      <c r="N233" s="47">
        <f t="shared" ref="N233:T233" si="171">N234+N242+N251</f>
        <v>-899035</v>
      </c>
      <c r="O233" s="47">
        <f t="shared" si="171"/>
        <v>-677616</v>
      </c>
      <c r="P233" s="47">
        <f t="shared" si="171"/>
        <v>31969093</v>
      </c>
      <c r="Q233" s="47">
        <f t="shared" si="171"/>
        <v>94663529</v>
      </c>
      <c r="R233" s="47">
        <f t="shared" si="171"/>
        <v>122880902.60509999</v>
      </c>
      <c r="S233" s="47">
        <f t="shared" si="171"/>
        <v>184951262.00909975</v>
      </c>
      <c r="T233" s="47">
        <f t="shared" si="171"/>
        <v>456181195.96689987</v>
      </c>
      <c r="U233" s="47">
        <f t="shared" ref="U233:AA233" si="172">U234+U242+U251</f>
        <v>538777908.43410015</v>
      </c>
      <c r="V233" s="47">
        <f t="shared" si="172"/>
        <v>609311453.75509989</v>
      </c>
      <c r="W233" s="47">
        <f t="shared" si="172"/>
        <v>723753090.78934073</v>
      </c>
      <c r="X233" s="47">
        <f t="shared" si="172"/>
        <v>790696505.94110036</v>
      </c>
      <c r="Y233" s="47">
        <f t="shared" si="172"/>
        <v>763962151.70919919</v>
      </c>
      <c r="Z233" s="47">
        <f t="shared" si="172"/>
        <v>881596828.70480192</v>
      </c>
      <c r="AA233" s="47">
        <f t="shared" si="172"/>
        <v>920410549.92179978</v>
      </c>
      <c r="AB233" s="7">
        <f>SUM(P233:AA233)</f>
        <v>6119154471.8365402</v>
      </c>
    </row>
    <row r="234" spans="2:28" hidden="1">
      <c r="B234" s="468" t="s">
        <v>189</v>
      </c>
      <c r="C234" s="468" t="s">
        <v>190</v>
      </c>
      <c r="D234" s="468" t="s">
        <v>190</v>
      </c>
      <c r="E234" s="468" t="s">
        <v>285</v>
      </c>
      <c r="F234" s="468"/>
      <c r="G234" s="468"/>
      <c r="H234" s="468"/>
      <c r="I234" s="126" t="s">
        <v>254</v>
      </c>
      <c r="J234" s="468" t="str">
        <f t="shared" si="149"/>
        <v>lending_paylater_paylater_VNPAY_NII</v>
      </c>
      <c r="K234" t="s">
        <v>286</v>
      </c>
      <c r="L234" s="1055" t="s">
        <v>218</v>
      </c>
      <c r="M234" s="7">
        <f t="shared" si="166"/>
        <v>3294325343.8365417</v>
      </c>
      <c r="N234" s="81">
        <f t="shared" ref="N234:T234" si="173">N235-N241</f>
        <v>-1169035</v>
      </c>
      <c r="O234" s="81">
        <f t="shared" si="173"/>
        <v>-427616</v>
      </c>
      <c r="P234" s="81">
        <f t="shared" si="173"/>
        <v>21197699</v>
      </c>
      <c r="Q234" s="47">
        <f t="shared" si="173"/>
        <v>61098620</v>
      </c>
      <c r="R234" s="47">
        <f t="shared" si="173"/>
        <v>84841817.605099991</v>
      </c>
      <c r="S234" s="47">
        <f t="shared" si="173"/>
        <v>130431202.00909975</v>
      </c>
      <c r="T234" s="47">
        <f t="shared" si="173"/>
        <v>181921098.96689987</v>
      </c>
      <c r="U234" s="47">
        <f t="shared" ref="U234:AA234" si="174">U235-U241</f>
        <v>228228846.43410012</v>
      </c>
      <c r="V234" s="47">
        <f t="shared" si="174"/>
        <v>283040679.75509989</v>
      </c>
      <c r="W234" s="47">
        <f t="shared" si="174"/>
        <v>387288255.78934067</v>
      </c>
      <c r="X234" s="47">
        <f t="shared" si="174"/>
        <v>426488866.94110036</v>
      </c>
      <c r="Y234" s="47">
        <f t="shared" si="174"/>
        <v>449581686.70919913</v>
      </c>
      <c r="Z234" s="47">
        <f t="shared" si="174"/>
        <v>501172952.70480192</v>
      </c>
      <c r="AA234" s="47">
        <f t="shared" si="174"/>
        <v>539033617.92179978</v>
      </c>
      <c r="AB234" s="47"/>
    </row>
    <row r="235" spans="2:28" hidden="1">
      <c r="B235" s="468" t="s">
        <v>189</v>
      </c>
      <c r="C235" s="468" t="s">
        <v>190</v>
      </c>
      <c r="D235" s="468" t="s">
        <v>190</v>
      </c>
      <c r="E235" s="468" t="s">
        <v>285</v>
      </c>
      <c r="F235" s="468"/>
      <c r="G235" s="468"/>
      <c r="H235" s="468"/>
      <c r="I235" s="126" t="s">
        <v>255</v>
      </c>
      <c r="J235" s="468" t="str">
        <f t="shared" si="149"/>
        <v>lending_paylater_paylater_VNPAY_CII</v>
      </c>
      <c r="K235" t="s">
        <v>286</v>
      </c>
      <c r="L235" s="1060" t="s">
        <v>20</v>
      </c>
      <c r="M235" s="7">
        <f t="shared" si="166"/>
        <v>4609394183</v>
      </c>
      <c r="N235" s="7">
        <f t="shared" ref="N235:T235" si="175">N236-N239+N240-N237+N238</f>
        <v>0</v>
      </c>
      <c r="O235" s="7">
        <f t="shared" si="175"/>
        <v>7381933</v>
      </c>
      <c r="P235" s="7">
        <f t="shared" si="175"/>
        <v>39510844</v>
      </c>
      <c r="Q235" s="7">
        <f t="shared" si="175"/>
        <v>91733580</v>
      </c>
      <c r="R235" s="7">
        <f t="shared" si="175"/>
        <v>130268832</v>
      </c>
      <c r="S235" s="7">
        <f t="shared" si="175"/>
        <v>184883262</v>
      </c>
      <c r="T235" s="7">
        <f t="shared" si="175"/>
        <v>257230446</v>
      </c>
      <c r="U235" s="7">
        <f t="shared" ref="U235:AA235" si="176">U236-U239+U240-U237+U238</f>
        <v>317152136</v>
      </c>
      <c r="V235" s="7">
        <f t="shared" si="176"/>
        <v>394984760</v>
      </c>
      <c r="W235" s="7">
        <f t="shared" si="176"/>
        <v>526787082</v>
      </c>
      <c r="X235" s="7">
        <f t="shared" si="176"/>
        <v>577740972</v>
      </c>
      <c r="Y235" s="7">
        <f t="shared" si="176"/>
        <v>629198401</v>
      </c>
      <c r="Z235" s="7">
        <f t="shared" si="176"/>
        <v>687454886</v>
      </c>
      <c r="AA235" s="7">
        <f t="shared" si="176"/>
        <v>772448982</v>
      </c>
      <c r="AB235" s="7"/>
    </row>
    <row r="236" spans="2:28" hidden="1">
      <c r="B236" s="468" t="s">
        <v>189</v>
      </c>
      <c r="C236" s="468" t="s">
        <v>190</v>
      </c>
      <c r="D236" s="468" t="s">
        <v>190</v>
      </c>
      <c r="E236" s="468" t="s">
        <v>285</v>
      </c>
      <c r="F236" s="468"/>
      <c r="G236" s="468"/>
      <c r="H236" s="468"/>
      <c r="I236" s="1058"/>
      <c r="J236" s="468" t="str">
        <f t="shared" si="149"/>
        <v>lending_paylater_paylater_VNPAY_</v>
      </c>
      <c r="K236" t="s">
        <v>286</v>
      </c>
      <c r="L236" s="1061" t="s">
        <v>256</v>
      </c>
      <c r="M236" s="7">
        <f t="shared" si="166"/>
        <v>4716264844</v>
      </c>
      <c r="N236" s="7">
        <v>0</v>
      </c>
      <c r="O236" s="7">
        <v>8113548</v>
      </c>
      <c r="P236" s="7">
        <v>40396309</v>
      </c>
      <c r="Q236" s="7">
        <v>95605459</v>
      </c>
      <c r="R236" s="7">
        <v>133710044</v>
      </c>
      <c r="S236" s="7">
        <v>190678828</v>
      </c>
      <c r="T236" s="7">
        <v>259990874</v>
      </c>
      <c r="U236" s="7">
        <v>322104815</v>
      </c>
      <c r="V236" s="7">
        <v>417803899</v>
      </c>
      <c r="W236" s="7">
        <v>551653714</v>
      </c>
      <c r="X236" s="7">
        <v>586021879</v>
      </c>
      <c r="Y236" s="7">
        <v>643709740</v>
      </c>
      <c r="Z236" s="7">
        <v>703944049</v>
      </c>
      <c r="AA236" s="7">
        <v>770645234</v>
      </c>
      <c r="AB236" s="7"/>
    </row>
    <row r="237" spans="2:28" hidden="1">
      <c r="B237" s="468" t="s">
        <v>189</v>
      </c>
      <c r="C237" s="468" t="s">
        <v>190</v>
      </c>
      <c r="D237" s="468" t="s">
        <v>190</v>
      </c>
      <c r="E237" s="468" t="s">
        <v>285</v>
      </c>
      <c r="F237" s="468"/>
      <c r="G237" s="468"/>
      <c r="H237" s="468"/>
      <c r="I237" s="1058"/>
      <c r="J237" s="468" t="str">
        <f t="shared" si="149"/>
        <v>lending_paylater_paylater_VNPAY_</v>
      </c>
      <c r="K237" t="s">
        <v>286</v>
      </c>
      <c r="L237" s="1061" t="s">
        <v>257</v>
      </c>
      <c r="M237" s="7">
        <f t="shared" si="166"/>
        <v>0</v>
      </c>
      <c r="N237" s="7"/>
      <c r="O237" s="7"/>
      <c r="P237" s="7"/>
      <c r="Q237" s="7"/>
      <c r="R237" s="7"/>
      <c r="S237" s="7"/>
      <c r="T237" s="7"/>
      <c r="AA237" s="7"/>
      <c r="AB237" s="7"/>
    </row>
    <row r="238" spans="2:28" hidden="1">
      <c r="B238" s="468" t="s">
        <v>189</v>
      </c>
      <c r="C238" s="468" t="s">
        <v>190</v>
      </c>
      <c r="D238" s="468" t="s">
        <v>190</v>
      </c>
      <c r="E238" s="468" t="s">
        <v>285</v>
      </c>
      <c r="F238" s="468"/>
      <c r="G238" s="468"/>
      <c r="H238" s="468"/>
      <c r="I238" s="1058"/>
      <c r="J238" s="468" t="str">
        <f t="shared" si="149"/>
        <v>lending_paylater_paylater_VNPAY_</v>
      </c>
      <c r="K238" t="s">
        <v>286</v>
      </c>
      <c r="L238" s="1061" t="s">
        <v>258</v>
      </c>
      <c r="M238" s="7">
        <f t="shared" si="166"/>
        <v>0</v>
      </c>
      <c r="N238" s="7"/>
      <c r="O238" s="7"/>
      <c r="P238" s="7"/>
      <c r="Q238" s="7"/>
      <c r="R238" s="7"/>
      <c r="S238" s="7"/>
      <c r="T238" s="7"/>
      <c r="AA238" s="7"/>
      <c r="AB238" s="7"/>
    </row>
    <row r="239" spans="2:28" hidden="1">
      <c r="B239" s="468" t="s">
        <v>189</v>
      </c>
      <c r="C239" s="468" t="s">
        <v>190</v>
      </c>
      <c r="D239" s="468" t="s">
        <v>190</v>
      </c>
      <c r="E239" s="468" t="s">
        <v>285</v>
      </c>
      <c r="F239" s="468"/>
      <c r="G239" s="468"/>
      <c r="H239" s="468"/>
      <c r="I239" s="1058"/>
      <c r="J239" s="468" t="str">
        <f t="shared" si="149"/>
        <v>lending_paylater_paylater_VNPAY_</v>
      </c>
      <c r="K239" t="s">
        <v>286</v>
      </c>
      <c r="L239" s="1061" t="s">
        <v>259</v>
      </c>
      <c r="M239" s="7">
        <f t="shared" si="166"/>
        <v>574400237</v>
      </c>
      <c r="N239" s="7">
        <v>0</v>
      </c>
      <c r="O239" s="7">
        <f>491095+240520</f>
        <v>731615</v>
      </c>
      <c r="P239" s="7">
        <v>1617080</v>
      </c>
      <c r="Q239" s="7">
        <v>5488959</v>
      </c>
      <c r="R239" s="7">
        <v>8930171</v>
      </c>
      <c r="S239">
        <v>14725737</v>
      </c>
      <c r="T239" s="7">
        <v>17486165</v>
      </c>
      <c r="U239">
        <v>22438844</v>
      </c>
      <c r="V239" s="7">
        <v>45257983</v>
      </c>
      <c r="W239" s="7">
        <v>70124615</v>
      </c>
      <c r="X239" s="7">
        <v>78405522</v>
      </c>
      <c r="Y239" s="7">
        <v>92916861</v>
      </c>
      <c r="Z239" s="7">
        <v>109406024</v>
      </c>
      <c r="AA239" s="7">
        <v>107602276</v>
      </c>
      <c r="AB239" s="7"/>
    </row>
    <row r="240" spans="2:28" hidden="1">
      <c r="B240" s="468" t="s">
        <v>189</v>
      </c>
      <c r="C240" s="468" t="s">
        <v>190</v>
      </c>
      <c r="D240" s="468" t="s">
        <v>190</v>
      </c>
      <c r="E240" s="468" t="s">
        <v>285</v>
      </c>
      <c r="F240" s="468"/>
      <c r="G240" s="468"/>
      <c r="H240" s="468"/>
      <c r="I240" s="1058"/>
      <c r="J240" s="468" t="str">
        <f t="shared" si="149"/>
        <v>lending_paylater_paylater_VNPAY_</v>
      </c>
      <c r="K240" t="s">
        <v>286</v>
      </c>
      <c r="L240" s="1061" t="s">
        <v>228</v>
      </c>
      <c r="M240" s="7">
        <f t="shared" si="166"/>
        <v>467529576</v>
      </c>
      <c r="N240" s="7">
        <v>0</v>
      </c>
      <c r="O240" s="7"/>
      <c r="P240" s="7">
        <f>491095+240520</f>
        <v>731615</v>
      </c>
      <c r="Q240" s="7">
        <v>1617080</v>
      </c>
      <c r="R240" s="7">
        <v>5488959</v>
      </c>
      <c r="S240" s="7">
        <v>8930171</v>
      </c>
      <c r="T240" s="7">
        <v>14725737</v>
      </c>
      <c r="U240" s="7">
        <v>17486165</v>
      </c>
      <c r="V240" s="7">
        <f t="shared" ref="V240:X240" si="177">U239</f>
        <v>22438844</v>
      </c>
      <c r="W240" s="7">
        <f t="shared" si="177"/>
        <v>45257983</v>
      </c>
      <c r="X240" s="7">
        <f t="shared" si="177"/>
        <v>70124615</v>
      </c>
      <c r="Y240" s="7">
        <f>X239</f>
        <v>78405522</v>
      </c>
      <c r="Z240" s="7">
        <v>92916861</v>
      </c>
      <c r="AA240" s="7">
        <v>109406024</v>
      </c>
      <c r="AB240" s="7"/>
    </row>
    <row r="241" spans="2:28" hidden="1">
      <c r="B241" s="468" t="s">
        <v>189</v>
      </c>
      <c r="C241" s="468" t="s">
        <v>190</v>
      </c>
      <c r="D241" s="468" t="s">
        <v>190</v>
      </c>
      <c r="E241" s="468" t="s">
        <v>285</v>
      </c>
      <c r="F241" s="468"/>
      <c r="G241" s="468"/>
      <c r="H241" s="468"/>
      <c r="I241" s="126" t="s">
        <v>219</v>
      </c>
      <c r="J241" s="468" t="str">
        <f t="shared" si="149"/>
        <v>lending_paylater_paylater_VNPAY_COF</v>
      </c>
      <c r="K241" t="s">
        <v>286</v>
      </c>
      <c r="L241" s="1060" t="s">
        <v>219</v>
      </c>
      <c r="M241" s="7">
        <f t="shared" si="166"/>
        <v>1315068839.1634583</v>
      </c>
      <c r="N241" s="7">
        <v>1169035</v>
      </c>
      <c r="O241" s="7">
        <v>7809549</v>
      </c>
      <c r="P241" s="7">
        <v>18313145</v>
      </c>
      <c r="Q241" s="7">
        <v>30634960</v>
      </c>
      <c r="R241" s="7">
        <v>45427014.394900009</v>
      </c>
      <c r="S241" s="7">
        <v>54452059.990900248</v>
      </c>
      <c r="T241" s="7">
        <v>75309347.033100113</v>
      </c>
      <c r="U241" s="7">
        <v>88923289.565899879</v>
      </c>
      <c r="V241" s="7">
        <v>111944080.24490011</v>
      </c>
      <c r="W241" s="7">
        <v>139498826.21065933</v>
      </c>
      <c r="X241" s="7">
        <v>151252105.05889967</v>
      </c>
      <c r="Y241" s="7">
        <v>179616714.29080087</v>
      </c>
      <c r="Z241" s="7">
        <v>186281933.29519808</v>
      </c>
      <c r="AA241" s="7">
        <v>233415364.07820022</v>
      </c>
      <c r="AB241" s="7"/>
    </row>
    <row r="242" spans="2:28" hidden="1">
      <c r="B242" s="468" t="s">
        <v>189</v>
      </c>
      <c r="C242" s="468" t="s">
        <v>190</v>
      </c>
      <c r="D242" s="468" t="s">
        <v>190</v>
      </c>
      <c r="E242" s="468" t="s">
        <v>285</v>
      </c>
      <c r="F242" s="468"/>
      <c r="G242" s="468"/>
      <c r="H242" s="468"/>
      <c r="I242" s="126" t="s">
        <v>260</v>
      </c>
      <c r="J242" s="468" t="str">
        <f t="shared" si="149"/>
        <v>lending_paylater_paylater_VNPAY_NFI</v>
      </c>
      <c r="K242" t="s">
        <v>286</v>
      </c>
      <c r="L242" s="1055" t="s">
        <v>220</v>
      </c>
      <c r="M242" s="7">
        <f t="shared" si="166"/>
        <v>2770768783</v>
      </c>
      <c r="N242" s="47">
        <f t="shared" ref="N242:T242" si="178">SUM(N243:N248)-N249+N250</f>
        <v>270000</v>
      </c>
      <c r="O242" s="47">
        <f t="shared" si="178"/>
        <v>-250000</v>
      </c>
      <c r="P242" s="47">
        <f t="shared" si="178"/>
        <v>10771394</v>
      </c>
      <c r="Q242" s="47">
        <f t="shared" si="178"/>
        <v>33564909</v>
      </c>
      <c r="R242" s="47">
        <f t="shared" si="178"/>
        <v>38039085</v>
      </c>
      <c r="S242" s="47">
        <f t="shared" si="178"/>
        <v>54520060</v>
      </c>
      <c r="T242" s="47">
        <f t="shared" si="178"/>
        <v>274260097</v>
      </c>
      <c r="U242" s="47">
        <f t="shared" ref="U242:AA242" si="179">SUM(U243:U248)-U249+U250</f>
        <v>310549062</v>
      </c>
      <c r="V242" s="47">
        <f t="shared" si="179"/>
        <v>326270774</v>
      </c>
      <c r="W242" s="47">
        <f t="shared" si="179"/>
        <v>336464835</v>
      </c>
      <c r="X242" s="47">
        <f t="shared" si="179"/>
        <v>364207639</v>
      </c>
      <c r="Y242" s="47">
        <f t="shared" si="179"/>
        <v>314380465</v>
      </c>
      <c r="Z242" s="47">
        <f t="shared" si="179"/>
        <v>358952386</v>
      </c>
      <c r="AA242" s="47">
        <f t="shared" si="179"/>
        <v>348788077</v>
      </c>
      <c r="AB242" s="47"/>
    </row>
    <row r="243" spans="2:28" hidden="1">
      <c r="B243" s="468" t="s">
        <v>189</v>
      </c>
      <c r="C243" s="468" t="s">
        <v>190</v>
      </c>
      <c r="D243" s="468" t="s">
        <v>190</v>
      </c>
      <c r="E243" s="468" t="s">
        <v>285</v>
      </c>
      <c r="F243" s="468"/>
      <c r="G243" s="468"/>
      <c r="H243" s="468"/>
      <c r="I243" s="126" t="s">
        <v>261</v>
      </c>
      <c r="J243" s="468" t="str">
        <f t="shared" ref="J243:J262" si="180">B243&amp;"_"&amp;C243&amp;"_"&amp;D243&amp;"_"&amp;E243&amp;"_"&amp;I243</f>
        <v>lending_paylater_paylater_VNPAY_transaction_fee</v>
      </c>
      <c r="K243" t="s">
        <v>286</v>
      </c>
      <c r="L243" s="1060" t="s">
        <v>221</v>
      </c>
      <c r="M243" s="7">
        <f t="shared" si="166"/>
        <v>0</v>
      </c>
      <c r="N243" s="7"/>
      <c r="O243" s="343"/>
      <c r="P243" s="343"/>
      <c r="Q243" s="343"/>
      <c r="R243" s="343"/>
      <c r="S243" s="343"/>
      <c r="T243" s="343"/>
      <c r="AA243" s="175"/>
      <c r="AB243" s="175"/>
    </row>
    <row r="244" spans="2:28" hidden="1">
      <c r="B244" s="468" t="s">
        <v>189</v>
      </c>
      <c r="C244" s="468" t="s">
        <v>190</v>
      </c>
      <c r="D244" s="468" t="s">
        <v>190</v>
      </c>
      <c r="E244" s="468" t="s">
        <v>285</v>
      </c>
      <c r="F244" s="468"/>
      <c r="G244" s="468"/>
      <c r="H244" s="468"/>
      <c r="I244" s="126" t="s">
        <v>262</v>
      </c>
      <c r="J244" s="468" t="str">
        <f t="shared" si="180"/>
        <v>lending_paylater_paylater_VNPAY_late_payment_fee</v>
      </c>
      <c r="K244" t="s">
        <v>286</v>
      </c>
      <c r="L244" s="1060" t="s">
        <v>222</v>
      </c>
      <c r="M244" s="7">
        <f t="shared" si="166"/>
        <v>1041899775</v>
      </c>
      <c r="N244" s="7">
        <v>0</v>
      </c>
      <c r="O244" s="7"/>
      <c r="P244" s="7">
        <v>11621394</v>
      </c>
      <c r="Q244" s="7">
        <v>35514909</v>
      </c>
      <c r="R244" s="7">
        <v>38449786</v>
      </c>
      <c r="S244" s="7">
        <v>60638974</v>
      </c>
      <c r="T244" s="7">
        <v>71971060</v>
      </c>
      <c r="U244" s="7">
        <v>95098042</v>
      </c>
      <c r="V244" s="7">
        <v>101450993</v>
      </c>
      <c r="W244" s="7">
        <v>115847569</v>
      </c>
      <c r="X244" s="7">
        <v>142321020</v>
      </c>
      <c r="Y244" s="7">
        <v>117950039</v>
      </c>
      <c r="Z244" s="7">
        <v>136123279</v>
      </c>
      <c r="AA244" s="7">
        <v>114912710</v>
      </c>
      <c r="AB244" s="7"/>
    </row>
    <row r="245" spans="2:28" hidden="1">
      <c r="B245" s="468" t="s">
        <v>189</v>
      </c>
      <c r="C245" s="468" t="s">
        <v>190</v>
      </c>
      <c r="D245" s="468" t="s">
        <v>190</v>
      </c>
      <c r="E245" s="468" t="s">
        <v>285</v>
      </c>
      <c r="F245" s="468"/>
      <c r="G245" s="468"/>
      <c r="H245" s="468"/>
      <c r="I245" s="126" t="s">
        <v>263</v>
      </c>
      <c r="J245" s="468" t="str">
        <f t="shared" si="180"/>
        <v>lending_paylater_paylater_VNPAY_monthly_fee</v>
      </c>
      <c r="K245" t="s">
        <v>286</v>
      </c>
      <c r="L245" s="1060" t="s">
        <v>223</v>
      </c>
      <c r="M245" s="7">
        <f t="shared" si="166"/>
        <v>1842891190</v>
      </c>
      <c r="N245" s="7">
        <v>270000</v>
      </c>
      <c r="P245">
        <v>0</v>
      </c>
      <c r="Q245" s="7"/>
      <c r="T245" s="7">
        <v>211980000</v>
      </c>
      <c r="U245" s="7">
        <v>223783294</v>
      </c>
      <c r="V245" s="7">
        <v>250728676</v>
      </c>
      <c r="W245" s="7">
        <v>230970071</v>
      </c>
      <c r="X245" s="7">
        <v>237559186</v>
      </c>
      <c r="Y245" s="7">
        <v>213879594</v>
      </c>
      <c r="Z245" s="7">
        <v>244968227</v>
      </c>
      <c r="AA245" s="7">
        <v>229022142</v>
      </c>
      <c r="AB245" s="7"/>
    </row>
    <row r="246" spans="2:28" hidden="1">
      <c r="B246" s="468" t="s">
        <v>189</v>
      </c>
      <c r="C246" s="468" t="s">
        <v>190</v>
      </c>
      <c r="D246" s="468" t="s">
        <v>190</v>
      </c>
      <c r="E246" s="468" t="s">
        <v>285</v>
      </c>
      <c r="F246" s="468"/>
      <c r="G246" s="468"/>
      <c r="H246" s="468"/>
      <c r="I246" s="126" t="s">
        <v>264</v>
      </c>
      <c r="J246" s="468" t="str">
        <f t="shared" si="180"/>
        <v>lending_paylater_paylater_VNPAY_installment_fee</v>
      </c>
      <c r="K246" t="s">
        <v>286</v>
      </c>
      <c r="L246" s="1060" t="s">
        <v>224</v>
      </c>
      <c r="M246" s="7">
        <f t="shared" si="166"/>
        <v>0</v>
      </c>
      <c r="N246" s="7"/>
      <c r="Q246" s="7"/>
      <c r="T246" s="7"/>
    </row>
    <row r="247" spans="2:28" hidden="1">
      <c r="B247" s="468" t="s">
        <v>189</v>
      </c>
      <c r="C247" s="468" t="s">
        <v>190</v>
      </c>
      <c r="D247" s="468" t="s">
        <v>190</v>
      </c>
      <c r="E247" s="468" t="s">
        <v>285</v>
      </c>
      <c r="F247" s="468"/>
      <c r="G247" s="468"/>
      <c r="H247" s="468"/>
      <c r="I247" s="126" t="s">
        <v>265</v>
      </c>
      <c r="J247" s="468" t="str">
        <f t="shared" si="180"/>
        <v>lending_paylater_paylater_VNPAY_subvention_fee</v>
      </c>
      <c r="K247" t="s">
        <v>286</v>
      </c>
      <c r="L247" s="1063" t="s">
        <v>225</v>
      </c>
      <c r="M247" s="7"/>
      <c r="N247" s="7"/>
      <c r="Q247" s="7"/>
      <c r="T247" s="7"/>
    </row>
    <row r="248" spans="2:28" hidden="1">
      <c r="B248" s="468" t="s">
        <v>189</v>
      </c>
      <c r="C248" s="468" t="s">
        <v>190</v>
      </c>
      <c r="D248" s="468" t="s">
        <v>190</v>
      </c>
      <c r="E248" s="468" t="s">
        <v>285</v>
      </c>
      <c r="F248" s="468"/>
      <c r="G248" s="468"/>
      <c r="H248" s="468"/>
      <c r="I248" s="126" t="s">
        <v>266</v>
      </c>
      <c r="J248" s="468" t="str">
        <f t="shared" si="180"/>
        <v>lending_paylater_paylater_VNPAY_other_fee</v>
      </c>
      <c r="K248" t="s">
        <v>286</v>
      </c>
      <c r="L248" s="1060" t="s">
        <v>226</v>
      </c>
      <c r="M248" s="7">
        <f t="shared" si="166"/>
        <v>0</v>
      </c>
      <c r="N248" s="7"/>
      <c r="Q248" s="7"/>
      <c r="T248" s="7"/>
    </row>
    <row r="249" spans="2:28" hidden="1">
      <c r="B249" s="468" t="s">
        <v>189</v>
      </c>
      <c r="C249" s="468" t="s">
        <v>190</v>
      </c>
      <c r="D249" s="468" t="s">
        <v>190</v>
      </c>
      <c r="E249" s="468" t="s">
        <v>285</v>
      </c>
      <c r="F249" s="468"/>
      <c r="G249" s="468"/>
      <c r="H249" s="468"/>
      <c r="I249" s="126" t="s">
        <v>267</v>
      </c>
      <c r="J249" s="468" t="str">
        <f t="shared" si="180"/>
        <v>lending_paylater_paylater_VNPAY_adjust_minus_fee</v>
      </c>
      <c r="K249" t="s">
        <v>286</v>
      </c>
      <c r="L249" s="1060" t="s">
        <v>227</v>
      </c>
      <c r="M249" s="7">
        <f t="shared" si="166"/>
        <v>591361040</v>
      </c>
      <c r="N249" s="7">
        <v>0</v>
      </c>
      <c r="O249" s="7">
        <f>100000+150000</f>
        <v>250000</v>
      </c>
      <c r="P249" s="7">
        <v>1100000</v>
      </c>
      <c r="Q249" s="7">
        <v>3050000</v>
      </c>
      <c r="R249" s="7">
        <v>3460701</v>
      </c>
      <c r="S249" s="7">
        <v>9579615</v>
      </c>
      <c r="T249" s="7">
        <v>19270578</v>
      </c>
      <c r="U249">
        <v>27602852</v>
      </c>
      <c r="V249" s="7">
        <v>53511747</v>
      </c>
      <c r="W249" s="7">
        <v>63864552</v>
      </c>
      <c r="X249" s="7">
        <v>79537119</v>
      </c>
      <c r="Y249" s="7">
        <v>96986287</v>
      </c>
      <c r="Z249" s="7">
        <v>119125407</v>
      </c>
      <c r="AA249" s="7">
        <v>114272182</v>
      </c>
      <c r="AB249" s="7"/>
    </row>
    <row r="250" spans="2:28" hidden="1">
      <c r="B250" s="468" t="s">
        <v>189</v>
      </c>
      <c r="C250" s="468" t="s">
        <v>190</v>
      </c>
      <c r="D250" s="468" t="s">
        <v>190</v>
      </c>
      <c r="E250" s="468" t="s">
        <v>285</v>
      </c>
      <c r="F250" s="468"/>
      <c r="G250" s="468"/>
      <c r="H250" s="468"/>
      <c r="I250" s="126" t="s">
        <v>268</v>
      </c>
      <c r="J250" s="468" t="str">
        <f t="shared" si="180"/>
        <v>lending_paylater_paylater_VNPAY_adjust_bonus_fee</v>
      </c>
      <c r="K250" t="s">
        <v>286</v>
      </c>
      <c r="L250" s="1060" t="s">
        <v>228</v>
      </c>
      <c r="M250" s="7">
        <f t="shared" si="166"/>
        <v>477338858</v>
      </c>
      <c r="N250" s="7">
        <v>0</v>
      </c>
      <c r="O250" s="7"/>
      <c r="P250" s="7">
        <f>100000+150000</f>
        <v>250000</v>
      </c>
      <c r="Q250" s="7">
        <v>1100000</v>
      </c>
      <c r="R250" s="7">
        <v>3050000</v>
      </c>
      <c r="S250" s="7">
        <v>3460701</v>
      </c>
      <c r="T250" s="7">
        <v>9579615</v>
      </c>
      <c r="U250" s="7">
        <v>19270578</v>
      </c>
      <c r="V250" s="7">
        <f t="shared" ref="V250:X250" si="181">U249</f>
        <v>27602852</v>
      </c>
      <c r="W250" s="7">
        <f t="shared" si="181"/>
        <v>53511747</v>
      </c>
      <c r="X250" s="7">
        <f t="shared" si="181"/>
        <v>63864552</v>
      </c>
      <c r="Y250" s="7">
        <f>X249</f>
        <v>79537119</v>
      </c>
      <c r="Z250" s="7">
        <v>96986287</v>
      </c>
      <c r="AA250" s="7">
        <v>119125407</v>
      </c>
      <c r="AB250" s="7"/>
    </row>
    <row r="251" spans="2:28" hidden="1">
      <c r="B251" s="468" t="s">
        <v>189</v>
      </c>
      <c r="C251" s="468" t="s">
        <v>190</v>
      </c>
      <c r="D251" s="468" t="s">
        <v>190</v>
      </c>
      <c r="E251" s="468" t="s">
        <v>285</v>
      </c>
      <c r="F251" s="468"/>
      <c r="G251" s="468"/>
      <c r="H251" s="468"/>
      <c r="I251" s="717" t="s">
        <v>269</v>
      </c>
      <c r="J251" s="468" t="str">
        <f t="shared" si="180"/>
        <v>lending_paylater_paylater_VNPAY_other_TOI</v>
      </c>
      <c r="K251" t="s">
        <v>286</v>
      </c>
      <c r="L251" s="1055" t="s">
        <v>89</v>
      </c>
      <c r="M251" s="7">
        <f t="shared" si="166"/>
        <v>54060345</v>
      </c>
      <c r="N251" s="7"/>
      <c r="O251" s="7"/>
      <c r="P251" s="7"/>
      <c r="Q251" s="7"/>
      <c r="R251" s="7"/>
      <c r="S251" s="7"/>
      <c r="T251" s="7"/>
      <c r="Z251" s="47">
        <v>21471490</v>
      </c>
      <c r="AA251" s="7">
        <v>32588855</v>
      </c>
      <c r="AB251" s="7"/>
    </row>
    <row r="252" spans="2:28" hidden="1">
      <c r="B252" s="468" t="s">
        <v>189</v>
      </c>
      <c r="C252" s="468" t="s">
        <v>190</v>
      </c>
      <c r="D252" s="468" t="s">
        <v>190</v>
      </c>
      <c r="E252" s="468" t="s">
        <v>285</v>
      </c>
      <c r="F252" s="468"/>
      <c r="G252" s="468"/>
      <c r="H252" s="468"/>
      <c r="I252" s="126" t="s">
        <v>270</v>
      </c>
      <c r="J252" s="468" t="str">
        <f t="shared" si="180"/>
        <v>lending_paylater_paylater_VNPAY_provision</v>
      </c>
      <c r="K252" t="s">
        <v>286</v>
      </c>
      <c r="L252" s="47" t="s">
        <v>136</v>
      </c>
      <c r="M252" s="7">
        <f t="shared" si="166"/>
        <v>9293807297</v>
      </c>
      <c r="N252" s="47">
        <v>11809382</v>
      </c>
      <c r="O252" s="47">
        <f>17783460+3189311</f>
        <v>20972771</v>
      </c>
      <c r="P252" s="47">
        <v>42072329</v>
      </c>
      <c r="Q252" s="47">
        <v>66938285</v>
      </c>
      <c r="R252" s="47">
        <f>91892595+32252732</f>
        <v>124145327</v>
      </c>
      <c r="S252" s="47">
        <v>85632373</v>
      </c>
      <c r="T252" s="47">
        <v>215477430</v>
      </c>
      <c r="U252" s="47">
        <f t="shared" ref="U252" si="182">268237962+123140888</f>
        <v>391378850</v>
      </c>
      <c r="V252" s="47">
        <v>301561476</v>
      </c>
      <c r="W252" s="47">
        <v>794106750</v>
      </c>
      <c r="X252" s="47">
        <f>1138232319+234484929</f>
        <v>1372717248</v>
      </c>
      <c r="Y252" s="47">
        <v>1957828075</v>
      </c>
      <c r="Z252" s="47">
        <v>1700229082</v>
      </c>
      <c r="AA252" s="47">
        <f>1962027020+279693052</f>
        <v>2241720072</v>
      </c>
      <c r="AB252" s="47"/>
    </row>
    <row r="253" spans="2:28" hidden="1">
      <c r="B253" s="468" t="s">
        <v>189</v>
      </c>
      <c r="C253" s="468" t="s">
        <v>190</v>
      </c>
      <c r="D253" s="468" t="s">
        <v>190</v>
      </c>
      <c r="E253" s="468" t="s">
        <v>285</v>
      </c>
      <c r="F253" s="468"/>
      <c r="G253" s="468"/>
      <c r="H253" s="468"/>
      <c r="I253" s="126" t="s">
        <v>271</v>
      </c>
      <c r="J253" s="468" t="str">
        <f t="shared" si="180"/>
        <v>lending_paylater_paylater_VNPAY_variable_cost</v>
      </c>
      <c r="K253" t="s">
        <v>286</v>
      </c>
      <c r="L253" s="47" t="s">
        <v>229</v>
      </c>
      <c r="M253" s="7">
        <f>SUM(P253:AA253)</f>
        <v>2342472166.6160769</v>
      </c>
      <c r="N253" s="81">
        <f t="shared" ref="N253:U253" si="183">SUM(N254:N261)</f>
        <v>18847974.811069578</v>
      </c>
      <c r="O253" s="81">
        <f t="shared" si="183"/>
        <v>33175453.02580912</v>
      </c>
      <c r="P253" s="81">
        <f t="shared" si="183"/>
        <v>68148019.265728116</v>
      </c>
      <c r="Q253" s="81">
        <f t="shared" si="183"/>
        <v>109976001.15044253</v>
      </c>
      <c r="R253" s="81">
        <f t="shared" si="183"/>
        <v>151979853.91708428</v>
      </c>
      <c r="S253" s="81">
        <f t="shared" si="183"/>
        <v>190297530.61147624</v>
      </c>
      <c r="T253" s="81">
        <f t="shared" si="183"/>
        <v>218149867.79307362</v>
      </c>
      <c r="U253" s="81">
        <f t="shared" si="183"/>
        <v>207182320.8370882</v>
      </c>
      <c r="V253" s="81">
        <f t="shared" ref="V253:AA253" si="184">SUM(V254:V261)</f>
        <v>237224459.38422841</v>
      </c>
      <c r="W253" s="81">
        <f t="shared" si="184"/>
        <v>246069288.45405746</v>
      </c>
      <c r="X253" s="81">
        <f t="shared" si="184"/>
        <v>204449386.15495059</v>
      </c>
      <c r="Y253" s="81">
        <f t="shared" si="184"/>
        <v>222146278.0392158</v>
      </c>
      <c r="Z253" s="81">
        <f t="shared" si="184"/>
        <v>224432420.27694416</v>
      </c>
      <c r="AA253" s="81">
        <f t="shared" si="184"/>
        <v>262416740.73178762</v>
      </c>
      <c r="AB253" s="81"/>
    </row>
    <row r="254" spans="2:28" hidden="1">
      <c r="B254" s="468" t="s">
        <v>189</v>
      </c>
      <c r="C254" s="468" t="s">
        <v>190</v>
      </c>
      <c r="D254" s="468" t="s">
        <v>190</v>
      </c>
      <c r="E254" s="468" t="s">
        <v>285</v>
      </c>
      <c r="F254" s="468"/>
      <c r="G254" s="468"/>
      <c r="H254" s="468"/>
      <c r="I254" s="126" t="s">
        <v>272</v>
      </c>
      <c r="J254" s="468" t="str">
        <f t="shared" si="180"/>
        <v>lending_paylater_paylater_VNPAY_marketing_acquisition_cost</v>
      </c>
      <c r="K254" t="s">
        <v>286</v>
      </c>
      <c r="L254" s="563" t="s">
        <v>230</v>
      </c>
      <c r="M254" s="7">
        <f t="shared" si="166"/>
        <v>0</v>
      </c>
    </row>
    <row r="255" spans="2:28" hidden="1">
      <c r="B255" s="468" t="s">
        <v>189</v>
      </c>
      <c r="C255" s="468" t="s">
        <v>190</v>
      </c>
      <c r="D255" s="468" t="s">
        <v>190</v>
      </c>
      <c r="E255" s="468" t="s">
        <v>285</v>
      </c>
      <c r="F255" s="468"/>
      <c r="G255" s="468"/>
      <c r="H255" s="468"/>
      <c r="I255" s="126" t="s">
        <v>273</v>
      </c>
      <c r="J255" s="468" t="str">
        <f t="shared" si="180"/>
        <v>lending_paylater_paylater_VNPAY_partner_acquisition_cost</v>
      </c>
      <c r="K255" t="s">
        <v>286</v>
      </c>
      <c r="L255" s="563" t="s">
        <v>231</v>
      </c>
      <c r="M255" s="7">
        <f t="shared" si="166"/>
        <v>470022054.23358017</v>
      </c>
      <c r="P255" s="7">
        <v>674253</v>
      </c>
      <c r="Q255" s="7">
        <v>3871281</v>
      </c>
      <c r="R255" s="89">
        <v>10575900</v>
      </c>
      <c r="S255" s="89">
        <v>13043248</v>
      </c>
      <c r="T255" s="89">
        <v>24542545</v>
      </c>
      <c r="U255" s="89">
        <v>45819480</v>
      </c>
      <c r="V255" s="7">
        <v>61188687</v>
      </c>
      <c r="W255" s="7">
        <v>62134457</v>
      </c>
      <c r="X255" s="7"/>
      <c r="Y255" s="7">
        <v>76268849.870919928</v>
      </c>
      <c r="Z255" s="7">
        <v>76831322.070480198</v>
      </c>
      <c r="AA255" s="7">
        <v>95072031.292179987</v>
      </c>
      <c r="AB255" s="7"/>
    </row>
    <row r="256" spans="2:28" hidden="1">
      <c r="B256" s="468" t="s">
        <v>189</v>
      </c>
      <c r="C256" s="468" t="s">
        <v>190</v>
      </c>
      <c r="D256" s="468" t="s">
        <v>190</v>
      </c>
      <c r="E256" s="468" t="s">
        <v>285</v>
      </c>
      <c r="F256" s="468"/>
      <c r="G256" s="468"/>
      <c r="H256" s="468"/>
      <c r="I256" s="126" t="s">
        <v>274</v>
      </c>
      <c r="J256" s="468" t="str">
        <f t="shared" si="180"/>
        <v>lending_paylater_paylater_VNPAY_underwritting</v>
      </c>
      <c r="K256" t="s">
        <v>286</v>
      </c>
      <c r="L256" s="563" t="s">
        <v>232</v>
      </c>
      <c r="M256" s="7">
        <f t="shared" si="166"/>
        <v>757600110.76928699</v>
      </c>
      <c r="N256" s="7">
        <v>11051373.951264938</v>
      </c>
      <c r="O256" s="7">
        <v>14079303.850026879</v>
      </c>
      <c r="P256" s="7">
        <v>24504678.309167918</v>
      </c>
      <c r="Q256" s="7">
        <v>48127509.170643501</v>
      </c>
      <c r="R256" s="7">
        <v>48831019.019593164</v>
      </c>
      <c r="S256" s="7">
        <v>62938786.896608092</v>
      </c>
      <c r="T256" s="7">
        <v>72265690.767029941</v>
      </c>
      <c r="U256" s="7">
        <v>84412095.169568866</v>
      </c>
      <c r="V256" s="7">
        <v>80781551.878312409</v>
      </c>
      <c r="W256" s="7">
        <v>77636027.00659211</v>
      </c>
      <c r="X256" s="7">
        <v>75492511.175867543</v>
      </c>
      <c r="Y256" s="7">
        <v>66076018.252511948</v>
      </c>
      <c r="Z256" s="7">
        <v>50862554.294869393</v>
      </c>
      <c r="AA256" s="7">
        <v>65671668.828522086</v>
      </c>
      <c r="AB256" s="7"/>
    </row>
    <row r="257" spans="2:28" hidden="1">
      <c r="B257" s="468" t="s">
        <v>189</v>
      </c>
      <c r="C257" s="468" t="s">
        <v>190</v>
      </c>
      <c r="D257" s="468" t="s">
        <v>190</v>
      </c>
      <c r="E257" s="468" t="s">
        <v>285</v>
      </c>
      <c r="F257" s="468"/>
      <c r="G257" s="468"/>
      <c r="H257" s="468"/>
      <c r="I257" s="126" t="s">
        <v>275</v>
      </c>
      <c r="J257" s="468" t="str">
        <f t="shared" si="180"/>
        <v>lending_paylater_paylater_VNPAY_e_contract</v>
      </c>
      <c r="K257" t="s">
        <v>286</v>
      </c>
      <c r="L257" s="563" t="s">
        <v>233</v>
      </c>
      <c r="M257" s="7">
        <f t="shared" si="166"/>
        <v>27402793</v>
      </c>
      <c r="N257">
        <v>689175</v>
      </c>
      <c r="O257" s="7">
        <v>694076</v>
      </c>
      <c r="P257" s="7">
        <v>1814528</v>
      </c>
      <c r="Q257" s="7">
        <v>1657766</v>
      </c>
      <c r="R257" s="7">
        <v>4266122</v>
      </c>
      <c r="S257">
        <v>4127470</v>
      </c>
      <c r="T257" s="7">
        <v>538159</v>
      </c>
      <c r="U257">
        <v>2074859</v>
      </c>
      <c r="V257" s="7">
        <v>2360033</v>
      </c>
      <c r="W257" s="7">
        <v>3652200</v>
      </c>
      <c r="X257" s="7">
        <v>2262873</v>
      </c>
      <c r="Y257" s="7">
        <v>1626958</v>
      </c>
      <c r="Z257" s="7">
        <v>1494737</v>
      </c>
      <c r="AA257" s="7">
        <v>1527088</v>
      </c>
      <c r="AB257" s="7"/>
    </row>
    <row r="258" spans="2:28" hidden="1">
      <c r="B258" s="468" t="s">
        <v>189</v>
      </c>
      <c r="C258" s="468" t="s">
        <v>190</v>
      </c>
      <c r="D258" s="468" t="s">
        <v>190</v>
      </c>
      <c r="E258" s="468" t="s">
        <v>285</v>
      </c>
      <c r="F258" s="468"/>
      <c r="G258" s="468"/>
      <c r="H258" s="468"/>
      <c r="I258" s="126" t="s">
        <v>276</v>
      </c>
      <c r="J258" s="468" t="str">
        <f t="shared" si="180"/>
        <v>lending_paylater_paylater_VNPAY_nfc</v>
      </c>
      <c r="K258" t="s">
        <v>286</v>
      </c>
      <c r="L258" s="563" t="s">
        <v>152</v>
      </c>
      <c r="M258" s="7">
        <f t="shared" si="166"/>
        <v>26069098.795938484</v>
      </c>
      <c r="N258" s="7"/>
      <c r="O258" s="7"/>
      <c r="P258" s="7">
        <v>3355564.0273136715</v>
      </c>
      <c r="Q258" s="7">
        <v>843060.28146230988</v>
      </c>
      <c r="R258">
        <v>2582940.8287292817</v>
      </c>
      <c r="S258">
        <v>2190287.313172231</v>
      </c>
      <c r="T258">
        <v>2544136.5644171778</v>
      </c>
      <c r="U258" s="7">
        <v>1962910.3494341995</v>
      </c>
      <c r="V258" s="7">
        <v>2341330.695763526</v>
      </c>
      <c r="W258" s="7">
        <v>1906583.1395348839</v>
      </c>
      <c r="X258" s="7">
        <v>2129682.9472748814</v>
      </c>
      <c r="Y258" s="7">
        <v>2165126.9342159703</v>
      </c>
      <c r="Z258" s="7">
        <v>2004793.1102362203</v>
      </c>
      <c r="AA258" s="7">
        <v>2042682.6043841336</v>
      </c>
      <c r="AB258" s="7"/>
    </row>
    <row r="259" spans="2:28" hidden="1">
      <c r="B259" s="468" t="s">
        <v>189</v>
      </c>
      <c r="C259" s="468" t="s">
        <v>190</v>
      </c>
      <c r="D259" s="468" t="s">
        <v>190</v>
      </c>
      <c r="E259" s="468" t="s">
        <v>285</v>
      </c>
      <c r="F259" s="468"/>
      <c r="G259" s="468"/>
      <c r="H259" s="468"/>
      <c r="I259" s="126" t="s">
        <v>277</v>
      </c>
      <c r="J259" s="468" t="str">
        <f t="shared" si="180"/>
        <v>lending_paylater_paylater_VNPAY_collection</v>
      </c>
      <c r="K259" t="s">
        <v>286</v>
      </c>
      <c r="L259" s="563" t="s">
        <v>234</v>
      </c>
      <c r="M259" s="7">
        <f t="shared" si="166"/>
        <v>589265272.91178548</v>
      </c>
      <c r="N259" s="7">
        <v>7574.8598046417001</v>
      </c>
      <c r="O259" s="7">
        <v>5829454.1757822419</v>
      </c>
      <c r="P259">
        <v>12274325.402734211</v>
      </c>
      <c r="Q259" s="7">
        <v>23981779.497385163</v>
      </c>
      <c r="R259" s="7">
        <v>48112027.828485087</v>
      </c>
      <c r="S259" s="7">
        <v>61183147.876536988</v>
      </c>
      <c r="T259">
        <v>72490528.043778554</v>
      </c>
      <c r="U259" s="7">
        <v>30910626.292820591</v>
      </c>
      <c r="V259" s="7">
        <v>48112904.567527771</v>
      </c>
      <c r="W259" s="7">
        <v>64054347.109570511</v>
      </c>
      <c r="X259" s="7">
        <v>83084205.290112123</v>
      </c>
      <c r="Y259" s="7">
        <v>37236961.366813511</v>
      </c>
      <c r="Z259" s="7">
        <v>51443829.846603818</v>
      </c>
      <c r="AA259" s="7">
        <v>56380589.789417133</v>
      </c>
      <c r="AB259" s="7"/>
    </row>
    <row r="260" spans="2:28" hidden="1">
      <c r="B260" s="468" t="s">
        <v>189</v>
      </c>
      <c r="C260" s="468" t="s">
        <v>190</v>
      </c>
      <c r="D260" s="468" t="s">
        <v>190</v>
      </c>
      <c r="E260" s="468" t="s">
        <v>285</v>
      </c>
      <c r="F260" s="468"/>
      <c r="G260" s="468"/>
      <c r="H260" s="468"/>
      <c r="I260" s="126" t="s">
        <v>278</v>
      </c>
      <c r="J260" s="468" t="str">
        <f t="shared" si="180"/>
        <v>lending_paylater_paylater_VNPAY_promotion</v>
      </c>
      <c r="K260" t="s">
        <v>286</v>
      </c>
      <c r="L260" s="563" t="s">
        <v>235</v>
      </c>
      <c r="M260" s="7">
        <f t="shared" si="166"/>
        <v>0</v>
      </c>
    </row>
    <row r="261" spans="2:28" hidden="1">
      <c r="B261" s="468" t="s">
        <v>189</v>
      </c>
      <c r="C261" s="468" t="s">
        <v>190</v>
      </c>
      <c r="D261" s="468" t="s">
        <v>190</v>
      </c>
      <c r="E261" s="468" t="s">
        <v>285</v>
      </c>
      <c r="F261" s="468"/>
      <c r="G261" s="468"/>
      <c r="H261" s="468"/>
      <c r="I261" s="126" t="s">
        <v>279</v>
      </c>
      <c r="J261" s="468" t="str">
        <f t="shared" si="180"/>
        <v>lending_paylater_paylater_VNPAY_sms</v>
      </c>
      <c r="K261" t="s">
        <v>286</v>
      </c>
      <c r="L261" s="563" t="s">
        <v>163</v>
      </c>
      <c r="M261" s="7">
        <f t="shared" si="166"/>
        <v>472112836.90548599</v>
      </c>
      <c r="N261" s="7">
        <v>7099851</v>
      </c>
      <c r="O261" s="7">
        <v>12572619</v>
      </c>
      <c r="P261">
        <v>25524670.526512317</v>
      </c>
      <c r="Q261" s="7">
        <v>31494605.200951543</v>
      </c>
      <c r="R261">
        <v>37611844.240276769</v>
      </c>
      <c r="S261">
        <v>46814590.525158927</v>
      </c>
      <c r="T261" s="7">
        <v>45768808.417847961</v>
      </c>
      <c r="U261" s="7">
        <v>42002350.025264531</v>
      </c>
      <c r="V261" s="7">
        <v>42439952.242624685</v>
      </c>
      <c r="W261" s="7">
        <v>36685674.198359959</v>
      </c>
      <c r="X261" s="7">
        <v>41480113.74169603</v>
      </c>
      <c r="Y261" s="7">
        <v>38772363.614754468</v>
      </c>
      <c r="Z261" s="7">
        <v>41795183.954754539</v>
      </c>
      <c r="AA261" s="7">
        <v>41722680.217284277</v>
      </c>
      <c r="AB261" s="7"/>
    </row>
    <row r="262" spans="2:28">
      <c r="B262" s="468" t="s">
        <v>189</v>
      </c>
      <c r="C262" s="468" t="s">
        <v>190</v>
      </c>
      <c r="D262" s="468" t="s">
        <v>190</v>
      </c>
      <c r="E262" s="468" t="s">
        <v>285</v>
      </c>
      <c r="F262" s="468" t="str">
        <f>E262&amp;"PL"</f>
        <v>VNPAYPL</v>
      </c>
      <c r="G262" s="468" t="str">
        <f>L262&amp;F262</f>
        <v>Profit before allocation costVNPAYPL</v>
      </c>
      <c r="H262" s="468" t="str">
        <f>L262&amp;E262</f>
        <v>Profit before allocation costVNPAY</v>
      </c>
      <c r="I262" s="126" t="s">
        <v>280</v>
      </c>
      <c r="J262" s="468" t="str">
        <f t="shared" si="180"/>
        <v>lending_paylater_paylater_VNPAY_profit_before_overhead</v>
      </c>
      <c r="K262" t="s">
        <v>286</v>
      </c>
      <c r="L262" s="47" t="s">
        <v>236</v>
      </c>
      <c r="M262" s="7">
        <f t="shared" si="166"/>
        <v>-5517124991.7795353</v>
      </c>
      <c r="N262" s="81">
        <f t="shared" ref="N262:T262" si="185">N233-N252-N253</f>
        <v>-31556391.811069578</v>
      </c>
      <c r="O262" s="81">
        <f t="shared" si="185"/>
        <v>-54825840.025809124</v>
      </c>
      <c r="P262" s="81">
        <f t="shared" si="185"/>
        <v>-78251255.265728116</v>
      </c>
      <c r="Q262" s="81">
        <f t="shared" si="185"/>
        <v>-82250757.150442526</v>
      </c>
      <c r="R262" s="81">
        <f t="shared" si="185"/>
        <v>-153244278.3119843</v>
      </c>
      <c r="S262" s="81">
        <f t="shared" si="185"/>
        <v>-90978641.602376491</v>
      </c>
      <c r="T262" s="81">
        <f t="shared" si="185"/>
        <v>22553898.173826247</v>
      </c>
      <c r="U262" s="81">
        <f t="shared" ref="U262:AA262" si="186">U233-U252-U253</f>
        <v>-59783262.402988046</v>
      </c>
      <c r="V262" s="81">
        <f t="shared" si="186"/>
        <v>70525518.370871484</v>
      </c>
      <c r="W262" s="81">
        <f t="shared" si="186"/>
        <v>-316422947.66471672</v>
      </c>
      <c r="X262" s="81">
        <f t="shared" si="186"/>
        <v>-786470128.21385026</v>
      </c>
      <c r="Y262" s="81">
        <f t="shared" si="186"/>
        <v>-1416012201.3300166</v>
      </c>
      <c r="Z262" s="81">
        <f t="shared" si="186"/>
        <v>-1043064673.5721422</v>
      </c>
      <c r="AA262" s="81">
        <f t="shared" si="186"/>
        <v>-1583726262.809988</v>
      </c>
      <c r="AB262" s="7">
        <f>SUM(P262:AA262)</f>
        <v>-5517124991.7795353</v>
      </c>
    </row>
    <row r="263" spans="2:28" hidden="1">
      <c r="B263" s="468"/>
      <c r="C263" s="468"/>
      <c r="D263" s="468"/>
      <c r="E263" s="468"/>
      <c r="F263" s="468"/>
      <c r="G263" s="468"/>
      <c r="H263" s="468"/>
      <c r="I263" s="126"/>
      <c r="J263" s="468"/>
      <c r="L263" s="47"/>
      <c r="N263" s="34"/>
      <c r="O263" s="34"/>
      <c r="P263" s="34"/>
      <c r="Q263" s="34"/>
      <c r="R263" s="34"/>
      <c r="S263" s="34"/>
      <c r="T263" s="34"/>
      <c r="Z263" s="34"/>
      <c r="AA263" s="34"/>
      <c r="AB263" s="34"/>
    </row>
    <row r="264" spans="2:28" hidden="1">
      <c r="B264" s="468" t="s">
        <v>189</v>
      </c>
      <c r="C264" s="468" t="s">
        <v>190</v>
      </c>
      <c r="D264" s="468" t="s">
        <v>190</v>
      </c>
      <c r="E264" s="468" t="s">
        <v>288</v>
      </c>
      <c r="F264" s="468"/>
      <c r="G264" s="468"/>
      <c r="H264" s="468"/>
      <c r="I264" s="126"/>
      <c r="J264" s="468" t="str">
        <f t="shared" ref="J264:J295" si="187">B264&amp;"_"&amp;C264&amp;"_"&amp;D264&amp;"_"&amp;E264&amp;"_"&amp;I264</f>
        <v>lending_paylater_paylater_FPT_</v>
      </c>
      <c r="K264" t="s">
        <v>288</v>
      </c>
      <c r="L264" s="1048" t="s">
        <v>289</v>
      </c>
    </row>
    <row r="265" spans="2:28" hidden="1">
      <c r="B265" s="468" t="s">
        <v>189</v>
      </c>
      <c r="C265" s="468" t="s">
        <v>190</v>
      </c>
      <c r="D265" s="468" t="s">
        <v>190</v>
      </c>
      <c r="E265" s="468" t="s">
        <v>288</v>
      </c>
      <c r="F265" s="468"/>
      <c r="G265" s="468"/>
      <c r="H265" s="468"/>
      <c r="I265" s="126" t="s">
        <v>239</v>
      </c>
      <c r="J265" s="468" t="str">
        <f t="shared" si="187"/>
        <v>lending_paylater_paylater_FPT_new_account</v>
      </c>
      <c r="K265" t="s">
        <v>288</v>
      </c>
      <c r="L265" s="1052" t="s">
        <v>193</v>
      </c>
      <c r="N265">
        <v>19</v>
      </c>
      <c r="O265">
        <v>271</v>
      </c>
      <c r="P265">
        <v>145</v>
      </c>
      <c r="Q265">
        <v>71</v>
      </c>
      <c r="R265">
        <v>99</v>
      </c>
      <c r="S265">
        <v>92</v>
      </c>
      <c r="T265">
        <v>138</v>
      </c>
      <c r="U265">
        <v>98</v>
      </c>
      <c r="V265" s="7">
        <v>93</v>
      </c>
      <c r="W265">
        <v>85</v>
      </c>
      <c r="X265">
        <v>77</v>
      </c>
      <c r="Y265">
        <v>79</v>
      </c>
    </row>
    <row r="266" spans="2:28" hidden="1">
      <c r="B266" s="468" t="s">
        <v>189</v>
      </c>
      <c r="C266" s="468" t="s">
        <v>190</v>
      </c>
      <c r="D266" s="468" t="s">
        <v>190</v>
      </c>
      <c r="E266" s="468" t="s">
        <v>288</v>
      </c>
      <c r="F266" s="468"/>
      <c r="G266" s="468"/>
      <c r="H266" s="468"/>
      <c r="I266" s="126" t="s">
        <v>240</v>
      </c>
      <c r="J266" s="468" t="str">
        <f t="shared" si="187"/>
        <v>lending_paylater_paylater_FPT_accum_account</v>
      </c>
      <c r="K266" t="s">
        <v>288</v>
      </c>
      <c r="L266" s="1052" t="s">
        <v>194</v>
      </c>
      <c r="N266">
        <v>28</v>
      </c>
      <c r="O266">
        <v>299</v>
      </c>
      <c r="P266">
        <f t="shared" ref="P266:U266" si="188">O266+P265</f>
        <v>444</v>
      </c>
      <c r="Q266">
        <f t="shared" si="188"/>
        <v>515</v>
      </c>
      <c r="R266">
        <f t="shared" si="188"/>
        <v>614</v>
      </c>
      <c r="S266">
        <f t="shared" si="188"/>
        <v>706</v>
      </c>
      <c r="T266">
        <f t="shared" si="188"/>
        <v>844</v>
      </c>
      <c r="U266">
        <f t="shared" si="188"/>
        <v>942</v>
      </c>
      <c r="V266">
        <f t="shared" ref="V266:AA266" si="189">U266+V265</f>
        <v>1035</v>
      </c>
      <c r="W266">
        <f t="shared" si="189"/>
        <v>1120</v>
      </c>
      <c r="X266">
        <f t="shared" si="189"/>
        <v>1197</v>
      </c>
      <c r="Y266">
        <f t="shared" si="189"/>
        <v>1276</v>
      </c>
      <c r="Z266">
        <f t="shared" si="189"/>
        <v>1276</v>
      </c>
      <c r="AA266">
        <f t="shared" si="189"/>
        <v>1276</v>
      </c>
    </row>
    <row r="267" spans="2:28" hidden="1">
      <c r="B267" s="468" t="s">
        <v>189</v>
      </c>
      <c r="C267" s="468" t="s">
        <v>190</v>
      </c>
      <c r="D267" s="468" t="s">
        <v>190</v>
      </c>
      <c r="E267" s="468" t="s">
        <v>288</v>
      </c>
      <c r="F267" s="468"/>
      <c r="G267" s="468"/>
      <c r="H267" s="468"/>
      <c r="I267" s="126" t="s">
        <v>241</v>
      </c>
      <c r="J267" s="468" t="str">
        <f t="shared" si="187"/>
        <v>lending_paylater_paylater_FPT_active_account</v>
      </c>
      <c r="K267" t="s">
        <v>288</v>
      </c>
      <c r="L267" s="1052" t="s">
        <v>195</v>
      </c>
      <c r="N267">
        <v>14</v>
      </c>
      <c r="O267">
        <v>201</v>
      </c>
      <c r="P267">
        <v>234</v>
      </c>
      <c r="Q267">
        <v>252</v>
      </c>
      <c r="R267">
        <v>438</v>
      </c>
      <c r="S267">
        <v>300</v>
      </c>
      <c r="T267">
        <v>357</v>
      </c>
      <c r="U267">
        <v>365</v>
      </c>
      <c r="V267" s="7">
        <v>377</v>
      </c>
      <c r="W267">
        <v>377</v>
      </c>
      <c r="X267">
        <v>394</v>
      </c>
      <c r="Y267">
        <v>430</v>
      </c>
      <c r="Z267">
        <v>336</v>
      </c>
      <c r="AA267">
        <v>308</v>
      </c>
    </row>
    <row r="268" spans="2:28" hidden="1">
      <c r="B268" s="468" t="s">
        <v>189</v>
      </c>
      <c r="C268" s="468" t="s">
        <v>190</v>
      </c>
      <c r="D268" s="468" t="s">
        <v>190</v>
      </c>
      <c r="E268" s="468" t="s">
        <v>288</v>
      </c>
      <c r="F268" s="468"/>
      <c r="G268" s="468"/>
      <c r="H268" s="468"/>
      <c r="I268" s="1050"/>
      <c r="J268" s="468" t="str">
        <f t="shared" si="187"/>
        <v>lending_paylater_paylater_FPT_</v>
      </c>
      <c r="K268" t="s">
        <v>288</v>
      </c>
      <c r="L268" s="1052" t="s">
        <v>196</v>
      </c>
      <c r="N268" s="42">
        <f t="shared" ref="N268:T268" si="190">N267/N266</f>
        <v>0.5</v>
      </c>
      <c r="O268" s="42">
        <f t="shared" si="190"/>
        <v>0.67224080267558528</v>
      </c>
      <c r="P268" s="42">
        <f t="shared" si="190"/>
        <v>0.52702702702702697</v>
      </c>
      <c r="Q268" s="42">
        <f t="shared" si="190"/>
        <v>0.48932038834951458</v>
      </c>
      <c r="R268" s="42">
        <f t="shared" si="190"/>
        <v>0.71335504885993484</v>
      </c>
      <c r="S268" s="42">
        <f t="shared" si="190"/>
        <v>0.42492917847025496</v>
      </c>
      <c r="T268" s="42">
        <f t="shared" si="190"/>
        <v>0.42298578199052134</v>
      </c>
      <c r="U268" s="42">
        <f t="shared" ref="U268" si="191">U267/U266</f>
        <v>0.38747346072186839</v>
      </c>
      <c r="V268" s="42">
        <f t="shared" ref="V268:AA268" si="192">V267/V266</f>
        <v>0.36425120772946862</v>
      </c>
      <c r="W268" s="42">
        <f t="shared" si="192"/>
        <v>0.33660714285714288</v>
      </c>
      <c r="X268" s="42">
        <f t="shared" si="192"/>
        <v>0.32915622389306598</v>
      </c>
      <c r="Y268" s="42">
        <f t="shared" si="192"/>
        <v>0.33699059561128525</v>
      </c>
      <c r="Z268" s="42">
        <f t="shared" si="192"/>
        <v>0.26332288401253917</v>
      </c>
      <c r="AA268" s="42">
        <f t="shared" si="192"/>
        <v>0.2413793103448276</v>
      </c>
      <c r="AB268" s="42"/>
    </row>
    <row r="269" spans="2:28" hidden="1">
      <c r="B269" s="468" t="s">
        <v>189</v>
      </c>
      <c r="C269" s="468" t="s">
        <v>190</v>
      </c>
      <c r="D269" s="468" t="s">
        <v>190</v>
      </c>
      <c r="E269" s="468" t="s">
        <v>288</v>
      </c>
      <c r="F269" s="468"/>
      <c r="G269" s="468"/>
      <c r="H269" s="468"/>
      <c r="I269" s="126"/>
      <c r="J269" s="468" t="str">
        <f t="shared" si="187"/>
        <v>lending_paylater_paylater_FPT_</v>
      </c>
      <c r="K269" t="s">
        <v>288</v>
      </c>
      <c r="L269" s="1052" t="s">
        <v>197</v>
      </c>
      <c r="N269" s="7">
        <f t="shared" ref="N269:T269" si="193">N271/N266</f>
        <v>107142.85714285714</v>
      </c>
      <c r="O269" s="7">
        <f t="shared" si="193"/>
        <v>2785953.1772575253</v>
      </c>
      <c r="P269" s="7">
        <f t="shared" si="193"/>
        <v>1671171.1711711711</v>
      </c>
      <c r="Q269" s="7">
        <f t="shared" si="193"/>
        <v>1472134.0834951457</v>
      </c>
      <c r="R269" s="7">
        <f t="shared" si="193"/>
        <v>1548481.3387622149</v>
      </c>
      <c r="S269" s="7">
        <f t="shared" si="193"/>
        <v>1187563.1076487252</v>
      </c>
      <c r="T269" s="7">
        <f t="shared" si="193"/>
        <v>1161349.3815165877</v>
      </c>
      <c r="U269" s="7">
        <f t="shared" ref="U269" si="194">U271/U266</f>
        <v>950919.81104033976</v>
      </c>
      <c r="V269" s="7">
        <f t="shared" ref="V269:AA269" si="195">V271/V266</f>
        <v>886330.85120772943</v>
      </c>
      <c r="W269" s="7">
        <f t="shared" si="195"/>
        <v>840514.29374999995</v>
      </c>
      <c r="X269" s="7">
        <f t="shared" si="195"/>
        <v>779252.20217209694</v>
      </c>
      <c r="Y269" s="7">
        <f t="shared" si="195"/>
        <v>759137.95689655177</v>
      </c>
      <c r="Z269" s="7">
        <f t="shared" si="195"/>
        <v>445084.59090909088</v>
      </c>
      <c r="AA269" s="7">
        <f t="shared" si="195"/>
        <v>462023.89184952975</v>
      </c>
      <c r="AB269" s="7"/>
    </row>
    <row r="270" spans="2:28" hidden="1">
      <c r="B270" s="468" t="s">
        <v>189</v>
      </c>
      <c r="C270" s="468" t="s">
        <v>190</v>
      </c>
      <c r="D270" s="468" t="s">
        <v>190</v>
      </c>
      <c r="E270" s="468" t="s">
        <v>288</v>
      </c>
      <c r="F270" s="468"/>
      <c r="G270" s="468"/>
      <c r="H270" s="468"/>
      <c r="I270" s="1050"/>
      <c r="J270" s="468" t="str">
        <f t="shared" si="187"/>
        <v>lending_paylater_paylater_FPT_</v>
      </c>
      <c r="K270" t="s">
        <v>288</v>
      </c>
      <c r="L270" s="1053" t="s">
        <v>198</v>
      </c>
      <c r="N270" s="7">
        <f t="shared" ref="N270:T270" si="196">N271/N267</f>
        <v>214285.71428571429</v>
      </c>
      <c r="O270" s="7">
        <f t="shared" si="196"/>
        <v>4144278.606965174</v>
      </c>
      <c r="P270" s="7">
        <f t="shared" si="196"/>
        <v>3170940.170940171</v>
      </c>
      <c r="Q270" s="7">
        <f t="shared" si="196"/>
        <v>3008527.9880952379</v>
      </c>
      <c r="R270" s="7">
        <f t="shared" si="196"/>
        <v>2170702.1506849313</v>
      </c>
      <c r="S270" s="7">
        <f t="shared" si="196"/>
        <v>2794731.8466666667</v>
      </c>
      <c r="T270" s="7">
        <f t="shared" si="196"/>
        <v>2745599.0980392159</v>
      </c>
      <c r="U270" s="7">
        <f t="shared" ref="U270" si="197">U271/U267</f>
        <v>2454154.6904109591</v>
      </c>
      <c r="V270" s="7">
        <f t="shared" ref="V270:AA270" si="198">V271/V267</f>
        <v>2433295.572944297</v>
      </c>
      <c r="W270" s="7">
        <f t="shared" si="198"/>
        <v>2497018.5915119364</v>
      </c>
      <c r="X270" s="7">
        <f t="shared" si="198"/>
        <v>2367423.5685279188</v>
      </c>
      <c r="Y270" s="7">
        <f t="shared" si="198"/>
        <v>2252697.7511627907</v>
      </c>
      <c r="Z270" s="7">
        <f t="shared" si="198"/>
        <v>1690261.7202380951</v>
      </c>
      <c r="AA270" s="7">
        <f t="shared" si="198"/>
        <v>1914098.9805194805</v>
      </c>
      <c r="AB270" s="7"/>
    </row>
    <row r="271" spans="2:28">
      <c r="B271" s="468" t="s">
        <v>189</v>
      </c>
      <c r="C271" s="468" t="s">
        <v>190</v>
      </c>
      <c r="D271" s="468" t="s">
        <v>190</v>
      </c>
      <c r="E271" s="468" t="s">
        <v>288</v>
      </c>
      <c r="F271" s="468" t="str">
        <f>E271&amp;"PL"</f>
        <v>FPTPL</v>
      </c>
      <c r="G271" s="468" t="str">
        <f>L271&amp;F271</f>
        <v>SpendingFPTPL</v>
      </c>
      <c r="H271" s="468" t="str">
        <f>L271&amp;E271</f>
        <v>SpendingFPT</v>
      </c>
      <c r="I271" s="126" t="s">
        <v>242</v>
      </c>
      <c r="J271" s="468" t="str">
        <f t="shared" si="187"/>
        <v>lending_paylater_paylater_FPT_disburse/spend</v>
      </c>
      <c r="K271" t="s">
        <v>288</v>
      </c>
      <c r="L271" s="1052" t="s">
        <v>199</v>
      </c>
      <c r="M271" s="7">
        <f t="shared" ref="M271" si="199">SUM(P271:AA271)</f>
        <v>10082905272</v>
      </c>
      <c r="N271" s="7">
        <v>3000000</v>
      </c>
      <c r="O271" s="7">
        <v>833000000</v>
      </c>
      <c r="P271" s="7">
        <f>742*10^6</f>
        <v>742000000</v>
      </c>
      <c r="Q271" s="7">
        <v>758149053</v>
      </c>
      <c r="R271" s="7">
        <v>950767542</v>
      </c>
      <c r="S271" s="7">
        <v>838419554</v>
      </c>
      <c r="T271" s="7">
        <v>980178878</v>
      </c>
      <c r="U271" s="7">
        <v>895766462</v>
      </c>
      <c r="V271" s="7">
        <f>917.352431*10^6</f>
        <v>917352431</v>
      </c>
      <c r="W271" s="7">
        <f>941.376009*10^6</f>
        <v>941376009</v>
      </c>
      <c r="X271" s="7">
        <f>932.764886*10^6</f>
        <v>932764886</v>
      </c>
      <c r="Y271" s="7">
        <f>968.660033*10^6</f>
        <v>968660033</v>
      </c>
      <c r="Z271" s="7">
        <f>567.927938*10^6</f>
        <v>567927938</v>
      </c>
      <c r="AA271" s="7">
        <f>589.542486*10^6</f>
        <v>589542486</v>
      </c>
      <c r="AB271" s="7">
        <f>SUM(P271:AA271)</f>
        <v>10082905272</v>
      </c>
    </row>
    <row r="272" spans="2:28" hidden="1">
      <c r="B272" s="468" t="s">
        <v>189</v>
      </c>
      <c r="C272" s="468" t="s">
        <v>190</v>
      </c>
      <c r="D272" s="468" t="s">
        <v>190</v>
      </c>
      <c r="E272" s="468" t="s">
        <v>288</v>
      </c>
      <c r="F272" s="468"/>
      <c r="G272" s="468"/>
      <c r="H272" s="468"/>
      <c r="I272" s="126" t="s">
        <v>243</v>
      </c>
      <c r="J272" s="468" t="str">
        <f t="shared" si="187"/>
        <v>lending_paylater_paylater_FPT_ENR</v>
      </c>
      <c r="K272" t="s">
        <v>288</v>
      </c>
      <c r="L272" s="1052" t="s">
        <v>200</v>
      </c>
      <c r="N272" s="7">
        <v>339600</v>
      </c>
      <c r="O272" s="7">
        <v>599684845</v>
      </c>
      <c r="P272" s="7">
        <v>920628233</v>
      </c>
      <c r="Q272" s="7">
        <v>1061221183</v>
      </c>
      <c r="R272" s="7">
        <v>1290225556</v>
      </c>
      <c r="S272" s="7">
        <v>1493976948</v>
      </c>
      <c r="T272" s="7">
        <v>1757618194</v>
      </c>
      <c r="U272" s="7">
        <v>1939068468</v>
      </c>
      <c r="V272" s="7">
        <v>2087409662</v>
      </c>
      <c r="W272" s="7">
        <v>2304540197</v>
      </c>
      <c r="X272" s="7">
        <v>2482090495</v>
      </c>
      <c r="Y272" s="7">
        <v>2493103693</v>
      </c>
      <c r="Z272" s="7">
        <v>2151459351</v>
      </c>
      <c r="AA272" s="7">
        <v>2002304459</v>
      </c>
      <c r="AB272" s="7"/>
    </row>
    <row r="273" spans="2:28" hidden="1">
      <c r="B273" s="468" t="s">
        <v>189</v>
      </c>
      <c r="C273" s="468" t="s">
        <v>190</v>
      </c>
      <c r="D273" s="468" t="s">
        <v>190</v>
      </c>
      <c r="E273" s="468" t="s">
        <v>288</v>
      </c>
      <c r="F273" s="468"/>
      <c r="G273" s="468"/>
      <c r="H273" s="468"/>
      <c r="I273" s="126" t="s">
        <v>244</v>
      </c>
      <c r="J273" s="468" t="str">
        <f t="shared" si="187"/>
        <v>lending_paylater_paylater_FPT_nonEMI_ENR</v>
      </c>
      <c r="K273" t="s">
        <v>288</v>
      </c>
      <c r="L273" s="1052" t="s">
        <v>201</v>
      </c>
      <c r="N273" s="7"/>
      <c r="O273" s="7"/>
      <c r="P273" s="7"/>
      <c r="Q273" s="7"/>
      <c r="R273" s="7"/>
      <c r="S273" s="7"/>
      <c r="T273" s="7"/>
      <c r="U273" s="7">
        <f t="shared" ref="U273:AA273" si="200">U272-U274</f>
        <v>1939068468</v>
      </c>
      <c r="V273" s="7">
        <f t="shared" si="200"/>
        <v>2087409662</v>
      </c>
      <c r="W273" s="7">
        <f t="shared" si="200"/>
        <v>2304540197</v>
      </c>
      <c r="X273" s="7">
        <f t="shared" si="200"/>
        <v>2482090495</v>
      </c>
      <c r="Y273" s="7">
        <f t="shared" si="200"/>
        <v>2493103693</v>
      </c>
      <c r="Z273" s="7">
        <f t="shared" si="200"/>
        <v>2151459351</v>
      </c>
      <c r="AA273" s="7">
        <f t="shared" si="200"/>
        <v>2002304459</v>
      </c>
      <c r="AB273" s="7"/>
    </row>
    <row r="274" spans="2:28" hidden="1">
      <c r="B274" s="468" t="s">
        <v>189</v>
      </c>
      <c r="C274" s="468" t="s">
        <v>190</v>
      </c>
      <c r="D274" s="468" t="s">
        <v>190</v>
      </c>
      <c r="E274" s="468" t="s">
        <v>288</v>
      </c>
      <c r="F274" s="468"/>
      <c r="G274" s="468"/>
      <c r="H274" s="468"/>
      <c r="I274" s="126" t="s">
        <v>245</v>
      </c>
      <c r="J274" s="468" t="str">
        <f t="shared" si="187"/>
        <v>lending_paylater_paylater_FPT_EMI_ENR</v>
      </c>
      <c r="K274" t="s">
        <v>288</v>
      </c>
      <c r="L274" s="1052" t="s">
        <v>202</v>
      </c>
      <c r="N274" s="7"/>
      <c r="O274" s="7"/>
      <c r="P274" s="7"/>
      <c r="Q274" s="7"/>
      <c r="R274" s="7"/>
      <c r="S274" s="7"/>
      <c r="T274" s="7"/>
      <c r="U274" s="7"/>
      <c r="Z274" s="7"/>
      <c r="AA274" s="7"/>
      <c r="AB274" s="7"/>
    </row>
    <row r="275" spans="2:28" hidden="1">
      <c r="B275" s="468" t="s">
        <v>189</v>
      </c>
      <c r="C275" s="468" t="s">
        <v>190</v>
      </c>
      <c r="D275" s="468" t="s">
        <v>190</v>
      </c>
      <c r="E275" s="468" t="s">
        <v>288</v>
      </c>
      <c r="F275" s="468"/>
      <c r="G275" s="468"/>
      <c r="H275" s="468"/>
      <c r="I275" s="126" t="s">
        <v>246</v>
      </c>
      <c r="J275" s="468" t="str">
        <f t="shared" si="187"/>
        <v>lending_paylater_paylater_FPT_revolving_ENR</v>
      </c>
      <c r="K275" t="s">
        <v>288</v>
      </c>
      <c r="L275" s="1052" t="s">
        <v>203</v>
      </c>
      <c r="U275" s="7">
        <f>976.1305*10^6</f>
        <v>976130500</v>
      </c>
      <c r="V275" s="7">
        <f>1192.399226*10^6</f>
        <v>1192399226</v>
      </c>
      <c r="W275" s="7">
        <f>1371.629972*10^6</f>
        <v>1371629972</v>
      </c>
      <c r="X275" s="7">
        <f>1586.649455*10^6</f>
        <v>1586649455</v>
      </c>
      <c r="Y275" s="7">
        <f>1563.730555*10^6</f>
        <v>1563730555</v>
      </c>
      <c r="Z275" s="7">
        <f>1483.380123*10^6</f>
        <v>1483380123</v>
      </c>
      <c r="AA275" s="7">
        <f>1451.477991*10^6</f>
        <v>1451477991</v>
      </c>
      <c r="AB275" s="7"/>
    </row>
    <row r="276" spans="2:28" hidden="1">
      <c r="B276" s="468" t="s">
        <v>189</v>
      </c>
      <c r="C276" s="468" t="s">
        <v>190</v>
      </c>
      <c r="D276" s="468" t="s">
        <v>190</v>
      </c>
      <c r="E276" s="468" t="s">
        <v>288</v>
      </c>
      <c r="F276" s="468"/>
      <c r="G276" s="468"/>
      <c r="H276" s="468"/>
      <c r="I276" s="126" t="s">
        <v>247</v>
      </c>
      <c r="J276" s="468" t="str">
        <f t="shared" si="187"/>
        <v>lending_paylater_paylater_FPT_overdue_balance_10d</v>
      </c>
      <c r="K276" t="s">
        <v>288</v>
      </c>
      <c r="L276" s="1052" t="s">
        <v>204</v>
      </c>
      <c r="O276" s="89">
        <f t="shared" ref="O276:U276" si="201">O277+O278</f>
        <v>9764852</v>
      </c>
      <c r="P276" s="89">
        <f t="shared" si="201"/>
        <v>84536749</v>
      </c>
      <c r="Q276" s="89">
        <f t="shared" si="201"/>
        <v>190031096</v>
      </c>
      <c r="R276" s="89">
        <f t="shared" si="201"/>
        <v>324207558</v>
      </c>
      <c r="S276" s="89">
        <f t="shared" si="201"/>
        <v>357992663</v>
      </c>
      <c r="T276" s="89">
        <f t="shared" si="201"/>
        <v>461392059</v>
      </c>
      <c r="U276" s="89">
        <f t="shared" si="201"/>
        <v>623604150</v>
      </c>
      <c r="V276" s="89">
        <f t="shared" ref="V276:AA276" si="202">V277+V278</f>
        <v>683040791</v>
      </c>
      <c r="W276" s="89">
        <f t="shared" si="202"/>
        <v>836541614</v>
      </c>
      <c r="X276" s="89">
        <f t="shared" si="202"/>
        <v>1024056021</v>
      </c>
      <c r="Y276" s="89">
        <f t="shared" si="202"/>
        <v>947510638</v>
      </c>
      <c r="Z276" s="89">
        <f t="shared" si="202"/>
        <v>813132375</v>
      </c>
      <c r="AA276" s="89">
        <f t="shared" si="202"/>
        <v>862839815</v>
      </c>
      <c r="AB276" s="89"/>
    </row>
    <row r="277" spans="2:28" hidden="1">
      <c r="B277" s="468" t="s">
        <v>189</v>
      </c>
      <c r="C277" s="468" t="s">
        <v>190</v>
      </c>
      <c r="D277" s="468" t="s">
        <v>190</v>
      </c>
      <c r="E277" s="468" t="s">
        <v>288</v>
      </c>
      <c r="F277" s="468"/>
      <c r="G277" s="468"/>
      <c r="H277" s="468"/>
      <c r="I277" s="1050"/>
      <c r="J277" s="468" t="str">
        <f t="shared" si="187"/>
        <v>lending_paylater_paylater_FPT_</v>
      </c>
      <c r="K277" t="s">
        <v>288</v>
      </c>
      <c r="L277" s="1052" t="s">
        <v>205</v>
      </c>
      <c r="N277">
        <v>0</v>
      </c>
      <c r="O277" s="89">
        <v>9764852</v>
      </c>
      <c r="P277">
        <v>84536749</v>
      </c>
      <c r="Q277" s="7">
        <v>185265955</v>
      </c>
      <c r="R277">
        <v>306173526</v>
      </c>
      <c r="S277">
        <v>292298636</v>
      </c>
      <c r="T277">
        <v>293781551</v>
      </c>
      <c r="U277" s="7">
        <v>339401904</v>
      </c>
      <c r="V277" s="7">
        <v>371176250</v>
      </c>
      <c r="W277" s="7">
        <v>411198735</v>
      </c>
      <c r="X277" s="7">
        <v>425125765</v>
      </c>
      <c r="Y277" s="7">
        <v>476040301</v>
      </c>
      <c r="Z277" s="7">
        <v>478069023</v>
      </c>
      <c r="AA277" s="89">
        <v>504213115</v>
      </c>
      <c r="AB277" s="89"/>
    </row>
    <row r="278" spans="2:28" hidden="1">
      <c r="B278" s="468" t="s">
        <v>189</v>
      </c>
      <c r="C278" s="468" t="s">
        <v>190</v>
      </c>
      <c r="D278" s="468" t="s">
        <v>190</v>
      </c>
      <c r="E278" s="468" t="s">
        <v>288</v>
      </c>
      <c r="F278" s="468"/>
      <c r="G278" s="468"/>
      <c r="H278" s="468"/>
      <c r="I278" s="126" t="s">
        <v>248</v>
      </c>
      <c r="J278" s="468" t="str">
        <f t="shared" si="187"/>
        <v>lending_paylater_paylater_FPT_overdue_balance_90d</v>
      </c>
      <c r="K278" t="s">
        <v>288</v>
      </c>
      <c r="L278" s="1052" t="s">
        <v>206</v>
      </c>
      <c r="O278">
        <v>0</v>
      </c>
      <c r="P278">
        <v>0</v>
      </c>
      <c r="Q278">
        <v>4765141</v>
      </c>
      <c r="R278">
        <v>18034032</v>
      </c>
      <c r="S278">
        <v>65694027</v>
      </c>
      <c r="T278">
        <v>167610508</v>
      </c>
      <c r="U278" s="7">
        <v>284202246</v>
      </c>
      <c r="V278" s="7">
        <v>311864541</v>
      </c>
      <c r="W278" s="7">
        <v>425342879</v>
      </c>
      <c r="X278" s="7">
        <v>598930256</v>
      </c>
      <c r="Y278" s="7">
        <v>471470337</v>
      </c>
      <c r="Z278" s="7">
        <v>335063352</v>
      </c>
      <c r="AA278" s="89">
        <v>358626700</v>
      </c>
      <c r="AB278" s="89"/>
    </row>
    <row r="279" spans="2:28" hidden="1">
      <c r="B279" s="468" t="s">
        <v>189</v>
      </c>
      <c r="C279" s="468" t="s">
        <v>190</v>
      </c>
      <c r="D279" s="468" t="s">
        <v>190</v>
      </c>
      <c r="E279" s="468" t="s">
        <v>288</v>
      </c>
      <c r="F279" s="468"/>
      <c r="G279" s="468"/>
      <c r="H279" s="468"/>
      <c r="I279" s="1062"/>
      <c r="J279" s="468" t="str">
        <f t="shared" si="187"/>
        <v>lending_paylater_paylater_FPT_</v>
      </c>
      <c r="K279" t="s">
        <v>288</v>
      </c>
      <c r="L279" s="1052" t="s">
        <v>207</v>
      </c>
      <c r="R279">
        <v>0</v>
      </c>
      <c r="S279">
        <v>47570527</v>
      </c>
      <c r="T279">
        <v>132140875</v>
      </c>
      <c r="U279" s="7">
        <v>193699775</v>
      </c>
      <c r="V279" s="7">
        <v>280229317</v>
      </c>
      <c r="W279" s="7">
        <v>371880388</v>
      </c>
      <c r="X279" s="7">
        <v>458042135</v>
      </c>
      <c r="Y279" s="7">
        <v>407546874</v>
      </c>
      <c r="Z279" s="7">
        <v>215476458</v>
      </c>
      <c r="AA279" s="7">
        <v>196099980</v>
      </c>
      <c r="AB279" s="7"/>
    </row>
    <row r="280" spans="2:28" hidden="1">
      <c r="B280" s="468" t="s">
        <v>189</v>
      </c>
      <c r="C280" s="468" t="s">
        <v>190</v>
      </c>
      <c r="D280" s="468" t="s">
        <v>190</v>
      </c>
      <c r="E280" s="468" t="s">
        <v>288</v>
      </c>
      <c r="F280" s="468"/>
      <c r="G280" s="468"/>
      <c r="H280" s="468"/>
      <c r="I280" s="126" t="s">
        <v>213</v>
      </c>
      <c r="J280" s="468" t="str">
        <f t="shared" si="187"/>
        <v>lending_paylater_paylater_FPT_npl</v>
      </c>
      <c r="K280" t="s">
        <v>288</v>
      </c>
      <c r="L280" s="1052" t="s">
        <v>249</v>
      </c>
      <c r="Q280" s="42">
        <f t="shared" ref="Q280:AA280" si="203">Q278/Q272</f>
        <v>4.490243010914342E-3</v>
      </c>
      <c r="R280" s="42">
        <f t="shared" si="203"/>
        <v>1.3977425819954849E-2</v>
      </c>
      <c r="S280" s="42">
        <f t="shared" si="203"/>
        <v>4.3972584107100962E-2</v>
      </c>
      <c r="T280" s="42">
        <f t="shared" si="203"/>
        <v>9.5362296869805838E-2</v>
      </c>
      <c r="U280" s="42">
        <f t="shared" si="203"/>
        <v>0.14656638003769551</v>
      </c>
      <c r="V280" s="42">
        <f t="shared" si="203"/>
        <v>0.14940265280807155</v>
      </c>
      <c r="W280" s="42">
        <f t="shared" si="203"/>
        <v>0.18456735081197631</v>
      </c>
      <c r="X280" s="42">
        <f t="shared" si="203"/>
        <v>0.24130073307419841</v>
      </c>
      <c r="Y280" s="42">
        <f t="shared" si="203"/>
        <v>0.18910979849084039</v>
      </c>
      <c r="Z280" s="42">
        <f t="shared" si="203"/>
        <v>0.15573770977558199</v>
      </c>
      <c r="AA280" s="42">
        <f t="shared" si="203"/>
        <v>0.17910697765668812</v>
      </c>
      <c r="AB280" s="42"/>
    </row>
    <row r="281" spans="2:28" hidden="1">
      <c r="B281" s="468" t="s">
        <v>189</v>
      </c>
      <c r="C281" s="468" t="s">
        <v>190</v>
      </c>
      <c r="D281" s="468" t="s">
        <v>190</v>
      </c>
      <c r="E281" s="468" t="s">
        <v>288</v>
      </c>
      <c r="F281" s="468"/>
      <c r="G281" s="468"/>
      <c r="H281" s="468"/>
      <c r="I281" s="126" t="s">
        <v>250</v>
      </c>
      <c r="J281" s="468" t="str">
        <f t="shared" si="187"/>
        <v>lending_paylater_paylater_FPT_overdue_account_10d</v>
      </c>
      <c r="K281" t="s">
        <v>288</v>
      </c>
      <c r="L281" s="1052" t="s">
        <v>208</v>
      </c>
      <c r="N281">
        <v>0</v>
      </c>
      <c r="O281" s="7"/>
      <c r="Q281">
        <f>Q282+Q283</f>
        <v>43</v>
      </c>
      <c r="R281">
        <f>R282+R283</f>
        <v>78</v>
      </c>
      <c r="S281" s="1141"/>
      <c r="T281" s="1141"/>
      <c r="U281" s="1141"/>
      <c r="AA281" s="7"/>
      <c r="AB281" s="7"/>
    </row>
    <row r="282" spans="2:28" hidden="1">
      <c r="B282" s="468" t="s">
        <v>189</v>
      </c>
      <c r="C282" s="468" t="s">
        <v>190</v>
      </c>
      <c r="D282" s="468" t="s">
        <v>190</v>
      </c>
      <c r="E282" s="468" t="s">
        <v>288</v>
      </c>
      <c r="F282" s="468"/>
      <c r="G282" s="468"/>
      <c r="H282" s="468"/>
      <c r="I282" s="126"/>
      <c r="J282" s="468" t="str">
        <f t="shared" si="187"/>
        <v>lending_paylater_paylater_FPT_</v>
      </c>
      <c r="K282" t="s">
        <v>288</v>
      </c>
      <c r="L282" s="1052" t="s">
        <v>209</v>
      </c>
      <c r="N282">
        <v>0</v>
      </c>
      <c r="O282" s="7">
        <v>2</v>
      </c>
      <c r="P282">
        <v>25</v>
      </c>
      <c r="Q282">
        <v>43</v>
      </c>
      <c r="R282">
        <v>75</v>
      </c>
      <c r="S282" s="1141"/>
      <c r="T282" s="1141"/>
      <c r="U282" s="1141"/>
      <c r="AA282" s="7"/>
      <c r="AB282" s="7"/>
    </row>
    <row r="283" spans="2:28" hidden="1">
      <c r="B283" s="468" t="s">
        <v>189</v>
      </c>
      <c r="C283" s="468" t="s">
        <v>190</v>
      </c>
      <c r="D283" s="468" t="s">
        <v>190</v>
      </c>
      <c r="E283" s="468" t="s">
        <v>288</v>
      </c>
      <c r="F283" s="468"/>
      <c r="G283" s="468"/>
      <c r="H283" s="468"/>
      <c r="I283" s="126" t="s">
        <v>251</v>
      </c>
      <c r="J283" s="468" t="str">
        <f t="shared" si="187"/>
        <v>lending_paylater_paylater_FPT_overdue_account_90d</v>
      </c>
      <c r="K283" t="s">
        <v>288</v>
      </c>
      <c r="L283" s="1052" t="s">
        <v>210</v>
      </c>
      <c r="N283">
        <v>0</v>
      </c>
      <c r="Q283">
        <v>0</v>
      </c>
      <c r="R283">
        <v>3</v>
      </c>
      <c r="S283" s="1141"/>
      <c r="T283" s="1141"/>
      <c r="U283" s="1141"/>
    </row>
    <row r="284" spans="2:28" hidden="1">
      <c r="B284" s="468" t="s">
        <v>189</v>
      </c>
      <c r="C284" s="468" t="s">
        <v>190</v>
      </c>
      <c r="D284" s="468" t="s">
        <v>190</v>
      </c>
      <c r="E284" s="468" t="s">
        <v>288</v>
      </c>
      <c r="F284" s="468"/>
      <c r="G284" s="468"/>
      <c r="H284" s="468"/>
      <c r="I284" s="126" t="s">
        <v>252</v>
      </c>
      <c r="J284" s="468" t="str">
        <f t="shared" si="187"/>
        <v>lending_paylater_paylater_FPT_revenue</v>
      </c>
      <c r="K284" t="s">
        <v>288</v>
      </c>
      <c r="L284" s="47" t="s">
        <v>215</v>
      </c>
      <c r="M284" s="7">
        <f t="shared" ref="M284:M315" si="204">SUM(P284:AA284)</f>
        <v>107442506</v>
      </c>
      <c r="N284" s="34">
        <f t="shared" ref="N284:T284" si="205">N288+N295+N304</f>
        <v>0</v>
      </c>
      <c r="O284" s="34">
        <f t="shared" si="205"/>
        <v>0</v>
      </c>
      <c r="P284" s="34">
        <f t="shared" si="205"/>
        <v>2150000</v>
      </c>
      <c r="Q284" s="34">
        <f t="shared" si="205"/>
        <v>1306086</v>
      </c>
      <c r="R284" s="34">
        <f t="shared" si="205"/>
        <v>1500000</v>
      </c>
      <c r="S284" s="34">
        <f t="shared" si="205"/>
        <v>1552462</v>
      </c>
      <c r="T284" s="34">
        <f t="shared" si="205"/>
        <v>2265689</v>
      </c>
      <c r="U284" s="34">
        <f t="shared" ref="U284:AA284" si="206">U288+U295+U304</f>
        <v>12287489</v>
      </c>
      <c r="V284" s="34">
        <f t="shared" si="206"/>
        <v>12947817</v>
      </c>
      <c r="W284" s="34">
        <f t="shared" si="206"/>
        <v>13621800</v>
      </c>
      <c r="X284" s="34">
        <f t="shared" si="206"/>
        <v>14782169</v>
      </c>
      <c r="Y284" s="34">
        <f t="shared" si="206"/>
        <v>14719591</v>
      </c>
      <c r="Z284" s="34">
        <f t="shared" si="206"/>
        <v>13426485</v>
      </c>
      <c r="AA284" s="34">
        <f t="shared" si="206"/>
        <v>16882918</v>
      </c>
      <c r="AB284" s="34"/>
    </row>
    <row r="285" spans="2:28" hidden="1">
      <c r="B285" s="468" t="s">
        <v>189</v>
      </c>
      <c r="C285" s="468" t="s">
        <v>190</v>
      </c>
      <c r="D285" s="468" t="s">
        <v>190</v>
      </c>
      <c r="E285" s="468" t="s">
        <v>288</v>
      </c>
      <c r="F285" s="468"/>
      <c r="G285" s="468"/>
      <c r="H285" s="468"/>
      <c r="I285" s="126" t="s">
        <v>253</v>
      </c>
      <c r="J285" s="468" t="str">
        <f t="shared" si="187"/>
        <v>lending_paylater_paylater_FPT_COGs</v>
      </c>
      <c r="K285" t="s">
        <v>288</v>
      </c>
      <c r="L285" s="47" t="s">
        <v>216</v>
      </c>
      <c r="M285" s="7">
        <f t="shared" si="204"/>
        <v>92847481.484756142</v>
      </c>
      <c r="N285" s="34">
        <f t="shared" ref="N285:T285" si="207">N294</f>
        <v>1532</v>
      </c>
      <c r="O285" s="34">
        <f t="shared" si="207"/>
        <v>1126351</v>
      </c>
      <c r="P285" s="34">
        <f t="shared" si="207"/>
        <v>3019220</v>
      </c>
      <c r="Q285" s="34">
        <f t="shared" si="207"/>
        <v>3556584</v>
      </c>
      <c r="R285" s="34">
        <f t="shared" si="207"/>
        <v>4531222.1392999999</v>
      </c>
      <c r="S285" s="34">
        <f t="shared" si="207"/>
        <v>4973600.0515000001</v>
      </c>
      <c r="T285" s="34">
        <f t="shared" si="207"/>
        <v>6217444.9410999995</v>
      </c>
      <c r="U285" s="34">
        <f t="shared" ref="U285:AA285" si="208">U294</f>
        <v>6856711.9548999993</v>
      </c>
      <c r="V285" s="34">
        <f t="shared" si="208"/>
        <v>8236655.8870000001</v>
      </c>
      <c r="W285" s="34">
        <f t="shared" si="208"/>
        <v>9942297.4094561636</v>
      </c>
      <c r="X285" s="34">
        <f t="shared" si="208"/>
        <v>10611707.150499998</v>
      </c>
      <c r="Y285" s="34">
        <f t="shared" si="208"/>
        <v>12137818.227799997</v>
      </c>
      <c r="Z285" s="34">
        <f t="shared" si="208"/>
        <v>11086391.527299996</v>
      </c>
      <c r="AA285" s="34">
        <f t="shared" si="208"/>
        <v>11677828.195900001</v>
      </c>
      <c r="AB285" s="34"/>
    </row>
    <row r="286" spans="2:28">
      <c r="B286" s="468" t="s">
        <v>189</v>
      </c>
      <c r="C286" s="468" t="s">
        <v>190</v>
      </c>
      <c r="D286" s="468" t="s">
        <v>190</v>
      </c>
      <c r="E286" s="468" t="s">
        <v>288</v>
      </c>
      <c r="F286" s="468" t="str">
        <f>E286&amp;"PL"</f>
        <v>FPTPL</v>
      </c>
      <c r="G286" s="468" t="str">
        <f>L286&amp;F286</f>
        <v>TOIFPTPL</v>
      </c>
      <c r="H286" s="468" t="str">
        <f>L286&amp;E286</f>
        <v>TOIFPT</v>
      </c>
      <c r="I286" s="126" t="s">
        <v>217</v>
      </c>
      <c r="J286" s="468" t="str">
        <f t="shared" si="187"/>
        <v>lending_paylater_paylater_FPT_TOI</v>
      </c>
      <c r="K286" t="s">
        <v>288</v>
      </c>
      <c r="L286" s="1051" t="s">
        <v>217</v>
      </c>
      <c r="M286" s="7">
        <f t="shared" si="204"/>
        <v>14595024.515243847</v>
      </c>
      <c r="N286" s="81">
        <f t="shared" ref="N286:T286" si="209">N287+N295+N304</f>
        <v>-1532</v>
      </c>
      <c r="O286" s="81">
        <f t="shared" si="209"/>
        <v>-1126351</v>
      </c>
      <c r="P286" s="81">
        <f t="shared" si="209"/>
        <v>-869220</v>
      </c>
      <c r="Q286" s="81">
        <f t="shared" si="209"/>
        <v>-2250498</v>
      </c>
      <c r="R286" s="81">
        <f t="shared" si="209"/>
        <v>-3031222.1392999999</v>
      </c>
      <c r="S286" s="81">
        <f t="shared" si="209"/>
        <v>-3421138.0515000001</v>
      </c>
      <c r="T286" s="81">
        <f t="shared" si="209"/>
        <v>-3951755.9410999995</v>
      </c>
      <c r="U286" s="81">
        <f t="shared" ref="U286:AA286" si="210">U287+U295+U304</f>
        <v>5430777.0451000007</v>
      </c>
      <c r="V286" s="81">
        <f t="shared" si="210"/>
        <v>4711161.1129999999</v>
      </c>
      <c r="W286" s="81">
        <f t="shared" si="210"/>
        <v>3679502.5905438364</v>
      </c>
      <c r="X286" s="81">
        <f t="shared" si="210"/>
        <v>4170461.8495000023</v>
      </c>
      <c r="Y286" s="81">
        <f t="shared" si="210"/>
        <v>2581772.7722000033</v>
      </c>
      <c r="Z286" s="81">
        <f t="shared" si="210"/>
        <v>2340093.4727000035</v>
      </c>
      <c r="AA286" s="81">
        <f t="shared" si="210"/>
        <v>5205089.8040999994</v>
      </c>
      <c r="AB286" s="7">
        <f>SUM(P286:AA286)</f>
        <v>14595024.515243847</v>
      </c>
    </row>
    <row r="287" spans="2:28" hidden="1">
      <c r="B287" s="468" t="s">
        <v>189</v>
      </c>
      <c r="C287" s="468" t="s">
        <v>190</v>
      </c>
      <c r="D287" s="468" t="s">
        <v>190</v>
      </c>
      <c r="E287" s="468" t="s">
        <v>288</v>
      </c>
      <c r="F287" s="468"/>
      <c r="G287" s="468"/>
      <c r="H287" s="468"/>
      <c r="I287" s="126" t="s">
        <v>254</v>
      </c>
      <c r="J287" s="468" t="str">
        <f t="shared" si="187"/>
        <v>lending_paylater_paylater_FPT_NII</v>
      </c>
      <c r="K287" t="s">
        <v>288</v>
      </c>
      <c r="L287" s="1055" t="s">
        <v>218</v>
      </c>
      <c r="M287" s="7">
        <f t="shared" si="204"/>
        <v>-92847481.484756142</v>
      </c>
      <c r="N287" s="81">
        <f t="shared" ref="N287:T287" si="211">N288-N294</f>
        <v>-1532</v>
      </c>
      <c r="O287" s="81">
        <f t="shared" si="211"/>
        <v>-1126351</v>
      </c>
      <c r="P287" s="81">
        <f t="shared" si="211"/>
        <v>-3019220</v>
      </c>
      <c r="Q287" s="81">
        <f t="shared" si="211"/>
        <v>-3556584</v>
      </c>
      <c r="R287" s="81">
        <f t="shared" si="211"/>
        <v>-4531222.1392999999</v>
      </c>
      <c r="S287" s="81">
        <f t="shared" si="211"/>
        <v>-4973600.0515000001</v>
      </c>
      <c r="T287" s="81">
        <f t="shared" si="211"/>
        <v>-6217444.9410999995</v>
      </c>
      <c r="U287" s="81">
        <f t="shared" ref="U287:AA287" si="212">U288-U294</f>
        <v>-6856711.9548999993</v>
      </c>
      <c r="V287" s="81">
        <f t="shared" si="212"/>
        <v>-8236655.8870000001</v>
      </c>
      <c r="W287" s="81">
        <f t="shared" si="212"/>
        <v>-9942297.4094561636</v>
      </c>
      <c r="X287" s="81">
        <f t="shared" si="212"/>
        <v>-10611707.150499998</v>
      </c>
      <c r="Y287" s="81">
        <f t="shared" si="212"/>
        <v>-12137818.227799997</v>
      </c>
      <c r="Z287" s="81">
        <f t="shared" si="212"/>
        <v>-11086391.527299996</v>
      </c>
      <c r="AA287" s="81">
        <f t="shared" si="212"/>
        <v>-11677828.195900001</v>
      </c>
      <c r="AB287" s="81"/>
    </row>
    <row r="288" spans="2:28" hidden="1">
      <c r="B288" s="468" t="s">
        <v>189</v>
      </c>
      <c r="C288" s="468" t="s">
        <v>190</v>
      </c>
      <c r="D288" s="468" t="s">
        <v>190</v>
      </c>
      <c r="E288" s="468" t="s">
        <v>288</v>
      </c>
      <c r="F288" s="468"/>
      <c r="G288" s="468"/>
      <c r="H288" s="468"/>
      <c r="I288" s="126" t="s">
        <v>255</v>
      </c>
      <c r="J288" s="468" t="str">
        <f t="shared" si="187"/>
        <v>lending_paylater_paylater_FPT_CII</v>
      </c>
      <c r="K288" t="s">
        <v>288</v>
      </c>
      <c r="L288" s="1060" t="s">
        <v>20</v>
      </c>
      <c r="M288" s="7">
        <f t="shared" si="204"/>
        <v>0</v>
      </c>
    </row>
    <row r="289" spans="2:28" hidden="1">
      <c r="B289" s="468" t="s">
        <v>189</v>
      </c>
      <c r="C289" s="468" t="s">
        <v>190</v>
      </c>
      <c r="D289" s="468" t="s">
        <v>190</v>
      </c>
      <c r="E289" s="468" t="s">
        <v>288</v>
      </c>
      <c r="F289" s="468"/>
      <c r="G289" s="468"/>
      <c r="H289" s="468"/>
      <c r="I289" s="461"/>
      <c r="J289" s="468" t="str">
        <f t="shared" si="187"/>
        <v>lending_paylater_paylater_FPT_</v>
      </c>
      <c r="K289" t="s">
        <v>288</v>
      </c>
      <c r="L289" s="1061" t="s">
        <v>256</v>
      </c>
      <c r="M289" s="7">
        <f t="shared" si="204"/>
        <v>0</v>
      </c>
    </row>
    <row r="290" spans="2:28" hidden="1">
      <c r="B290" s="468" t="s">
        <v>189</v>
      </c>
      <c r="C290" s="468" t="s">
        <v>190</v>
      </c>
      <c r="D290" s="468" t="s">
        <v>190</v>
      </c>
      <c r="E290" s="468" t="s">
        <v>288</v>
      </c>
      <c r="F290" s="468"/>
      <c r="G290" s="468"/>
      <c r="H290" s="468"/>
      <c r="I290" s="461"/>
      <c r="J290" s="468" t="str">
        <f t="shared" si="187"/>
        <v>lending_paylater_paylater_FPT_</v>
      </c>
      <c r="K290" t="s">
        <v>288</v>
      </c>
      <c r="L290" s="1061" t="s">
        <v>257</v>
      </c>
      <c r="M290" s="7">
        <f t="shared" si="204"/>
        <v>0</v>
      </c>
    </row>
    <row r="291" spans="2:28" hidden="1">
      <c r="B291" s="468" t="s">
        <v>189</v>
      </c>
      <c r="C291" s="468" t="s">
        <v>190</v>
      </c>
      <c r="D291" s="468" t="s">
        <v>190</v>
      </c>
      <c r="E291" s="468" t="s">
        <v>288</v>
      </c>
      <c r="F291" s="468"/>
      <c r="G291" s="468"/>
      <c r="H291" s="468"/>
      <c r="I291" s="461"/>
      <c r="J291" s="468" t="str">
        <f t="shared" si="187"/>
        <v>lending_paylater_paylater_FPT_</v>
      </c>
      <c r="K291" t="s">
        <v>288</v>
      </c>
      <c r="L291" s="1061" t="s">
        <v>258</v>
      </c>
      <c r="M291" s="7">
        <f t="shared" si="204"/>
        <v>0</v>
      </c>
    </row>
    <row r="292" spans="2:28" hidden="1">
      <c r="B292" s="468" t="s">
        <v>189</v>
      </c>
      <c r="C292" s="468" t="s">
        <v>190</v>
      </c>
      <c r="D292" s="468" t="s">
        <v>190</v>
      </c>
      <c r="E292" s="468" t="s">
        <v>288</v>
      </c>
      <c r="F292" s="468"/>
      <c r="G292" s="468"/>
      <c r="H292" s="468"/>
      <c r="I292" s="461"/>
      <c r="J292" s="468" t="str">
        <f t="shared" si="187"/>
        <v>lending_paylater_paylater_FPT_</v>
      </c>
      <c r="K292" t="s">
        <v>288</v>
      </c>
      <c r="L292" s="1061" t="s">
        <v>259</v>
      </c>
      <c r="M292" s="7">
        <f t="shared" si="204"/>
        <v>0</v>
      </c>
    </row>
    <row r="293" spans="2:28" hidden="1">
      <c r="B293" s="468" t="s">
        <v>189</v>
      </c>
      <c r="C293" s="468" t="s">
        <v>190</v>
      </c>
      <c r="D293" s="468" t="s">
        <v>190</v>
      </c>
      <c r="E293" s="468" t="s">
        <v>288</v>
      </c>
      <c r="F293" s="468"/>
      <c r="G293" s="468"/>
      <c r="H293" s="468"/>
      <c r="I293" s="461"/>
      <c r="J293" s="468" t="str">
        <f t="shared" si="187"/>
        <v>lending_paylater_paylater_FPT_</v>
      </c>
      <c r="K293" t="s">
        <v>288</v>
      </c>
      <c r="L293" s="1061" t="s">
        <v>228</v>
      </c>
      <c r="M293" s="7">
        <f t="shared" si="204"/>
        <v>0</v>
      </c>
    </row>
    <row r="294" spans="2:28" hidden="1">
      <c r="B294" s="468" t="s">
        <v>189</v>
      </c>
      <c r="C294" s="468" t="s">
        <v>190</v>
      </c>
      <c r="D294" s="468" t="s">
        <v>190</v>
      </c>
      <c r="E294" s="468" t="s">
        <v>288</v>
      </c>
      <c r="F294" s="468"/>
      <c r="G294" s="468"/>
      <c r="H294" s="468"/>
      <c r="I294" s="126" t="s">
        <v>219</v>
      </c>
      <c r="J294" s="468" t="str">
        <f t="shared" si="187"/>
        <v>lending_paylater_paylater_FPT_COF</v>
      </c>
      <c r="K294" t="s">
        <v>288</v>
      </c>
      <c r="L294" s="1060" t="s">
        <v>219</v>
      </c>
      <c r="M294" s="7">
        <f t="shared" si="204"/>
        <v>92847481.484756142</v>
      </c>
      <c r="N294" s="7">
        <v>1532</v>
      </c>
      <c r="O294" s="7">
        <v>1126351</v>
      </c>
      <c r="P294" s="7">
        <v>3019220</v>
      </c>
      <c r="Q294" s="7">
        <v>3556584</v>
      </c>
      <c r="R294" s="7">
        <v>4531222.1392999999</v>
      </c>
      <c r="S294" s="7">
        <v>4973600.0515000001</v>
      </c>
      <c r="T294" s="7">
        <v>6217444.9410999995</v>
      </c>
      <c r="U294" s="7">
        <v>6856711.9548999993</v>
      </c>
      <c r="V294" s="7">
        <v>8236655.8870000001</v>
      </c>
      <c r="W294" s="7">
        <v>9942297.4094561636</v>
      </c>
      <c r="X294" s="7">
        <v>10611707.150499998</v>
      </c>
      <c r="Y294" s="7">
        <v>12137818.227799997</v>
      </c>
      <c r="Z294" s="7">
        <v>11086391.527299996</v>
      </c>
      <c r="AA294" s="7">
        <v>11677828.195900001</v>
      </c>
      <c r="AB294" s="7"/>
    </row>
    <row r="295" spans="2:28" hidden="1">
      <c r="B295" s="468" t="s">
        <v>189</v>
      </c>
      <c r="C295" s="468" t="s">
        <v>190</v>
      </c>
      <c r="D295" s="468" t="s">
        <v>190</v>
      </c>
      <c r="E295" s="468" t="s">
        <v>288</v>
      </c>
      <c r="F295" s="468"/>
      <c r="G295" s="468"/>
      <c r="H295" s="468"/>
      <c r="I295" s="126" t="s">
        <v>260</v>
      </c>
      <c r="J295" s="468" t="str">
        <f t="shared" si="187"/>
        <v>lending_paylater_paylater_FPT_NFI</v>
      </c>
      <c r="K295" t="s">
        <v>288</v>
      </c>
      <c r="L295" s="1055" t="s">
        <v>220</v>
      </c>
      <c r="M295" s="7">
        <f t="shared" si="204"/>
        <v>102563386</v>
      </c>
      <c r="N295" s="47">
        <f t="shared" ref="N295:T295" si="213">SUM(N296:N301)-N302+N303</f>
        <v>0</v>
      </c>
      <c r="O295" s="47">
        <f t="shared" si="213"/>
        <v>0</v>
      </c>
      <c r="P295" s="47">
        <f t="shared" si="213"/>
        <v>2150000</v>
      </c>
      <c r="Q295" s="47">
        <f t="shared" si="213"/>
        <v>1306086</v>
      </c>
      <c r="R295" s="47">
        <f t="shared" si="213"/>
        <v>1500000</v>
      </c>
      <c r="S295" s="47">
        <f t="shared" si="213"/>
        <v>1552462</v>
      </c>
      <c r="T295" s="47">
        <f t="shared" si="213"/>
        <v>2265689</v>
      </c>
      <c r="U295" s="47">
        <f t="shared" ref="U295:AA295" si="214">SUM(U296:U301)-U302+U303</f>
        <v>12287489</v>
      </c>
      <c r="V295" s="47">
        <f t="shared" si="214"/>
        <v>12947817</v>
      </c>
      <c r="W295" s="47">
        <f t="shared" si="214"/>
        <v>13621800</v>
      </c>
      <c r="X295" s="47">
        <f t="shared" si="214"/>
        <v>14782169</v>
      </c>
      <c r="Y295" s="47">
        <f t="shared" si="214"/>
        <v>14719591</v>
      </c>
      <c r="Z295" s="47">
        <f t="shared" si="214"/>
        <v>13426485</v>
      </c>
      <c r="AA295" s="47">
        <f t="shared" si="214"/>
        <v>12003798</v>
      </c>
      <c r="AB295" s="47"/>
    </row>
    <row r="296" spans="2:28" hidden="1">
      <c r="B296" s="468" t="s">
        <v>189</v>
      </c>
      <c r="C296" s="468" t="s">
        <v>190</v>
      </c>
      <c r="D296" s="468" t="s">
        <v>190</v>
      </c>
      <c r="E296" s="468" t="s">
        <v>288</v>
      </c>
      <c r="F296" s="468"/>
      <c r="G296" s="468"/>
      <c r="H296" s="468"/>
      <c r="I296" s="126" t="s">
        <v>261</v>
      </c>
      <c r="J296" s="468" t="str">
        <f t="shared" ref="J296:J315" si="215">B296&amp;"_"&amp;C296&amp;"_"&amp;D296&amp;"_"&amp;E296&amp;"_"&amp;I296</f>
        <v>lending_paylater_paylater_FPT_transaction_fee</v>
      </c>
      <c r="K296" t="s">
        <v>288</v>
      </c>
      <c r="L296" s="1061" t="s">
        <v>221</v>
      </c>
      <c r="M296" s="7">
        <f t="shared" si="204"/>
        <v>0</v>
      </c>
      <c r="P296" s="7"/>
    </row>
    <row r="297" spans="2:28" hidden="1">
      <c r="B297" s="468" t="s">
        <v>189</v>
      </c>
      <c r="C297" s="468" t="s">
        <v>190</v>
      </c>
      <c r="D297" s="468" t="s">
        <v>190</v>
      </c>
      <c r="E297" s="468" t="s">
        <v>288</v>
      </c>
      <c r="F297" s="468"/>
      <c r="G297" s="468"/>
      <c r="H297" s="468"/>
      <c r="I297" s="126" t="s">
        <v>262</v>
      </c>
      <c r="J297" s="468" t="str">
        <f t="shared" si="215"/>
        <v>lending_paylater_paylater_FPT_late_payment_fee</v>
      </c>
      <c r="K297" t="s">
        <v>288</v>
      </c>
      <c r="L297" s="1061" t="s">
        <v>222</v>
      </c>
      <c r="M297" s="7">
        <f t="shared" si="204"/>
        <v>30428814</v>
      </c>
      <c r="P297" s="7">
        <v>2150000</v>
      </c>
      <c r="Q297" s="7">
        <v>1406086</v>
      </c>
      <c r="R297" s="7">
        <v>1500000</v>
      </c>
      <c r="S297" s="7">
        <v>1602462</v>
      </c>
      <c r="T297" s="7">
        <v>2208189</v>
      </c>
      <c r="U297" s="7">
        <v>1960989</v>
      </c>
      <c r="V297" s="7">
        <v>2779052</v>
      </c>
      <c r="W297" s="7">
        <v>3125733</v>
      </c>
      <c r="X297" s="7">
        <v>3729526</v>
      </c>
      <c r="Y297" s="7">
        <v>3121674</v>
      </c>
      <c r="Z297" s="7">
        <v>3634871</v>
      </c>
      <c r="AA297" s="7">
        <v>3210232</v>
      </c>
      <c r="AB297" s="7"/>
    </row>
    <row r="298" spans="2:28" hidden="1">
      <c r="B298" s="468" t="s">
        <v>189</v>
      </c>
      <c r="C298" s="468" t="s">
        <v>190</v>
      </c>
      <c r="D298" s="468" t="s">
        <v>190</v>
      </c>
      <c r="E298" s="468" t="s">
        <v>288</v>
      </c>
      <c r="F298" s="468"/>
      <c r="G298" s="468"/>
      <c r="H298" s="468"/>
      <c r="I298" s="126" t="s">
        <v>263</v>
      </c>
      <c r="J298" s="468" t="str">
        <f t="shared" si="215"/>
        <v>lending_paylater_paylater_FPT_monthly_fee</v>
      </c>
      <c r="K298" t="s">
        <v>288</v>
      </c>
      <c r="L298" s="1061" t="s">
        <v>223</v>
      </c>
      <c r="M298" s="7">
        <f t="shared" si="204"/>
        <v>74463907</v>
      </c>
      <c r="P298" s="7"/>
      <c r="Q298" s="7"/>
      <c r="R298" s="7"/>
      <c r="S298" s="7"/>
      <c r="T298" s="7"/>
      <c r="U298" s="7">
        <v>11010000</v>
      </c>
      <c r="V298" s="7">
        <v>10380265</v>
      </c>
      <c r="W298" s="7">
        <v>10947137</v>
      </c>
      <c r="X298" s="7">
        <v>11259457</v>
      </c>
      <c r="Y298" s="7">
        <v>11806617</v>
      </c>
      <c r="Z298" s="7">
        <v>10261530</v>
      </c>
      <c r="AA298" s="7">
        <v>8798901</v>
      </c>
      <c r="AB298" s="7"/>
    </row>
    <row r="299" spans="2:28" hidden="1">
      <c r="B299" s="468" t="s">
        <v>189</v>
      </c>
      <c r="C299" s="468" t="s">
        <v>190</v>
      </c>
      <c r="D299" s="468" t="s">
        <v>190</v>
      </c>
      <c r="E299" s="468" t="s">
        <v>288</v>
      </c>
      <c r="F299" s="468"/>
      <c r="G299" s="468"/>
      <c r="H299" s="468"/>
      <c r="I299" s="126" t="s">
        <v>264</v>
      </c>
      <c r="J299" s="468" t="str">
        <f t="shared" si="215"/>
        <v>lending_paylater_paylater_FPT_installment_fee</v>
      </c>
      <c r="K299" t="s">
        <v>288</v>
      </c>
      <c r="L299" s="1061" t="s">
        <v>224</v>
      </c>
      <c r="M299" s="7">
        <f t="shared" si="204"/>
        <v>0</v>
      </c>
      <c r="P299" s="7"/>
      <c r="Q299" s="7"/>
      <c r="R299" s="7"/>
      <c r="S299" s="7"/>
      <c r="T299" s="7"/>
    </row>
    <row r="300" spans="2:28" hidden="1">
      <c r="B300" s="468" t="s">
        <v>189</v>
      </c>
      <c r="C300" s="468" t="s">
        <v>190</v>
      </c>
      <c r="D300" s="468" t="s">
        <v>190</v>
      </c>
      <c r="E300" s="468" t="s">
        <v>288</v>
      </c>
      <c r="F300" s="468"/>
      <c r="G300" s="468"/>
      <c r="H300" s="468"/>
      <c r="I300" s="126" t="s">
        <v>265</v>
      </c>
      <c r="J300" s="468" t="str">
        <f t="shared" si="215"/>
        <v>lending_paylater_paylater_FPT_subvention_fee</v>
      </c>
      <c r="K300" t="s">
        <v>288</v>
      </c>
      <c r="L300" s="1063" t="s">
        <v>225</v>
      </c>
      <c r="M300" s="7"/>
      <c r="P300" s="7"/>
      <c r="Q300" s="7"/>
      <c r="R300" s="7"/>
      <c r="S300" s="7"/>
      <c r="T300" s="7"/>
    </row>
    <row r="301" spans="2:28" hidden="1">
      <c r="B301" s="468" t="s">
        <v>189</v>
      </c>
      <c r="C301" s="468" t="s">
        <v>190</v>
      </c>
      <c r="D301" s="468" t="s">
        <v>190</v>
      </c>
      <c r="E301" s="468" t="s">
        <v>288</v>
      </c>
      <c r="F301" s="468"/>
      <c r="G301" s="468"/>
      <c r="H301" s="468"/>
      <c r="I301" s="126" t="s">
        <v>266</v>
      </c>
      <c r="J301" s="468" t="str">
        <f t="shared" si="215"/>
        <v>lending_paylater_paylater_FPT_other_fee</v>
      </c>
      <c r="K301" t="s">
        <v>288</v>
      </c>
      <c r="L301" s="1061" t="s">
        <v>226</v>
      </c>
      <c r="M301" s="7">
        <f t="shared" si="204"/>
        <v>0</v>
      </c>
      <c r="P301" s="7"/>
      <c r="Q301" s="7"/>
      <c r="R301" s="7"/>
      <c r="S301" s="7"/>
      <c r="T301" s="7"/>
    </row>
    <row r="302" spans="2:28" hidden="1">
      <c r="B302" s="468" t="s">
        <v>189</v>
      </c>
      <c r="C302" s="468" t="s">
        <v>190</v>
      </c>
      <c r="D302" s="468" t="s">
        <v>190</v>
      </c>
      <c r="E302" s="468" t="s">
        <v>288</v>
      </c>
      <c r="F302" s="468"/>
      <c r="G302" s="468"/>
      <c r="H302" s="468"/>
      <c r="I302" s="126" t="s">
        <v>267</v>
      </c>
      <c r="J302" s="468" t="str">
        <f t="shared" si="215"/>
        <v>lending_paylater_paylater_FPT_adjust_minus_fee</v>
      </c>
      <c r="K302" t="s">
        <v>288</v>
      </c>
      <c r="L302" s="1061" t="s">
        <v>227</v>
      </c>
      <c r="M302" s="7">
        <f t="shared" si="204"/>
        <v>11797373</v>
      </c>
      <c r="Q302" s="7">
        <v>100000</v>
      </c>
      <c r="R302" s="7">
        <v>100000</v>
      </c>
      <c r="S302">
        <v>150000</v>
      </c>
      <c r="T302" s="7">
        <v>92500</v>
      </c>
      <c r="U302">
        <v>776000</v>
      </c>
      <c r="V302" s="7">
        <v>987500</v>
      </c>
      <c r="W302" s="7">
        <v>1438570</v>
      </c>
      <c r="X302" s="7">
        <v>1645384</v>
      </c>
      <c r="Y302" s="7">
        <v>1854084</v>
      </c>
      <c r="Z302" s="7">
        <v>2324000</v>
      </c>
      <c r="AA302" s="7">
        <v>2329335</v>
      </c>
      <c r="AB302" s="7"/>
    </row>
    <row r="303" spans="2:28" hidden="1">
      <c r="B303" s="468" t="s">
        <v>189</v>
      </c>
      <c r="C303" s="468" t="s">
        <v>190</v>
      </c>
      <c r="D303" s="468" t="s">
        <v>190</v>
      </c>
      <c r="E303" s="468" t="s">
        <v>288</v>
      </c>
      <c r="F303" s="468"/>
      <c r="G303" s="468"/>
      <c r="H303" s="468"/>
      <c r="I303" s="126" t="s">
        <v>268</v>
      </c>
      <c r="J303" s="468" t="str">
        <f t="shared" si="215"/>
        <v>lending_paylater_paylater_FPT_adjust_bonus_fee</v>
      </c>
      <c r="K303" t="s">
        <v>288</v>
      </c>
      <c r="L303" s="1061" t="s">
        <v>228</v>
      </c>
      <c r="M303" s="7">
        <f t="shared" si="204"/>
        <v>9468038</v>
      </c>
      <c r="R303" s="7">
        <v>100000</v>
      </c>
      <c r="S303" s="7">
        <v>100000</v>
      </c>
      <c r="T303" s="7">
        <v>150000</v>
      </c>
      <c r="U303" s="7">
        <v>92500</v>
      </c>
      <c r="V303" s="7">
        <f t="shared" ref="V303:X303" si="216">U302</f>
        <v>776000</v>
      </c>
      <c r="W303" s="7">
        <f t="shared" si="216"/>
        <v>987500</v>
      </c>
      <c r="X303" s="7">
        <f t="shared" si="216"/>
        <v>1438570</v>
      </c>
      <c r="Y303" s="7">
        <f>X302</f>
        <v>1645384</v>
      </c>
      <c r="Z303" s="7">
        <v>1854084</v>
      </c>
      <c r="AA303" s="7">
        <v>2324000</v>
      </c>
      <c r="AB303" s="7"/>
    </row>
    <row r="304" spans="2:28" hidden="1">
      <c r="B304" s="468" t="s">
        <v>189</v>
      </c>
      <c r="C304" s="468" t="s">
        <v>190</v>
      </c>
      <c r="D304" s="468" t="s">
        <v>190</v>
      </c>
      <c r="E304" s="468" t="s">
        <v>288</v>
      </c>
      <c r="F304" s="468"/>
      <c r="G304" s="468"/>
      <c r="H304" s="468"/>
      <c r="I304" s="717" t="s">
        <v>269</v>
      </c>
      <c r="J304" s="468" t="str">
        <f t="shared" si="215"/>
        <v>lending_paylater_paylater_FPT_other_TOI</v>
      </c>
      <c r="K304" t="s">
        <v>288</v>
      </c>
      <c r="L304" s="1055" t="s">
        <v>89</v>
      </c>
      <c r="M304" s="7">
        <f t="shared" si="204"/>
        <v>4879120</v>
      </c>
      <c r="N304" s="4"/>
      <c r="O304" s="4"/>
      <c r="P304" s="4"/>
      <c r="Q304" s="4"/>
      <c r="R304" s="47"/>
      <c r="S304" s="47"/>
      <c r="T304" s="47"/>
      <c r="Z304" s="7"/>
      <c r="AA304" s="7">
        <v>4879120</v>
      </c>
      <c r="AB304" s="7"/>
    </row>
    <row r="305" spans="2:28" hidden="1">
      <c r="B305" s="468" t="s">
        <v>189</v>
      </c>
      <c r="C305" s="468" t="s">
        <v>190</v>
      </c>
      <c r="D305" s="468" t="s">
        <v>190</v>
      </c>
      <c r="E305" s="468" t="s">
        <v>288</v>
      </c>
      <c r="F305" s="468"/>
      <c r="G305" s="468"/>
      <c r="H305" s="468"/>
      <c r="I305" s="126" t="s">
        <v>270</v>
      </c>
      <c r="J305" s="468" t="str">
        <f t="shared" si="215"/>
        <v>lending_paylater_paylater_FPT_provision</v>
      </c>
      <c r="K305" t="s">
        <v>288</v>
      </c>
      <c r="L305" s="47" t="s">
        <v>136</v>
      </c>
      <c r="M305" s="7">
        <f t="shared" si="204"/>
        <v>806601858</v>
      </c>
      <c r="N305" s="47">
        <v>2455</v>
      </c>
      <c r="O305" s="47">
        <f>4983332+424149</f>
        <v>5407481</v>
      </c>
      <c r="P305" s="47">
        <v>5721528</v>
      </c>
      <c r="Q305" s="47">
        <v>7043942</v>
      </c>
      <c r="R305" s="47">
        <f>7268302+3148387</f>
        <v>10416689</v>
      </c>
      <c r="S305" s="47">
        <v>14142767</v>
      </c>
      <c r="T305" s="47">
        <v>22434753</v>
      </c>
      <c r="U305" s="47">
        <f t="shared" ref="U305" si="217">27579515+6531942</f>
        <v>34111457</v>
      </c>
      <c r="V305" s="47">
        <v>35769759</v>
      </c>
      <c r="W305" s="47">
        <v>100834887</v>
      </c>
      <c r="X305" s="47">
        <f>76461232+17798168</f>
        <v>94259400</v>
      </c>
      <c r="Y305" s="47">
        <v>198865280</v>
      </c>
      <c r="Z305" s="47">
        <v>131487288</v>
      </c>
      <c r="AA305" s="47">
        <f>136197010+15317098</f>
        <v>151514108</v>
      </c>
      <c r="AB305" s="47"/>
    </row>
    <row r="306" spans="2:28" hidden="1">
      <c r="B306" s="468" t="s">
        <v>189</v>
      </c>
      <c r="C306" s="468" t="s">
        <v>190</v>
      </c>
      <c r="D306" s="468" t="s">
        <v>190</v>
      </c>
      <c r="E306" t="s">
        <v>288</v>
      </c>
      <c r="I306" s="126" t="s">
        <v>271</v>
      </c>
      <c r="J306" t="str">
        <f t="shared" si="215"/>
        <v>lending_paylater_paylater_FPT_variable_cost</v>
      </c>
      <c r="K306" t="s">
        <v>288</v>
      </c>
      <c r="L306" s="47" t="s">
        <v>229</v>
      </c>
      <c r="M306" s="7">
        <f>SUM(P306:AA306)</f>
        <v>57658105.684940353</v>
      </c>
      <c r="N306" s="47">
        <f>SUM(N307:N314)</f>
        <v>233871.72433419619</v>
      </c>
      <c r="O306" s="47">
        <f t="shared" ref="O306" si="218">SUM(O307:O314)</f>
        <v>4128663.6990131978</v>
      </c>
      <c r="P306" s="47">
        <f>SUM(P307:P314)</f>
        <v>3820661.4775941349</v>
      </c>
      <c r="Q306" s="47">
        <f t="shared" ref="Q306:U306" si="219">SUM(Q307:Q314)</f>
        <v>4118058.2792558172</v>
      </c>
      <c r="R306" s="47">
        <f t="shared" si="219"/>
        <v>5507250.7362807626</v>
      </c>
      <c r="S306" s="47">
        <f t="shared" si="219"/>
        <v>6200640.563949734</v>
      </c>
      <c r="T306" s="47">
        <f t="shared" si="219"/>
        <v>6491810.5236303331</v>
      </c>
      <c r="U306" s="47">
        <f t="shared" si="219"/>
        <v>4123771.1395919821</v>
      </c>
      <c r="V306" s="47">
        <f t="shared" ref="V306:AA306" si="220">SUM(V307:V314)</f>
        <v>5728619.8535761526</v>
      </c>
      <c r="W306" s="47">
        <f t="shared" si="220"/>
        <v>6076054.4457300277</v>
      </c>
      <c r="X306" s="47">
        <f t="shared" si="220"/>
        <v>6681040.6188341137</v>
      </c>
      <c r="Y306" s="47">
        <f t="shared" si="220"/>
        <v>3842510.0126510775</v>
      </c>
      <c r="Z306" s="47">
        <f t="shared" si="220"/>
        <v>2632517.146652692</v>
      </c>
      <c r="AA306" s="47">
        <f t="shared" si="220"/>
        <v>2435170.8871935201</v>
      </c>
      <c r="AB306" s="47"/>
    </row>
    <row r="307" spans="2:28" hidden="1">
      <c r="B307" s="468" t="s">
        <v>189</v>
      </c>
      <c r="C307" s="468" t="s">
        <v>190</v>
      </c>
      <c r="D307" s="468" t="s">
        <v>190</v>
      </c>
      <c r="E307" s="468" t="s">
        <v>288</v>
      </c>
      <c r="F307" s="468"/>
      <c r="G307" s="468"/>
      <c r="H307" s="468"/>
      <c r="I307" s="126" t="s">
        <v>272</v>
      </c>
      <c r="J307" s="468" t="str">
        <f t="shared" si="215"/>
        <v>lending_paylater_paylater_FPT_marketing_acquisition_cost</v>
      </c>
      <c r="K307" t="s">
        <v>288</v>
      </c>
      <c r="L307" s="563" t="s">
        <v>230</v>
      </c>
      <c r="M307" s="7">
        <f t="shared" ref="M307:M308" si="221">SUM(P307:AA307)</f>
        <v>0</v>
      </c>
    </row>
    <row r="308" spans="2:28" hidden="1">
      <c r="B308" s="468" t="s">
        <v>189</v>
      </c>
      <c r="C308" s="468" t="s">
        <v>190</v>
      </c>
      <c r="D308" s="468" t="s">
        <v>190</v>
      </c>
      <c r="E308" s="468" t="s">
        <v>288</v>
      </c>
      <c r="F308" s="468"/>
      <c r="G308" s="468"/>
      <c r="H308" s="468"/>
      <c r="I308" s="126" t="s">
        <v>273</v>
      </c>
      <c r="J308" s="468" t="str">
        <f t="shared" si="215"/>
        <v>lending_paylater_paylater_FPT_partner_acquisition_cost</v>
      </c>
      <c r="K308" t="s">
        <v>288</v>
      </c>
      <c r="L308" s="563" t="s">
        <v>231</v>
      </c>
      <c r="M308" s="7">
        <f t="shared" si="221"/>
        <v>0</v>
      </c>
      <c r="N308" s="7">
        <v>0</v>
      </c>
      <c r="Z308" s="7"/>
    </row>
    <row r="309" spans="2:28" hidden="1">
      <c r="B309" s="468" t="s">
        <v>189</v>
      </c>
      <c r="C309" s="468" t="s">
        <v>190</v>
      </c>
      <c r="D309" s="468" t="s">
        <v>190</v>
      </c>
      <c r="E309" t="s">
        <v>288</v>
      </c>
      <c r="I309" s="126" t="s">
        <v>274</v>
      </c>
      <c r="J309" t="str">
        <f t="shared" si="215"/>
        <v>lending_paylater_paylater_FPT_underwritting</v>
      </c>
      <c r="K309" t="s">
        <v>288</v>
      </c>
      <c r="L309" s="563" t="s">
        <v>232</v>
      </c>
      <c r="M309" s="7">
        <f>SUM(P309:AA309)</f>
        <v>20308938.579682872</v>
      </c>
      <c r="N309" s="7">
        <v>186649.28511562938</v>
      </c>
      <c r="O309" s="7">
        <v>3857576.3113531708</v>
      </c>
      <c r="P309" s="7">
        <v>1875514.9019563901</v>
      </c>
      <c r="Q309" s="7">
        <v>1783088.2355438501</v>
      </c>
      <c r="R309" s="7">
        <v>1690276.3003478337</v>
      </c>
      <c r="S309" s="7">
        <v>1757599.1021659176</v>
      </c>
      <c r="T309" s="7">
        <v>2023458.475835948</v>
      </c>
      <c r="U309" s="7">
        <v>2073459.9097681351</v>
      </c>
      <c r="V309" s="7">
        <v>2716744.023361227</v>
      </c>
      <c r="W309" s="7">
        <v>2495545.7007635711</v>
      </c>
      <c r="X309" s="7">
        <v>2216894.7038988406</v>
      </c>
      <c r="Y309" s="7">
        <v>1676357.2260411612</v>
      </c>
      <c r="Z309" s="7">
        <v>0</v>
      </c>
      <c r="AA309" s="7">
        <v>0</v>
      </c>
      <c r="AB309" s="7"/>
    </row>
    <row r="310" spans="2:28" hidden="1">
      <c r="B310" s="468" t="s">
        <v>189</v>
      </c>
      <c r="C310" s="468" t="s">
        <v>190</v>
      </c>
      <c r="D310" s="468" t="s">
        <v>190</v>
      </c>
      <c r="E310" s="468" t="s">
        <v>288</v>
      </c>
      <c r="F310" s="468"/>
      <c r="G310" s="468"/>
      <c r="H310" s="468"/>
      <c r="I310" s="126" t="s">
        <v>275</v>
      </c>
      <c r="J310" s="468" t="str">
        <f t="shared" si="215"/>
        <v>lending_paylater_paylater_FPT_e_contract</v>
      </c>
      <c r="K310" t="s">
        <v>288</v>
      </c>
      <c r="L310" s="563" t="s">
        <v>233</v>
      </c>
      <c r="M310" s="7">
        <f>SUM(P310:AA310)</f>
        <v>1118595</v>
      </c>
      <c r="N310" s="7">
        <v>16923</v>
      </c>
      <c r="O310" s="7">
        <v>200853</v>
      </c>
      <c r="P310">
        <v>105385</v>
      </c>
      <c r="Q310">
        <v>51803</v>
      </c>
      <c r="R310" s="7">
        <v>184142</v>
      </c>
      <c r="S310" s="7">
        <v>167220</v>
      </c>
      <c r="T310">
        <v>26200</v>
      </c>
      <c r="U310">
        <v>119183</v>
      </c>
      <c r="V310" s="7">
        <v>167400</v>
      </c>
      <c r="W310" s="7">
        <v>153000</v>
      </c>
      <c r="X310" s="7">
        <v>85363</v>
      </c>
      <c r="Y310" s="7">
        <v>58899</v>
      </c>
      <c r="Z310" s="7">
        <v>0</v>
      </c>
      <c r="AA310" s="7">
        <v>0</v>
      </c>
      <c r="AB310" s="7"/>
    </row>
    <row r="311" spans="2:28" hidden="1">
      <c r="B311" s="468" t="s">
        <v>189</v>
      </c>
      <c r="C311" s="468" t="s">
        <v>190</v>
      </c>
      <c r="D311" s="468" t="s">
        <v>190</v>
      </c>
      <c r="E311" s="468" t="s">
        <v>288</v>
      </c>
      <c r="F311" s="468"/>
      <c r="G311" s="468"/>
      <c r="H311" s="468"/>
      <c r="I311" s="126" t="s">
        <v>276</v>
      </c>
      <c r="J311" s="468" t="str">
        <f t="shared" si="215"/>
        <v>lending_paylater_paylater_FPT_nfc</v>
      </c>
      <c r="K311" t="s">
        <v>288</v>
      </c>
      <c r="L311" s="563" t="s">
        <v>152</v>
      </c>
      <c r="M311" s="7">
        <f t="shared" si="204"/>
        <v>940794.88446278113</v>
      </c>
      <c r="P311" s="7">
        <v>188004.93970652332</v>
      </c>
      <c r="Q311" s="7">
        <v>25645.792623746358</v>
      </c>
      <c r="R311" s="7">
        <v>113347.13743093923</v>
      </c>
      <c r="S311" s="7">
        <v>88574.256181030869</v>
      </c>
      <c r="T311">
        <v>129889.32515337423</v>
      </c>
      <c r="U311" s="7">
        <v>76853.861064543162</v>
      </c>
      <c r="V311" s="7">
        <v>84103.420125920398</v>
      </c>
      <c r="W311" s="7">
        <v>84898.740310077526</v>
      </c>
      <c r="X311" s="7">
        <v>73240.547985781988</v>
      </c>
      <c r="Y311" s="7">
        <v>76236.863880844016</v>
      </c>
      <c r="Z311" s="7">
        <v>0</v>
      </c>
      <c r="AA311" s="7">
        <v>0</v>
      </c>
      <c r="AB311" s="7"/>
    </row>
    <row r="312" spans="2:28" hidden="1">
      <c r="B312" s="468" t="s">
        <v>189</v>
      </c>
      <c r="C312" s="468" t="s">
        <v>190</v>
      </c>
      <c r="D312" s="468" t="s">
        <v>190</v>
      </c>
      <c r="E312" s="468" t="s">
        <v>288</v>
      </c>
      <c r="F312" s="468"/>
      <c r="G312" s="468"/>
      <c r="H312" s="468"/>
      <c r="I312" s="126" t="s">
        <v>277</v>
      </c>
      <c r="J312" s="468" t="str">
        <f t="shared" si="215"/>
        <v>lending_paylater_paylater_FPT_collection</v>
      </c>
      <c r="K312" t="s">
        <v>288</v>
      </c>
      <c r="L312" s="563" t="s">
        <v>234</v>
      </c>
      <c r="M312" s="7">
        <f t="shared" ref="M312:M314" si="222">SUM(P312:AA312)</f>
        <v>33162741.286103047</v>
      </c>
      <c r="N312" s="7">
        <v>30299.4392185668</v>
      </c>
      <c r="O312" s="7">
        <v>70234.387660027016</v>
      </c>
      <c r="P312" s="7">
        <v>1545779.57760778</v>
      </c>
      <c r="Q312" s="7">
        <v>2193083.9845195576</v>
      </c>
      <c r="R312" s="7">
        <v>3151532.2354686102</v>
      </c>
      <c r="S312" s="7">
        <v>3946960.339532319</v>
      </c>
      <c r="T312" s="7">
        <v>4175953.5172359934</v>
      </c>
      <c r="U312" s="7">
        <v>1717257.0162678107</v>
      </c>
      <c r="V312" s="7">
        <v>2561524.4758384433</v>
      </c>
      <c r="W312" s="7">
        <v>3203771.227592865</v>
      </c>
      <c r="X312" s="7">
        <v>4112399.8262117989</v>
      </c>
      <c r="Y312" s="7">
        <v>1821457.0020522291</v>
      </c>
      <c r="Z312" s="7">
        <v>2430071.1950402828</v>
      </c>
      <c r="AA312" s="7">
        <v>2302950.8887353581</v>
      </c>
      <c r="AB312" s="7"/>
    </row>
    <row r="313" spans="2:28" hidden="1">
      <c r="B313" s="468" t="s">
        <v>189</v>
      </c>
      <c r="C313" s="468" t="s">
        <v>190</v>
      </c>
      <c r="D313" s="468" t="s">
        <v>190</v>
      </c>
      <c r="E313" s="468" t="s">
        <v>288</v>
      </c>
      <c r="F313" s="468"/>
      <c r="G313" s="468"/>
      <c r="H313" s="468"/>
      <c r="I313" s="126" t="s">
        <v>278</v>
      </c>
      <c r="J313" s="468" t="str">
        <f t="shared" si="215"/>
        <v>lending_paylater_paylater_FPT_promotion</v>
      </c>
      <c r="K313" t="s">
        <v>288</v>
      </c>
      <c r="L313" s="563" t="s">
        <v>235</v>
      </c>
      <c r="M313" s="7">
        <f t="shared" si="222"/>
        <v>0</v>
      </c>
    </row>
    <row r="314" spans="2:28" hidden="1">
      <c r="B314" s="468" t="s">
        <v>189</v>
      </c>
      <c r="C314" s="468" t="s">
        <v>190</v>
      </c>
      <c r="D314" s="468" t="s">
        <v>190</v>
      </c>
      <c r="E314" s="468" t="s">
        <v>288</v>
      </c>
      <c r="F314" s="468"/>
      <c r="G314" s="468"/>
      <c r="H314" s="468"/>
      <c r="I314" s="126" t="s">
        <v>279</v>
      </c>
      <c r="J314" s="468" t="str">
        <f t="shared" si="215"/>
        <v>lending_paylater_paylater_FPT_sms</v>
      </c>
      <c r="K314" t="s">
        <v>288</v>
      </c>
      <c r="L314" s="563" t="s">
        <v>163</v>
      </c>
      <c r="M314" s="7">
        <f t="shared" si="222"/>
        <v>2127035.9346916438</v>
      </c>
      <c r="N314" s="7"/>
      <c r="P314">
        <v>105977.05832344173</v>
      </c>
      <c r="Q314" s="7">
        <v>64437.266568662904</v>
      </c>
      <c r="R314" s="7">
        <v>367953.06303337991</v>
      </c>
      <c r="S314" s="7">
        <v>240286.86607046655</v>
      </c>
      <c r="T314" s="7">
        <v>136309.20540501695</v>
      </c>
      <c r="U314" s="7">
        <v>137017.35249149302</v>
      </c>
      <c r="V314" s="7">
        <v>198847.93425056225</v>
      </c>
      <c r="W314" s="7">
        <v>138838.7770635137</v>
      </c>
      <c r="X314" s="7">
        <v>193142.54073769209</v>
      </c>
      <c r="Y314" s="7">
        <v>209559.92067684321</v>
      </c>
      <c r="Z314" s="7">
        <v>202445.95161240929</v>
      </c>
      <c r="AA314" s="7">
        <v>132219.99845816201</v>
      </c>
      <c r="AB314" s="7"/>
    </row>
    <row r="315" spans="2:28">
      <c r="B315" s="468" t="s">
        <v>189</v>
      </c>
      <c r="C315" s="468" t="s">
        <v>190</v>
      </c>
      <c r="D315" s="468" t="s">
        <v>190</v>
      </c>
      <c r="E315" s="468" t="s">
        <v>288</v>
      </c>
      <c r="F315" s="468" t="str">
        <f>E315&amp;"PL"</f>
        <v>FPTPL</v>
      </c>
      <c r="G315" s="468" t="str">
        <f>L315&amp;F315</f>
        <v>Profit before allocation costFPTPL</v>
      </c>
      <c r="H315" s="468" t="str">
        <f>L315&amp;E315</f>
        <v>Profit before allocation costFPT</v>
      </c>
      <c r="I315" s="126" t="s">
        <v>280</v>
      </c>
      <c r="J315" s="468" t="str">
        <f t="shared" si="215"/>
        <v>lending_paylater_paylater_FPT_profit_before_overhead</v>
      </c>
      <c r="K315" t="s">
        <v>288</v>
      </c>
      <c r="L315" s="47" t="s">
        <v>236</v>
      </c>
      <c r="M315" s="7">
        <f t="shared" si="204"/>
        <v>-849664939.16969657</v>
      </c>
      <c r="N315" s="81">
        <f t="shared" ref="N315:T315" si="223">N286-N305-N306</f>
        <v>-237858.72433419619</v>
      </c>
      <c r="O315" s="81">
        <f t="shared" si="223"/>
        <v>-10662495.699013198</v>
      </c>
      <c r="P315" s="81">
        <f t="shared" si="223"/>
        <v>-10411409.477594135</v>
      </c>
      <c r="Q315" s="81">
        <f t="shared" si="223"/>
        <v>-13412498.279255817</v>
      </c>
      <c r="R315" s="81">
        <f t="shared" si="223"/>
        <v>-18955161.875580762</v>
      </c>
      <c r="S315" s="81">
        <f t="shared" si="223"/>
        <v>-23764545.615449734</v>
      </c>
      <c r="T315" s="81">
        <f t="shared" si="223"/>
        <v>-32878319.464730334</v>
      </c>
      <c r="U315" s="81">
        <f t="shared" ref="U315:AA315" si="224">U286-U305-U306</f>
        <v>-32804451.094491981</v>
      </c>
      <c r="V315" s="81">
        <f t="shared" si="224"/>
        <v>-36787217.740576155</v>
      </c>
      <c r="W315" s="81">
        <f t="shared" si="224"/>
        <v>-103231438.85518619</v>
      </c>
      <c r="X315" s="81">
        <f t="shared" si="224"/>
        <v>-96769978.769334108</v>
      </c>
      <c r="Y315" s="81">
        <f t="shared" si="224"/>
        <v>-200126017.2404511</v>
      </c>
      <c r="Z315" s="81">
        <f t="shared" si="224"/>
        <v>-131779711.6739527</v>
      </c>
      <c r="AA315" s="81">
        <f t="shared" si="224"/>
        <v>-148744189.08309352</v>
      </c>
      <c r="AB315" s="7">
        <f>SUM(P315:AA315)</f>
        <v>-849664939.16969657</v>
      </c>
    </row>
    <row r="316" spans="2:28" hidden="1">
      <c r="B316" s="468"/>
      <c r="C316" s="468"/>
      <c r="D316" s="468"/>
      <c r="E316" s="468"/>
      <c r="F316" s="468"/>
      <c r="G316" s="468"/>
      <c r="H316" s="468"/>
      <c r="I316" s="1058"/>
      <c r="J316" s="468"/>
      <c r="L316" s="47"/>
      <c r="N316" s="34"/>
      <c r="O316" s="34"/>
      <c r="P316" s="34"/>
      <c r="Q316" s="34"/>
      <c r="R316" s="34"/>
      <c r="S316" s="34"/>
      <c r="T316" s="34"/>
      <c r="Z316" s="34"/>
      <c r="AA316" s="34"/>
      <c r="AB316" s="34"/>
    </row>
    <row r="317" spans="2:28" hidden="1">
      <c r="B317" s="468" t="s">
        <v>189</v>
      </c>
      <c r="C317" s="468" t="s">
        <v>190</v>
      </c>
      <c r="D317" s="468" t="s">
        <v>190</v>
      </c>
      <c r="E317" s="468" t="s">
        <v>290</v>
      </c>
      <c r="F317" s="468"/>
      <c r="G317" s="468"/>
      <c r="H317" s="468"/>
      <c r="I317" s="461"/>
      <c r="J317" s="468" t="str">
        <f t="shared" ref="J317:J348" si="225">B317&amp;"_"&amp;C317&amp;"_"&amp;D317&amp;"_"&amp;E317&amp;"_"&amp;I317</f>
        <v>lending_paylater_paylater_MWG_</v>
      </c>
      <c r="K317" t="s">
        <v>290</v>
      </c>
      <c r="L317" s="1048" t="s">
        <v>291</v>
      </c>
    </row>
    <row r="318" spans="2:28" hidden="1">
      <c r="B318" s="468" t="s">
        <v>189</v>
      </c>
      <c r="C318" s="468" t="s">
        <v>190</v>
      </c>
      <c r="D318" s="468" t="s">
        <v>190</v>
      </c>
      <c r="E318" s="468" t="s">
        <v>290</v>
      </c>
      <c r="F318" s="468"/>
      <c r="G318" s="468"/>
      <c r="H318" s="468"/>
      <c r="I318" s="126" t="s">
        <v>239</v>
      </c>
      <c r="J318" s="468" t="str">
        <f t="shared" si="225"/>
        <v>lending_paylater_paylater_MWG_new_account</v>
      </c>
      <c r="K318" t="s">
        <v>290</v>
      </c>
      <c r="L318" s="1052" t="s">
        <v>193</v>
      </c>
      <c r="Q318">
        <v>9645</v>
      </c>
      <c r="R318">
        <v>2</v>
      </c>
      <c r="S318">
        <v>0</v>
      </c>
      <c r="T318">
        <v>19</v>
      </c>
      <c r="U318">
        <v>1974</v>
      </c>
      <c r="V318" s="7">
        <v>2919</v>
      </c>
      <c r="W318" s="7">
        <v>2689</v>
      </c>
      <c r="X318" s="7">
        <v>2261</v>
      </c>
      <c r="Y318">
        <v>3100</v>
      </c>
      <c r="Z318" s="7">
        <v>3793</v>
      </c>
      <c r="AA318">
        <v>4251</v>
      </c>
    </row>
    <row r="319" spans="2:28" hidden="1">
      <c r="B319" s="468" t="s">
        <v>189</v>
      </c>
      <c r="C319" s="468" t="s">
        <v>190</v>
      </c>
      <c r="D319" s="468" t="s">
        <v>190</v>
      </c>
      <c r="E319" s="468" t="s">
        <v>290</v>
      </c>
      <c r="F319" s="468"/>
      <c r="G319" s="468"/>
      <c r="H319" s="468"/>
      <c r="I319" s="126" t="s">
        <v>240</v>
      </c>
      <c r="J319" s="468" t="str">
        <f t="shared" si="225"/>
        <v>lending_paylater_paylater_MWG_accum_account</v>
      </c>
      <c r="K319" t="s">
        <v>290</v>
      </c>
      <c r="L319" s="1052" t="s">
        <v>194</v>
      </c>
      <c r="Q319">
        <f>Q318</f>
        <v>9645</v>
      </c>
      <c r="R319">
        <f t="shared" ref="R319:AA319" si="226">Q319+R318</f>
        <v>9647</v>
      </c>
      <c r="S319">
        <f t="shared" si="226"/>
        <v>9647</v>
      </c>
      <c r="T319">
        <f t="shared" si="226"/>
        <v>9666</v>
      </c>
      <c r="U319">
        <f t="shared" si="226"/>
        <v>11640</v>
      </c>
      <c r="V319">
        <f t="shared" si="226"/>
        <v>14559</v>
      </c>
      <c r="W319">
        <f t="shared" si="226"/>
        <v>17248</v>
      </c>
      <c r="X319">
        <f t="shared" si="226"/>
        <v>19509</v>
      </c>
      <c r="Y319">
        <f t="shared" si="226"/>
        <v>22609</v>
      </c>
      <c r="Z319">
        <f t="shared" si="226"/>
        <v>26402</v>
      </c>
      <c r="AA319">
        <f t="shared" si="226"/>
        <v>30653</v>
      </c>
    </row>
    <row r="320" spans="2:28" hidden="1">
      <c r="B320" s="468" t="s">
        <v>189</v>
      </c>
      <c r="C320" s="468" t="s">
        <v>190</v>
      </c>
      <c r="D320" s="468" t="s">
        <v>190</v>
      </c>
      <c r="E320" s="468" t="s">
        <v>290</v>
      </c>
      <c r="F320" s="468"/>
      <c r="G320" s="468"/>
      <c r="H320" s="468"/>
      <c r="I320" s="126" t="s">
        <v>241</v>
      </c>
      <c r="J320" s="468" t="str">
        <f t="shared" si="225"/>
        <v>lending_paylater_paylater_MWG_active_account</v>
      </c>
      <c r="K320" t="s">
        <v>290</v>
      </c>
      <c r="L320" s="1052" t="s">
        <v>195</v>
      </c>
      <c r="Q320">
        <v>1408</v>
      </c>
      <c r="R320">
        <v>1411</v>
      </c>
      <c r="S320">
        <v>0</v>
      </c>
      <c r="T320">
        <v>12</v>
      </c>
      <c r="U320">
        <v>733</v>
      </c>
      <c r="V320" s="7">
        <v>1762</v>
      </c>
      <c r="W320" s="7">
        <v>2527</v>
      </c>
      <c r="X320" s="7">
        <v>2235</v>
      </c>
      <c r="Y320">
        <v>3305</v>
      </c>
      <c r="Z320">
        <v>5306</v>
      </c>
      <c r="AA320">
        <v>5896</v>
      </c>
    </row>
    <row r="321" spans="2:30" hidden="1">
      <c r="B321" s="468" t="s">
        <v>189</v>
      </c>
      <c r="C321" s="468" t="s">
        <v>190</v>
      </c>
      <c r="D321" s="468" t="s">
        <v>190</v>
      </c>
      <c r="E321" s="468" t="s">
        <v>290</v>
      </c>
      <c r="F321" s="468"/>
      <c r="G321" s="468"/>
      <c r="H321" s="468"/>
      <c r="I321" s="1050"/>
      <c r="J321" s="468" t="str">
        <f t="shared" si="225"/>
        <v>lending_paylater_paylater_MWG_</v>
      </c>
      <c r="K321" t="s">
        <v>290</v>
      </c>
      <c r="L321" s="1052" t="s">
        <v>196</v>
      </c>
      <c r="N321" s="42"/>
      <c r="O321" s="42"/>
      <c r="P321" s="42"/>
      <c r="Q321" s="42">
        <f t="shared" ref="Q321:AA321" si="227">Q320/Q319</f>
        <v>0.14598237428719543</v>
      </c>
      <c r="R321" s="42">
        <f t="shared" si="227"/>
        <v>0.14626308697004251</v>
      </c>
      <c r="S321" s="42">
        <f t="shared" si="227"/>
        <v>0</v>
      </c>
      <c r="T321" s="42">
        <f t="shared" si="227"/>
        <v>1.2414649286157666E-3</v>
      </c>
      <c r="U321" s="42">
        <f t="shared" si="227"/>
        <v>6.297250859106529E-2</v>
      </c>
      <c r="V321" s="42">
        <f t="shared" si="227"/>
        <v>0.12102479565904252</v>
      </c>
      <c r="W321" s="42">
        <f t="shared" si="227"/>
        <v>0.14650974025974026</v>
      </c>
      <c r="X321" s="42">
        <f t="shared" si="227"/>
        <v>0.1145625096109488</v>
      </c>
      <c r="Y321" s="42">
        <f t="shared" si="227"/>
        <v>0.14618072449024724</v>
      </c>
      <c r="Z321" s="42">
        <f t="shared" si="227"/>
        <v>0.20096962351337019</v>
      </c>
      <c r="AA321" s="42">
        <f t="shared" si="227"/>
        <v>0.19234658924085735</v>
      </c>
      <c r="AB321" s="42"/>
    </row>
    <row r="322" spans="2:30" hidden="1">
      <c r="B322" s="468" t="s">
        <v>189</v>
      </c>
      <c r="C322" s="468" t="s">
        <v>190</v>
      </c>
      <c r="D322" s="468" t="s">
        <v>190</v>
      </c>
      <c r="E322" s="468" t="s">
        <v>290</v>
      </c>
      <c r="F322" s="468"/>
      <c r="G322" s="468"/>
      <c r="H322" s="468"/>
      <c r="I322" s="126"/>
      <c r="J322" s="468" t="str">
        <f t="shared" si="225"/>
        <v>lending_paylater_paylater_MWG_</v>
      </c>
      <c r="K322" t="s">
        <v>290</v>
      </c>
      <c r="L322" s="1052" t="s">
        <v>197</v>
      </c>
      <c r="N322" s="7"/>
      <c r="O322" s="7"/>
      <c r="P322" s="7"/>
      <c r="Q322" s="34">
        <f t="shared" ref="Q322:AA322" si="228">Q324/Q319</f>
        <v>996653.18818040437</v>
      </c>
      <c r="R322" s="34">
        <f t="shared" si="228"/>
        <v>274.6967969316886</v>
      </c>
      <c r="S322" s="34">
        <f t="shared" si="228"/>
        <v>0</v>
      </c>
      <c r="T322" s="34">
        <f t="shared" si="228"/>
        <v>2448.4792054624459</v>
      </c>
      <c r="U322" s="34">
        <f t="shared" si="228"/>
        <v>353748.32044673536</v>
      </c>
      <c r="V322" s="34">
        <f t="shared" si="228"/>
        <v>613542.11882684252</v>
      </c>
      <c r="W322" s="34">
        <f t="shared" si="228"/>
        <v>729758.96625695738</v>
      </c>
      <c r="X322" s="34">
        <f t="shared" si="228"/>
        <v>657348.65518478653</v>
      </c>
      <c r="Y322" s="34">
        <f t="shared" si="228"/>
        <v>869742.8274580919</v>
      </c>
      <c r="Z322" s="34">
        <f t="shared" si="228"/>
        <v>1123449.0794258011</v>
      </c>
      <c r="AA322" s="34">
        <f t="shared" si="228"/>
        <v>1004683.9166802596</v>
      </c>
      <c r="AB322" s="34"/>
    </row>
    <row r="323" spans="2:30" hidden="1">
      <c r="B323" s="468" t="s">
        <v>189</v>
      </c>
      <c r="C323" s="468" t="s">
        <v>190</v>
      </c>
      <c r="D323" s="468" t="s">
        <v>190</v>
      </c>
      <c r="E323" s="468" t="s">
        <v>290</v>
      </c>
      <c r="F323" s="468"/>
      <c r="G323" s="468"/>
      <c r="H323" s="468"/>
      <c r="I323" s="1050"/>
      <c r="J323" s="468" t="str">
        <f t="shared" si="225"/>
        <v>lending_paylater_paylater_MWG_</v>
      </c>
      <c r="K323" t="s">
        <v>290</v>
      </c>
      <c r="L323" s="1053" t="s">
        <v>198</v>
      </c>
      <c r="N323" s="7"/>
      <c r="O323" s="7"/>
      <c r="P323" s="7"/>
      <c r="Q323" s="34">
        <f>Q324/Q320</f>
        <v>6827215.9090909092</v>
      </c>
      <c r="R323" s="34">
        <f>R324/R320</f>
        <v>1878.1006378454997</v>
      </c>
      <c r="S323" s="34">
        <v>0</v>
      </c>
      <c r="T323" s="34">
        <f t="shared" ref="T323:AA323" si="229">T324/T320</f>
        <v>1972250</v>
      </c>
      <c r="U323" s="34">
        <f t="shared" si="229"/>
        <v>5617504.0245566163</v>
      </c>
      <c r="V323" s="34">
        <f t="shared" si="229"/>
        <v>5069557.1555051077</v>
      </c>
      <c r="W323" s="34">
        <f t="shared" si="229"/>
        <v>4980958.7059754645</v>
      </c>
      <c r="X323" s="34">
        <f t="shared" si="229"/>
        <v>5737903.7646532441</v>
      </c>
      <c r="Y323" s="34">
        <f t="shared" si="229"/>
        <v>5949777.7869894104</v>
      </c>
      <c r="Z323" s="34">
        <f t="shared" si="229"/>
        <v>5590143.7231436111</v>
      </c>
      <c r="AA323" s="34">
        <f t="shared" si="229"/>
        <v>5223299.8809362277</v>
      </c>
      <c r="AB323" s="34"/>
    </row>
    <row r="324" spans="2:30">
      <c r="B324" s="468" t="s">
        <v>189</v>
      </c>
      <c r="C324" s="468" t="s">
        <v>190</v>
      </c>
      <c r="D324" s="468" t="s">
        <v>190</v>
      </c>
      <c r="E324" s="468" t="s">
        <v>290</v>
      </c>
      <c r="F324" s="468" t="str">
        <f>E324&amp;"PL"</f>
        <v>MWGPL</v>
      </c>
      <c r="G324" s="468" t="str">
        <f>L324&amp;F324</f>
        <v>SpendingMWGPL</v>
      </c>
      <c r="H324" s="468" t="str">
        <f>L324&amp;E324</f>
        <v>SpendingMWG</v>
      </c>
      <c r="I324" s="126" t="s">
        <v>242</v>
      </c>
      <c r="J324" s="468" t="str">
        <f t="shared" si="225"/>
        <v>lending_paylater_paylater_MWG_disburse/spend</v>
      </c>
      <c r="K324" t="s">
        <v>290</v>
      </c>
      <c r="L324" s="1052" t="s">
        <v>199</v>
      </c>
      <c r="M324" s="7">
        <f t="shared" ref="M324" si="230">SUM(P324:AA324)</f>
        <v>128222219001</v>
      </c>
      <c r="N324" s="7"/>
      <c r="O324" s="7"/>
      <c r="P324" s="7"/>
      <c r="Q324" s="7">
        <v>9612720000</v>
      </c>
      <c r="R324" s="7">
        <v>2650000</v>
      </c>
      <c r="S324">
        <v>0</v>
      </c>
      <c r="T324" s="7">
        <v>23667000</v>
      </c>
      <c r="U324" s="7">
        <v>4117630449.9999995</v>
      </c>
      <c r="V324" s="7">
        <f>8932.559708*10^6</f>
        <v>8932559708</v>
      </c>
      <c r="W324" s="7">
        <f>12586.88265*10^6</f>
        <v>12586882650</v>
      </c>
      <c r="X324" s="7">
        <f>12824.214914*10^6</f>
        <v>12824214914</v>
      </c>
      <c r="Y324" s="7">
        <f>19664.015586*10^6</f>
        <v>19664015586</v>
      </c>
      <c r="Z324" s="7">
        <f>29661.302595*10^6</f>
        <v>29661302595</v>
      </c>
      <c r="AA324" s="7">
        <f>30796.576098*10^6</f>
        <v>30796576098</v>
      </c>
      <c r="AB324" s="7">
        <f>SUM(P324:AA324)</f>
        <v>128222219001</v>
      </c>
    </row>
    <row r="325" spans="2:30" ht="14.25" hidden="1" customHeight="1">
      <c r="B325" s="468" t="s">
        <v>189</v>
      </c>
      <c r="C325" s="468" t="s">
        <v>190</v>
      </c>
      <c r="D325" s="468" t="s">
        <v>190</v>
      </c>
      <c r="E325" s="468" t="s">
        <v>290</v>
      </c>
      <c r="F325" s="468"/>
      <c r="G325" s="468"/>
      <c r="H325" s="468"/>
      <c r="I325" s="126" t="s">
        <v>243</v>
      </c>
      <c r="J325" s="468" t="str">
        <f t="shared" si="225"/>
        <v>lending_paylater_paylater_MWG_ENR</v>
      </c>
      <c r="K325" t="s">
        <v>290</v>
      </c>
      <c r="L325" s="1052" t="s">
        <v>200</v>
      </c>
      <c r="N325" s="7"/>
      <c r="O325" s="7"/>
      <c r="P325" s="7"/>
      <c r="Q325" s="7">
        <v>8978963186</v>
      </c>
      <c r="R325" s="7">
        <v>5879563974</v>
      </c>
      <c r="S325" s="7">
        <v>5273039212</v>
      </c>
      <c r="T325" s="7">
        <v>4828132021</v>
      </c>
      <c r="U325" s="7">
        <v>8462495252</v>
      </c>
      <c r="V325" s="7">
        <v>16239237866</v>
      </c>
      <c r="W325" s="7">
        <v>25467548263</v>
      </c>
      <c r="X325" s="7">
        <v>33104607622</v>
      </c>
      <c r="Y325" s="7">
        <v>43189922369</v>
      </c>
      <c r="Z325" s="7">
        <v>61689500490</v>
      </c>
      <c r="AA325" s="7">
        <v>76471917475</v>
      </c>
      <c r="AB325" s="7"/>
    </row>
    <row r="326" spans="2:30" ht="14.25" hidden="1" customHeight="1">
      <c r="B326" s="468" t="s">
        <v>189</v>
      </c>
      <c r="C326" s="468" t="s">
        <v>190</v>
      </c>
      <c r="D326" s="468" t="s">
        <v>190</v>
      </c>
      <c r="E326" s="468" t="s">
        <v>290</v>
      </c>
      <c r="F326" s="468"/>
      <c r="G326" s="468"/>
      <c r="H326" s="468"/>
      <c r="I326" s="126" t="s">
        <v>244</v>
      </c>
      <c r="J326" s="468" t="str">
        <f t="shared" si="225"/>
        <v>lending_paylater_paylater_MWG_nonEMI_ENR</v>
      </c>
      <c r="K326" t="s">
        <v>290</v>
      </c>
      <c r="L326" s="1052" t="s">
        <v>201</v>
      </c>
      <c r="N326" s="7"/>
      <c r="O326" s="7"/>
      <c r="P326" s="7"/>
      <c r="Q326" s="7"/>
      <c r="R326" s="7"/>
      <c r="S326" s="7"/>
      <c r="T326" s="7"/>
      <c r="U326" s="7">
        <v>6059713706</v>
      </c>
      <c r="V326" s="7">
        <f t="shared" ref="V326:AA326" si="231">V325-V327</f>
        <v>9416267168</v>
      </c>
      <c r="W326" s="7">
        <f t="shared" si="231"/>
        <v>15371664207</v>
      </c>
      <c r="X326" s="7">
        <f t="shared" si="231"/>
        <v>19421936682</v>
      </c>
      <c r="Y326" s="7">
        <f t="shared" si="231"/>
        <v>22688362010</v>
      </c>
      <c r="Z326" s="7">
        <f t="shared" si="231"/>
        <v>32134204488</v>
      </c>
      <c r="AA326" s="7">
        <f t="shared" si="231"/>
        <v>38273282397</v>
      </c>
      <c r="AB326" s="7"/>
    </row>
    <row r="327" spans="2:30" ht="14.25" hidden="1" customHeight="1">
      <c r="B327" s="468" t="s">
        <v>189</v>
      </c>
      <c r="C327" s="468" t="s">
        <v>190</v>
      </c>
      <c r="D327" s="468" t="s">
        <v>190</v>
      </c>
      <c r="E327" s="468" t="s">
        <v>290</v>
      </c>
      <c r="F327" s="468"/>
      <c r="G327" s="468"/>
      <c r="H327" s="468"/>
      <c r="I327" s="126" t="s">
        <v>245</v>
      </c>
      <c r="J327" s="468" t="str">
        <f t="shared" si="225"/>
        <v>lending_paylater_paylater_MWG_EMI_ENR</v>
      </c>
      <c r="K327" t="s">
        <v>290</v>
      </c>
      <c r="L327" s="1052" t="s">
        <v>202</v>
      </c>
      <c r="N327" s="7"/>
      <c r="O327" s="7"/>
      <c r="P327" s="7"/>
      <c r="Q327" s="7"/>
      <c r="R327" s="7"/>
      <c r="S327" s="7"/>
      <c r="T327" s="7"/>
      <c r="U327" s="7">
        <v>2402781546</v>
      </c>
      <c r="V327" s="7">
        <v>6822970698</v>
      </c>
      <c r="W327" s="7">
        <v>10095884056</v>
      </c>
      <c r="X327" s="7">
        <v>13682670940</v>
      </c>
      <c r="Y327" s="7">
        <v>20501560359</v>
      </c>
      <c r="Z327" s="7">
        <v>29555296002</v>
      </c>
      <c r="AA327" s="7">
        <v>38198635078</v>
      </c>
      <c r="AB327" s="7"/>
    </row>
    <row r="328" spans="2:30" hidden="1">
      <c r="B328" s="468" t="s">
        <v>189</v>
      </c>
      <c r="C328" s="468" t="s">
        <v>190</v>
      </c>
      <c r="D328" s="468" t="s">
        <v>190</v>
      </c>
      <c r="E328" s="468" t="s">
        <v>290</v>
      </c>
      <c r="F328" s="468"/>
      <c r="G328" s="468"/>
      <c r="H328" s="468"/>
      <c r="I328" s="126" t="s">
        <v>246</v>
      </c>
      <c r="J328" s="468" t="str">
        <f t="shared" si="225"/>
        <v>lending_paylater_paylater_MWG_revolving_ENR</v>
      </c>
      <c r="K328" t="s">
        <v>290</v>
      </c>
      <c r="L328" s="1052" t="s">
        <v>203</v>
      </c>
      <c r="R328" s="7">
        <v>5878803974</v>
      </c>
      <c r="S328" s="7">
        <v>5273039212</v>
      </c>
      <c r="T328" s="7">
        <v>4822705021</v>
      </c>
      <c r="U328" s="7">
        <v>4511359745</v>
      </c>
      <c r="V328" s="7">
        <f>4420.584123*10^6</f>
        <v>4420584123</v>
      </c>
      <c r="W328" s="7">
        <f>6692.794577*10^6</f>
        <v>6692794577</v>
      </c>
      <c r="X328" s="7">
        <f>11786.88699*10^6</f>
        <v>11786886990</v>
      </c>
      <c r="Y328" s="7">
        <f>14521.551533*10^6</f>
        <v>14521551533</v>
      </c>
      <c r="Z328" s="7">
        <f>17666.561694*10^6</f>
        <v>17666561694</v>
      </c>
      <c r="AA328" s="7">
        <f>24603.006113*10^6</f>
        <v>24603006113</v>
      </c>
      <c r="AB328" s="7"/>
    </row>
    <row r="329" spans="2:30" hidden="1">
      <c r="B329" s="468" t="s">
        <v>189</v>
      </c>
      <c r="C329" s="468" t="s">
        <v>190</v>
      </c>
      <c r="D329" s="468" t="s">
        <v>190</v>
      </c>
      <c r="E329" s="468" t="s">
        <v>290</v>
      </c>
      <c r="F329" s="468"/>
      <c r="G329" s="468"/>
      <c r="H329" s="468"/>
      <c r="I329" s="126" t="s">
        <v>247</v>
      </c>
      <c r="J329" s="468" t="str">
        <f t="shared" si="225"/>
        <v>lending_paylater_paylater_MWG_overdue_balance_10d</v>
      </c>
      <c r="K329" t="s">
        <v>290</v>
      </c>
      <c r="L329" s="1052" t="s">
        <v>204</v>
      </c>
      <c r="O329" s="89"/>
      <c r="P329" s="89"/>
      <c r="Q329" s="7">
        <f t="shared" ref="Q329:AA329" si="232">Q330+Q331</f>
        <v>605181000</v>
      </c>
      <c r="R329" s="7">
        <f t="shared" si="232"/>
        <v>3348294425</v>
      </c>
      <c r="S329" s="7">
        <f t="shared" si="232"/>
        <v>3462243144</v>
      </c>
      <c r="T329" s="7">
        <f t="shared" si="232"/>
        <v>3654114333</v>
      </c>
      <c r="U329" s="7">
        <f t="shared" si="232"/>
        <v>4513645906</v>
      </c>
      <c r="V329" s="7">
        <f t="shared" si="232"/>
        <v>5358165384</v>
      </c>
      <c r="W329" s="7">
        <f t="shared" si="232"/>
        <v>7015113777</v>
      </c>
      <c r="X329" s="7">
        <f t="shared" si="232"/>
        <v>10512256030</v>
      </c>
      <c r="Y329" s="7">
        <f t="shared" si="232"/>
        <v>10401940258</v>
      </c>
      <c r="Z329" s="7">
        <f t="shared" si="232"/>
        <v>12321140847</v>
      </c>
      <c r="AA329" s="7">
        <f t="shared" si="232"/>
        <v>17209836603</v>
      </c>
      <c r="AB329" s="7"/>
      <c r="AD329" s="7"/>
    </row>
    <row r="330" spans="2:30" hidden="1">
      <c r="B330" s="468" t="s">
        <v>189</v>
      </c>
      <c r="C330" s="468" t="s">
        <v>190</v>
      </c>
      <c r="D330" s="468" t="s">
        <v>190</v>
      </c>
      <c r="E330" s="468" t="s">
        <v>290</v>
      </c>
      <c r="F330" s="468"/>
      <c r="G330" s="468"/>
      <c r="H330" s="468"/>
      <c r="I330" s="1050"/>
      <c r="J330" s="468" t="str">
        <f t="shared" si="225"/>
        <v>lending_paylater_paylater_MWG_</v>
      </c>
      <c r="K330" t="s">
        <v>290</v>
      </c>
      <c r="L330" s="1052" t="s">
        <v>205</v>
      </c>
      <c r="O330" s="89"/>
      <c r="Q330" s="7">
        <v>605181000</v>
      </c>
      <c r="R330" s="7">
        <v>3348294425</v>
      </c>
      <c r="S330" s="7">
        <v>3420253144</v>
      </c>
      <c r="T330" s="34">
        <v>2887975612</v>
      </c>
      <c r="U330" s="7">
        <v>1279541685</v>
      </c>
      <c r="V330" s="7">
        <v>1679326435</v>
      </c>
      <c r="W330" s="7">
        <v>2876700213</v>
      </c>
      <c r="X330" s="7">
        <v>5534642885</v>
      </c>
      <c r="Y330" s="7">
        <v>6943459230</v>
      </c>
      <c r="Z330" s="7">
        <v>8749461825</v>
      </c>
      <c r="AA330" s="7">
        <v>11145176777</v>
      </c>
      <c r="AB330" s="7"/>
    </row>
    <row r="331" spans="2:30" hidden="1">
      <c r="B331" s="468" t="s">
        <v>189</v>
      </c>
      <c r="C331" s="468" t="s">
        <v>190</v>
      </c>
      <c r="D331" s="468" t="s">
        <v>190</v>
      </c>
      <c r="E331" s="468" t="s">
        <v>290</v>
      </c>
      <c r="F331" s="468"/>
      <c r="G331" s="468"/>
      <c r="H331" s="468"/>
      <c r="I331" s="126" t="s">
        <v>248</v>
      </c>
      <c r="J331" s="468" t="str">
        <f t="shared" si="225"/>
        <v>lending_paylater_paylater_MWG_overdue_balance_90d</v>
      </c>
      <c r="K331" t="s">
        <v>290</v>
      </c>
      <c r="L331" s="1052" t="s">
        <v>206</v>
      </c>
      <c r="Q331" s="7">
        <v>0</v>
      </c>
      <c r="S331" s="7">
        <v>41990000</v>
      </c>
      <c r="T331" s="7">
        <v>766138721</v>
      </c>
      <c r="U331" s="7">
        <v>3234104221</v>
      </c>
      <c r="V331" s="7">
        <v>3678838949</v>
      </c>
      <c r="W331" s="7">
        <v>4138413564</v>
      </c>
      <c r="X331" s="7">
        <v>4977613145</v>
      </c>
      <c r="Y331" s="7">
        <v>3458481028</v>
      </c>
      <c r="Z331" s="7">
        <v>3571679022</v>
      </c>
      <c r="AA331" s="7">
        <v>6064659826</v>
      </c>
      <c r="AB331" s="7"/>
    </row>
    <row r="332" spans="2:30" hidden="1">
      <c r="B332" s="468" t="s">
        <v>189</v>
      </c>
      <c r="C332" s="468" t="s">
        <v>190</v>
      </c>
      <c r="D332" s="468" t="s">
        <v>190</v>
      </c>
      <c r="E332" s="468" t="s">
        <v>290</v>
      </c>
      <c r="F332" s="468"/>
      <c r="G332" s="468"/>
      <c r="H332" s="468"/>
      <c r="I332" s="1062"/>
      <c r="J332" s="468" t="str">
        <f t="shared" si="225"/>
        <v>lending_paylater_paylater_MWG_</v>
      </c>
      <c r="K332" t="s">
        <v>290</v>
      </c>
      <c r="L332" s="1052" t="s">
        <v>207</v>
      </c>
      <c r="Q332" s="7"/>
      <c r="R332">
        <v>0</v>
      </c>
      <c r="T332">
        <v>0</v>
      </c>
      <c r="U332" s="7">
        <v>2605365138</v>
      </c>
      <c r="V332" s="7">
        <v>3091186046</v>
      </c>
      <c r="W332" s="7">
        <v>3340094166</v>
      </c>
      <c r="X332" s="7">
        <v>3407450246</v>
      </c>
      <c r="Y332" s="7">
        <v>1635625859</v>
      </c>
      <c r="Z332" s="7">
        <v>1836006543</v>
      </c>
      <c r="AA332" s="7">
        <v>2990796194</v>
      </c>
      <c r="AB332" s="7"/>
    </row>
    <row r="333" spans="2:30" hidden="1">
      <c r="B333" s="468" t="s">
        <v>189</v>
      </c>
      <c r="C333" s="468" t="s">
        <v>190</v>
      </c>
      <c r="D333" s="468" t="s">
        <v>190</v>
      </c>
      <c r="E333" s="468" t="s">
        <v>290</v>
      </c>
      <c r="F333" s="468"/>
      <c r="G333" s="468"/>
      <c r="H333" s="468"/>
      <c r="I333" s="126" t="s">
        <v>213</v>
      </c>
      <c r="J333" s="468" t="str">
        <f t="shared" si="225"/>
        <v>lending_paylater_paylater_MWG_npl</v>
      </c>
      <c r="K333" t="s">
        <v>290</v>
      </c>
      <c r="L333" s="1052" t="s">
        <v>249</v>
      </c>
      <c r="S333" s="42">
        <f t="shared" ref="S333:AA333" si="233">S331/S325</f>
        <v>7.9631495825864904E-3</v>
      </c>
      <c r="T333" s="42">
        <f t="shared" si="233"/>
        <v>0.15868222278671612</v>
      </c>
      <c r="U333" s="42">
        <f t="shared" si="233"/>
        <v>0.38216910316560138</v>
      </c>
      <c r="V333" s="42">
        <f t="shared" si="233"/>
        <v>0.22654012333315002</v>
      </c>
      <c r="W333" s="42">
        <f t="shared" si="233"/>
        <v>0.16249752513524862</v>
      </c>
      <c r="X333" s="42">
        <f t="shared" si="233"/>
        <v>0.15036013118887043</v>
      </c>
      <c r="Y333" s="42">
        <f t="shared" si="233"/>
        <v>8.0076111238448516E-2</v>
      </c>
      <c r="Z333" s="42">
        <f t="shared" si="233"/>
        <v>5.7897681025622455E-2</v>
      </c>
      <c r="AA333" s="42">
        <f t="shared" si="233"/>
        <v>7.9305711511453117E-2</v>
      </c>
      <c r="AB333" s="42"/>
    </row>
    <row r="334" spans="2:30" hidden="1">
      <c r="B334" s="468" t="s">
        <v>189</v>
      </c>
      <c r="C334" s="468" t="s">
        <v>190</v>
      </c>
      <c r="D334" s="468" t="s">
        <v>190</v>
      </c>
      <c r="E334" s="468" t="s">
        <v>290</v>
      </c>
      <c r="F334" s="468"/>
      <c r="G334" s="468"/>
      <c r="H334" s="468"/>
      <c r="I334" s="126" t="s">
        <v>250</v>
      </c>
      <c r="J334" s="468" t="str">
        <f t="shared" si="225"/>
        <v>lending_paylater_paylater_MWG_overdue_account_10d</v>
      </c>
      <c r="K334" t="s">
        <v>290</v>
      </c>
      <c r="L334" s="1052" t="s">
        <v>208</v>
      </c>
      <c r="O334" s="7"/>
      <c r="Q334">
        <f>Q335+Q336</f>
        <v>0</v>
      </c>
      <c r="R334">
        <f>R335+R336</f>
        <v>507</v>
      </c>
      <c r="S334" s="1141"/>
      <c r="T334" s="1141"/>
      <c r="U334" s="1141"/>
    </row>
    <row r="335" spans="2:30" hidden="1">
      <c r="B335" s="468" t="s">
        <v>189</v>
      </c>
      <c r="C335" s="468" t="s">
        <v>190</v>
      </c>
      <c r="D335" s="468" t="s">
        <v>190</v>
      </c>
      <c r="E335" s="468" t="s">
        <v>290</v>
      </c>
      <c r="F335" s="468"/>
      <c r="G335" s="468"/>
      <c r="H335" s="468"/>
      <c r="I335" s="126"/>
      <c r="J335" s="468" t="str">
        <f t="shared" si="225"/>
        <v>lending_paylater_paylater_MWG_</v>
      </c>
      <c r="K335" t="s">
        <v>290</v>
      </c>
      <c r="L335" s="1052" t="s">
        <v>209</v>
      </c>
      <c r="O335" s="7"/>
      <c r="Q335">
        <v>0</v>
      </c>
      <c r="R335">
        <v>507</v>
      </c>
      <c r="S335" s="1141"/>
      <c r="T335" s="1141"/>
      <c r="U335" s="1141"/>
    </row>
    <row r="336" spans="2:30" hidden="1">
      <c r="B336" s="468" t="s">
        <v>189</v>
      </c>
      <c r="C336" s="468" t="s">
        <v>190</v>
      </c>
      <c r="D336" s="468" t="s">
        <v>190</v>
      </c>
      <c r="E336" s="468" t="s">
        <v>290</v>
      </c>
      <c r="F336" s="468"/>
      <c r="G336" s="468"/>
      <c r="H336" s="468"/>
      <c r="I336" s="126" t="s">
        <v>251</v>
      </c>
      <c r="J336" s="468" t="str">
        <f t="shared" si="225"/>
        <v>lending_paylater_paylater_MWG_overdue_account_90d</v>
      </c>
      <c r="K336" t="s">
        <v>290</v>
      </c>
      <c r="L336" s="1052" t="s">
        <v>210</v>
      </c>
      <c r="Q336">
        <v>0</v>
      </c>
      <c r="S336" s="1141"/>
      <c r="T336" s="1141"/>
      <c r="U336" s="1141"/>
    </row>
    <row r="337" spans="2:28" hidden="1">
      <c r="B337" s="468" t="s">
        <v>189</v>
      </c>
      <c r="C337" s="468" t="s">
        <v>190</v>
      </c>
      <c r="D337" s="468" t="s">
        <v>190</v>
      </c>
      <c r="E337" s="468" t="s">
        <v>290</v>
      </c>
      <c r="F337" s="468"/>
      <c r="G337" s="468"/>
      <c r="H337" s="468"/>
      <c r="I337" s="126" t="s">
        <v>252</v>
      </c>
      <c r="J337" s="468" t="str">
        <f t="shared" si="225"/>
        <v>lending_paylater_paylater_MWG_revenue</v>
      </c>
      <c r="K337" t="s">
        <v>290</v>
      </c>
      <c r="L337" s="47" t="s">
        <v>215</v>
      </c>
      <c r="M337" s="7">
        <f t="shared" ref="M337:M368" si="234">SUM(P337:AA337)</f>
        <v>8075871557</v>
      </c>
      <c r="Q337" s="34">
        <f t="shared" ref="Q337:AA337" si="235">Q341+Q348+Q357</f>
        <v>26126000</v>
      </c>
      <c r="R337" s="34">
        <f t="shared" si="235"/>
        <v>280784245</v>
      </c>
      <c r="S337" s="34">
        <f t="shared" si="235"/>
        <v>121861043</v>
      </c>
      <c r="T337" s="34">
        <f t="shared" si="235"/>
        <v>94770271</v>
      </c>
      <c r="U337" s="34">
        <f t="shared" si="235"/>
        <v>70425490</v>
      </c>
      <c r="V337" s="34">
        <f t="shared" si="235"/>
        <v>185862361</v>
      </c>
      <c r="W337" s="34">
        <f t="shared" si="235"/>
        <v>534005370</v>
      </c>
      <c r="X337" s="34">
        <f t="shared" si="235"/>
        <v>961833275</v>
      </c>
      <c r="Y337" s="34">
        <f t="shared" si="235"/>
        <v>1448630479</v>
      </c>
      <c r="Z337" s="34">
        <f t="shared" si="235"/>
        <v>1890450598</v>
      </c>
      <c r="AA337" s="34">
        <f t="shared" si="235"/>
        <v>2461122425</v>
      </c>
      <c r="AB337" s="34"/>
    </row>
    <row r="338" spans="2:28" hidden="1">
      <c r="B338" s="468" t="s">
        <v>189</v>
      </c>
      <c r="C338" s="468" t="s">
        <v>190</v>
      </c>
      <c r="D338" s="468" t="s">
        <v>190</v>
      </c>
      <c r="E338" s="468" t="s">
        <v>290</v>
      </c>
      <c r="F338" s="468"/>
      <c r="G338" s="468"/>
      <c r="H338" s="468"/>
      <c r="I338" s="126" t="s">
        <v>253</v>
      </c>
      <c r="J338" s="468" t="str">
        <f t="shared" si="225"/>
        <v>lending_paylater_paylater_MWG_COGs</v>
      </c>
      <c r="K338" t="s">
        <v>290</v>
      </c>
      <c r="L338" s="47" t="s">
        <v>216</v>
      </c>
      <c r="M338" s="7">
        <f t="shared" si="234"/>
        <v>1162338234.0438328</v>
      </c>
      <c r="Q338" s="34">
        <f t="shared" ref="Q338:AA338" si="236">Q347</f>
        <v>15741208</v>
      </c>
      <c r="R338" s="34">
        <f t="shared" si="236"/>
        <v>28416142.86510003</v>
      </c>
      <c r="S338" s="34">
        <f t="shared" si="236"/>
        <v>19790453.326700024</v>
      </c>
      <c r="T338" s="34">
        <f t="shared" si="236"/>
        <v>19693067.484400027</v>
      </c>
      <c r="U338" s="34">
        <f t="shared" si="236"/>
        <v>19592182.987900045</v>
      </c>
      <c r="V338" s="34">
        <f t="shared" si="236"/>
        <v>47546084.253400013</v>
      </c>
      <c r="W338" s="34">
        <f t="shared" si="236"/>
        <v>92402175.624935329</v>
      </c>
      <c r="X338" s="34">
        <f t="shared" si="236"/>
        <v>124095372.61339878</v>
      </c>
      <c r="Y338" s="34">
        <f t="shared" si="236"/>
        <v>180113011.2087996</v>
      </c>
      <c r="Z338" s="34">
        <f t="shared" si="236"/>
        <v>240186914.51359814</v>
      </c>
      <c r="AA338" s="34">
        <f t="shared" si="236"/>
        <v>374761621.16560072</v>
      </c>
      <c r="AB338" s="34"/>
    </row>
    <row r="339" spans="2:28">
      <c r="B339" s="468" t="s">
        <v>189</v>
      </c>
      <c r="C339" s="468" t="s">
        <v>190</v>
      </c>
      <c r="D339" s="468" t="s">
        <v>190</v>
      </c>
      <c r="E339" s="468" t="s">
        <v>290</v>
      </c>
      <c r="F339" s="468" t="str">
        <f>E339&amp;"PL"</f>
        <v>MWGPL</v>
      </c>
      <c r="G339" s="468" t="str">
        <f>L339&amp;F339</f>
        <v>TOIMWGPL</v>
      </c>
      <c r="H339" s="468" t="str">
        <f>L339&amp;E339</f>
        <v>TOIMWG</v>
      </c>
      <c r="I339" s="126" t="s">
        <v>217</v>
      </c>
      <c r="J339" s="468" t="str">
        <f t="shared" si="225"/>
        <v>lending_paylater_paylater_MWG_TOI</v>
      </c>
      <c r="K339" t="s">
        <v>290</v>
      </c>
      <c r="L339" s="1051" t="s">
        <v>217</v>
      </c>
      <c r="M339" s="7">
        <f t="shared" si="234"/>
        <v>6913533322.9561672</v>
      </c>
      <c r="N339" s="34"/>
      <c r="O339" s="34"/>
      <c r="P339" s="34"/>
      <c r="Q339" s="81">
        <f t="shared" ref="Q339:X339" si="237">Q340+Q348+Q357</f>
        <v>10384792</v>
      </c>
      <c r="R339" s="81">
        <f t="shared" si="237"/>
        <v>252368102.13489997</v>
      </c>
      <c r="S339" s="81">
        <f t="shared" si="237"/>
        <v>102070589.67329997</v>
      </c>
      <c r="T339" s="81">
        <f t="shared" si="237"/>
        <v>75077203.515599966</v>
      </c>
      <c r="U339" s="81">
        <f t="shared" si="237"/>
        <v>50833307.012099952</v>
      </c>
      <c r="V339" s="81">
        <f t="shared" si="237"/>
        <v>138316276.74659997</v>
      </c>
      <c r="W339" s="81">
        <f t="shared" si="237"/>
        <v>441603194.37506467</v>
      </c>
      <c r="X339" s="81">
        <f t="shared" si="237"/>
        <v>837737902.38660121</v>
      </c>
      <c r="Y339" s="81">
        <f>Y340+Y348+Y357</f>
        <v>1268517467.7912004</v>
      </c>
      <c r="Z339" s="81">
        <f>Z340+Z348+Z357</f>
        <v>1650263683.4864018</v>
      </c>
      <c r="AA339" s="81">
        <f>AA340+AA348+AA357</f>
        <v>2086360803.8343992</v>
      </c>
      <c r="AB339" s="7">
        <f>SUM(P339:AA339)</f>
        <v>6913533322.9561672</v>
      </c>
    </row>
    <row r="340" spans="2:28" hidden="1">
      <c r="B340" s="468" t="s">
        <v>189</v>
      </c>
      <c r="C340" s="468" t="s">
        <v>190</v>
      </c>
      <c r="D340" s="468" t="s">
        <v>190</v>
      </c>
      <c r="E340" s="468" t="s">
        <v>290</v>
      </c>
      <c r="F340" s="468"/>
      <c r="G340" s="468"/>
      <c r="H340" s="468"/>
      <c r="I340" s="126" t="s">
        <v>254</v>
      </c>
      <c r="J340" s="468" t="str">
        <f t="shared" si="225"/>
        <v>lending_paylater_paylater_MWG_NII</v>
      </c>
      <c r="K340" t="s">
        <v>290</v>
      </c>
      <c r="L340" s="1055" t="s">
        <v>218</v>
      </c>
      <c r="M340" s="7">
        <f t="shared" si="234"/>
        <v>2007966312.956167</v>
      </c>
      <c r="N340" s="34"/>
      <c r="O340" s="34"/>
      <c r="P340" s="34"/>
      <c r="Q340" s="81">
        <f t="shared" ref="Q340:AA340" si="238">Q341-Q347</f>
        <v>-15741208</v>
      </c>
      <c r="R340" s="47">
        <f t="shared" si="238"/>
        <v>235768663.13489997</v>
      </c>
      <c r="S340" s="47">
        <f t="shared" si="238"/>
        <v>88134371.673299968</v>
      </c>
      <c r="T340" s="47">
        <f t="shared" si="238"/>
        <v>64553344.515599973</v>
      </c>
      <c r="U340" s="47">
        <f t="shared" si="238"/>
        <v>46466855.012099952</v>
      </c>
      <c r="V340" s="47">
        <f t="shared" si="238"/>
        <v>8280991.7465999871</v>
      </c>
      <c r="W340" s="47">
        <f t="shared" si="238"/>
        <v>85889083.375064671</v>
      </c>
      <c r="X340" s="47">
        <f t="shared" si="238"/>
        <v>281246714.38660121</v>
      </c>
      <c r="Y340" s="47">
        <f t="shared" si="238"/>
        <v>312039708.7912004</v>
      </c>
      <c r="Z340" s="47">
        <f t="shared" si="238"/>
        <v>376198898.48640186</v>
      </c>
      <c r="AA340" s="47">
        <f t="shared" si="238"/>
        <v>525128889.83439928</v>
      </c>
      <c r="AB340" s="47"/>
    </row>
    <row r="341" spans="2:28" hidden="1">
      <c r="B341" s="468" t="s">
        <v>189</v>
      </c>
      <c r="C341" s="468" t="s">
        <v>190</v>
      </c>
      <c r="D341" s="468" t="s">
        <v>190</v>
      </c>
      <c r="E341" s="468" t="s">
        <v>290</v>
      </c>
      <c r="F341" s="468"/>
      <c r="G341" s="468"/>
      <c r="H341" s="468"/>
      <c r="I341" s="126" t="s">
        <v>255</v>
      </c>
      <c r="J341" s="468" t="str">
        <f t="shared" si="225"/>
        <v>lending_paylater_paylater_MWG_CII</v>
      </c>
      <c r="K341" t="s">
        <v>290</v>
      </c>
      <c r="L341" s="1060" t="s">
        <v>20</v>
      </c>
      <c r="M341" s="7">
        <f t="shared" si="234"/>
        <v>3170304547</v>
      </c>
      <c r="Q341">
        <v>0</v>
      </c>
      <c r="R341" s="7">
        <f t="shared" ref="R341:AA341" si="239">R342-R343+R344-R345+R346</f>
        <v>264184806</v>
      </c>
      <c r="S341" s="7">
        <f t="shared" si="239"/>
        <v>107924825</v>
      </c>
      <c r="T341" s="7">
        <f t="shared" si="239"/>
        <v>84246412</v>
      </c>
      <c r="U341" s="7">
        <f t="shared" si="239"/>
        <v>66059038</v>
      </c>
      <c r="V341" s="7">
        <f t="shared" si="239"/>
        <v>55827076</v>
      </c>
      <c r="W341" s="7">
        <f t="shared" si="239"/>
        <v>178291259</v>
      </c>
      <c r="X341" s="7">
        <f t="shared" si="239"/>
        <v>405342087</v>
      </c>
      <c r="Y341" s="7">
        <f t="shared" si="239"/>
        <v>492152720</v>
      </c>
      <c r="Z341" s="7">
        <f t="shared" si="239"/>
        <v>616385813</v>
      </c>
      <c r="AA341" s="7">
        <f t="shared" si="239"/>
        <v>899890511</v>
      </c>
      <c r="AB341" s="7"/>
    </row>
    <row r="342" spans="2:28" hidden="1">
      <c r="B342" s="468" t="s">
        <v>189</v>
      </c>
      <c r="C342" s="468" t="s">
        <v>190</v>
      </c>
      <c r="D342" s="468" t="s">
        <v>190</v>
      </c>
      <c r="E342" s="468" t="s">
        <v>290</v>
      </c>
      <c r="F342" s="468"/>
      <c r="G342" s="468"/>
      <c r="H342" s="468"/>
      <c r="I342" s="1058"/>
      <c r="J342" s="468" t="str">
        <f t="shared" si="225"/>
        <v>lending_paylater_paylater_MWG_</v>
      </c>
      <c r="K342" t="s">
        <v>290</v>
      </c>
      <c r="L342" s="1061" t="s">
        <v>256</v>
      </c>
      <c r="M342" s="7">
        <f t="shared" si="234"/>
        <v>3293583750</v>
      </c>
      <c r="R342" s="7">
        <v>280497626</v>
      </c>
      <c r="S342" s="7">
        <v>100580173</v>
      </c>
      <c r="T342" s="7">
        <v>78627719</v>
      </c>
      <c r="U342" s="7">
        <v>65781388</v>
      </c>
      <c r="V342" s="7">
        <v>55410062</v>
      </c>
      <c r="W342" s="7">
        <v>202472950</v>
      </c>
      <c r="X342" s="7">
        <v>424969445</v>
      </c>
      <c r="Y342" s="7">
        <v>530283574</v>
      </c>
      <c r="Z342" s="7">
        <v>631984541</v>
      </c>
      <c r="AA342" s="7">
        <v>922976272</v>
      </c>
      <c r="AB342" s="7"/>
    </row>
    <row r="343" spans="2:28" hidden="1">
      <c r="B343" s="468" t="s">
        <v>189</v>
      </c>
      <c r="C343" s="468" t="s">
        <v>190</v>
      </c>
      <c r="D343" s="468" t="s">
        <v>190</v>
      </c>
      <c r="E343" s="468" t="s">
        <v>290</v>
      </c>
      <c r="F343" s="468"/>
      <c r="G343" s="468"/>
      <c r="H343" s="468"/>
      <c r="I343" s="1058"/>
      <c r="J343" s="468" t="str">
        <f t="shared" si="225"/>
        <v>lending_paylater_paylater_MWG_</v>
      </c>
      <c r="K343" t="s">
        <v>290</v>
      </c>
      <c r="L343" s="1061" t="s">
        <v>257</v>
      </c>
      <c r="M343" s="7">
        <f t="shared" si="234"/>
        <v>0</v>
      </c>
      <c r="R343" s="7"/>
      <c r="T343" s="7"/>
      <c r="U343" s="7"/>
    </row>
    <row r="344" spans="2:28" hidden="1">
      <c r="B344" s="468" t="s">
        <v>189</v>
      </c>
      <c r="C344" s="468" t="s">
        <v>190</v>
      </c>
      <c r="D344" s="468" t="s">
        <v>190</v>
      </c>
      <c r="E344" s="468" t="s">
        <v>290</v>
      </c>
      <c r="F344" s="468"/>
      <c r="G344" s="468"/>
      <c r="H344" s="468"/>
      <c r="I344" s="1058"/>
      <c r="J344" s="468" t="str">
        <f t="shared" si="225"/>
        <v>lending_paylater_paylater_MWG_</v>
      </c>
      <c r="K344" t="s">
        <v>290</v>
      </c>
      <c r="L344" s="1061" t="s">
        <v>258</v>
      </c>
      <c r="M344" s="7">
        <f t="shared" si="234"/>
        <v>0</v>
      </c>
      <c r="R344" s="7"/>
      <c r="T344" s="7"/>
    </row>
    <row r="345" spans="2:28" hidden="1">
      <c r="B345" s="468" t="s">
        <v>189</v>
      </c>
      <c r="C345" s="468" t="s">
        <v>190</v>
      </c>
      <c r="D345" s="468" t="s">
        <v>190</v>
      </c>
      <c r="E345" s="468" t="s">
        <v>290</v>
      </c>
      <c r="F345" s="468"/>
      <c r="G345" s="468"/>
      <c r="H345" s="468"/>
      <c r="I345" s="1058"/>
      <c r="J345" s="468" t="str">
        <f t="shared" si="225"/>
        <v>lending_paylater_paylater_MWG_</v>
      </c>
      <c r="K345" t="s">
        <v>290</v>
      </c>
      <c r="L345" s="1061" t="s">
        <v>259</v>
      </c>
      <c r="M345" s="7">
        <f t="shared" si="234"/>
        <v>415724820</v>
      </c>
      <c r="R345" s="7">
        <v>16312820</v>
      </c>
      <c r="S345" s="7">
        <v>8968168</v>
      </c>
      <c r="T345" s="7">
        <v>3349475</v>
      </c>
      <c r="U345" s="7">
        <v>3071825</v>
      </c>
      <c r="V345" s="7">
        <v>2654811</v>
      </c>
      <c r="W345" s="7">
        <v>26836502</v>
      </c>
      <c r="X345" s="7">
        <v>46463860</v>
      </c>
      <c r="Y345" s="7">
        <v>84594714</v>
      </c>
      <c r="Z345" s="7">
        <v>100193442</v>
      </c>
      <c r="AA345" s="7">
        <v>123279203</v>
      </c>
      <c r="AB345" s="7"/>
    </row>
    <row r="346" spans="2:28" hidden="1">
      <c r="B346" s="468" t="s">
        <v>189</v>
      </c>
      <c r="C346" s="468" t="s">
        <v>190</v>
      </c>
      <c r="D346" s="468" t="s">
        <v>190</v>
      </c>
      <c r="E346" s="468" t="s">
        <v>290</v>
      </c>
      <c r="F346" s="468"/>
      <c r="G346" s="468"/>
      <c r="H346" s="468"/>
      <c r="I346" s="1058"/>
      <c r="J346" s="468" t="str">
        <f t="shared" si="225"/>
        <v>lending_paylater_paylater_MWG_</v>
      </c>
      <c r="K346" t="s">
        <v>290</v>
      </c>
      <c r="L346" s="1061" t="s">
        <v>228</v>
      </c>
      <c r="M346" s="7">
        <f t="shared" si="234"/>
        <v>292445617</v>
      </c>
      <c r="R346" s="7">
        <v>0</v>
      </c>
      <c r="S346" s="7">
        <v>16312820</v>
      </c>
      <c r="T346" s="7">
        <v>8968168</v>
      </c>
      <c r="U346" s="7">
        <v>3349475</v>
      </c>
      <c r="V346" s="7">
        <f t="shared" ref="V346:X346" si="240">U345</f>
        <v>3071825</v>
      </c>
      <c r="W346" s="7">
        <f t="shared" si="240"/>
        <v>2654811</v>
      </c>
      <c r="X346" s="7">
        <f t="shared" si="240"/>
        <v>26836502</v>
      </c>
      <c r="Y346" s="7">
        <f>X345</f>
        <v>46463860</v>
      </c>
      <c r="Z346" s="7">
        <v>84594714</v>
      </c>
      <c r="AA346" s="7">
        <v>100193442</v>
      </c>
      <c r="AB346" s="7"/>
    </row>
    <row r="347" spans="2:28" hidden="1">
      <c r="B347" s="468" t="s">
        <v>189</v>
      </c>
      <c r="C347" s="468" t="s">
        <v>190</v>
      </c>
      <c r="D347" s="468" t="s">
        <v>190</v>
      </c>
      <c r="E347" s="468" t="s">
        <v>290</v>
      </c>
      <c r="F347" s="468"/>
      <c r="G347" s="468"/>
      <c r="H347" s="468"/>
      <c r="I347" s="126" t="s">
        <v>219</v>
      </c>
      <c r="J347" s="468" t="str">
        <f t="shared" si="225"/>
        <v>lending_paylater_paylater_MWG_COF</v>
      </c>
      <c r="K347" t="s">
        <v>290</v>
      </c>
      <c r="L347" s="1060" t="s">
        <v>219</v>
      </c>
      <c r="M347" s="7">
        <f t="shared" si="234"/>
        <v>1162338234.0438328</v>
      </c>
      <c r="N347" s="7"/>
      <c r="O347" s="7"/>
      <c r="P347" s="7"/>
      <c r="Q347" s="7">
        <v>15741208</v>
      </c>
      <c r="R347" s="7">
        <v>28416142.86510003</v>
      </c>
      <c r="S347" s="7">
        <v>19790453.326700024</v>
      </c>
      <c r="T347" s="7">
        <v>19693067.484400027</v>
      </c>
      <c r="U347" s="7">
        <v>19592182.987900045</v>
      </c>
      <c r="V347" s="7">
        <v>47546084.253400013</v>
      </c>
      <c r="W347" s="7">
        <v>92402175.624935329</v>
      </c>
      <c r="X347" s="7">
        <v>124095372.61339878</v>
      </c>
      <c r="Y347" s="7">
        <v>180113011.2087996</v>
      </c>
      <c r="Z347" s="7">
        <v>240186914.51359814</v>
      </c>
      <c r="AA347" s="7">
        <v>374761621.16560072</v>
      </c>
      <c r="AB347" s="7"/>
    </row>
    <row r="348" spans="2:28" hidden="1">
      <c r="B348" s="468" t="s">
        <v>189</v>
      </c>
      <c r="C348" s="468" t="s">
        <v>190</v>
      </c>
      <c r="D348" s="468" t="s">
        <v>190</v>
      </c>
      <c r="E348" s="468" t="s">
        <v>290</v>
      </c>
      <c r="F348" s="468"/>
      <c r="G348" s="468"/>
      <c r="H348" s="468"/>
      <c r="I348" s="126" t="s">
        <v>260</v>
      </c>
      <c r="J348" s="468" t="str">
        <f t="shared" si="225"/>
        <v>lending_paylater_paylater_MWG_NFI</v>
      </c>
      <c r="K348" t="s">
        <v>290</v>
      </c>
      <c r="L348" s="1055" t="s">
        <v>220</v>
      </c>
      <c r="M348" s="7">
        <f t="shared" si="234"/>
        <v>4877492623</v>
      </c>
      <c r="N348" s="74"/>
      <c r="O348" s="74"/>
      <c r="P348" s="7"/>
      <c r="Q348" s="47">
        <f t="shared" ref="Q348:AA348" si="241">SUM(Q349:Q354)-Q355+Q356</f>
        <v>26126000</v>
      </c>
      <c r="R348" s="47">
        <f t="shared" si="241"/>
        <v>16599439</v>
      </c>
      <c r="S348" s="47">
        <f t="shared" si="241"/>
        <v>13936218</v>
      </c>
      <c r="T348" s="47">
        <f t="shared" si="241"/>
        <v>10523859</v>
      </c>
      <c r="U348" s="47">
        <f t="shared" si="241"/>
        <v>4366452</v>
      </c>
      <c r="V348" s="47">
        <f t="shared" si="241"/>
        <v>130035285</v>
      </c>
      <c r="W348" s="47">
        <f t="shared" si="241"/>
        <v>355714111</v>
      </c>
      <c r="X348" s="47">
        <f t="shared" si="241"/>
        <v>556491188</v>
      </c>
      <c r="Y348" s="47">
        <f t="shared" si="241"/>
        <v>956477759</v>
      </c>
      <c r="Z348" s="47">
        <f t="shared" si="241"/>
        <v>1246984210</v>
      </c>
      <c r="AA348" s="47">
        <f t="shared" si="241"/>
        <v>1560238102</v>
      </c>
      <c r="AB348" s="47"/>
    </row>
    <row r="349" spans="2:28" hidden="1">
      <c r="B349" s="468" t="s">
        <v>189</v>
      </c>
      <c r="C349" s="468" t="s">
        <v>190</v>
      </c>
      <c r="D349" s="468" t="s">
        <v>190</v>
      </c>
      <c r="E349" s="468" t="s">
        <v>290</v>
      </c>
      <c r="F349" s="468"/>
      <c r="G349" s="468"/>
      <c r="H349" s="468"/>
      <c r="I349" s="126" t="s">
        <v>261</v>
      </c>
      <c r="J349" s="468" t="str">
        <f t="shared" ref="J349:J368" si="242">B349&amp;"_"&amp;C349&amp;"_"&amp;D349&amp;"_"&amp;E349&amp;"_"&amp;I349</f>
        <v>lending_paylater_paylater_MWG_transaction_fee</v>
      </c>
      <c r="K349" t="s">
        <v>290</v>
      </c>
      <c r="L349" s="1061" t="s">
        <v>221</v>
      </c>
      <c r="M349" s="7">
        <f t="shared" si="234"/>
        <v>0</v>
      </c>
      <c r="N349" s="74"/>
      <c r="O349" s="74"/>
      <c r="P349" s="7"/>
      <c r="Q349" s="7"/>
      <c r="R349" s="7"/>
      <c r="S349" s="7"/>
      <c r="T349" s="7"/>
    </row>
    <row r="350" spans="2:28" hidden="1">
      <c r="B350" s="468" t="s">
        <v>189</v>
      </c>
      <c r="C350" s="468" t="s">
        <v>190</v>
      </c>
      <c r="D350" s="468" t="s">
        <v>190</v>
      </c>
      <c r="E350" s="468" t="s">
        <v>290</v>
      </c>
      <c r="F350" s="468"/>
      <c r="G350" s="468"/>
      <c r="H350" s="468"/>
      <c r="I350" s="126" t="s">
        <v>262</v>
      </c>
      <c r="J350" s="468" t="str">
        <f t="shared" si="242"/>
        <v>lending_paylater_paylater_MWG_late_payment_fee</v>
      </c>
      <c r="K350" t="s">
        <v>290</v>
      </c>
      <c r="L350" s="1061" t="s">
        <v>222</v>
      </c>
      <c r="M350" s="7">
        <f t="shared" si="234"/>
        <v>322677746</v>
      </c>
      <c r="P350" s="7"/>
      <c r="R350" s="7">
        <v>21894057</v>
      </c>
      <c r="S350" s="7">
        <v>14685464</v>
      </c>
      <c r="T350" s="7">
        <v>9265296</v>
      </c>
      <c r="U350" s="7">
        <v>8348088</v>
      </c>
      <c r="V350" s="7">
        <v>8990245</v>
      </c>
      <c r="W350" s="7">
        <v>28025663</v>
      </c>
      <c r="X350" s="7">
        <v>50224115</v>
      </c>
      <c r="Y350" s="7">
        <v>48834842</v>
      </c>
      <c r="Z350" s="7">
        <v>64525830</v>
      </c>
      <c r="AA350" s="7">
        <v>67884146</v>
      </c>
      <c r="AB350" s="7"/>
    </row>
    <row r="351" spans="2:28" hidden="1">
      <c r="B351" s="468" t="s">
        <v>189</v>
      </c>
      <c r="C351" s="468" t="s">
        <v>190</v>
      </c>
      <c r="D351" s="468" t="s">
        <v>190</v>
      </c>
      <c r="E351" s="468" t="s">
        <v>290</v>
      </c>
      <c r="F351" s="468"/>
      <c r="G351" s="468"/>
      <c r="H351" s="468"/>
      <c r="I351" s="126" t="s">
        <v>263</v>
      </c>
      <c r="J351" s="468" t="str">
        <f t="shared" si="242"/>
        <v>lending_paylater_paylater_MWG_monthly_fee</v>
      </c>
      <c r="K351" t="s">
        <v>290</v>
      </c>
      <c r="L351" s="1061" t="s">
        <v>223</v>
      </c>
      <c r="M351" s="7">
        <f t="shared" si="234"/>
        <v>627571791</v>
      </c>
      <c r="P351" s="7"/>
      <c r="Q351" s="7">
        <v>28040000</v>
      </c>
      <c r="R351" s="7">
        <v>-6958618</v>
      </c>
      <c r="S351" s="7">
        <v>450754</v>
      </c>
      <c r="T351" s="7">
        <v>148563</v>
      </c>
      <c r="U351" s="7">
        <v>1688000</v>
      </c>
      <c r="V351" s="7">
        <v>31794200</v>
      </c>
      <c r="W351" s="7">
        <v>43567711</v>
      </c>
      <c r="X351" s="7">
        <v>82715626</v>
      </c>
      <c r="Y351" s="7">
        <v>106836069</v>
      </c>
      <c r="Z351" s="7">
        <v>150027340</v>
      </c>
      <c r="AA351" s="7">
        <v>189262146</v>
      </c>
      <c r="AB351" s="7"/>
    </row>
    <row r="352" spans="2:28" hidden="1">
      <c r="B352" s="468" t="s">
        <v>189</v>
      </c>
      <c r="C352" s="468" t="s">
        <v>190</v>
      </c>
      <c r="D352" s="468" t="s">
        <v>190</v>
      </c>
      <c r="E352" s="468" t="s">
        <v>290</v>
      </c>
      <c r="F352" s="468"/>
      <c r="G352" s="468"/>
      <c r="H352" s="468"/>
      <c r="I352" s="126" t="s">
        <v>264</v>
      </c>
      <c r="J352" s="468" t="str">
        <f t="shared" si="242"/>
        <v>lending_paylater_paylater_MWG_installment_fee</v>
      </c>
      <c r="K352" t="s">
        <v>290</v>
      </c>
      <c r="L352" s="1061" t="s">
        <v>224</v>
      </c>
      <c r="M352" s="7">
        <f t="shared" si="234"/>
        <v>1585844162</v>
      </c>
      <c r="P352" s="7"/>
      <c r="Q352" s="7"/>
      <c r="R352" s="7"/>
      <c r="S352" s="7"/>
      <c r="T352" s="7"/>
      <c r="V352" s="175">
        <v>109994319</v>
      </c>
      <c r="W352" s="7">
        <v>182896359</v>
      </c>
      <c r="X352" s="7">
        <v>230560394</v>
      </c>
      <c r="Y352" s="7">
        <v>294776275</v>
      </c>
      <c r="Z352" s="7">
        <v>361979280</v>
      </c>
      <c r="AA352" s="7">
        <v>405637535</v>
      </c>
      <c r="AB352" s="7"/>
    </row>
    <row r="353" spans="2:29" hidden="1">
      <c r="B353" s="468" t="s">
        <v>189</v>
      </c>
      <c r="C353" s="468" t="s">
        <v>190</v>
      </c>
      <c r="D353" s="468" t="s">
        <v>190</v>
      </c>
      <c r="E353" s="468" t="s">
        <v>290</v>
      </c>
      <c r="F353" s="468"/>
      <c r="G353" s="468"/>
      <c r="H353" s="468"/>
      <c r="I353" s="126" t="s">
        <v>265</v>
      </c>
      <c r="J353" s="468" t="str">
        <f t="shared" si="242"/>
        <v>lending_paylater_paylater_MWG_subvention_fee</v>
      </c>
      <c r="K353" t="s">
        <v>290</v>
      </c>
      <c r="L353" s="1061" t="s">
        <v>225</v>
      </c>
      <c r="M353" s="7"/>
      <c r="P353" s="7"/>
      <c r="Q353" s="7"/>
      <c r="R353" s="7"/>
      <c r="S353" s="7"/>
      <c r="T353" s="7"/>
      <c r="V353" s="175"/>
      <c r="W353" s="7">
        <v>103360386</v>
      </c>
      <c r="X353" s="89">
        <v>207920476</v>
      </c>
      <c r="Y353" s="7">
        <v>525117419.99999994</v>
      </c>
      <c r="Z353" s="89">
        <v>702290237</v>
      </c>
      <c r="AA353" s="175">
        <v>916233045</v>
      </c>
      <c r="AB353" s="175"/>
    </row>
    <row r="354" spans="2:29" hidden="1">
      <c r="B354" s="468" t="s">
        <v>189</v>
      </c>
      <c r="C354" s="468" t="s">
        <v>190</v>
      </c>
      <c r="D354" s="468" t="s">
        <v>190</v>
      </c>
      <c r="E354" s="468" t="s">
        <v>290</v>
      </c>
      <c r="F354" s="468"/>
      <c r="G354" s="468"/>
      <c r="H354" s="468"/>
      <c r="I354" s="126" t="s">
        <v>266</v>
      </c>
      <c r="J354" s="468" t="str">
        <f t="shared" si="242"/>
        <v>lending_paylater_paylater_MWG_other_fee</v>
      </c>
      <c r="K354" t="s">
        <v>290</v>
      </c>
      <c r="L354" s="1061" t="s">
        <v>226</v>
      </c>
      <c r="M354" s="7">
        <f t="shared" si="234"/>
        <v>0</v>
      </c>
      <c r="P354" s="7"/>
      <c r="Q354" s="7"/>
      <c r="R354" s="7"/>
      <c r="S354" s="7"/>
      <c r="T354" s="7"/>
    </row>
    <row r="355" spans="2:29" hidden="1">
      <c r="B355" s="468" t="s">
        <v>189</v>
      </c>
      <c r="C355" s="468" t="s">
        <v>190</v>
      </c>
      <c r="D355" s="468" t="s">
        <v>190</v>
      </c>
      <c r="E355" s="468" t="s">
        <v>290</v>
      </c>
      <c r="F355" s="468"/>
      <c r="G355" s="468"/>
      <c r="H355" s="468"/>
      <c r="I355" s="126" t="s">
        <v>267</v>
      </c>
      <c r="J355" s="468" t="str">
        <f t="shared" si="242"/>
        <v>lending_paylater_paylater_MWG_adjust_minus_fee</v>
      </c>
      <c r="K355" t="s">
        <v>290</v>
      </c>
      <c r="L355" s="1061" t="s">
        <v>227</v>
      </c>
      <c r="M355" s="7">
        <f t="shared" si="234"/>
        <v>380596323</v>
      </c>
      <c r="Q355" s="7">
        <v>1914000</v>
      </c>
      <c r="R355" s="7">
        <v>250000</v>
      </c>
      <c r="S355" s="7">
        <v>1450000</v>
      </c>
      <c r="T355" s="7">
        <v>340000</v>
      </c>
      <c r="U355" s="7">
        <v>6009636</v>
      </c>
      <c r="V355" s="7">
        <v>26753115</v>
      </c>
      <c r="W355" s="7">
        <v>28889123</v>
      </c>
      <c r="X355" s="7">
        <v>43818546</v>
      </c>
      <c r="Y355" s="7">
        <v>62905393</v>
      </c>
      <c r="Z355" s="7">
        <v>94743870</v>
      </c>
      <c r="AA355" s="7">
        <v>113522640</v>
      </c>
      <c r="AB355" s="7"/>
    </row>
    <row r="356" spans="2:29" hidden="1">
      <c r="B356" s="468" t="s">
        <v>189</v>
      </c>
      <c r="C356" s="468" t="s">
        <v>190</v>
      </c>
      <c r="D356" s="468" t="s">
        <v>190</v>
      </c>
      <c r="E356" s="468" t="s">
        <v>290</v>
      </c>
      <c r="F356" s="468"/>
      <c r="G356" s="468"/>
      <c r="H356" s="468"/>
      <c r="I356" s="126" t="s">
        <v>268</v>
      </c>
      <c r="J356" s="468" t="str">
        <f t="shared" si="242"/>
        <v>lending_paylater_paylater_MWG_adjust_bonus_fee</v>
      </c>
      <c r="K356" t="s">
        <v>290</v>
      </c>
      <c r="L356" s="1061" t="s">
        <v>228</v>
      </c>
      <c r="M356" s="7">
        <f t="shared" si="234"/>
        <v>267073683</v>
      </c>
      <c r="R356" s="7">
        <v>1914000</v>
      </c>
      <c r="S356" s="7">
        <v>250000</v>
      </c>
      <c r="T356" s="7">
        <v>1450000</v>
      </c>
      <c r="U356" s="7">
        <v>340000</v>
      </c>
      <c r="V356" s="7">
        <f t="shared" ref="V356:X356" si="243">U355</f>
        <v>6009636</v>
      </c>
      <c r="W356" s="7">
        <f t="shared" si="243"/>
        <v>26753115</v>
      </c>
      <c r="X356" s="7">
        <f t="shared" si="243"/>
        <v>28889123</v>
      </c>
      <c r="Y356" s="7">
        <f>X355</f>
        <v>43818546</v>
      </c>
      <c r="Z356" s="7">
        <v>62905393</v>
      </c>
      <c r="AA356" s="7">
        <v>94743870</v>
      </c>
      <c r="AB356" s="7"/>
    </row>
    <row r="357" spans="2:29" hidden="1">
      <c r="B357" s="468" t="s">
        <v>189</v>
      </c>
      <c r="C357" s="468" t="s">
        <v>190</v>
      </c>
      <c r="D357" s="468" t="s">
        <v>190</v>
      </c>
      <c r="E357" s="468" t="s">
        <v>290</v>
      </c>
      <c r="F357" s="468"/>
      <c r="G357" s="468"/>
      <c r="H357" s="468"/>
      <c r="I357" s="717" t="s">
        <v>269</v>
      </c>
      <c r="J357" s="468" t="str">
        <f t="shared" si="242"/>
        <v>lending_paylater_paylater_MWG_other_TOI</v>
      </c>
      <c r="K357" t="s">
        <v>290</v>
      </c>
      <c r="L357" s="1055" t="s">
        <v>89</v>
      </c>
      <c r="M357" s="7">
        <f t="shared" si="234"/>
        <v>28074387</v>
      </c>
      <c r="Q357" s="4"/>
      <c r="R357" s="47"/>
      <c r="S357" s="47"/>
      <c r="T357" s="47"/>
      <c r="Z357" s="47">
        <v>27080575</v>
      </c>
      <c r="AA357" s="7">
        <v>993812</v>
      </c>
      <c r="AB357" s="7"/>
    </row>
    <row r="358" spans="2:29" hidden="1">
      <c r="B358" s="468" t="s">
        <v>189</v>
      </c>
      <c r="C358" s="468" t="s">
        <v>190</v>
      </c>
      <c r="D358" s="468" t="s">
        <v>190</v>
      </c>
      <c r="E358" s="468" t="s">
        <v>290</v>
      </c>
      <c r="F358" s="468"/>
      <c r="G358" s="468"/>
      <c r="H358" s="468"/>
      <c r="I358" s="126" t="s">
        <v>270</v>
      </c>
      <c r="J358" s="468" t="str">
        <f t="shared" si="242"/>
        <v>lending_paylater_paylater_MWG_provision</v>
      </c>
      <c r="K358" t="s">
        <v>290</v>
      </c>
      <c r="L358" s="47" t="s">
        <v>136</v>
      </c>
      <c r="M358" s="7">
        <f t="shared" si="234"/>
        <v>8447783032</v>
      </c>
      <c r="N358" s="7"/>
      <c r="O358" s="7"/>
      <c r="Q358" s="47">
        <v>97601325</v>
      </c>
      <c r="R358" s="47">
        <f>108278352+5631815</f>
        <v>113910167</v>
      </c>
      <c r="S358" s="47">
        <v>7446996</v>
      </c>
      <c r="T358" s="47">
        <v>114974080</v>
      </c>
      <c r="U358" s="47">
        <f t="shared" ref="U358" si="244">381172469+46382431</f>
        <v>427554900</v>
      </c>
      <c r="V358" s="47">
        <v>216801953</v>
      </c>
      <c r="W358" s="47">
        <v>901801945</v>
      </c>
      <c r="X358" s="47">
        <f>1575885289+191292969</f>
        <v>1767178258</v>
      </c>
      <c r="Y358" s="47">
        <v>1240334114</v>
      </c>
      <c r="Z358" s="47">
        <v>996527025</v>
      </c>
      <c r="AA358" s="47">
        <f>2156108208+407544061</f>
        <v>2563652269</v>
      </c>
      <c r="AB358" s="47"/>
    </row>
    <row r="359" spans="2:29" hidden="1">
      <c r="B359" s="468" t="s">
        <v>189</v>
      </c>
      <c r="C359" s="468" t="s">
        <v>190</v>
      </c>
      <c r="D359" s="468" t="s">
        <v>190</v>
      </c>
      <c r="E359" s="468" t="s">
        <v>290</v>
      </c>
      <c r="F359" s="468"/>
      <c r="G359" s="468"/>
      <c r="H359" s="468"/>
      <c r="I359" s="126" t="s">
        <v>271</v>
      </c>
      <c r="J359" s="468" t="str">
        <f t="shared" si="242"/>
        <v>lending_paylater_paylater_MWG_variable_cost</v>
      </c>
      <c r="K359" t="s">
        <v>290</v>
      </c>
      <c r="L359" s="47" t="s">
        <v>229</v>
      </c>
      <c r="M359" s="7">
        <f t="shared" si="234"/>
        <v>4694632742.441946</v>
      </c>
      <c r="N359" s="7"/>
      <c r="O359" s="7"/>
      <c r="P359" s="7"/>
      <c r="Q359" s="47">
        <f t="shared" ref="Q359:AA359" si="245">SUM(Q360:Q367)</f>
        <v>559865961.17748594</v>
      </c>
      <c r="R359" s="47">
        <f t="shared" si="245"/>
        <v>56349258.633421309</v>
      </c>
      <c r="S359" s="47">
        <f t="shared" si="245"/>
        <v>70135368.996443853</v>
      </c>
      <c r="T359" s="47">
        <f t="shared" si="245"/>
        <v>45353418.006983481</v>
      </c>
      <c r="U359" s="47">
        <f t="shared" si="245"/>
        <v>201584499.43030503</v>
      </c>
      <c r="V359" s="47">
        <f t="shared" si="245"/>
        <v>279611679.76099366</v>
      </c>
      <c r="W359" s="47">
        <f t="shared" si="245"/>
        <v>250613897.64869341</v>
      </c>
      <c r="X359" s="47">
        <f t="shared" si="245"/>
        <v>423505702.84316874</v>
      </c>
      <c r="Y359" s="47">
        <f t="shared" si="245"/>
        <v>794397155.34808064</v>
      </c>
      <c r="Z359" s="47">
        <f t="shared" si="245"/>
        <v>1037340754.2017545</v>
      </c>
      <c r="AA359" s="47">
        <f t="shared" si="245"/>
        <v>975875046.39461517</v>
      </c>
      <c r="AB359" s="47"/>
    </row>
    <row r="360" spans="2:29" ht="16" hidden="1">
      <c r="B360" s="468" t="s">
        <v>189</v>
      </c>
      <c r="C360" s="468" t="s">
        <v>190</v>
      </c>
      <c r="D360" s="468" t="s">
        <v>190</v>
      </c>
      <c r="E360" s="468" t="s">
        <v>290</v>
      </c>
      <c r="F360" s="468"/>
      <c r="G360" s="468"/>
      <c r="H360" s="468"/>
      <c r="I360" s="126" t="s">
        <v>272</v>
      </c>
      <c r="J360" s="468" t="str">
        <f t="shared" si="242"/>
        <v>lending_paylater_paylater_MWG_marketing_acquisition_cost</v>
      </c>
      <c r="K360" t="s">
        <v>290</v>
      </c>
      <c r="L360" s="563" t="s">
        <v>230</v>
      </c>
      <c r="M360" s="7">
        <f t="shared" si="234"/>
        <v>0</v>
      </c>
      <c r="R360" s="7"/>
      <c r="S360" s="7"/>
      <c r="T360" s="7"/>
      <c r="X360" s="1327"/>
    </row>
    <row r="361" spans="2:29" hidden="1">
      <c r="B361" s="468" t="s">
        <v>189</v>
      </c>
      <c r="C361" s="468" t="s">
        <v>190</v>
      </c>
      <c r="D361" s="468" t="s">
        <v>190</v>
      </c>
      <c r="E361" s="468" t="s">
        <v>290</v>
      </c>
      <c r="F361" s="468"/>
      <c r="G361" s="468"/>
      <c r="H361" s="468"/>
      <c r="I361" s="126" t="s">
        <v>273</v>
      </c>
      <c r="J361" s="468" t="str">
        <f t="shared" si="242"/>
        <v>lending_paylater_paylater_MWG_partner_acquisition_cost</v>
      </c>
      <c r="K361" t="s">
        <v>290</v>
      </c>
      <c r="L361" s="563" t="s">
        <v>231</v>
      </c>
      <c r="M361" s="7">
        <f t="shared" si="234"/>
        <v>1606769012</v>
      </c>
      <c r="N361" s="7"/>
      <c r="R361" s="7">
        <v>41844222</v>
      </c>
      <c r="S361" s="7">
        <v>59248768</v>
      </c>
      <c r="T361" s="7">
        <v>34944790</v>
      </c>
      <c r="X361" s="283">
        <v>169645528</v>
      </c>
      <c r="Y361" s="7">
        <f>362110557+129660000</f>
        <v>491770557</v>
      </c>
      <c r="Z361" s="7">
        <v>420561582</v>
      </c>
      <c r="AA361" s="175">
        <v>388753565</v>
      </c>
      <c r="AB361" s="175"/>
      <c r="AC361" s="89"/>
    </row>
    <row r="362" spans="2:29" hidden="1">
      <c r="B362" s="468" t="s">
        <v>189</v>
      </c>
      <c r="C362" s="468" t="s">
        <v>190</v>
      </c>
      <c r="D362" s="468" t="s">
        <v>190</v>
      </c>
      <c r="E362" s="468" t="s">
        <v>290</v>
      </c>
      <c r="F362" s="468"/>
      <c r="G362" s="468"/>
      <c r="H362" s="468"/>
      <c r="I362" s="126" t="s">
        <v>274</v>
      </c>
      <c r="J362" s="468" t="str">
        <f t="shared" si="242"/>
        <v>lending_paylater_paylater_MWG_underwritting</v>
      </c>
      <c r="K362" t="s">
        <v>290</v>
      </c>
      <c r="L362" s="563" t="s">
        <v>232</v>
      </c>
      <c r="M362" s="7">
        <f t="shared" si="234"/>
        <v>2419861532.4281583</v>
      </c>
      <c r="N362" s="7"/>
      <c r="O362" s="7"/>
      <c r="P362" s="7">
        <v>889014.59402102057</v>
      </c>
      <c r="Q362" s="7">
        <v>549371739.6724714</v>
      </c>
      <c r="R362" s="7">
        <v>260998.1442629447</v>
      </c>
      <c r="S362" s="7">
        <v>15941.941969758889</v>
      </c>
      <c r="T362" s="7">
        <v>1629664.6173112271</v>
      </c>
      <c r="U362" s="7">
        <v>191525764.98091072</v>
      </c>
      <c r="V362" s="7">
        <v>261977329.27674338</v>
      </c>
      <c r="W362" s="7">
        <v>223210100.79230514</v>
      </c>
      <c r="X362" s="7">
        <v>213357504.23593077</v>
      </c>
      <c r="Y362" s="7">
        <v>274312870.6876862</v>
      </c>
      <c r="Z362" s="7">
        <v>312036070.84098488</v>
      </c>
      <c r="AA362" s="7">
        <v>391274532.64356107</v>
      </c>
      <c r="AB362" s="7"/>
    </row>
    <row r="363" spans="2:29" hidden="1">
      <c r="B363" s="468" t="s">
        <v>189</v>
      </c>
      <c r="C363" s="468" t="s">
        <v>190</v>
      </c>
      <c r="D363" s="468" t="s">
        <v>190</v>
      </c>
      <c r="E363" s="468" t="s">
        <v>290</v>
      </c>
      <c r="F363" s="468"/>
      <c r="G363" s="468"/>
      <c r="H363" s="468"/>
      <c r="I363" s="126" t="s">
        <v>275</v>
      </c>
      <c r="J363" s="468" t="str">
        <f t="shared" si="242"/>
        <v>lending_paylater_paylater_MWG_e_contract</v>
      </c>
      <c r="K363" t="s">
        <v>290</v>
      </c>
      <c r="L363" s="563" t="s">
        <v>233</v>
      </c>
      <c r="M363" s="7">
        <f t="shared" si="234"/>
        <v>24696759</v>
      </c>
      <c r="N363" s="7"/>
      <c r="O363" s="7"/>
      <c r="P363" s="7">
        <v>5458</v>
      </c>
      <c r="Q363" s="7">
        <v>7010367</v>
      </c>
      <c r="R363" s="7">
        <v>3600</v>
      </c>
      <c r="S363" s="7"/>
      <c r="T363" s="7">
        <v>3169</v>
      </c>
      <c r="U363" s="7">
        <v>2135700</v>
      </c>
      <c r="V363" s="7">
        <v>2957249</v>
      </c>
      <c r="W363" s="7">
        <v>2787762</v>
      </c>
      <c r="X363" s="7">
        <v>1650350</v>
      </c>
      <c r="Y363" s="7">
        <v>2256758</v>
      </c>
      <c r="Z363" s="7">
        <v>2739224</v>
      </c>
      <c r="AA363" s="7">
        <v>3147122</v>
      </c>
      <c r="AB363" s="7"/>
    </row>
    <row r="364" spans="2:29" hidden="1">
      <c r="B364" s="468" t="s">
        <v>189</v>
      </c>
      <c r="C364" s="468" t="s">
        <v>190</v>
      </c>
      <c r="D364" s="468" t="s">
        <v>190</v>
      </c>
      <c r="E364" s="468" t="s">
        <v>290</v>
      </c>
      <c r="F364" s="468"/>
      <c r="G364" s="468"/>
      <c r="H364" s="468"/>
      <c r="I364" s="126" t="s">
        <v>276</v>
      </c>
      <c r="J364" s="468" t="str">
        <f t="shared" si="242"/>
        <v>lending_paylater_paylater_MWG_nfc</v>
      </c>
      <c r="K364" t="s">
        <v>290</v>
      </c>
      <c r="L364" s="563" t="s">
        <v>152</v>
      </c>
      <c r="M364" s="7">
        <f t="shared" si="234"/>
        <v>23380385.943525821</v>
      </c>
      <c r="N364" s="7"/>
      <c r="P364" s="7"/>
      <c r="Q364" s="7">
        <v>3483854.5050145583</v>
      </c>
      <c r="R364" s="7">
        <v>2289.8411602209944</v>
      </c>
      <c r="S364" s="7"/>
      <c r="T364" s="7">
        <v>8471.0429447852766</v>
      </c>
      <c r="U364" s="7">
        <v>1548056.3443000838</v>
      </c>
      <c r="V364" s="7">
        <v>2639762.1865329207</v>
      </c>
      <c r="W364" s="7">
        <v>2742229.3120155041</v>
      </c>
      <c r="X364" s="7">
        <v>2150608.8181279618</v>
      </c>
      <c r="Y364" s="7">
        <v>2963708.0833678115</v>
      </c>
      <c r="Z364" s="7">
        <v>3664665.1889763777</v>
      </c>
      <c r="AA364" s="7">
        <v>4176740.6210855949</v>
      </c>
      <c r="AB364" s="7"/>
    </row>
    <row r="365" spans="2:29" hidden="1">
      <c r="B365" s="468" t="s">
        <v>189</v>
      </c>
      <c r="C365" s="468" t="s">
        <v>190</v>
      </c>
      <c r="D365" s="468" t="s">
        <v>190</v>
      </c>
      <c r="E365" s="468" t="s">
        <v>290</v>
      </c>
      <c r="F365" s="468"/>
      <c r="G365" s="468"/>
      <c r="H365" s="468"/>
      <c r="I365" s="126" t="s">
        <v>277</v>
      </c>
      <c r="J365" s="468" t="str">
        <f t="shared" si="242"/>
        <v>lending_paylater_paylater_MWG_collection</v>
      </c>
      <c r="K365" t="s">
        <v>290</v>
      </c>
      <c r="L365" s="563" t="s">
        <v>234</v>
      </c>
      <c r="M365" s="7">
        <f t="shared" si="234"/>
        <v>165483130.06528199</v>
      </c>
      <c r="N365" s="7"/>
      <c r="O365" s="7"/>
      <c r="R365" s="7">
        <v>13731676.168827515</v>
      </c>
      <c r="S365" s="7">
        <v>10093693.241630651</v>
      </c>
      <c r="T365" s="7">
        <v>8694033.3467274662</v>
      </c>
      <c r="U365" s="7">
        <v>2799504.4798004073</v>
      </c>
      <c r="V365" s="7">
        <v>6659052.0626333905</v>
      </c>
      <c r="W365" s="7">
        <v>15771196.191094482</v>
      </c>
      <c r="X365" s="7">
        <v>30371851.220292598</v>
      </c>
      <c r="Y365" s="7">
        <v>15508111.311258245</v>
      </c>
      <c r="Z365" s="7">
        <v>25358587.171609517</v>
      </c>
      <c r="AA365" s="7">
        <v>36495424.871407732</v>
      </c>
      <c r="AB365" s="7"/>
    </row>
    <row r="366" spans="2:29" hidden="1">
      <c r="B366" s="468" t="s">
        <v>189</v>
      </c>
      <c r="C366" s="468" t="s">
        <v>190</v>
      </c>
      <c r="D366" s="468" t="s">
        <v>190</v>
      </c>
      <c r="E366" s="468" t="s">
        <v>290</v>
      </c>
      <c r="F366" s="468"/>
      <c r="G366" s="468"/>
      <c r="H366" s="468"/>
      <c r="I366" s="126" t="s">
        <v>278</v>
      </c>
      <c r="J366" s="468" t="str">
        <f t="shared" si="242"/>
        <v>lending_paylater_paylater_MWG_promotion</v>
      </c>
      <c r="K366" t="s">
        <v>290</v>
      </c>
      <c r="L366" s="563" t="s">
        <v>235</v>
      </c>
      <c r="M366" s="7">
        <f t="shared" si="234"/>
        <v>402650000</v>
      </c>
      <c r="R366" s="7"/>
      <c r="S366" s="7"/>
      <c r="T366" s="7"/>
      <c r="Z366" s="7">
        <f>87200000+350900000/2</f>
        <v>262650000</v>
      </c>
      <c r="AA366" s="175">
        <v>140000000</v>
      </c>
      <c r="AB366" s="175"/>
    </row>
    <row r="367" spans="2:29" hidden="1">
      <c r="B367" s="468" t="s">
        <v>189</v>
      </c>
      <c r="C367" s="468" t="s">
        <v>190</v>
      </c>
      <c r="D367" s="468" t="s">
        <v>190</v>
      </c>
      <c r="E367" s="468" t="s">
        <v>290</v>
      </c>
      <c r="F367" s="468"/>
      <c r="G367" s="468"/>
      <c r="H367" s="468"/>
      <c r="I367" s="126" t="s">
        <v>279</v>
      </c>
      <c r="J367" s="468" t="str">
        <f t="shared" si="242"/>
        <v>lending_paylater_paylater_MWG_sms</v>
      </c>
      <c r="K367" t="s">
        <v>290</v>
      </c>
      <c r="L367" s="563" t="s">
        <v>163</v>
      </c>
      <c r="M367" s="7">
        <f t="shared" si="234"/>
        <v>52686395.599000335</v>
      </c>
      <c r="N367" s="7"/>
      <c r="Q367">
        <v>0</v>
      </c>
      <c r="R367" s="7">
        <v>506472.47917063051</v>
      </c>
      <c r="S367" s="7">
        <v>776965.81284344359</v>
      </c>
      <c r="T367" s="7">
        <v>73290</v>
      </c>
      <c r="U367" s="7">
        <v>3575473.6252938318</v>
      </c>
      <c r="V367" s="7">
        <v>5378287.2350840056</v>
      </c>
      <c r="W367" s="7">
        <v>6102609.3532782793</v>
      </c>
      <c r="X367" s="7">
        <v>6329860.5688173687</v>
      </c>
      <c r="Y367" s="7">
        <v>7585150.2657683874</v>
      </c>
      <c r="Z367" s="7">
        <v>10330625.00018375</v>
      </c>
      <c r="AA367" s="7">
        <v>12027661.258560644</v>
      </c>
      <c r="AB367" s="7"/>
    </row>
    <row r="368" spans="2:29">
      <c r="B368" s="468" t="s">
        <v>189</v>
      </c>
      <c r="C368" s="468" t="s">
        <v>190</v>
      </c>
      <c r="D368" s="468" t="s">
        <v>190</v>
      </c>
      <c r="E368" s="468" t="s">
        <v>290</v>
      </c>
      <c r="F368" s="468" t="str">
        <f>E368&amp;"PL"</f>
        <v>MWGPL</v>
      </c>
      <c r="G368" s="468" t="str">
        <f>L368&amp;F368</f>
        <v>Profit before allocation costMWGPL</v>
      </c>
      <c r="H368" s="468" t="str">
        <f>L368&amp;E368</f>
        <v>Profit before allocation costMWG</v>
      </c>
      <c r="I368" s="126" t="s">
        <v>280</v>
      </c>
      <c r="J368" s="468" t="str">
        <f t="shared" si="242"/>
        <v>lending_paylater_paylater_MWG_profit_before_overhead</v>
      </c>
      <c r="K368" t="s">
        <v>290</v>
      </c>
      <c r="L368" s="47" t="s">
        <v>236</v>
      </c>
      <c r="M368" s="7">
        <f t="shared" si="234"/>
        <v>-6228882451.4857788</v>
      </c>
      <c r="N368" s="34"/>
      <c r="O368" s="34"/>
      <c r="P368" s="34"/>
      <c r="Q368" s="81">
        <f t="shared" ref="Q368:AA368" si="246">Q339-Q358-Q359</f>
        <v>-647082494.17748594</v>
      </c>
      <c r="R368" s="81">
        <f t="shared" si="246"/>
        <v>82108676.501478672</v>
      </c>
      <c r="S368" s="81">
        <f t="shared" si="246"/>
        <v>24488224.676856115</v>
      </c>
      <c r="T368" s="81">
        <f t="shared" si="246"/>
        <v>-85250294.491383523</v>
      </c>
      <c r="U368" s="81">
        <f t="shared" si="246"/>
        <v>-578306092.41820502</v>
      </c>
      <c r="V368" s="81">
        <f t="shared" si="246"/>
        <v>-358097356.01439369</v>
      </c>
      <c r="W368" s="81">
        <f t="shared" si="246"/>
        <v>-710812648.27362871</v>
      </c>
      <c r="X368" s="81">
        <f t="shared" si="246"/>
        <v>-1352946058.4565675</v>
      </c>
      <c r="Y368" s="81">
        <f t="shared" si="246"/>
        <v>-766213801.55688024</v>
      </c>
      <c r="Z368" s="81">
        <f t="shared" si="246"/>
        <v>-383604095.71535265</v>
      </c>
      <c r="AA368" s="81">
        <f t="shared" si="246"/>
        <v>-1453166511.560216</v>
      </c>
      <c r="AB368" s="7">
        <f>SUM(P368:AA368)</f>
        <v>-6228882451.4857788</v>
      </c>
    </row>
    <row r="369" spans="5:8">
      <c r="E369" s="468"/>
      <c r="F369" s="468"/>
      <c r="G369" s="468"/>
      <c r="H369" s="468"/>
    </row>
  </sheetData>
  <autoFilter ref="B1:AD368" xr:uid="{4A86368E-7C5F-4DBE-85C7-6CAE796A6717}">
    <filterColumn colId="5">
      <customFilters>
        <customFilter operator="notEqual" val=" "/>
      </customFilters>
    </filterColumn>
  </autoFilter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95B89-7576-474C-B242-3B2C771E42F3}">
  <sheetPr>
    <tabColor theme="8" tint="0.59999389629810485"/>
  </sheetPr>
  <dimension ref="B1:AW128"/>
  <sheetViews>
    <sheetView zoomScale="62" zoomScaleNormal="80" workbookViewId="0">
      <pane xSplit="8" ySplit="6" topLeftCell="AL16" activePane="bottomRight" state="frozen"/>
      <selection pane="topRight" activeCell="J1" sqref="J1"/>
      <selection pane="bottomLeft" activeCell="A7" sqref="A7"/>
      <selection pane="bottomRight" activeCell="AT30" sqref="AT30"/>
    </sheetView>
  </sheetViews>
  <sheetFormatPr baseColWidth="10" defaultColWidth="8.6640625" defaultRowHeight="15" outlineLevelCol="1"/>
  <cols>
    <col min="1" max="1" width="5.5" customWidth="1"/>
    <col min="2" max="2" width="6.1640625" customWidth="1"/>
    <col min="3" max="3" width="5.33203125" customWidth="1"/>
    <col min="4" max="4" width="9.83203125" customWidth="1"/>
    <col min="5" max="5" width="32.83203125" customWidth="1"/>
    <col min="6" max="6" width="33.6640625" customWidth="1"/>
    <col min="7" max="7" width="5.33203125" customWidth="1"/>
    <col min="8" max="8" width="39.83203125" customWidth="1"/>
    <col min="9" max="9" width="20.5" customWidth="1" outlineLevel="1"/>
    <col min="10" max="11" width="21.1640625" style="7" customWidth="1" outlineLevel="1"/>
    <col min="12" max="12" width="21" customWidth="1" outlineLevel="1"/>
    <col min="13" max="13" width="21.1640625" customWidth="1" outlineLevel="1"/>
    <col min="14" max="15" width="23.1640625" customWidth="1" outlineLevel="1"/>
    <col min="16" max="16" width="22.83203125" customWidth="1" outlineLevel="1"/>
    <col min="17" max="17" width="23.1640625" customWidth="1" outlineLevel="1"/>
    <col min="18" max="18" width="21.1640625" customWidth="1" outlineLevel="1"/>
    <col min="19" max="19" width="20" customWidth="1" outlineLevel="1"/>
    <col min="20" max="32" width="21.83203125" customWidth="1" outlineLevel="1"/>
    <col min="33" max="46" width="21.83203125" customWidth="1"/>
    <col min="48" max="48" width="15.5" bestFit="1" customWidth="1"/>
    <col min="49" max="49" width="14.33203125" bestFit="1" customWidth="1"/>
  </cols>
  <sheetData>
    <row r="1" spans="2:49">
      <c r="L1" s="7"/>
      <c r="M1" s="7"/>
      <c r="N1" s="7"/>
      <c r="O1" s="7"/>
      <c r="P1" s="7"/>
      <c r="Q1" s="7"/>
      <c r="R1" s="7"/>
      <c r="S1" s="7"/>
      <c r="X1" s="34">
        <f>W40+X40+V40+W64+X64+V64</f>
        <v>86795936433</v>
      </c>
    </row>
    <row r="2" spans="2:49" hidden="1"/>
    <row r="3" spans="2:49" hidden="1"/>
    <row r="4" spans="2:49" hidden="1"/>
    <row r="5" spans="2:49" hidden="1"/>
    <row r="6" spans="2:49">
      <c r="B6" t="s">
        <v>177</v>
      </c>
      <c r="C6" t="s">
        <v>178</v>
      </c>
      <c r="D6" t="s">
        <v>292</v>
      </c>
      <c r="E6" t="s">
        <v>183</v>
      </c>
      <c r="F6" t="s">
        <v>184</v>
      </c>
      <c r="H6" s="1048" t="s">
        <v>185</v>
      </c>
      <c r="I6" s="1049">
        <v>44927</v>
      </c>
      <c r="J6" s="1049">
        <v>44958</v>
      </c>
      <c r="K6" s="1049">
        <v>45017</v>
      </c>
      <c r="L6" s="1049">
        <v>45017</v>
      </c>
      <c r="M6" s="1049">
        <v>45047</v>
      </c>
      <c r="N6" s="1049">
        <v>45078</v>
      </c>
      <c r="O6" s="1049">
        <v>45108</v>
      </c>
      <c r="P6" s="1049">
        <v>45139</v>
      </c>
      <c r="Q6" s="1049">
        <v>45170</v>
      </c>
      <c r="R6" s="1049">
        <v>45200</v>
      </c>
      <c r="S6" s="1049">
        <v>45231</v>
      </c>
      <c r="T6" s="1049">
        <v>45261</v>
      </c>
      <c r="U6" s="1049" t="s">
        <v>75</v>
      </c>
      <c r="V6" s="1049">
        <v>45292</v>
      </c>
      <c r="W6" s="1049">
        <v>45323</v>
      </c>
      <c r="X6" s="1049">
        <v>45352</v>
      </c>
      <c r="Y6" s="1049">
        <v>45383</v>
      </c>
      <c r="Z6" s="1049">
        <v>45413</v>
      </c>
      <c r="AA6" s="1049">
        <v>45444</v>
      </c>
      <c r="AB6" s="1049">
        <v>45474</v>
      </c>
      <c r="AC6" s="1049">
        <v>45505</v>
      </c>
      <c r="AD6" s="1049">
        <v>45536</v>
      </c>
      <c r="AE6" s="1049">
        <v>45566</v>
      </c>
      <c r="AF6" s="1049">
        <v>45597</v>
      </c>
      <c r="AG6" s="1049">
        <v>45627</v>
      </c>
      <c r="AH6" s="1049" t="s">
        <v>76</v>
      </c>
      <c r="AI6" s="1049">
        <v>45658</v>
      </c>
      <c r="AJ6" s="1049">
        <v>45689</v>
      </c>
      <c r="AK6" s="1049">
        <v>45717</v>
      </c>
      <c r="AL6" s="1049">
        <v>45748</v>
      </c>
      <c r="AM6" s="1049">
        <v>45778</v>
      </c>
      <c r="AN6" s="1049">
        <v>45809</v>
      </c>
      <c r="AO6" s="1049">
        <v>45839</v>
      </c>
      <c r="AP6" s="1049">
        <v>45870</v>
      </c>
      <c r="AQ6" s="1049">
        <v>45901</v>
      </c>
      <c r="AR6" s="1049">
        <v>45931</v>
      </c>
      <c r="AS6" s="1049">
        <v>45962</v>
      </c>
      <c r="AT6" s="1049">
        <v>45992</v>
      </c>
    </row>
    <row r="7" spans="2:49">
      <c r="B7" t="s">
        <v>293</v>
      </c>
      <c r="F7" t="str">
        <f t="shared" ref="F7:F41" si="0">B7&amp;"_"&amp;C7&amp;"_"&amp;D7&amp;"_"&amp;E7</f>
        <v>Liability___</v>
      </c>
      <c r="H7" s="1078" t="s">
        <v>82</v>
      </c>
      <c r="I7" s="1079">
        <f t="shared" ref="I7:T7" si="1">I34+I55</f>
        <v>2221746137680</v>
      </c>
      <c r="J7" s="1079">
        <f t="shared" si="1"/>
        <v>2527044221098</v>
      </c>
      <c r="K7" s="1079">
        <f t="shared" si="1"/>
        <v>2829611491620</v>
      </c>
      <c r="L7" s="1079">
        <f t="shared" si="1"/>
        <v>3110674062182</v>
      </c>
      <c r="M7" s="1079">
        <f t="shared" si="1"/>
        <v>3471676810810</v>
      </c>
      <c r="N7" s="1079">
        <f t="shared" si="1"/>
        <v>3953585432863</v>
      </c>
      <c r="O7" s="1079">
        <f t="shared" si="1"/>
        <v>4348609202352</v>
      </c>
      <c r="P7" s="1079">
        <f t="shared" si="1"/>
        <v>4690472214083</v>
      </c>
      <c r="Q7" s="1079">
        <f t="shared" si="1"/>
        <v>4935562766856</v>
      </c>
      <c r="R7" s="1079">
        <f t="shared" si="1"/>
        <v>5178032550889</v>
      </c>
      <c r="S7" s="1079">
        <f t="shared" si="1"/>
        <v>5404151551671</v>
      </c>
      <c r="T7" s="1079">
        <f t="shared" si="1"/>
        <v>5673632553487</v>
      </c>
      <c r="U7" s="1079"/>
      <c r="V7" s="1079">
        <f t="shared" ref="V7:AG7" si="2">V34+V55</f>
        <v>5985474908463</v>
      </c>
      <c r="W7" s="1079">
        <f t="shared" si="2"/>
        <v>6648796179751</v>
      </c>
      <c r="X7" s="1079">
        <f t="shared" si="2"/>
        <v>6605514006658</v>
      </c>
      <c r="Y7" s="1079">
        <f t="shared" si="2"/>
        <v>6625951327111</v>
      </c>
      <c r="Z7" s="1079">
        <f t="shared" si="2"/>
        <v>7043266430950</v>
      </c>
      <c r="AA7" s="1079">
        <f t="shared" si="2"/>
        <v>7299956246928</v>
      </c>
      <c r="AB7" s="1079">
        <f t="shared" si="2"/>
        <v>7420917545904</v>
      </c>
      <c r="AC7" s="1079">
        <f t="shared" si="2"/>
        <v>7660915132146</v>
      </c>
      <c r="AD7" s="1079">
        <f t="shared" si="2"/>
        <v>7995168744560</v>
      </c>
      <c r="AE7" s="1079">
        <f t="shared" si="2"/>
        <v>8274044375225</v>
      </c>
      <c r="AF7" s="1079">
        <f t="shared" si="2"/>
        <v>8302502204643</v>
      </c>
      <c r="AG7" s="1079">
        <f t="shared" si="2"/>
        <v>8480730091199</v>
      </c>
      <c r="AH7" s="1079">
        <f>AQ7</f>
        <v>13563347490637</v>
      </c>
      <c r="AI7" s="1079">
        <f>AM7</f>
        <v>11850315235074</v>
      </c>
      <c r="AJ7" s="1079">
        <f t="shared" ref="AJ7:AT7" si="3">AJ34+AJ55</f>
        <v>9951841384281</v>
      </c>
      <c r="AK7" s="1079">
        <f t="shared" si="3"/>
        <v>10532624343304</v>
      </c>
      <c r="AL7" s="1079">
        <f t="shared" si="3"/>
        <v>11135968835199</v>
      </c>
      <c r="AM7" s="1079">
        <f t="shared" si="3"/>
        <v>11850315235074</v>
      </c>
      <c r="AN7" s="1079">
        <f t="shared" si="3"/>
        <v>12387485569985</v>
      </c>
      <c r="AO7" s="1079">
        <f t="shared" si="3"/>
        <v>12866983855833</v>
      </c>
      <c r="AP7" s="1079">
        <f t="shared" si="3"/>
        <v>13261744514199</v>
      </c>
      <c r="AQ7" s="1079">
        <f t="shared" si="3"/>
        <v>13563347490637</v>
      </c>
      <c r="AR7" s="1079">
        <f t="shared" si="3"/>
        <v>13745386398570</v>
      </c>
      <c r="AS7" s="1079">
        <f t="shared" si="3"/>
        <v>14200831506456</v>
      </c>
      <c r="AT7" s="1079">
        <f t="shared" si="3"/>
        <v>15122134235137</v>
      </c>
    </row>
    <row r="8" spans="2:49">
      <c r="B8" t="s">
        <v>293</v>
      </c>
      <c r="F8" t="str">
        <f t="shared" si="0"/>
        <v>Liability___</v>
      </c>
      <c r="H8" s="1078" t="s">
        <v>215</v>
      </c>
      <c r="I8" s="1079">
        <f t="shared" ref="I8:T8" si="4">I12+I15</f>
        <v>16069963742</v>
      </c>
      <c r="J8" s="1079">
        <f t="shared" si="4"/>
        <v>33592077852.33474</v>
      </c>
      <c r="K8" s="1079">
        <f t="shared" si="4"/>
        <v>22796404185.376713</v>
      </c>
      <c r="L8" s="1079">
        <f t="shared" si="4"/>
        <v>24503426090</v>
      </c>
      <c r="M8" s="1079">
        <f t="shared" si="4"/>
        <v>28069514310</v>
      </c>
      <c r="N8" s="1079">
        <f t="shared" si="4"/>
        <v>31306095043.102371</v>
      </c>
      <c r="O8" s="1079">
        <f t="shared" si="4"/>
        <v>33890098401</v>
      </c>
      <c r="P8" s="1079">
        <f t="shared" si="4"/>
        <v>35815407631</v>
      </c>
      <c r="Q8" s="1079">
        <f t="shared" si="4"/>
        <v>35425220613</v>
      </c>
      <c r="R8" s="1079">
        <f t="shared" si="4"/>
        <v>37200183144.438469</v>
      </c>
      <c r="S8" s="1079">
        <f t="shared" si="4"/>
        <v>35532219084.299995</v>
      </c>
      <c r="T8" s="1079">
        <f t="shared" si="4"/>
        <v>35097281011.467186</v>
      </c>
      <c r="U8" s="7">
        <f t="shared" ref="U8:U24" si="5">SUM(V8:AG8)</f>
        <v>466078553240.09644</v>
      </c>
      <c r="V8" s="1079">
        <f t="shared" ref="V8:AG8" si="6">V12+V15</f>
        <v>35539341663.610184</v>
      </c>
      <c r="W8" s="1079">
        <f t="shared" si="6"/>
        <v>34147347976.983025</v>
      </c>
      <c r="X8" s="1079">
        <f t="shared" si="6"/>
        <v>39125357976.445091</v>
      </c>
      <c r="Y8" s="1079">
        <f t="shared" si="6"/>
        <v>34327288920.351234</v>
      </c>
      <c r="Z8" s="1079">
        <f t="shared" si="6"/>
        <v>34724763836.487175</v>
      </c>
      <c r="AA8" s="1079">
        <f t="shared" si="6"/>
        <v>37881319423.216476</v>
      </c>
      <c r="AB8" s="1079">
        <f t="shared" si="6"/>
        <v>36653495776.48159</v>
      </c>
      <c r="AC8" s="1079">
        <f t="shared" si="6"/>
        <v>37621486814.148697</v>
      </c>
      <c r="AD8" s="1079">
        <f t="shared" si="6"/>
        <v>37225442082.37294</v>
      </c>
      <c r="AE8" s="1079">
        <f t="shared" si="6"/>
        <v>54588706304</v>
      </c>
      <c r="AF8" s="1079">
        <f t="shared" si="6"/>
        <v>41348387377</v>
      </c>
      <c r="AG8" s="1079">
        <f t="shared" si="6"/>
        <v>42895615089</v>
      </c>
      <c r="AH8" s="1079">
        <f>SUM(AI8:AT8)</f>
        <v>762837553546.17212</v>
      </c>
      <c r="AI8" s="1079">
        <f>AI12+AI15</f>
        <v>46259112965</v>
      </c>
      <c r="AJ8" s="1079">
        <f t="shared" ref="AJ8:AT8" si="7">AJ12+AJ15</f>
        <v>46101948770.869591</v>
      </c>
      <c r="AK8" s="1079">
        <f>AK12+AK15</f>
        <v>54483725630.364433</v>
      </c>
      <c r="AL8" s="1079">
        <f t="shared" si="7"/>
        <v>55432745734.404129</v>
      </c>
      <c r="AM8" s="1079">
        <f t="shared" si="7"/>
        <v>61782292062.408203</v>
      </c>
      <c r="AN8" s="1079">
        <f t="shared" si="7"/>
        <v>62770493184.935051</v>
      </c>
      <c r="AO8" s="1079">
        <f t="shared" si="7"/>
        <v>67405109318.288895</v>
      </c>
      <c r="AP8" s="1079">
        <f t="shared" si="7"/>
        <v>69897971603.065094</v>
      </c>
      <c r="AQ8" s="1079">
        <f t="shared" si="7"/>
        <v>70038331019.208557</v>
      </c>
      <c r="AR8" s="1079">
        <f t="shared" si="7"/>
        <v>73660437262.108597</v>
      </c>
      <c r="AS8" s="1079">
        <f t="shared" si="7"/>
        <v>74408335032.549667</v>
      </c>
      <c r="AT8" s="1079">
        <f t="shared" si="7"/>
        <v>80597050962.969833</v>
      </c>
    </row>
    <row r="9" spans="2:49">
      <c r="B9" t="s">
        <v>293</v>
      </c>
      <c r="F9" t="str">
        <f t="shared" si="0"/>
        <v>Liability___</v>
      </c>
      <c r="H9" s="1078" t="s">
        <v>99</v>
      </c>
      <c r="I9" s="1079">
        <f t="shared" ref="I9:T9" si="8">I13+I16</f>
        <v>14325449272.636364</v>
      </c>
      <c r="J9" s="1079">
        <f t="shared" si="8"/>
        <v>16110956111.90909</v>
      </c>
      <c r="K9" s="1079">
        <f t="shared" si="8"/>
        <v>21084208545.909092</v>
      </c>
      <c r="L9" s="1079">
        <f t="shared" si="8"/>
        <v>21840974944.909092</v>
      </c>
      <c r="M9" s="1079">
        <f t="shared" si="8"/>
        <v>24413909555.909092</v>
      </c>
      <c r="N9" s="1079">
        <f t="shared" si="8"/>
        <v>25983199375.909092</v>
      </c>
      <c r="O9" s="1079">
        <f t="shared" si="8"/>
        <v>28416804050.909092</v>
      </c>
      <c r="P9" s="1079">
        <f t="shared" si="8"/>
        <v>29605874634.909092</v>
      </c>
      <c r="Q9" s="1079">
        <f t="shared" si="8"/>
        <v>29327609445</v>
      </c>
      <c r="R9" s="1079">
        <f t="shared" si="8"/>
        <v>30106293130</v>
      </c>
      <c r="S9" s="1079">
        <f t="shared" si="8"/>
        <v>29017062564</v>
      </c>
      <c r="T9" s="1079">
        <f t="shared" si="8"/>
        <v>29645183528</v>
      </c>
      <c r="U9" s="7">
        <f t="shared" si="5"/>
        <v>375845238259</v>
      </c>
      <c r="V9" s="1079">
        <f t="shared" ref="V9:AG9" si="9">V13+V16</f>
        <v>30150761447</v>
      </c>
      <c r="W9" s="1079">
        <f t="shared" si="9"/>
        <v>29727341567</v>
      </c>
      <c r="X9" s="1079">
        <f t="shared" si="9"/>
        <v>30072620980</v>
      </c>
      <c r="Y9" s="1079">
        <f t="shared" si="9"/>
        <v>27418547223</v>
      </c>
      <c r="Z9" s="1079">
        <f t="shared" si="9"/>
        <v>29468043618</v>
      </c>
      <c r="AA9" s="1079">
        <f t="shared" si="9"/>
        <v>29356261322</v>
      </c>
      <c r="AB9" s="1079">
        <f t="shared" si="9"/>
        <v>30652026921</v>
      </c>
      <c r="AC9" s="1079">
        <f t="shared" si="9"/>
        <v>31146876487</v>
      </c>
      <c r="AD9" s="1079">
        <f t="shared" si="9"/>
        <v>31336307234</v>
      </c>
      <c r="AE9" s="1079">
        <f t="shared" si="9"/>
        <v>35351752115</v>
      </c>
      <c r="AF9" s="1079">
        <f t="shared" si="9"/>
        <v>33898673113</v>
      </c>
      <c r="AG9" s="1079">
        <f t="shared" si="9"/>
        <v>37266026232</v>
      </c>
      <c r="AH9" s="1079">
        <f t="shared" ref="AH9:AH81" si="10">SUM(AI9:AT9)</f>
        <v>625005036794</v>
      </c>
      <c r="AI9" s="1079">
        <f>AI13+AI16</f>
        <v>40052808265</v>
      </c>
      <c r="AJ9" s="1079">
        <f t="shared" ref="AJ9:AT9" si="11">AJ13+AJ16</f>
        <v>39045091165</v>
      </c>
      <c r="AK9" s="1079">
        <f t="shared" si="11"/>
        <v>45301675452</v>
      </c>
      <c r="AL9" s="1079">
        <f t="shared" si="11"/>
        <v>45105369578</v>
      </c>
      <c r="AM9" s="1079">
        <f t="shared" si="11"/>
        <v>51931715506</v>
      </c>
      <c r="AN9" s="1079">
        <f t="shared" si="11"/>
        <v>51051855514</v>
      </c>
      <c r="AO9" s="1079">
        <f t="shared" si="11"/>
        <v>55736532287</v>
      </c>
      <c r="AP9" s="1079">
        <f t="shared" si="11"/>
        <v>57742428689</v>
      </c>
      <c r="AQ9" s="1079">
        <f t="shared" si="11"/>
        <v>57326615322</v>
      </c>
      <c r="AR9" s="1079">
        <f t="shared" si="11"/>
        <v>59268203744</v>
      </c>
      <c r="AS9" s="1079">
        <f t="shared" si="11"/>
        <v>59756421281</v>
      </c>
      <c r="AT9" s="1079">
        <f t="shared" si="11"/>
        <v>62686319991</v>
      </c>
    </row>
    <row r="10" spans="2:49">
      <c r="B10" t="s">
        <v>293</v>
      </c>
      <c r="F10" t="str">
        <f t="shared" si="0"/>
        <v>Liability___</v>
      </c>
      <c r="H10" s="1080" t="s">
        <v>217</v>
      </c>
      <c r="I10" s="1081">
        <f t="shared" ref="I10:T10" si="12">I11+I14+I17</f>
        <v>1744514469.363636</v>
      </c>
      <c r="J10" s="1081">
        <f t="shared" si="12"/>
        <v>17481121740.425648</v>
      </c>
      <c r="K10" s="1081">
        <f t="shared" si="12"/>
        <v>1712195639.4676218</v>
      </c>
      <c r="L10" s="1081">
        <f t="shared" si="12"/>
        <v>2662451145.090909</v>
      </c>
      <c r="M10" s="1081">
        <f t="shared" si="12"/>
        <v>3655604754.090909</v>
      </c>
      <c r="N10" s="1081">
        <f t="shared" si="12"/>
        <v>5322895667.1932802</v>
      </c>
      <c r="O10" s="1081">
        <f t="shared" si="12"/>
        <v>5473294350.090909</v>
      </c>
      <c r="P10" s="1081">
        <f t="shared" si="12"/>
        <v>6209532996.090909</v>
      </c>
      <c r="Q10" s="1081">
        <f t="shared" si="12"/>
        <v>6097611168</v>
      </c>
      <c r="R10" s="1081">
        <f t="shared" si="12"/>
        <v>7093890014.4384689</v>
      </c>
      <c r="S10" s="1081">
        <f t="shared" si="12"/>
        <v>6515156520.2999954</v>
      </c>
      <c r="T10" s="1081">
        <f t="shared" si="12"/>
        <v>5452097483.467186</v>
      </c>
      <c r="U10" s="7">
        <f t="shared" si="5"/>
        <v>90233314981.096405</v>
      </c>
      <c r="V10" s="1081">
        <f t="shared" ref="V10:AG10" si="13">V11+V14+V17</f>
        <v>5388580216.6101837</v>
      </c>
      <c r="W10" s="1081">
        <f t="shared" si="13"/>
        <v>4420006409.9830227</v>
      </c>
      <c r="X10" s="1081">
        <f t="shared" si="13"/>
        <v>9052736996.4450912</v>
      </c>
      <c r="Y10" s="1081">
        <f t="shared" si="13"/>
        <v>6908741697.3512344</v>
      </c>
      <c r="Z10" s="1081">
        <f t="shared" si="13"/>
        <v>5256720218.4871731</v>
      </c>
      <c r="AA10" s="1081">
        <f t="shared" si="13"/>
        <v>8525058101.2164764</v>
      </c>
      <c r="AB10" s="1081">
        <f t="shared" si="13"/>
        <v>6001468855.4815874</v>
      </c>
      <c r="AC10" s="1081">
        <f t="shared" si="13"/>
        <v>6474610327.1486969</v>
      </c>
      <c r="AD10" s="1081">
        <f t="shared" si="13"/>
        <v>5889134848.3729401</v>
      </c>
      <c r="AE10" s="1081">
        <f t="shared" si="13"/>
        <v>19236954189</v>
      </c>
      <c r="AF10" s="1081">
        <f t="shared" si="13"/>
        <v>7449714264</v>
      </c>
      <c r="AG10" s="1081">
        <f t="shared" si="13"/>
        <v>5629588857</v>
      </c>
      <c r="AH10" s="1081">
        <f t="shared" si="10"/>
        <v>137832516752.17206</v>
      </c>
      <c r="AI10" s="1081">
        <f>AI11+AI14+AI17</f>
        <v>6206304700</v>
      </c>
      <c r="AJ10" s="1081">
        <f t="shared" ref="AJ10:AS10" si="14">AJ11+AJ14+AJ17</f>
        <v>7056857605.8695908</v>
      </c>
      <c r="AK10" s="1081">
        <f>AK11+AK14+AK17</f>
        <v>9182050178.3644333</v>
      </c>
      <c r="AL10" s="1081">
        <f t="shared" si="14"/>
        <v>10327376156.404129</v>
      </c>
      <c r="AM10" s="1081">
        <f>AM11+AM14+AM17</f>
        <v>9850576556.4082031</v>
      </c>
      <c r="AN10" s="1081">
        <f t="shared" si="14"/>
        <v>11718637670.935051</v>
      </c>
      <c r="AO10" s="1081">
        <f t="shared" si="14"/>
        <v>11668577031.288895</v>
      </c>
      <c r="AP10" s="1081">
        <f>AP11+AP14+AP17</f>
        <v>12155542914.065094</v>
      </c>
      <c r="AQ10" s="1081">
        <f t="shared" si="14"/>
        <v>12711715697.208557</v>
      </c>
      <c r="AR10" s="1081">
        <f t="shared" si="14"/>
        <v>14392233518.108597</v>
      </c>
      <c r="AS10" s="1081">
        <f t="shared" si="14"/>
        <v>14651913751.549667</v>
      </c>
      <c r="AT10" s="1081">
        <f>AT11+AT14+AT17</f>
        <v>17910730971.969833</v>
      </c>
    </row>
    <row r="11" spans="2:49">
      <c r="B11" t="s">
        <v>293</v>
      </c>
      <c r="F11" t="str">
        <f t="shared" si="0"/>
        <v>Liability___</v>
      </c>
      <c r="H11" s="1086" t="s">
        <v>218</v>
      </c>
      <c r="I11" s="1081">
        <f t="shared" ref="I11:T11" si="15">I12-I13</f>
        <v>2075827563</v>
      </c>
      <c r="J11" s="1081">
        <f t="shared" si="15"/>
        <v>17810074900.33474</v>
      </c>
      <c r="K11" s="1081">
        <f t="shared" si="15"/>
        <v>1817728828.3767128</v>
      </c>
      <c r="L11" s="1081">
        <f t="shared" si="15"/>
        <v>2771746090</v>
      </c>
      <c r="M11" s="1081">
        <f t="shared" si="15"/>
        <v>3946613669</v>
      </c>
      <c r="N11" s="1081">
        <f t="shared" si="15"/>
        <v>5599283304.8296432</v>
      </c>
      <c r="O11" s="1081">
        <f t="shared" si="15"/>
        <v>5602667382</v>
      </c>
      <c r="P11" s="1081">
        <f t="shared" si="15"/>
        <v>6334894891</v>
      </c>
      <c r="Q11" s="1081">
        <f t="shared" si="15"/>
        <v>6131492116</v>
      </c>
      <c r="R11" s="1081">
        <f t="shared" si="15"/>
        <v>7169525638.4384689</v>
      </c>
      <c r="S11" s="1081">
        <f t="shared" si="15"/>
        <v>6549993656.2999954</v>
      </c>
      <c r="T11" s="1081">
        <f t="shared" si="15"/>
        <v>5417686481.467186</v>
      </c>
      <c r="U11" s="7">
        <f t="shared" si="5"/>
        <v>71316878440.005493</v>
      </c>
      <c r="V11" s="1081">
        <f t="shared" ref="V11:AG11" si="16">V12-V13</f>
        <v>5337680999.6101837</v>
      </c>
      <c r="W11" s="1081">
        <f t="shared" si="16"/>
        <v>4383528984.8012047</v>
      </c>
      <c r="X11" s="1081">
        <f t="shared" si="16"/>
        <v>6387732917.4450912</v>
      </c>
      <c r="Y11" s="1081">
        <f t="shared" si="16"/>
        <v>6425283501.3512344</v>
      </c>
      <c r="Z11" s="1081">
        <f t="shared" si="16"/>
        <v>5334274586.6689911</v>
      </c>
      <c r="AA11" s="1081">
        <f t="shared" si="16"/>
        <v>5550327609.2164764</v>
      </c>
      <c r="AB11" s="1081">
        <f t="shared" si="16"/>
        <v>6266537860.3906784</v>
      </c>
      <c r="AC11" s="1081">
        <f t="shared" si="16"/>
        <v>6705801782.1486969</v>
      </c>
      <c r="AD11" s="1081">
        <f t="shared" si="16"/>
        <v>6226617133.3729401</v>
      </c>
      <c r="AE11" s="1081">
        <f t="shared" si="16"/>
        <v>6047923994</v>
      </c>
      <c r="AF11" s="1081">
        <f t="shared" si="16"/>
        <v>7001028039</v>
      </c>
      <c r="AG11" s="1081">
        <f t="shared" si="16"/>
        <v>5650141032</v>
      </c>
      <c r="AH11" s="1081">
        <f t="shared" si="10"/>
        <v>142200062995.17206</v>
      </c>
      <c r="AI11" s="1081">
        <f>AI12-AI13</f>
        <v>6413410132</v>
      </c>
      <c r="AJ11" s="1081">
        <f t="shared" ref="AJ11:AT11" si="17">AJ12-AJ13</f>
        <v>7347632150.8695908</v>
      </c>
      <c r="AK11" s="1081">
        <f t="shared" si="17"/>
        <v>9359759203.3644333</v>
      </c>
      <c r="AL11" s="1081">
        <f>AL12-AL13</f>
        <v>10705649277.404129</v>
      </c>
      <c r="AM11" s="1081">
        <f t="shared" si="17"/>
        <v>10213809437.408203</v>
      </c>
      <c r="AN11" s="1081">
        <f t="shared" si="17"/>
        <v>12108846802.935051</v>
      </c>
      <c r="AO11" s="1081">
        <f t="shared" si="17"/>
        <v>12103127285.288895</v>
      </c>
      <c r="AP11" s="1081">
        <f t="shared" si="17"/>
        <v>12643310526.065094</v>
      </c>
      <c r="AQ11" s="1081">
        <f t="shared" si="17"/>
        <v>13231731990.208557</v>
      </c>
      <c r="AR11" s="1081">
        <f t="shared" si="17"/>
        <v>14906220049.108597</v>
      </c>
      <c r="AS11" s="1081">
        <f t="shared" si="17"/>
        <v>15363165384.549667</v>
      </c>
      <c r="AT11" s="1081">
        <f t="shared" si="17"/>
        <v>17803400755.969833</v>
      </c>
    </row>
    <row r="12" spans="2:49">
      <c r="B12" t="s">
        <v>293</v>
      </c>
      <c r="F12" t="str">
        <f t="shared" si="0"/>
        <v>Liability___</v>
      </c>
      <c r="H12" s="1087" t="s">
        <v>20</v>
      </c>
      <c r="I12" s="1079">
        <f t="shared" ref="I12:T12" si="18">I39+I63</f>
        <v>15944182188</v>
      </c>
      <c r="J12" s="1079">
        <f t="shared" si="18"/>
        <v>33464945712.33474</v>
      </c>
      <c r="K12" s="1079">
        <f t="shared" si="18"/>
        <v>22699336328.376713</v>
      </c>
      <c r="L12" s="1079">
        <f t="shared" si="18"/>
        <v>24402052108</v>
      </c>
      <c r="M12" s="1079">
        <f t="shared" si="18"/>
        <v>27963997303</v>
      </c>
      <c r="N12" s="1079">
        <f t="shared" si="18"/>
        <v>31190225718.829643</v>
      </c>
      <c r="O12" s="1079">
        <f t="shared" si="18"/>
        <v>33733415742</v>
      </c>
      <c r="P12" s="1079">
        <f t="shared" si="18"/>
        <v>35663744148</v>
      </c>
      <c r="Q12" s="1079">
        <f t="shared" si="18"/>
        <v>35269350101</v>
      </c>
      <c r="R12" s="1079">
        <f t="shared" si="18"/>
        <v>37039200208.438469</v>
      </c>
      <c r="S12" s="1079">
        <f t="shared" si="18"/>
        <v>35394710612.299995</v>
      </c>
      <c r="T12" s="1079">
        <f t="shared" si="18"/>
        <v>34965642627.467186</v>
      </c>
      <c r="U12" s="7">
        <f t="shared" si="5"/>
        <v>442010097861.00549</v>
      </c>
      <c r="V12" s="1079">
        <f t="shared" ref="V12:AG12" si="19">V39+V63</f>
        <v>35400480484.610184</v>
      </c>
      <c r="W12" s="1079">
        <f t="shared" si="19"/>
        <v>33999675820.801205</v>
      </c>
      <c r="X12" s="1079">
        <f t="shared" si="19"/>
        <v>36048406323.445091</v>
      </c>
      <c r="Y12" s="1079">
        <f t="shared" si="19"/>
        <v>33407798620.351234</v>
      </c>
      <c r="Z12" s="1079">
        <f t="shared" si="19"/>
        <v>34347020066.668991</v>
      </c>
      <c r="AA12" s="1079">
        <f t="shared" si="19"/>
        <v>34394847633.216476</v>
      </c>
      <c r="AB12" s="1079">
        <f t="shared" si="19"/>
        <v>36437058654.390678</v>
      </c>
      <c r="AC12" s="1079">
        <f t="shared" si="19"/>
        <v>37409330248.148697</v>
      </c>
      <c r="AD12" s="1079">
        <f t="shared" si="19"/>
        <v>37059639236.37294</v>
      </c>
      <c r="AE12" s="1079">
        <f t="shared" si="19"/>
        <v>40877033182</v>
      </c>
      <c r="AF12" s="1079">
        <f t="shared" si="19"/>
        <v>40266571116</v>
      </c>
      <c r="AG12" s="1079">
        <f t="shared" si="19"/>
        <v>42362236475</v>
      </c>
      <c r="AH12" s="1079">
        <f t="shared" si="10"/>
        <v>759545943982.17212</v>
      </c>
      <c r="AI12" s="1079">
        <f t="shared" ref="AI12:AT12" si="20">AI39+AI63</f>
        <v>45837772985</v>
      </c>
      <c r="AJ12" s="1079">
        <f t="shared" si="20"/>
        <v>45941552435.869591</v>
      </c>
      <c r="AK12" s="1079">
        <f t="shared" si="20"/>
        <v>54181545679.364433</v>
      </c>
      <c r="AL12" s="1079">
        <f t="shared" si="20"/>
        <v>55214506999.404129</v>
      </c>
      <c r="AM12" s="1079">
        <f t="shared" si="20"/>
        <v>61489923392.408203</v>
      </c>
      <c r="AN12" s="1079">
        <f t="shared" si="20"/>
        <v>62476761580.935051</v>
      </c>
      <c r="AO12" s="1079">
        <f t="shared" si="20"/>
        <v>67156182772.288895</v>
      </c>
      <c r="AP12" s="1079">
        <f t="shared" si="20"/>
        <v>69629497327.065094</v>
      </c>
      <c r="AQ12" s="1079">
        <f t="shared" si="20"/>
        <v>69767646208.208557</v>
      </c>
      <c r="AR12" s="1079">
        <f t="shared" si="20"/>
        <v>73376309921.108597</v>
      </c>
      <c r="AS12" s="1079">
        <f t="shared" si="20"/>
        <v>74162659193.549667</v>
      </c>
      <c r="AT12" s="1079">
        <f t="shared" si="20"/>
        <v>80311585486.969833</v>
      </c>
      <c r="AW12" s="34"/>
    </row>
    <row r="13" spans="2:49">
      <c r="B13" t="s">
        <v>293</v>
      </c>
      <c r="F13" t="str">
        <f t="shared" si="0"/>
        <v>Liability___</v>
      </c>
      <c r="H13" s="1087" t="s">
        <v>294</v>
      </c>
      <c r="I13" s="1079">
        <f t="shared" ref="I13:T13" si="21">I40+I64+I65</f>
        <v>13868354625</v>
      </c>
      <c r="J13" s="1079">
        <f t="shared" si="21"/>
        <v>15654870812</v>
      </c>
      <c r="K13" s="1079">
        <f t="shared" si="21"/>
        <v>20881607500</v>
      </c>
      <c r="L13" s="1079">
        <f t="shared" si="21"/>
        <v>21630306018</v>
      </c>
      <c r="M13" s="1079">
        <f t="shared" si="21"/>
        <v>24017383634</v>
      </c>
      <c r="N13" s="1079">
        <f t="shared" si="21"/>
        <v>25590942414</v>
      </c>
      <c r="O13" s="1079">
        <f t="shared" si="21"/>
        <v>28130748360</v>
      </c>
      <c r="P13" s="1079">
        <f t="shared" si="21"/>
        <v>29328849257</v>
      </c>
      <c r="Q13" s="1079">
        <f t="shared" si="21"/>
        <v>29137857985</v>
      </c>
      <c r="R13" s="1079">
        <f t="shared" si="21"/>
        <v>29869674570</v>
      </c>
      <c r="S13" s="1079">
        <f t="shared" si="21"/>
        <v>28844716956</v>
      </c>
      <c r="T13" s="1079">
        <f t="shared" si="21"/>
        <v>29547956146</v>
      </c>
      <c r="U13" s="7">
        <f t="shared" si="5"/>
        <v>370693219421</v>
      </c>
      <c r="V13" s="1079">
        <f t="shared" ref="V13:AG13" si="22">V40+V64+V65</f>
        <v>30062799485</v>
      </c>
      <c r="W13" s="1079">
        <f t="shared" si="22"/>
        <v>29616146836</v>
      </c>
      <c r="X13" s="1079">
        <f t="shared" si="22"/>
        <v>29660673406</v>
      </c>
      <c r="Y13" s="1079">
        <f t="shared" si="22"/>
        <v>26982515119</v>
      </c>
      <c r="Z13" s="1079">
        <f t="shared" si="22"/>
        <v>29012745480</v>
      </c>
      <c r="AA13" s="1079">
        <f t="shared" si="22"/>
        <v>28844520024</v>
      </c>
      <c r="AB13" s="1079">
        <f t="shared" si="22"/>
        <v>30170520794</v>
      </c>
      <c r="AC13" s="1079">
        <f t="shared" si="22"/>
        <v>30703528466</v>
      </c>
      <c r="AD13" s="1079">
        <f t="shared" si="22"/>
        <v>30833022103</v>
      </c>
      <c r="AE13" s="1079">
        <f t="shared" si="22"/>
        <v>34829109188</v>
      </c>
      <c r="AF13" s="1079">
        <f t="shared" si="22"/>
        <v>33265543077</v>
      </c>
      <c r="AG13" s="1079">
        <f t="shared" si="22"/>
        <v>36712095443</v>
      </c>
      <c r="AH13" s="1079">
        <f t="shared" si="10"/>
        <v>617345880987</v>
      </c>
      <c r="AI13" s="1079">
        <f t="shared" ref="AI13:AT13" si="23">AI40+AI64+AI65</f>
        <v>39424362853</v>
      </c>
      <c r="AJ13" s="1079">
        <f t="shared" si="23"/>
        <v>38593920285</v>
      </c>
      <c r="AK13" s="1079">
        <f t="shared" si="23"/>
        <v>44821786476</v>
      </c>
      <c r="AL13" s="1079">
        <f t="shared" si="23"/>
        <v>44508857722</v>
      </c>
      <c r="AM13" s="1079">
        <f t="shared" si="23"/>
        <v>51276113955</v>
      </c>
      <c r="AN13" s="1079">
        <f t="shared" si="23"/>
        <v>50367914778</v>
      </c>
      <c r="AO13" s="1079">
        <f t="shared" si="23"/>
        <v>55053055487</v>
      </c>
      <c r="AP13" s="1079">
        <f t="shared" si="23"/>
        <v>56986186801</v>
      </c>
      <c r="AQ13" s="1079">
        <f t="shared" si="23"/>
        <v>56535914218</v>
      </c>
      <c r="AR13" s="1079">
        <f t="shared" si="23"/>
        <v>58470089872</v>
      </c>
      <c r="AS13" s="1079">
        <f t="shared" si="23"/>
        <v>58799493809</v>
      </c>
      <c r="AT13" s="1079">
        <f t="shared" si="23"/>
        <v>62508184731</v>
      </c>
    </row>
    <row r="14" spans="2:49">
      <c r="B14" t="s">
        <v>293</v>
      </c>
      <c r="F14" t="str">
        <f t="shared" si="0"/>
        <v>Liability___</v>
      </c>
      <c r="H14" s="1086" t="s">
        <v>220</v>
      </c>
      <c r="I14" s="1081">
        <f t="shared" ref="I14:T14" si="24">I15-I16</f>
        <v>-331313093.63636398</v>
      </c>
      <c r="J14" s="1081">
        <f t="shared" si="24"/>
        <v>-328953159.9090907</v>
      </c>
      <c r="K14" s="1081">
        <f t="shared" si="24"/>
        <v>-105533188.90909088</v>
      </c>
      <c r="L14" s="1081">
        <f t="shared" si="24"/>
        <v>-109294944.90909091</v>
      </c>
      <c r="M14" s="1081">
        <f t="shared" si="24"/>
        <v>-291008914.909091</v>
      </c>
      <c r="N14" s="1081">
        <f t="shared" si="24"/>
        <v>-276387637.63636345</v>
      </c>
      <c r="O14" s="1081">
        <f t="shared" si="24"/>
        <v>-129373031.90909088</v>
      </c>
      <c r="P14" s="1081">
        <f t="shared" si="24"/>
        <v>-125361894.90909088</v>
      </c>
      <c r="Q14" s="1081">
        <f t="shared" si="24"/>
        <v>-33880948</v>
      </c>
      <c r="R14" s="1081">
        <f t="shared" si="24"/>
        <v>-75635624</v>
      </c>
      <c r="S14" s="1081">
        <f t="shared" si="24"/>
        <v>-34837136</v>
      </c>
      <c r="T14" s="1081">
        <f t="shared" si="24"/>
        <v>34411002</v>
      </c>
      <c r="U14" s="7">
        <f t="shared" si="5"/>
        <v>18916436541.090908</v>
      </c>
      <c r="V14" s="1081">
        <f t="shared" ref="V14:AG14" si="25">V15-V16</f>
        <v>50899217</v>
      </c>
      <c r="W14" s="1081">
        <f t="shared" si="25"/>
        <v>36477425.181818187</v>
      </c>
      <c r="X14" s="1081">
        <f t="shared" si="25"/>
        <v>2665004079</v>
      </c>
      <c r="Y14" s="1081">
        <f t="shared" si="25"/>
        <v>483458196</v>
      </c>
      <c r="Z14" s="1081">
        <f t="shared" si="25"/>
        <v>-77554368.181818187</v>
      </c>
      <c r="AA14" s="1081">
        <f t="shared" si="25"/>
        <v>2974730492</v>
      </c>
      <c r="AB14" s="1081">
        <f t="shared" si="25"/>
        <v>-265069004.90909091</v>
      </c>
      <c r="AC14" s="1081">
        <f t="shared" si="25"/>
        <v>-231191455</v>
      </c>
      <c r="AD14" s="1081">
        <f t="shared" si="25"/>
        <v>-337482285</v>
      </c>
      <c r="AE14" s="1081">
        <f t="shared" si="25"/>
        <v>13189030195</v>
      </c>
      <c r="AF14" s="1081">
        <f t="shared" si="25"/>
        <v>448686225</v>
      </c>
      <c r="AG14" s="1081">
        <f t="shared" si="25"/>
        <v>-20552175</v>
      </c>
      <c r="AH14" s="1081">
        <f t="shared" si="10"/>
        <v>-4367546243</v>
      </c>
      <c r="AI14" s="1081">
        <f>AI15-AI16</f>
        <v>-207105432</v>
      </c>
      <c r="AJ14" s="1081">
        <f t="shared" ref="AJ14:AT14" si="26">AJ15-AJ16</f>
        <v>-290774545</v>
      </c>
      <c r="AK14" s="1081">
        <f t="shared" si="26"/>
        <v>-177709025</v>
      </c>
      <c r="AL14" s="1081">
        <f t="shared" si="26"/>
        <v>-378273121</v>
      </c>
      <c r="AM14" s="1081">
        <f t="shared" si="26"/>
        <v>-363232881</v>
      </c>
      <c r="AN14" s="1081">
        <f t="shared" si="26"/>
        <v>-390209132</v>
      </c>
      <c r="AO14" s="1081">
        <f t="shared" si="26"/>
        <v>-434550254</v>
      </c>
      <c r="AP14" s="1081">
        <f t="shared" si="26"/>
        <v>-487767612</v>
      </c>
      <c r="AQ14" s="1081">
        <f t="shared" si="26"/>
        <v>-520016293</v>
      </c>
      <c r="AR14" s="1081">
        <f t="shared" si="26"/>
        <v>-513986531</v>
      </c>
      <c r="AS14" s="1081">
        <f t="shared" si="26"/>
        <v>-711251633</v>
      </c>
      <c r="AT14" s="1081">
        <f t="shared" si="26"/>
        <v>107330216</v>
      </c>
    </row>
    <row r="15" spans="2:49">
      <c r="B15" t="s">
        <v>293</v>
      </c>
      <c r="F15" t="str">
        <f t="shared" si="0"/>
        <v>Liability___</v>
      </c>
      <c r="H15" s="1087" t="s">
        <v>22</v>
      </c>
      <c r="I15" s="1079">
        <f t="shared" ref="I15:T15" si="27">I82</f>
        <v>125781553.99999964</v>
      </c>
      <c r="J15" s="1079">
        <f t="shared" si="27"/>
        <v>127132140.00000018</v>
      </c>
      <c r="K15" s="1079">
        <f t="shared" si="27"/>
        <v>97067857.00000003</v>
      </c>
      <c r="L15" s="1079">
        <f t="shared" si="27"/>
        <v>101373982</v>
      </c>
      <c r="M15" s="1079">
        <f t="shared" si="27"/>
        <v>105517006.99999991</v>
      </c>
      <c r="N15" s="1079">
        <f t="shared" si="27"/>
        <v>115869324.27272744</v>
      </c>
      <c r="O15" s="1079">
        <f t="shared" si="27"/>
        <v>156682659</v>
      </c>
      <c r="P15" s="1079">
        <f t="shared" si="27"/>
        <v>151663483</v>
      </c>
      <c r="Q15" s="1079">
        <f t="shared" si="27"/>
        <v>155870512</v>
      </c>
      <c r="R15" s="1079">
        <f t="shared" si="27"/>
        <v>160982936</v>
      </c>
      <c r="S15" s="1079">
        <f t="shared" si="27"/>
        <v>137508472</v>
      </c>
      <c r="T15" s="1079">
        <f t="shared" si="27"/>
        <v>131638384</v>
      </c>
      <c r="U15" s="7">
        <f>SUM(V15:AG15)</f>
        <v>24068455379.090908</v>
      </c>
      <c r="V15" s="1079">
        <f t="shared" ref="V15:AA15" si="28">V82</f>
        <v>138861179</v>
      </c>
      <c r="W15" s="1079">
        <f t="shared" si="28"/>
        <v>147672156.18181819</v>
      </c>
      <c r="X15" s="1079">
        <f t="shared" si="28"/>
        <v>3076951653</v>
      </c>
      <c r="Y15" s="1079">
        <f t="shared" si="28"/>
        <v>919490300</v>
      </c>
      <c r="Z15" s="1079">
        <f t="shared" si="28"/>
        <v>377743769.81818181</v>
      </c>
      <c r="AA15" s="1079">
        <f t="shared" si="28"/>
        <v>3486471790</v>
      </c>
      <c r="AB15" s="1079">
        <f>AB82</f>
        <v>216437122.09090909</v>
      </c>
      <c r="AC15" s="1079">
        <f>AC82</f>
        <v>212156566</v>
      </c>
      <c r="AD15" s="1079">
        <f>AD82</f>
        <v>165802846</v>
      </c>
      <c r="AE15" s="1079">
        <f>AE82</f>
        <v>13711673122</v>
      </c>
      <c r="AF15" s="1079">
        <f t="shared" ref="AF15" si="29">AF82</f>
        <v>1081816261</v>
      </c>
      <c r="AG15" s="1079">
        <f>AG82</f>
        <v>533378614</v>
      </c>
      <c r="AH15" s="1079">
        <f t="shared" si="10"/>
        <v>3291609564</v>
      </c>
      <c r="AI15" s="1079">
        <f>AI82</f>
        <v>421339980</v>
      </c>
      <c r="AJ15" s="1079">
        <f t="shared" ref="AJ15:AT15" si="30">AJ82</f>
        <v>160396335</v>
      </c>
      <c r="AK15" s="1079">
        <f t="shared" si="30"/>
        <v>302179951</v>
      </c>
      <c r="AL15" s="1079">
        <f t="shared" si="30"/>
        <v>218238735</v>
      </c>
      <c r="AM15" s="1079">
        <f t="shared" si="30"/>
        <v>292368670</v>
      </c>
      <c r="AN15" s="1079">
        <f t="shared" si="30"/>
        <v>293731604</v>
      </c>
      <c r="AO15" s="1079">
        <f t="shared" si="30"/>
        <v>248926546</v>
      </c>
      <c r="AP15" s="1079">
        <f t="shared" si="30"/>
        <v>268474276</v>
      </c>
      <c r="AQ15" s="1079">
        <f t="shared" si="30"/>
        <v>270684811</v>
      </c>
      <c r="AR15" s="1079">
        <f t="shared" si="30"/>
        <v>284127341</v>
      </c>
      <c r="AS15" s="1079">
        <f t="shared" si="30"/>
        <v>245675839</v>
      </c>
      <c r="AT15" s="1079">
        <f t="shared" si="30"/>
        <v>285465476</v>
      </c>
      <c r="AW15" s="7"/>
    </row>
    <row r="16" spans="2:49">
      <c r="B16" t="s">
        <v>293</v>
      </c>
      <c r="F16" t="str">
        <f t="shared" si="0"/>
        <v>Liability___</v>
      </c>
      <c r="H16" s="1087" t="s">
        <v>295</v>
      </c>
      <c r="I16" s="1079">
        <f t="shared" ref="I16:T16" si="31">I96</f>
        <v>457094647.63636363</v>
      </c>
      <c r="J16" s="1079">
        <f t="shared" si="31"/>
        <v>456085299.90909088</v>
      </c>
      <c r="K16" s="1079">
        <f t="shared" si="31"/>
        <v>202601045.90909091</v>
      </c>
      <c r="L16" s="1079">
        <f t="shared" si="31"/>
        <v>210668926.90909091</v>
      </c>
      <c r="M16" s="1079">
        <f t="shared" si="31"/>
        <v>396525921.90909088</v>
      </c>
      <c r="N16" s="1079">
        <f t="shared" si="31"/>
        <v>392256961.90909088</v>
      </c>
      <c r="O16" s="1079">
        <f t="shared" si="31"/>
        <v>286055690.90909088</v>
      </c>
      <c r="P16" s="1079">
        <f t="shared" si="31"/>
        <v>277025377.90909088</v>
      </c>
      <c r="Q16" s="1079">
        <f t="shared" si="31"/>
        <v>189751460</v>
      </c>
      <c r="R16" s="1079">
        <f t="shared" si="31"/>
        <v>236618560</v>
      </c>
      <c r="S16" s="1079">
        <f t="shared" si="31"/>
        <v>172345608</v>
      </c>
      <c r="T16" s="1079">
        <f t="shared" si="31"/>
        <v>97227382</v>
      </c>
      <c r="U16" s="7">
        <f t="shared" si="5"/>
        <v>5152018838</v>
      </c>
      <c r="V16" s="1079">
        <f t="shared" ref="V16:AA16" si="32">V96</f>
        <v>87961962</v>
      </c>
      <c r="W16" s="1079">
        <f t="shared" si="32"/>
        <v>111194731</v>
      </c>
      <c r="X16" s="1079">
        <f t="shared" si="32"/>
        <v>411947574</v>
      </c>
      <c r="Y16" s="1079">
        <f t="shared" si="32"/>
        <v>436032104</v>
      </c>
      <c r="Z16" s="1079">
        <f t="shared" si="32"/>
        <v>455298138</v>
      </c>
      <c r="AA16" s="1079">
        <f t="shared" si="32"/>
        <v>511741298</v>
      </c>
      <c r="AB16" s="1079">
        <f>AB96</f>
        <v>481506127</v>
      </c>
      <c r="AC16" s="1079">
        <f>AC96</f>
        <v>443348021</v>
      </c>
      <c r="AD16" s="1079">
        <f>AD96</f>
        <v>503285131</v>
      </c>
      <c r="AE16" s="1079">
        <f>AE96</f>
        <v>522642927</v>
      </c>
      <c r="AF16" s="1079">
        <f t="shared" ref="AF16:AG16" si="33">AF96</f>
        <v>633130036</v>
      </c>
      <c r="AG16" s="1079">
        <f t="shared" si="33"/>
        <v>553930789</v>
      </c>
      <c r="AH16" s="1079">
        <f t="shared" si="10"/>
        <v>7659155807</v>
      </c>
      <c r="AI16" s="1079">
        <f t="shared" ref="AI16:AT16" si="34">AI96</f>
        <v>628445412</v>
      </c>
      <c r="AJ16" s="1079">
        <f t="shared" si="34"/>
        <v>451170880</v>
      </c>
      <c r="AK16" s="1079">
        <f t="shared" si="34"/>
        <v>479888976</v>
      </c>
      <c r="AL16" s="1079">
        <f t="shared" si="34"/>
        <v>596511856</v>
      </c>
      <c r="AM16" s="1079">
        <f t="shared" si="34"/>
        <v>655601551</v>
      </c>
      <c r="AN16" s="1079">
        <f t="shared" si="34"/>
        <v>683940736</v>
      </c>
      <c r="AO16" s="1079">
        <f t="shared" si="34"/>
        <v>683476800</v>
      </c>
      <c r="AP16" s="1079">
        <f t="shared" si="34"/>
        <v>756241888</v>
      </c>
      <c r="AQ16" s="1079">
        <f t="shared" si="34"/>
        <v>790701104</v>
      </c>
      <c r="AR16" s="1079">
        <f t="shared" si="34"/>
        <v>798113872</v>
      </c>
      <c r="AS16" s="1079">
        <f t="shared" si="34"/>
        <v>956927472</v>
      </c>
      <c r="AT16" s="1079">
        <f t="shared" si="34"/>
        <v>178135260</v>
      </c>
      <c r="AV16" s="1079"/>
    </row>
    <row r="17" spans="2:48">
      <c r="B17" t="s">
        <v>293</v>
      </c>
      <c r="F17" t="str">
        <f t="shared" si="0"/>
        <v>Liability___</v>
      </c>
      <c r="H17" s="1086" t="s">
        <v>296</v>
      </c>
      <c r="I17" s="1079">
        <f t="shared" ref="I17:T17" si="35">I112</f>
        <v>0</v>
      </c>
      <c r="J17" s="1079">
        <f t="shared" si="35"/>
        <v>0</v>
      </c>
      <c r="K17" s="1079">
        <f t="shared" si="35"/>
        <v>0</v>
      </c>
      <c r="L17" s="1079">
        <f t="shared" si="35"/>
        <v>0</v>
      </c>
      <c r="M17" s="1079">
        <f t="shared" si="35"/>
        <v>0</v>
      </c>
      <c r="N17" s="1079">
        <f t="shared" si="35"/>
        <v>0</v>
      </c>
      <c r="O17" s="1079">
        <f t="shared" si="35"/>
        <v>0</v>
      </c>
      <c r="P17" s="1079">
        <f t="shared" si="35"/>
        <v>0</v>
      </c>
      <c r="Q17" s="1079">
        <f t="shared" si="35"/>
        <v>0</v>
      </c>
      <c r="R17" s="1079">
        <f t="shared" si="35"/>
        <v>0</v>
      </c>
      <c r="S17" s="1079">
        <f t="shared" si="35"/>
        <v>0</v>
      </c>
      <c r="T17" s="1079">
        <f t="shared" si="35"/>
        <v>0</v>
      </c>
      <c r="U17" s="7">
        <f t="shared" si="5"/>
        <v>0</v>
      </c>
      <c r="V17" s="1079">
        <f t="shared" ref="V17:AG17" si="36">V112</f>
        <v>0</v>
      </c>
      <c r="W17" s="1079">
        <f t="shared" si="36"/>
        <v>0</v>
      </c>
      <c r="X17" s="1079">
        <f t="shared" si="36"/>
        <v>0</v>
      </c>
      <c r="Y17" s="1079">
        <f t="shared" si="36"/>
        <v>0</v>
      </c>
      <c r="Z17" s="1079">
        <f t="shared" si="36"/>
        <v>0</v>
      </c>
      <c r="AA17" s="1079">
        <f t="shared" si="36"/>
        <v>0</v>
      </c>
      <c r="AB17" s="1079">
        <f t="shared" si="36"/>
        <v>0</v>
      </c>
      <c r="AC17" s="1079">
        <f t="shared" si="36"/>
        <v>0</v>
      </c>
      <c r="AD17" s="1079">
        <f t="shared" si="36"/>
        <v>0</v>
      </c>
      <c r="AE17" s="1079">
        <f t="shared" si="36"/>
        <v>0</v>
      </c>
      <c r="AF17" s="1079">
        <f t="shared" si="36"/>
        <v>0</v>
      </c>
      <c r="AG17" s="1079">
        <f t="shared" si="36"/>
        <v>0</v>
      </c>
      <c r="AH17" s="1079">
        <f t="shared" si="10"/>
        <v>0</v>
      </c>
      <c r="AI17" s="1079">
        <f t="shared" ref="AI17:AT17" si="37">AI112</f>
        <v>0</v>
      </c>
      <c r="AJ17" s="1079">
        <f t="shared" si="37"/>
        <v>0</v>
      </c>
      <c r="AK17" s="1079">
        <f t="shared" si="37"/>
        <v>0</v>
      </c>
      <c r="AL17" s="1079">
        <f t="shared" si="37"/>
        <v>0</v>
      </c>
      <c r="AM17" s="1079">
        <f t="shared" si="37"/>
        <v>0</v>
      </c>
      <c r="AN17" s="1079">
        <f t="shared" si="37"/>
        <v>0</v>
      </c>
      <c r="AO17" s="1079">
        <f t="shared" si="37"/>
        <v>0</v>
      </c>
      <c r="AP17" s="1079">
        <f t="shared" si="37"/>
        <v>0</v>
      </c>
      <c r="AQ17" s="1079">
        <f t="shared" si="37"/>
        <v>0</v>
      </c>
      <c r="AR17" s="1079">
        <f t="shared" si="37"/>
        <v>0</v>
      </c>
      <c r="AS17" s="1079">
        <f t="shared" si="37"/>
        <v>0</v>
      </c>
      <c r="AT17" s="1079">
        <f t="shared" si="37"/>
        <v>0</v>
      </c>
    </row>
    <row r="18" spans="2:48">
      <c r="B18" t="s">
        <v>293</v>
      </c>
      <c r="F18" t="str">
        <f t="shared" si="0"/>
        <v>Liability___</v>
      </c>
      <c r="H18" s="85" t="s">
        <v>229</v>
      </c>
      <c r="I18" s="1083">
        <f t="shared" ref="I18:T18" si="38">SUM(I19:I24)</f>
        <v>12128478597.658381</v>
      </c>
      <c r="J18" s="1083">
        <f t="shared" si="38"/>
        <v>8363181727.8367157</v>
      </c>
      <c r="K18" s="1083">
        <f t="shared" si="38"/>
        <v>5987937667.9863672</v>
      </c>
      <c r="L18" s="1083">
        <f t="shared" si="38"/>
        <v>7465211093.727746</v>
      </c>
      <c r="M18" s="1083">
        <f t="shared" si="38"/>
        <v>9864896100.7697735</v>
      </c>
      <c r="N18" s="1083">
        <f t="shared" si="38"/>
        <v>9054953174.4848461</v>
      </c>
      <c r="O18" s="1083">
        <f t="shared" si="38"/>
        <v>11074103796.799034</v>
      </c>
      <c r="P18" s="1083">
        <f t="shared" si="38"/>
        <v>8167841653.7768106</v>
      </c>
      <c r="Q18" s="1083">
        <f t="shared" si="38"/>
        <v>6902948240.4551258</v>
      </c>
      <c r="R18" s="1083">
        <f t="shared" si="38"/>
        <v>6336511026.5333328</v>
      </c>
      <c r="S18" s="1083">
        <f t="shared" si="38"/>
        <v>3827541847.5555558</v>
      </c>
      <c r="T18" s="1083">
        <f t="shared" si="38"/>
        <v>2971978527.2222199</v>
      </c>
      <c r="U18" s="7">
        <f t="shared" si="5"/>
        <v>29018131872.722084</v>
      </c>
      <c r="V18" s="1083">
        <f t="shared" ref="V18:AG18" si="39">SUM(V19:V24)</f>
        <v>2349019593.083333</v>
      </c>
      <c r="W18" s="1083">
        <f t="shared" si="39"/>
        <v>1930080593.0833333</v>
      </c>
      <c r="X18" s="1083">
        <f t="shared" si="39"/>
        <v>2142251759.0833333</v>
      </c>
      <c r="Y18" s="1083">
        <f t="shared" si="39"/>
        <v>1986950591.0833333</v>
      </c>
      <c r="Z18" s="1083">
        <f t="shared" si="39"/>
        <v>1934930581.6666667</v>
      </c>
      <c r="AA18" s="1083">
        <f t="shared" si="39"/>
        <v>2193179123</v>
      </c>
      <c r="AB18" s="1083">
        <f t="shared" si="39"/>
        <v>2387551145.9444447</v>
      </c>
      <c r="AC18" s="1083">
        <f t="shared" si="39"/>
        <v>2368531681.9000001</v>
      </c>
      <c r="AD18" s="1083">
        <f t="shared" si="39"/>
        <v>2350744764.3703241</v>
      </c>
      <c r="AE18" s="1083">
        <f t="shared" si="39"/>
        <v>2562054101.5703244</v>
      </c>
      <c r="AF18" s="1083">
        <f t="shared" si="39"/>
        <v>2928708322.7703242</v>
      </c>
      <c r="AG18" s="1083">
        <f t="shared" si="39"/>
        <v>3884129615.1666665</v>
      </c>
      <c r="AH18" s="1083">
        <f t="shared" si="10"/>
        <v>44343280221.222221</v>
      </c>
      <c r="AI18" s="1083">
        <f t="shared" ref="AI18:AT18" si="40">SUM(AI19:AI24)</f>
        <v>3511430452</v>
      </c>
      <c r="AJ18" s="1083">
        <f t="shared" si="40"/>
        <v>2573136787.1999998</v>
      </c>
      <c r="AK18" s="1083">
        <f t="shared" si="40"/>
        <v>2828098711.8000002</v>
      </c>
      <c r="AL18" s="1083">
        <f t="shared" si="40"/>
        <v>3514396624.1999998</v>
      </c>
      <c r="AM18" s="1083">
        <f t="shared" si="40"/>
        <v>3616064774.8000002</v>
      </c>
      <c r="AN18" s="1083">
        <f t="shared" si="40"/>
        <v>3192206420</v>
      </c>
      <c r="AO18" s="1083">
        <f t="shared" si="40"/>
        <v>3287049047.1999998</v>
      </c>
      <c r="AP18" s="1083">
        <f t="shared" si="40"/>
        <v>3435395591</v>
      </c>
      <c r="AQ18" s="1083">
        <f t="shared" si="40"/>
        <v>3410025093.8000002</v>
      </c>
      <c r="AR18" s="1083">
        <f t="shared" si="40"/>
        <v>3798901322.2222219</v>
      </c>
      <c r="AS18" s="1083">
        <f t="shared" si="40"/>
        <v>5013890875</v>
      </c>
      <c r="AT18" s="1083">
        <f t="shared" si="40"/>
        <v>6162684522</v>
      </c>
    </row>
    <row r="19" spans="2:48">
      <c r="B19" t="s">
        <v>293</v>
      </c>
      <c r="F19" t="str">
        <f t="shared" si="0"/>
        <v>Liability___</v>
      </c>
      <c r="H19" s="563" t="s">
        <v>230</v>
      </c>
      <c r="I19" s="86">
        <v>9526404157</v>
      </c>
      <c r="J19" s="86">
        <v>6158623676.0925293</v>
      </c>
      <c r="K19" s="86">
        <v>4822403125</v>
      </c>
      <c r="L19" s="86">
        <v>5715994087.5</v>
      </c>
      <c r="M19" s="86">
        <v>8133129450.7272711</v>
      </c>
      <c r="N19" s="86">
        <v>6898342482.8181801</v>
      </c>
      <c r="O19" s="86">
        <v>8659524024.2434788</v>
      </c>
      <c r="P19" s="86">
        <v>5480725067.5545883</v>
      </c>
      <c r="Q19" s="86">
        <v>4924439984.7884598</v>
      </c>
      <c r="R19" s="86">
        <v>3955475619.5333333</v>
      </c>
      <c r="S19" s="86">
        <v>630910000.00000012</v>
      </c>
      <c r="T19" s="86">
        <v>226260000</v>
      </c>
      <c r="U19" s="7">
        <f t="shared" si="5"/>
        <v>2582488587.3333335</v>
      </c>
      <c r="V19" s="1079">
        <f t="shared" ref="V19:AG19" si="41">V42+V67+V103</f>
        <v>28705308.25</v>
      </c>
      <c r="W19" s="1079">
        <f t="shared" si="41"/>
        <v>26245308.25</v>
      </c>
      <c r="X19" s="1079">
        <f t="shared" si="41"/>
        <v>29823817.25</v>
      </c>
      <c r="Y19" s="1079">
        <f t="shared" si="41"/>
        <v>141372023.25</v>
      </c>
      <c r="Z19" s="1079">
        <f t="shared" si="41"/>
        <v>54977559.5</v>
      </c>
      <c r="AA19" s="1079">
        <f t="shared" si="41"/>
        <v>155370513.83333349</v>
      </c>
      <c r="AB19" s="1079">
        <f t="shared" si="41"/>
        <v>256918307.5</v>
      </c>
      <c r="AC19" s="1079">
        <f t="shared" si="41"/>
        <v>405055114.5</v>
      </c>
      <c r="AD19" s="1079">
        <f t="shared" si="41"/>
        <v>235954842.5</v>
      </c>
      <c r="AE19" s="1079">
        <f t="shared" si="41"/>
        <v>215985683.5</v>
      </c>
      <c r="AF19" s="1079">
        <f t="shared" si="41"/>
        <v>285347752.5</v>
      </c>
      <c r="AG19" s="1079">
        <f t="shared" si="41"/>
        <v>746732356.5</v>
      </c>
      <c r="AH19" s="1079">
        <f t="shared" si="10"/>
        <v>12279471723</v>
      </c>
      <c r="AI19" s="1079">
        <f t="shared" ref="AI19:AT19" si="42">AI42+AI67+AI103</f>
        <v>861637073</v>
      </c>
      <c r="AJ19" s="1079">
        <f t="shared" si="42"/>
        <v>320740617</v>
      </c>
      <c r="AK19" s="1079">
        <f t="shared" si="42"/>
        <v>387490617</v>
      </c>
      <c r="AL19" s="1079">
        <f t="shared" si="42"/>
        <v>1237869827</v>
      </c>
      <c r="AM19" s="1079">
        <f t="shared" si="42"/>
        <v>819590617</v>
      </c>
      <c r="AN19" s="1079">
        <f t="shared" si="42"/>
        <v>735853557</v>
      </c>
      <c r="AO19" s="1079">
        <f t="shared" si="42"/>
        <v>752998392</v>
      </c>
      <c r="AP19" s="1079">
        <f t="shared" si="42"/>
        <v>893724888</v>
      </c>
      <c r="AQ19" s="1079">
        <f t="shared" si="42"/>
        <v>816456875</v>
      </c>
      <c r="AR19" s="1079">
        <f t="shared" si="42"/>
        <v>915471625</v>
      </c>
      <c r="AS19" s="1079">
        <f>AS42+AS67+AS103</f>
        <v>1972969465</v>
      </c>
      <c r="AT19" s="1079">
        <f t="shared" si="42"/>
        <v>2564668170</v>
      </c>
    </row>
    <row r="20" spans="2:48">
      <c r="B20" t="s">
        <v>293</v>
      </c>
      <c r="F20" t="str">
        <f>B20&amp;"_"&amp;C20&amp;"_"&amp;D20&amp;"_"&amp;E20</f>
        <v>Liability___</v>
      </c>
      <c r="H20" s="563" t="s">
        <v>231</v>
      </c>
      <c r="I20" s="86">
        <f t="shared" ref="I20:T20" si="43">I68</f>
        <v>125546853</v>
      </c>
      <c r="J20" s="7">
        <f t="shared" si="43"/>
        <v>154388708</v>
      </c>
      <c r="K20" s="7">
        <f t="shared" si="43"/>
        <v>224159620</v>
      </c>
      <c r="L20" s="7">
        <f t="shared" si="43"/>
        <v>239466589</v>
      </c>
      <c r="M20" s="7">
        <f t="shared" si="43"/>
        <v>298277116</v>
      </c>
      <c r="N20" s="7">
        <f t="shared" si="43"/>
        <v>342317915</v>
      </c>
      <c r="O20" s="7">
        <f t="shared" si="43"/>
        <v>429275729</v>
      </c>
      <c r="P20" s="7">
        <f t="shared" si="43"/>
        <v>491457174</v>
      </c>
      <c r="Q20" s="7">
        <f t="shared" si="43"/>
        <v>514155659</v>
      </c>
      <c r="R20" s="7">
        <f t="shared" si="43"/>
        <v>566003674</v>
      </c>
      <c r="S20" s="7">
        <f t="shared" si="43"/>
        <v>565754022</v>
      </c>
      <c r="T20" s="7">
        <f t="shared" si="43"/>
        <v>600939663</v>
      </c>
      <c r="U20" s="7">
        <f>SUM(V20:AG20)</f>
        <v>9206546498</v>
      </c>
      <c r="V20" s="1079">
        <f t="shared" ref="V20:AG20" si="44">V43+V68+V104</f>
        <v>662798527</v>
      </c>
      <c r="W20" s="1079">
        <f t="shared" si="44"/>
        <v>665967565</v>
      </c>
      <c r="X20" s="1079">
        <f t="shared" si="44"/>
        <v>714550037</v>
      </c>
      <c r="Y20" s="1079">
        <f t="shared" si="44"/>
        <v>702989532</v>
      </c>
      <c r="Z20" s="1079">
        <f t="shared" si="44"/>
        <v>744456411</v>
      </c>
      <c r="AA20" s="1079">
        <f t="shared" si="44"/>
        <v>740591438</v>
      </c>
      <c r="AB20" s="1079">
        <f t="shared" si="44"/>
        <v>777354807</v>
      </c>
      <c r="AC20" s="1079">
        <f t="shared" si="44"/>
        <v>796209820</v>
      </c>
      <c r="AD20" s="1079">
        <f t="shared" si="44"/>
        <v>801437202</v>
      </c>
      <c r="AE20" s="1079">
        <f t="shared" si="44"/>
        <v>858940548</v>
      </c>
      <c r="AF20" s="1079">
        <f t="shared" si="44"/>
        <v>852705684</v>
      </c>
      <c r="AG20" s="1079">
        <f t="shared" si="44"/>
        <v>888544927</v>
      </c>
      <c r="AH20" s="1079">
        <f>SUM(AI20:AT20)</f>
        <v>15947454329</v>
      </c>
      <c r="AI20" s="1079">
        <f t="shared" ref="AI20:AT20" si="45">AI43+AI68+AI104</f>
        <v>929894778</v>
      </c>
      <c r="AJ20" s="1079">
        <f t="shared" si="45"/>
        <v>969053328</v>
      </c>
      <c r="AK20" s="1079">
        <f t="shared" si="45"/>
        <v>1120205414</v>
      </c>
      <c r="AL20" s="1079">
        <f t="shared" si="45"/>
        <v>1136827781</v>
      </c>
      <c r="AM20" s="1079">
        <f t="shared" si="45"/>
        <v>1494880796</v>
      </c>
      <c r="AN20" s="1079">
        <f t="shared" si="45"/>
        <v>1459642266</v>
      </c>
      <c r="AO20" s="1079">
        <f t="shared" si="45"/>
        <v>1372119493</v>
      </c>
      <c r="AP20" s="1079">
        <f t="shared" si="45"/>
        <v>1454661915</v>
      </c>
      <c r="AQ20" s="1079">
        <f>AQ43+AQ68+AQ104</f>
        <v>1432652242</v>
      </c>
      <c r="AR20" s="1079">
        <f>AR43+AR68+AR104</f>
        <v>1555024156</v>
      </c>
      <c r="AS20" s="1079">
        <f t="shared" si="45"/>
        <v>1553440107</v>
      </c>
      <c r="AT20" s="1079">
        <f t="shared" si="45"/>
        <v>1469052053</v>
      </c>
      <c r="AV20" s="5"/>
    </row>
    <row r="21" spans="2:48">
      <c r="B21" t="s">
        <v>293</v>
      </c>
      <c r="F21" t="str">
        <f>B21&amp;"_"&amp;C21&amp;"_"&amp;D21&amp;"_"&amp;E21</f>
        <v>Liability___</v>
      </c>
      <c r="H21" s="563" t="s">
        <v>297</v>
      </c>
      <c r="I21" s="86">
        <v>1250000000</v>
      </c>
      <c r="J21" s="86">
        <v>1119995198</v>
      </c>
      <c r="K21" s="86">
        <v>1313675338.8131516</v>
      </c>
      <c r="L21" s="86">
        <v>1198842651</v>
      </c>
      <c r="M21" s="86">
        <v>1076620179.7048917</v>
      </c>
      <c r="N21" s="86">
        <v>1362209830</v>
      </c>
      <c r="O21" s="86">
        <v>1518682089.9999998</v>
      </c>
      <c r="P21" s="86">
        <v>1481752910</v>
      </c>
      <c r="Q21" s="86">
        <v>1192851696.6666665</v>
      </c>
      <c r="R21" s="86">
        <v>1502535733</v>
      </c>
      <c r="S21" s="86">
        <v>2304876225.5555558</v>
      </c>
      <c r="T21" s="86">
        <f>2142477072.22222-210000000</f>
        <v>1932477072.2222199</v>
      </c>
      <c r="U21" s="7">
        <f>SUM(V21:AG21)</f>
        <v>9616571412.7777767</v>
      </c>
      <c r="V21" s="1079">
        <f t="shared" ref="V21:AG21" si="46">V44+V73+V105</f>
        <v>1175997040</v>
      </c>
      <c r="W21" s="1079">
        <f t="shared" si="46"/>
        <v>893414600</v>
      </c>
      <c r="X21" s="1079">
        <f t="shared" si="46"/>
        <v>926793042</v>
      </c>
      <c r="Y21" s="1079">
        <f t="shared" si="46"/>
        <v>738803748</v>
      </c>
      <c r="Z21" s="1079">
        <f t="shared" si="46"/>
        <v>687054904.5</v>
      </c>
      <c r="AA21" s="1079">
        <f t="shared" si="46"/>
        <v>854322940.5</v>
      </c>
      <c r="AB21" s="1079">
        <f t="shared" si="46"/>
        <v>766908650.77777803</v>
      </c>
      <c r="AC21" s="1079">
        <f t="shared" si="46"/>
        <v>675264980.39999998</v>
      </c>
      <c r="AD21" s="1079">
        <f t="shared" si="46"/>
        <v>713780081</v>
      </c>
      <c r="AE21" s="1079">
        <f t="shared" si="46"/>
        <v>772471740.20000005</v>
      </c>
      <c r="AF21" s="1079">
        <f t="shared" si="46"/>
        <v>757710790.39999998</v>
      </c>
      <c r="AG21" s="1079">
        <f t="shared" si="46"/>
        <v>654048895</v>
      </c>
      <c r="AH21" s="1079">
        <f>SUM(AI21:AT21)</f>
        <v>6168592386.2222223</v>
      </c>
      <c r="AI21" s="1079">
        <f t="shared" ref="AI21:AT21" si="47">AI44+AI73+AI105</f>
        <v>837000037</v>
      </c>
      <c r="AJ21" s="1079">
        <f t="shared" si="47"/>
        <v>726941497.20000005</v>
      </c>
      <c r="AK21" s="1079">
        <f t="shared" si="47"/>
        <v>722109060.79999995</v>
      </c>
      <c r="AL21" s="1079">
        <f t="shared" si="47"/>
        <v>565766651.20000005</v>
      </c>
      <c r="AM21" s="1079">
        <f t="shared" si="47"/>
        <v>391777702.80000001</v>
      </c>
      <c r="AN21" s="1079">
        <f t="shared" si="47"/>
        <v>379554142</v>
      </c>
      <c r="AO21" s="1079">
        <f t="shared" si="47"/>
        <v>375392899.19999999</v>
      </c>
      <c r="AP21" s="1079">
        <f t="shared" si="47"/>
        <v>405786380</v>
      </c>
      <c r="AQ21" s="1079">
        <f>AQ44+AQ73+AQ105</f>
        <v>422898889.80000001</v>
      </c>
      <c r="AR21" s="1079">
        <f t="shared" si="47"/>
        <v>560595392.22222197</v>
      </c>
      <c r="AS21" s="1079">
        <f t="shared" si="47"/>
        <v>441701030</v>
      </c>
      <c r="AT21" s="1079">
        <f t="shared" si="47"/>
        <v>339068704</v>
      </c>
    </row>
    <row r="22" spans="2:48">
      <c r="B22" t="s">
        <v>293</v>
      </c>
      <c r="F22" t="str">
        <f>B22&amp;"_"&amp;C22&amp;"_"&amp;D22&amp;"_"&amp;E22</f>
        <v>Liability___</v>
      </c>
      <c r="H22" s="563" t="s">
        <v>152</v>
      </c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7"/>
      <c r="V22" s="1079"/>
      <c r="W22" s="1079"/>
      <c r="X22" s="1079"/>
      <c r="Y22" s="1079"/>
      <c r="Z22" s="1079"/>
      <c r="AA22" s="1079">
        <f t="shared" ref="AA22:AF22" si="48">AA48+AA74</f>
        <v>576000</v>
      </c>
      <c r="AB22" s="1079">
        <f t="shared" si="48"/>
        <v>130191000</v>
      </c>
      <c r="AC22" s="1079">
        <f t="shared" si="48"/>
        <v>147570000</v>
      </c>
      <c r="AD22" s="1079">
        <f t="shared" si="48"/>
        <v>109353000</v>
      </c>
      <c r="AE22" s="1079">
        <f t="shared" si="48"/>
        <v>216366000</v>
      </c>
      <c r="AF22" s="1079">
        <f t="shared" si="48"/>
        <v>248385000</v>
      </c>
      <c r="AG22" s="1079">
        <v>255000000</v>
      </c>
      <c r="AH22" s="1079">
        <f>SUM(AI22:AT22)</f>
        <v>1929740150</v>
      </c>
      <c r="AI22" s="1079">
        <f t="shared" ref="AI22:AT22" si="49">AI48+AI74+AI106</f>
        <v>124941599.99999999</v>
      </c>
      <c r="AJ22" s="1079">
        <f t="shared" si="49"/>
        <v>78154650</v>
      </c>
      <c r="AK22" s="1079">
        <f t="shared" si="49"/>
        <v>116049150</v>
      </c>
      <c r="AL22" s="1079">
        <f t="shared" si="49"/>
        <v>96493950</v>
      </c>
      <c r="AM22" s="1079">
        <f t="shared" si="49"/>
        <v>96654600</v>
      </c>
      <c r="AN22" s="1079">
        <f t="shared" si="49"/>
        <v>104784750</v>
      </c>
      <c r="AO22" s="1079">
        <f t="shared" si="49"/>
        <v>118643699.99999999</v>
      </c>
      <c r="AP22" s="1079">
        <f t="shared" si="49"/>
        <v>113900150</v>
      </c>
      <c r="AQ22" s="1079">
        <f t="shared" si="49"/>
        <v>112390950</v>
      </c>
      <c r="AR22" s="1079">
        <f t="shared" si="49"/>
        <v>128985149.99999999</v>
      </c>
      <c r="AS22" s="1079">
        <f t="shared" si="49"/>
        <v>368109000</v>
      </c>
      <c r="AT22" s="1079">
        <f t="shared" si="49"/>
        <v>470632500</v>
      </c>
    </row>
    <row r="23" spans="2:48">
      <c r="B23" t="s">
        <v>293</v>
      </c>
      <c r="F23" t="str">
        <f t="shared" si="0"/>
        <v>Liability___</v>
      </c>
      <c r="H23" s="563" t="s">
        <v>235</v>
      </c>
      <c r="I23" s="86">
        <v>975088287.65837979</v>
      </c>
      <c r="J23" s="86">
        <v>678734845.7441864</v>
      </c>
      <c r="K23" s="86">
        <v>-623739715.82678449</v>
      </c>
      <c r="L23" s="86">
        <v>59468466.227745801</v>
      </c>
      <c r="M23" s="86">
        <v>105430054.33761036</v>
      </c>
      <c r="N23" s="86">
        <v>200643646.66666663</v>
      </c>
      <c r="O23" s="86">
        <v>215182653.55555558</v>
      </c>
      <c r="P23" s="86">
        <v>510038502.22222221</v>
      </c>
      <c r="Q23" s="86">
        <v>102075000</v>
      </c>
      <c r="R23" s="86">
        <v>159210000</v>
      </c>
      <c r="S23" s="86">
        <v>213100000.00000003</v>
      </c>
      <c r="T23" s="86">
        <v>108950292</v>
      </c>
      <c r="U23" s="7">
        <f t="shared" si="5"/>
        <v>1892931242.6109729</v>
      </c>
      <c r="V23" s="1079">
        <f t="shared" ref="V23:AG23" si="50">V49+V75+V107</f>
        <v>75168191.833333343</v>
      </c>
      <c r="W23" s="1079">
        <f t="shared" si="50"/>
        <v>35479356.833333336</v>
      </c>
      <c r="X23" s="1079">
        <f t="shared" si="50"/>
        <v>64650991.833333336</v>
      </c>
      <c r="Y23" s="1079">
        <f t="shared" si="50"/>
        <v>16604591.833333334</v>
      </c>
      <c r="Z23" s="1079">
        <f t="shared" si="50"/>
        <v>73607058.666666657</v>
      </c>
      <c r="AA23" s="1079">
        <f t="shared" si="50"/>
        <v>51112783.666666657</v>
      </c>
      <c r="AB23" s="1079">
        <f t="shared" si="50"/>
        <v>61204383.666666657</v>
      </c>
      <c r="AC23" s="1079">
        <f t="shared" si="50"/>
        <v>0</v>
      </c>
      <c r="AD23" s="1079">
        <f t="shared" si="50"/>
        <v>130629166.87032428</v>
      </c>
      <c r="AE23" s="1079">
        <f t="shared" si="50"/>
        <v>115629166.87032428</v>
      </c>
      <c r="AF23" s="1079">
        <f t="shared" si="50"/>
        <v>404729166.87032425</v>
      </c>
      <c r="AG23" s="1079">
        <f t="shared" si="50"/>
        <v>864116383.66666663</v>
      </c>
      <c r="AH23" s="1079">
        <f t="shared" si="10"/>
        <v>1684862043</v>
      </c>
      <c r="AI23" s="1079">
        <f t="shared" ref="AI23:AT23" si="51">AI49+AI75+AI107</f>
        <v>212269404</v>
      </c>
      <c r="AJ23" s="1079">
        <f t="shared" si="51"/>
        <v>68076660</v>
      </c>
      <c r="AK23" s="1079">
        <f t="shared" si="51"/>
        <v>29479640</v>
      </c>
      <c r="AL23" s="1079">
        <f t="shared" si="51"/>
        <v>72239760</v>
      </c>
      <c r="AM23" s="1079">
        <f t="shared" si="51"/>
        <v>371217771</v>
      </c>
      <c r="AN23" s="1079">
        <f t="shared" si="51"/>
        <v>44061794</v>
      </c>
      <c r="AO23" s="1079">
        <f t="shared" si="51"/>
        <v>139292850</v>
      </c>
      <c r="AP23" s="1079">
        <f t="shared" si="51"/>
        <v>33902640</v>
      </c>
      <c r="AQ23" s="1079">
        <f t="shared" si="51"/>
        <v>87434080</v>
      </c>
      <c r="AR23" s="1079">
        <f t="shared" si="51"/>
        <v>33910378</v>
      </c>
      <c r="AS23" s="1079">
        <f t="shared" si="51"/>
        <v>39233520</v>
      </c>
      <c r="AT23" s="1079">
        <f t="shared" si="51"/>
        <v>553743546</v>
      </c>
    </row>
    <row r="24" spans="2:48">
      <c r="B24" t="s">
        <v>293</v>
      </c>
      <c r="F24" t="str">
        <f t="shared" si="0"/>
        <v>Liability___</v>
      </c>
      <c r="H24" s="563" t="s">
        <v>163</v>
      </c>
      <c r="I24" s="86">
        <v>251439300</v>
      </c>
      <c r="J24" s="86">
        <v>251439300</v>
      </c>
      <c r="K24" s="86">
        <v>251439300</v>
      </c>
      <c r="L24" s="86">
        <v>251439300</v>
      </c>
      <c r="M24" s="86">
        <v>251439300</v>
      </c>
      <c r="N24" s="86">
        <v>251439300</v>
      </c>
      <c r="O24" s="86">
        <v>251439300</v>
      </c>
      <c r="P24" s="86">
        <v>203868000</v>
      </c>
      <c r="Q24" s="86">
        <v>169425900</v>
      </c>
      <c r="R24" s="86">
        <v>153286000</v>
      </c>
      <c r="S24" s="86">
        <v>112901600</v>
      </c>
      <c r="T24" s="86">
        <v>103351500</v>
      </c>
      <c r="U24" s="7">
        <f t="shared" si="5"/>
        <v>4612153132</v>
      </c>
      <c r="V24" s="1079">
        <f t="shared" ref="V24:AG24" si="52">V50+V76+V108</f>
        <v>406350526</v>
      </c>
      <c r="W24" s="1079">
        <f t="shared" si="52"/>
        <v>308973763</v>
      </c>
      <c r="X24" s="1079">
        <f t="shared" si="52"/>
        <v>406433871</v>
      </c>
      <c r="Y24" s="1079">
        <f t="shared" si="52"/>
        <v>387180696</v>
      </c>
      <c r="Z24" s="1079">
        <f t="shared" si="52"/>
        <v>374834648</v>
      </c>
      <c r="AA24" s="1079">
        <f t="shared" si="52"/>
        <v>391205447</v>
      </c>
      <c r="AB24" s="1079">
        <f t="shared" si="52"/>
        <v>394973997</v>
      </c>
      <c r="AC24" s="1079">
        <f t="shared" si="52"/>
        <v>344431767</v>
      </c>
      <c r="AD24" s="1079">
        <f t="shared" si="52"/>
        <v>359590472</v>
      </c>
      <c r="AE24" s="1079">
        <f t="shared" si="52"/>
        <v>382660963</v>
      </c>
      <c r="AF24" s="1079">
        <f t="shared" si="52"/>
        <v>379829929</v>
      </c>
      <c r="AG24" s="1079">
        <f t="shared" si="52"/>
        <v>475687053</v>
      </c>
      <c r="AH24" s="1079">
        <f t="shared" si="10"/>
        <v>6333159590</v>
      </c>
      <c r="AI24" s="1079">
        <f t="shared" ref="AI24:AT24" si="53">AI50+AI76+AI108</f>
        <v>545687560</v>
      </c>
      <c r="AJ24" s="1079">
        <f t="shared" si="53"/>
        <v>410170035</v>
      </c>
      <c r="AK24" s="1079">
        <f t="shared" si="53"/>
        <v>452764830</v>
      </c>
      <c r="AL24" s="1079">
        <f t="shared" si="53"/>
        <v>405198655</v>
      </c>
      <c r="AM24" s="1079">
        <f t="shared" si="53"/>
        <v>441943288</v>
      </c>
      <c r="AN24" s="1079">
        <f t="shared" si="53"/>
        <v>468309911</v>
      </c>
      <c r="AO24" s="1079">
        <f t="shared" si="53"/>
        <v>528601713</v>
      </c>
      <c r="AP24" s="1079">
        <f t="shared" si="53"/>
        <v>533419618</v>
      </c>
      <c r="AQ24" s="1079">
        <f t="shared" si="53"/>
        <v>538192057</v>
      </c>
      <c r="AR24" s="1079">
        <f t="shared" si="53"/>
        <v>604914621</v>
      </c>
      <c r="AS24" s="1079">
        <f t="shared" si="53"/>
        <v>638437753</v>
      </c>
      <c r="AT24" s="1079">
        <f t="shared" si="53"/>
        <v>765519549</v>
      </c>
    </row>
    <row r="25" spans="2:48" s="85" customFormat="1">
      <c r="B25" t="s">
        <v>293</v>
      </c>
      <c r="E25" t="s">
        <v>298</v>
      </c>
      <c r="F25" t="str">
        <f t="shared" si="0"/>
        <v>Liability___overhead_cost</v>
      </c>
      <c r="H25" s="85" t="s">
        <v>299</v>
      </c>
      <c r="I25" s="47">
        <f>SUM(I26:I29)</f>
        <v>5988199552.0159168</v>
      </c>
      <c r="J25" s="47">
        <f t="shared" ref="J25:AT25" si="54">SUM(J26:J29)</f>
        <v>6445194026.1131916</v>
      </c>
      <c r="K25" s="47">
        <f t="shared" si="54"/>
        <v>6127473708.24191</v>
      </c>
      <c r="L25" s="47">
        <f t="shared" si="54"/>
        <v>6325370952.4477301</v>
      </c>
      <c r="M25" s="47">
        <f t="shared" si="54"/>
        <v>7042917183.1658592</v>
      </c>
      <c r="N25" s="47">
        <f t="shared" si="54"/>
        <v>7257381747.5587616</v>
      </c>
      <c r="O25" s="47">
        <f t="shared" si="54"/>
        <v>6737281617.1380777</v>
      </c>
      <c r="P25" s="47">
        <f t="shared" si="54"/>
        <v>7139198645.2252502</v>
      </c>
      <c r="Q25" s="47">
        <f t="shared" si="54"/>
        <v>6630556987.5834198</v>
      </c>
      <c r="R25" s="47">
        <f t="shared" si="54"/>
        <v>7011998406.6972847</v>
      </c>
      <c r="S25" s="47">
        <f t="shared" si="54"/>
        <v>7155979750.1781502</v>
      </c>
      <c r="T25" s="47">
        <f t="shared" si="54"/>
        <v>15141506065.968145</v>
      </c>
      <c r="U25" s="47">
        <f t="shared" si="54"/>
        <v>85709420604.949707</v>
      </c>
      <c r="V25" s="47">
        <f t="shared" si="54"/>
        <v>6206269165.1340914</v>
      </c>
      <c r="W25" s="47">
        <f t="shared" si="54"/>
        <v>5679132600.7130213</v>
      </c>
      <c r="X25" s="47">
        <f t="shared" si="54"/>
        <v>6748408839.3938761</v>
      </c>
      <c r="Y25" s="47">
        <f t="shared" si="54"/>
        <v>6806175497.8225336</v>
      </c>
      <c r="Z25" s="47">
        <f t="shared" si="54"/>
        <v>5709798241.8219337</v>
      </c>
      <c r="AA25" s="47">
        <f t="shared" si="54"/>
        <v>6071976274.6711121</v>
      </c>
      <c r="AB25" s="47">
        <f t="shared" si="54"/>
        <v>6159848847.6955566</v>
      </c>
      <c r="AC25" s="47">
        <f t="shared" si="54"/>
        <v>6760225555.8466663</v>
      </c>
      <c r="AD25" s="47">
        <f t="shared" si="54"/>
        <v>6662580715</v>
      </c>
      <c r="AE25" s="47">
        <f t="shared" si="54"/>
        <v>7512632379.7155542</v>
      </c>
      <c r="AF25" s="47">
        <f t="shared" si="54"/>
        <v>6476148572</v>
      </c>
      <c r="AG25" s="47">
        <f t="shared" si="54"/>
        <v>14916223915.135355</v>
      </c>
      <c r="AH25" s="47">
        <f>SUM(AH26:AH29)</f>
        <v>91354181855.646957</v>
      </c>
      <c r="AI25" s="47">
        <f t="shared" si="54"/>
        <v>5483686963.4822226</v>
      </c>
      <c r="AJ25" s="47">
        <f t="shared" si="54"/>
        <v>5937384779.2949276</v>
      </c>
      <c r="AK25" s="47">
        <f t="shared" si="54"/>
        <v>5857301153.5731049</v>
      </c>
      <c r="AL25" s="47">
        <f t="shared" si="54"/>
        <v>6383547848.6055717</v>
      </c>
      <c r="AM25" s="47">
        <f t="shared" si="54"/>
        <v>5986599966.6511116</v>
      </c>
      <c r="AN25" s="47">
        <f t="shared" si="54"/>
        <v>6470696799.9795704</v>
      </c>
      <c r="AO25" s="47">
        <f t="shared" si="54"/>
        <v>9833969548.2328262</v>
      </c>
      <c r="AP25" s="47">
        <f t="shared" si="54"/>
        <v>8496527643.3511305</v>
      </c>
      <c r="AQ25" s="47">
        <f t="shared" si="54"/>
        <v>8334180647.1965075</v>
      </c>
      <c r="AR25" s="47">
        <f t="shared" si="54"/>
        <v>13810800227.158936</v>
      </c>
      <c r="AS25" s="47">
        <f t="shared" si="54"/>
        <v>7730983322.9530048</v>
      </c>
      <c r="AT25" s="47">
        <f t="shared" si="54"/>
        <v>7028502955.1680412</v>
      </c>
    </row>
    <row r="26" spans="2:48" s="85" customFormat="1">
      <c r="B26" t="s">
        <v>293</v>
      </c>
      <c r="E26" t="s">
        <v>300</v>
      </c>
      <c r="F26" t="str">
        <f t="shared" si="0"/>
        <v>Liability___direct_HR</v>
      </c>
      <c r="H26" s="152" t="s">
        <v>301</v>
      </c>
      <c r="I26" s="86">
        <v>2262808079.4738646</v>
      </c>
      <c r="J26" s="86">
        <v>2237805210.938231</v>
      </c>
      <c r="K26" s="86">
        <v>2348662703.2449288</v>
      </c>
      <c r="L26" s="86">
        <v>2406695919.7918911</v>
      </c>
      <c r="M26" s="86">
        <v>2414435964.1636505</v>
      </c>
      <c r="N26" s="86">
        <v>2387175184.8410435</v>
      </c>
      <c r="O26" s="86">
        <v>2320725378.93715</v>
      </c>
      <c r="P26" s="86">
        <v>2659973010.6209183</v>
      </c>
      <c r="Q26" s="86">
        <v>2453795887.9810653</v>
      </c>
      <c r="R26" s="86">
        <v>2203217561.5237384</v>
      </c>
      <c r="S26" s="86">
        <v>2240316806.9198985</v>
      </c>
      <c r="T26" s="86">
        <v>6855772270.1196499</v>
      </c>
      <c r="U26" s="86">
        <f t="shared" ref="U26:U29" si="55">SUM(V26:AG26)</f>
        <v>29509644598</v>
      </c>
      <c r="V26" s="86">
        <v>2566253963</v>
      </c>
      <c r="W26" s="86">
        <v>2698287949</v>
      </c>
      <c r="X26" s="86">
        <v>2588588324</v>
      </c>
      <c r="Y26" s="86">
        <v>2750264033</v>
      </c>
      <c r="Z26" s="86">
        <v>1958159447</v>
      </c>
      <c r="AA26" s="86">
        <v>1937537199</v>
      </c>
      <c r="AB26" s="86">
        <v>2134156668</v>
      </c>
      <c r="AC26" s="86">
        <v>2588617040</v>
      </c>
      <c r="AD26" s="86">
        <v>2432671882</v>
      </c>
      <c r="AE26" s="86">
        <v>2716721181</v>
      </c>
      <c r="AF26" s="86">
        <v>2560701679</v>
      </c>
      <c r="AG26" s="86">
        <v>2577685233</v>
      </c>
      <c r="AH26" s="86">
        <f>SUM(AI26:AT26)</f>
        <v>31693929332.074982</v>
      </c>
      <c r="AI26" s="86">
        <v>2167520716.5</v>
      </c>
      <c r="AJ26" s="86">
        <v>2335408952.8991938</v>
      </c>
      <c r="AK26" s="86">
        <v>2525746500.5928574</v>
      </c>
      <c r="AL26" s="86">
        <v>2372102392.1500001</v>
      </c>
      <c r="AM26" s="86">
        <v>2483128251.8000002</v>
      </c>
      <c r="AN26" s="86">
        <v>2472303405.0750771</v>
      </c>
      <c r="AO26" s="86">
        <v>2485887572.1560602</v>
      </c>
      <c r="AP26" s="86">
        <v>3002421499.4296398</v>
      </c>
      <c r="AQ26" s="86">
        <v>2893541639.8542185</v>
      </c>
      <c r="AR26" s="86">
        <v>2905855977.8717947</v>
      </c>
      <c r="AS26" s="86">
        <v>3054529159.5907574</v>
      </c>
      <c r="AT26" s="86">
        <v>2995483264.1553812</v>
      </c>
    </row>
    <row r="27" spans="2:48" s="85" customFormat="1">
      <c r="B27" t="s">
        <v>293</v>
      </c>
      <c r="E27" t="s">
        <v>302</v>
      </c>
      <c r="F27" t="str">
        <f t="shared" si="0"/>
        <v>Liability___indirect_HR</v>
      </c>
      <c r="H27" s="152" t="s">
        <v>303</v>
      </c>
      <c r="I27" s="86">
        <v>1488757472.5603924</v>
      </c>
      <c r="J27" s="86">
        <v>1478935096.6871827</v>
      </c>
      <c r="K27" s="86">
        <v>1551858481.4370453</v>
      </c>
      <c r="L27" s="86">
        <v>1568810765.6768017</v>
      </c>
      <c r="M27" s="86">
        <v>1566486880.2298889</v>
      </c>
      <c r="N27" s="86">
        <v>2111949043.8248062</v>
      </c>
      <c r="O27" s="86">
        <v>1236373211.5762687</v>
      </c>
      <c r="P27" s="86">
        <v>1468175675.3709979</v>
      </c>
      <c r="Q27" s="86">
        <v>1282020232.7345767</v>
      </c>
      <c r="R27" s="86">
        <v>1439287528.4313245</v>
      </c>
      <c r="S27" s="86">
        <v>1602253282.4415855</v>
      </c>
      <c r="T27" s="86">
        <v>4769934176.4818306</v>
      </c>
      <c r="U27" s="86">
        <f t="shared" si="55"/>
        <v>14308533599</v>
      </c>
      <c r="V27" s="86">
        <v>1134243642</v>
      </c>
      <c r="W27" s="86">
        <v>1176289268</v>
      </c>
      <c r="X27" s="86">
        <v>1230053386</v>
      </c>
      <c r="Y27" s="86">
        <v>1216832174</v>
      </c>
      <c r="Z27" s="86">
        <v>1044242971</v>
      </c>
      <c r="AA27" s="86">
        <v>1044812979</v>
      </c>
      <c r="AB27" s="86">
        <v>1055149297</v>
      </c>
      <c r="AC27" s="86">
        <v>1123319044</v>
      </c>
      <c r="AD27" s="86">
        <v>1106528833</v>
      </c>
      <c r="AE27" s="86">
        <v>1623069121</v>
      </c>
      <c r="AF27" s="86">
        <v>1274822600</v>
      </c>
      <c r="AG27" s="86">
        <v>1279170284</v>
      </c>
      <c r="AH27" s="86">
        <f t="shared" si="10"/>
        <v>24648788182.194023</v>
      </c>
      <c r="AI27" s="86">
        <v>1174943788.96</v>
      </c>
      <c r="AJ27" s="86">
        <v>1104565626.2401786</v>
      </c>
      <c r="AK27" s="86">
        <v>1080370495.6024692</v>
      </c>
      <c r="AL27" s="86">
        <v>1095649801.9400001</v>
      </c>
      <c r="AM27" s="86">
        <v>1125851704.54</v>
      </c>
      <c r="AN27" s="86">
        <v>1134067000.1933808</v>
      </c>
      <c r="AO27" s="86">
        <f>1167874846.43883+3271557197.77127</f>
        <v>4439432044.2101002</v>
      </c>
      <c r="AP27" s="86">
        <v>2443669212.1881571</v>
      </c>
      <c r="AQ27" s="86">
        <v>1798887785.551018</v>
      </c>
      <c r="AR27" s="86">
        <v>6045262610.8204765</v>
      </c>
      <c r="AS27" s="86">
        <v>1849139602.5178022</v>
      </c>
      <c r="AT27" s="86">
        <v>1356948509.4304409</v>
      </c>
    </row>
    <row r="28" spans="2:48" s="85" customFormat="1">
      <c r="B28" t="s">
        <v>293</v>
      </c>
      <c r="E28" t="s">
        <v>304</v>
      </c>
      <c r="F28" t="str">
        <f t="shared" si="0"/>
        <v>Liability___system_cost</v>
      </c>
      <c r="H28" s="152" t="s">
        <v>305</v>
      </c>
      <c r="I28" s="86">
        <v>1214579275.1427476</v>
      </c>
      <c r="J28" s="86">
        <v>1397567477.4101579</v>
      </c>
      <c r="K28" s="86">
        <v>1188567757.3144166</v>
      </c>
      <c r="L28" s="86">
        <v>1193063997.6692383</v>
      </c>
      <c r="M28" s="86">
        <v>1317282429.5310376</v>
      </c>
      <c r="N28" s="86">
        <v>1635789918.6706898</v>
      </c>
      <c r="O28" s="86">
        <v>1750130271.9602125</v>
      </c>
      <c r="P28" s="86">
        <v>1708093962.9866669</v>
      </c>
      <c r="Q28" s="86">
        <v>1617880411.6077783</v>
      </c>
      <c r="R28" s="86">
        <v>1683438274.6422224</v>
      </c>
      <c r="S28" s="86">
        <v>1630675420.1255558</v>
      </c>
      <c r="T28" s="86">
        <v>1820810491.7022223</v>
      </c>
      <c r="U28" s="86">
        <f t="shared" si="55"/>
        <v>18439099690.373825</v>
      </c>
      <c r="V28" s="86">
        <v>1406766249.2119391</v>
      </c>
      <c r="W28" s="86">
        <v>779577697.00365877</v>
      </c>
      <c r="X28" s="86">
        <v>1448807606.0840044</v>
      </c>
      <c r="Y28" s="86">
        <v>1574345170.1942253</v>
      </c>
      <c r="Z28" s="86">
        <v>1447680000</v>
      </c>
      <c r="AA28" s="86">
        <v>1592786892.4066656</v>
      </c>
      <c r="AB28" s="86">
        <v>1558439009.8044457</v>
      </c>
      <c r="AC28" s="86">
        <v>1753539919.9355545</v>
      </c>
      <c r="AD28" s="86">
        <v>1676220000</v>
      </c>
      <c r="AE28" s="86">
        <v>1551020910.5733342</v>
      </c>
      <c r="AF28" s="86">
        <v>1327300000</v>
      </c>
      <c r="AG28" s="86">
        <v>2322616235.1599998</v>
      </c>
      <c r="AH28" s="86">
        <f t="shared" si="10"/>
        <v>18624525547.044449</v>
      </c>
      <c r="AI28" s="86">
        <v>1246966598.3777778</v>
      </c>
      <c r="AJ28" s="86">
        <v>1356083727.6222222</v>
      </c>
      <c r="AK28" s="86">
        <v>1184164388.2444446</v>
      </c>
      <c r="AL28" s="86">
        <v>1468769223.4000001</v>
      </c>
      <c r="AM28" s="86">
        <v>1446028606.4666667</v>
      </c>
      <c r="AN28" s="86">
        <v>1564386542.0444443</v>
      </c>
      <c r="AO28" s="86">
        <f>1459762181.6</f>
        <v>1459762181.5999999</v>
      </c>
      <c r="AP28" s="86">
        <v>1517295580.3333335</v>
      </c>
      <c r="AQ28" s="86">
        <v>1636988292.2</v>
      </c>
      <c r="AR28" s="86">
        <v>1705218665.4666669</v>
      </c>
      <c r="AS28" s="86">
        <v>1425321962.8888888</v>
      </c>
      <c r="AT28" s="86">
        <v>2613539778.4000001</v>
      </c>
    </row>
    <row r="29" spans="2:48" s="85" customFormat="1">
      <c r="B29" t="s">
        <v>293</v>
      </c>
      <c r="E29" t="s">
        <v>306</v>
      </c>
      <c r="F29" t="str">
        <f t="shared" si="0"/>
        <v>Liability___other_support_cost</v>
      </c>
      <c r="H29" s="1091" t="s">
        <v>307</v>
      </c>
      <c r="I29" s="1092">
        <v>1022054724.8389122</v>
      </c>
      <c r="J29" s="1092">
        <v>1330886241.0776196</v>
      </c>
      <c r="K29" s="1092">
        <v>1038384766.2455186</v>
      </c>
      <c r="L29" s="1092">
        <v>1156800269.309799</v>
      </c>
      <c r="M29" s="1092">
        <v>1744711909.2412829</v>
      </c>
      <c r="N29" s="1092">
        <v>1122467600.2222228</v>
      </c>
      <c r="O29" s="1092">
        <v>1430052754.6644468</v>
      </c>
      <c r="P29" s="1092">
        <v>1302955996.2466664</v>
      </c>
      <c r="Q29" s="1092">
        <v>1276860455.2599998</v>
      </c>
      <c r="R29" s="1092">
        <v>1686055042.0999994</v>
      </c>
      <c r="S29" s="1092">
        <v>1682734240.6911108</v>
      </c>
      <c r="T29" s="1092">
        <v>1694989127.6644413</v>
      </c>
      <c r="U29" s="1092">
        <f t="shared" si="55"/>
        <v>23452142717.575874</v>
      </c>
      <c r="V29" s="1092">
        <v>1099005310.9221523</v>
      </c>
      <c r="W29" s="1092">
        <v>1024977686.7093633</v>
      </c>
      <c r="X29" s="1092">
        <v>1480959523.3098719</v>
      </c>
      <c r="Y29" s="1092">
        <v>1264734120.6283081</v>
      </c>
      <c r="Z29" s="1092">
        <v>1259715823.8219335</v>
      </c>
      <c r="AA29" s="1092">
        <v>1496839204.2644458</v>
      </c>
      <c r="AB29" s="1092">
        <v>1412103872.8911116</v>
      </c>
      <c r="AC29" s="1092">
        <v>1294749551.9111116</v>
      </c>
      <c r="AD29" s="1092">
        <v>1447160000</v>
      </c>
      <c r="AE29" s="1092">
        <v>1621821167.1422203</v>
      </c>
      <c r="AF29" s="1092">
        <v>1313324293</v>
      </c>
      <c r="AG29" s="1092">
        <v>8736752162.9753551</v>
      </c>
      <c r="AH29" s="1092">
        <f t="shared" si="10"/>
        <v>16386938794.333506</v>
      </c>
      <c r="AI29" s="1092">
        <v>894255859.6444447</v>
      </c>
      <c r="AJ29" s="1092">
        <v>1141326472.5333326</v>
      </c>
      <c r="AK29" s="1092">
        <v>1067019769.1333334</v>
      </c>
      <c r="AL29" s="1092">
        <v>1447026431.1155722</v>
      </c>
      <c r="AM29" s="1092">
        <v>931591403.84444416</v>
      </c>
      <c r="AN29" s="1092">
        <v>1299939852.6666675</v>
      </c>
      <c r="AO29" s="1092">
        <v>1448887750.2666664</v>
      </c>
      <c r="AP29" s="1092">
        <v>1533141351.4000006</v>
      </c>
      <c r="AQ29" s="1092">
        <v>2004762929.5912716</v>
      </c>
      <c r="AR29" s="1092">
        <v>3154462972.9999962</v>
      </c>
      <c r="AS29" s="1092">
        <v>1401992597.9555571</v>
      </c>
      <c r="AT29" s="1092">
        <v>62531403.182218447</v>
      </c>
    </row>
    <row r="30" spans="2:48" s="85" customFormat="1">
      <c r="B30" t="s">
        <v>293</v>
      </c>
      <c r="E30" t="s">
        <v>308</v>
      </c>
      <c r="F30" t="str">
        <f t="shared" si="0"/>
        <v>Liability___profit_after_overhead</v>
      </c>
      <c r="H30" s="85" t="s">
        <v>309</v>
      </c>
      <c r="I30" s="85">
        <f>I10-I18-I25</f>
        <v>-16372163680.310661</v>
      </c>
      <c r="J30" s="85">
        <f t="shared" ref="J30:AT30" si="56">J10-J18-J25</f>
        <v>2672745986.4757404</v>
      </c>
      <c r="K30" s="85">
        <f t="shared" si="56"/>
        <v>-10403215736.760654</v>
      </c>
      <c r="L30" s="85">
        <f t="shared" si="56"/>
        <v>-11128130901.084568</v>
      </c>
      <c r="M30" s="85">
        <f t="shared" si="56"/>
        <v>-13252208529.844723</v>
      </c>
      <c r="N30" s="85">
        <f t="shared" si="56"/>
        <v>-10989439254.850327</v>
      </c>
      <c r="O30" s="85">
        <f t="shared" si="56"/>
        <v>-12338091063.846203</v>
      </c>
      <c r="P30" s="85">
        <f t="shared" si="56"/>
        <v>-9097507302.9111519</v>
      </c>
      <c r="Q30" s="85">
        <f t="shared" si="56"/>
        <v>-7435894060.0385456</v>
      </c>
      <c r="R30" s="85">
        <f t="shared" si="56"/>
        <v>-6254619418.7921486</v>
      </c>
      <c r="S30" s="85">
        <f t="shared" si="56"/>
        <v>-4468365077.4337101</v>
      </c>
      <c r="T30" s="85">
        <f t="shared" si="56"/>
        <v>-12661387109.723179</v>
      </c>
      <c r="U30" s="85">
        <f t="shared" si="56"/>
        <v>-24494237496.575386</v>
      </c>
      <c r="V30" s="85">
        <f t="shared" si="56"/>
        <v>-3166708541.6072407</v>
      </c>
      <c r="W30" s="85">
        <f t="shared" si="56"/>
        <v>-3189206783.8133316</v>
      </c>
      <c r="X30" s="85">
        <f t="shared" si="56"/>
        <v>162076397.96788216</v>
      </c>
      <c r="Y30" s="85">
        <f t="shared" si="56"/>
        <v>-1884384391.5546322</v>
      </c>
      <c r="Z30" s="85">
        <f t="shared" si="56"/>
        <v>-2388008605.0014277</v>
      </c>
      <c r="AA30" s="85">
        <f t="shared" si="56"/>
        <v>259902703.54536438</v>
      </c>
      <c r="AB30" s="85">
        <f t="shared" si="56"/>
        <v>-2545931138.1584139</v>
      </c>
      <c r="AC30" s="85">
        <f t="shared" si="56"/>
        <v>-2654146910.5979695</v>
      </c>
      <c r="AD30" s="85">
        <f t="shared" si="56"/>
        <v>-3124190630.9973841</v>
      </c>
      <c r="AE30" s="85">
        <f t="shared" si="56"/>
        <v>9162267707.7141228</v>
      </c>
      <c r="AF30" s="85">
        <f t="shared" si="56"/>
        <v>-1955142630.7703247</v>
      </c>
      <c r="AG30" s="85">
        <f t="shared" si="56"/>
        <v>-13170764673.302021</v>
      </c>
      <c r="AH30" s="85">
        <f>AH10-AH18-AH25</f>
        <v>2135054675.3028717</v>
      </c>
      <c r="AI30" s="85">
        <f t="shared" si="56"/>
        <v>-2788812715.4822226</v>
      </c>
      <c r="AJ30" s="85">
        <f t="shared" si="56"/>
        <v>-1453663960.6253366</v>
      </c>
      <c r="AK30" s="85">
        <f t="shared" si="56"/>
        <v>496650312.99132824</v>
      </c>
      <c r="AL30" s="85">
        <f t="shared" si="56"/>
        <v>429431683.59855747</v>
      </c>
      <c r="AM30" s="85">
        <f t="shared" si="56"/>
        <v>247911814.95709133</v>
      </c>
      <c r="AN30" s="85">
        <f t="shared" si="56"/>
        <v>2055734450.9554806</v>
      </c>
      <c r="AO30" s="85">
        <f t="shared" si="56"/>
        <v>-1452441564.1439314</v>
      </c>
      <c r="AP30" s="85">
        <f t="shared" si="56"/>
        <v>223619679.71396351</v>
      </c>
      <c r="AQ30" s="85">
        <f t="shared" si="56"/>
        <v>967509956.21205044</v>
      </c>
      <c r="AR30" s="85">
        <f t="shared" si="56"/>
        <v>-3217468031.2725601</v>
      </c>
      <c r="AS30" s="85">
        <f t="shared" si="56"/>
        <v>1907039553.5966625</v>
      </c>
      <c r="AT30" s="85">
        <f t="shared" si="56"/>
        <v>4719543494.8017921</v>
      </c>
    </row>
    <row r="31" spans="2:48" s="85" customFormat="1">
      <c r="B31"/>
      <c r="E31"/>
      <c r="F31"/>
      <c r="H31" s="1090" t="s">
        <v>236</v>
      </c>
      <c r="I31" s="88">
        <f t="shared" ref="I31:AF31" si="57">I30-I25</f>
        <v>-22360363232.326576</v>
      </c>
      <c r="J31" s="70">
        <f t="shared" si="57"/>
        <v>-3772448039.6374512</v>
      </c>
      <c r="K31" s="70">
        <f t="shared" si="57"/>
        <v>-16530689445.002563</v>
      </c>
      <c r="L31" s="70">
        <f t="shared" si="57"/>
        <v>-17453501853.532299</v>
      </c>
      <c r="M31" s="70">
        <f t="shared" si="57"/>
        <v>-20295125713.010582</v>
      </c>
      <c r="N31" s="70">
        <f t="shared" si="57"/>
        <v>-18246821002.409088</v>
      </c>
      <c r="O31" s="70">
        <f t="shared" si="57"/>
        <v>-19075372680.98428</v>
      </c>
      <c r="P31" s="70">
        <f t="shared" si="57"/>
        <v>-16236705948.136402</v>
      </c>
      <c r="Q31" s="70">
        <f t="shared" si="57"/>
        <v>-14066451047.621965</v>
      </c>
      <c r="R31" s="70">
        <f t="shared" si="57"/>
        <v>-13266617825.489433</v>
      </c>
      <c r="S31" s="70">
        <f t="shared" si="57"/>
        <v>-11624344827.61186</v>
      </c>
      <c r="T31" s="70">
        <f t="shared" si="57"/>
        <v>-27802893175.691322</v>
      </c>
      <c r="U31" s="70">
        <f t="shared" si="57"/>
        <v>-110203658101.52509</v>
      </c>
      <c r="V31" s="70">
        <f t="shared" si="57"/>
        <v>-9372977706.741333</v>
      </c>
      <c r="W31" s="70">
        <f t="shared" si="57"/>
        <v>-8868339384.5263519</v>
      </c>
      <c r="X31" s="70">
        <f t="shared" si="57"/>
        <v>-6586332441.4259939</v>
      </c>
      <c r="Y31" s="70">
        <f t="shared" si="57"/>
        <v>-8690559889.3771667</v>
      </c>
      <c r="Z31" s="70">
        <f t="shared" si="57"/>
        <v>-8097806846.8233614</v>
      </c>
      <c r="AA31" s="70">
        <f t="shared" si="57"/>
        <v>-5812073571.1257477</v>
      </c>
      <c r="AB31" s="70">
        <f t="shared" si="57"/>
        <v>-8705779985.8539696</v>
      </c>
      <c r="AC31" s="70">
        <f t="shared" si="57"/>
        <v>-9414372466.4446354</v>
      </c>
      <c r="AD31" s="70">
        <f t="shared" si="57"/>
        <v>-9786771345.9973831</v>
      </c>
      <c r="AE31" s="70">
        <f t="shared" si="57"/>
        <v>1649635327.9985685</v>
      </c>
      <c r="AF31" s="70">
        <f t="shared" si="57"/>
        <v>-8431291202.7703247</v>
      </c>
      <c r="AG31" s="70">
        <f t="shared" ref="AG31:AT31" si="58">AG30+AG25</f>
        <v>1745459241.833334</v>
      </c>
      <c r="AH31" s="70">
        <f>AH30+AH25</f>
        <v>93489236530.949829</v>
      </c>
      <c r="AI31" s="70">
        <f t="shared" si="58"/>
        <v>2694874248</v>
      </c>
      <c r="AJ31" s="70">
        <f t="shared" si="58"/>
        <v>4483720818.669591</v>
      </c>
      <c r="AK31" s="70">
        <f t="shared" si="58"/>
        <v>6353951466.5644331</v>
      </c>
      <c r="AL31" s="70">
        <f t="shared" si="58"/>
        <v>6812979532.2041292</v>
      </c>
      <c r="AM31" s="70">
        <f t="shared" si="58"/>
        <v>6234511781.6082029</v>
      </c>
      <c r="AN31" s="70">
        <f t="shared" si="58"/>
        <v>8526431250.935051</v>
      </c>
      <c r="AO31" s="70">
        <f>AO30+AO25</f>
        <v>8381527984.0888948</v>
      </c>
      <c r="AP31" s="70">
        <f t="shared" si="58"/>
        <v>8720147323.065094</v>
      </c>
      <c r="AQ31" s="70">
        <f t="shared" si="58"/>
        <v>9301690603.4085579</v>
      </c>
      <c r="AR31" s="70">
        <f t="shared" si="58"/>
        <v>10593332195.886375</v>
      </c>
      <c r="AS31" s="70">
        <f t="shared" si="58"/>
        <v>9638022876.5496674</v>
      </c>
      <c r="AT31" s="70">
        <f t="shared" si="58"/>
        <v>11748046449.969833</v>
      </c>
    </row>
    <row r="32" spans="2:48">
      <c r="B32" t="s">
        <v>293</v>
      </c>
      <c r="F32" t="str">
        <f t="shared" si="0"/>
        <v>Liability___</v>
      </c>
      <c r="H32" s="1078"/>
      <c r="I32" s="85"/>
      <c r="J32" s="1084"/>
      <c r="K32" s="1084"/>
      <c r="L32" s="1084"/>
      <c r="M32" s="1084"/>
      <c r="N32" s="1084"/>
      <c r="O32" s="1084"/>
      <c r="P32" s="1084"/>
      <c r="Q32" s="1084"/>
      <c r="R32" s="1084"/>
      <c r="S32" s="1084"/>
      <c r="T32" s="1084"/>
      <c r="U32" s="1084"/>
      <c r="V32" s="1084"/>
      <c r="W32" s="1084"/>
      <c r="X32" s="1084"/>
      <c r="Y32" s="1084"/>
      <c r="Z32" s="1084"/>
      <c r="AA32" s="1084"/>
      <c r="AB32" s="1084"/>
      <c r="AC32" s="1084"/>
      <c r="AD32" s="1084"/>
      <c r="AE32" s="1084"/>
      <c r="AF32" s="1084"/>
      <c r="AG32" s="1084"/>
      <c r="AH32" s="1084"/>
      <c r="AI32" s="1084"/>
      <c r="AJ32" s="1084"/>
      <c r="AK32" s="1084"/>
      <c r="AL32" s="1084"/>
      <c r="AM32" s="1084"/>
      <c r="AN32" s="1085"/>
      <c r="AO32" s="1084"/>
      <c r="AP32" s="1084"/>
      <c r="AQ32" s="1084"/>
      <c r="AR32" s="1079"/>
      <c r="AS32" s="1079"/>
      <c r="AT32" s="1084"/>
    </row>
    <row r="33" spans="2:46">
      <c r="B33" t="s">
        <v>293</v>
      </c>
      <c r="F33" t="str">
        <f t="shared" si="0"/>
        <v>Liability___</v>
      </c>
      <c r="H33" s="1048" t="s">
        <v>15</v>
      </c>
      <c r="I33" s="1048"/>
      <c r="J33" s="1048"/>
      <c r="K33" s="1048"/>
      <c r="L33" s="1048"/>
      <c r="M33" s="1048"/>
      <c r="N33" s="1048"/>
      <c r="O33" s="1048"/>
      <c r="P33" s="1048"/>
      <c r="Q33" s="1048"/>
      <c r="R33" s="1048"/>
      <c r="S33" s="1048"/>
      <c r="T33" s="1048"/>
      <c r="U33" s="1048"/>
      <c r="V33" s="1048"/>
      <c r="W33" s="1048"/>
      <c r="X33" s="1048"/>
      <c r="Y33" s="1048"/>
      <c r="Z33" s="1048"/>
      <c r="AA33" s="1048"/>
      <c r="AB33" s="1048"/>
      <c r="AC33" s="1048"/>
      <c r="AD33" s="1048"/>
      <c r="AE33" s="1048"/>
      <c r="AF33" s="1048"/>
      <c r="AG33" s="1048"/>
      <c r="AH33" s="1048"/>
      <c r="AI33" s="1048"/>
      <c r="AJ33" s="1048"/>
      <c r="AK33" s="1048"/>
      <c r="AL33" s="1048"/>
      <c r="AM33" s="1048"/>
      <c r="AN33" s="1048"/>
      <c r="AO33" s="1048"/>
      <c r="AP33" s="1048"/>
      <c r="AQ33" s="1048"/>
      <c r="AR33" s="1048"/>
      <c r="AS33" s="1048"/>
      <c r="AT33" s="1048"/>
    </row>
    <row r="34" spans="2:46" s="86" customFormat="1">
      <c r="B34" t="s">
        <v>293</v>
      </c>
      <c r="C34" s="86" t="s">
        <v>15</v>
      </c>
      <c r="E34" t="s">
        <v>243</v>
      </c>
      <c r="F34"/>
      <c r="H34" s="85" t="s">
        <v>82</v>
      </c>
      <c r="I34" s="86">
        <v>197423102770</v>
      </c>
      <c r="J34" s="86">
        <v>188914228745</v>
      </c>
      <c r="K34" s="86">
        <v>197888262022</v>
      </c>
      <c r="L34" s="86">
        <v>218841046794</v>
      </c>
      <c r="M34" s="86">
        <v>240934423809</v>
      </c>
      <c r="N34" s="86">
        <v>250301976510</v>
      </c>
      <c r="O34" s="86">
        <v>265068571435</v>
      </c>
      <c r="P34" s="86">
        <v>290704240185</v>
      </c>
      <c r="Q34" s="86">
        <v>316065471870</v>
      </c>
      <c r="R34" s="86">
        <v>324000420738</v>
      </c>
      <c r="S34" s="86">
        <v>406557998705</v>
      </c>
      <c r="T34" s="86">
        <v>395709966119</v>
      </c>
      <c r="U34" s="86">
        <f>AA34</f>
        <v>410070707486</v>
      </c>
      <c r="V34" s="86">
        <v>368375089171</v>
      </c>
      <c r="W34" s="86">
        <v>354002670845</v>
      </c>
      <c r="X34" s="86">
        <v>398343560938</v>
      </c>
      <c r="Y34" s="86">
        <v>369996993292</v>
      </c>
      <c r="Z34" s="86">
        <v>392306466839</v>
      </c>
      <c r="AA34" s="86">
        <v>410070707486</v>
      </c>
      <c r="AB34" s="86">
        <v>405626811336</v>
      </c>
      <c r="AC34" s="86">
        <v>408884978788</v>
      </c>
      <c r="AD34" s="86">
        <v>454636118919</v>
      </c>
      <c r="AE34" s="86">
        <v>445904896393</v>
      </c>
      <c r="AF34" s="86">
        <v>448848906191</v>
      </c>
      <c r="AG34" s="86">
        <v>482417117434</v>
      </c>
      <c r="AH34" s="86">
        <f>AQ34</f>
        <v>670758296107</v>
      </c>
      <c r="AI34" s="86">
        <v>521720835108</v>
      </c>
      <c r="AJ34" s="86">
        <v>512787270248</v>
      </c>
      <c r="AK34" s="86">
        <v>517953976547</v>
      </c>
      <c r="AL34" s="86">
        <v>544685410406</v>
      </c>
      <c r="AM34" s="86">
        <v>609948237696</v>
      </c>
      <c r="AN34" s="86">
        <v>687999324941</v>
      </c>
      <c r="AO34" s="86">
        <v>711139972757</v>
      </c>
      <c r="AP34" s="86">
        <v>639816291294</v>
      </c>
      <c r="AQ34" s="86">
        <v>670758296107</v>
      </c>
      <c r="AR34" s="86">
        <v>690138888175</v>
      </c>
      <c r="AS34" s="86">
        <v>746426883720</v>
      </c>
      <c r="AT34" s="86">
        <v>935639831322</v>
      </c>
    </row>
    <row r="35" spans="2:46" s="86" customFormat="1">
      <c r="B35" t="s">
        <v>293</v>
      </c>
      <c r="C35" s="86" t="s">
        <v>15</v>
      </c>
      <c r="D35" s="86" t="s">
        <v>310</v>
      </c>
      <c r="E35" s="86" t="s">
        <v>243</v>
      </c>
      <c r="F35" t="str">
        <f t="shared" si="0"/>
        <v>Liability_CASA_CAKE_ENR</v>
      </c>
      <c r="H35" s="86" t="s">
        <v>311</v>
      </c>
      <c r="I35" s="86">
        <f>I34</f>
        <v>197423102770</v>
      </c>
      <c r="J35" s="86">
        <f t="shared" ref="J35:T35" si="59">J34</f>
        <v>188914228745</v>
      </c>
      <c r="K35" s="86">
        <f t="shared" si="59"/>
        <v>197888262022</v>
      </c>
      <c r="L35" s="86">
        <f t="shared" si="59"/>
        <v>218841046794</v>
      </c>
      <c r="M35" s="86">
        <f t="shared" si="59"/>
        <v>240934423809</v>
      </c>
      <c r="N35" s="86">
        <f t="shared" si="59"/>
        <v>250301976510</v>
      </c>
      <c r="O35" s="86">
        <f t="shared" si="59"/>
        <v>265068571435</v>
      </c>
      <c r="P35" s="86">
        <f t="shared" si="59"/>
        <v>290704240185</v>
      </c>
      <c r="Q35" s="86">
        <f t="shared" si="59"/>
        <v>316065471870</v>
      </c>
      <c r="R35" s="86">
        <f t="shared" si="59"/>
        <v>324000420738</v>
      </c>
      <c r="S35" s="86">
        <f t="shared" si="59"/>
        <v>406557998705</v>
      </c>
      <c r="T35" s="86">
        <f t="shared" si="59"/>
        <v>395709966119</v>
      </c>
      <c r="V35" s="86">
        <f t="shared" ref="V35" si="60">V34</f>
        <v>368375089171</v>
      </c>
      <c r="W35" s="86">
        <f t="shared" ref="W35" si="61">W34</f>
        <v>354002670845</v>
      </c>
      <c r="X35" s="86">
        <f t="shared" ref="X35" si="62">X34</f>
        <v>398343560938</v>
      </c>
      <c r="Y35" s="86">
        <f t="shared" ref="Y35" si="63">Y34</f>
        <v>369996993292</v>
      </c>
      <c r="Z35" s="86">
        <f t="shared" ref="Z35" si="64">Z34</f>
        <v>392306466839</v>
      </c>
      <c r="AA35" s="86">
        <f t="shared" ref="AA35" si="65">AA34</f>
        <v>410070707486</v>
      </c>
      <c r="AB35" s="86">
        <f t="shared" ref="AB35" si="66">AB34</f>
        <v>405626811336</v>
      </c>
      <c r="AC35" s="86">
        <f t="shared" ref="AC35" si="67">AC34</f>
        <v>408884978788</v>
      </c>
      <c r="AD35" s="86">
        <f t="shared" ref="AD35" si="68">AD34</f>
        <v>454636118919</v>
      </c>
      <c r="AE35" s="86">
        <f t="shared" ref="AE35" si="69">AE34</f>
        <v>445904896393</v>
      </c>
      <c r="AF35" s="86">
        <f t="shared" ref="AF35" si="70">AF34</f>
        <v>448848906191</v>
      </c>
      <c r="AG35" s="86">
        <f t="shared" ref="AG35" si="71">AG34</f>
        <v>482417117434</v>
      </c>
      <c r="AI35" s="86">
        <f t="shared" ref="AI35:AP35" si="72">AI34-AI36</f>
        <v>521696747836</v>
      </c>
      <c r="AJ35" s="86">
        <f t="shared" si="72"/>
        <v>512768520838</v>
      </c>
      <c r="AK35" s="86">
        <f t="shared" si="72"/>
        <v>517869518947</v>
      </c>
      <c r="AL35" s="86">
        <f t="shared" si="72"/>
        <v>544606177937</v>
      </c>
      <c r="AM35" s="86">
        <f t="shared" si="72"/>
        <v>609124386570</v>
      </c>
      <c r="AN35" s="86">
        <f t="shared" si="72"/>
        <v>686462157951</v>
      </c>
      <c r="AO35" s="86">
        <f t="shared" si="72"/>
        <v>710416288479</v>
      </c>
      <c r="AP35" s="86">
        <f t="shared" si="72"/>
        <v>639176943124</v>
      </c>
      <c r="AQ35" s="86">
        <f>AQ34-AQ36</f>
        <v>669935446265</v>
      </c>
      <c r="AR35" s="86">
        <f>AR34-AR36</f>
        <v>687346144866</v>
      </c>
      <c r="AS35" s="86">
        <f>AS34-AS36</f>
        <v>744207519677</v>
      </c>
      <c r="AT35" s="86">
        <f>AT34-AT36</f>
        <v>934266371357</v>
      </c>
    </row>
    <row r="36" spans="2:46" s="86" customFormat="1">
      <c r="B36" t="s">
        <v>293</v>
      </c>
      <c r="C36" s="86" t="s">
        <v>15</v>
      </c>
      <c r="D36" s="86" t="s">
        <v>312</v>
      </c>
      <c r="E36" s="86" t="s">
        <v>243</v>
      </c>
      <c r="F36" t="str">
        <f t="shared" si="0"/>
        <v>Liability_CASA_VNPOST_ENR</v>
      </c>
      <c r="H36" s="86" t="s">
        <v>313</v>
      </c>
      <c r="AI36" s="7">
        <v>24087272</v>
      </c>
      <c r="AJ36" s="7">
        <v>18749410</v>
      </c>
      <c r="AK36" s="7">
        <v>84457600</v>
      </c>
      <c r="AL36" s="7">
        <v>79232469</v>
      </c>
      <c r="AM36" s="7">
        <v>823851126</v>
      </c>
      <c r="AN36" s="7">
        <v>1537166990</v>
      </c>
      <c r="AO36" s="7">
        <v>723684278</v>
      </c>
      <c r="AP36" s="86">
        <v>639348170</v>
      </c>
      <c r="AQ36" s="86">
        <v>822849842</v>
      </c>
      <c r="AR36" s="86">
        <v>2792743309</v>
      </c>
      <c r="AS36" s="86">
        <v>2219364043</v>
      </c>
      <c r="AT36" s="86">
        <v>1373459965</v>
      </c>
    </row>
    <row r="37" spans="2:46" s="86" customFormat="1">
      <c r="B37"/>
      <c r="F37"/>
      <c r="H37" s="85" t="s">
        <v>314</v>
      </c>
      <c r="AI37" s="47">
        <v>496024087762.64514</v>
      </c>
      <c r="AJ37" s="47">
        <v>506559115037.42859</v>
      </c>
      <c r="AK37" s="47">
        <v>511893428077.48389</v>
      </c>
      <c r="AL37" s="47">
        <v>550642069373.90002</v>
      </c>
      <c r="AM37" s="47">
        <v>583560832293.25806</v>
      </c>
      <c r="AN37" s="47">
        <v>666201753512.6333</v>
      </c>
      <c r="AO37" s="47">
        <v>716351711930.03223</v>
      </c>
      <c r="AP37" s="85">
        <v>681834963408.70972</v>
      </c>
      <c r="AQ37" s="85">
        <v>665587103441.1333</v>
      </c>
      <c r="AR37" s="85">
        <v>685700218653.93445</v>
      </c>
      <c r="AS37" s="85">
        <v>711409234987.6333</v>
      </c>
      <c r="AT37" s="85">
        <v>790725506286.70972</v>
      </c>
    </row>
    <row r="38" spans="2:46" s="86" customFormat="1">
      <c r="B38" t="s">
        <v>293</v>
      </c>
      <c r="C38" s="86" t="s">
        <v>15</v>
      </c>
      <c r="E38" t="s">
        <v>217</v>
      </c>
      <c r="F38" t="str">
        <f t="shared" si="0"/>
        <v>Liability_CASA__TOI</v>
      </c>
      <c r="H38" s="85" t="s">
        <v>217</v>
      </c>
      <c r="I38" s="86">
        <f t="shared" ref="I38:T38" si="73">I39-I40</f>
        <v>723642158</v>
      </c>
      <c r="J38" s="86">
        <f t="shared" si="73"/>
        <v>703952086.89960456</v>
      </c>
      <c r="K38" s="86">
        <f t="shared" si="73"/>
        <v>697301846.60551298</v>
      </c>
      <c r="L38" s="86">
        <f t="shared" si="73"/>
        <v>907165541</v>
      </c>
      <c r="M38" s="86">
        <f t="shared" si="73"/>
        <v>1024025806</v>
      </c>
      <c r="N38" s="86">
        <f t="shared" si="73"/>
        <v>1089765105.9914179</v>
      </c>
      <c r="O38" s="86">
        <f t="shared" si="73"/>
        <v>1073901172.8296716</v>
      </c>
      <c r="P38" s="86">
        <f t="shared" si="73"/>
        <v>1167176552.5162215</v>
      </c>
      <c r="Q38" s="86">
        <f t="shared" si="73"/>
        <v>1261501648.7372057</v>
      </c>
      <c r="R38" s="86">
        <f t="shared" si="73"/>
        <v>1439720347</v>
      </c>
      <c r="S38" s="86">
        <f t="shared" si="73"/>
        <v>1479727394.7117465</v>
      </c>
      <c r="T38" s="86">
        <f t="shared" si="73"/>
        <v>1559993776.1064851</v>
      </c>
      <c r="U38" s="86">
        <f>SUM(V38:AG38)</f>
        <v>18938430850.013634</v>
      </c>
      <c r="V38" s="86">
        <f t="shared" ref="V38:AG38" si="74">V39-V40</f>
        <v>1358822509.5683308</v>
      </c>
      <c r="W38" s="86">
        <f t="shared" si="74"/>
        <v>1269807538.5648642</v>
      </c>
      <c r="X38" s="86">
        <f t="shared" si="74"/>
        <v>1317081821.5341368</v>
      </c>
      <c r="Y38" s="86">
        <f t="shared" si="74"/>
        <v>1245593346.8419952</v>
      </c>
      <c r="Z38" s="86">
        <f t="shared" si="74"/>
        <v>1281031288.3233783</v>
      </c>
      <c r="AA38" s="86">
        <f t="shared" si="74"/>
        <v>1399485561.090169</v>
      </c>
      <c r="AB38" s="85">
        <f t="shared" si="74"/>
        <v>1670611225.2762194</v>
      </c>
      <c r="AC38" s="47">
        <f t="shared" si="74"/>
        <v>1739276335.8910003</v>
      </c>
      <c r="AD38" s="47">
        <f t="shared" si="74"/>
        <v>1770686135.923542</v>
      </c>
      <c r="AE38" s="47">
        <f t="shared" si="74"/>
        <v>1974299412</v>
      </c>
      <c r="AF38" s="47">
        <f t="shared" si="74"/>
        <v>1924317991</v>
      </c>
      <c r="AG38" s="47">
        <f t="shared" si="74"/>
        <v>1987417684</v>
      </c>
      <c r="AH38" s="7">
        <f>AJ38</f>
        <v>1960452299.9700015</v>
      </c>
      <c r="AI38" s="47">
        <f>AI39-AI40</f>
        <v>2191212487</v>
      </c>
      <c r="AJ38" s="47">
        <f t="shared" ref="AJ38:AT38" si="75">AJ39-AJ40</f>
        <v>1960452299.9700015</v>
      </c>
      <c r="AK38" s="47">
        <f t="shared" si="75"/>
        <v>2173887554.4726439</v>
      </c>
      <c r="AL38" s="47">
        <f>AL39-AL40</f>
        <v>2216856154.2649221</v>
      </c>
      <c r="AM38" s="47">
        <f t="shared" si="75"/>
        <v>2417231825.5676064</v>
      </c>
      <c r="AN38" s="47">
        <f t="shared" si="75"/>
        <v>2555300062.052074</v>
      </c>
      <c r="AO38" s="47">
        <f t="shared" si="75"/>
        <v>2968342302.6993036</v>
      </c>
      <c r="AP38" s="47">
        <f t="shared" si="75"/>
        <v>2985469467.0452747</v>
      </c>
      <c r="AQ38" s="47">
        <f t="shared" si="75"/>
        <v>2755023322.5976272</v>
      </c>
      <c r="AR38" s="47">
        <f t="shared" si="75"/>
        <v>2958667781.8010092</v>
      </c>
      <c r="AS38" s="47">
        <f t="shared" si="75"/>
        <v>2989495871.7337222</v>
      </c>
      <c r="AT38" s="47">
        <f t="shared" si="75"/>
        <v>3426814769.1219554</v>
      </c>
    </row>
    <row r="39" spans="2:46" s="86" customFormat="1">
      <c r="B39" t="s">
        <v>293</v>
      </c>
      <c r="C39" s="86" t="s">
        <v>15</v>
      </c>
      <c r="E39" t="s">
        <v>255</v>
      </c>
      <c r="F39" t="str">
        <f t="shared" si="0"/>
        <v>Liability_CASA__CII</v>
      </c>
      <c r="H39" s="1082" t="s">
        <v>20</v>
      </c>
      <c r="I39" s="86">
        <v>829728404</v>
      </c>
      <c r="J39" s="86">
        <v>820626751.89960456</v>
      </c>
      <c r="K39" s="86">
        <v>912517523.60551298</v>
      </c>
      <c r="L39" s="86">
        <v>963817838</v>
      </c>
      <c r="M39" s="86">
        <v>1082011720</v>
      </c>
      <c r="N39" s="86">
        <v>1146245450.9914179</v>
      </c>
      <c r="O39" s="86">
        <v>1135945985.8296716</v>
      </c>
      <c r="P39" s="86">
        <v>1231924397.5162215</v>
      </c>
      <c r="Q39" s="86">
        <v>1327084951.7372057</v>
      </c>
      <c r="R39" s="86">
        <v>1511784136</v>
      </c>
      <c r="S39" s="86">
        <v>1550258747.7117465</v>
      </c>
      <c r="T39" s="86">
        <v>1638188540.1064851</v>
      </c>
      <c r="U39" s="86">
        <f t="shared" ref="U39:U63" si="76">SUM(V39:AG39)</f>
        <v>19654287445.013634</v>
      </c>
      <c r="V39" s="86">
        <v>1442292128.5683308</v>
      </c>
      <c r="W39" s="86">
        <v>1355356860.5648642</v>
      </c>
      <c r="X39" s="86">
        <v>1406382467.5341368</v>
      </c>
      <c r="Y39" s="86">
        <v>1331140288.8419952</v>
      </c>
      <c r="Z39" s="86">
        <v>1371809296.3233783</v>
      </c>
      <c r="AA39" s="86">
        <v>1491678326.090169</v>
      </c>
      <c r="AB39" s="86">
        <v>1702124698.2762194</v>
      </c>
      <c r="AC39" s="86">
        <v>1771006615.8910003</v>
      </c>
      <c r="AD39" s="86">
        <v>1801510008.923542</v>
      </c>
      <c r="AE39" s="86">
        <v>2006103524</v>
      </c>
      <c r="AF39" s="86">
        <v>1956116410</v>
      </c>
      <c r="AG39" s="86">
        <v>2018766820</v>
      </c>
      <c r="AH39" s="86">
        <f>AJ39</f>
        <v>1988790768.9700015</v>
      </c>
      <c r="AI39" s="86">
        <v>2223092407</v>
      </c>
      <c r="AJ39" s="86">
        <v>1988790768.9700015</v>
      </c>
      <c r="AK39" s="86">
        <v>2205432266.4726439</v>
      </c>
      <c r="AL39" s="86">
        <v>2249291465.2649221</v>
      </c>
      <c r="AM39" s="86">
        <v>2453378312.5676064</v>
      </c>
      <c r="AN39" s="86">
        <v>2592338418.052074</v>
      </c>
      <c r="AO39" s="86">
        <v>3026584682.6993036</v>
      </c>
      <c r="AP39" s="86">
        <v>3041835052.0452747</v>
      </c>
      <c r="AQ39" s="86">
        <v>2804910770.5976272</v>
      </c>
      <c r="AR39" s="86">
        <v>3011861767.8010092</v>
      </c>
      <c r="AS39" s="86">
        <v>3040543695.7337222</v>
      </c>
      <c r="AT39" s="86">
        <v>3492190520.1219554</v>
      </c>
    </row>
    <row r="40" spans="2:46" s="86" customFormat="1">
      <c r="B40" t="s">
        <v>293</v>
      </c>
      <c r="C40" s="86" t="s">
        <v>15</v>
      </c>
      <c r="E40" t="s">
        <v>219</v>
      </c>
      <c r="F40" t="str">
        <f t="shared" si="0"/>
        <v>Liability_CASA__COF</v>
      </c>
      <c r="H40" s="1082" t="s">
        <v>294</v>
      </c>
      <c r="I40" s="86">
        <v>106086246</v>
      </c>
      <c r="J40" s="86">
        <v>116674665</v>
      </c>
      <c r="K40" s="86">
        <v>215215677</v>
      </c>
      <c r="L40" s="86">
        <v>56652297</v>
      </c>
      <c r="M40" s="86">
        <v>57985914</v>
      </c>
      <c r="N40" s="86">
        <v>56480345</v>
      </c>
      <c r="O40" s="86">
        <v>62044813</v>
      </c>
      <c r="P40" s="86">
        <v>64747845</v>
      </c>
      <c r="Q40" s="86">
        <v>65583303</v>
      </c>
      <c r="R40" s="86">
        <v>72063789</v>
      </c>
      <c r="S40" s="86">
        <v>70531353</v>
      </c>
      <c r="T40" s="86">
        <v>78194764</v>
      </c>
      <c r="U40" s="86">
        <f>SUM(V40:AG40)</f>
        <v>715856595</v>
      </c>
      <c r="V40" s="86">
        <v>83469619</v>
      </c>
      <c r="W40" s="86">
        <v>85549322</v>
      </c>
      <c r="X40" s="86">
        <v>89300646</v>
      </c>
      <c r="Y40" s="86">
        <v>85546942</v>
      </c>
      <c r="Z40" s="86">
        <v>90778008</v>
      </c>
      <c r="AA40" s="86">
        <v>92192765</v>
      </c>
      <c r="AB40" s="86">
        <v>31513473</v>
      </c>
      <c r="AC40" s="86">
        <v>31730280</v>
      </c>
      <c r="AD40" s="86">
        <v>30823873</v>
      </c>
      <c r="AE40" s="86">
        <v>31804112</v>
      </c>
      <c r="AF40" s="86">
        <v>31798419</v>
      </c>
      <c r="AG40" s="86">
        <v>31349136</v>
      </c>
      <c r="AH40" s="86">
        <f>AJ40</f>
        <v>28338469</v>
      </c>
      <c r="AI40" s="86">
        <v>31879920</v>
      </c>
      <c r="AJ40" s="86">
        <v>28338469</v>
      </c>
      <c r="AK40" s="86">
        <v>31544712</v>
      </c>
      <c r="AL40" s="86">
        <v>32435311</v>
      </c>
      <c r="AM40" s="86">
        <v>36146487</v>
      </c>
      <c r="AN40" s="86">
        <v>37038356</v>
      </c>
      <c r="AO40" s="86">
        <v>58242380</v>
      </c>
      <c r="AP40" s="86">
        <v>56365585</v>
      </c>
      <c r="AQ40" s="86">
        <v>49887448</v>
      </c>
      <c r="AR40" s="86">
        <v>53193986</v>
      </c>
      <c r="AS40" s="86">
        <v>51047824</v>
      </c>
      <c r="AT40" s="86">
        <v>65375751</v>
      </c>
    </row>
    <row r="41" spans="2:46" s="86" customFormat="1">
      <c r="B41" t="s">
        <v>293</v>
      </c>
      <c r="C41" s="86" t="s">
        <v>15</v>
      </c>
      <c r="E41" s="126" t="s">
        <v>271</v>
      </c>
      <c r="F41" t="str">
        <f t="shared" si="0"/>
        <v>Liability_CASA__variable_cost</v>
      </c>
      <c r="H41" s="85" t="s">
        <v>229</v>
      </c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>
        <f>SUM(U42:U44)+SUM(U50:U50)</f>
        <v>13367557291.777777</v>
      </c>
      <c r="V41" s="47">
        <f t="shared" ref="V41:AG41" si="77">SUM(V42:V44)+SUM(V48:V50)</f>
        <v>1423817460</v>
      </c>
      <c r="W41" s="47">
        <f t="shared" si="77"/>
        <v>1089196535</v>
      </c>
      <c r="X41" s="47">
        <f t="shared" si="77"/>
        <v>1177808129</v>
      </c>
      <c r="Y41" s="47">
        <f t="shared" si="77"/>
        <v>977138350</v>
      </c>
      <c r="Z41" s="47">
        <f t="shared" si="77"/>
        <v>960437692.5</v>
      </c>
      <c r="AA41" s="47">
        <f t="shared" si="77"/>
        <v>1169345652.5</v>
      </c>
      <c r="AB41" s="47">
        <f t="shared" si="77"/>
        <v>1260498915.7777781</v>
      </c>
      <c r="AC41" s="47">
        <f t="shared" si="77"/>
        <v>1217548868.4000001</v>
      </c>
      <c r="AD41" s="47">
        <f t="shared" si="77"/>
        <v>1147207471</v>
      </c>
      <c r="AE41" s="47">
        <f t="shared" si="77"/>
        <v>1341138577.2</v>
      </c>
      <c r="AF41" s="47">
        <f t="shared" si="77"/>
        <v>1357487683.4000001</v>
      </c>
      <c r="AG41" s="47">
        <f t="shared" si="77"/>
        <v>1513372957</v>
      </c>
      <c r="AH41" s="47">
        <f t="shared" si="10"/>
        <v>16306493804.222221</v>
      </c>
      <c r="AI41" s="47">
        <f t="shared" ref="AI41:AT41" si="78">SUM(AI42:AI44)+SUM(AI48:AI50)</f>
        <v>1520589503</v>
      </c>
      <c r="AJ41" s="47">
        <f t="shared" si="78"/>
        <v>1189184473.2</v>
      </c>
      <c r="AK41" s="47">
        <f t="shared" si="78"/>
        <v>1260582830.8</v>
      </c>
      <c r="AL41" s="47">
        <f t="shared" si="78"/>
        <v>1872782096.2</v>
      </c>
      <c r="AM41" s="47">
        <f t="shared" si="78"/>
        <v>1405642629.8</v>
      </c>
      <c r="AN41" s="47">
        <f t="shared" si="78"/>
        <v>1173604656</v>
      </c>
      <c r="AO41" s="47">
        <f t="shared" si="78"/>
        <v>1159321685.2</v>
      </c>
      <c r="AP41" s="47">
        <f t="shared" si="78"/>
        <v>1052014200</v>
      </c>
      <c r="AQ41" s="47">
        <f>SUM(AQ42:AQ44)+SUM(AQ48:AQ50)</f>
        <v>1026895964.8</v>
      </c>
      <c r="AR41" s="47">
        <f t="shared" si="78"/>
        <v>1240940995.2222219</v>
      </c>
      <c r="AS41" s="47">
        <f t="shared" si="78"/>
        <v>1639828651</v>
      </c>
      <c r="AT41" s="47">
        <f t="shared" si="78"/>
        <v>1765106119</v>
      </c>
    </row>
    <row r="42" spans="2:46" s="86" customFormat="1">
      <c r="B42" t="s">
        <v>293</v>
      </c>
      <c r="C42" s="86" t="s">
        <v>15</v>
      </c>
      <c r="E42" s="126" t="s">
        <v>272</v>
      </c>
      <c r="F42" t="str">
        <f t="shared" ref="F42:F82" si="79">B42&amp;"_"&amp;C42&amp;"_"&amp;D42&amp;"_"&amp;E42</f>
        <v>Liability_CASA__marketing_acquisition_cost</v>
      </c>
      <c r="H42" s="563" t="s">
        <v>230</v>
      </c>
      <c r="U42" s="86">
        <f t="shared" ref="U42:U51" si="80">SUM(V42:AG42)</f>
        <v>75000000</v>
      </c>
      <c r="AC42" s="86">
        <v>75000000</v>
      </c>
      <c r="AH42" s="86">
        <f t="shared" si="10"/>
        <v>1921396800</v>
      </c>
      <c r="AK42" s="86">
        <v>3000000</v>
      </c>
      <c r="AL42" s="86">
        <v>839096800</v>
      </c>
      <c r="AM42" s="7">
        <v>188100000</v>
      </c>
      <c r="AN42" s="86">
        <v>263100000</v>
      </c>
      <c r="AO42" s="86">
        <v>78100000</v>
      </c>
      <c r="AP42" s="86">
        <v>43000000</v>
      </c>
      <c r="AS42" s="86">
        <v>247000000</v>
      </c>
      <c r="AT42" s="86">
        <v>260000000</v>
      </c>
    </row>
    <row r="43" spans="2:46" s="85" customFormat="1">
      <c r="B43" t="s">
        <v>293</v>
      </c>
      <c r="C43" s="7" t="s">
        <v>15</v>
      </c>
      <c r="E43" s="126" t="s">
        <v>273</v>
      </c>
      <c r="F43" t="str">
        <f>B43&amp;"_"&amp;C43&amp;"_"&amp;D43&amp;"_"&amp;E43</f>
        <v>Liability_CASA__partner_acquisition_cost</v>
      </c>
      <c r="H43" s="563" t="s">
        <v>231</v>
      </c>
      <c r="U43" s="86">
        <f>SUM(V43:AG43)</f>
        <v>0</v>
      </c>
      <c r="AH43" s="85">
        <f>SUM(AI43:AT43)</f>
        <v>0</v>
      </c>
      <c r="AQ43" s="47"/>
    </row>
    <row r="44" spans="2:46" s="85" customFormat="1">
      <c r="B44" t="s">
        <v>293</v>
      </c>
      <c r="C44" s="7" t="s">
        <v>15</v>
      </c>
      <c r="E44" t="s">
        <v>315</v>
      </c>
      <c r="F44" t="str">
        <f t="shared" si="79"/>
        <v>Liability_CASA__eKYC</v>
      </c>
      <c r="H44" s="152" t="s">
        <v>315</v>
      </c>
      <c r="U44" s="86">
        <f t="shared" si="80"/>
        <v>9616571412.7777767</v>
      </c>
      <c r="V44" s="86">
        <v>1175997040</v>
      </c>
      <c r="W44" s="86">
        <v>893414600</v>
      </c>
      <c r="X44" s="86">
        <v>926793042</v>
      </c>
      <c r="Y44" s="86">
        <v>738803748</v>
      </c>
      <c r="Z44" s="86">
        <f t="shared" ref="Z44:AG44" si="81">Z45+Z46+Z47</f>
        <v>687054904.5</v>
      </c>
      <c r="AA44" s="86">
        <f t="shared" si="81"/>
        <v>854322940.5</v>
      </c>
      <c r="AB44" s="86">
        <f t="shared" si="81"/>
        <v>766908650.77777803</v>
      </c>
      <c r="AC44" s="86">
        <f t="shared" si="81"/>
        <v>675264980.39999998</v>
      </c>
      <c r="AD44" s="86">
        <f t="shared" si="81"/>
        <v>713780081</v>
      </c>
      <c r="AE44" s="86">
        <f t="shared" si="81"/>
        <v>772471740.20000005</v>
      </c>
      <c r="AF44" s="86">
        <f t="shared" si="81"/>
        <v>757710790.39999998</v>
      </c>
      <c r="AG44" s="86">
        <f t="shared" si="81"/>
        <v>654048895</v>
      </c>
      <c r="AH44" s="86">
        <f t="shared" si="10"/>
        <v>6168592386.2222223</v>
      </c>
      <c r="AI44" s="86">
        <f>AI45+AI46+AI47</f>
        <v>837000037</v>
      </c>
      <c r="AJ44" s="86">
        <f t="shared" ref="AJ44:AT44" si="82">AJ45+AJ46+AJ47</f>
        <v>726941497.20000005</v>
      </c>
      <c r="AK44" s="86">
        <f t="shared" si="82"/>
        <v>722109060.79999995</v>
      </c>
      <c r="AL44" s="86">
        <f t="shared" si="82"/>
        <v>565766651.20000005</v>
      </c>
      <c r="AM44" s="86">
        <f t="shared" si="82"/>
        <v>391777702.80000001</v>
      </c>
      <c r="AN44" s="86">
        <f t="shared" si="82"/>
        <v>379554142</v>
      </c>
      <c r="AO44" s="86">
        <f t="shared" si="82"/>
        <v>375392899.19999999</v>
      </c>
      <c r="AP44" s="86">
        <f t="shared" si="82"/>
        <v>405786380</v>
      </c>
      <c r="AQ44" s="86">
        <f>AQ45+AQ46+AQ47</f>
        <v>422898889.80000001</v>
      </c>
      <c r="AR44" s="86">
        <f t="shared" si="82"/>
        <v>560595392.22222197</v>
      </c>
      <c r="AS44" s="86">
        <f t="shared" si="82"/>
        <v>441701030</v>
      </c>
      <c r="AT44" s="86">
        <f t="shared" si="82"/>
        <v>339068704</v>
      </c>
    </row>
    <row r="45" spans="2:46" s="85" customFormat="1">
      <c r="B45" t="s">
        <v>293</v>
      </c>
      <c r="C45" s="7" t="s">
        <v>15</v>
      </c>
      <c r="E45"/>
      <c r="F45" t="str">
        <f t="shared" si="79"/>
        <v>Liability_CASA__</v>
      </c>
      <c r="H45" s="329" t="s">
        <v>316</v>
      </c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>
        <f t="shared" si="80"/>
        <v>2246898180</v>
      </c>
      <c r="V45" s="86">
        <f>V44-V46-V47</f>
        <v>729403740</v>
      </c>
      <c r="W45" s="86">
        <v>528000000</v>
      </c>
      <c r="X45" s="86">
        <v>554400000</v>
      </c>
      <c r="Y45" s="86">
        <v>211749648</v>
      </c>
      <c r="Z45" s="86">
        <v>93950736</v>
      </c>
      <c r="AA45" s="86">
        <v>129394056</v>
      </c>
      <c r="AB45" s="86"/>
      <c r="AC45" s="86"/>
      <c r="AD45" s="86"/>
      <c r="AE45" s="86"/>
      <c r="AF45" s="86"/>
      <c r="AG45" s="86"/>
      <c r="AH45" s="86">
        <f t="shared" si="10"/>
        <v>0</v>
      </c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</row>
    <row r="46" spans="2:46" s="85" customFormat="1">
      <c r="B46" t="s">
        <v>293</v>
      </c>
      <c r="C46" s="7" t="s">
        <v>15</v>
      </c>
      <c r="E46"/>
      <c r="F46" t="str">
        <f t="shared" si="79"/>
        <v>Liability_CASA__</v>
      </c>
      <c r="H46" s="329" t="s">
        <v>317</v>
      </c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>
        <f t="shared" si="80"/>
        <v>3637637407</v>
      </c>
      <c r="V46" s="86">
        <v>170510800</v>
      </c>
      <c r="W46" s="86">
        <v>101750000</v>
      </c>
      <c r="X46" s="86">
        <v>172507542</v>
      </c>
      <c r="Y46" s="86">
        <v>330000000</v>
      </c>
      <c r="Z46" s="86">
        <v>330302733</v>
      </c>
      <c r="AA46" s="86">
        <f>333.333333*10^6</f>
        <v>333333333</v>
      </c>
      <c r="AB46" s="86">
        <f>333.333333*10^6</f>
        <v>333333333</v>
      </c>
      <c r="AC46" s="86">
        <f>303.333*10^6</f>
        <v>303333000</v>
      </c>
      <c r="AD46" s="86">
        <f>333.333333*10^6</f>
        <v>333333333</v>
      </c>
      <c r="AE46" s="86">
        <v>423333333</v>
      </c>
      <c r="AF46" s="86">
        <v>415900000</v>
      </c>
      <c r="AG46" s="86">
        <v>390000000</v>
      </c>
      <c r="AH46" s="86">
        <f t="shared" si="10"/>
        <v>1362945750</v>
      </c>
      <c r="AI46" s="86">
        <v>390000000</v>
      </c>
      <c r="AJ46" s="86">
        <v>390000000</v>
      </c>
      <c r="AK46" s="86">
        <v>390000000</v>
      </c>
      <c r="AL46" s="86">
        <v>192945750</v>
      </c>
      <c r="AM46" s="86"/>
      <c r="AN46" s="86"/>
      <c r="AO46" s="86"/>
      <c r="AP46" s="86"/>
      <c r="AQ46" s="86"/>
      <c r="AR46" s="86"/>
      <c r="AS46" s="86"/>
      <c r="AT46" s="86"/>
    </row>
    <row r="47" spans="2:46" s="85" customFormat="1">
      <c r="B47" t="s">
        <v>293</v>
      </c>
      <c r="C47" s="7" t="s">
        <v>15</v>
      </c>
      <c r="E47"/>
      <c r="F47" t="str">
        <f t="shared" si="79"/>
        <v>Liability_CASA__</v>
      </c>
      <c r="H47" s="329" t="s">
        <v>318</v>
      </c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>
        <f t="shared" si="80"/>
        <v>3730292444.7777781</v>
      </c>
      <c r="V47" s="86">
        <v>276082500</v>
      </c>
      <c r="W47" s="86">
        <v>263664600.00000003</v>
      </c>
      <c r="X47" s="86">
        <v>199125333</v>
      </c>
      <c r="Y47" s="86">
        <v>196070886</v>
      </c>
      <c r="Z47" s="86">
        <v>262801435.5</v>
      </c>
      <c r="AA47" s="86">
        <v>391595551.5</v>
      </c>
      <c r="AB47" s="86">
        <v>433575317.77777803</v>
      </c>
      <c r="AC47" s="86">
        <v>371931980.39999998</v>
      </c>
      <c r="AD47" s="86">
        <v>380446748</v>
      </c>
      <c r="AE47" s="86">
        <v>349138407.19999999</v>
      </c>
      <c r="AF47" s="86">
        <v>341810790.39999998</v>
      </c>
      <c r="AG47" s="86">
        <f>178583031+85465864</f>
        <v>264048895</v>
      </c>
      <c r="AH47" s="86">
        <f t="shared" si="10"/>
        <v>4805646636.2222214</v>
      </c>
      <c r="AI47" s="86">
        <v>447000037</v>
      </c>
      <c r="AJ47" s="86">
        <v>336941497.19999999</v>
      </c>
      <c r="AK47" s="7">
        <v>332109060.80000001</v>
      </c>
      <c r="AL47" s="86">
        <v>372820901.19999999</v>
      </c>
      <c r="AM47" s="86">
        <v>391777702.80000001</v>
      </c>
      <c r="AN47" s="86">
        <v>379554142</v>
      </c>
      <c r="AO47" s="86">
        <v>375392899.19999999</v>
      </c>
      <c r="AP47" s="86">
        <v>405786380</v>
      </c>
      <c r="AQ47" s="86">
        <v>422898889.80000001</v>
      </c>
      <c r="AR47" s="86">
        <v>560595392.22222197</v>
      </c>
      <c r="AS47" s="86">
        <v>441701030</v>
      </c>
      <c r="AT47" s="86">
        <v>339068704</v>
      </c>
    </row>
    <row r="48" spans="2:46" s="85" customFormat="1">
      <c r="B48" t="s">
        <v>293</v>
      </c>
      <c r="C48" s="7" t="s">
        <v>15</v>
      </c>
      <c r="E48" s="126" t="s">
        <v>276</v>
      </c>
      <c r="F48" t="str">
        <f>B48&amp;"_"&amp;C48&amp;"_"&amp;D48&amp;"_"&amp;E48</f>
        <v>Liability_CASA__nfc</v>
      </c>
      <c r="H48" s="1082" t="s">
        <v>152</v>
      </c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>
        <v>576000</v>
      </c>
      <c r="AB48" s="86">
        <v>130191000</v>
      </c>
      <c r="AC48" s="86">
        <v>147570000</v>
      </c>
      <c r="AD48" s="86">
        <v>109353000</v>
      </c>
      <c r="AE48" s="86">
        <v>216366000</v>
      </c>
      <c r="AF48" s="7">
        <f>82795*3000</f>
        <v>248385000</v>
      </c>
      <c r="AG48" s="86">
        <v>255000000</v>
      </c>
      <c r="AH48" s="86">
        <f>SUM(AI48:AT48)</f>
        <v>1929740150</v>
      </c>
      <c r="AI48" s="86">
        <v>124941599.99999999</v>
      </c>
      <c r="AJ48" s="86">
        <v>78154650</v>
      </c>
      <c r="AK48" s="86">
        <v>116049150</v>
      </c>
      <c r="AL48" s="86">
        <v>96493950</v>
      </c>
      <c r="AM48" s="86">
        <v>96654600</v>
      </c>
      <c r="AN48" s="86">
        <v>104784750</v>
      </c>
      <c r="AO48" s="86">
        <v>118643699.99999999</v>
      </c>
      <c r="AP48" s="86">
        <v>113900150</v>
      </c>
      <c r="AQ48" s="86">
        <v>112390950</v>
      </c>
      <c r="AR48" s="86">
        <v>128985149.99999999</v>
      </c>
      <c r="AS48" s="86">
        <v>368109000</v>
      </c>
      <c r="AT48" s="86">
        <v>470632500</v>
      </c>
    </row>
    <row r="49" spans="2:47" s="86" customFormat="1">
      <c r="B49" t="s">
        <v>293</v>
      </c>
      <c r="C49" s="86" t="s">
        <v>15</v>
      </c>
      <c r="E49" s="126" t="s">
        <v>278</v>
      </c>
      <c r="F49" t="str">
        <f>B49&amp;"_"&amp;C49&amp;"_"&amp;D49&amp;"_"&amp;E49</f>
        <v>Liability_CASA__promotion</v>
      </c>
      <c r="H49" s="1082" t="s">
        <v>319</v>
      </c>
      <c r="U49" s="86">
        <f>SUM(V49:AG49)</f>
        <v>160000000</v>
      </c>
      <c r="AG49" s="86">
        <v>160000000</v>
      </c>
      <c r="AH49" s="86">
        <f>SUM(AI49:AT49)</f>
        <v>465320000</v>
      </c>
      <c r="AI49" s="86">
        <v>40000000</v>
      </c>
      <c r="AM49" s="86">
        <v>325320000</v>
      </c>
      <c r="AO49" s="86">
        <v>100000000</v>
      </c>
    </row>
    <row r="50" spans="2:47" s="86" customFormat="1">
      <c r="B50" t="s">
        <v>293</v>
      </c>
      <c r="C50" s="86" t="s">
        <v>15</v>
      </c>
      <c r="E50" s="126" t="s">
        <v>279</v>
      </c>
      <c r="F50" t="str">
        <f t="shared" si="79"/>
        <v>Liability_CASA__sms</v>
      </c>
      <c r="H50" s="1101" t="s">
        <v>163</v>
      </c>
      <c r="I50" s="1092"/>
      <c r="J50" s="1092"/>
      <c r="K50" s="1092"/>
      <c r="L50" s="1092"/>
      <c r="M50" s="1092"/>
      <c r="N50" s="1092"/>
      <c r="O50" s="1092"/>
      <c r="P50" s="1092"/>
      <c r="Q50" s="1092"/>
      <c r="R50" s="1092"/>
      <c r="S50" s="1092"/>
      <c r="T50" s="1092"/>
      <c r="U50" s="1092">
        <f t="shared" si="80"/>
        <v>3675985879</v>
      </c>
      <c r="V50" s="1094">
        <v>247820420</v>
      </c>
      <c r="W50" s="1094">
        <v>195781935</v>
      </c>
      <c r="X50" s="1094">
        <v>251015087</v>
      </c>
      <c r="Y50" s="1094">
        <v>238334602</v>
      </c>
      <c r="Z50" s="1094">
        <v>273382788</v>
      </c>
      <c r="AA50" s="1094">
        <v>314446712</v>
      </c>
      <c r="AB50" s="1092">
        <v>363399265</v>
      </c>
      <c r="AC50" s="1092">
        <v>319713888</v>
      </c>
      <c r="AD50" s="1092">
        <v>324074390</v>
      </c>
      <c r="AE50" s="1092">
        <v>352300837</v>
      </c>
      <c r="AF50" s="1092">
        <v>351391893</v>
      </c>
      <c r="AG50" s="1092">
        <v>444324062</v>
      </c>
      <c r="AH50" s="1092">
        <f t="shared" si="10"/>
        <v>5821444468</v>
      </c>
      <c r="AI50" s="1092">
        <v>518647866</v>
      </c>
      <c r="AJ50" s="1092">
        <v>384088326</v>
      </c>
      <c r="AK50" s="1092">
        <v>419424620</v>
      </c>
      <c r="AL50" s="1092">
        <v>371424695</v>
      </c>
      <c r="AM50" s="1092">
        <v>403790327</v>
      </c>
      <c r="AN50" s="1092">
        <v>426165764</v>
      </c>
      <c r="AO50" s="1092">
        <v>487185086</v>
      </c>
      <c r="AP50" s="1092">
        <v>489327670</v>
      </c>
      <c r="AQ50" s="1092">
        <v>491606125</v>
      </c>
      <c r="AR50" s="1092">
        <v>551360453</v>
      </c>
      <c r="AS50" s="1092">
        <v>583018621</v>
      </c>
      <c r="AT50" s="1092">
        <v>695404915</v>
      </c>
    </row>
    <row r="51" spans="2:47" s="86" customFormat="1">
      <c r="B51" t="s">
        <v>293</v>
      </c>
      <c r="C51" s="86" t="s">
        <v>15</v>
      </c>
      <c r="E51" s="126" t="s">
        <v>280</v>
      </c>
      <c r="F51" t="str">
        <f t="shared" si="79"/>
        <v>Liability_CASA__profit_before_overhead</v>
      </c>
      <c r="H51" s="85" t="s">
        <v>236</v>
      </c>
      <c r="U51" s="86">
        <f t="shared" si="80"/>
        <v>4303432558.235857</v>
      </c>
      <c r="V51" s="86">
        <f t="shared" ref="V51:AG51" si="83">V38-V41</f>
        <v>-64994950.431669235</v>
      </c>
      <c r="W51" s="86">
        <f t="shared" si="83"/>
        <v>180611003.56486416</v>
      </c>
      <c r="X51" s="86">
        <f t="shared" si="83"/>
        <v>139273692.53413677</v>
      </c>
      <c r="Y51" s="86">
        <f t="shared" si="83"/>
        <v>268454996.84199524</v>
      </c>
      <c r="Z51" s="86">
        <f t="shared" si="83"/>
        <v>320593595.82337832</v>
      </c>
      <c r="AA51" s="86">
        <f t="shared" si="83"/>
        <v>230139908.59016895</v>
      </c>
      <c r="AB51" s="86">
        <f t="shared" si="83"/>
        <v>410112309.49844122</v>
      </c>
      <c r="AC51" s="86">
        <f t="shared" si="83"/>
        <v>521727467.49100018</v>
      </c>
      <c r="AD51" s="86">
        <f t="shared" si="83"/>
        <v>623478664.92354202</v>
      </c>
      <c r="AE51" s="86">
        <f t="shared" si="83"/>
        <v>633160834.79999995</v>
      </c>
      <c r="AF51" s="86">
        <f t="shared" si="83"/>
        <v>566830307.5999999</v>
      </c>
      <c r="AG51" s="86">
        <f t="shared" si="83"/>
        <v>474044727</v>
      </c>
      <c r="AH51" s="86">
        <f t="shared" si="10"/>
        <v>15292260094.103918</v>
      </c>
      <c r="AI51" s="86">
        <f t="shared" ref="AI51:AT51" si="84">AI38-AI41</f>
        <v>670622984</v>
      </c>
      <c r="AJ51" s="86">
        <f t="shared" si="84"/>
        <v>771267826.77000141</v>
      </c>
      <c r="AK51" s="86">
        <f t="shared" si="84"/>
        <v>913304723.6726439</v>
      </c>
      <c r="AL51" s="86">
        <f t="shared" si="84"/>
        <v>344074058.06492209</v>
      </c>
      <c r="AM51" s="86">
        <f t="shared" si="84"/>
        <v>1011589195.7676065</v>
      </c>
      <c r="AN51" s="86">
        <f t="shared" si="84"/>
        <v>1381695406.052074</v>
      </c>
      <c r="AO51" s="86">
        <f t="shared" si="84"/>
        <v>1809020617.4993036</v>
      </c>
      <c r="AP51" s="86">
        <f t="shared" si="84"/>
        <v>1933455267.0452747</v>
      </c>
      <c r="AQ51" s="86">
        <f t="shared" si="84"/>
        <v>1728127357.7976272</v>
      </c>
      <c r="AR51" s="86">
        <f t="shared" si="84"/>
        <v>1717726786.5787873</v>
      </c>
      <c r="AS51" s="86">
        <f t="shared" si="84"/>
        <v>1349667220.7337222</v>
      </c>
      <c r="AT51" s="86">
        <f t="shared" si="84"/>
        <v>1661708650.1219554</v>
      </c>
    </row>
    <row r="52" spans="2:47" s="86" customFormat="1">
      <c r="B52" t="s">
        <v>293</v>
      </c>
      <c r="C52" s="86" t="s">
        <v>15</v>
      </c>
      <c r="E52" t="s">
        <v>320</v>
      </c>
      <c r="F52" t="str">
        <f t="shared" si="79"/>
        <v>Liability_CASA__NIM</v>
      </c>
      <c r="H52" s="86" t="s">
        <v>321</v>
      </c>
      <c r="I52" s="87" t="e">
        <f>I38/((#REF!+I34)/2)*12</f>
        <v>#REF!</v>
      </c>
      <c r="J52" s="87">
        <f t="shared" ref="J52:T52" si="85">J38/((I34+J34)/2)*12</f>
        <v>4.373082461210339E-2</v>
      </c>
      <c r="K52" s="87">
        <f t="shared" si="85"/>
        <v>4.3265606396038436E-2</v>
      </c>
      <c r="L52" s="87">
        <f t="shared" si="85"/>
        <v>5.2244880605729266E-2</v>
      </c>
      <c r="M52" s="87">
        <f t="shared" si="85"/>
        <v>5.3453524416532103E-2</v>
      </c>
      <c r="N52" s="87">
        <f t="shared" si="85"/>
        <v>5.3241906598961039E-2</v>
      </c>
      <c r="O52" s="87">
        <f t="shared" si="85"/>
        <v>5.0009897249042375E-2</v>
      </c>
      <c r="P52" s="87">
        <f t="shared" si="85"/>
        <v>5.0402316692566451E-2</v>
      </c>
      <c r="Q52" s="87">
        <f t="shared" si="85"/>
        <v>4.9897084459200228E-2</v>
      </c>
      <c r="R52" s="87">
        <f t="shared" si="85"/>
        <v>5.3983954975650783E-2</v>
      </c>
      <c r="S52" s="87">
        <f t="shared" si="85"/>
        <v>4.8611386205306431E-2</v>
      </c>
      <c r="T52" s="87">
        <f t="shared" si="85"/>
        <v>4.6667512935991563E-2</v>
      </c>
      <c r="U52" s="87">
        <f>X52</f>
        <v>4.2015181815832602E-2</v>
      </c>
      <c r="V52" s="87">
        <f>V38/((T34+V34)/2)*12</f>
        <v>4.2680772256777764E-2</v>
      </c>
      <c r="W52" s="87">
        <f t="shared" ref="W52:AG52" si="86">W38/((V34+W34)/2)*12</f>
        <v>4.2187595759982613E-2</v>
      </c>
      <c r="X52" s="87">
        <f t="shared" si="86"/>
        <v>4.2015181815832602E-2</v>
      </c>
      <c r="Y52" s="87">
        <f t="shared" si="86"/>
        <v>3.8907539319158663E-2</v>
      </c>
      <c r="Z52" s="87">
        <f t="shared" si="86"/>
        <v>4.0331380516727119E-2</v>
      </c>
      <c r="AA52" s="87">
        <f t="shared" si="86"/>
        <v>4.1860180649355684E-2</v>
      </c>
      <c r="AB52" s="87">
        <f t="shared" si="86"/>
        <v>4.9153844999470508E-2</v>
      </c>
      <c r="AC52" s="87">
        <f t="shared" si="86"/>
        <v>5.1248652956919355E-2</v>
      </c>
      <c r="AD52" s="87">
        <f t="shared" si="86"/>
        <v>4.921300403083425E-2</v>
      </c>
      <c r="AE52" s="87">
        <f t="shared" si="86"/>
        <v>5.2616355149114113E-2</v>
      </c>
      <c r="AF52" s="87">
        <f t="shared" si="86"/>
        <v>5.1616021804684373E-2</v>
      </c>
      <c r="AG52" s="87">
        <f t="shared" si="86"/>
        <v>5.121847378296164E-2</v>
      </c>
      <c r="AH52" s="87">
        <f>AI52</f>
        <v>5.201311904821488E-2</v>
      </c>
      <c r="AI52" s="87">
        <f>AI38/AI37/31*365</f>
        <v>5.201311904821488E-2</v>
      </c>
      <c r="AJ52" s="87">
        <f>AJ38/AJ37/28*365</f>
        <v>5.0449977691729229E-2</v>
      </c>
      <c r="AK52" s="87">
        <f>AK38/AK37/31*365</f>
        <v>5.0002151648871042E-2</v>
      </c>
      <c r="AL52" s="87">
        <f>AL38/AL37/30*365</f>
        <v>4.8982363275580719E-2</v>
      </c>
      <c r="AM52" s="87">
        <f>AM38/AM37/31*365</f>
        <v>4.8771188521527661E-2</v>
      </c>
      <c r="AN52" s="87">
        <f>AN38/AN37/30*365</f>
        <v>4.666677012538166E-2</v>
      </c>
      <c r="AO52" s="87">
        <f>AO38/AO37/31*365</f>
        <v>4.8788655359925027E-2</v>
      </c>
      <c r="AP52" s="87">
        <f>AP38/AP37/31*365</f>
        <v>5.1554257590513741E-2</v>
      </c>
      <c r="AQ52" s="87">
        <f>AQ38/AQ37/30*365</f>
        <v>5.0360727020760797E-2</v>
      </c>
      <c r="AR52" s="87">
        <f>AR38/AR37/31*365</f>
        <v>5.0803435904814141E-2</v>
      </c>
      <c r="AS52" s="87">
        <f>AS38/AS37/30*365</f>
        <v>5.1126971627508552E-2</v>
      </c>
      <c r="AT52" s="87">
        <f>AT38/AT37/31*365</f>
        <v>5.1026531995394545E-2</v>
      </c>
    </row>
    <row r="53" spans="2:47" s="86" customFormat="1">
      <c r="B53" t="s">
        <v>293</v>
      </c>
      <c r="C53" s="86" t="s">
        <v>15</v>
      </c>
      <c r="E53"/>
      <c r="F53" t="str">
        <f t="shared" si="79"/>
        <v>Liability_CASA__</v>
      </c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>
        <f t="shared" si="10"/>
        <v>0</v>
      </c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</row>
    <row r="54" spans="2:47" s="86" customFormat="1">
      <c r="B54" t="s">
        <v>293</v>
      </c>
      <c r="E54"/>
      <c r="F54" t="str">
        <f t="shared" si="79"/>
        <v>Liability___</v>
      </c>
      <c r="H54" s="1048" t="s">
        <v>322</v>
      </c>
      <c r="I54" s="1048"/>
      <c r="J54" s="1048"/>
      <c r="K54" s="1048"/>
      <c r="L54" s="1048"/>
      <c r="M54" s="1048"/>
      <c r="N54" s="1048"/>
      <c r="O54" s="1048"/>
      <c r="P54" s="1048"/>
      <c r="Q54" s="1048"/>
      <c r="R54" s="1048"/>
      <c r="S54" s="1048"/>
      <c r="T54" s="1048"/>
      <c r="U54" s="1048"/>
      <c r="V54" s="1048"/>
      <c r="W54" s="1048"/>
      <c r="X54" s="1048"/>
      <c r="Y54" s="1048"/>
      <c r="Z54" s="1048"/>
      <c r="AA54" s="1048"/>
      <c r="AB54" s="1048"/>
      <c r="AC54" s="1048"/>
      <c r="AD54" s="1048"/>
      <c r="AE54" s="1048"/>
      <c r="AF54" s="1048"/>
      <c r="AG54" s="1048"/>
      <c r="AH54" s="1048"/>
      <c r="AI54" s="1048"/>
      <c r="AJ54" s="1048"/>
      <c r="AK54" s="1048"/>
      <c r="AL54" s="1048"/>
      <c r="AM54" s="1048"/>
      <c r="AN54" s="1048"/>
      <c r="AO54" s="1048"/>
      <c r="AP54" s="1048"/>
      <c r="AQ54" s="1048"/>
      <c r="AR54" s="1048"/>
      <c r="AS54" s="1048"/>
      <c r="AT54" s="1048"/>
    </row>
    <row r="55" spans="2:47" s="86" customFormat="1">
      <c r="B55" t="s">
        <v>293</v>
      </c>
      <c r="C55" s="86" t="s">
        <v>124</v>
      </c>
      <c r="E55"/>
      <c r="F55" t="str">
        <f t="shared" si="79"/>
        <v>Liability_TD__</v>
      </c>
      <c r="H55" s="85" t="s">
        <v>323</v>
      </c>
      <c r="I55" s="85">
        <v>2024323034910</v>
      </c>
      <c r="J55" s="85">
        <v>2338129992353</v>
      </c>
      <c r="K55" s="85">
        <v>2631723229598</v>
      </c>
      <c r="L55" s="85">
        <v>2891833015388</v>
      </c>
      <c r="M55" s="85">
        <v>3230742387001</v>
      </c>
      <c r="N55" s="85">
        <v>3703283456353</v>
      </c>
      <c r="O55" s="85">
        <v>4083540630917</v>
      </c>
      <c r="P55" s="85">
        <v>4399767973898</v>
      </c>
      <c r="Q55" s="85">
        <v>4619497294986</v>
      </c>
      <c r="R55" s="85">
        <v>4854032130151</v>
      </c>
      <c r="S55" s="85">
        <v>4997593552966</v>
      </c>
      <c r="T55" s="85">
        <f>T56+T57+T58</f>
        <v>5277922587368</v>
      </c>
      <c r="U55" s="85">
        <f>AA55</f>
        <v>6889885539442</v>
      </c>
      <c r="V55" s="85">
        <v>5617099819292</v>
      </c>
      <c r="W55" s="85">
        <v>6294793508906</v>
      </c>
      <c r="X55" s="85">
        <v>6207170445720</v>
      </c>
      <c r="Y55" s="85">
        <v>6255954333819</v>
      </c>
      <c r="Z55" s="85">
        <v>6650959964111</v>
      </c>
      <c r="AA55" s="85">
        <v>6889885539442</v>
      </c>
      <c r="AB55" s="85">
        <v>7015290734568</v>
      </c>
      <c r="AC55" s="85">
        <v>7252030153358</v>
      </c>
      <c r="AD55" s="85">
        <v>7540532625641</v>
      </c>
      <c r="AE55" s="85">
        <v>7828139478832</v>
      </c>
      <c r="AF55" s="85">
        <v>7853653298452</v>
      </c>
      <c r="AG55" s="85">
        <v>7998312973765</v>
      </c>
      <c r="AH55" s="85">
        <f t="shared" ref="AH55:AH60" si="87">AQ55</f>
        <v>12892589194530</v>
      </c>
      <c r="AI55" s="85">
        <v>8675621458054</v>
      </c>
      <c r="AJ55" s="85">
        <v>9439054114033</v>
      </c>
      <c r="AK55" s="85">
        <v>10014670366757</v>
      </c>
      <c r="AL55" s="85">
        <v>10591283424793</v>
      </c>
      <c r="AM55" s="85">
        <v>11240366997378</v>
      </c>
      <c r="AN55" s="85">
        <v>11699486245044</v>
      </c>
      <c r="AO55" s="85">
        <v>12155843883076</v>
      </c>
      <c r="AP55" s="85">
        <v>12621928222905</v>
      </c>
      <c r="AQ55" s="85">
        <v>12892589194530</v>
      </c>
      <c r="AR55" s="85">
        <v>13055247510395</v>
      </c>
      <c r="AS55" s="85">
        <v>13454404622736</v>
      </c>
      <c r="AT55" s="85">
        <v>14186494403815</v>
      </c>
    </row>
    <row r="56" spans="2:47" s="86" customFormat="1">
      <c r="B56" t="s">
        <v>293</v>
      </c>
      <c r="C56" s="86" t="s">
        <v>124</v>
      </c>
      <c r="D56" s="86" t="s">
        <v>310</v>
      </c>
      <c r="E56" t="s">
        <v>243</v>
      </c>
      <c r="F56" t="str">
        <f t="shared" si="79"/>
        <v>Liability_TD_CAKE_ENR</v>
      </c>
      <c r="H56" s="152" t="s">
        <v>324</v>
      </c>
      <c r="I56" s="86">
        <f t="shared" ref="I56:S56" si="88">I55-I57-I58</f>
        <v>1639917756863</v>
      </c>
      <c r="J56" s="86">
        <f t="shared" si="88"/>
        <v>1872824770292</v>
      </c>
      <c r="K56" s="86">
        <f t="shared" si="88"/>
        <v>2104862858947</v>
      </c>
      <c r="L56" s="86">
        <f t="shared" si="88"/>
        <v>2257843879256</v>
      </c>
      <c r="M56" s="86">
        <f t="shared" si="88"/>
        <v>2481402666424</v>
      </c>
      <c r="N56" s="86">
        <f t="shared" si="88"/>
        <v>2782417141920</v>
      </c>
      <c r="O56" s="86">
        <f t="shared" si="88"/>
        <v>3000011174825</v>
      </c>
      <c r="P56" s="86">
        <f t="shared" si="88"/>
        <v>3176471452338</v>
      </c>
      <c r="Q56" s="86">
        <f t="shared" si="88"/>
        <v>3325752231345</v>
      </c>
      <c r="R56" s="86">
        <f t="shared" si="88"/>
        <v>3485333760449</v>
      </c>
      <c r="S56" s="86">
        <f t="shared" si="88"/>
        <v>3612141397131</v>
      </c>
      <c r="T56" s="86">
        <f>5277922587368-T57-T58</f>
        <v>3825787098395</v>
      </c>
      <c r="U56" s="85">
        <f t="shared" ref="U56:U58" si="89">AA56</f>
        <v>5075498745161</v>
      </c>
      <c r="V56" s="86">
        <f t="shared" ref="V56:AG56" si="90">V55-V57-V58</f>
        <v>4059035906630</v>
      </c>
      <c r="W56" s="86">
        <f t="shared" si="90"/>
        <v>4543528348550</v>
      </c>
      <c r="X56" s="86">
        <f t="shared" si="90"/>
        <v>4489072127790</v>
      </c>
      <c r="Y56" s="86">
        <f t="shared" si="90"/>
        <v>4538563488136</v>
      </c>
      <c r="Z56" s="86">
        <f t="shared" si="90"/>
        <v>4868586934414</v>
      </c>
      <c r="AA56" s="86">
        <f t="shared" si="90"/>
        <v>5075498745161</v>
      </c>
      <c r="AB56" s="86">
        <f t="shared" si="90"/>
        <v>5170321855561</v>
      </c>
      <c r="AC56" s="86">
        <f t="shared" si="90"/>
        <v>5342260020834</v>
      </c>
      <c r="AD56" s="86">
        <f t="shared" si="90"/>
        <v>5549489097833</v>
      </c>
      <c r="AE56" s="86">
        <f t="shared" si="90"/>
        <v>5778202561304</v>
      </c>
      <c r="AF56" s="86">
        <f t="shared" si="90"/>
        <v>5771668302556</v>
      </c>
      <c r="AG56" s="86">
        <f t="shared" si="90"/>
        <v>5868768092941</v>
      </c>
      <c r="AH56" s="86">
        <f t="shared" si="87"/>
        <v>9411534882051</v>
      </c>
      <c r="AI56" s="86">
        <f>AI55-AI57-AI58-AJ59</f>
        <v>6329083501019</v>
      </c>
      <c r="AJ56" s="86">
        <f t="shared" ref="AJ56:AP56" si="91">AJ55-AJ57-AJ58-AJ59-AJ60</f>
        <v>6858723373975</v>
      </c>
      <c r="AK56" s="86">
        <f t="shared" si="91"/>
        <v>7287969752493</v>
      </c>
      <c r="AL56" s="86">
        <f t="shared" si="91"/>
        <v>7717431297163</v>
      </c>
      <c r="AM56" s="86">
        <f t="shared" si="91"/>
        <v>8194374146491</v>
      </c>
      <c r="AN56" s="86">
        <f t="shared" si="91"/>
        <v>8500724819342</v>
      </c>
      <c r="AO56" s="86">
        <f t="shared" si="91"/>
        <v>8901052125013</v>
      </c>
      <c r="AP56" s="86">
        <f t="shared" si="91"/>
        <v>9235273038326</v>
      </c>
      <c r="AQ56" s="86">
        <f>AQ55-AQ57-AQ58-AQ59-AQ60</f>
        <v>9411534882051</v>
      </c>
      <c r="AR56" s="86">
        <f>AR55-AR57-AR58-AR59-AR60</f>
        <v>9592443258086</v>
      </c>
      <c r="AS56" s="86">
        <v>9859109755986</v>
      </c>
      <c r="AT56" s="86">
        <f>AT55-AT57-AT58-AT59-AT60</f>
        <v>10497848837045</v>
      </c>
    </row>
    <row r="57" spans="2:47" s="86" customFormat="1">
      <c r="B57" t="s">
        <v>293</v>
      </c>
      <c r="C57" s="86" t="s">
        <v>124</v>
      </c>
      <c r="D57" s="86" t="s">
        <v>237</v>
      </c>
      <c r="E57" t="s">
        <v>243</v>
      </c>
      <c r="F57" t="str">
        <f t="shared" si="79"/>
        <v>Liability_TD_VDS_ENR</v>
      </c>
      <c r="H57" s="152" t="s">
        <v>325</v>
      </c>
      <c r="I57" s="7">
        <v>384405278047</v>
      </c>
      <c r="J57" s="7">
        <v>465305222061</v>
      </c>
      <c r="K57" s="7">
        <v>526860370651</v>
      </c>
      <c r="L57" s="7">
        <v>633989136132</v>
      </c>
      <c r="M57" s="7">
        <v>749339720577</v>
      </c>
      <c r="N57" s="7">
        <v>920866314433</v>
      </c>
      <c r="O57" s="7">
        <v>1083529456092</v>
      </c>
      <c r="P57" s="7">
        <v>1223296521560</v>
      </c>
      <c r="Q57" s="7">
        <v>1293745063641</v>
      </c>
      <c r="R57" s="7">
        <v>1368698079702</v>
      </c>
      <c r="S57" s="7">
        <v>1385289682172</v>
      </c>
      <c r="T57" s="7">
        <v>1451543419576</v>
      </c>
      <c r="U57" s="85">
        <f t="shared" si="89"/>
        <v>1812170755537</v>
      </c>
      <c r="V57" s="7">
        <v>1556783436060</v>
      </c>
      <c r="W57" s="7">
        <v>1749571891844</v>
      </c>
      <c r="X57" s="7">
        <v>1716066649193</v>
      </c>
      <c r="Y57" s="86">
        <v>1714987245030</v>
      </c>
      <c r="Z57" s="7">
        <v>1780070572909</v>
      </c>
      <c r="AA57" s="7">
        <v>1812170755537</v>
      </c>
      <c r="AB57" s="7">
        <v>1842795266003</v>
      </c>
      <c r="AC57" s="7">
        <v>1907245446863</v>
      </c>
      <c r="AD57" s="7">
        <v>1987860648123</v>
      </c>
      <c r="AE57" s="7">
        <v>2046935837995</v>
      </c>
      <c r="AF57" s="7">
        <v>2078943051224</v>
      </c>
      <c r="AG57" s="7">
        <v>2126993182604</v>
      </c>
      <c r="AH57" s="86">
        <f t="shared" si="87"/>
        <v>3086000678123</v>
      </c>
      <c r="AI57" s="7">
        <v>2341915421184</v>
      </c>
      <c r="AJ57" s="7">
        <v>2575722308941</v>
      </c>
      <c r="AK57" s="7">
        <v>2687288049956</v>
      </c>
      <c r="AL57" s="7">
        <v>2772313016769</v>
      </c>
      <c r="AM57" s="7">
        <v>2869212334148</v>
      </c>
      <c r="AN57" s="7">
        <v>2935418120454</v>
      </c>
      <c r="AO57" s="7">
        <v>2958296584720</v>
      </c>
      <c r="AP57" s="7">
        <v>3033036871309</v>
      </c>
      <c r="AQ57" s="7">
        <v>3086000678123</v>
      </c>
      <c r="AR57" s="7">
        <v>3080237594809</v>
      </c>
      <c r="AS57" s="7">
        <v>3117600258896</v>
      </c>
      <c r="AT57" s="7">
        <v>3145289194237</v>
      </c>
      <c r="AU57" s="225"/>
    </row>
    <row r="58" spans="2:47" s="86" customFormat="1">
      <c r="B58" t="s">
        <v>293</v>
      </c>
      <c r="C58" s="86" t="s">
        <v>124</v>
      </c>
      <c r="D58" s="86" t="s">
        <v>326</v>
      </c>
      <c r="E58" t="s">
        <v>243</v>
      </c>
      <c r="F58" t="str">
        <f t="shared" si="79"/>
        <v>Liability_TD_VNPT_ENR</v>
      </c>
      <c r="H58" s="152" t="s">
        <v>327</v>
      </c>
      <c r="M58" s="7"/>
      <c r="N58" s="7"/>
      <c r="O58" s="7"/>
      <c r="R58" s="7">
        <v>290000</v>
      </c>
      <c r="S58" s="7">
        <v>162473663</v>
      </c>
      <c r="T58" s="86">
        <v>592069397</v>
      </c>
      <c r="U58" s="85">
        <f t="shared" si="89"/>
        <v>2216038744</v>
      </c>
      <c r="V58" s="86">
        <v>1280476602</v>
      </c>
      <c r="W58" s="86">
        <v>1693268512</v>
      </c>
      <c r="X58" s="86">
        <v>2031668737</v>
      </c>
      <c r="Y58" s="86">
        <v>2403600653</v>
      </c>
      <c r="Z58" s="86">
        <v>2302456788</v>
      </c>
      <c r="AA58" s="86">
        <v>2216038744</v>
      </c>
      <c r="AB58" s="86">
        <v>2173613004</v>
      </c>
      <c r="AC58" s="86">
        <v>2524685661</v>
      </c>
      <c r="AD58" s="86">
        <v>3182879685</v>
      </c>
      <c r="AE58" s="86">
        <v>3001079533</v>
      </c>
      <c r="AF58" s="86">
        <v>3041944672</v>
      </c>
      <c r="AG58" s="86">
        <v>2551698220</v>
      </c>
      <c r="AH58" s="86">
        <f t="shared" si="87"/>
        <v>3981930061</v>
      </c>
      <c r="AI58" s="86">
        <v>2872714723</v>
      </c>
      <c r="AJ58" s="86">
        <f>2763745658</f>
        <v>2763745658</v>
      </c>
      <c r="AK58" s="86">
        <v>3197825366</v>
      </c>
      <c r="AL58" s="86">
        <v>4079766601</v>
      </c>
      <c r="AM58" s="86">
        <v>4011846091</v>
      </c>
      <c r="AN58" s="86">
        <v>4167032851</v>
      </c>
      <c r="AO58" s="86">
        <v>4098208475</v>
      </c>
      <c r="AP58" s="86">
        <v>4090667214</v>
      </c>
      <c r="AQ58" s="86">
        <v>3981930061</v>
      </c>
      <c r="AR58" s="86">
        <v>3723082682</v>
      </c>
      <c r="AS58" s="86">
        <v>4074476793</v>
      </c>
      <c r="AT58" s="7">
        <v>4161064761</v>
      </c>
      <c r="AU58" s="225"/>
    </row>
    <row r="59" spans="2:47" s="86" customFormat="1">
      <c r="B59" t="s">
        <v>293</v>
      </c>
      <c r="C59" s="86" t="s">
        <v>124</v>
      </c>
      <c r="D59" s="86" t="s">
        <v>312</v>
      </c>
      <c r="E59" t="s">
        <v>243</v>
      </c>
      <c r="F59" t="str">
        <f>B59&amp;"_"&amp;C59&amp;"_"&amp;D59&amp;"_"&amp;E59</f>
        <v>Liability_TD_VNPOST_ENR</v>
      </c>
      <c r="H59" s="152" t="s">
        <v>328</v>
      </c>
      <c r="M59" s="7"/>
      <c r="N59" s="7"/>
      <c r="O59" s="7"/>
      <c r="R59" s="7"/>
      <c r="S59" s="7"/>
      <c r="U59" s="85"/>
      <c r="AH59" s="86">
        <f t="shared" si="87"/>
        <v>216663686568</v>
      </c>
      <c r="AJ59" s="86">
        <v>1749821128</v>
      </c>
      <c r="AK59" s="86">
        <v>22651782243</v>
      </c>
      <c r="AL59" s="86">
        <v>51740929586</v>
      </c>
      <c r="AM59" s="86">
        <v>109283455225</v>
      </c>
      <c r="AN59" s="86">
        <v>185186435600</v>
      </c>
      <c r="AO59" s="86">
        <v>203910989344</v>
      </c>
      <c r="AP59" s="86">
        <v>212826653172</v>
      </c>
      <c r="AQ59" s="86">
        <v>216663686568</v>
      </c>
      <c r="AR59" s="86">
        <v>222014737469</v>
      </c>
      <c r="AS59" s="86">
        <v>236138263346</v>
      </c>
      <c r="AT59" s="7">
        <v>236308851892</v>
      </c>
      <c r="AU59" s="225"/>
    </row>
    <row r="60" spans="2:47" s="86" customFormat="1">
      <c r="B60" t="s">
        <v>293</v>
      </c>
      <c r="C60" s="86" t="s">
        <v>124</v>
      </c>
      <c r="D60" s="86" t="s">
        <v>329</v>
      </c>
      <c r="E60" t="s">
        <v>243</v>
      </c>
      <c r="F60" t="str">
        <f>B60&amp;"_"&amp;C60&amp;"_"&amp;D60&amp;"_"&amp;E60</f>
        <v>Liability_TD_ZALOPAY_ENR</v>
      </c>
      <c r="H60" s="152" t="s">
        <v>330</v>
      </c>
      <c r="M60" s="7"/>
      <c r="N60" s="7"/>
      <c r="O60" s="7"/>
      <c r="R60" s="7"/>
      <c r="S60" s="7"/>
      <c r="U60" s="85"/>
      <c r="AH60" s="86">
        <f t="shared" si="87"/>
        <v>174408017727</v>
      </c>
      <c r="AJ60" s="86">
        <v>94864331</v>
      </c>
      <c r="AK60" s="86">
        <v>13562956699</v>
      </c>
      <c r="AL60" s="86">
        <v>45718414674</v>
      </c>
      <c r="AM60" s="86">
        <v>63485215423</v>
      </c>
      <c r="AN60" s="86">
        <v>73989836797</v>
      </c>
      <c r="AO60" s="86">
        <v>88485975524</v>
      </c>
      <c r="AP60" s="86">
        <v>136700992884</v>
      </c>
      <c r="AQ60" s="86">
        <v>174408017727</v>
      </c>
      <c r="AR60" s="86">
        <v>156828837349</v>
      </c>
      <c r="AS60" s="86">
        <v>237481867715</v>
      </c>
      <c r="AT60" s="7">
        <v>302886455880</v>
      </c>
      <c r="AU60" s="225"/>
    </row>
    <row r="61" spans="2:47" s="86" customFormat="1">
      <c r="B61"/>
      <c r="E61"/>
      <c r="F61"/>
      <c r="H61" s="47" t="s">
        <v>314</v>
      </c>
      <c r="M61" s="7"/>
      <c r="N61" s="7"/>
      <c r="O61" s="7"/>
      <c r="R61" s="7"/>
      <c r="S61" s="7"/>
      <c r="U61" s="85"/>
      <c r="AI61" s="85">
        <v>8263600125091.4834</v>
      </c>
      <c r="AJ61" s="85">
        <v>9127703340417.9277</v>
      </c>
      <c r="AK61" s="85">
        <v>9739043866996.5156</v>
      </c>
      <c r="AL61" s="85">
        <v>10267879969736.699</v>
      </c>
      <c r="AM61" s="85">
        <v>10889173087549.193</v>
      </c>
      <c r="AN61" s="85">
        <v>11477974889501.768</v>
      </c>
      <c r="AO61" s="85">
        <v>11960317734621.902</v>
      </c>
      <c r="AP61" s="85">
        <v>12365303927424.484</v>
      </c>
      <c r="AQ61" s="85">
        <v>12751958021066.768</v>
      </c>
      <c r="AR61" s="85">
        <v>12883101630846.246</v>
      </c>
      <c r="AS61" s="85">
        <v>13283092469304.1</v>
      </c>
      <c r="AT61" s="85">
        <v>13747999475155.936</v>
      </c>
    </row>
    <row r="62" spans="2:47" s="86" customFormat="1">
      <c r="B62" t="s">
        <v>293</v>
      </c>
      <c r="C62" s="86" t="s">
        <v>124</v>
      </c>
      <c r="E62" t="s">
        <v>217</v>
      </c>
      <c r="F62" t="str">
        <f t="shared" si="79"/>
        <v>Liability_TD__TOI</v>
      </c>
      <c r="H62" s="85" t="s">
        <v>217</v>
      </c>
      <c r="I62" s="85">
        <f t="shared" ref="I62:S62" si="92">I63-I64-I65</f>
        <v>1352185405</v>
      </c>
      <c r="J62" s="85">
        <f t="shared" si="92"/>
        <v>17106122813.435135</v>
      </c>
      <c r="K62" s="85">
        <f t="shared" si="92"/>
        <v>1120426981.7711983</v>
      </c>
      <c r="L62" s="85">
        <f t="shared" si="92"/>
        <v>1864580549</v>
      </c>
      <c r="M62" s="85">
        <f t="shared" si="92"/>
        <v>2922587863</v>
      </c>
      <c r="N62" s="85">
        <f t="shared" si="92"/>
        <v>4509518198.8382263</v>
      </c>
      <c r="O62" s="85">
        <f t="shared" si="92"/>
        <v>4528766209.17033</v>
      </c>
      <c r="P62" s="85">
        <f t="shared" si="92"/>
        <v>5167718338.4837799</v>
      </c>
      <c r="Q62" s="85">
        <f t="shared" si="92"/>
        <v>4869990467.2627945</v>
      </c>
      <c r="R62" s="85">
        <f t="shared" si="92"/>
        <v>5729805291.4384689</v>
      </c>
      <c r="S62" s="85">
        <f t="shared" si="92"/>
        <v>5070266261.5882492</v>
      </c>
      <c r="T62" s="85">
        <f>T63-T64-T65</f>
        <v>3857692705.3607025</v>
      </c>
      <c r="U62" s="47">
        <f>U63-U64-U65</f>
        <v>52378447589.991882</v>
      </c>
      <c r="V62" s="85">
        <f t="shared" ref="V62:AG62" si="93">V63-V64-V65</f>
        <v>3978858490.0418549</v>
      </c>
      <c r="W62" s="85">
        <f t="shared" si="93"/>
        <v>3113721446.2363396</v>
      </c>
      <c r="X62" s="85">
        <f t="shared" si="93"/>
        <v>5070651095.9109573</v>
      </c>
      <c r="Y62" s="85">
        <f t="shared" si="93"/>
        <v>5179690154.5092392</v>
      </c>
      <c r="Z62" s="47">
        <f t="shared" si="93"/>
        <v>4053243298.3456116</v>
      </c>
      <c r="AA62" s="47">
        <f t="shared" si="93"/>
        <v>4150842048.1263046</v>
      </c>
      <c r="AB62" s="47">
        <f t="shared" si="93"/>
        <v>4595926635.1144562</v>
      </c>
      <c r="AC62" s="47">
        <f t="shared" si="93"/>
        <v>4966525446.2576981</v>
      </c>
      <c r="AD62" s="47">
        <f t="shared" si="93"/>
        <v>4455930997.4494019</v>
      </c>
      <c r="AE62" s="47">
        <f t="shared" si="93"/>
        <v>4073624582</v>
      </c>
      <c r="AF62" s="47">
        <f t="shared" si="93"/>
        <v>5076710048</v>
      </c>
      <c r="AG62" s="47">
        <f t="shared" si="93"/>
        <v>3662723348</v>
      </c>
      <c r="AH62" s="47">
        <f t="shared" si="10"/>
        <v>110601309096.84593</v>
      </c>
      <c r="AI62" s="47">
        <f>AI63-AI64-AI65</f>
        <v>4222197645</v>
      </c>
      <c r="AJ62" s="47">
        <f t="shared" ref="AJ62:AS62" si="94">AJ63-AJ64-AJ65</f>
        <v>5387179850.8995895</v>
      </c>
      <c r="AK62" s="47">
        <f>AK63-AK64-AK65</f>
        <v>7185871648.8917923</v>
      </c>
      <c r="AL62" s="47">
        <f>AL63-AL64-AL65</f>
        <v>8488793123.1392059</v>
      </c>
      <c r="AM62" s="47">
        <f>AM63-AM64-AM65</f>
        <v>7796577611.8405991</v>
      </c>
      <c r="AN62" s="47">
        <f t="shared" si="94"/>
        <v>9553546740.8829803</v>
      </c>
      <c r="AO62" s="47">
        <f t="shared" si="94"/>
        <v>9134784982.589592</v>
      </c>
      <c r="AP62" s="47">
        <f t="shared" si="94"/>
        <v>9657841059.0198212</v>
      </c>
      <c r="AQ62" s="47">
        <f t="shared" si="94"/>
        <v>10476708667.610924</v>
      </c>
      <c r="AR62" s="47">
        <f t="shared" si="94"/>
        <v>11947552267.307587</v>
      </c>
      <c r="AS62" s="47">
        <f t="shared" si="94"/>
        <v>12373669512.815948</v>
      </c>
      <c r="AT62" s="47">
        <f>AT63-AT64-AT65</f>
        <v>14376585986.847885</v>
      </c>
    </row>
    <row r="63" spans="2:47" s="86" customFormat="1">
      <c r="B63" t="s">
        <v>293</v>
      </c>
      <c r="C63" s="86" t="s">
        <v>124</v>
      </c>
      <c r="E63" t="s">
        <v>255</v>
      </c>
      <c r="F63" t="str">
        <f t="shared" si="79"/>
        <v>Liability_TD__CII</v>
      </c>
      <c r="H63" s="1082" t="s">
        <v>20</v>
      </c>
      <c r="I63" s="86">
        <v>15114453784</v>
      </c>
      <c r="J63" s="86">
        <f>Revenue!F8</f>
        <v>32644318960.435135</v>
      </c>
      <c r="K63" s="86">
        <v>21786818804.771198</v>
      </c>
      <c r="L63" s="86">
        <v>23438234270</v>
      </c>
      <c r="M63" s="86">
        <v>26881985583</v>
      </c>
      <c r="N63" s="86">
        <v>30043980267.838226</v>
      </c>
      <c r="O63" s="86">
        <v>32597469756.17033</v>
      </c>
      <c r="P63" s="86">
        <v>34431819750.48378</v>
      </c>
      <c r="Q63" s="86">
        <v>33942265149.262794</v>
      </c>
      <c r="R63" s="86">
        <v>35527416072.438469</v>
      </c>
      <c r="S63" s="86">
        <v>33844451864.588249</v>
      </c>
      <c r="T63" s="86">
        <v>33327454087.360703</v>
      </c>
      <c r="U63" s="86">
        <f t="shared" si="76"/>
        <v>422355810415.99188</v>
      </c>
      <c r="V63" s="86">
        <v>33958188356.041855</v>
      </c>
      <c r="W63" s="86">
        <v>32644318960.23634</v>
      </c>
      <c r="X63" s="86">
        <v>34642023855.910957</v>
      </c>
      <c r="Y63" s="86">
        <v>32076658331.509239</v>
      </c>
      <c r="Z63" s="86">
        <v>32975210770.345612</v>
      </c>
      <c r="AA63" s="86">
        <v>32903169307.126305</v>
      </c>
      <c r="AB63" s="86">
        <v>34734933956.114456</v>
      </c>
      <c r="AC63" s="86">
        <v>35638323632.257698</v>
      </c>
      <c r="AD63" s="86">
        <v>35258129227.449402</v>
      </c>
      <c r="AE63" s="86">
        <v>38870929658</v>
      </c>
      <c r="AF63" s="86">
        <v>38310454706</v>
      </c>
      <c r="AG63" s="86">
        <v>40343469655</v>
      </c>
      <c r="AH63" s="86">
        <f t="shared" si="10"/>
        <v>727415693854.84595</v>
      </c>
      <c r="AI63" s="86">
        <v>43614680578</v>
      </c>
      <c r="AJ63" s="86">
        <v>43952761666.89959</v>
      </c>
      <c r="AK63" s="86">
        <v>51976113412.891792</v>
      </c>
      <c r="AL63" s="86">
        <v>52965215534.139206</v>
      </c>
      <c r="AM63" s="86">
        <v>59036545079.840599</v>
      </c>
      <c r="AN63" s="86">
        <v>59884423162.88298</v>
      </c>
      <c r="AO63" s="86">
        <v>64129598089.589592</v>
      </c>
      <c r="AP63" s="86">
        <v>66587662275.019821</v>
      </c>
      <c r="AQ63" s="86">
        <v>66962735437.610924</v>
      </c>
      <c r="AR63" s="86">
        <v>70364448153.307587</v>
      </c>
      <c r="AS63" s="86">
        <v>71122115497.815948</v>
      </c>
      <c r="AT63" s="86">
        <v>76819394966.847885</v>
      </c>
    </row>
    <row r="64" spans="2:47" s="86" customFormat="1">
      <c r="B64" t="s">
        <v>293</v>
      </c>
      <c r="C64" s="86" t="s">
        <v>124</v>
      </c>
      <c r="E64" t="s">
        <v>219</v>
      </c>
      <c r="F64" t="str">
        <f t="shared" si="79"/>
        <v>Liability_TD__COF</v>
      </c>
      <c r="H64" s="1082" t="s">
        <v>294</v>
      </c>
      <c r="I64" s="86">
        <f>13631439485+60274+130768620-I65</f>
        <v>13587268379</v>
      </c>
      <c r="J64" s="86">
        <f>14089377582+154388708</f>
        <v>14243766290</v>
      </c>
      <c r="K64" s="86">
        <f>17734793221+253683387</f>
        <v>17988476608</v>
      </c>
      <c r="L64" s="86">
        <f>19335699259</f>
        <v>19335699259</v>
      </c>
      <c r="M64" s="86">
        <v>22294856487</v>
      </c>
      <c r="N64" s="86">
        <v>24336967335</v>
      </c>
      <c r="O64" s="86">
        <v>27366973593</v>
      </c>
      <c r="P64" s="86">
        <v>28748846859</v>
      </c>
      <c r="Q64" s="86">
        <v>28639541302</v>
      </c>
      <c r="R64" s="86">
        <v>29903441589</v>
      </c>
      <c r="S64" s="86">
        <v>28656495988</v>
      </c>
      <c r="T64" s="86">
        <v>28519444679</v>
      </c>
      <c r="U64" s="86">
        <f>SUM(V64:AG64)</f>
        <v>353610121644</v>
      </c>
      <c r="V64" s="86">
        <v>29027794710</v>
      </c>
      <c r="W64" s="86">
        <v>28428644956</v>
      </c>
      <c r="X64" s="86">
        <v>29081177180</v>
      </c>
      <c r="Y64" s="86">
        <v>26533782382</v>
      </c>
      <c r="Z64" s="86">
        <v>27839260039</v>
      </c>
      <c r="AA64" s="86">
        <v>27361720691</v>
      </c>
      <c r="AB64" s="86">
        <v>28604462768</v>
      </c>
      <c r="AC64" s="86">
        <v>29375881793</v>
      </c>
      <c r="AD64" s="86">
        <v>29725211742</v>
      </c>
      <c r="AE64" s="86">
        <v>32530990795</v>
      </c>
      <c r="AF64" s="86">
        <v>31662524614</v>
      </c>
      <c r="AG64" s="86">
        <v>33438669974</v>
      </c>
      <c r="AH64" s="86">
        <f t="shared" si="10"/>
        <v>595619908967</v>
      </c>
      <c r="AI64" s="86">
        <v>36108766186</v>
      </c>
      <c r="AJ64" s="86">
        <v>36406123527</v>
      </c>
      <c r="AK64" s="86">
        <v>43229480491</v>
      </c>
      <c r="AL64" s="86">
        <v>42351290226</v>
      </c>
      <c r="AM64" s="86">
        <v>48539619079</v>
      </c>
      <c r="AN64" s="86">
        <v>49314398589</v>
      </c>
      <c r="AO64" s="86">
        <v>53562502042</v>
      </c>
      <c r="AP64" s="86">
        <v>54886173869</v>
      </c>
      <c r="AQ64" s="86">
        <v>54717811654</v>
      </c>
      <c r="AR64" s="86">
        <v>56262309378</v>
      </c>
      <c r="AS64" s="86">
        <v>57784336862</v>
      </c>
      <c r="AT64" s="86">
        <v>62457097064</v>
      </c>
    </row>
    <row r="65" spans="2:46" s="86" customFormat="1">
      <c r="B65" t="s">
        <v>293</v>
      </c>
      <c r="C65" s="86" t="s">
        <v>124</v>
      </c>
      <c r="E65" t="s">
        <v>331</v>
      </c>
      <c r="F65" t="str">
        <f t="shared" si="79"/>
        <v>Liability_TD__COF_cashback</v>
      </c>
      <c r="H65" s="1082" t="s">
        <v>332</v>
      </c>
      <c r="I65" s="86">
        <v>175000000</v>
      </c>
      <c r="J65" s="86">
        <v>1294429857</v>
      </c>
      <c r="K65" s="86">
        <v>2677915215</v>
      </c>
      <c r="L65" s="86">
        <v>2237954462</v>
      </c>
      <c r="M65" s="86">
        <v>1664541233</v>
      </c>
      <c r="N65" s="86">
        <v>1197494734</v>
      </c>
      <c r="O65" s="86">
        <v>701729954</v>
      </c>
      <c r="P65" s="86">
        <v>515254553</v>
      </c>
      <c r="Q65" s="86">
        <v>432733380</v>
      </c>
      <c r="R65" s="86">
        <v>-105830808</v>
      </c>
      <c r="S65" s="86">
        <v>117689615</v>
      </c>
      <c r="T65" s="86">
        <v>950316703</v>
      </c>
      <c r="U65" s="86">
        <f>SUM(V65:AG65)</f>
        <v>16367241182</v>
      </c>
      <c r="V65" s="86">
        <v>951535156</v>
      </c>
      <c r="W65" s="86">
        <v>1101952558</v>
      </c>
      <c r="X65" s="86">
        <v>490195580</v>
      </c>
      <c r="Y65" s="86">
        <v>363185795</v>
      </c>
      <c r="Z65" s="86">
        <v>1082707433</v>
      </c>
      <c r="AA65" s="86">
        <v>1390606568</v>
      </c>
      <c r="AB65" s="86">
        <v>1534544553</v>
      </c>
      <c r="AC65" s="86">
        <v>1295916393</v>
      </c>
      <c r="AD65" s="86">
        <v>1076986488</v>
      </c>
      <c r="AE65" s="86">
        <v>2266314281</v>
      </c>
      <c r="AF65" s="86">
        <v>1571220044</v>
      </c>
      <c r="AG65" s="86">
        <v>3242076333</v>
      </c>
      <c r="AH65" s="86">
        <f t="shared" si="10"/>
        <v>21194475791</v>
      </c>
      <c r="AI65" s="86">
        <v>3283716747</v>
      </c>
      <c r="AJ65" s="86">
        <v>2159458289</v>
      </c>
      <c r="AK65" s="86">
        <v>1560761273</v>
      </c>
      <c r="AL65" s="86">
        <v>2125132185</v>
      </c>
      <c r="AM65" s="86">
        <v>2700348389</v>
      </c>
      <c r="AN65" s="86">
        <v>1016477833</v>
      </c>
      <c r="AO65" s="86">
        <v>1432311065</v>
      </c>
      <c r="AP65" s="86">
        <v>2043647347</v>
      </c>
      <c r="AQ65" s="86">
        <v>1768215116</v>
      </c>
      <c r="AR65" s="86">
        <v>2154586508</v>
      </c>
      <c r="AS65" s="86">
        <v>964109123</v>
      </c>
      <c r="AT65" s="86">
        <v>-14288084</v>
      </c>
    </row>
    <row r="66" spans="2:46" s="85" customFormat="1">
      <c r="B66" t="s">
        <v>293</v>
      </c>
      <c r="C66" s="7" t="s">
        <v>124</v>
      </c>
      <c r="E66" s="126" t="s">
        <v>271</v>
      </c>
      <c r="F66" t="str">
        <f t="shared" si="79"/>
        <v>Liability_TD__variable_cost</v>
      </c>
      <c r="H66" s="85" t="s">
        <v>229</v>
      </c>
      <c r="I66" s="85">
        <f>SUM(I67:I76)</f>
        <v>125546853</v>
      </c>
      <c r="J66" s="85">
        <f t="shared" ref="J66:AG66" si="95">SUM(J67:J76)</f>
        <v>154388708</v>
      </c>
      <c r="K66" s="85">
        <f t="shared" si="95"/>
        <v>224159620</v>
      </c>
      <c r="L66" s="85">
        <f t="shared" si="95"/>
        <v>239466589</v>
      </c>
      <c r="M66" s="85">
        <f t="shared" si="95"/>
        <v>298277116</v>
      </c>
      <c r="N66" s="85">
        <f t="shared" si="95"/>
        <v>342317915</v>
      </c>
      <c r="O66" s="85">
        <f t="shared" si="95"/>
        <v>429275729</v>
      </c>
      <c r="P66" s="85">
        <f t="shared" si="95"/>
        <v>491457174</v>
      </c>
      <c r="Q66" s="85">
        <f t="shared" si="95"/>
        <v>514155659</v>
      </c>
      <c r="R66" s="85">
        <f t="shared" si="95"/>
        <v>566003674</v>
      </c>
      <c r="S66" s="85">
        <f t="shared" si="95"/>
        <v>565754022</v>
      </c>
      <c r="T66" s="85">
        <f t="shared" si="95"/>
        <v>600939663</v>
      </c>
      <c r="U66" s="85">
        <f t="shared" si="95"/>
        <v>13446966327.944307</v>
      </c>
      <c r="V66" s="85">
        <f t="shared" si="95"/>
        <v>818314925.08333337</v>
      </c>
      <c r="W66" s="85">
        <f t="shared" si="95"/>
        <v>753229214.08333337</v>
      </c>
      <c r="X66" s="85">
        <f t="shared" si="95"/>
        <v>831156375.08333337</v>
      </c>
      <c r="Y66" s="85">
        <f t="shared" si="95"/>
        <v>872020088.08333337</v>
      </c>
      <c r="Z66" s="85">
        <f t="shared" si="95"/>
        <v>883467985.16666663</v>
      </c>
      <c r="AA66" s="85">
        <f t="shared" si="95"/>
        <v>1012799499.5000001</v>
      </c>
      <c r="AB66" s="47">
        <f t="shared" si="95"/>
        <v>1116419053.1666667</v>
      </c>
      <c r="AC66" s="47">
        <f t="shared" si="95"/>
        <v>1140541117.5</v>
      </c>
      <c r="AD66" s="47">
        <f t="shared" si="95"/>
        <v>1193675381.3703244</v>
      </c>
      <c r="AE66" s="47">
        <f t="shared" si="95"/>
        <v>1210753237.3703244</v>
      </c>
      <c r="AF66" s="47">
        <f t="shared" si="95"/>
        <v>1560425274.3703241</v>
      </c>
      <c r="AG66" s="47">
        <f t="shared" si="95"/>
        <v>2359896387.1666665</v>
      </c>
      <c r="AH66" s="47">
        <f t="shared" si="10"/>
        <v>27782116121</v>
      </c>
      <c r="AI66" s="47">
        <f>AI67+AI68+AI75+AI76</f>
        <v>1979678839</v>
      </c>
      <c r="AJ66" s="47">
        <f t="shared" ref="AJ66:AT66" si="96">AJ67+AJ68+AJ75+AJ76</f>
        <v>1373132007</v>
      </c>
      <c r="AK66" s="47">
        <f t="shared" si="96"/>
        <v>1553117209</v>
      </c>
      <c r="AL66" s="47">
        <f t="shared" si="96"/>
        <v>1626256513</v>
      </c>
      <c r="AM66" s="47">
        <f t="shared" si="96"/>
        <v>2192114903</v>
      </c>
      <c r="AN66" s="47">
        <f t="shared" si="96"/>
        <v>1996536485</v>
      </c>
      <c r="AO66" s="47">
        <f t="shared" si="96"/>
        <v>2108498525</v>
      </c>
      <c r="AP66" s="47">
        <f t="shared" si="96"/>
        <v>2362734719</v>
      </c>
      <c r="AQ66" s="47">
        <f t="shared" si="96"/>
        <v>2360214493</v>
      </c>
      <c r="AR66" s="47">
        <f t="shared" si="96"/>
        <v>2530668799</v>
      </c>
      <c r="AS66" s="47">
        <f t="shared" si="96"/>
        <v>3342798232</v>
      </c>
      <c r="AT66" s="47">
        <f t="shared" si="96"/>
        <v>4356365397</v>
      </c>
    </row>
    <row r="67" spans="2:46" s="85" customFormat="1">
      <c r="B67" t="s">
        <v>293</v>
      </c>
      <c r="C67" s="7" t="s">
        <v>124</v>
      </c>
      <c r="E67" s="126" t="s">
        <v>272</v>
      </c>
      <c r="F67" t="str">
        <f t="shared" si="79"/>
        <v>Liability_TD__marketing_acquisition_cost</v>
      </c>
      <c r="H67" s="563" t="s">
        <v>230</v>
      </c>
      <c r="U67" s="86">
        <f>SUM(V67:AG67)</f>
        <v>2507488587.3333335</v>
      </c>
      <c r="V67" s="86">
        <v>28705308.25</v>
      </c>
      <c r="W67" s="86">
        <v>26245308.25</v>
      </c>
      <c r="X67" s="86">
        <v>29823817.25</v>
      </c>
      <c r="Y67" s="86">
        <v>141372023.25</v>
      </c>
      <c r="Z67" s="86">
        <v>54977559.5</v>
      </c>
      <c r="AA67" s="86">
        <v>155370513.83333349</v>
      </c>
      <c r="AB67" s="86">
        <v>256918307.5</v>
      </c>
      <c r="AC67" s="86">
        <v>330055114.5</v>
      </c>
      <c r="AD67" s="86">
        <v>235954842.5</v>
      </c>
      <c r="AE67" s="86">
        <v>215985683.5</v>
      </c>
      <c r="AF67" s="86">
        <v>285347752.5</v>
      </c>
      <c r="AG67" s="86">
        <v>746732356.5</v>
      </c>
      <c r="AH67" s="86">
        <f t="shared" si="10"/>
        <v>10358074923</v>
      </c>
      <c r="AI67" s="86">
        <v>861637073</v>
      </c>
      <c r="AJ67" s="86">
        <v>320740617</v>
      </c>
      <c r="AK67" s="86">
        <v>384490617</v>
      </c>
      <c r="AL67" s="86">
        <v>398773027</v>
      </c>
      <c r="AM67" s="86">
        <v>631490617</v>
      </c>
      <c r="AN67" s="7">
        <v>472753557</v>
      </c>
      <c r="AO67" s="7">
        <v>674898392</v>
      </c>
      <c r="AP67" s="86">
        <v>850724888</v>
      </c>
      <c r="AQ67" s="86">
        <v>816456875</v>
      </c>
      <c r="AR67" s="86">
        <v>915471625</v>
      </c>
      <c r="AS67" s="86">
        <v>1725969465</v>
      </c>
      <c r="AT67" s="86">
        <v>2304668170</v>
      </c>
    </row>
    <row r="68" spans="2:46" s="85" customFormat="1">
      <c r="B68" t="s">
        <v>293</v>
      </c>
      <c r="C68" s="7" t="s">
        <v>124</v>
      </c>
      <c r="E68" s="126" t="s">
        <v>273</v>
      </c>
      <c r="F68" t="str">
        <f>B68&amp;"_"&amp;C68&amp;"_"&amp;D68&amp;"_"&amp;E68</f>
        <v>Liability_TD__partner_acquisition_cost</v>
      </c>
      <c r="H68" s="563" t="s">
        <v>231</v>
      </c>
      <c r="I68" s="86">
        <v>125546853</v>
      </c>
      <c r="J68" s="86">
        <v>154388708</v>
      </c>
      <c r="K68" s="86">
        <v>224159620</v>
      </c>
      <c r="L68" s="86">
        <v>239466589</v>
      </c>
      <c r="M68" s="86">
        <v>298277116</v>
      </c>
      <c r="N68" s="86">
        <v>342317915</v>
      </c>
      <c r="O68" s="86">
        <v>429275729</v>
      </c>
      <c r="P68" s="86">
        <v>491457174</v>
      </c>
      <c r="Q68" s="86">
        <v>514155659</v>
      </c>
      <c r="R68" s="86">
        <v>566003674</v>
      </c>
      <c r="S68" s="86">
        <v>565754022</v>
      </c>
      <c r="T68" s="86">
        <v>600939663</v>
      </c>
      <c r="U68" s="86">
        <f>SUM(V68:AG68)</f>
        <v>9206546498</v>
      </c>
      <c r="V68" s="86">
        <v>662798527</v>
      </c>
      <c r="W68" s="86">
        <v>665967565</v>
      </c>
      <c r="X68" s="86">
        <v>714550037</v>
      </c>
      <c r="Y68" s="86">
        <v>702989532</v>
      </c>
      <c r="Z68" s="86">
        <v>744456411</v>
      </c>
      <c r="AA68" s="86">
        <v>740591438</v>
      </c>
      <c r="AB68" s="86">
        <v>777354807</v>
      </c>
      <c r="AC68" s="86">
        <v>796209820</v>
      </c>
      <c r="AD68" s="86">
        <v>801437202</v>
      </c>
      <c r="AE68" s="7">
        <f>858940548</f>
        <v>858940548</v>
      </c>
      <c r="AF68" s="86">
        <v>852705684</v>
      </c>
      <c r="AG68" s="86">
        <v>888544927</v>
      </c>
      <c r="AH68" s="86">
        <f>SUM(AI68:AT68)</f>
        <v>15947454329</v>
      </c>
      <c r="AI68" s="86">
        <f>SUM(AI69:AI72)</f>
        <v>929894778</v>
      </c>
      <c r="AJ68" s="86">
        <f t="shared" ref="AJ68:AS68" si="97">SUM(AJ69:AJ72)</f>
        <v>969053328</v>
      </c>
      <c r="AK68" s="86">
        <f t="shared" si="97"/>
        <v>1120205414</v>
      </c>
      <c r="AL68" s="86">
        <f t="shared" si="97"/>
        <v>1136827781</v>
      </c>
      <c r="AM68" s="86">
        <f t="shared" si="97"/>
        <v>1494880796</v>
      </c>
      <c r="AN68" s="86">
        <f t="shared" si="97"/>
        <v>1459642266</v>
      </c>
      <c r="AO68" s="86">
        <f t="shared" si="97"/>
        <v>1372119493</v>
      </c>
      <c r="AP68" s="86">
        <f t="shared" si="97"/>
        <v>1454661915</v>
      </c>
      <c r="AQ68" s="86">
        <f t="shared" si="97"/>
        <v>1432652242</v>
      </c>
      <c r="AR68" s="86">
        <f t="shared" si="97"/>
        <v>1555024156</v>
      </c>
      <c r="AS68" s="86">
        <f t="shared" si="97"/>
        <v>1553440107</v>
      </c>
      <c r="AT68" s="86">
        <v>1469052053</v>
      </c>
    </row>
    <row r="69" spans="2:46" s="85" customFormat="1">
      <c r="B69"/>
      <c r="C69" s="7"/>
      <c r="E69" s="126"/>
      <c r="F69"/>
      <c r="H69" s="1371" t="s">
        <v>237</v>
      </c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7"/>
      <c r="AF69" s="86"/>
      <c r="AG69" s="86"/>
      <c r="AH69" s="86"/>
      <c r="AI69" s="86">
        <v>929894778</v>
      </c>
      <c r="AJ69" s="86">
        <v>969053328</v>
      </c>
      <c r="AK69" s="86">
        <v>1120205414</v>
      </c>
      <c r="AL69" s="86">
        <v>1123564319</v>
      </c>
      <c r="AM69" s="86">
        <v>1200085167</v>
      </c>
      <c r="AN69" s="86">
        <v>1196761926</v>
      </c>
      <c r="AO69" s="86">
        <v>1255159153</v>
      </c>
      <c r="AP69" s="86">
        <v>1271477986</v>
      </c>
      <c r="AQ69" s="86">
        <v>1263766639</v>
      </c>
      <c r="AR69" s="86">
        <v>1312256712</v>
      </c>
      <c r="AS69" s="86">
        <v>1278791269</v>
      </c>
      <c r="AT69" s="86">
        <v>1329251178</v>
      </c>
    </row>
    <row r="70" spans="2:46" s="85" customFormat="1">
      <c r="B70"/>
      <c r="C70" s="7"/>
      <c r="E70" s="126"/>
      <c r="F70"/>
      <c r="H70" s="1371" t="s">
        <v>333</v>
      </c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7"/>
      <c r="AF70" s="86"/>
      <c r="AG70" s="86"/>
      <c r="AH70" s="86"/>
      <c r="AI70" s="86"/>
      <c r="AJ70" s="86"/>
      <c r="AK70" s="86"/>
      <c r="AL70" s="86"/>
      <c r="AM70" s="86">
        <v>128311620</v>
      </c>
      <c r="AN70" s="86">
        <v>85095117</v>
      </c>
      <c r="AO70" s="86">
        <v>63340896</v>
      </c>
      <c r="AP70" s="86">
        <v>63381730</v>
      </c>
      <c r="AQ70" s="86">
        <v>62108619</v>
      </c>
      <c r="AR70" s="86">
        <v>131737756</v>
      </c>
      <c r="AS70" s="86">
        <v>150466808</v>
      </c>
      <c r="AT70" s="86">
        <v>44248700</v>
      </c>
    </row>
    <row r="71" spans="2:46" s="85" customFormat="1">
      <c r="B71"/>
      <c r="C71" s="7"/>
      <c r="E71" s="126"/>
      <c r="F71"/>
      <c r="H71" s="1371" t="s">
        <v>334</v>
      </c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7"/>
      <c r="AF71" s="86"/>
      <c r="AG71" s="86"/>
      <c r="AH71" s="86"/>
      <c r="AI71" s="86"/>
      <c r="AJ71" s="86"/>
      <c r="AK71" s="86"/>
      <c r="AL71" s="86">
        <v>13263462</v>
      </c>
      <c r="AM71" s="86">
        <f>42484009+124000000</f>
        <v>166484009</v>
      </c>
      <c r="AN71" s="86">
        <f>67454192+107000000</f>
        <v>174454192</v>
      </c>
      <c r="AO71" s="86">
        <v>53619444</v>
      </c>
      <c r="AP71" s="86">
        <f>93569934+24551907</f>
        <v>118121841</v>
      </c>
      <c r="AQ71" s="86">
        <v>106776984</v>
      </c>
      <c r="AR71" s="86">
        <v>111029688</v>
      </c>
      <c r="AS71" s="86">
        <v>122396686</v>
      </c>
      <c r="AT71" s="86">
        <v>92265737</v>
      </c>
    </row>
    <row r="72" spans="2:46" s="85" customFormat="1">
      <c r="B72"/>
      <c r="C72" s="7"/>
      <c r="E72" s="126"/>
      <c r="F72"/>
      <c r="H72" s="1371" t="s">
        <v>335</v>
      </c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7"/>
      <c r="AF72" s="86"/>
      <c r="AG72" s="86"/>
      <c r="AH72" s="86"/>
      <c r="AI72" s="86"/>
      <c r="AJ72" s="86"/>
      <c r="AK72" s="86"/>
      <c r="AL72" s="86"/>
      <c r="AM72" s="86"/>
      <c r="AN72" s="86">
        <v>3331031</v>
      </c>
      <c r="AO72" s="86"/>
      <c r="AP72" s="86">
        <v>1680358</v>
      </c>
      <c r="AQ72" s="86"/>
      <c r="AR72" s="86"/>
      <c r="AS72" s="86">
        <v>1785344</v>
      </c>
      <c r="AT72" s="86">
        <f>AT68-AT69-AT70-AT71</f>
        <v>3286438</v>
      </c>
    </row>
    <row r="73" spans="2:46" s="85" customFormat="1">
      <c r="B73" t="s">
        <v>293</v>
      </c>
      <c r="C73" s="7" t="s">
        <v>124</v>
      </c>
      <c r="E73" t="s">
        <v>315</v>
      </c>
      <c r="F73" t="str">
        <f t="shared" si="79"/>
        <v>Liability_TD__eKYC</v>
      </c>
      <c r="H73" s="152" t="s">
        <v>315</v>
      </c>
      <c r="AH73" s="85">
        <f t="shared" si="10"/>
        <v>0</v>
      </c>
    </row>
    <row r="74" spans="2:46" s="85" customFormat="1">
      <c r="B74" t="s">
        <v>293</v>
      </c>
      <c r="C74" s="7" t="s">
        <v>124</v>
      </c>
      <c r="E74" s="126" t="s">
        <v>276</v>
      </c>
      <c r="F74" t="str">
        <f>B74&amp;"_"&amp;C74&amp;"_"&amp;D74&amp;"_"&amp;E74</f>
        <v>Liability_TD__nfc</v>
      </c>
      <c r="H74" s="152" t="s">
        <v>152</v>
      </c>
      <c r="AH74" s="85">
        <f t="shared" si="10"/>
        <v>0</v>
      </c>
    </row>
    <row r="75" spans="2:46" s="85" customFormat="1">
      <c r="B75" t="s">
        <v>293</v>
      </c>
      <c r="C75" s="7" t="s">
        <v>124</v>
      </c>
      <c r="E75" s="126" t="s">
        <v>278</v>
      </c>
      <c r="F75" t="str">
        <f>B75&amp;"_"&amp;C75&amp;"_"&amp;D75&amp;"_"&amp;E75</f>
        <v>Liability_TD__promotion</v>
      </c>
      <c r="H75" s="563" t="s">
        <v>235</v>
      </c>
      <c r="U75" s="86">
        <f>SUM(V75:AG75)</f>
        <v>1732931242.6109729</v>
      </c>
      <c r="V75" s="86">
        <v>75168191.833333343</v>
      </c>
      <c r="W75" s="86">
        <v>35479356.833333336</v>
      </c>
      <c r="X75" s="86">
        <v>64650991.833333336</v>
      </c>
      <c r="Y75" s="86">
        <v>16604591.833333334</v>
      </c>
      <c r="Z75" s="86">
        <v>73607058.666666657</v>
      </c>
      <c r="AA75" s="86">
        <v>51112783.666666657</v>
      </c>
      <c r="AB75" s="86">
        <v>61204383.666666657</v>
      </c>
      <c r="AC75" s="86"/>
      <c r="AD75" s="86">
        <v>130629166.87032428</v>
      </c>
      <c r="AE75" s="86">
        <v>115629166.87032428</v>
      </c>
      <c r="AF75" s="86">
        <v>404729166.87032425</v>
      </c>
      <c r="AG75" s="86">
        <v>704116383.66666663</v>
      </c>
      <c r="AH75" s="86">
        <f>SUM(AI75:AT75)</f>
        <v>1219542043</v>
      </c>
      <c r="AI75" s="86">
        <v>172269404</v>
      </c>
      <c r="AJ75" s="86">
        <v>68076660</v>
      </c>
      <c r="AK75" s="86">
        <v>29479640</v>
      </c>
      <c r="AL75" s="86">
        <v>72239760</v>
      </c>
      <c r="AM75" s="86">
        <v>45897771</v>
      </c>
      <c r="AN75" s="86">
        <v>44061794</v>
      </c>
      <c r="AO75" s="86">
        <v>39292850</v>
      </c>
      <c r="AP75" s="86">
        <v>33902640</v>
      </c>
      <c r="AQ75" s="86">
        <v>87434080</v>
      </c>
      <c r="AR75" s="86">
        <v>33910378</v>
      </c>
      <c r="AS75" s="86">
        <v>39233520</v>
      </c>
      <c r="AT75" s="86">
        <v>553743546</v>
      </c>
    </row>
    <row r="76" spans="2:46" s="85" customFormat="1">
      <c r="B76" t="s">
        <v>293</v>
      </c>
      <c r="C76" s="7" t="s">
        <v>124</v>
      </c>
      <c r="E76" s="126" t="s">
        <v>279</v>
      </c>
      <c r="F76" t="str">
        <f t="shared" si="79"/>
        <v>Liability_TD__sms</v>
      </c>
      <c r="H76" s="1101" t="s">
        <v>163</v>
      </c>
      <c r="I76" s="1098"/>
      <c r="J76" s="1098"/>
      <c r="K76" s="1098"/>
      <c r="L76" s="1098"/>
      <c r="M76" s="1098"/>
      <c r="N76" s="1098"/>
      <c r="O76" s="1098"/>
      <c r="P76" s="1098"/>
      <c r="Q76" s="1098"/>
      <c r="R76" s="1098"/>
      <c r="S76" s="1098"/>
      <c r="T76" s="1098"/>
      <c r="U76" s="1098"/>
      <c r="V76" s="1102">
        <v>51642898</v>
      </c>
      <c r="W76" s="1102">
        <v>25536984</v>
      </c>
      <c r="X76" s="1102">
        <v>22131529</v>
      </c>
      <c r="Y76" s="1102">
        <v>11053941</v>
      </c>
      <c r="Z76" s="1102">
        <v>10426956</v>
      </c>
      <c r="AA76" s="1102">
        <v>65724764</v>
      </c>
      <c r="AB76" s="1098">
        <v>20941555</v>
      </c>
      <c r="AC76" s="1098">
        <v>14276183</v>
      </c>
      <c r="AD76" s="1098">
        <v>25654170</v>
      </c>
      <c r="AE76" s="1098">
        <v>20197839</v>
      </c>
      <c r="AF76" s="1098">
        <v>17642671</v>
      </c>
      <c r="AG76" s="1098">
        <v>20502720</v>
      </c>
      <c r="AH76" s="1092">
        <f t="shared" si="10"/>
        <v>257044826</v>
      </c>
      <c r="AI76" s="1092">
        <v>15877584</v>
      </c>
      <c r="AJ76" s="1092">
        <v>15261402</v>
      </c>
      <c r="AK76" s="1092">
        <v>18941538</v>
      </c>
      <c r="AL76" s="1092">
        <v>18415945</v>
      </c>
      <c r="AM76" s="1092">
        <v>19845719</v>
      </c>
      <c r="AN76" s="1092">
        <v>20078868</v>
      </c>
      <c r="AO76" s="1314">
        <v>22187790</v>
      </c>
      <c r="AP76" s="1314">
        <v>23445276</v>
      </c>
      <c r="AQ76" s="1314">
        <v>23671296</v>
      </c>
      <c r="AR76" s="1314">
        <v>26262640</v>
      </c>
      <c r="AS76" s="1098">
        <v>24155140</v>
      </c>
      <c r="AT76" s="1098">
        <v>28901628</v>
      </c>
    </row>
    <row r="77" spans="2:46" s="85" customFormat="1">
      <c r="B77" t="s">
        <v>293</v>
      </c>
      <c r="C77" s="7" t="s">
        <v>124</v>
      </c>
      <c r="E77" s="126" t="s">
        <v>280</v>
      </c>
      <c r="F77" t="str">
        <f t="shared" si="79"/>
        <v>Liability_TD__profit_before_overhead</v>
      </c>
      <c r="H77" s="85" t="s">
        <v>236</v>
      </c>
      <c r="I77" s="85">
        <f t="shared" ref="I77:AG77" si="98">I62-I66</f>
        <v>1226638552</v>
      </c>
      <c r="J77" s="85">
        <f t="shared" si="98"/>
        <v>16951734105.435135</v>
      </c>
      <c r="K77" s="85">
        <f t="shared" si="98"/>
        <v>896267361.77119827</v>
      </c>
      <c r="L77" s="85">
        <f t="shared" si="98"/>
        <v>1625113960</v>
      </c>
      <c r="M77" s="85">
        <f t="shared" si="98"/>
        <v>2624310747</v>
      </c>
      <c r="N77" s="85">
        <f t="shared" si="98"/>
        <v>4167200283.8382263</v>
      </c>
      <c r="O77" s="85">
        <f t="shared" si="98"/>
        <v>4099490480.17033</v>
      </c>
      <c r="P77" s="85">
        <f t="shared" si="98"/>
        <v>4676261164.4837799</v>
      </c>
      <c r="Q77" s="85">
        <f t="shared" si="98"/>
        <v>4355834808.2627945</v>
      </c>
      <c r="R77" s="85">
        <f t="shared" si="98"/>
        <v>5163801617.4384689</v>
      </c>
      <c r="S77" s="85">
        <f t="shared" si="98"/>
        <v>4504512239.5882492</v>
      </c>
      <c r="T77" s="85">
        <f t="shared" si="98"/>
        <v>3256753042.3607025</v>
      </c>
      <c r="U77" s="85">
        <f t="shared" si="98"/>
        <v>38931481262.047577</v>
      </c>
      <c r="V77" s="85">
        <f t="shared" si="98"/>
        <v>3160543564.9585214</v>
      </c>
      <c r="W77" s="85">
        <f t="shared" si="98"/>
        <v>2360492232.1530061</v>
      </c>
      <c r="X77" s="85">
        <f t="shared" si="98"/>
        <v>4239494720.8276238</v>
      </c>
      <c r="Y77" s="85">
        <f t="shared" si="98"/>
        <v>4307670066.4259062</v>
      </c>
      <c r="Z77" s="85">
        <f t="shared" si="98"/>
        <v>3169775313.1789451</v>
      </c>
      <c r="AA77" s="85">
        <f t="shared" si="98"/>
        <v>3138042548.6263046</v>
      </c>
      <c r="AB77" s="85">
        <f t="shared" si="98"/>
        <v>3479507581.9477892</v>
      </c>
      <c r="AC77" s="85">
        <f t="shared" si="98"/>
        <v>3825984328.7576981</v>
      </c>
      <c r="AD77" s="85">
        <f t="shared" si="98"/>
        <v>3262255616.0790777</v>
      </c>
      <c r="AE77" s="85">
        <f t="shared" si="98"/>
        <v>2862871344.6296759</v>
      </c>
      <c r="AF77" s="85">
        <f t="shared" si="98"/>
        <v>3516284773.6296759</v>
      </c>
      <c r="AG77" s="85">
        <f t="shared" si="98"/>
        <v>1302826960.8333335</v>
      </c>
      <c r="AH77" s="85">
        <f t="shared" si="10"/>
        <v>82819192975.845932</v>
      </c>
      <c r="AI77" s="85">
        <f t="shared" ref="AI77:AT77" si="99">AI62-AI66</f>
        <v>2242518806</v>
      </c>
      <c r="AJ77" s="85">
        <f t="shared" si="99"/>
        <v>4014047843.8995895</v>
      </c>
      <c r="AK77" s="85">
        <f t="shared" si="99"/>
        <v>5632754439.8917923</v>
      </c>
      <c r="AL77" s="85">
        <f t="shared" si="99"/>
        <v>6862536610.1392059</v>
      </c>
      <c r="AM77" s="85">
        <f t="shared" si="99"/>
        <v>5604462708.8405991</v>
      </c>
      <c r="AN77" s="85">
        <f t="shared" si="99"/>
        <v>7557010255.8829803</v>
      </c>
      <c r="AO77" s="85">
        <f t="shared" si="99"/>
        <v>7026286457.589592</v>
      </c>
      <c r="AP77" s="85">
        <f t="shared" si="99"/>
        <v>7295106340.0198212</v>
      </c>
      <c r="AQ77" s="85">
        <f t="shared" si="99"/>
        <v>8116494174.6109238</v>
      </c>
      <c r="AR77" s="85">
        <f t="shared" si="99"/>
        <v>9416883468.3075867</v>
      </c>
      <c r="AS77" s="85">
        <f t="shared" si="99"/>
        <v>9030871280.8159485</v>
      </c>
      <c r="AT77" s="85">
        <f t="shared" si="99"/>
        <v>10020220589.847885</v>
      </c>
    </row>
    <row r="78" spans="2:46" s="86" customFormat="1">
      <c r="B78" t="s">
        <v>293</v>
      </c>
      <c r="C78" s="86" t="s">
        <v>124</v>
      </c>
      <c r="E78" t="s">
        <v>320</v>
      </c>
      <c r="F78" t="str">
        <f t="shared" si="79"/>
        <v>Liability_TD__NIM</v>
      </c>
      <c r="H78" s="86" t="s">
        <v>336</v>
      </c>
      <c r="I78" s="87" t="e">
        <f>(I62-I68)/((I55+#REF!)/2)*12</f>
        <v>#REF!</v>
      </c>
      <c r="J78" s="87">
        <f t="shared" ref="J78:T78" si="100">(J62-J68)/((J55+I55)/2)*12</f>
        <v>9.3259827896804981E-2</v>
      </c>
      <c r="K78" s="87">
        <f t="shared" si="100"/>
        <v>4.3281794696674123E-3</v>
      </c>
      <c r="L78" s="87">
        <f t="shared" si="100"/>
        <v>7.061163734035418E-3</v>
      </c>
      <c r="M78" s="87">
        <f t="shared" si="100"/>
        <v>1.0287085709622156E-2</v>
      </c>
      <c r="N78" s="87">
        <f t="shared" si="100"/>
        <v>1.4423483423843295E-2</v>
      </c>
      <c r="O78" s="87">
        <f t="shared" si="100"/>
        <v>1.2635160422454324E-2</v>
      </c>
      <c r="P78" s="87">
        <f t="shared" si="100"/>
        <v>1.3229539696800668E-2</v>
      </c>
      <c r="Q78" s="87">
        <f t="shared" si="100"/>
        <v>1.1590748501318039E-2</v>
      </c>
      <c r="R78" s="87">
        <f t="shared" si="100"/>
        <v>1.3081844501341276E-2</v>
      </c>
      <c r="S78" s="87">
        <f t="shared" si="100"/>
        <v>1.097365015962656E-2</v>
      </c>
      <c r="T78" s="87">
        <f t="shared" si="100"/>
        <v>7.6066323043229873E-3</v>
      </c>
      <c r="U78" s="87">
        <f>SUM(V78:AG78)</f>
        <v>7.6636453300673327E-2</v>
      </c>
      <c r="V78" s="87">
        <f>(V62-V68)/((V55+T55)/2)*12</f>
        <v>7.3047522200922563E-3</v>
      </c>
      <c r="W78" s="87">
        <f t="shared" ref="W78:AG78" si="101">(W62-W68)/((V55+W55)/2)*12</f>
        <v>4.931717530630297E-3</v>
      </c>
      <c r="X78" s="87">
        <f t="shared" si="101"/>
        <v>8.3624001631502475E-3</v>
      </c>
      <c r="Y78" s="87">
        <f t="shared" si="101"/>
        <v>8.6206964016447788E-3</v>
      </c>
      <c r="Z78" s="87">
        <f t="shared" si="101"/>
        <v>6.1525848443132938E-3</v>
      </c>
      <c r="AA78" s="87">
        <f t="shared" si="101"/>
        <v>6.0443799186362199E-3</v>
      </c>
      <c r="AB78" s="131">
        <f t="shared" si="101"/>
        <v>6.5907631855081821E-3</v>
      </c>
      <c r="AC78" s="131">
        <f t="shared" si="101"/>
        <v>7.0151625393724635E-3</v>
      </c>
      <c r="AD78" s="131">
        <f t="shared" si="101"/>
        <v>5.9291856591140845E-3</v>
      </c>
      <c r="AE78" s="131">
        <f t="shared" si="101"/>
        <v>5.0201094988255391E-3</v>
      </c>
      <c r="AF78" s="131">
        <f t="shared" si="101"/>
        <v>6.464573673161225E-3</v>
      </c>
      <c r="AG78" s="131">
        <f t="shared" si="101"/>
        <v>4.2001276662247348E-3</v>
      </c>
      <c r="AH78" s="131">
        <f>AI78</f>
        <v>4.6909592174317121E-3</v>
      </c>
      <c r="AI78" s="131">
        <f>(AI62-AI68)/AI61/31*365</f>
        <v>4.6909592174317121E-3</v>
      </c>
      <c r="AJ78" s="131">
        <f>(AJ62-AJ68)/AJ61/28*365</f>
        <v>6.3097400170345971E-3</v>
      </c>
      <c r="AK78" s="131">
        <f>(AK62-AK68)/AK61/31*365</f>
        <v>7.3331971007496383E-3</v>
      </c>
      <c r="AL78" s="131">
        <f>(AL62-AL68)/AL61/30*365</f>
        <v>8.7115268123832031E-3</v>
      </c>
      <c r="AM78" s="131">
        <f>(AM62-AM68)/AM61/31*365</f>
        <v>6.8138689133153789E-3</v>
      </c>
      <c r="AN78" s="131">
        <f>(AN62-AN68)/AN61/30*365</f>
        <v>8.5795481106874551E-3</v>
      </c>
      <c r="AO78" s="131">
        <f>(AO62-AO68)/AO61/31*365</f>
        <v>7.6418643679705134E-3</v>
      </c>
      <c r="AP78" s="131">
        <f>(AP62-AP68)/AP61/31*365</f>
        <v>7.8110347728346701E-3</v>
      </c>
      <c r="AQ78" s="131">
        <f>(AQ62-AQ68)/AQ61/30*365</f>
        <v>8.6289509158631802E-3</v>
      </c>
      <c r="AR78" s="131">
        <f>(AR62-AR68)/AR61/31*365</f>
        <v>9.4979951991228436E-3</v>
      </c>
      <c r="AS78" s="131">
        <f>(AS62-AS68)/AS61/30*365</f>
        <v>9.9108038840841021E-3</v>
      </c>
      <c r="AT78" s="131">
        <f>(AT62-AT68)/AT61/31*365</f>
        <v>1.1054393989768138E-2</v>
      </c>
    </row>
    <row r="79" spans="2:46" s="85" customFormat="1">
      <c r="B79" t="s">
        <v>293</v>
      </c>
      <c r="C79" s="7"/>
      <c r="D79" s="7"/>
      <c r="E79"/>
      <c r="F79" t="str">
        <f>B79&amp;"_"&amp;C79&amp;"_"&amp;D79&amp;"_"&amp;E79</f>
        <v>Liability___</v>
      </c>
      <c r="AH79" s="85">
        <f t="shared" si="10"/>
        <v>0</v>
      </c>
    </row>
    <row r="80" spans="2:46" s="85" customFormat="1">
      <c r="B80" t="s">
        <v>293</v>
      </c>
      <c r="C80" s="7" t="s">
        <v>337</v>
      </c>
      <c r="E80"/>
      <c r="F80" t="str">
        <f t="shared" si="79"/>
        <v>Liability_Fee__</v>
      </c>
      <c r="H80" s="1048" t="s">
        <v>338</v>
      </c>
      <c r="I80" s="1048"/>
      <c r="J80" s="1048"/>
      <c r="K80" s="1048"/>
      <c r="L80" s="1048"/>
      <c r="M80" s="1048"/>
      <c r="N80" s="1048"/>
      <c r="O80" s="1048"/>
      <c r="P80" s="1048"/>
      <c r="Q80" s="1048"/>
      <c r="R80" s="1048"/>
      <c r="S80" s="1048"/>
      <c r="T80" s="1048"/>
      <c r="U80" s="1048"/>
      <c r="V80" s="1048"/>
      <c r="W80" s="1048"/>
      <c r="X80" s="1048"/>
      <c r="Y80" s="1048"/>
      <c r="Z80" s="1048"/>
      <c r="AA80" s="1048"/>
      <c r="AB80" s="1048"/>
      <c r="AC80" s="1048"/>
      <c r="AD80" s="1048"/>
      <c r="AE80" s="1048"/>
      <c r="AF80" s="1048"/>
      <c r="AG80" s="1048"/>
      <c r="AH80" s="1048"/>
      <c r="AI80" s="1048"/>
      <c r="AJ80" s="1048"/>
      <c r="AK80" s="1048"/>
      <c r="AL80" s="1048"/>
      <c r="AM80" s="1048"/>
      <c r="AN80" s="1048"/>
      <c r="AO80" s="1048"/>
      <c r="AP80" s="1048"/>
      <c r="AQ80" s="1048"/>
      <c r="AR80" s="1048"/>
      <c r="AS80" s="1048"/>
      <c r="AT80" s="1048"/>
    </row>
    <row r="81" spans="2:46" s="85" customFormat="1">
      <c r="B81" t="s">
        <v>293</v>
      </c>
      <c r="C81" s="7" t="s">
        <v>337</v>
      </c>
      <c r="E81" t="s">
        <v>217</v>
      </c>
      <c r="F81" t="str">
        <f t="shared" si="79"/>
        <v>Liability_Fee__TOI</v>
      </c>
      <c r="H81" s="85" t="s">
        <v>339</v>
      </c>
      <c r="I81" s="85">
        <f t="shared" ref="I81:T81" si="102">I82-I96</f>
        <v>-331313093.63636398</v>
      </c>
      <c r="J81" s="85">
        <f t="shared" si="102"/>
        <v>-328953159.9090907</v>
      </c>
      <c r="K81" s="85">
        <f t="shared" si="102"/>
        <v>-105533188.90909088</v>
      </c>
      <c r="L81" s="85">
        <f t="shared" si="102"/>
        <v>-109294944.90909091</v>
      </c>
      <c r="M81" s="85">
        <f t="shared" si="102"/>
        <v>-291008914.909091</v>
      </c>
      <c r="N81" s="85">
        <f t="shared" si="102"/>
        <v>-276387637.63636345</v>
      </c>
      <c r="O81" s="85">
        <f t="shared" si="102"/>
        <v>-129373031.90909088</v>
      </c>
      <c r="P81" s="85">
        <f t="shared" si="102"/>
        <v>-125361894.90909088</v>
      </c>
      <c r="Q81" s="85">
        <f t="shared" si="102"/>
        <v>-33880948</v>
      </c>
      <c r="R81" s="85">
        <f t="shared" si="102"/>
        <v>-75635624</v>
      </c>
      <c r="S81" s="85">
        <f t="shared" si="102"/>
        <v>-34837136</v>
      </c>
      <c r="T81" s="85">
        <f t="shared" si="102"/>
        <v>34411002</v>
      </c>
      <c r="U81" s="85">
        <f>U82-U96</f>
        <v>18916436541.090908</v>
      </c>
      <c r="V81" s="85">
        <f t="shared" ref="V81:AG81" si="103">V82-V96</f>
        <v>50899217</v>
      </c>
      <c r="W81" s="85">
        <f t="shared" si="103"/>
        <v>36477425.181818187</v>
      </c>
      <c r="X81" s="85">
        <f t="shared" si="103"/>
        <v>2665004079</v>
      </c>
      <c r="Y81" s="85">
        <f t="shared" si="103"/>
        <v>483458196</v>
      </c>
      <c r="Z81" s="85">
        <f t="shared" si="103"/>
        <v>-77554368.181818187</v>
      </c>
      <c r="AA81" s="85">
        <f t="shared" si="103"/>
        <v>2974730492</v>
      </c>
      <c r="AB81" s="85">
        <f t="shared" si="103"/>
        <v>-265069004.90909091</v>
      </c>
      <c r="AC81" s="85">
        <f t="shared" si="103"/>
        <v>-231191455</v>
      </c>
      <c r="AD81" s="85">
        <f t="shared" si="103"/>
        <v>-337482285</v>
      </c>
      <c r="AE81" s="85">
        <f t="shared" si="103"/>
        <v>13189030195</v>
      </c>
      <c r="AF81" s="85">
        <f t="shared" si="103"/>
        <v>448686225</v>
      </c>
      <c r="AG81" s="85">
        <f t="shared" si="103"/>
        <v>-20552175</v>
      </c>
      <c r="AH81" s="85">
        <f t="shared" si="10"/>
        <v>-4367546243</v>
      </c>
      <c r="AI81" s="85">
        <f t="shared" ref="AI81:AT81" si="104">AI82-AI96</f>
        <v>-207105432</v>
      </c>
      <c r="AJ81" s="85">
        <f t="shared" si="104"/>
        <v>-290774545</v>
      </c>
      <c r="AK81" s="85">
        <f t="shared" si="104"/>
        <v>-177709025</v>
      </c>
      <c r="AL81" s="85">
        <f t="shared" si="104"/>
        <v>-378273121</v>
      </c>
      <c r="AM81" s="85">
        <f t="shared" si="104"/>
        <v>-363232881</v>
      </c>
      <c r="AN81" s="85">
        <f>AN82-AN96</f>
        <v>-390209132</v>
      </c>
      <c r="AO81" s="85">
        <f t="shared" si="104"/>
        <v>-434550254</v>
      </c>
      <c r="AP81" s="85">
        <f t="shared" si="104"/>
        <v>-487767612</v>
      </c>
      <c r="AQ81" s="85">
        <f t="shared" si="104"/>
        <v>-520016293</v>
      </c>
      <c r="AR81" s="85">
        <f t="shared" si="104"/>
        <v>-513986531</v>
      </c>
      <c r="AS81" s="85">
        <f t="shared" si="104"/>
        <v>-711251633</v>
      </c>
      <c r="AT81" s="85">
        <f t="shared" si="104"/>
        <v>107330216</v>
      </c>
    </row>
    <row r="82" spans="2:46" s="85" customFormat="1">
      <c r="B82" t="s">
        <v>293</v>
      </c>
      <c r="C82" s="7" t="s">
        <v>337</v>
      </c>
      <c r="E82" s="230" t="s">
        <v>340</v>
      </c>
      <c r="F82" t="str">
        <f t="shared" si="79"/>
        <v>Liability_Fee__fee_incomes</v>
      </c>
      <c r="H82" s="85" t="s">
        <v>341</v>
      </c>
      <c r="I82" s="85">
        <f t="shared" ref="I82:AT82" si="105">I83+I84+I88+I91+I94+I95</f>
        <v>125781553.99999964</v>
      </c>
      <c r="J82" s="85">
        <f t="shared" si="105"/>
        <v>127132140.00000018</v>
      </c>
      <c r="K82" s="85">
        <f t="shared" si="105"/>
        <v>97067857.00000003</v>
      </c>
      <c r="L82" s="85">
        <f t="shared" si="105"/>
        <v>101373982</v>
      </c>
      <c r="M82" s="85">
        <f t="shared" si="105"/>
        <v>105517006.99999991</v>
      </c>
      <c r="N82" s="85">
        <f t="shared" si="105"/>
        <v>115869324.27272744</v>
      </c>
      <c r="O82" s="85">
        <f t="shared" si="105"/>
        <v>156682659</v>
      </c>
      <c r="P82" s="85">
        <f t="shared" si="105"/>
        <v>151663483</v>
      </c>
      <c r="Q82" s="85">
        <f t="shared" si="105"/>
        <v>155870512</v>
      </c>
      <c r="R82" s="85">
        <f t="shared" si="105"/>
        <v>160982936</v>
      </c>
      <c r="S82" s="85">
        <f t="shared" si="105"/>
        <v>137508472</v>
      </c>
      <c r="T82" s="85">
        <f t="shared" si="105"/>
        <v>131638384</v>
      </c>
      <c r="U82" s="85">
        <f t="shared" si="105"/>
        <v>24068455379.090908</v>
      </c>
      <c r="V82" s="85">
        <f t="shared" si="105"/>
        <v>138861179</v>
      </c>
      <c r="W82" s="85">
        <f t="shared" si="105"/>
        <v>147672156.18181819</v>
      </c>
      <c r="X82" s="85">
        <f t="shared" si="105"/>
        <v>3076951653</v>
      </c>
      <c r="Y82" s="85">
        <f t="shared" si="105"/>
        <v>919490300</v>
      </c>
      <c r="Z82" s="85">
        <f t="shared" si="105"/>
        <v>377743769.81818181</v>
      </c>
      <c r="AA82" s="85">
        <f t="shared" si="105"/>
        <v>3486471790</v>
      </c>
      <c r="AB82" s="85">
        <f t="shared" si="105"/>
        <v>216437122.09090909</v>
      </c>
      <c r="AC82" s="85">
        <f t="shared" si="105"/>
        <v>212156566</v>
      </c>
      <c r="AD82" s="85">
        <f t="shared" si="105"/>
        <v>165802846</v>
      </c>
      <c r="AE82" s="85">
        <f t="shared" si="105"/>
        <v>13711673122</v>
      </c>
      <c r="AF82" s="85">
        <f t="shared" si="105"/>
        <v>1081816261</v>
      </c>
      <c r="AG82" s="85">
        <f t="shared" si="105"/>
        <v>533378614</v>
      </c>
      <c r="AH82" s="85">
        <f t="shared" si="105"/>
        <v>3241900464</v>
      </c>
      <c r="AI82" s="85">
        <f t="shared" si="105"/>
        <v>421339980</v>
      </c>
      <c r="AJ82" s="85">
        <f t="shared" si="105"/>
        <v>160396335</v>
      </c>
      <c r="AK82" s="85">
        <f t="shared" si="105"/>
        <v>302179951</v>
      </c>
      <c r="AL82" s="85">
        <f t="shared" si="105"/>
        <v>218238735</v>
      </c>
      <c r="AM82" s="85">
        <f t="shared" si="105"/>
        <v>292368670</v>
      </c>
      <c r="AN82" s="85">
        <f>AN83+AN84+AN88+AN91+AN94+AN95</f>
        <v>293731604</v>
      </c>
      <c r="AO82" s="85">
        <f t="shared" si="105"/>
        <v>248926546</v>
      </c>
      <c r="AP82" s="85">
        <f>AP83+AP84+AP88+AP91+AP94+AP95+AP87</f>
        <v>268474276</v>
      </c>
      <c r="AQ82" s="85">
        <f>AQ83+AQ84+AQ88+AQ91+AQ94+AQ95+AQ87</f>
        <v>270684811</v>
      </c>
      <c r="AR82" s="85">
        <f t="shared" si="105"/>
        <v>284127341</v>
      </c>
      <c r="AS82" s="85">
        <f t="shared" si="105"/>
        <v>245675839</v>
      </c>
      <c r="AT82" s="85">
        <f t="shared" si="105"/>
        <v>285465476</v>
      </c>
    </row>
    <row r="83" spans="2:46" s="85" customFormat="1">
      <c r="B83" t="s">
        <v>293</v>
      </c>
      <c r="C83" s="7" t="s">
        <v>337</v>
      </c>
      <c r="E83" t="s">
        <v>342</v>
      </c>
      <c r="F83" t="str">
        <f t="shared" ref="F83:F113" si="106">B83&amp;"_"&amp;C83&amp;"_"&amp;D83&amp;"_"&amp;E83</f>
        <v>Liability_Fee__R_VNpay</v>
      </c>
      <c r="H83" s="324" t="s">
        <v>343</v>
      </c>
      <c r="I83" s="86">
        <v>1024847</v>
      </c>
      <c r="J83" s="86">
        <v>4388234</v>
      </c>
      <c r="K83" s="86">
        <v>4024423</v>
      </c>
      <c r="L83" s="86">
        <v>4905283</v>
      </c>
      <c r="M83" s="86">
        <v>5613223</v>
      </c>
      <c r="N83" s="86">
        <v>6204201</v>
      </c>
      <c r="O83" s="86">
        <v>7027389</v>
      </c>
      <c r="P83" s="86">
        <v>1700201</v>
      </c>
      <c r="Q83" s="86">
        <v>7016158</v>
      </c>
      <c r="R83" s="86">
        <v>9248762</v>
      </c>
      <c r="S83" s="86"/>
      <c r="T83" s="86"/>
      <c r="U83" s="86">
        <f>SUM(V83:AG83)</f>
        <v>133053437</v>
      </c>
      <c r="V83" s="86">
        <v>9511090</v>
      </c>
      <c r="W83" s="86">
        <v>11555154</v>
      </c>
      <c r="X83" s="86">
        <v>15938225</v>
      </c>
      <c r="Y83" s="86">
        <v>7742999</v>
      </c>
      <c r="Z83" s="86">
        <v>16558020</v>
      </c>
      <c r="AA83" s="86">
        <v>8782142</v>
      </c>
      <c r="AB83" s="86">
        <v>8945340</v>
      </c>
      <c r="AC83" s="86">
        <v>9539170</v>
      </c>
      <c r="AD83" s="86">
        <v>10545568</v>
      </c>
      <c r="AE83" s="34">
        <v>10742450</v>
      </c>
      <c r="AF83" s="86">
        <v>10742450</v>
      </c>
      <c r="AG83" s="86">
        <v>12450829</v>
      </c>
      <c r="AH83" s="86">
        <f t="shared" ref="AH83:AH100" si="107">SUM(AI83:AT83)</f>
        <v>166446175</v>
      </c>
      <c r="AI83" s="86">
        <v>9620432</v>
      </c>
      <c r="AJ83" s="86">
        <v>12192592</v>
      </c>
      <c r="AK83" s="86">
        <v>13700326</v>
      </c>
      <c r="AL83" s="86"/>
      <c r="AM83" s="86">
        <v>20341309</v>
      </c>
      <c r="AN83" s="86">
        <v>29331878</v>
      </c>
      <c r="AO83" s="86"/>
      <c r="AP83" s="86">
        <v>14921132</v>
      </c>
      <c r="AQ83" s="86">
        <v>6320455</v>
      </c>
      <c r="AR83" s="86">
        <v>19210701</v>
      </c>
      <c r="AS83" s="86">
        <v>20437086</v>
      </c>
      <c r="AT83" s="86">
        <v>20370264</v>
      </c>
    </row>
    <row r="84" spans="2:46" s="85" customFormat="1">
      <c r="B84" t="s">
        <v>293</v>
      </c>
      <c r="C84" s="7" t="s">
        <v>337</v>
      </c>
      <c r="E84" t="s">
        <v>344</v>
      </c>
      <c r="F84" t="str">
        <f t="shared" si="106"/>
        <v>Liability_Fee__R_Napas</v>
      </c>
      <c r="H84" s="324" t="s">
        <v>345</v>
      </c>
      <c r="I84" s="86">
        <v>84625991</v>
      </c>
      <c r="J84" s="86">
        <v>71524855</v>
      </c>
      <c r="K84" s="86">
        <v>52383227</v>
      </c>
      <c r="L84" s="86">
        <v>57989959</v>
      </c>
      <c r="M84" s="86">
        <v>58982700</v>
      </c>
      <c r="N84" s="86">
        <v>68362167</v>
      </c>
      <c r="O84" s="86">
        <v>102331056</v>
      </c>
      <c r="P84" s="86">
        <v>86798401</v>
      </c>
      <c r="Q84" s="86">
        <v>90403763</v>
      </c>
      <c r="R84" s="86">
        <v>93536110</v>
      </c>
      <c r="S84" s="86">
        <v>84742999</v>
      </c>
      <c r="T84" s="86">
        <v>68719739</v>
      </c>
      <c r="U84" s="86">
        <f t="shared" ref="U84:U100" si="108">SUM(V84:AG84)</f>
        <v>561965042</v>
      </c>
      <c r="V84" s="86">
        <v>33614687</v>
      </c>
      <c r="W84" s="86">
        <v>61642364</v>
      </c>
      <c r="X84" s="86">
        <v>33262203</v>
      </c>
      <c r="Y84" s="86">
        <v>58847346</v>
      </c>
      <c r="Z84" s="86">
        <v>30940911</v>
      </c>
      <c r="AA84" s="86">
        <v>46558669</v>
      </c>
      <c r="AB84" s="86">
        <v>46783626</v>
      </c>
      <c r="AC84" s="86">
        <v>47703750</v>
      </c>
      <c r="AD84" s="86">
        <v>48341777</v>
      </c>
      <c r="AE84" s="86">
        <v>55670830</v>
      </c>
      <c r="AF84" s="34">
        <v>49765206</v>
      </c>
      <c r="AG84" s="86">
        <v>48833673</v>
      </c>
      <c r="AH84" s="86">
        <f t="shared" si="107"/>
        <v>732446539</v>
      </c>
      <c r="AI84" s="86">
        <v>52295822</v>
      </c>
      <c r="AJ84" s="86">
        <v>50487578</v>
      </c>
      <c r="AK84" s="86">
        <v>44293151</v>
      </c>
      <c r="AL84" s="86">
        <v>43798961</v>
      </c>
      <c r="AM84" s="86">
        <v>48940205</v>
      </c>
      <c r="AN84" s="86">
        <v>71607982</v>
      </c>
      <c r="AO84" s="86">
        <f>131282359-AO89-AO90</f>
        <v>50937668</v>
      </c>
      <c r="AP84" s="86">
        <v>54885138</v>
      </c>
      <c r="AQ84" s="86">
        <v>66700105</v>
      </c>
      <c r="AR84" s="86">
        <v>83065617</v>
      </c>
      <c r="AS84" s="86">
        <v>83684784</v>
      </c>
      <c r="AT84" s="86">
        <v>81749528</v>
      </c>
    </row>
    <row r="85" spans="2:46" s="85" customFormat="1">
      <c r="B85"/>
      <c r="C85" s="7"/>
      <c r="E85"/>
      <c r="F85"/>
      <c r="H85" s="324" t="s">
        <v>346</v>
      </c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34"/>
      <c r="AG85" s="86"/>
      <c r="AH85" s="86"/>
      <c r="AI85" s="86"/>
      <c r="AJ85" s="86"/>
      <c r="AK85" s="86"/>
      <c r="AL85" s="86"/>
      <c r="AM85" s="86"/>
      <c r="AN85" s="86"/>
      <c r="AO85" s="86" t="s">
        <v>347</v>
      </c>
      <c r="AP85" s="86"/>
      <c r="AQ85" s="86"/>
      <c r="AR85" s="86"/>
      <c r="AS85" s="86"/>
      <c r="AT85" s="86"/>
    </row>
    <row r="86" spans="2:46" s="85" customFormat="1">
      <c r="B86"/>
      <c r="C86" s="7"/>
      <c r="E86"/>
      <c r="F86"/>
      <c r="H86" s="324" t="s">
        <v>348</v>
      </c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34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</row>
    <row r="87" spans="2:46" s="85" customFormat="1">
      <c r="B87"/>
      <c r="C87" s="7"/>
      <c r="E87"/>
      <c r="F87"/>
      <c r="H87" s="324" t="s">
        <v>349</v>
      </c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34"/>
      <c r="AG87" s="86"/>
      <c r="AH87" s="86"/>
      <c r="AI87" s="86"/>
      <c r="AJ87" s="86"/>
      <c r="AK87" s="86"/>
      <c r="AL87" s="86"/>
      <c r="AM87" s="86"/>
      <c r="AN87" s="86"/>
      <c r="AO87" s="86"/>
      <c r="AP87" s="86">
        <v>22707300</v>
      </c>
      <c r="AQ87" s="86">
        <v>27001800</v>
      </c>
      <c r="AR87" s="86">
        <v>30253800</v>
      </c>
      <c r="AS87" s="86">
        <v>29373300</v>
      </c>
      <c r="AT87" s="86">
        <v>29614200</v>
      </c>
    </row>
    <row r="88" spans="2:46" s="85" customFormat="1">
      <c r="B88" t="s">
        <v>293</v>
      </c>
      <c r="C88" s="7" t="s">
        <v>337</v>
      </c>
      <c r="E88" t="s">
        <v>350</v>
      </c>
      <c r="F88" t="str">
        <f t="shared" si="106"/>
        <v>Liability_Fee__R_Payoo</v>
      </c>
      <c r="H88" s="324" t="s">
        <v>30</v>
      </c>
      <c r="I88" s="86">
        <f t="shared" ref="I88:T88" si="109">I89+I90</f>
        <v>40130715.999999635</v>
      </c>
      <c r="J88" s="86">
        <f t="shared" si="109"/>
        <v>51219051.000000186</v>
      </c>
      <c r="K88" s="86">
        <f t="shared" si="109"/>
        <v>40660207.000000022</v>
      </c>
      <c r="L88" s="86">
        <f t="shared" si="109"/>
        <v>38478740</v>
      </c>
      <c r="M88" s="86">
        <f t="shared" si="109"/>
        <v>40921083.999999911</v>
      </c>
      <c r="N88" s="86">
        <f t="shared" si="109"/>
        <v>41302956.272727445</v>
      </c>
      <c r="O88" s="86">
        <f t="shared" si="109"/>
        <v>47324214</v>
      </c>
      <c r="P88" s="86">
        <f t="shared" si="109"/>
        <v>63164881</v>
      </c>
      <c r="Q88" s="86">
        <f t="shared" si="109"/>
        <v>58450591</v>
      </c>
      <c r="R88" s="86">
        <f t="shared" si="109"/>
        <v>58198064</v>
      </c>
      <c r="S88" s="86">
        <f t="shared" si="109"/>
        <v>52765473</v>
      </c>
      <c r="T88" s="86">
        <f t="shared" si="109"/>
        <v>62918645</v>
      </c>
      <c r="U88" s="86">
        <f t="shared" si="108"/>
        <v>931003445.00000012</v>
      </c>
      <c r="V88" s="86">
        <f t="shared" ref="V88:AG88" si="110">V89+V90</f>
        <v>71031154</v>
      </c>
      <c r="W88" s="85">
        <f t="shared" si="110"/>
        <v>60407573.18181818</v>
      </c>
      <c r="X88" s="85">
        <f t="shared" si="110"/>
        <v>69962901</v>
      </c>
      <c r="Y88" s="85">
        <f t="shared" si="110"/>
        <v>67952746</v>
      </c>
      <c r="Z88" s="85">
        <f t="shared" si="110"/>
        <v>76903890.818181813</v>
      </c>
      <c r="AA88" s="85">
        <f t="shared" si="110"/>
        <v>75315209</v>
      </c>
      <c r="AB88" s="85">
        <f t="shared" si="110"/>
        <v>79216437</v>
      </c>
      <c r="AC88" s="85">
        <f t="shared" si="110"/>
        <v>78941409</v>
      </c>
      <c r="AD88" s="85">
        <f t="shared" si="110"/>
        <v>91732836</v>
      </c>
      <c r="AE88" s="85">
        <f t="shared" si="110"/>
        <v>87793555.000000089</v>
      </c>
      <c r="AF88" s="85">
        <f t="shared" si="110"/>
        <v>88260427</v>
      </c>
      <c r="AG88" s="85">
        <f t="shared" si="110"/>
        <v>83485307</v>
      </c>
      <c r="AH88" s="85">
        <f t="shared" si="107"/>
        <v>993181242</v>
      </c>
      <c r="AI88" s="85">
        <f>AI89+AI90</f>
        <v>77716977</v>
      </c>
      <c r="AJ88" s="85">
        <f t="shared" ref="AJ88:AT88" si="111">AJ89+AJ90</f>
        <v>67309473</v>
      </c>
      <c r="AK88" s="85">
        <f t="shared" si="111"/>
        <v>76734210</v>
      </c>
      <c r="AL88" s="85">
        <f t="shared" si="111"/>
        <v>74361945</v>
      </c>
      <c r="AM88" s="85">
        <f>AM89+AM90</f>
        <v>71059507</v>
      </c>
      <c r="AN88" s="85">
        <f t="shared" si="111"/>
        <v>76541703</v>
      </c>
      <c r="AO88" s="85">
        <f t="shared" si="111"/>
        <v>80344691</v>
      </c>
      <c r="AP88" s="85">
        <f t="shared" si="111"/>
        <v>84933690</v>
      </c>
      <c r="AQ88" s="85">
        <f t="shared" si="111"/>
        <v>84635998</v>
      </c>
      <c r="AR88" s="85">
        <f t="shared" si="111"/>
        <v>95216321</v>
      </c>
      <c r="AS88" s="85">
        <f t="shared" si="111"/>
        <v>92067336</v>
      </c>
      <c r="AT88" s="85">
        <f t="shared" si="111"/>
        <v>112259391</v>
      </c>
    </row>
    <row r="89" spans="2:46" s="85" customFormat="1">
      <c r="B89" t="s">
        <v>293</v>
      </c>
      <c r="C89" s="7" t="s">
        <v>337</v>
      </c>
      <c r="E89" t="s">
        <v>351</v>
      </c>
      <c r="F89" t="str">
        <f t="shared" si="106"/>
        <v>Liability_Fee__R_Mobile top up payoo</v>
      </c>
      <c r="H89" s="1088" t="s">
        <v>32</v>
      </c>
      <c r="I89" s="86">
        <v>34064352.363636002</v>
      </c>
      <c r="J89" s="86">
        <v>43117232.818182006</v>
      </c>
      <c r="K89" s="86">
        <v>34727025.181818202</v>
      </c>
      <c r="L89" s="86">
        <v>32439649.090909094</v>
      </c>
      <c r="M89" s="86">
        <v>35936993.090909004</v>
      </c>
      <c r="N89" s="86">
        <v>37186138.090909265</v>
      </c>
      <c r="O89" s="86">
        <v>43161486.727272727</v>
      </c>
      <c r="P89" s="86">
        <v>59754881</v>
      </c>
      <c r="Q89" s="86">
        <v>56713772.81818182</v>
      </c>
      <c r="R89" s="86">
        <v>56763973.090909094</v>
      </c>
      <c r="S89" s="86">
        <v>51086836.636363633</v>
      </c>
      <c r="T89" s="86">
        <v>61345008.636363633</v>
      </c>
      <c r="U89" s="86">
        <f>SUM(V89:AG89)</f>
        <v>917593445.00000012</v>
      </c>
      <c r="V89" s="86">
        <v>71031154</v>
      </c>
      <c r="W89" s="86">
        <v>58985755</v>
      </c>
      <c r="X89" s="86">
        <v>68709264.63636364</v>
      </c>
      <c r="Y89" s="86">
        <f>67952746-Y90</f>
        <v>66560927.81818182</v>
      </c>
      <c r="Z89" s="86">
        <v>75610709</v>
      </c>
      <c r="AA89" s="86">
        <f>75315209-AA90</f>
        <v>73939299.909090906</v>
      </c>
      <c r="AB89" s="86">
        <f>79216437-AB90</f>
        <v>78374618.818181813</v>
      </c>
      <c r="AC89" s="86">
        <v>77947772.63636364</v>
      </c>
      <c r="AD89" s="86">
        <f>91732836-AD90</f>
        <v>90847836</v>
      </c>
      <c r="AE89" s="86">
        <v>86677645.909090996</v>
      </c>
      <c r="AF89" s="86">
        <v>86820881.545454547</v>
      </c>
      <c r="AG89" s="86">
        <v>82087579.727272734</v>
      </c>
      <c r="AH89" s="86">
        <f t="shared" si="107"/>
        <v>975632241.99999976</v>
      </c>
      <c r="AI89" s="86">
        <v>76338795.181818187</v>
      </c>
      <c r="AJ89" s="86">
        <v>65931291.18181818</v>
      </c>
      <c r="AK89" s="86">
        <f>76734210-AK90</f>
        <v>74248119.090909094</v>
      </c>
      <c r="AL89" s="86">
        <f>74361945-AL90</f>
        <v>71875854.090909094</v>
      </c>
      <c r="AM89" s="86">
        <f>71059507-AM90</f>
        <v>69810416.090909094</v>
      </c>
      <c r="AN89" s="86">
        <f>76541703-AN90</f>
        <v>75305793.909090906</v>
      </c>
      <c r="AO89" s="86">
        <f>80344691-AO90</f>
        <v>79108781.909090906</v>
      </c>
      <c r="AP89" s="86">
        <f>84933690-AP90</f>
        <v>83697780.909090906</v>
      </c>
      <c r="AQ89" s="86">
        <f>84635998-AQ90</f>
        <v>83400088.909090906</v>
      </c>
      <c r="AR89" s="86">
        <f>95216321-AR90</f>
        <v>93980411.909090906</v>
      </c>
      <c r="AS89" s="86">
        <f>92067336-AS90</f>
        <v>90871426.909090906</v>
      </c>
      <c r="AT89" s="86">
        <f>112259391-AT90</f>
        <v>111063481.90909091</v>
      </c>
    </row>
    <row r="90" spans="2:46" s="85" customFormat="1">
      <c r="B90" t="s">
        <v>293</v>
      </c>
      <c r="C90" s="7" t="s">
        <v>337</v>
      </c>
      <c r="E90" t="s">
        <v>352</v>
      </c>
      <c r="F90" t="str">
        <f t="shared" si="106"/>
        <v>Liability_Fee__R_Bill payment payoo</v>
      </c>
      <c r="H90" s="1088" t="s">
        <v>31</v>
      </c>
      <c r="I90" s="86">
        <v>6066363.6363636358</v>
      </c>
      <c r="J90" s="86">
        <v>8101818.1818181807</v>
      </c>
      <c r="K90" s="86">
        <v>5933181.8181818174</v>
      </c>
      <c r="L90" s="86">
        <v>6039090.9090909082</v>
      </c>
      <c r="M90" s="86">
        <v>4984090.9090909082</v>
      </c>
      <c r="N90" s="86">
        <v>4116818.1818181816</v>
      </c>
      <c r="O90" s="86">
        <v>4162727.2727272701</v>
      </c>
      <c r="P90" s="86">
        <v>3409999.9999999995</v>
      </c>
      <c r="Q90" s="86">
        <v>1736818.1818181816</v>
      </c>
      <c r="R90" s="86">
        <v>1434090.9090909089</v>
      </c>
      <c r="S90" s="86">
        <v>1678636.3636363635</v>
      </c>
      <c r="T90" s="86">
        <v>1573636.3636363635</v>
      </c>
      <c r="U90" s="86">
        <f t="shared" si="108"/>
        <v>13410000.000000002</v>
      </c>
      <c r="V90" s="86"/>
      <c r="W90" s="86">
        <f>1564000/1.1</f>
        <v>1421818.1818181816</v>
      </c>
      <c r="X90" s="86">
        <v>1253636.3636363635</v>
      </c>
      <c r="Y90" s="86">
        <v>1391818.1818181816</v>
      </c>
      <c r="Z90" s="86">
        <v>1293181.8181818181</v>
      </c>
      <c r="AA90" s="86">
        <v>1375909.0909090908</v>
      </c>
      <c r="AB90" s="86">
        <f>926000/1.1</f>
        <v>841818.18181818177</v>
      </c>
      <c r="AC90" s="86">
        <v>993636.36363636353</v>
      </c>
      <c r="AD90" s="86">
        <v>884999.99999999988</v>
      </c>
      <c r="AE90" s="86">
        <v>1115909.0909090908</v>
      </c>
      <c r="AF90" s="86">
        <v>1439545.4545454544</v>
      </c>
      <c r="AG90" s="86">
        <v>1397727.2727272727</v>
      </c>
      <c r="AH90" s="86">
        <f t="shared" si="107"/>
        <v>17548999.999999993</v>
      </c>
      <c r="AI90" s="86">
        <v>1378181.8181818181</v>
      </c>
      <c r="AJ90" s="86">
        <v>1378181.8181818181</v>
      </c>
      <c r="AK90" s="86">
        <f>2734700/1.1</f>
        <v>2486090.9090909087</v>
      </c>
      <c r="AL90" s="86">
        <f>2734700/1.1</f>
        <v>2486090.9090909087</v>
      </c>
      <c r="AM90" s="86">
        <v>1249090.9090909089</v>
      </c>
      <c r="AN90" s="86">
        <v>1235909.0909090908</v>
      </c>
      <c r="AO90" s="86">
        <v>1235909.0909090908</v>
      </c>
      <c r="AP90" s="86">
        <v>1235909.0909090908</v>
      </c>
      <c r="AQ90" s="86">
        <v>1235909.0909090908</v>
      </c>
      <c r="AR90" s="86">
        <v>1235909.0909090908</v>
      </c>
      <c r="AS90" s="86">
        <f>1315500/1.1</f>
        <v>1195909.0909090908</v>
      </c>
      <c r="AT90" s="86">
        <f>1315500/1.1</f>
        <v>1195909.0909090908</v>
      </c>
    </row>
    <row r="91" spans="2:46" s="85" customFormat="1">
      <c r="B91" t="s">
        <v>293</v>
      </c>
      <c r="C91" s="7" t="s">
        <v>337</v>
      </c>
      <c r="E91" t="s">
        <v>353</v>
      </c>
      <c r="F91" t="str">
        <f t="shared" si="106"/>
        <v>Liability_Fee__R_Micro investment</v>
      </c>
      <c r="H91" s="324" t="s">
        <v>354</v>
      </c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>
        <f t="shared" si="108"/>
        <v>183050588.09090909</v>
      </c>
      <c r="V91" s="86">
        <f t="shared" ref="V91:AC91" si="112">V92+V93</f>
        <v>24704248</v>
      </c>
      <c r="W91" s="86">
        <f t="shared" si="112"/>
        <v>14067065</v>
      </c>
      <c r="X91" s="86">
        <f t="shared" si="112"/>
        <v>18238324</v>
      </c>
      <c r="Y91" s="86">
        <f t="shared" si="112"/>
        <v>19897209</v>
      </c>
      <c r="Z91" s="86">
        <f t="shared" si="112"/>
        <v>22154924</v>
      </c>
      <c r="AA91" s="86">
        <f t="shared" si="112"/>
        <v>22154924</v>
      </c>
      <c r="AB91" s="86">
        <f t="shared" si="112"/>
        <v>32141265.090909101</v>
      </c>
      <c r="AC91" s="86">
        <f t="shared" si="112"/>
        <v>29692629</v>
      </c>
      <c r="AD91" s="86"/>
      <c r="AE91" s="86"/>
      <c r="AF91" s="86"/>
      <c r="AG91" s="86"/>
      <c r="AH91" s="86">
        <f t="shared" si="107"/>
        <v>368563414</v>
      </c>
      <c r="AI91" s="86">
        <f>AI92+AI93</f>
        <v>33657088</v>
      </c>
      <c r="AJ91" s="86">
        <f t="shared" ref="AJ91:AT91" si="113">AJ92+AJ93</f>
        <v>30406692</v>
      </c>
      <c r="AK91" s="86">
        <f t="shared" si="113"/>
        <v>32744379</v>
      </c>
      <c r="AL91" s="86">
        <f t="shared" si="113"/>
        <v>31163899</v>
      </c>
      <c r="AM91" s="86">
        <f t="shared" si="113"/>
        <v>34677614</v>
      </c>
      <c r="AN91" s="86">
        <f t="shared" si="113"/>
        <v>33978281</v>
      </c>
      <c r="AO91" s="86">
        <f t="shared" si="113"/>
        <v>36796055</v>
      </c>
      <c r="AP91" s="86">
        <f t="shared" si="113"/>
        <v>30507785</v>
      </c>
      <c r="AQ91" s="86">
        <f t="shared" si="113"/>
        <v>30507785</v>
      </c>
      <c r="AR91" s="86">
        <f t="shared" si="113"/>
        <v>31377054</v>
      </c>
      <c r="AS91" s="86">
        <f t="shared" si="113"/>
        <v>9619320</v>
      </c>
      <c r="AT91" s="86">
        <f t="shared" si="113"/>
        <v>33127462</v>
      </c>
    </row>
    <row r="92" spans="2:46" s="85" customFormat="1">
      <c r="B92" t="s">
        <v>293</v>
      </c>
      <c r="C92" s="7" t="s">
        <v>337</v>
      </c>
      <c r="E92" t="s">
        <v>355</v>
      </c>
      <c r="F92" t="str">
        <f t="shared" si="106"/>
        <v>Liability_Fee__R_DCinvestment</v>
      </c>
      <c r="H92" s="1088" t="s">
        <v>356</v>
      </c>
      <c r="T92" s="86"/>
      <c r="U92" s="86">
        <f t="shared" si="108"/>
        <v>322826762.09090912</v>
      </c>
      <c r="V92" s="86">
        <f>24.704248*10^6</f>
        <v>24704248</v>
      </c>
      <c r="W92" s="86">
        <f>14.067065*10^6</f>
        <v>14067065</v>
      </c>
      <c r="X92" s="86">
        <v>18238324</v>
      </c>
      <c r="Y92" s="86">
        <v>19897209</v>
      </c>
      <c r="Z92" s="86">
        <v>22154924</v>
      </c>
      <c r="AA92" s="86">
        <v>22154924</v>
      </c>
      <c r="AB92" s="34">
        <v>32141265.090909101</v>
      </c>
      <c r="AC92" s="86">
        <v>29692629</v>
      </c>
      <c r="AD92" s="86">
        <v>35579935</v>
      </c>
      <c r="AE92" s="86">
        <v>34671406</v>
      </c>
      <c r="AF92" s="86">
        <v>34278538</v>
      </c>
      <c r="AG92" s="86">
        <v>35246295</v>
      </c>
      <c r="AH92" s="86">
        <f t="shared" si="107"/>
        <v>368563414</v>
      </c>
      <c r="AI92" s="86">
        <v>33657088</v>
      </c>
      <c r="AJ92" s="86">
        <v>30406692</v>
      </c>
      <c r="AK92" s="86">
        <v>32744379</v>
      </c>
      <c r="AL92" s="7">
        <v>31163899</v>
      </c>
      <c r="AM92" s="86">
        <v>34677614</v>
      </c>
      <c r="AN92" s="86">
        <v>33978281</v>
      </c>
      <c r="AO92" s="86">
        <v>36796055</v>
      </c>
      <c r="AP92" s="86">
        <v>30507785</v>
      </c>
      <c r="AQ92" s="86">
        <v>30507785</v>
      </c>
      <c r="AR92" s="86">
        <v>31377054</v>
      </c>
      <c r="AS92" s="86">
        <v>9619320</v>
      </c>
      <c r="AT92" s="86">
        <v>33127462</v>
      </c>
    </row>
    <row r="93" spans="2:46" s="85" customFormat="1">
      <c r="B93" t="s">
        <v>293</v>
      </c>
      <c r="C93" s="7" t="s">
        <v>337</v>
      </c>
      <c r="E93" t="s">
        <v>357</v>
      </c>
      <c r="F93" t="str">
        <f t="shared" si="106"/>
        <v>Liability_Fee__R_VPBSinvestment</v>
      </c>
      <c r="H93" s="1088" t="s">
        <v>358</v>
      </c>
      <c r="T93" s="86"/>
      <c r="U93" s="86">
        <f>U94</f>
        <v>22259382867</v>
      </c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>
        <f t="shared" si="107"/>
        <v>0</v>
      </c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</row>
    <row r="94" spans="2:46" s="85" customFormat="1">
      <c r="B94" t="s">
        <v>293</v>
      </c>
      <c r="C94" s="7" t="s">
        <v>337</v>
      </c>
      <c r="E94" s="230" t="s">
        <v>359</v>
      </c>
      <c r="F94" t="str">
        <f t="shared" si="106"/>
        <v>Liability_Fee__inactive_income_fee</v>
      </c>
      <c r="H94" s="324" t="s">
        <v>360</v>
      </c>
      <c r="T94" s="86"/>
      <c r="U94" s="86">
        <f t="shared" si="108"/>
        <v>22259382867</v>
      </c>
      <c r="V94" s="86"/>
      <c r="W94" s="86"/>
      <c r="X94" s="85">
        <v>2939550000</v>
      </c>
      <c r="Y94" s="85">
        <v>765050000</v>
      </c>
      <c r="Z94" s="85">
        <v>231186024</v>
      </c>
      <c r="AA94" s="85">
        <v>3333660846</v>
      </c>
      <c r="AB94" s="86">
        <v>49350454</v>
      </c>
      <c r="AC94" s="86">
        <v>46279608</v>
      </c>
      <c r="AD94" s="86">
        <v>15182665</v>
      </c>
      <c r="AE94" s="86">
        <v>13557466287</v>
      </c>
      <c r="AF94" s="34">
        <v>933048178</v>
      </c>
      <c r="AG94" s="86">
        <v>388608805</v>
      </c>
      <c r="AH94" s="86">
        <f t="shared" si="107"/>
        <v>981263094</v>
      </c>
      <c r="AI94" s="86">
        <v>248049661</v>
      </c>
      <c r="AJ94" s="86"/>
      <c r="AK94" s="86">
        <v>134707885</v>
      </c>
      <c r="AL94" s="86">
        <v>68913930</v>
      </c>
      <c r="AM94" s="86">
        <v>117350035</v>
      </c>
      <c r="AN94" s="86">
        <v>82271760</v>
      </c>
      <c r="AO94" s="86">
        <v>80848132</v>
      </c>
      <c r="AP94" s="86">
        <v>60519231</v>
      </c>
      <c r="AQ94" s="86">
        <v>55518668</v>
      </c>
      <c r="AR94" s="86">
        <v>55257648</v>
      </c>
      <c r="AS94" s="86">
        <v>39867313</v>
      </c>
      <c r="AT94" s="86">
        <v>37958831</v>
      </c>
    </row>
    <row r="95" spans="2:46" s="85" customFormat="1">
      <c r="B95" t="s">
        <v>293</v>
      </c>
      <c r="C95" s="7" t="s">
        <v>337</v>
      </c>
      <c r="E95" s="230" t="s">
        <v>361</v>
      </c>
      <c r="F95" t="str">
        <f>B95&amp;"_"&amp;C95&amp;"_"&amp;D95&amp;"_"&amp;E95</f>
        <v>Liability_Fee__other_income_fee</v>
      </c>
      <c r="H95" s="324" t="s">
        <v>226</v>
      </c>
      <c r="T95" s="86"/>
      <c r="U95" s="86"/>
      <c r="V95" s="86"/>
      <c r="W95" s="86"/>
      <c r="AB95" s="86"/>
      <c r="AC95" s="86"/>
      <c r="AD95" s="86"/>
      <c r="AE95" s="86"/>
      <c r="AF95" s="34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</row>
    <row r="96" spans="2:46" s="85" customFormat="1">
      <c r="B96" t="s">
        <v>293</v>
      </c>
      <c r="C96" s="7" t="s">
        <v>337</v>
      </c>
      <c r="E96" s="230" t="s">
        <v>362</v>
      </c>
      <c r="F96" t="str">
        <f t="shared" si="106"/>
        <v>Liability_Fee__fee_expenses</v>
      </c>
      <c r="H96" s="85" t="s">
        <v>363</v>
      </c>
      <c r="I96" s="85">
        <f t="shared" ref="I96:T96" si="114">SUM(I97:I101)</f>
        <v>457094647.63636363</v>
      </c>
      <c r="J96" s="85">
        <f t="shared" si="114"/>
        <v>456085299.90909088</v>
      </c>
      <c r="K96" s="85">
        <f t="shared" si="114"/>
        <v>202601045.90909091</v>
      </c>
      <c r="L96" s="85">
        <f t="shared" si="114"/>
        <v>210668926.90909091</v>
      </c>
      <c r="M96" s="85">
        <f t="shared" si="114"/>
        <v>396525921.90909088</v>
      </c>
      <c r="N96" s="85">
        <f t="shared" si="114"/>
        <v>392256961.90909088</v>
      </c>
      <c r="O96" s="85">
        <f t="shared" si="114"/>
        <v>286055690.90909088</v>
      </c>
      <c r="P96" s="85">
        <f t="shared" si="114"/>
        <v>277025377.90909088</v>
      </c>
      <c r="Q96" s="85">
        <f t="shared" si="114"/>
        <v>189751460</v>
      </c>
      <c r="R96" s="85">
        <f t="shared" si="114"/>
        <v>236618560</v>
      </c>
      <c r="S96" s="85">
        <f t="shared" si="114"/>
        <v>172345608</v>
      </c>
      <c r="T96" s="85">
        <f t="shared" si="114"/>
        <v>97227382</v>
      </c>
      <c r="U96" s="85">
        <f>SUM(U97:U101)</f>
        <v>5152018838</v>
      </c>
      <c r="V96" s="85">
        <f t="shared" ref="V96:AG96" si="115">SUM(V97:V101)</f>
        <v>87961962</v>
      </c>
      <c r="W96" s="85">
        <f t="shared" si="115"/>
        <v>111194731</v>
      </c>
      <c r="X96" s="85">
        <f t="shared" si="115"/>
        <v>411947574</v>
      </c>
      <c r="Y96" s="85">
        <f t="shared" si="115"/>
        <v>436032104</v>
      </c>
      <c r="Z96" s="85">
        <f t="shared" si="115"/>
        <v>455298138</v>
      </c>
      <c r="AA96" s="85">
        <f t="shared" si="115"/>
        <v>511741298</v>
      </c>
      <c r="AB96" s="85">
        <f t="shared" si="115"/>
        <v>481506127</v>
      </c>
      <c r="AC96" s="85">
        <f t="shared" si="115"/>
        <v>443348021</v>
      </c>
      <c r="AD96" s="85">
        <f t="shared" si="115"/>
        <v>503285131</v>
      </c>
      <c r="AE96" s="85">
        <f t="shared" si="115"/>
        <v>522642927</v>
      </c>
      <c r="AF96" s="85">
        <f t="shared" si="115"/>
        <v>633130036</v>
      </c>
      <c r="AG96" s="85">
        <f t="shared" si="115"/>
        <v>553930789</v>
      </c>
      <c r="AH96" s="85">
        <f t="shared" si="107"/>
        <v>7659155807</v>
      </c>
      <c r="AI96" s="85">
        <f>SUM(AI97:AI101)</f>
        <v>628445412</v>
      </c>
      <c r="AJ96" s="85">
        <f t="shared" ref="AJ96:AT96" si="116">SUM(AJ97:AJ101)</f>
        <v>451170880</v>
      </c>
      <c r="AK96" s="85">
        <f t="shared" si="116"/>
        <v>479888976</v>
      </c>
      <c r="AL96" s="85">
        <f t="shared" si="116"/>
        <v>596511856</v>
      </c>
      <c r="AM96" s="85">
        <f t="shared" si="116"/>
        <v>655601551</v>
      </c>
      <c r="AN96" s="85">
        <f t="shared" si="116"/>
        <v>683940736</v>
      </c>
      <c r="AO96" s="85">
        <f t="shared" si="116"/>
        <v>683476800</v>
      </c>
      <c r="AP96" s="85">
        <f t="shared" si="116"/>
        <v>756241888</v>
      </c>
      <c r="AQ96" s="85">
        <f t="shared" si="116"/>
        <v>790701104</v>
      </c>
      <c r="AR96" s="85">
        <f t="shared" si="116"/>
        <v>798113872</v>
      </c>
      <c r="AS96" s="85">
        <f t="shared" si="116"/>
        <v>956927472</v>
      </c>
      <c r="AT96" s="85">
        <f t="shared" si="116"/>
        <v>178135260</v>
      </c>
    </row>
    <row r="97" spans="2:46" s="85" customFormat="1">
      <c r="B97" t="s">
        <v>293</v>
      </c>
      <c r="C97" s="7" t="s">
        <v>337</v>
      </c>
      <c r="E97" t="s">
        <v>364</v>
      </c>
      <c r="F97" t="str">
        <f t="shared" si="106"/>
        <v>Liability_Fee__E_Napas</v>
      </c>
      <c r="H97" s="153" t="s">
        <v>365</v>
      </c>
      <c r="I97" s="88">
        <v>193593450</v>
      </c>
      <c r="J97" s="70">
        <v>171256659</v>
      </c>
      <c r="K97" s="70">
        <v>111691955</v>
      </c>
      <c r="L97" s="70">
        <v>111234375</v>
      </c>
      <c r="M97" s="70">
        <v>105973184</v>
      </c>
      <c r="N97" s="69">
        <v>101533005</v>
      </c>
      <c r="O97" s="69">
        <v>134424600</v>
      </c>
      <c r="P97" s="69">
        <v>125394287</v>
      </c>
      <c r="Q97" s="69">
        <v>144296915</v>
      </c>
      <c r="R97" s="69">
        <v>191164015</v>
      </c>
      <c r="S97" s="69">
        <v>126891063</v>
      </c>
      <c r="T97" s="86">
        <v>51772837</v>
      </c>
      <c r="U97" s="86">
        <f>SUM(V97:AG97)</f>
        <v>4523993451</v>
      </c>
      <c r="V97" s="86">
        <v>34602507</v>
      </c>
      <c r="W97" s="86">
        <v>58060640</v>
      </c>
      <c r="X97" s="86">
        <v>359399392</v>
      </c>
      <c r="Y97" s="86">
        <v>382642304</v>
      </c>
      <c r="Z97" s="86">
        <v>401762038</v>
      </c>
      <c r="AA97" s="86">
        <v>458246298</v>
      </c>
      <c r="AB97" s="86">
        <v>428739168</v>
      </c>
      <c r="AC97" s="86">
        <v>392520121</v>
      </c>
      <c r="AD97" s="86">
        <v>451695031</v>
      </c>
      <c r="AE97" s="86">
        <v>469265127</v>
      </c>
      <c r="AF97" s="86">
        <v>583130036</v>
      </c>
      <c r="AG97" s="86">
        <v>503930789</v>
      </c>
      <c r="AH97" s="86">
        <f t="shared" si="107"/>
        <v>7059155807</v>
      </c>
      <c r="AI97" s="86">
        <v>578445412</v>
      </c>
      <c r="AJ97" s="86">
        <v>401170880</v>
      </c>
      <c r="AK97" s="86">
        <v>429888976</v>
      </c>
      <c r="AL97" s="86">
        <v>546511856</v>
      </c>
      <c r="AM97" s="86">
        <v>605601551</v>
      </c>
      <c r="AN97" s="86">
        <v>633940736</v>
      </c>
      <c r="AO97" s="86">
        <v>633476800</v>
      </c>
      <c r="AP97" s="86">
        <v>706241888</v>
      </c>
      <c r="AQ97" s="86">
        <v>740701104</v>
      </c>
      <c r="AR97" s="86">
        <v>748113872</v>
      </c>
      <c r="AS97" s="86">
        <v>906927472</v>
      </c>
      <c r="AT97" s="86">
        <v>128135260</v>
      </c>
    </row>
    <row r="98" spans="2:46" s="85" customFormat="1">
      <c r="B98" t="s">
        <v>293</v>
      </c>
      <c r="C98" s="7" t="s">
        <v>337</v>
      </c>
      <c r="E98" t="s">
        <v>366</v>
      </c>
      <c r="F98" t="str">
        <f t="shared" si="106"/>
        <v>Liability_Fee__E_Cashback</v>
      </c>
      <c r="H98" s="153" t="s">
        <v>367</v>
      </c>
      <c r="I98" s="88">
        <v>199864834</v>
      </c>
      <c r="J98" s="70">
        <v>193919550</v>
      </c>
      <c r="K98" s="70"/>
      <c r="L98" s="70">
        <v>8525461</v>
      </c>
      <c r="M98" s="70">
        <v>199643647</v>
      </c>
      <c r="N98" s="70">
        <v>199814866</v>
      </c>
      <c r="O98" s="69">
        <f>1252*97000/2</f>
        <v>60722000</v>
      </c>
      <c r="P98" s="69">
        <f>O98</f>
        <v>60722000</v>
      </c>
      <c r="Q98" s="69"/>
      <c r="R98" s="69"/>
      <c r="S98" s="69"/>
      <c r="T98" s="86"/>
      <c r="U98" s="86">
        <f t="shared" si="108"/>
        <v>0</v>
      </c>
      <c r="V98" s="86"/>
      <c r="W98" s="86"/>
      <c r="X98" s="86"/>
      <c r="Y98" s="225"/>
      <c r="Z98" s="42"/>
      <c r="AA98" s="86"/>
      <c r="AB98" s="86"/>
      <c r="AC98" s="86"/>
      <c r="AD98" s="86"/>
      <c r="AE98" s="86"/>
      <c r="AF98" s="86"/>
      <c r="AG98" s="86"/>
      <c r="AH98" s="86">
        <f t="shared" si="107"/>
        <v>0</v>
      </c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AS98" s="86"/>
      <c r="AT98" s="86"/>
    </row>
    <row r="99" spans="2:46" s="85" customFormat="1">
      <c r="B99" t="s">
        <v>293</v>
      </c>
      <c r="C99" s="7" t="s">
        <v>337</v>
      </c>
      <c r="E99" t="s">
        <v>368</v>
      </c>
      <c r="F99" t="str">
        <f t="shared" si="106"/>
        <v>Liability_Fee__E_VNPay</v>
      </c>
      <c r="H99" s="153" t="s">
        <v>369</v>
      </c>
      <c r="I99" s="88">
        <f>70000000/1.1</f>
        <v>63636363.636363633</v>
      </c>
      <c r="J99" s="70">
        <f>100000000/1.1</f>
        <v>90909090.909090906</v>
      </c>
      <c r="K99" s="70">
        <f t="shared" ref="K99:P99" si="117">100000000/1.1</f>
        <v>90909090.909090906</v>
      </c>
      <c r="L99" s="70">
        <f t="shared" si="117"/>
        <v>90909090.909090906</v>
      </c>
      <c r="M99" s="70">
        <f t="shared" si="117"/>
        <v>90909090.909090906</v>
      </c>
      <c r="N99" s="70">
        <f t="shared" si="117"/>
        <v>90909090.909090906</v>
      </c>
      <c r="O99" s="70">
        <f t="shared" si="117"/>
        <v>90909090.909090906</v>
      </c>
      <c r="P99" s="70">
        <f t="shared" si="117"/>
        <v>90909090.909090906</v>
      </c>
      <c r="Q99" s="69">
        <v>45454545</v>
      </c>
      <c r="R99" s="69">
        <v>45454545</v>
      </c>
      <c r="S99" s="69">
        <v>45454545</v>
      </c>
      <c r="T99" s="86">
        <v>45454545</v>
      </c>
      <c r="U99" s="86">
        <f t="shared" si="108"/>
        <v>600000000</v>
      </c>
      <c r="V99" s="86">
        <v>50000000</v>
      </c>
      <c r="W99" s="86">
        <v>50000000</v>
      </c>
      <c r="X99" s="86">
        <v>50000000</v>
      </c>
      <c r="Y99" s="86">
        <v>50000000</v>
      </c>
      <c r="Z99" s="86">
        <v>50000000</v>
      </c>
      <c r="AA99" s="86">
        <v>50000000</v>
      </c>
      <c r="AB99" s="86">
        <v>50000000</v>
      </c>
      <c r="AC99" s="86">
        <v>50000000</v>
      </c>
      <c r="AD99" s="86">
        <v>50000000</v>
      </c>
      <c r="AE99" s="86">
        <v>50000000</v>
      </c>
      <c r="AF99" s="86">
        <v>50000000</v>
      </c>
      <c r="AG99" s="86">
        <v>50000000</v>
      </c>
      <c r="AH99" s="86">
        <f t="shared" si="107"/>
        <v>600000000</v>
      </c>
      <c r="AI99" s="86">
        <v>50000000</v>
      </c>
      <c r="AJ99" s="86">
        <v>50000000</v>
      </c>
      <c r="AK99" s="86">
        <v>50000000</v>
      </c>
      <c r="AL99" s="86">
        <v>50000000</v>
      </c>
      <c r="AM99" s="86">
        <v>50000000</v>
      </c>
      <c r="AN99" s="86">
        <v>50000000</v>
      </c>
      <c r="AO99" s="86">
        <v>50000000</v>
      </c>
      <c r="AP99" s="86">
        <v>50000000</v>
      </c>
      <c r="AQ99" s="86">
        <v>50000000</v>
      </c>
      <c r="AR99" s="86">
        <v>50000000</v>
      </c>
      <c r="AS99" s="86">
        <v>50000000</v>
      </c>
      <c r="AT99" s="86">
        <v>50000000</v>
      </c>
    </row>
    <row r="100" spans="2:46" s="85" customFormat="1">
      <c r="B100" t="s">
        <v>293</v>
      </c>
      <c r="C100" s="7" t="s">
        <v>337</v>
      </c>
      <c r="E100" t="s">
        <v>370</v>
      </c>
      <c r="F100" t="str">
        <f t="shared" si="106"/>
        <v>Liability_Fee__E_Payoo</v>
      </c>
      <c r="H100" s="153" t="s">
        <v>371</v>
      </c>
      <c r="I100" s="88"/>
      <c r="J100" s="70"/>
      <c r="K100" s="70"/>
      <c r="L100" s="70"/>
      <c r="M100" s="70"/>
      <c r="N100" s="70"/>
      <c r="O100" s="70"/>
      <c r="P100" s="70"/>
      <c r="Q100" s="69"/>
      <c r="R100" s="69"/>
      <c r="S100" s="69"/>
      <c r="T100" s="86"/>
      <c r="U100" s="86">
        <f t="shared" si="108"/>
        <v>28025387</v>
      </c>
      <c r="V100" s="86">
        <v>3359455</v>
      </c>
      <c r="W100" s="86">
        <v>3134091</v>
      </c>
      <c r="X100" s="86">
        <v>2548182</v>
      </c>
      <c r="Y100" s="86">
        <v>3389800</v>
      </c>
      <c r="Z100" s="86">
        <v>3536100</v>
      </c>
      <c r="AA100" s="86">
        <v>3495000</v>
      </c>
      <c r="AB100" s="86">
        <v>2766959</v>
      </c>
      <c r="AC100" s="86">
        <v>827900</v>
      </c>
      <c r="AD100" s="86">
        <v>1590100</v>
      </c>
      <c r="AE100" s="86">
        <v>3377800</v>
      </c>
      <c r="AF100" s="86"/>
      <c r="AG100" s="86"/>
      <c r="AH100" s="86">
        <f t="shared" si="107"/>
        <v>0</v>
      </c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</row>
    <row r="101" spans="2:46" s="85" customFormat="1">
      <c r="B101" t="s">
        <v>293</v>
      </c>
      <c r="C101" s="7" t="s">
        <v>337</v>
      </c>
      <c r="E101" s="230" t="s">
        <v>372</v>
      </c>
      <c r="F101" t="str">
        <f t="shared" si="106"/>
        <v>Liability_Fee__other_expense_fee</v>
      </c>
      <c r="H101" s="153" t="s">
        <v>373</v>
      </c>
      <c r="I101" s="88"/>
      <c r="J101" s="70"/>
      <c r="K101" s="70"/>
      <c r="L101" s="70"/>
      <c r="M101" s="70"/>
      <c r="N101" s="70"/>
      <c r="O101" s="70"/>
      <c r="P101" s="70"/>
      <c r="Q101" s="69"/>
      <c r="R101" s="69"/>
      <c r="S101" s="69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>
        <f t="shared" ref="AH101:AH108" si="118">SUM(AI101:AT101)</f>
        <v>0</v>
      </c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</row>
    <row r="102" spans="2:46" s="85" customFormat="1">
      <c r="B102" t="s">
        <v>293</v>
      </c>
      <c r="C102" s="7" t="s">
        <v>337</v>
      </c>
      <c r="E102" s="126" t="s">
        <v>271</v>
      </c>
      <c r="F102" t="str">
        <f t="shared" si="106"/>
        <v>Liability_Fee__variable_cost</v>
      </c>
      <c r="H102" s="47" t="s">
        <v>229</v>
      </c>
      <c r="I102" s="85">
        <f t="shared" ref="I102:AG102" si="119">SUM(I103:I108)</f>
        <v>0</v>
      </c>
      <c r="J102" s="85">
        <f t="shared" si="119"/>
        <v>0</v>
      </c>
      <c r="K102" s="85">
        <f t="shared" si="119"/>
        <v>0</v>
      </c>
      <c r="L102" s="85">
        <f t="shared" si="119"/>
        <v>0</v>
      </c>
      <c r="M102" s="85">
        <f t="shared" si="119"/>
        <v>0</v>
      </c>
      <c r="N102" s="85">
        <f t="shared" si="119"/>
        <v>0</v>
      </c>
      <c r="O102" s="85">
        <f t="shared" si="119"/>
        <v>0</v>
      </c>
      <c r="P102" s="85">
        <f t="shared" si="119"/>
        <v>0</v>
      </c>
      <c r="Q102" s="85">
        <f t="shared" si="119"/>
        <v>0</v>
      </c>
      <c r="R102" s="85">
        <f t="shared" si="119"/>
        <v>0</v>
      </c>
      <c r="S102" s="85">
        <f t="shared" si="119"/>
        <v>0</v>
      </c>
      <c r="T102" s="85">
        <f t="shared" si="119"/>
        <v>0</v>
      </c>
      <c r="U102" s="85">
        <f t="shared" si="119"/>
        <v>630435043</v>
      </c>
      <c r="V102" s="85">
        <f t="shared" si="119"/>
        <v>106887208</v>
      </c>
      <c r="W102" s="85">
        <f t="shared" si="119"/>
        <v>87654844</v>
      </c>
      <c r="X102" s="85">
        <f t="shared" si="119"/>
        <v>133287255</v>
      </c>
      <c r="Y102" s="85">
        <f t="shared" si="119"/>
        <v>137792153</v>
      </c>
      <c r="Z102" s="85">
        <f t="shared" si="119"/>
        <v>91024904</v>
      </c>
      <c r="AA102" s="85">
        <f t="shared" si="119"/>
        <v>11033971</v>
      </c>
      <c r="AB102" s="85">
        <f t="shared" si="119"/>
        <v>10633177</v>
      </c>
      <c r="AC102" s="85">
        <f t="shared" si="119"/>
        <v>10441696</v>
      </c>
      <c r="AD102" s="85">
        <f t="shared" si="119"/>
        <v>9861912</v>
      </c>
      <c r="AE102" s="85">
        <f t="shared" si="119"/>
        <v>10162287</v>
      </c>
      <c r="AF102" s="85">
        <f t="shared" si="119"/>
        <v>10795365</v>
      </c>
      <c r="AG102" s="85">
        <f t="shared" si="119"/>
        <v>10860271</v>
      </c>
      <c r="AH102" s="7">
        <f t="shared" si="118"/>
        <v>254670296</v>
      </c>
      <c r="AI102" s="85">
        <f t="shared" ref="AI102:AT102" si="120">SUM(AI103:AI108)</f>
        <v>11162110</v>
      </c>
      <c r="AJ102" s="85">
        <f t="shared" si="120"/>
        <v>10820307</v>
      </c>
      <c r="AK102" s="85">
        <f t="shared" si="120"/>
        <v>14398672</v>
      </c>
      <c r="AL102" s="85">
        <f t="shared" si="120"/>
        <v>15358015</v>
      </c>
      <c r="AM102" s="85">
        <f t="shared" si="120"/>
        <v>18307242</v>
      </c>
      <c r="AN102" s="85">
        <f t="shared" si="120"/>
        <v>22065279</v>
      </c>
      <c r="AO102" s="85">
        <f t="shared" si="120"/>
        <v>19228837</v>
      </c>
      <c r="AP102" s="85">
        <f t="shared" si="120"/>
        <v>20646672</v>
      </c>
      <c r="AQ102" s="85">
        <f t="shared" si="120"/>
        <v>22914636</v>
      </c>
      <c r="AR102" s="85">
        <f t="shared" si="120"/>
        <v>27291528</v>
      </c>
      <c r="AS102" s="85">
        <f t="shared" si="120"/>
        <v>31263992</v>
      </c>
      <c r="AT102" s="85">
        <f t="shared" si="120"/>
        <v>41213006</v>
      </c>
    </row>
    <row r="103" spans="2:46" s="85" customFormat="1">
      <c r="B103" t="s">
        <v>293</v>
      </c>
      <c r="C103" s="7" t="s">
        <v>337</v>
      </c>
      <c r="E103" s="126" t="s">
        <v>272</v>
      </c>
      <c r="F103" t="str">
        <f t="shared" si="106"/>
        <v>Liability_Fee__marketing_acquisition_cost</v>
      </c>
      <c r="H103" s="563" t="s">
        <v>230</v>
      </c>
      <c r="AH103" s="7">
        <f t="shared" si="118"/>
        <v>0</v>
      </c>
    </row>
    <row r="104" spans="2:46" s="85" customFormat="1">
      <c r="B104" t="s">
        <v>293</v>
      </c>
      <c r="C104" s="7" t="s">
        <v>337</v>
      </c>
      <c r="E104" s="126" t="s">
        <v>273</v>
      </c>
      <c r="F104" t="str">
        <f>B104&amp;"_"&amp;C104&amp;"_"&amp;D104&amp;"_"&amp;E104</f>
        <v>Liability_Fee__partner_acquisition_cost</v>
      </c>
      <c r="H104" s="563" t="s">
        <v>231</v>
      </c>
      <c r="AH104" s="7">
        <f>SUM(AI104:AT104)</f>
        <v>0</v>
      </c>
    </row>
    <row r="105" spans="2:46" s="85" customFormat="1">
      <c r="B105" t="s">
        <v>293</v>
      </c>
      <c r="C105" s="7" t="s">
        <v>337</v>
      </c>
      <c r="E105" t="s">
        <v>315</v>
      </c>
      <c r="F105" t="str">
        <f t="shared" si="106"/>
        <v>Liability_Fee__eKYC</v>
      </c>
      <c r="H105" s="152" t="s">
        <v>315</v>
      </c>
      <c r="AH105" s="7">
        <f t="shared" si="118"/>
        <v>0</v>
      </c>
    </row>
    <row r="106" spans="2:46" s="85" customFormat="1">
      <c r="B106" t="s">
        <v>293</v>
      </c>
      <c r="C106" s="7" t="s">
        <v>337</v>
      </c>
      <c r="E106" s="126" t="s">
        <v>276</v>
      </c>
      <c r="F106" t="str">
        <f>B106&amp;"_"&amp;C106&amp;"_"&amp;D106&amp;"_"&amp;E106</f>
        <v>Liability_Fee__nfc</v>
      </c>
      <c r="H106" s="152" t="s">
        <v>152</v>
      </c>
      <c r="AH106" s="7">
        <f>SUM(AI106:AT106)</f>
        <v>0</v>
      </c>
    </row>
    <row r="107" spans="2:46" s="85" customFormat="1">
      <c r="B107" t="s">
        <v>293</v>
      </c>
      <c r="C107" s="7" t="s">
        <v>337</v>
      </c>
      <c r="E107" s="126" t="s">
        <v>278</v>
      </c>
      <c r="F107" t="str">
        <f>B107&amp;"_"&amp;C107&amp;"_"&amp;D107&amp;"_"&amp;E107</f>
        <v>Liability_Fee__promotion</v>
      </c>
      <c r="H107" s="563" t="s">
        <v>235</v>
      </c>
      <c r="AH107" s="7">
        <f>SUM(AI107:AT107)</f>
        <v>0</v>
      </c>
    </row>
    <row r="108" spans="2:46" s="85" customFormat="1">
      <c r="B108" t="s">
        <v>293</v>
      </c>
      <c r="C108" s="7" t="s">
        <v>337</v>
      </c>
      <c r="E108" s="126" t="s">
        <v>279</v>
      </c>
      <c r="F108" t="str">
        <f t="shared" si="106"/>
        <v>Liability_Fee__sms</v>
      </c>
      <c r="H108" s="1091" t="s">
        <v>163</v>
      </c>
      <c r="I108" s="1098"/>
      <c r="J108" s="1098"/>
      <c r="K108" s="1098"/>
      <c r="L108" s="1098"/>
      <c r="M108" s="1098"/>
      <c r="N108" s="1098"/>
      <c r="O108" s="1098"/>
      <c r="P108" s="1098"/>
      <c r="Q108" s="1098"/>
      <c r="R108" s="1098"/>
      <c r="S108" s="1098"/>
      <c r="T108" s="1098"/>
      <c r="U108" s="1094">
        <f>SUM(V108:AG108)</f>
        <v>630435043</v>
      </c>
      <c r="V108" s="1102">
        <v>106887208</v>
      </c>
      <c r="W108" s="1102">
        <v>87654844</v>
      </c>
      <c r="X108" s="1102">
        <v>133287255</v>
      </c>
      <c r="Y108" s="1102">
        <v>137792153</v>
      </c>
      <c r="Z108" s="1102">
        <v>91024904</v>
      </c>
      <c r="AA108" s="1102">
        <v>11033971</v>
      </c>
      <c r="AB108" s="1098">
        <v>10633177</v>
      </c>
      <c r="AC108" s="1098">
        <v>10441696</v>
      </c>
      <c r="AD108" s="1098">
        <v>9861912</v>
      </c>
      <c r="AE108" s="1098">
        <v>10162287</v>
      </c>
      <c r="AF108" s="1098">
        <v>10795365</v>
      </c>
      <c r="AG108" s="1098">
        <v>10860271</v>
      </c>
      <c r="AH108" s="1094">
        <f t="shared" si="118"/>
        <v>254670296</v>
      </c>
      <c r="AI108" s="1092">
        <v>11162110</v>
      </c>
      <c r="AJ108" s="1092">
        <v>10820307</v>
      </c>
      <c r="AK108" s="1092">
        <v>14398672</v>
      </c>
      <c r="AL108" s="1092">
        <v>15358015</v>
      </c>
      <c r="AM108" s="1092">
        <v>18307242</v>
      </c>
      <c r="AN108" s="1092">
        <v>22065279</v>
      </c>
      <c r="AO108" s="1314">
        <v>19228837</v>
      </c>
      <c r="AP108" s="1314">
        <v>20646672</v>
      </c>
      <c r="AQ108" s="1314">
        <v>22914636</v>
      </c>
      <c r="AR108" s="1314">
        <v>27291528</v>
      </c>
      <c r="AS108" s="1098">
        <v>31263992</v>
      </c>
      <c r="AT108" s="1098">
        <v>41213006</v>
      </c>
    </row>
    <row r="109" spans="2:46">
      <c r="B109" t="s">
        <v>293</v>
      </c>
      <c r="C109" s="7" t="s">
        <v>337</v>
      </c>
      <c r="E109" s="126" t="s">
        <v>280</v>
      </c>
      <c r="F109" t="str">
        <f t="shared" si="106"/>
        <v>Liability_Fee__profit_before_overhead</v>
      </c>
      <c r="H109" s="85" t="s">
        <v>236</v>
      </c>
      <c r="I109" s="81">
        <f t="shared" ref="I109:AG109" si="121">I81-I102</f>
        <v>-331313093.63636398</v>
      </c>
      <c r="J109" s="81">
        <f t="shared" si="121"/>
        <v>-328953159.9090907</v>
      </c>
      <c r="K109" s="81">
        <f t="shared" si="121"/>
        <v>-105533188.90909088</v>
      </c>
      <c r="L109" s="81">
        <f t="shared" si="121"/>
        <v>-109294944.90909091</v>
      </c>
      <c r="M109" s="81">
        <f t="shared" si="121"/>
        <v>-291008914.909091</v>
      </c>
      <c r="N109" s="81">
        <f t="shared" si="121"/>
        <v>-276387637.63636345</v>
      </c>
      <c r="O109" s="81">
        <f t="shared" si="121"/>
        <v>-129373031.90909088</v>
      </c>
      <c r="P109" s="81">
        <f t="shared" si="121"/>
        <v>-125361894.90909088</v>
      </c>
      <c r="Q109" s="81">
        <f t="shared" si="121"/>
        <v>-33880948</v>
      </c>
      <c r="R109" s="81">
        <f t="shared" si="121"/>
        <v>-75635624</v>
      </c>
      <c r="S109" s="81">
        <f t="shared" si="121"/>
        <v>-34837136</v>
      </c>
      <c r="T109" s="81">
        <f t="shared" si="121"/>
        <v>34411002</v>
      </c>
      <c r="U109" s="81">
        <f>U81-U102</f>
        <v>18286001498.090908</v>
      </c>
      <c r="V109" s="81">
        <f t="shared" si="121"/>
        <v>-55987991</v>
      </c>
      <c r="W109" s="81">
        <f t="shared" si="121"/>
        <v>-51177418.818181813</v>
      </c>
      <c r="X109" s="81">
        <f t="shared" si="121"/>
        <v>2531716824</v>
      </c>
      <c r="Y109" s="81">
        <f t="shared" si="121"/>
        <v>345666043</v>
      </c>
      <c r="Z109" s="81">
        <f t="shared" si="121"/>
        <v>-168579272.18181819</v>
      </c>
      <c r="AA109" s="81">
        <f t="shared" si="121"/>
        <v>2963696521</v>
      </c>
      <c r="AB109" s="81">
        <f t="shared" si="121"/>
        <v>-275702181.90909088</v>
      </c>
      <c r="AC109" s="81">
        <f t="shared" si="121"/>
        <v>-241633151</v>
      </c>
      <c r="AD109" s="81">
        <f t="shared" si="121"/>
        <v>-347344197</v>
      </c>
      <c r="AE109" s="81">
        <f t="shared" si="121"/>
        <v>13178867908</v>
      </c>
      <c r="AF109" s="81">
        <f t="shared" si="121"/>
        <v>437890860</v>
      </c>
      <c r="AG109" s="81">
        <f t="shared" si="121"/>
        <v>-31412446</v>
      </c>
      <c r="AH109" s="47">
        <f>SUM(AI109:AT109)</f>
        <v>-4622216539</v>
      </c>
      <c r="AI109" s="81">
        <f t="shared" ref="AI109:AT109" si="122">AI81-AI102</f>
        <v>-218267542</v>
      </c>
      <c r="AJ109" s="81">
        <f t="shared" si="122"/>
        <v>-301594852</v>
      </c>
      <c r="AK109" s="81">
        <f t="shared" si="122"/>
        <v>-192107697</v>
      </c>
      <c r="AL109" s="81">
        <f t="shared" si="122"/>
        <v>-393631136</v>
      </c>
      <c r="AM109" s="81">
        <f t="shared" si="122"/>
        <v>-381540123</v>
      </c>
      <c r="AN109" s="81">
        <f t="shared" si="122"/>
        <v>-412274411</v>
      </c>
      <c r="AO109" s="81">
        <f t="shared" si="122"/>
        <v>-453779091</v>
      </c>
      <c r="AP109" s="81">
        <f t="shared" si="122"/>
        <v>-508414284</v>
      </c>
      <c r="AQ109" s="81">
        <f t="shared" si="122"/>
        <v>-542930929</v>
      </c>
      <c r="AR109" s="81">
        <f t="shared" si="122"/>
        <v>-541278059</v>
      </c>
      <c r="AS109" s="81">
        <f t="shared" si="122"/>
        <v>-742515625</v>
      </c>
      <c r="AT109" s="81">
        <f t="shared" si="122"/>
        <v>66117210</v>
      </c>
    </row>
    <row r="110" spans="2:46">
      <c r="C110" s="7"/>
      <c r="E110" s="126"/>
      <c r="H110" s="85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47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</row>
    <row r="111" spans="2:46">
      <c r="B111" t="s">
        <v>293</v>
      </c>
      <c r="C111" s="7"/>
      <c r="F111" t="str">
        <f t="shared" si="106"/>
        <v>Liability___</v>
      </c>
      <c r="H111" s="1048" t="s">
        <v>374</v>
      </c>
      <c r="I111" s="1048"/>
      <c r="J111" s="1048"/>
      <c r="K111" s="1048"/>
      <c r="L111" s="1048"/>
      <c r="M111" s="1048"/>
      <c r="N111" s="1048"/>
      <c r="O111" s="1048"/>
      <c r="P111" s="1048"/>
      <c r="Q111" s="1048"/>
      <c r="R111" s="1048"/>
      <c r="S111" s="1048"/>
      <c r="T111" s="1048"/>
      <c r="U111" s="1048"/>
      <c r="V111" s="1048"/>
      <c r="W111" s="1048"/>
      <c r="X111" s="1048"/>
      <c r="Y111" s="1048"/>
      <c r="Z111" s="1048"/>
      <c r="AA111" s="1048"/>
      <c r="AB111" s="1048"/>
      <c r="AC111" s="1048"/>
      <c r="AD111" s="1048"/>
      <c r="AE111" s="1048"/>
      <c r="AF111" s="1048"/>
      <c r="AG111" s="1048"/>
      <c r="AH111" s="1048"/>
      <c r="AI111" s="1048"/>
      <c r="AJ111" s="1048"/>
      <c r="AK111" s="1048"/>
      <c r="AL111" s="1048"/>
      <c r="AM111" s="1048"/>
      <c r="AN111" s="1048"/>
      <c r="AO111" s="1048"/>
      <c r="AP111" s="1048"/>
      <c r="AQ111" s="1048"/>
      <c r="AR111" s="1048"/>
      <c r="AS111" s="1048"/>
      <c r="AT111" s="1048"/>
    </row>
    <row r="112" spans="2:46" s="85" customFormat="1">
      <c r="B112" t="s">
        <v>293</v>
      </c>
      <c r="C112" s="7" t="s">
        <v>51</v>
      </c>
      <c r="E112" t="s">
        <v>217</v>
      </c>
      <c r="F112" t="str">
        <f t="shared" si="106"/>
        <v>Liability_Others__TOI</v>
      </c>
      <c r="H112" s="85" t="s">
        <v>217</v>
      </c>
    </row>
    <row r="113" spans="2:45">
      <c r="B113" t="s">
        <v>293</v>
      </c>
      <c r="C113" s="7" t="s">
        <v>51</v>
      </c>
      <c r="E113" s="126" t="s">
        <v>280</v>
      </c>
      <c r="F113" t="str">
        <f t="shared" si="106"/>
        <v>Liability_Others__profit_before_overhead</v>
      </c>
      <c r="H113" s="47" t="s">
        <v>236</v>
      </c>
      <c r="I113" s="5"/>
      <c r="J113" s="5"/>
      <c r="K113" s="5"/>
      <c r="L113" s="5"/>
      <c r="M113" s="5"/>
      <c r="N113" s="5"/>
      <c r="O113" s="5"/>
      <c r="P113" s="5"/>
      <c r="Q113" s="5"/>
      <c r="V113" s="34"/>
      <c r="W113" s="34"/>
      <c r="X113" s="34"/>
      <c r="Y113" s="34"/>
      <c r="Z113" s="34"/>
      <c r="AA113" s="34"/>
      <c r="AB113" s="34"/>
      <c r="AI113" s="34">
        <f t="shared" ref="AI113:AN113" si="123">AI112</f>
        <v>0</v>
      </c>
      <c r="AJ113" s="34">
        <f t="shared" si="123"/>
        <v>0</v>
      </c>
      <c r="AK113" s="34">
        <f t="shared" si="123"/>
        <v>0</v>
      </c>
      <c r="AL113" s="34">
        <f t="shared" si="123"/>
        <v>0</v>
      </c>
      <c r="AM113" s="34">
        <f t="shared" si="123"/>
        <v>0</v>
      </c>
      <c r="AN113" s="34">
        <f t="shared" si="123"/>
        <v>0</v>
      </c>
    </row>
    <row r="114" spans="2:45">
      <c r="I114" s="5"/>
      <c r="J114" s="5"/>
      <c r="K114" s="5"/>
      <c r="L114" s="5"/>
      <c r="M114" s="5"/>
      <c r="N114" s="5"/>
      <c r="O114" s="5"/>
      <c r="P114" s="5"/>
      <c r="Q114" s="5"/>
    </row>
    <row r="115" spans="2:45"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spans="2:45"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AH116" t="s">
        <v>375</v>
      </c>
      <c r="AI116" s="7">
        <v>496024087762.64514</v>
      </c>
      <c r="AJ116" s="7">
        <v>506559115037.42859</v>
      </c>
      <c r="AK116" s="7">
        <v>511893428077.48389</v>
      </c>
      <c r="AL116" s="7">
        <v>550642069373.90002</v>
      </c>
      <c r="AM116" s="7">
        <v>583560832293.25806</v>
      </c>
      <c r="AN116" s="7">
        <v>666201753512.6333</v>
      </c>
      <c r="AO116" s="7">
        <v>716351711930.03223</v>
      </c>
      <c r="AP116" s="7">
        <v>681834963408.70972</v>
      </c>
      <c r="AQ116" s="7">
        <v>665587103441.1333</v>
      </c>
    </row>
    <row r="117" spans="2:45"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AH117" t="s">
        <v>376</v>
      </c>
      <c r="AI117" s="7">
        <v>8263600125091.4834</v>
      </c>
      <c r="AJ117" s="7">
        <v>9127703340417.9277</v>
      </c>
      <c r="AK117" s="7">
        <v>9739043866996.5156</v>
      </c>
      <c r="AL117" s="7">
        <v>10267879969736.699</v>
      </c>
      <c r="AM117" s="7">
        <v>10889173087549.193</v>
      </c>
      <c r="AN117" s="7">
        <v>11477974889501.768</v>
      </c>
      <c r="AO117" s="7">
        <v>11960317734621.902</v>
      </c>
      <c r="AP117" s="7">
        <v>12365303927424.484</v>
      </c>
      <c r="AQ117" s="7">
        <v>12751958021066.768</v>
      </c>
    </row>
    <row r="118" spans="2:45">
      <c r="I118" s="5"/>
      <c r="J118" s="5"/>
      <c r="K118" s="5"/>
      <c r="L118" s="5"/>
      <c r="M118" s="5"/>
      <c r="N118" s="5"/>
      <c r="O118" s="5"/>
      <c r="P118" s="5"/>
      <c r="Q118" s="5"/>
    </row>
    <row r="119" spans="2:45">
      <c r="I119" s="5"/>
      <c r="J119" s="5"/>
      <c r="K119" s="5"/>
      <c r="L119" s="5"/>
      <c r="M119" s="5"/>
      <c r="N119" s="5"/>
      <c r="O119" s="5"/>
      <c r="P119" s="5"/>
      <c r="Q119" s="5"/>
      <c r="X119" s="59"/>
      <c r="Y119" s="59"/>
      <c r="Z119" s="59"/>
      <c r="AA119" s="59"/>
      <c r="AB119" s="59"/>
    </row>
    <row r="120" spans="2:45">
      <c r="I120" s="5"/>
      <c r="J120" s="5"/>
      <c r="K120" s="5"/>
      <c r="L120" s="5"/>
      <c r="M120" s="5"/>
      <c r="N120" s="5"/>
      <c r="O120" s="5"/>
      <c r="P120" s="5"/>
      <c r="Q120" s="5"/>
      <c r="X120" s="55"/>
      <c r="Y120" s="55"/>
      <c r="Z120" s="55"/>
      <c r="AA120" s="55"/>
      <c r="AB120" s="55"/>
    </row>
    <row r="121" spans="2:45">
      <c r="I121" s="5"/>
      <c r="J121" s="5"/>
      <c r="K121" s="5"/>
      <c r="L121" s="5"/>
      <c r="M121" s="5"/>
      <c r="N121" s="5"/>
      <c r="O121" s="5"/>
      <c r="P121" s="5"/>
      <c r="Q121" s="5"/>
      <c r="X121" s="55"/>
      <c r="Y121" s="55"/>
      <c r="Z121" s="64"/>
      <c r="AA121" s="64"/>
      <c r="AB121" s="64"/>
    </row>
    <row r="122" spans="2:45">
      <c r="I122" s="5"/>
      <c r="J122" s="5"/>
      <c r="K122" s="5"/>
      <c r="L122" s="5"/>
      <c r="M122" s="5"/>
      <c r="N122" s="5"/>
      <c r="O122" s="5"/>
      <c r="P122" s="5"/>
      <c r="Q122" s="5"/>
    </row>
    <row r="123" spans="2:45">
      <c r="I123" s="5"/>
      <c r="J123" s="5"/>
      <c r="K123" s="5"/>
      <c r="L123" s="5"/>
      <c r="M123" s="5"/>
      <c r="N123" s="5"/>
      <c r="O123" s="5"/>
      <c r="P123" s="5"/>
      <c r="Q123" s="5"/>
    </row>
    <row r="124" spans="2:45">
      <c r="I124" s="5"/>
      <c r="J124" s="5"/>
      <c r="K124" s="5"/>
      <c r="L124" s="5"/>
      <c r="M124" s="5"/>
      <c r="N124" s="5"/>
      <c r="O124" s="5"/>
      <c r="P124" s="5"/>
      <c r="Q124" s="5"/>
      <c r="Y124" s="7"/>
      <c r="AI124" s="5">
        <f>AI37/10^9</f>
        <v>496.02408776264514</v>
      </c>
      <c r="AJ124" s="5">
        <f t="shared" ref="AJ124:AS124" si="124">AJ37/10^9</f>
        <v>506.55911503742857</v>
      </c>
      <c r="AK124" s="5">
        <f t="shared" si="124"/>
        <v>511.89342807748386</v>
      </c>
      <c r="AL124" s="5">
        <f t="shared" si="124"/>
        <v>550.64206937389997</v>
      </c>
      <c r="AM124" s="5">
        <f t="shared" si="124"/>
        <v>583.56083229325804</v>
      </c>
      <c r="AN124" s="5">
        <f t="shared" si="124"/>
        <v>666.20175351263333</v>
      </c>
      <c r="AO124" s="5">
        <f t="shared" si="124"/>
        <v>716.35171193003225</v>
      </c>
      <c r="AP124" s="5">
        <f t="shared" si="124"/>
        <v>681.83496340870977</v>
      </c>
      <c r="AQ124" s="5">
        <f t="shared" si="124"/>
        <v>665.58710344113331</v>
      </c>
      <c r="AR124" s="5">
        <f t="shared" si="124"/>
        <v>685.70021865393448</v>
      </c>
      <c r="AS124" s="5">
        <f t="shared" si="124"/>
        <v>711.40923498763334</v>
      </c>
    </row>
    <row r="125" spans="2:45">
      <c r="I125" s="5"/>
      <c r="J125" s="5"/>
      <c r="K125" s="5"/>
      <c r="L125" s="5"/>
      <c r="M125" s="5"/>
      <c r="N125" s="5"/>
      <c r="O125" s="5"/>
      <c r="P125" s="5"/>
      <c r="Q125" s="5"/>
    </row>
    <row r="126" spans="2:45">
      <c r="I126" s="5"/>
      <c r="J126" s="5"/>
      <c r="K126" s="5"/>
      <c r="L126" s="5"/>
      <c r="M126" s="5"/>
      <c r="N126" s="5"/>
      <c r="O126" s="5"/>
      <c r="P126" s="5"/>
      <c r="Q126" s="5"/>
    </row>
    <row r="127" spans="2:45">
      <c r="I127" s="5"/>
      <c r="J127" s="5"/>
      <c r="K127" s="5"/>
      <c r="L127" s="5"/>
      <c r="M127" s="5"/>
      <c r="N127" s="5"/>
      <c r="O127" s="5"/>
      <c r="P127" s="5"/>
      <c r="Q127" s="5"/>
    </row>
    <row r="128" spans="2:45">
      <c r="I128" s="5"/>
      <c r="J128" s="5"/>
      <c r="K128" s="5"/>
      <c r="L128" s="5"/>
      <c r="M128" s="5"/>
      <c r="N128" s="5"/>
      <c r="O128" s="5"/>
      <c r="P128" s="5"/>
      <c r="Q128" s="5"/>
    </row>
  </sheetData>
  <autoFilter ref="H6:AT100" xr:uid="{25EB056B-AFCA-4320-B1A4-EEEDC7600A07}"/>
  <dataConsolidate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B0FC1-DB43-4EFC-826E-EFCBF525044C}">
  <sheetPr>
    <tabColor rgb="FF92D050"/>
  </sheetPr>
  <dimension ref="A1:AA598"/>
  <sheetViews>
    <sheetView zoomScale="84" zoomScaleNormal="84" workbookViewId="0">
      <pane xSplit="9" ySplit="1" topLeftCell="U259" activePane="bottomRight" state="frozen"/>
      <selection pane="topRight" activeCell="U25" sqref="U25"/>
      <selection pane="bottomLeft" activeCell="U25" sqref="U25"/>
      <selection pane="bottomRight" activeCell="X534" sqref="X534"/>
    </sheetView>
  </sheetViews>
  <sheetFormatPr baseColWidth="10" defaultColWidth="8.83203125" defaultRowHeight="14.5" customHeight="1"/>
  <cols>
    <col min="1" max="1" width="9.1640625" customWidth="1"/>
    <col min="2" max="4" width="9.5" style="980" hidden="1" customWidth="1"/>
    <col min="5" max="5" width="9.1640625" style="980" customWidth="1"/>
    <col min="6" max="6" width="21.5" style="980" hidden="1" customWidth="1"/>
    <col min="7" max="7" width="9.5" style="980" hidden="1" customWidth="1"/>
    <col min="8" max="8" width="9.1640625" customWidth="1"/>
    <col min="9" max="9" width="39.83203125" customWidth="1"/>
    <col min="10" max="10" width="20.5" customWidth="1"/>
    <col min="11" max="11" width="19.33203125" hidden="1" customWidth="1"/>
    <col min="12" max="12" width="18.5" hidden="1" customWidth="1"/>
    <col min="13" max="15" width="20.5" customWidth="1"/>
    <col min="16" max="16" width="20.5" style="7" customWidth="1"/>
    <col min="17" max="17" width="20.1640625" customWidth="1"/>
    <col min="18" max="18" width="20.5" customWidth="1"/>
    <col min="19" max="19" width="19.6640625" customWidth="1"/>
    <col min="20" max="20" width="20.5" bestFit="1" customWidth="1"/>
    <col min="21" max="21" width="18.83203125" customWidth="1"/>
    <col min="22" max="22" width="19" customWidth="1"/>
    <col min="23" max="23" width="19.33203125" customWidth="1"/>
    <col min="24" max="24" width="20" customWidth="1"/>
    <col min="25" max="26" width="21.1640625" bestFit="1" customWidth="1"/>
    <col min="27" max="27" width="12" bestFit="1" customWidth="1"/>
  </cols>
  <sheetData>
    <row r="1" spans="2:27" ht="24.75" customHeight="1">
      <c r="B1" s="980" t="s">
        <v>177</v>
      </c>
      <c r="C1" s="980" t="s">
        <v>178</v>
      </c>
      <c r="D1" s="980" t="s">
        <v>179</v>
      </c>
      <c r="E1" s="980" t="s">
        <v>292</v>
      </c>
      <c r="F1" s="980" t="s">
        <v>377</v>
      </c>
      <c r="G1" s="980" t="s">
        <v>184</v>
      </c>
      <c r="I1" s="82" t="s">
        <v>185</v>
      </c>
      <c r="J1" s="82" t="s">
        <v>8</v>
      </c>
      <c r="K1" s="83">
        <v>45597</v>
      </c>
      <c r="L1" s="83">
        <v>45627</v>
      </c>
      <c r="M1" s="83">
        <v>45658</v>
      </c>
      <c r="N1" s="83">
        <v>45689</v>
      </c>
      <c r="O1" s="83">
        <v>45717</v>
      </c>
      <c r="P1" s="83">
        <v>45748</v>
      </c>
      <c r="Q1" s="83">
        <v>45778</v>
      </c>
      <c r="R1" s="83">
        <v>45809</v>
      </c>
      <c r="S1" s="83">
        <v>45839</v>
      </c>
      <c r="T1" s="83">
        <v>45870</v>
      </c>
      <c r="U1" s="83">
        <v>45901</v>
      </c>
      <c r="V1" s="83">
        <v>45931</v>
      </c>
      <c r="W1" s="83">
        <v>45962</v>
      </c>
      <c r="X1" s="83">
        <v>45992</v>
      </c>
      <c r="Y1" s="7"/>
      <c r="Z1" s="7"/>
      <c r="AA1" s="34"/>
    </row>
    <row r="2" spans="2:27" s="68" customFormat="1" ht="15" customHeight="1">
      <c r="B2" s="980" t="s">
        <v>378</v>
      </c>
      <c r="C2" s="980"/>
      <c r="D2" s="980"/>
      <c r="E2" s="980"/>
      <c r="F2" s="980"/>
      <c r="G2" s="980" t="str">
        <f>B2&amp;"_"&amp;C2&amp;"_"&amp;D2&amp;"_"&amp;E2&amp;"_"&amp;F2</f>
        <v>card____</v>
      </c>
      <c r="I2" s="82" t="s">
        <v>379</v>
      </c>
      <c r="J2" s="86"/>
      <c r="K2" s="86"/>
      <c r="L2" s="86"/>
      <c r="M2" s="86"/>
      <c r="N2" s="86"/>
      <c r="P2" s="70"/>
    </row>
    <row r="3" spans="2:27" s="68" customFormat="1" ht="15" customHeight="1">
      <c r="B3" s="980" t="s">
        <v>378</v>
      </c>
      <c r="C3" s="980"/>
      <c r="D3" s="980"/>
      <c r="E3" s="980"/>
      <c r="F3" s="980"/>
      <c r="G3" s="980" t="str">
        <f>B3&amp;"_"&amp;C3&amp;"_"&amp;D3&amp;"_"&amp;E3&amp;"_"&amp;F3</f>
        <v>card____</v>
      </c>
      <c r="I3" s="85" t="s">
        <v>215</v>
      </c>
      <c r="J3" s="86">
        <f t="shared" ref="J3:J16" si="0">SUM(M3:X3)</f>
        <v>422579724489</v>
      </c>
      <c r="K3" s="86">
        <f t="shared" ref="K3:X3" si="1">K25+K122</f>
        <v>26096359526</v>
      </c>
      <c r="L3" s="86">
        <f t="shared" si="1"/>
        <v>22124430761</v>
      </c>
      <c r="M3" s="86">
        <f t="shared" si="1"/>
        <v>22910260876</v>
      </c>
      <c r="N3" s="86">
        <f t="shared" si="1"/>
        <v>20869617858</v>
      </c>
      <c r="O3" s="7">
        <f t="shared" si="1"/>
        <v>21974283357</v>
      </c>
      <c r="P3" s="7">
        <f t="shared" si="1"/>
        <v>25648737891</v>
      </c>
      <c r="Q3" s="7">
        <f t="shared" si="1"/>
        <v>31762053392</v>
      </c>
      <c r="R3" s="7">
        <f t="shared" si="1"/>
        <v>35477691344</v>
      </c>
      <c r="S3" s="7">
        <f t="shared" si="1"/>
        <v>30607408157</v>
      </c>
      <c r="T3" s="7">
        <f t="shared" si="1"/>
        <v>40972283531</v>
      </c>
      <c r="U3" s="7">
        <f t="shared" si="1"/>
        <v>51185413752</v>
      </c>
      <c r="V3" s="7">
        <f t="shared" si="1"/>
        <v>44185816280</v>
      </c>
      <c r="W3" s="7">
        <f t="shared" si="1"/>
        <v>46272238808</v>
      </c>
      <c r="X3" s="7">
        <f t="shared" si="1"/>
        <v>50713919243</v>
      </c>
    </row>
    <row r="4" spans="2:27" s="68" customFormat="1" ht="15" customHeight="1">
      <c r="B4" s="980" t="s">
        <v>378</v>
      </c>
      <c r="C4" s="980"/>
      <c r="D4" s="980"/>
      <c r="E4" s="980"/>
      <c r="F4" s="980"/>
      <c r="G4" s="980" t="str">
        <f>B4&amp;"_"&amp;C4&amp;"_"&amp;D4&amp;"_"&amp;E4&amp;"_"&amp;F4</f>
        <v>card____</v>
      </c>
      <c r="I4" s="85" t="s">
        <v>216</v>
      </c>
      <c r="J4" s="86">
        <f t="shared" si="0"/>
        <v>672149410583.49646</v>
      </c>
      <c r="K4" s="86">
        <f t="shared" ref="K4:Q4" si="2">K26+K123</f>
        <v>6498984802.7862072</v>
      </c>
      <c r="L4" s="86">
        <f t="shared" si="2"/>
        <v>7819420106.1867809</v>
      </c>
      <c r="M4" s="86">
        <f t="shared" si="2"/>
        <v>8357500512</v>
      </c>
      <c r="N4" s="86">
        <f t="shared" si="2"/>
        <v>7999692098</v>
      </c>
      <c r="O4" s="7">
        <f t="shared" si="2"/>
        <v>8919405761.2234116</v>
      </c>
      <c r="P4" s="7">
        <f t="shared" si="2"/>
        <v>8561978926.59023</v>
      </c>
      <c r="Q4" s="7">
        <f t="shared" si="2"/>
        <v>8575307623.5385208</v>
      </c>
      <c r="R4" s="7">
        <f t="shared" ref="R4:V4" si="3">R26+SUM(R130:R146)</f>
        <v>68215230459.846458</v>
      </c>
      <c r="S4" s="7">
        <f t="shared" si="3"/>
        <v>67858393544.65789</v>
      </c>
      <c r="T4" s="7">
        <f t="shared" si="3"/>
        <v>87889979504.773514</v>
      </c>
      <c r="U4" s="7">
        <f t="shared" si="3"/>
        <v>103216023300.66666</v>
      </c>
      <c r="V4" s="7">
        <f t="shared" si="3"/>
        <v>92696242425.376831</v>
      </c>
      <c r="W4" s="7">
        <f>W26+SUM(W130:W146)</f>
        <v>99477230859.439972</v>
      </c>
      <c r="X4" s="7">
        <f>X26+SUM(X130:X146)</f>
        <v>110382425567.38303</v>
      </c>
    </row>
    <row r="5" spans="2:27" s="68" customFormat="1" ht="15" customHeight="1">
      <c r="B5" s="980" t="s">
        <v>378</v>
      </c>
      <c r="C5" s="980"/>
      <c r="D5" s="980"/>
      <c r="E5" s="980"/>
      <c r="F5" s="980"/>
      <c r="G5" s="980" t="str">
        <f>B5&amp;"_"&amp;C5&amp;"_"&amp;D5&amp;"_"&amp;E5&amp;"_"&amp;F5</f>
        <v>card____</v>
      </c>
      <c r="I5" s="223" t="s">
        <v>217</v>
      </c>
      <c r="J5" s="86">
        <f t="shared" si="0"/>
        <v>304401454048.50354</v>
      </c>
      <c r="K5" s="222">
        <f t="shared" ref="K5:Q5" si="4">K3-K4</f>
        <v>19597374723.213791</v>
      </c>
      <c r="L5" s="222">
        <f t="shared" si="4"/>
        <v>14305010654.813219</v>
      </c>
      <c r="M5" s="222">
        <f t="shared" si="4"/>
        <v>14552760364</v>
      </c>
      <c r="N5" s="222">
        <f t="shared" si="4"/>
        <v>12869925760</v>
      </c>
      <c r="O5" s="222">
        <f t="shared" si="4"/>
        <v>13054877595.776588</v>
      </c>
      <c r="P5" s="222">
        <f t="shared" si="4"/>
        <v>17086758964.409771</v>
      </c>
      <c r="Q5" s="222">
        <f t="shared" si="4"/>
        <v>23186745768.461479</v>
      </c>
      <c r="R5" s="222">
        <f>SUM(R6:R8)</f>
        <v>29578144920.153545</v>
      </c>
      <c r="S5" s="222">
        <f>SUM(S6:S8)</f>
        <v>20938956427.342117</v>
      </c>
      <c r="T5" s="222">
        <f>SUM(T6:T8)</f>
        <v>30396118373.226486</v>
      </c>
      <c r="U5" s="222">
        <f t="shared" ref="U5:V5" si="5">SUM(U6:U8)</f>
        <v>40049814502.333336</v>
      </c>
      <c r="V5" s="222">
        <f t="shared" si="5"/>
        <v>32391480951.623177</v>
      </c>
      <c r="W5" s="222">
        <f t="shared" ref="W5" si="6">SUM(W6:W8)</f>
        <v>34103821501.560028</v>
      </c>
      <c r="X5" s="222">
        <f>SUM(X6:X8)</f>
        <v>36192048919.616974</v>
      </c>
    </row>
    <row r="6" spans="2:27" s="68" customFormat="1" ht="15" customHeight="1">
      <c r="B6" s="980" t="s">
        <v>378</v>
      </c>
      <c r="C6" s="980"/>
      <c r="D6" s="980"/>
      <c r="E6" s="980"/>
      <c r="F6" s="980"/>
      <c r="G6" s="980" t="str">
        <f t="shared" ref="G6:G9" si="7">B6&amp;"_"&amp;C6&amp;"_"&amp;D6&amp;"_"&amp;E6&amp;"_"&amp;F6</f>
        <v>card____</v>
      </c>
      <c r="I6" s="1064" t="s">
        <v>218</v>
      </c>
      <c r="J6" s="86">
        <f t="shared" si="0"/>
        <v>157808398145.17014</v>
      </c>
      <c r="K6" s="70">
        <f t="shared" ref="K6:R6" si="8">K28+K125</f>
        <v>8684887518</v>
      </c>
      <c r="L6" s="70">
        <f t="shared" si="8"/>
        <v>7917145283</v>
      </c>
      <c r="M6" s="70">
        <f t="shared" si="8"/>
        <v>9507790092</v>
      </c>
      <c r="N6" s="70">
        <f t="shared" si="8"/>
        <v>9667769049</v>
      </c>
      <c r="O6" s="70">
        <f t="shared" si="8"/>
        <v>8516832437.7765875</v>
      </c>
      <c r="P6" s="70">
        <f t="shared" si="8"/>
        <v>11745377259.409771</v>
      </c>
      <c r="Q6" s="70">
        <f t="shared" si="8"/>
        <v>11748332635.461479</v>
      </c>
      <c r="R6" s="70">
        <f t="shared" si="8"/>
        <v>13671065580.153545</v>
      </c>
      <c r="S6" s="70">
        <f t="shared" ref="S6:X6" si="9">S28+S125</f>
        <v>12963637657.322117</v>
      </c>
      <c r="T6" s="70">
        <f t="shared" si="9"/>
        <v>16103771665.226484</v>
      </c>
      <c r="U6" s="70">
        <f t="shared" si="9"/>
        <v>16100224886</v>
      </c>
      <c r="V6" s="70">
        <f t="shared" si="9"/>
        <v>16102734122.623177</v>
      </c>
      <c r="W6" s="70">
        <f t="shared" si="9"/>
        <v>16517094009.580029</v>
      </c>
      <c r="X6" s="70">
        <f t="shared" si="9"/>
        <v>15163768750.616972</v>
      </c>
    </row>
    <row r="7" spans="2:27" s="68" customFormat="1" ht="15" customHeight="1">
      <c r="B7" s="980" t="s">
        <v>378</v>
      </c>
      <c r="C7" s="980"/>
      <c r="D7" s="980"/>
      <c r="E7" s="980"/>
      <c r="F7" s="980"/>
      <c r="G7" s="980" t="str">
        <f t="shared" si="7"/>
        <v>card____</v>
      </c>
      <c r="I7" s="1064" t="s">
        <v>220</v>
      </c>
      <c r="J7" s="86">
        <f t="shared" si="0"/>
        <v>132123385745.33333</v>
      </c>
      <c r="K7" s="70">
        <f t="shared" ref="K7:R7" si="10">K29+K131</f>
        <v>10754179240.213793</v>
      </c>
      <c r="L7" s="70">
        <f t="shared" si="10"/>
        <v>3031545121.8132191</v>
      </c>
      <c r="M7" s="70">
        <f t="shared" si="10"/>
        <v>4749560490</v>
      </c>
      <c r="N7" s="70">
        <f t="shared" si="10"/>
        <v>2794406441</v>
      </c>
      <c r="O7" s="70">
        <f t="shared" si="10"/>
        <v>3567524680</v>
      </c>
      <c r="P7" s="70">
        <f t="shared" si="10"/>
        <v>3864997903</v>
      </c>
      <c r="Q7" s="70">
        <f t="shared" si="10"/>
        <v>8091170320</v>
      </c>
      <c r="R7" s="70">
        <f t="shared" si="10"/>
        <v>15111517682</v>
      </c>
      <c r="S7" s="70">
        <f t="shared" ref="S7:X7" si="11">S29+S131</f>
        <v>7060100846.0200005</v>
      </c>
      <c r="T7" s="70">
        <f t="shared" si="11"/>
        <v>13215127574</v>
      </c>
      <c r="U7" s="70">
        <f t="shared" si="11"/>
        <v>22689111144.333336</v>
      </c>
      <c r="V7" s="70">
        <f t="shared" si="11"/>
        <v>14906832498</v>
      </c>
      <c r="W7" s="70">
        <f t="shared" si="11"/>
        <v>16514917046.98</v>
      </c>
      <c r="X7" s="70">
        <f t="shared" si="11"/>
        <v>19558119120</v>
      </c>
    </row>
    <row r="8" spans="2:27" s="68" customFormat="1" ht="15" customHeight="1">
      <c r="B8" s="980" t="s">
        <v>378</v>
      </c>
      <c r="C8" s="980"/>
      <c r="D8" s="980"/>
      <c r="E8" s="980"/>
      <c r="F8" s="980"/>
      <c r="G8" s="980" t="str">
        <f t="shared" ref="G8" si="12">B8&amp;"_"&amp;C8&amp;"_"&amp;D8&amp;"_"&amp;E8&amp;"_"&amp;F8</f>
        <v>card____</v>
      </c>
      <c r="I8" s="1064" t="s">
        <v>89</v>
      </c>
      <c r="J8" s="86">
        <f t="shared" si="0"/>
        <v>14469670158</v>
      </c>
      <c r="K8" s="70">
        <f t="shared" ref="K8:R8" si="13">K30+K148</f>
        <v>158307965</v>
      </c>
      <c r="L8" s="70">
        <f t="shared" si="13"/>
        <v>4503138432</v>
      </c>
      <c r="M8" s="70">
        <f t="shared" si="13"/>
        <v>295409782</v>
      </c>
      <c r="N8" s="70">
        <f t="shared" si="13"/>
        <v>407750270</v>
      </c>
      <c r="O8" s="70">
        <f t="shared" si="13"/>
        <v>970520478</v>
      </c>
      <c r="P8" s="70">
        <f t="shared" si="13"/>
        <v>1476383802</v>
      </c>
      <c r="Q8" s="70">
        <f t="shared" si="13"/>
        <v>3347242813</v>
      </c>
      <c r="R8" s="70">
        <f t="shared" si="13"/>
        <v>795561658</v>
      </c>
      <c r="S8" s="70">
        <f t="shared" ref="S8:X8" si="14">S30+S148</f>
        <v>915217924</v>
      </c>
      <c r="T8" s="70">
        <f t="shared" si="14"/>
        <v>1077219134</v>
      </c>
      <c r="U8" s="70">
        <f t="shared" si="14"/>
        <v>1260478472</v>
      </c>
      <c r="V8" s="70">
        <f t="shared" si="14"/>
        <v>1381914331</v>
      </c>
      <c r="W8" s="70">
        <f t="shared" si="14"/>
        <v>1071810445</v>
      </c>
      <c r="X8" s="70">
        <f t="shared" si="14"/>
        <v>1470161049</v>
      </c>
    </row>
    <row r="9" spans="2:27" s="68" customFormat="1" ht="15" customHeight="1">
      <c r="B9" s="980" t="s">
        <v>378</v>
      </c>
      <c r="C9" s="980"/>
      <c r="D9" s="980"/>
      <c r="E9" s="980"/>
      <c r="F9" s="980"/>
      <c r="G9" s="980" t="str">
        <f t="shared" si="7"/>
        <v>card____</v>
      </c>
      <c r="I9" s="85" t="s">
        <v>136</v>
      </c>
      <c r="J9" s="86">
        <f t="shared" si="0"/>
        <v>235983542936</v>
      </c>
      <c r="K9" s="222">
        <f t="shared" ref="K9:X9" si="15">K149</f>
        <v>8623782912</v>
      </c>
      <c r="L9" s="222">
        <f t="shared" si="15"/>
        <v>11466797117</v>
      </c>
      <c r="M9" s="222">
        <f t="shared" si="15"/>
        <v>25264429823</v>
      </c>
      <c r="N9" s="222">
        <f t="shared" si="15"/>
        <v>13064743689</v>
      </c>
      <c r="O9" s="222">
        <f t="shared" si="15"/>
        <v>16550370330</v>
      </c>
      <c r="P9" s="222">
        <f t="shared" si="15"/>
        <v>11182551451</v>
      </c>
      <c r="Q9" s="222">
        <f t="shared" si="15"/>
        <v>9417984626</v>
      </c>
      <c r="R9" s="70">
        <f t="shared" si="15"/>
        <v>20051120515</v>
      </c>
      <c r="S9" s="70">
        <f t="shared" si="15"/>
        <v>12950560114</v>
      </c>
      <c r="T9" s="70">
        <f t="shared" si="15"/>
        <v>26624260010</v>
      </c>
      <c r="U9" s="70">
        <f t="shared" si="15"/>
        <v>25098786740</v>
      </c>
      <c r="V9" s="70">
        <f t="shared" si="15"/>
        <v>21789423336</v>
      </c>
      <c r="W9" s="70">
        <f t="shared" si="15"/>
        <v>24826685539</v>
      </c>
      <c r="X9" s="70">
        <f t="shared" si="15"/>
        <v>29162626763</v>
      </c>
    </row>
    <row r="10" spans="2:27" s="68" customFormat="1" ht="15" customHeight="1">
      <c r="B10" s="980" t="s">
        <v>378</v>
      </c>
      <c r="C10" s="980"/>
      <c r="D10" s="980"/>
      <c r="E10" s="980"/>
      <c r="F10" s="980"/>
      <c r="G10" s="980" t="str">
        <f t="shared" ref="G10:G16" si="16">B10&amp;"_"&amp;C10&amp;"_"&amp;D10&amp;"_"&amp;E10&amp;"_"&amp;F10</f>
        <v>card____</v>
      </c>
      <c r="I10" s="1065" t="s">
        <v>229</v>
      </c>
      <c r="J10" s="86">
        <f t="shared" si="0"/>
        <v>34616509764.039032</v>
      </c>
      <c r="K10" s="1065">
        <f t="shared" ref="K10:X10" si="17">K31+K150</f>
        <v>2591784688.8824306</v>
      </c>
      <c r="L10" s="1065">
        <f t="shared" si="17"/>
        <v>3026968075.2720194</v>
      </c>
      <c r="M10" s="1065">
        <f t="shared" si="17"/>
        <v>2762417264.7617316</v>
      </c>
      <c r="N10" s="1065">
        <f t="shared" si="17"/>
        <v>2595240669.9185371</v>
      </c>
      <c r="O10" s="47">
        <f t="shared" si="17"/>
        <v>3038255276.3192034</v>
      </c>
      <c r="P10" s="47">
        <f t="shared" si="17"/>
        <v>2814902020.1112809</v>
      </c>
      <c r="Q10" s="47">
        <f t="shared" si="17"/>
        <v>2998476886.1603169</v>
      </c>
      <c r="R10" s="7">
        <f t="shared" si="17"/>
        <v>2369085322.2274885</v>
      </c>
      <c r="S10" s="7">
        <f t="shared" si="17"/>
        <v>2609261109.1182976</v>
      </c>
      <c r="T10" s="7">
        <f t="shared" si="17"/>
        <v>2996297551.3914218</v>
      </c>
      <c r="U10" s="7">
        <f t="shared" si="17"/>
        <v>2877095222.5701084</v>
      </c>
      <c r="V10" s="7">
        <f t="shared" si="17"/>
        <v>2844768504.4703345</v>
      </c>
      <c r="W10" s="7">
        <f t="shared" si="17"/>
        <v>3510906974.3804131</v>
      </c>
      <c r="X10" s="7">
        <f t="shared" si="17"/>
        <v>3199802962.6099038</v>
      </c>
    </row>
    <row r="11" spans="2:27" s="68" customFormat="1" ht="15" customHeight="1">
      <c r="B11" s="980" t="s">
        <v>378</v>
      </c>
      <c r="C11" s="980"/>
      <c r="D11" s="980"/>
      <c r="E11" s="980"/>
      <c r="F11" s="980"/>
      <c r="G11" s="980" t="str">
        <f t="shared" ref="G11" si="18">B11&amp;"_"&amp;C11&amp;"_"&amp;D11&amp;"_"&amp;E11&amp;"_"&amp;F11</f>
        <v>card____</v>
      </c>
      <c r="I11" s="1065" t="s">
        <v>299</v>
      </c>
      <c r="J11" s="86">
        <f t="shared" si="0"/>
        <v>63919129639.32328</v>
      </c>
      <c r="K11" s="1065">
        <f>SUM(K12:K15)</f>
        <v>3930822935.9000001</v>
      </c>
      <c r="L11" s="1065">
        <f t="shared" ref="L11:R11" si="19">SUM(L12:L15)</f>
        <v>7223471868.0520592</v>
      </c>
      <c r="M11" s="1065">
        <f t="shared" si="19"/>
        <v>4196412669.9911118</v>
      </c>
      <c r="N11" s="1065">
        <f t="shared" si="19"/>
        <v>4392098408.6881876</v>
      </c>
      <c r="O11" s="1065">
        <f t="shared" si="19"/>
        <v>4380825607.4272671</v>
      </c>
      <c r="P11" s="1065">
        <f t="shared" si="19"/>
        <v>4613155132.6677856</v>
      </c>
      <c r="Q11" s="1065">
        <f t="shared" si="19"/>
        <v>4176998073.8622222</v>
      </c>
      <c r="R11" s="1065">
        <f t="shared" si="19"/>
        <v>4617713304.2983465</v>
      </c>
      <c r="S11" s="47">
        <f t="shared" ref="S11:X11" si="20">SUM(S12:S15)</f>
        <v>6325353321.4247427</v>
      </c>
      <c r="T11" s="47">
        <f t="shared" si="20"/>
        <v>6002993325.1347389</v>
      </c>
      <c r="U11" s="47">
        <f t="shared" si="20"/>
        <v>5737863528.4637613</v>
      </c>
      <c r="V11" s="47">
        <f t="shared" si="20"/>
        <v>8816985853.4758034</v>
      </c>
      <c r="W11" s="47">
        <f t="shared" si="20"/>
        <v>5541641370.2804413</v>
      </c>
      <c r="X11" s="47">
        <f t="shared" si="20"/>
        <v>5117089043.6088762</v>
      </c>
    </row>
    <row r="12" spans="2:27" s="68" customFormat="1" ht="15" customHeight="1">
      <c r="B12" s="980" t="s">
        <v>378</v>
      </c>
      <c r="C12" s="980"/>
      <c r="D12" s="980"/>
      <c r="E12" s="980"/>
      <c r="F12" s="1227"/>
      <c r="G12" s="980" t="str">
        <f t="shared" si="16"/>
        <v>card____</v>
      </c>
      <c r="I12" s="563" t="s">
        <v>301</v>
      </c>
      <c r="J12" s="7">
        <f t="shared" si="0"/>
        <v>33975976521.800003</v>
      </c>
      <c r="K12" s="7">
        <v>2424881822</v>
      </c>
      <c r="L12" s="7">
        <v>2477880065</v>
      </c>
      <c r="M12" s="7">
        <v>2538329547.0000005</v>
      </c>
      <c r="N12" s="7">
        <v>2591110495.4903212</v>
      </c>
      <c r="O12" s="7">
        <v>2715048280.9371428</v>
      </c>
      <c r="P12" s="7">
        <v>2607432404.4399996</v>
      </c>
      <c r="Q12" s="7">
        <v>2597788942.4000001</v>
      </c>
      <c r="R12" s="7">
        <v>2618516606.8461008</v>
      </c>
      <c r="S12" s="7">
        <v>2651312333.3863635</v>
      </c>
      <c r="T12" s="7">
        <v>3255940253.1739941</v>
      </c>
      <c r="U12" s="7">
        <v>3017544024.7926159</v>
      </c>
      <c r="V12" s="7">
        <v>3078960146.6622343</v>
      </c>
      <c r="W12" s="7">
        <v>3203414288.568675</v>
      </c>
      <c r="X12" s="7">
        <v>3100579198.1025467</v>
      </c>
    </row>
    <row r="13" spans="2:27" s="68" customFormat="1" ht="15" customHeight="1">
      <c r="B13" s="980" t="s">
        <v>378</v>
      </c>
      <c r="C13" s="980"/>
      <c r="D13" s="980"/>
      <c r="E13" s="980"/>
      <c r="F13" s="1227"/>
      <c r="G13" s="980" t="str">
        <f t="shared" si="16"/>
        <v>card____</v>
      </c>
      <c r="I13" s="563" t="s">
        <v>303</v>
      </c>
      <c r="J13" s="7">
        <f t="shared" si="0"/>
        <v>12609947672.797649</v>
      </c>
      <c r="K13" s="7">
        <v>490316386</v>
      </c>
      <c r="L13" s="7">
        <v>491988573</v>
      </c>
      <c r="M13" s="7">
        <v>587471893.98000002</v>
      </c>
      <c r="N13" s="7">
        <v>552282813.12008929</v>
      </c>
      <c r="O13" s="7">
        <v>540185247.8012346</v>
      </c>
      <c r="P13" s="7">
        <v>547824900.97000003</v>
      </c>
      <c r="Q13" s="7">
        <v>562925852.26999998</v>
      </c>
      <c r="R13" s="7">
        <v>567033500.09669042</v>
      </c>
      <c r="S13" s="7">
        <f>583937423.219416+1635778598.88563</f>
        <v>2219716022.1050458</v>
      </c>
      <c r="T13" s="7">
        <f>702263338.594078+519571267.5</f>
        <v>1221834606.0940781</v>
      </c>
      <c r="U13" s="7">
        <f>643531298.175509+255912594.6</f>
        <v>899443892.775509</v>
      </c>
      <c r="V13" s="7">
        <f>640484887.580238+2667700000</f>
        <v>3308184887.5802379</v>
      </c>
      <c r="W13" s="7">
        <f>658597110.858901+265972690.430642</f>
        <v>924569801.28954303</v>
      </c>
      <c r="X13" s="7">
        <v>678474254.71522045</v>
      </c>
    </row>
    <row r="14" spans="2:27" s="68" customFormat="1" ht="15" customHeight="1">
      <c r="B14" s="980" t="s">
        <v>378</v>
      </c>
      <c r="C14" s="980"/>
      <c r="D14" s="980"/>
      <c r="E14" s="980"/>
      <c r="F14" s="1227"/>
      <c r="G14" s="980" t="str">
        <f t="shared" si="16"/>
        <v>card____</v>
      </c>
      <c r="I14" s="563" t="s">
        <v>305</v>
      </c>
      <c r="J14" s="7">
        <f t="shared" si="0"/>
        <v>9139736047.5588913</v>
      </c>
      <c r="K14" s="7">
        <v>510500000</v>
      </c>
      <c r="L14" s="7">
        <v>893313936.60000002</v>
      </c>
      <c r="M14" s="7">
        <v>623483299.18888891</v>
      </c>
      <c r="N14" s="7">
        <v>678041863.81111109</v>
      </c>
      <c r="O14" s="7">
        <v>592082194.1222223</v>
      </c>
      <c r="P14" s="7">
        <v>734384611.70000005</v>
      </c>
      <c r="Q14" s="7">
        <v>550487577.26999998</v>
      </c>
      <c r="R14" s="7">
        <v>782193271.02222216</v>
      </c>
      <c r="S14" s="7">
        <v>729881090.80000007</v>
      </c>
      <c r="T14" s="7">
        <v>758647790.16666675</v>
      </c>
      <c r="U14" s="7">
        <v>818494146.10000002</v>
      </c>
      <c r="V14" s="7">
        <v>852609332.73333347</v>
      </c>
      <c r="W14" s="7">
        <v>712660981.44444442</v>
      </c>
      <c r="X14" s="7">
        <v>1306769889.2</v>
      </c>
    </row>
    <row r="15" spans="2:27" s="68" customFormat="1" ht="15" customHeight="1" thickBot="1">
      <c r="B15" s="980" t="s">
        <v>378</v>
      </c>
      <c r="C15" s="980"/>
      <c r="D15" s="980"/>
      <c r="E15" s="980"/>
      <c r="F15" s="1227"/>
      <c r="G15" s="980" t="str">
        <f t="shared" si="16"/>
        <v>card____</v>
      </c>
      <c r="I15" s="1093" t="s">
        <v>307</v>
      </c>
      <c r="J15" s="1094">
        <f t="shared" si="0"/>
        <v>8193469397.1667528</v>
      </c>
      <c r="K15" s="1094">
        <v>505124727.90000004</v>
      </c>
      <c r="L15" s="1094">
        <v>3360289293.4520597</v>
      </c>
      <c r="M15" s="1094">
        <v>447127929.82222235</v>
      </c>
      <c r="N15" s="1094">
        <v>570663236.26666629</v>
      </c>
      <c r="O15" s="1094">
        <v>533509884.56666672</v>
      </c>
      <c r="P15" s="1094">
        <v>723513215.55778611</v>
      </c>
      <c r="Q15" s="1094">
        <v>465795701.92222208</v>
      </c>
      <c r="R15" s="1094">
        <v>649969926.33333373</v>
      </c>
      <c r="S15" s="1094">
        <v>724443875.13333321</v>
      </c>
      <c r="T15" s="1094">
        <v>766570675.70000029</v>
      </c>
      <c r="U15" s="1094">
        <v>1002381464.7956358</v>
      </c>
      <c r="V15" s="1094">
        <v>1577231486.4999981</v>
      </c>
      <c r="W15" s="1094">
        <v>700996298.97777855</v>
      </c>
      <c r="X15" s="1094">
        <v>31265701.591109224</v>
      </c>
    </row>
    <row r="16" spans="2:27" s="68" customFormat="1" ht="15" customHeight="1" thickTop="1">
      <c r="B16" s="980" t="s">
        <v>378</v>
      </c>
      <c r="C16" s="980"/>
      <c r="D16" s="980"/>
      <c r="E16" s="980"/>
      <c r="F16" s="1228"/>
      <c r="G16" s="980" t="str">
        <f t="shared" si="16"/>
        <v>card____</v>
      </c>
      <c r="I16" s="47" t="s">
        <v>309</v>
      </c>
      <c r="J16" s="7">
        <f t="shared" si="0"/>
        <v>-30117728290.858822</v>
      </c>
      <c r="K16" s="222">
        <f>K5-K9-K10-K11</f>
        <v>4450984186.4313602</v>
      </c>
      <c r="L16" s="222">
        <f t="shared" ref="L16:Q16" si="21">L5-L9-L10-L11</f>
        <v>-7412226405.5108595</v>
      </c>
      <c r="M16" s="222">
        <f t="shared" si="21"/>
        <v>-17670499393.752846</v>
      </c>
      <c r="N16" s="222">
        <f t="shared" si="21"/>
        <v>-7182157007.6067247</v>
      </c>
      <c r="O16" s="222">
        <f t="shared" si="21"/>
        <v>-10914573617.969883</v>
      </c>
      <c r="P16" s="222">
        <f t="shared" si="21"/>
        <v>-1523849639.3692956</v>
      </c>
      <c r="Q16" s="222">
        <f t="shared" si="21"/>
        <v>6593286182.43894</v>
      </c>
      <c r="R16" s="222">
        <f t="shared" ref="R16:S16" si="22">R5-R9-R10-R11</f>
        <v>2540225778.6277103</v>
      </c>
      <c r="S16" s="222">
        <f t="shared" si="22"/>
        <v>-946218117.20092297</v>
      </c>
      <c r="T16" s="222">
        <f t="shared" ref="T16:U16" si="23">T5-T9-T10-T11</f>
        <v>-5227432513.299675</v>
      </c>
      <c r="U16" s="222">
        <f t="shared" si="23"/>
        <v>6336069011.2994661</v>
      </c>
      <c r="V16" s="222">
        <f t="shared" ref="V16:W16" si="24">V5-V9-V10-V11</f>
        <v>-1059696742.3229618</v>
      </c>
      <c r="W16" s="222">
        <f t="shared" si="24"/>
        <v>224587617.89917374</v>
      </c>
      <c r="X16" s="222">
        <f t="shared" ref="X16" si="25">X5-X9-X10-X11</f>
        <v>-1287469849.6018062</v>
      </c>
    </row>
    <row r="17" spans="2:25" s="68" customFormat="1" ht="15" customHeight="1">
      <c r="B17" s="980"/>
      <c r="C17" s="980"/>
      <c r="D17" s="980"/>
      <c r="E17" s="980"/>
      <c r="F17" s="1228"/>
      <c r="G17" s="980"/>
      <c r="I17" s="1090" t="s">
        <v>236</v>
      </c>
      <c r="J17" s="7">
        <f t="shared" ref="J17:Q17" si="26">J16+J11</f>
        <v>33801401348.464458</v>
      </c>
      <c r="K17" s="7">
        <f t="shared" si="26"/>
        <v>8381807122.3313599</v>
      </c>
      <c r="L17" s="7">
        <f t="shared" si="26"/>
        <v>-188754537.45880032</v>
      </c>
      <c r="M17" s="7">
        <f t="shared" si="26"/>
        <v>-13474086723.761734</v>
      </c>
      <c r="N17" s="7">
        <f t="shared" si="26"/>
        <v>-2790058598.9185371</v>
      </c>
      <c r="O17" s="7">
        <f t="shared" si="26"/>
        <v>-6533748010.5426159</v>
      </c>
      <c r="P17" s="7">
        <f t="shared" si="26"/>
        <v>3089305493.29849</v>
      </c>
      <c r="Q17" s="7">
        <f t="shared" si="26"/>
        <v>10770284256.301163</v>
      </c>
      <c r="R17" s="7">
        <f t="shared" ref="R17:S17" si="27">R16+R11</f>
        <v>7157939082.9260569</v>
      </c>
      <c r="S17" s="7">
        <f t="shared" si="27"/>
        <v>5379135204.2238197</v>
      </c>
      <c r="T17" s="7">
        <f t="shared" ref="T17:U17" si="28">T16+T11</f>
        <v>775560811.83506393</v>
      </c>
      <c r="U17" s="7">
        <f t="shared" si="28"/>
        <v>12073932539.763227</v>
      </c>
      <c r="V17" s="7">
        <f t="shared" ref="V17:W17" si="29">V16+V11</f>
        <v>7757289111.1528416</v>
      </c>
      <c r="W17" s="7">
        <f t="shared" si="29"/>
        <v>5766228988.179615</v>
      </c>
      <c r="X17" s="7">
        <f t="shared" ref="X17" si="30">X16+X11</f>
        <v>3829619194.0070701</v>
      </c>
    </row>
    <row r="18" spans="2:25" s="68" customFormat="1" ht="15" customHeight="1">
      <c r="B18" s="980"/>
      <c r="C18" s="980"/>
      <c r="D18" s="980"/>
      <c r="E18" s="980"/>
      <c r="F18" s="1228"/>
      <c r="G18" s="980"/>
      <c r="I18" s="85"/>
      <c r="J18" s="86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</row>
    <row r="19" spans="2:25" ht="15" customHeight="1">
      <c r="B19" s="980" t="s">
        <v>378</v>
      </c>
      <c r="E19" s="980" t="s">
        <v>191</v>
      </c>
      <c r="G19" s="980" t="str">
        <f>B19&amp;"_"&amp;C19&amp;"_"&amp;D19&amp;"_"&amp;E19&amp;"_"&amp;F19</f>
        <v>card___all_</v>
      </c>
      <c r="I19" s="82" t="s">
        <v>380</v>
      </c>
      <c r="J19" s="86"/>
      <c r="K19" s="86"/>
      <c r="L19" s="86"/>
      <c r="M19" s="86"/>
      <c r="N19" s="86"/>
    </row>
    <row r="20" spans="2:25" ht="15" customHeight="1">
      <c r="B20" s="980" t="s">
        <v>378</v>
      </c>
      <c r="C20" s="980" t="s">
        <v>381</v>
      </c>
      <c r="E20" s="980" t="s">
        <v>191</v>
      </c>
      <c r="F20" s="126" t="s">
        <v>239</v>
      </c>
      <c r="G20" s="980" t="str">
        <f t="shared" ref="G20:G24" si="31">B20&amp;"_"&amp;C20&amp;"_"&amp;D20&amp;"_"&amp;E20&amp;"_"&amp;F20</f>
        <v>card_debit__all_new_account</v>
      </c>
      <c r="I20" s="1052" t="s">
        <v>193</v>
      </c>
      <c r="J20" s="86"/>
      <c r="K20" s="86">
        <v>5098</v>
      </c>
      <c r="L20" s="86">
        <v>5623</v>
      </c>
      <c r="M20" s="86">
        <v>6888.6874159999998</v>
      </c>
      <c r="N20" s="86">
        <v>7551</v>
      </c>
      <c r="O20" s="89">
        <v>7575</v>
      </c>
      <c r="P20" s="7">
        <v>7225</v>
      </c>
      <c r="Q20" s="7">
        <v>9665</v>
      </c>
      <c r="R20" s="7">
        <v>7967</v>
      </c>
      <c r="S20" s="34">
        <v>7615</v>
      </c>
      <c r="T20" s="7">
        <v>14070</v>
      </c>
      <c r="U20" s="7">
        <v>18687</v>
      </c>
      <c r="V20" s="7">
        <v>16366</v>
      </c>
      <c r="W20" s="7">
        <v>14578</v>
      </c>
      <c r="X20" s="7">
        <v>31138</v>
      </c>
    </row>
    <row r="21" spans="2:25" ht="15" customHeight="1">
      <c r="B21" s="980" t="s">
        <v>378</v>
      </c>
      <c r="C21" s="980" t="s">
        <v>381</v>
      </c>
      <c r="E21" s="980" t="s">
        <v>191</v>
      </c>
      <c r="F21" s="126" t="s">
        <v>240</v>
      </c>
      <c r="G21" s="980" t="str">
        <f t="shared" si="31"/>
        <v>card_debit__all_accum_account</v>
      </c>
      <c r="I21" s="1052" t="s">
        <v>382</v>
      </c>
      <c r="J21" s="86"/>
      <c r="K21" s="86">
        <v>51934</v>
      </c>
      <c r="L21" s="86">
        <v>65123</v>
      </c>
      <c r="M21" s="86">
        <v>65942</v>
      </c>
      <c r="N21" s="86">
        <v>66002</v>
      </c>
      <c r="O21" s="34">
        <v>73577</v>
      </c>
      <c r="P21" s="7">
        <v>65823</v>
      </c>
      <c r="Q21" s="34">
        <f t="shared" ref="Q21:X21" si="32">P21+Q20</f>
        <v>75488</v>
      </c>
      <c r="R21" s="34">
        <f t="shared" si="32"/>
        <v>83455</v>
      </c>
      <c r="S21" s="34">
        <f t="shared" si="32"/>
        <v>91070</v>
      </c>
      <c r="T21" s="34">
        <f t="shared" si="32"/>
        <v>105140</v>
      </c>
      <c r="U21" s="34">
        <f t="shared" si="32"/>
        <v>123827</v>
      </c>
      <c r="V21" s="34">
        <f t="shared" si="32"/>
        <v>140193</v>
      </c>
      <c r="W21" s="34">
        <f t="shared" si="32"/>
        <v>154771</v>
      </c>
      <c r="X21" s="7">
        <f t="shared" si="32"/>
        <v>185909</v>
      </c>
    </row>
    <row r="22" spans="2:25" ht="15" customHeight="1">
      <c r="B22" s="980" t="s">
        <v>378</v>
      </c>
      <c r="C22" s="980" t="s">
        <v>381</v>
      </c>
      <c r="E22" s="980" t="s">
        <v>191</v>
      </c>
      <c r="F22" s="126" t="s">
        <v>241</v>
      </c>
      <c r="G22" s="980" t="str">
        <f t="shared" si="31"/>
        <v>card_debit__all_active_account</v>
      </c>
      <c r="I22" s="1052" t="s">
        <v>195</v>
      </c>
      <c r="J22" s="86"/>
      <c r="K22" s="86">
        <v>11023</v>
      </c>
      <c r="L22" s="86">
        <v>11225</v>
      </c>
      <c r="M22" s="86">
        <v>10900</v>
      </c>
      <c r="N22" s="86">
        <v>9917</v>
      </c>
      <c r="O22" s="89">
        <v>11606</v>
      </c>
      <c r="P22" s="7">
        <v>11539</v>
      </c>
      <c r="Q22" s="7">
        <v>12181</v>
      </c>
      <c r="R22" s="7">
        <v>12658</v>
      </c>
      <c r="S22" s="34">
        <v>12351</v>
      </c>
      <c r="T22" s="7">
        <v>11968</v>
      </c>
      <c r="U22">
        <v>11732</v>
      </c>
      <c r="V22" s="7">
        <v>12727</v>
      </c>
      <c r="W22" s="7">
        <v>12783</v>
      </c>
      <c r="X22" s="7">
        <v>13628</v>
      </c>
    </row>
    <row r="23" spans="2:25" ht="15" customHeight="1">
      <c r="B23" s="980" t="s">
        <v>378</v>
      </c>
      <c r="C23" s="980" t="s">
        <v>381</v>
      </c>
      <c r="E23" s="980" t="s">
        <v>191</v>
      </c>
      <c r="F23" s="1052" t="s">
        <v>196</v>
      </c>
      <c r="G23" s="980" t="str">
        <f t="shared" si="31"/>
        <v>card_debit__all_% active rate</v>
      </c>
      <c r="I23" s="1052" t="s">
        <v>196</v>
      </c>
      <c r="J23" s="86"/>
      <c r="K23" s="131">
        <f t="shared" ref="K23:Q23" si="33">K22/K21</f>
        <v>0.21225016366927255</v>
      </c>
      <c r="L23" s="131">
        <f t="shared" si="33"/>
        <v>0.17236613792362146</v>
      </c>
      <c r="M23" s="131">
        <f t="shared" si="33"/>
        <v>0.1652967759546268</v>
      </c>
      <c r="N23" s="131">
        <f t="shared" si="33"/>
        <v>0.15025302263567772</v>
      </c>
      <c r="O23" s="131">
        <f t="shared" si="33"/>
        <v>0.15773951098848826</v>
      </c>
      <c r="P23" s="42">
        <f t="shared" si="33"/>
        <v>0.17530346535405558</v>
      </c>
      <c r="Q23" s="42">
        <f t="shared" si="33"/>
        <v>0.16136339550657058</v>
      </c>
      <c r="R23" s="42">
        <f t="shared" ref="R23:X23" si="34">R22/R21</f>
        <v>0.15167455514948175</v>
      </c>
      <c r="S23" s="42">
        <f t="shared" si="34"/>
        <v>0.13562095091687712</v>
      </c>
      <c r="T23" s="42">
        <f t="shared" si="34"/>
        <v>0.11382918014076469</v>
      </c>
      <c r="U23" s="42">
        <f t="shared" si="34"/>
        <v>9.4745087904899578E-2</v>
      </c>
      <c r="V23" s="42">
        <f t="shared" si="34"/>
        <v>9.0781993394820001E-2</v>
      </c>
      <c r="W23" s="42">
        <f t="shared" si="34"/>
        <v>8.2592992227226034E-2</v>
      </c>
      <c r="X23" s="42">
        <f t="shared" si="34"/>
        <v>7.3304681322582554E-2</v>
      </c>
    </row>
    <row r="24" spans="2:25" ht="15" customHeight="1">
      <c r="B24" s="980" t="s">
        <v>378</v>
      </c>
      <c r="C24" s="980" t="s">
        <v>381</v>
      </c>
      <c r="E24" s="980" t="s">
        <v>191</v>
      </c>
      <c r="F24" s="126" t="s">
        <v>242</v>
      </c>
      <c r="G24" s="980" t="str">
        <f t="shared" si="31"/>
        <v>card_debit__all_disburse/spend</v>
      </c>
      <c r="I24" s="1052" t="s">
        <v>199</v>
      </c>
      <c r="J24" s="86"/>
      <c r="K24" s="86">
        <v>12206000000</v>
      </c>
      <c r="L24" s="86">
        <v>11645900000</v>
      </c>
      <c r="M24" s="7">
        <f>11079*10^6</f>
        <v>11079000000</v>
      </c>
      <c r="N24" s="86">
        <v>10018330000</v>
      </c>
      <c r="O24" s="89">
        <v>11969060000</v>
      </c>
      <c r="P24" s="86">
        <v>13142840000</v>
      </c>
      <c r="Q24" s="34">
        <v>16351160000</v>
      </c>
      <c r="R24" s="34">
        <f>15307.14*10^6</f>
        <v>15307140000</v>
      </c>
      <c r="S24" s="34">
        <v>18152291286</v>
      </c>
      <c r="T24" s="34">
        <v>19853576742</v>
      </c>
      <c r="U24" s="34">
        <v>19366810000</v>
      </c>
      <c r="V24" s="89">
        <v>23167790000</v>
      </c>
      <c r="W24" s="89">
        <v>29385020000</v>
      </c>
      <c r="X24" s="89">
        <v>40710200000</v>
      </c>
      <c r="Y24" s="34"/>
    </row>
    <row r="25" spans="2:25" s="4" customFormat="1" ht="15" customHeight="1">
      <c r="B25" s="980" t="s">
        <v>378</v>
      </c>
      <c r="C25" s="980" t="s">
        <v>381</v>
      </c>
      <c r="D25" s="980"/>
      <c r="E25" s="980" t="s">
        <v>191</v>
      </c>
      <c r="F25" s="758" t="s">
        <v>252</v>
      </c>
      <c r="G25" s="980"/>
      <c r="I25" s="85" t="s">
        <v>215</v>
      </c>
      <c r="J25" s="86">
        <f t="shared" ref="J25:J43" si="35">SUM(M25:X25)</f>
        <v>15341636641</v>
      </c>
      <c r="K25" s="285">
        <f t="shared" ref="K25:R25" si="36">K47+K74</f>
        <v>583238969</v>
      </c>
      <c r="L25" s="285">
        <f t="shared" si="36"/>
        <v>1705249544</v>
      </c>
      <c r="M25" s="285">
        <f t="shared" si="36"/>
        <v>454684667</v>
      </c>
      <c r="N25" s="285">
        <f t="shared" si="36"/>
        <v>520070725</v>
      </c>
      <c r="O25" s="285">
        <f t="shared" si="36"/>
        <v>573030717</v>
      </c>
      <c r="P25" s="285">
        <f t="shared" si="36"/>
        <v>590771859</v>
      </c>
      <c r="Q25" s="285">
        <f t="shared" si="36"/>
        <v>709858608</v>
      </c>
      <c r="R25" s="285">
        <f t="shared" si="36"/>
        <v>773888430</v>
      </c>
      <c r="S25" s="285">
        <f t="shared" ref="S25:T25" si="37">S47+S74</f>
        <v>887449969</v>
      </c>
      <c r="T25" s="285">
        <f t="shared" si="37"/>
        <v>949080825</v>
      </c>
      <c r="U25" s="285">
        <f t="shared" ref="U25" si="38">U47+U74</f>
        <v>5724329461</v>
      </c>
      <c r="V25" s="7">
        <f>V47+V74</f>
        <v>1057548343</v>
      </c>
      <c r="W25" s="7">
        <f>W47+W74</f>
        <v>1313391658</v>
      </c>
      <c r="X25" s="7">
        <f>X47+X74</f>
        <v>1787531379</v>
      </c>
    </row>
    <row r="26" spans="2:25" s="4" customFormat="1" ht="15" customHeight="1">
      <c r="B26" s="980" t="s">
        <v>378</v>
      </c>
      <c r="C26" s="980" t="s">
        <v>381</v>
      </c>
      <c r="D26" s="980"/>
      <c r="E26" s="980" t="s">
        <v>191</v>
      </c>
      <c r="F26" s="758" t="s">
        <v>383</v>
      </c>
      <c r="G26" s="980"/>
      <c r="I26" s="85" t="s">
        <v>216</v>
      </c>
      <c r="J26" s="86">
        <f t="shared" si="35"/>
        <v>12500898200.725821</v>
      </c>
      <c r="K26" s="285">
        <f t="shared" ref="K26:R26" si="39">K57+K85</f>
        <v>706102894.24804068</v>
      </c>
      <c r="L26" s="285">
        <f t="shared" si="39"/>
        <v>963025326.33333325</v>
      </c>
      <c r="M26" s="285">
        <f t="shared" si="39"/>
        <v>813134416.39048553</v>
      </c>
      <c r="N26" s="285">
        <f t="shared" si="39"/>
        <v>969534657.40250552</v>
      </c>
      <c r="O26" s="285">
        <f t="shared" si="39"/>
        <v>1129497396.1240177</v>
      </c>
      <c r="P26" s="285">
        <f t="shared" si="39"/>
        <v>958754014.14214623</v>
      </c>
      <c r="Q26" s="285">
        <f t="shared" si="39"/>
        <v>864334906</v>
      </c>
      <c r="R26" s="285">
        <f t="shared" si="39"/>
        <v>947175224.33333325</v>
      </c>
      <c r="S26" s="285">
        <f t="shared" ref="S26:T26" si="40">S57+S85</f>
        <v>1048241998</v>
      </c>
      <c r="T26" s="285">
        <f t="shared" si="40"/>
        <v>1008764866</v>
      </c>
      <c r="U26" s="285">
        <f t="shared" ref="U26" si="41">U57+U85</f>
        <v>981930860.33333337</v>
      </c>
      <c r="V26" s="7">
        <f>V57+V85</f>
        <v>901636850</v>
      </c>
      <c r="W26" s="7">
        <f>W57+W85</f>
        <v>1273091606</v>
      </c>
      <c r="X26" s="7">
        <f>X57+X85</f>
        <v>1604801406</v>
      </c>
    </row>
    <row r="27" spans="2:25" s="68" customFormat="1" ht="15" customHeight="1">
      <c r="B27" s="980" t="s">
        <v>378</v>
      </c>
      <c r="C27" s="980" t="s">
        <v>381</v>
      </c>
      <c r="D27" s="980"/>
      <c r="E27" s="980" t="s">
        <v>191</v>
      </c>
      <c r="F27" s="758" t="s">
        <v>217</v>
      </c>
      <c r="G27" s="980"/>
      <c r="I27" s="85" t="s">
        <v>217</v>
      </c>
      <c r="J27" s="86">
        <f t="shared" si="35"/>
        <v>2840738440.2741785</v>
      </c>
      <c r="K27" s="222">
        <f t="shared" ref="K27:P27" si="42">K25-K26</f>
        <v>-122863925.24804068</v>
      </c>
      <c r="L27" s="222">
        <f t="shared" si="42"/>
        <v>742224217.66666675</v>
      </c>
      <c r="M27" s="222">
        <f t="shared" si="42"/>
        <v>-358449749.39048553</v>
      </c>
      <c r="N27" s="222">
        <f t="shared" si="42"/>
        <v>-449463932.40250552</v>
      </c>
      <c r="O27" s="222">
        <f t="shared" si="42"/>
        <v>-556466679.12401772</v>
      </c>
      <c r="P27" s="222">
        <f t="shared" si="42"/>
        <v>-367982155.14214623</v>
      </c>
      <c r="Q27" s="222">
        <f t="shared" ref="Q27:W27" si="43">Q25-Q26</f>
        <v>-154476298</v>
      </c>
      <c r="R27" s="222">
        <f t="shared" si="43"/>
        <v>-173286794.33333325</v>
      </c>
      <c r="S27" s="222">
        <f t="shared" si="43"/>
        <v>-160792029</v>
      </c>
      <c r="T27" s="222">
        <f t="shared" si="43"/>
        <v>-59684041</v>
      </c>
      <c r="U27" s="222">
        <f t="shared" si="43"/>
        <v>4742398600.666667</v>
      </c>
      <c r="V27" s="222">
        <f t="shared" si="43"/>
        <v>155911493</v>
      </c>
      <c r="W27" s="222">
        <f t="shared" si="43"/>
        <v>40300052</v>
      </c>
      <c r="X27" s="222">
        <f t="shared" ref="X27" si="44">X25-X26</f>
        <v>182729973</v>
      </c>
    </row>
    <row r="28" spans="2:25" s="68" customFormat="1" ht="15" customHeight="1">
      <c r="B28" s="980" t="s">
        <v>378</v>
      </c>
      <c r="C28" s="980" t="s">
        <v>381</v>
      </c>
      <c r="D28" s="980"/>
      <c r="E28" s="980" t="s">
        <v>191</v>
      </c>
      <c r="F28" s="758" t="s">
        <v>254</v>
      </c>
      <c r="G28" s="980"/>
      <c r="I28" s="1064" t="s">
        <v>218</v>
      </c>
      <c r="J28" s="86">
        <f t="shared" si="35"/>
        <v>0</v>
      </c>
      <c r="K28" s="70">
        <f t="shared" ref="K28:R29" si="45">K50+K77</f>
        <v>0</v>
      </c>
      <c r="L28" s="70">
        <f t="shared" si="45"/>
        <v>0</v>
      </c>
      <c r="M28" s="70">
        <f t="shared" si="45"/>
        <v>0</v>
      </c>
      <c r="N28" s="70">
        <f t="shared" si="45"/>
        <v>0</v>
      </c>
      <c r="O28" s="70">
        <f t="shared" si="45"/>
        <v>0</v>
      </c>
      <c r="P28" s="70">
        <f t="shared" si="45"/>
        <v>0</v>
      </c>
      <c r="Q28" s="70">
        <f t="shared" si="45"/>
        <v>0</v>
      </c>
      <c r="R28" s="70">
        <f t="shared" si="45"/>
        <v>0</v>
      </c>
      <c r="S28" s="70">
        <f t="shared" ref="S28:T28" si="46">S50+S77</f>
        <v>0</v>
      </c>
      <c r="T28" s="70">
        <f t="shared" si="46"/>
        <v>0</v>
      </c>
      <c r="U28" s="70">
        <f t="shared" ref="U28" si="47">U50+U77</f>
        <v>0</v>
      </c>
    </row>
    <row r="29" spans="2:25" s="68" customFormat="1" ht="15" customHeight="1">
      <c r="B29" s="980" t="s">
        <v>378</v>
      </c>
      <c r="C29" s="980" t="s">
        <v>381</v>
      </c>
      <c r="D29" s="980"/>
      <c r="E29" s="980" t="s">
        <v>191</v>
      </c>
      <c r="F29" s="758" t="s">
        <v>260</v>
      </c>
      <c r="G29" s="980"/>
      <c r="I29" s="1064" t="s">
        <v>220</v>
      </c>
      <c r="J29" s="86">
        <f t="shared" si="35"/>
        <v>2840738440.2741785</v>
      </c>
      <c r="K29" s="70">
        <f t="shared" si="45"/>
        <v>-122863925.24804068</v>
      </c>
      <c r="L29" s="70">
        <f t="shared" si="45"/>
        <v>742224217.66666675</v>
      </c>
      <c r="M29" s="70">
        <f t="shared" si="45"/>
        <v>-358449749.39048558</v>
      </c>
      <c r="N29" s="70">
        <f t="shared" si="45"/>
        <v>-449463932.40250552</v>
      </c>
      <c r="O29" s="70">
        <f t="shared" si="45"/>
        <v>-556466679.12401783</v>
      </c>
      <c r="P29" s="70">
        <f t="shared" si="45"/>
        <v>-367982155.14214623</v>
      </c>
      <c r="Q29" s="70">
        <f t="shared" si="45"/>
        <v>-154476298</v>
      </c>
      <c r="R29" s="70">
        <f t="shared" si="45"/>
        <v>-173286794.33333331</v>
      </c>
      <c r="S29" s="70">
        <f t="shared" ref="S29:T29" si="48">S51+S78</f>
        <v>-160792029</v>
      </c>
      <c r="T29" s="70">
        <f t="shared" si="48"/>
        <v>-59684041</v>
      </c>
      <c r="U29" s="70">
        <f t="shared" ref="U29" si="49">U51+U78</f>
        <v>4742398600.666667</v>
      </c>
      <c r="V29" s="70">
        <f>V51+V78</f>
        <v>155911493</v>
      </c>
      <c r="W29" s="70">
        <f>W51+W78</f>
        <v>40300052</v>
      </c>
      <c r="X29" s="70">
        <f>X51+X78</f>
        <v>182729973</v>
      </c>
    </row>
    <row r="30" spans="2:25" s="68" customFormat="1" ht="15" customHeight="1">
      <c r="B30" s="980" t="s">
        <v>378</v>
      </c>
      <c r="C30" s="980" t="s">
        <v>381</v>
      </c>
      <c r="D30" s="980"/>
      <c r="E30" s="980" t="s">
        <v>191</v>
      </c>
      <c r="F30" s="230" t="s">
        <v>384</v>
      </c>
      <c r="G30" s="980"/>
      <c r="I30" s="1064" t="s">
        <v>89</v>
      </c>
      <c r="J30" s="86">
        <f t="shared" si="35"/>
        <v>0</v>
      </c>
      <c r="K30" s="70">
        <f t="shared" ref="K30:R30" si="50">K63+K89</f>
        <v>0</v>
      </c>
      <c r="L30" s="70">
        <f t="shared" si="50"/>
        <v>1146818182</v>
      </c>
      <c r="M30" s="70">
        <f t="shared" si="50"/>
        <v>0</v>
      </c>
      <c r="N30" s="70">
        <f t="shared" si="50"/>
        <v>0</v>
      </c>
      <c r="O30" s="70">
        <f t="shared" si="50"/>
        <v>0</v>
      </c>
      <c r="P30" s="70">
        <f t="shared" si="50"/>
        <v>0</v>
      </c>
      <c r="Q30" s="70">
        <f t="shared" si="50"/>
        <v>0</v>
      </c>
      <c r="R30" s="70">
        <f t="shared" si="50"/>
        <v>0</v>
      </c>
      <c r="S30" s="70">
        <f t="shared" ref="S30:T30" si="51">S63+S89</f>
        <v>0</v>
      </c>
      <c r="T30" s="70">
        <f t="shared" si="51"/>
        <v>0</v>
      </c>
      <c r="U30" s="70">
        <f t="shared" ref="U30" si="52">U63+U89</f>
        <v>0</v>
      </c>
    </row>
    <row r="31" spans="2:25" s="68" customFormat="1" ht="15" customHeight="1">
      <c r="B31" s="980" t="s">
        <v>378</v>
      </c>
      <c r="C31" s="980" t="s">
        <v>381</v>
      </c>
      <c r="D31" s="980"/>
      <c r="E31" s="980" t="s">
        <v>191</v>
      </c>
      <c r="F31" s="230" t="s">
        <v>271</v>
      </c>
      <c r="G31" s="980"/>
      <c r="I31" s="85" t="s">
        <v>229</v>
      </c>
      <c r="J31" s="86">
        <f t="shared" si="35"/>
        <v>991587323.5</v>
      </c>
      <c r="K31" s="222">
        <f>SUM(K32:K37)</f>
        <v>65394025</v>
      </c>
      <c r="L31" s="222">
        <f t="shared" ref="L31:R31" si="53">SUM(L32:L37)</f>
        <v>66261841</v>
      </c>
      <c r="M31" s="222">
        <f t="shared" si="53"/>
        <v>86664540</v>
      </c>
      <c r="N31" s="222">
        <f t="shared" si="53"/>
        <v>91647617.5</v>
      </c>
      <c r="O31" s="222">
        <f t="shared" si="53"/>
        <v>79522577</v>
      </c>
      <c r="P31" s="222">
        <f t="shared" si="53"/>
        <v>76168261</v>
      </c>
      <c r="Q31" s="222">
        <f t="shared" si="53"/>
        <v>108359588</v>
      </c>
      <c r="R31" s="222">
        <f t="shared" si="53"/>
        <v>88794713</v>
      </c>
      <c r="S31" s="222">
        <f t="shared" ref="S31:T31" si="54">SUM(S32:S37)</f>
        <v>102977962</v>
      </c>
      <c r="T31" s="222">
        <f t="shared" si="54"/>
        <v>89294605</v>
      </c>
      <c r="U31" s="222">
        <f t="shared" ref="U31" si="55">SUM(U32:U37)</f>
        <v>77443374</v>
      </c>
      <c r="V31" s="222">
        <f>SUM(V32:V37)</f>
        <v>74410506</v>
      </c>
      <c r="W31" s="222">
        <f>SUM(W32:W37)</f>
        <v>63868091</v>
      </c>
      <c r="X31" s="222">
        <f>SUM(X32:X37)</f>
        <v>52435489</v>
      </c>
    </row>
    <row r="32" spans="2:25" s="68" customFormat="1" ht="15" customHeight="1">
      <c r="B32" s="980" t="s">
        <v>378</v>
      </c>
      <c r="C32" s="980" t="s">
        <v>381</v>
      </c>
      <c r="D32" s="980"/>
      <c r="E32" s="980" t="s">
        <v>191</v>
      </c>
      <c r="F32" s="230" t="s">
        <v>272</v>
      </c>
      <c r="G32" s="980"/>
      <c r="I32" s="563" t="s">
        <v>230</v>
      </c>
      <c r="J32" s="86">
        <f t="shared" si="35"/>
        <v>0</v>
      </c>
      <c r="K32" s="86"/>
      <c r="L32" s="86"/>
      <c r="M32" s="86"/>
      <c r="N32" s="86"/>
      <c r="P32" s="70"/>
    </row>
    <row r="33" spans="2:24" s="68" customFormat="1" ht="15" customHeight="1">
      <c r="B33" s="980" t="s">
        <v>378</v>
      </c>
      <c r="C33" s="980" t="s">
        <v>381</v>
      </c>
      <c r="D33" s="980"/>
      <c r="E33" s="980" t="s">
        <v>191</v>
      </c>
      <c r="F33" s="230" t="s">
        <v>278</v>
      </c>
      <c r="G33" s="980"/>
      <c r="I33" s="563" t="s">
        <v>235</v>
      </c>
      <c r="J33" s="86">
        <f t="shared" si="35"/>
        <v>0</v>
      </c>
      <c r="K33" s="86"/>
      <c r="L33" s="86"/>
      <c r="M33" s="86"/>
      <c r="N33" s="86"/>
      <c r="P33" s="70"/>
    </row>
    <row r="34" spans="2:24" s="68" customFormat="1" ht="15" customHeight="1">
      <c r="B34" s="980" t="s">
        <v>378</v>
      </c>
      <c r="C34" s="980" t="s">
        <v>381</v>
      </c>
      <c r="D34" s="980"/>
      <c r="E34" s="980" t="s">
        <v>191</v>
      </c>
      <c r="F34" s="230" t="s">
        <v>385</v>
      </c>
      <c r="G34" s="980"/>
      <c r="I34" s="1066" t="s">
        <v>386</v>
      </c>
      <c r="J34" s="86">
        <f t="shared" si="35"/>
        <v>201533891.5</v>
      </c>
      <c r="K34" s="224">
        <f t="shared" ref="K34:R35" si="56">K67+K93</f>
        <v>15239058</v>
      </c>
      <c r="L34" s="224">
        <f t="shared" si="56"/>
        <v>15751648</v>
      </c>
      <c r="M34" s="224">
        <f t="shared" si="56"/>
        <v>15293688</v>
      </c>
      <c r="N34" s="224">
        <f t="shared" si="56"/>
        <v>24038304.5</v>
      </c>
      <c r="O34" s="224">
        <f t="shared" si="56"/>
        <v>16904787</v>
      </c>
      <c r="P34" s="70">
        <f t="shared" si="56"/>
        <v>15244992</v>
      </c>
      <c r="Q34" s="70">
        <f t="shared" si="56"/>
        <v>21635666</v>
      </c>
      <c r="R34" s="70">
        <f t="shared" si="56"/>
        <v>17680606</v>
      </c>
      <c r="S34" s="70">
        <f t="shared" ref="S34:T34" si="57">S67+S93</f>
        <v>21166148</v>
      </c>
      <c r="T34" s="70">
        <f t="shared" si="57"/>
        <v>17498886</v>
      </c>
      <c r="U34" s="70">
        <f t="shared" ref="U34" si="58">U67+U93</f>
        <v>15365072</v>
      </c>
      <c r="V34" s="70">
        <f t="shared" ref="V34:X36" si="59">V67+V93</f>
        <v>15422529</v>
      </c>
      <c r="W34" s="70">
        <f t="shared" si="59"/>
        <v>11324500</v>
      </c>
      <c r="X34" s="70">
        <f t="shared" si="59"/>
        <v>9958713</v>
      </c>
    </row>
    <row r="35" spans="2:24" s="68" customFormat="1" ht="15" customHeight="1">
      <c r="B35" s="980" t="s">
        <v>378</v>
      </c>
      <c r="C35" s="980" t="s">
        <v>381</v>
      </c>
      <c r="D35" s="980"/>
      <c r="E35" s="980" t="s">
        <v>191</v>
      </c>
      <c r="F35" s="230" t="s">
        <v>387</v>
      </c>
      <c r="G35" s="980"/>
      <c r="I35" s="1066" t="s">
        <v>388</v>
      </c>
      <c r="J35" s="86">
        <f t="shared" si="35"/>
        <v>651714518</v>
      </c>
      <c r="K35" s="224">
        <f t="shared" si="56"/>
        <v>49407000</v>
      </c>
      <c r="L35" s="224">
        <f t="shared" si="56"/>
        <v>49755180</v>
      </c>
      <c r="M35" s="224">
        <f t="shared" si="56"/>
        <v>59782500</v>
      </c>
      <c r="N35" s="224">
        <f t="shared" si="56"/>
        <v>60111420</v>
      </c>
      <c r="O35" s="224">
        <f t="shared" si="56"/>
        <v>51823350</v>
      </c>
      <c r="P35" s="70">
        <f t="shared" si="56"/>
        <v>50204000</v>
      </c>
      <c r="Q35" s="70">
        <f t="shared" si="56"/>
        <v>75603000</v>
      </c>
      <c r="R35" s="70">
        <f t="shared" si="56"/>
        <v>60001000</v>
      </c>
      <c r="S35" s="70">
        <f t="shared" ref="S35:T35" si="60">S68+S94</f>
        <v>70279500</v>
      </c>
      <c r="T35" s="70">
        <f t="shared" si="60"/>
        <v>60652076</v>
      </c>
      <c r="U35" s="70">
        <f t="shared" ref="U35" si="61">U68+U94</f>
        <v>51291596</v>
      </c>
      <c r="V35" s="70">
        <f t="shared" si="59"/>
        <v>46656500</v>
      </c>
      <c r="W35" s="70">
        <f t="shared" si="59"/>
        <v>40342000</v>
      </c>
      <c r="X35" s="70">
        <f t="shared" si="59"/>
        <v>24967576</v>
      </c>
    </row>
    <row r="36" spans="2:24" s="68" customFormat="1" ht="15" customHeight="1">
      <c r="B36" s="980" t="s">
        <v>378</v>
      </c>
      <c r="C36" s="980" t="s">
        <v>381</v>
      </c>
      <c r="D36" s="980"/>
      <c r="E36" s="980" t="s">
        <v>191</v>
      </c>
      <c r="F36" s="230" t="s">
        <v>279</v>
      </c>
      <c r="G36" s="980"/>
      <c r="I36" s="1067" t="s">
        <v>163</v>
      </c>
      <c r="J36" s="86">
        <f t="shared" si="35"/>
        <v>19662499</v>
      </c>
      <c r="K36" s="70">
        <f>K69+K95</f>
        <v>747967</v>
      </c>
      <c r="L36" s="70">
        <f>L69+L95</f>
        <v>755013</v>
      </c>
      <c r="M36" s="70">
        <f>M69+M95</f>
        <v>879072</v>
      </c>
      <c r="N36" s="70">
        <f>N69+N95</f>
        <v>798923</v>
      </c>
      <c r="O36" s="70">
        <f>O69+O95</f>
        <v>847370</v>
      </c>
      <c r="P36" s="70">
        <v>2448359</v>
      </c>
      <c r="Q36" s="68">
        <f>Q69+Q95</f>
        <v>2836242</v>
      </c>
      <c r="R36" s="68">
        <f>R69+R95</f>
        <v>2131557</v>
      </c>
      <c r="S36" s="1234">
        <f>S69+S95</f>
        <v>1362854</v>
      </c>
      <c r="T36" s="1234">
        <f>T69+T95</f>
        <v>1380773</v>
      </c>
      <c r="U36" s="1234">
        <f>U69+U95</f>
        <v>1153196</v>
      </c>
      <c r="V36" s="1234">
        <f t="shared" si="59"/>
        <v>1275607</v>
      </c>
      <c r="W36" s="1234">
        <f t="shared" si="59"/>
        <v>1158321</v>
      </c>
      <c r="X36" s="70">
        <f t="shared" si="59"/>
        <v>3390225</v>
      </c>
    </row>
    <row r="37" spans="2:24" s="68" customFormat="1" ht="15" customHeight="1">
      <c r="B37" s="980" t="s">
        <v>378</v>
      </c>
      <c r="C37" s="980" t="s">
        <v>381</v>
      </c>
      <c r="D37" s="980"/>
      <c r="E37" s="980" t="s">
        <v>191</v>
      </c>
      <c r="F37" s="230" t="s">
        <v>276</v>
      </c>
      <c r="G37" s="980"/>
      <c r="I37" s="1067" t="s">
        <v>152</v>
      </c>
      <c r="J37" s="86">
        <f t="shared" si="35"/>
        <v>118676415</v>
      </c>
      <c r="K37" s="70"/>
      <c r="L37" s="70"/>
      <c r="M37" s="70">
        <v>10709280</v>
      </c>
      <c r="N37" s="70">
        <v>6698970</v>
      </c>
      <c r="O37" s="70">
        <v>9947070</v>
      </c>
      <c r="P37" s="70">
        <v>8270910</v>
      </c>
      <c r="Q37" s="70">
        <v>8284680</v>
      </c>
      <c r="R37" s="70">
        <f t="shared" ref="R37:X37" si="62">R96</f>
        <v>8981550</v>
      </c>
      <c r="S37" s="70">
        <f t="shared" si="62"/>
        <v>10169460</v>
      </c>
      <c r="T37" s="70">
        <f t="shared" si="62"/>
        <v>9762870</v>
      </c>
      <c r="U37" s="70">
        <f t="shared" si="62"/>
        <v>9633510</v>
      </c>
      <c r="V37" s="70">
        <f t="shared" si="62"/>
        <v>11055870</v>
      </c>
      <c r="W37" s="70">
        <f t="shared" si="62"/>
        <v>11043270</v>
      </c>
      <c r="X37" s="70">
        <f t="shared" si="62"/>
        <v>14118975</v>
      </c>
    </row>
    <row r="38" spans="2:24" s="68" customFormat="1" ht="15" customHeight="1">
      <c r="B38" s="980" t="s">
        <v>378</v>
      </c>
      <c r="C38" s="980" t="s">
        <v>381</v>
      </c>
      <c r="D38" s="980"/>
      <c r="E38" s="980" t="s">
        <v>191</v>
      </c>
      <c r="F38" s="126" t="s">
        <v>298</v>
      </c>
      <c r="G38" s="980" t="str">
        <f t="shared" ref="G38" si="63">B38&amp;"_"&amp;C38&amp;"_"&amp;D38&amp;"_"&amp;E38&amp;"_"&amp;F38</f>
        <v>card_debit__all_overhead_cost</v>
      </c>
      <c r="I38" s="1065" t="s">
        <v>299</v>
      </c>
      <c r="J38" s="86">
        <f t="shared" si="35"/>
        <v>12783825927.864658</v>
      </c>
      <c r="K38" s="222">
        <f>SUM(K39:K42)</f>
        <v>786164587.18000007</v>
      </c>
      <c r="L38" s="222">
        <f t="shared" ref="L38:S38" si="64">SUM(L39:L42)</f>
        <v>1444694373.6104121</v>
      </c>
      <c r="M38" s="222">
        <f t="shared" si="64"/>
        <v>839282533.99822247</v>
      </c>
      <c r="N38" s="222">
        <f t="shared" si="64"/>
        <v>878419681.73763776</v>
      </c>
      <c r="O38" s="222">
        <f t="shared" si="64"/>
        <v>876165121.48545337</v>
      </c>
      <c r="P38" s="222">
        <f t="shared" si="64"/>
        <v>922631026.5335573</v>
      </c>
      <c r="Q38" s="222">
        <f t="shared" si="64"/>
        <v>835399614.77244449</v>
      </c>
      <c r="R38" s="222">
        <f t="shared" si="64"/>
        <v>923542660.85966945</v>
      </c>
      <c r="S38" s="222">
        <f t="shared" si="64"/>
        <v>1265070664.2849486</v>
      </c>
      <c r="T38" s="222">
        <f t="shared" ref="T38:U38" si="65">SUM(T39:T42)</f>
        <v>1200598665.026948</v>
      </c>
      <c r="U38" s="222">
        <f t="shared" si="65"/>
        <v>1147572705.6927521</v>
      </c>
      <c r="V38" s="222">
        <f>SUM(V39:V42)</f>
        <v>1763397170.6951609</v>
      </c>
      <c r="W38" s="222">
        <f>SUM(W39:W42)</f>
        <v>1108328274.0560882</v>
      </c>
      <c r="X38" s="222">
        <f>SUM(X39:X42)</f>
        <v>1023417808.7217753</v>
      </c>
    </row>
    <row r="39" spans="2:24" s="68" customFormat="1" ht="15" customHeight="1">
      <c r="B39" s="980" t="s">
        <v>378</v>
      </c>
      <c r="C39" s="980" t="s">
        <v>381</v>
      </c>
      <c r="D39" s="980"/>
      <c r="E39" s="980" t="s">
        <v>191</v>
      </c>
      <c r="F39" s="126" t="s">
        <v>300</v>
      </c>
      <c r="G39" s="980" t="str">
        <f t="shared" ref="G39:G46" si="66">B39&amp;"_"&amp;C39&amp;"_"&amp;D39&amp;"_"&amp;E39&amp;"_"&amp;F39</f>
        <v>card_debit__all_direct_HR</v>
      </c>
      <c r="I39" s="1067" t="s">
        <v>301</v>
      </c>
      <c r="J39" s="86">
        <f t="shared" si="35"/>
        <v>6795195304.3599987</v>
      </c>
      <c r="K39" s="224">
        <f t="shared" ref="K39:Q42" si="67">20%*K12</f>
        <v>484976364.40000004</v>
      </c>
      <c r="L39" s="224">
        <f t="shared" si="67"/>
        <v>495576013</v>
      </c>
      <c r="M39" s="224">
        <f t="shared" si="67"/>
        <v>507665909.4000001</v>
      </c>
      <c r="N39" s="224">
        <f t="shared" si="67"/>
        <v>518222099.09806424</v>
      </c>
      <c r="O39" s="224">
        <f t="shared" si="67"/>
        <v>543009656.18742859</v>
      </c>
      <c r="P39" s="70">
        <f t="shared" si="67"/>
        <v>521486480.88799995</v>
      </c>
      <c r="Q39" s="70">
        <f t="shared" si="67"/>
        <v>519557788.48000002</v>
      </c>
      <c r="R39" s="70">
        <f t="shared" ref="R39:S39" si="68">20%*R12</f>
        <v>523703321.3692202</v>
      </c>
      <c r="S39" s="70">
        <f t="shared" si="68"/>
        <v>530262466.67727274</v>
      </c>
      <c r="T39" s="70">
        <f t="shared" ref="T39:U39" si="69">20%*T12</f>
        <v>651188050.63479888</v>
      </c>
      <c r="U39" s="70">
        <f t="shared" si="69"/>
        <v>603508804.95852315</v>
      </c>
      <c r="V39" s="70">
        <f t="shared" ref="V39:X42" si="70">20%*V12</f>
        <v>615792029.33244693</v>
      </c>
      <c r="W39" s="70">
        <f t="shared" si="70"/>
        <v>640682857.71373498</v>
      </c>
      <c r="X39" s="70">
        <f t="shared" si="70"/>
        <v>620115839.62050939</v>
      </c>
    </row>
    <row r="40" spans="2:24" s="68" customFormat="1" ht="15" customHeight="1">
      <c r="B40" s="980" t="s">
        <v>378</v>
      </c>
      <c r="C40" s="980" t="s">
        <v>381</v>
      </c>
      <c r="D40" s="980"/>
      <c r="E40" s="980" t="s">
        <v>191</v>
      </c>
      <c r="F40" s="126" t="s">
        <v>302</v>
      </c>
      <c r="G40" s="980" t="str">
        <f t="shared" si="66"/>
        <v>card_debit__all_indirect_HR</v>
      </c>
      <c r="I40" s="1067" t="s">
        <v>303</v>
      </c>
      <c r="J40" s="86">
        <f t="shared" si="35"/>
        <v>2521989534.5595303</v>
      </c>
      <c r="K40" s="224">
        <f t="shared" si="67"/>
        <v>98063277.200000003</v>
      </c>
      <c r="L40" s="224">
        <f t="shared" si="67"/>
        <v>98397714.600000009</v>
      </c>
      <c r="M40" s="224">
        <f t="shared" si="67"/>
        <v>117494378.796</v>
      </c>
      <c r="N40" s="224">
        <f t="shared" si="67"/>
        <v>110456562.62401786</v>
      </c>
      <c r="O40" s="224">
        <f t="shared" si="67"/>
        <v>108037049.56024693</v>
      </c>
      <c r="P40" s="70">
        <f t="shared" si="67"/>
        <v>109564980.19400001</v>
      </c>
      <c r="Q40" s="70">
        <f t="shared" si="67"/>
        <v>112585170.454</v>
      </c>
      <c r="R40" s="70">
        <f t="shared" ref="R40:S40" si="71">20%*R13</f>
        <v>113406700.01933809</v>
      </c>
      <c r="S40" s="70">
        <f t="shared" si="71"/>
        <v>443943204.42100918</v>
      </c>
      <c r="T40" s="70">
        <f t="shared" ref="T40:U40" si="72">20%*T13</f>
        <v>244366921.21881562</v>
      </c>
      <c r="U40" s="70">
        <f t="shared" si="72"/>
        <v>179888778.55510181</v>
      </c>
      <c r="V40" s="70">
        <f t="shared" si="70"/>
        <v>661636977.5160476</v>
      </c>
      <c r="W40" s="70">
        <f t="shared" si="70"/>
        <v>184913960.25790861</v>
      </c>
      <c r="X40" s="70">
        <f t="shared" si="70"/>
        <v>135694850.9430441</v>
      </c>
    </row>
    <row r="41" spans="2:24" s="68" customFormat="1" ht="15" customHeight="1">
      <c r="B41" s="980" t="s">
        <v>378</v>
      </c>
      <c r="C41" s="980" t="s">
        <v>381</v>
      </c>
      <c r="D41" s="980"/>
      <c r="E41" s="980" t="s">
        <v>191</v>
      </c>
      <c r="F41" s="126" t="s">
        <v>304</v>
      </c>
      <c r="G41" s="980" t="str">
        <f t="shared" si="66"/>
        <v>card_debit__all_system_cost</v>
      </c>
      <c r="I41" s="1067" t="s">
        <v>305</v>
      </c>
      <c r="J41" s="86">
        <f t="shared" si="35"/>
        <v>1827947209.5117779</v>
      </c>
      <c r="K41" s="224">
        <f t="shared" si="67"/>
        <v>102100000</v>
      </c>
      <c r="L41" s="224">
        <f t="shared" si="67"/>
        <v>178662787.32000002</v>
      </c>
      <c r="M41" s="224">
        <f t="shared" si="67"/>
        <v>124696659.83777779</v>
      </c>
      <c r="N41" s="224">
        <f t="shared" si="67"/>
        <v>135608372.76222223</v>
      </c>
      <c r="O41" s="224">
        <f t="shared" si="67"/>
        <v>118416438.82444447</v>
      </c>
      <c r="P41" s="70">
        <f t="shared" si="67"/>
        <v>146876922.34</v>
      </c>
      <c r="Q41" s="70">
        <f t="shared" si="67"/>
        <v>110097515.454</v>
      </c>
      <c r="R41" s="70">
        <f t="shared" ref="R41:S41" si="73">20%*R14</f>
        <v>156438654.20444444</v>
      </c>
      <c r="S41" s="70">
        <f t="shared" si="73"/>
        <v>145976218.16000003</v>
      </c>
      <c r="T41" s="70">
        <f t="shared" ref="T41:U41" si="74">20%*T14</f>
        <v>151729558.03333336</v>
      </c>
      <c r="U41" s="70">
        <f t="shared" si="74"/>
        <v>163698829.22000003</v>
      </c>
      <c r="V41" s="70">
        <f t="shared" si="70"/>
        <v>170521866.54666671</v>
      </c>
      <c r="W41" s="70">
        <f t="shared" si="70"/>
        <v>142532196.2888889</v>
      </c>
      <c r="X41" s="70">
        <f t="shared" si="70"/>
        <v>261353977.84000003</v>
      </c>
    </row>
    <row r="42" spans="2:24" s="68" customFormat="1" ht="15" customHeight="1" thickBot="1">
      <c r="B42" s="980" t="s">
        <v>378</v>
      </c>
      <c r="C42" s="980" t="s">
        <v>381</v>
      </c>
      <c r="D42" s="980"/>
      <c r="E42" s="980" t="s">
        <v>191</v>
      </c>
      <c r="F42" s="126" t="s">
        <v>306</v>
      </c>
      <c r="G42" s="980" t="str">
        <f t="shared" si="66"/>
        <v>card_debit__all_other_support_cost</v>
      </c>
      <c r="I42" s="1096" t="s">
        <v>307</v>
      </c>
      <c r="J42" s="1092">
        <f t="shared" si="35"/>
        <v>1638693879.4333503</v>
      </c>
      <c r="K42" s="1099">
        <f t="shared" si="67"/>
        <v>101024945.58000001</v>
      </c>
      <c r="L42" s="1099">
        <f t="shared" si="67"/>
        <v>672057858.69041204</v>
      </c>
      <c r="M42" s="1099">
        <f t="shared" si="67"/>
        <v>89425585.964444473</v>
      </c>
      <c r="N42" s="1099">
        <f t="shared" si="67"/>
        <v>114132647.25333327</v>
      </c>
      <c r="O42" s="1099">
        <f t="shared" si="67"/>
        <v>106701976.91333336</v>
      </c>
      <c r="P42" s="1100">
        <f t="shared" si="67"/>
        <v>144702643.11155722</v>
      </c>
      <c r="Q42" s="1100">
        <f t="shared" si="67"/>
        <v>93159140.384444416</v>
      </c>
      <c r="R42" s="1100">
        <f>20%*R15</f>
        <v>129993985.26666676</v>
      </c>
      <c r="S42" s="1100">
        <f>20%*S15</f>
        <v>144888775.02666664</v>
      </c>
      <c r="T42" s="1100">
        <f>20%*T15</f>
        <v>153314135.14000008</v>
      </c>
      <c r="U42" s="1100">
        <f>20%*U15</f>
        <v>200476292.95912719</v>
      </c>
      <c r="V42" s="1100">
        <f t="shared" si="70"/>
        <v>315446297.29999965</v>
      </c>
      <c r="W42" s="1100">
        <f t="shared" si="70"/>
        <v>140199259.79555571</v>
      </c>
      <c r="X42" s="1100">
        <f t="shared" si="70"/>
        <v>6253140.3182218447</v>
      </c>
    </row>
    <row r="43" spans="2:24" s="68" customFormat="1" ht="15" customHeight="1" thickTop="1">
      <c r="B43" s="980" t="s">
        <v>378</v>
      </c>
      <c r="C43" s="980" t="s">
        <v>381</v>
      </c>
      <c r="D43" s="980"/>
      <c r="E43" s="980" t="s">
        <v>191</v>
      </c>
      <c r="F43" s="126" t="s">
        <v>308</v>
      </c>
      <c r="G43" s="980" t="str">
        <f t="shared" si="66"/>
        <v>card_debit__all_profit_after_overhead</v>
      </c>
      <c r="I43" s="85" t="s">
        <v>309</v>
      </c>
      <c r="J43" s="86">
        <f t="shared" si="35"/>
        <v>-10934674811.090477</v>
      </c>
      <c r="K43" s="222">
        <f>K27-K31-K38</f>
        <v>-974422537.42804074</v>
      </c>
      <c r="L43" s="222">
        <f t="shared" ref="L43:R43" si="75">L27-L31-L38</f>
        <v>-768731996.94374537</v>
      </c>
      <c r="M43" s="222">
        <f t="shared" si="75"/>
        <v>-1284396823.3887081</v>
      </c>
      <c r="N43" s="222">
        <f t="shared" si="75"/>
        <v>-1419531231.6401434</v>
      </c>
      <c r="O43" s="222">
        <f t="shared" si="75"/>
        <v>-1512154377.6094711</v>
      </c>
      <c r="P43" s="222">
        <f t="shared" si="75"/>
        <v>-1366781442.6757035</v>
      </c>
      <c r="Q43" s="222">
        <f t="shared" si="75"/>
        <v>-1098235500.7724445</v>
      </c>
      <c r="R43" s="222">
        <f t="shared" si="75"/>
        <v>-1185624168.1930027</v>
      </c>
      <c r="S43" s="222">
        <f t="shared" ref="S43:T43" si="76">S27-S31-S38</f>
        <v>-1528840655.2849486</v>
      </c>
      <c r="T43" s="222">
        <f t="shared" si="76"/>
        <v>-1349577311.026948</v>
      </c>
      <c r="U43" s="222">
        <f t="shared" ref="U43" si="77">U27-U31-U38</f>
        <v>3517382520.9739151</v>
      </c>
      <c r="V43" s="222">
        <f>V27-V31-V38</f>
        <v>-1681896183.6951609</v>
      </c>
      <c r="W43" s="222">
        <f>W27-W31-W38</f>
        <v>-1131896313.0560882</v>
      </c>
      <c r="X43" s="222">
        <f>X27-X31-X38</f>
        <v>-893123324.72177529</v>
      </c>
    </row>
    <row r="44" spans="2:24" s="68" customFormat="1" ht="15" customHeight="1">
      <c r="B44" s="980"/>
      <c r="C44" s="980"/>
      <c r="D44" s="980"/>
      <c r="E44" s="980"/>
      <c r="F44" s="126"/>
      <c r="G44" s="980"/>
      <c r="I44" s="1090" t="s">
        <v>236</v>
      </c>
      <c r="J44" s="88">
        <f t="shared" ref="J44:R44" si="78">J43+J38</f>
        <v>1849151116.7741814</v>
      </c>
      <c r="K44" s="70">
        <f t="shared" si="78"/>
        <v>-188257950.24804068</v>
      </c>
      <c r="L44" s="70">
        <f t="shared" si="78"/>
        <v>675962376.66666675</v>
      </c>
      <c r="M44" s="70">
        <f t="shared" si="78"/>
        <v>-445114289.39048564</v>
      </c>
      <c r="N44" s="70">
        <f t="shared" si="78"/>
        <v>-541111549.90250564</v>
      </c>
      <c r="O44" s="70">
        <f t="shared" si="78"/>
        <v>-635989256.12401772</v>
      </c>
      <c r="P44" s="70">
        <f t="shared" si="78"/>
        <v>-444150416.14214623</v>
      </c>
      <c r="Q44" s="70">
        <f t="shared" si="78"/>
        <v>-262835886</v>
      </c>
      <c r="R44" s="70">
        <f t="shared" si="78"/>
        <v>-262081507.33333325</v>
      </c>
      <c r="S44" s="70">
        <f t="shared" ref="S44:T44" si="79">S43+S38</f>
        <v>-263769991</v>
      </c>
      <c r="T44" s="70">
        <f t="shared" si="79"/>
        <v>-148978646</v>
      </c>
      <c r="U44" s="70">
        <f t="shared" ref="U44" si="80">U43+U38</f>
        <v>4664955226.666667</v>
      </c>
      <c r="V44" s="70">
        <f>V43+V38</f>
        <v>81500987</v>
      </c>
      <c r="W44" s="70">
        <f>W43+W38</f>
        <v>-23568039</v>
      </c>
      <c r="X44" s="70">
        <f>X43+X38</f>
        <v>130294484</v>
      </c>
    </row>
    <row r="45" spans="2:24" s="68" customFormat="1" ht="15" customHeight="1">
      <c r="B45" s="980"/>
      <c r="C45" s="980"/>
      <c r="D45" s="980"/>
      <c r="E45" s="980"/>
      <c r="F45" s="980"/>
      <c r="G45" s="980"/>
      <c r="I45" s="85"/>
      <c r="J45" s="86"/>
      <c r="K45" s="224"/>
      <c r="L45" s="224"/>
      <c r="M45" s="224"/>
      <c r="N45" s="224"/>
      <c r="O45" s="224"/>
      <c r="P45" s="70"/>
      <c r="Q45" s="70"/>
    </row>
    <row r="46" spans="2:24" ht="15" customHeight="1">
      <c r="B46" s="980" t="s">
        <v>378</v>
      </c>
      <c r="C46" s="980" t="s">
        <v>381</v>
      </c>
      <c r="D46" s="980" t="s">
        <v>389</v>
      </c>
      <c r="G46" s="980" t="str">
        <f t="shared" si="66"/>
        <v>card_debit_Master__</v>
      </c>
      <c r="I46" s="82" t="s">
        <v>390</v>
      </c>
      <c r="J46" s="86"/>
      <c r="K46" s="86"/>
      <c r="L46" s="86"/>
      <c r="M46" s="86"/>
      <c r="N46" s="86"/>
    </row>
    <row r="47" spans="2:24" s="4" customFormat="1" ht="15" customHeight="1">
      <c r="B47" s="980" t="s">
        <v>378</v>
      </c>
      <c r="C47" s="980" t="s">
        <v>381</v>
      </c>
      <c r="D47" s="980" t="s">
        <v>389</v>
      </c>
      <c r="E47" s="126"/>
      <c r="F47" s="126" t="s">
        <v>252</v>
      </c>
      <c r="G47" s="980" t="str">
        <f>B47&amp;"_"&amp;C47&amp;"_"&amp;D47&amp;"_"&amp;E47&amp;"_"&amp;F47</f>
        <v>card_debit_Master__revenue</v>
      </c>
      <c r="I47" s="85" t="s">
        <v>215</v>
      </c>
      <c r="J47" s="86">
        <f t="shared" ref="J47:J71" si="81">SUM(M47:X47)</f>
        <v>-320362</v>
      </c>
      <c r="K47" s="285">
        <f>K52</f>
        <v>-28393</v>
      </c>
      <c r="L47" s="285">
        <f t="shared" ref="L47:R47" si="82">L52</f>
        <v>-115676</v>
      </c>
      <c r="M47" s="285">
        <f t="shared" si="82"/>
        <v>-38886</v>
      </c>
      <c r="N47" s="285">
        <f t="shared" si="82"/>
        <v>-406363</v>
      </c>
      <c r="O47" s="285">
        <f t="shared" si="82"/>
        <v>273484</v>
      </c>
      <c r="P47" s="285">
        <f t="shared" si="82"/>
        <v>-8313</v>
      </c>
      <c r="Q47" s="285">
        <f t="shared" si="82"/>
        <v>-97997</v>
      </c>
      <c r="R47" s="285">
        <f t="shared" si="82"/>
        <v>-37845</v>
      </c>
      <c r="S47" s="285">
        <f t="shared" ref="S47:T47" si="83">S52</f>
        <v>-4442</v>
      </c>
      <c r="T47" s="285">
        <f t="shared" si="83"/>
        <v>0</v>
      </c>
      <c r="U47" s="285">
        <f t="shared" ref="U47" si="84">U52</f>
        <v>0</v>
      </c>
      <c r="V47" s="7">
        <f>V52</f>
        <v>0</v>
      </c>
      <c r="W47" s="7">
        <f>W52</f>
        <v>0</v>
      </c>
    </row>
    <row r="48" spans="2:24" s="4" customFormat="1" ht="15" customHeight="1">
      <c r="B48" s="980" t="s">
        <v>378</v>
      </c>
      <c r="C48" s="980" t="s">
        <v>381</v>
      </c>
      <c r="D48" s="980" t="s">
        <v>389</v>
      </c>
      <c r="E48" s="126"/>
      <c r="F48" s="126" t="s">
        <v>253</v>
      </c>
      <c r="G48" s="980" t="str">
        <f>B48&amp;"_"&amp;C48&amp;"_"&amp;D48&amp;"_"&amp;E48&amp;"_"&amp;F48</f>
        <v>card_debit_Master__COGs</v>
      </c>
      <c r="I48" s="85" t="s">
        <v>216</v>
      </c>
      <c r="J48" s="86">
        <f t="shared" si="81"/>
        <v>3634680804.6666665</v>
      </c>
      <c r="K48" s="285">
        <f>K57</f>
        <v>562147749</v>
      </c>
      <c r="L48" s="285">
        <f t="shared" ref="L48:R48" si="85">L57</f>
        <v>553860397.33333325</v>
      </c>
      <c r="M48" s="285">
        <f t="shared" si="85"/>
        <v>392306533</v>
      </c>
      <c r="N48" s="285">
        <f t="shared" si="85"/>
        <v>467722023</v>
      </c>
      <c r="O48" s="285">
        <f t="shared" si="85"/>
        <v>531085903</v>
      </c>
      <c r="P48" s="285">
        <f t="shared" si="85"/>
        <v>387420755</v>
      </c>
      <c r="Q48" s="285">
        <f t="shared" si="85"/>
        <v>257995297</v>
      </c>
      <c r="R48" s="285">
        <f t="shared" si="85"/>
        <v>285199823.66666669</v>
      </c>
      <c r="S48" s="285">
        <f t="shared" ref="S48:T48" si="86">S57</f>
        <v>313442940</v>
      </c>
      <c r="T48" s="285">
        <f t="shared" si="86"/>
        <v>244554185</v>
      </c>
      <c r="U48" s="285">
        <f t="shared" ref="U48" si="87">U57</f>
        <v>262863338</v>
      </c>
      <c r="V48" s="7">
        <f>V57</f>
        <v>99767388</v>
      </c>
      <c r="W48" s="7">
        <f>W57</f>
        <v>90466553</v>
      </c>
      <c r="X48" s="7">
        <f>X57</f>
        <v>301856066</v>
      </c>
    </row>
    <row r="49" spans="2:24" s="68" customFormat="1" ht="15" customHeight="1">
      <c r="B49" s="980" t="s">
        <v>378</v>
      </c>
      <c r="C49" s="980" t="s">
        <v>381</v>
      </c>
      <c r="D49" s="980" t="s">
        <v>389</v>
      </c>
      <c r="E49" s="126"/>
      <c r="F49" s="126" t="s">
        <v>217</v>
      </c>
      <c r="G49" s="980" t="str">
        <f>B49&amp;"_"&amp;C49&amp;"_"&amp;D49&amp;"_"&amp;E49&amp;"_"&amp;F49</f>
        <v>card_debit_Master__TOI</v>
      </c>
      <c r="I49" s="85" t="s">
        <v>217</v>
      </c>
      <c r="J49" s="86">
        <f t="shared" si="81"/>
        <v>-3635001166.6666665</v>
      </c>
      <c r="K49" s="222">
        <f>K50+K51+K63</f>
        <v>-562176142</v>
      </c>
      <c r="L49" s="222">
        <f t="shared" ref="L49:T49" si="88">L50+L51+L63</f>
        <v>-553976073.33333325</v>
      </c>
      <c r="M49" s="222">
        <f t="shared" si="88"/>
        <v>-392345419</v>
      </c>
      <c r="N49" s="222">
        <f t="shared" si="88"/>
        <v>-468128386</v>
      </c>
      <c r="O49" s="222">
        <f t="shared" si="88"/>
        <v>-530812419</v>
      </c>
      <c r="P49" s="222">
        <f t="shared" si="88"/>
        <v>-387429068</v>
      </c>
      <c r="Q49" s="222">
        <f t="shared" si="88"/>
        <v>-258093294</v>
      </c>
      <c r="R49" s="222">
        <f t="shared" si="88"/>
        <v>-285237668.66666669</v>
      </c>
      <c r="S49" s="222">
        <f t="shared" si="88"/>
        <v>-313447382</v>
      </c>
      <c r="T49" s="222">
        <f t="shared" si="88"/>
        <v>-244554185</v>
      </c>
      <c r="U49" s="222">
        <f t="shared" ref="U49" si="89">U50+U51+U63</f>
        <v>-262863338</v>
      </c>
      <c r="V49" s="222">
        <f>V50+V51+V63</f>
        <v>-99767388</v>
      </c>
      <c r="W49" s="222">
        <f>W50+W51+W63</f>
        <v>-90466553</v>
      </c>
      <c r="X49" s="222">
        <f>X50+X51+X63</f>
        <v>-301856066</v>
      </c>
    </row>
    <row r="50" spans="2:24" s="68" customFormat="1" ht="15" customHeight="1">
      <c r="B50" s="980" t="s">
        <v>378</v>
      </c>
      <c r="C50" s="980" t="s">
        <v>381</v>
      </c>
      <c r="D50" s="980" t="s">
        <v>389</v>
      </c>
      <c r="E50" s="126"/>
      <c r="F50" s="126" t="s">
        <v>254</v>
      </c>
      <c r="G50" s="980" t="str">
        <f t="shared" ref="G50" si="90">B50&amp;"_"&amp;C50&amp;"_"&amp;D50&amp;"_"&amp;E50&amp;"_"&amp;F50</f>
        <v>card_debit_Master__NII</v>
      </c>
      <c r="I50" s="1055" t="s">
        <v>218</v>
      </c>
      <c r="J50" s="86">
        <f t="shared" si="81"/>
        <v>0</v>
      </c>
      <c r="K50" s="86"/>
      <c r="L50" s="86"/>
      <c r="M50" s="86"/>
      <c r="N50" s="86"/>
      <c r="P50" s="70"/>
    </row>
    <row r="51" spans="2:24" s="68" customFormat="1" ht="15" customHeight="1">
      <c r="B51" s="980" t="s">
        <v>378</v>
      </c>
      <c r="C51" s="980" t="s">
        <v>381</v>
      </c>
      <c r="D51" s="980" t="s">
        <v>389</v>
      </c>
      <c r="E51" s="126"/>
      <c r="F51" s="126" t="s">
        <v>260</v>
      </c>
      <c r="G51" s="980" t="str">
        <f t="shared" ref="G51:G73" si="91">B51&amp;"_"&amp;C51&amp;"_"&amp;D51&amp;"_"&amp;E51&amp;"_"&amp;F51</f>
        <v>card_debit_Master__NFI</v>
      </c>
      <c r="I51" s="1055" t="s">
        <v>220</v>
      </c>
      <c r="J51" s="86">
        <f t="shared" si="81"/>
        <v>-3635001166.6666665</v>
      </c>
      <c r="K51" s="85">
        <f>K52-K57</f>
        <v>-562176142</v>
      </c>
      <c r="L51" s="85">
        <f t="shared" ref="L51:U51" si="92">L52-L57</f>
        <v>-553976073.33333325</v>
      </c>
      <c r="M51" s="85">
        <f t="shared" si="92"/>
        <v>-392345419</v>
      </c>
      <c r="N51" s="85">
        <f t="shared" si="92"/>
        <v>-468128386</v>
      </c>
      <c r="O51" s="85">
        <f t="shared" si="92"/>
        <v>-530812419</v>
      </c>
      <c r="P51" s="85">
        <f t="shared" si="92"/>
        <v>-387429068</v>
      </c>
      <c r="Q51" s="85">
        <f t="shared" si="92"/>
        <v>-258093294</v>
      </c>
      <c r="R51" s="85">
        <f t="shared" si="92"/>
        <v>-285237668.66666669</v>
      </c>
      <c r="S51" s="85">
        <f t="shared" si="92"/>
        <v>-313447382</v>
      </c>
      <c r="T51" s="85">
        <f t="shared" si="92"/>
        <v>-244554185</v>
      </c>
      <c r="U51" s="85">
        <f t="shared" si="92"/>
        <v>-262863338</v>
      </c>
      <c r="V51" s="47">
        <f>V52-V57</f>
        <v>-99767388</v>
      </c>
      <c r="W51" s="47">
        <f>W52-W57</f>
        <v>-90466553</v>
      </c>
      <c r="X51" s="47">
        <f>X52-X57</f>
        <v>-301856066</v>
      </c>
    </row>
    <row r="52" spans="2:24" s="68" customFormat="1" ht="15" customHeight="1">
      <c r="B52" s="980" t="s">
        <v>378</v>
      </c>
      <c r="C52" s="980" t="s">
        <v>381</v>
      </c>
      <c r="D52" s="980" t="s">
        <v>389</v>
      </c>
      <c r="E52" s="230"/>
      <c r="F52" s="230" t="s">
        <v>340</v>
      </c>
      <c r="G52" s="980" t="str">
        <f t="shared" ref="G52" si="93">B52&amp;"_"&amp;C52&amp;"_"&amp;D52&amp;"_"&amp;E52&amp;"_"&amp;F52</f>
        <v>card_debit_Master__fee_incomes</v>
      </c>
      <c r="I52" s="1068" t="s">
        <v>22</v>
      </c>
      <c r="J52" s="86">
        <f t="shared" si="81"/>
        <v>-320362</v>
      </c>
      <c r="K52" s="85">
        <f>SUM(K53:K56)</f>
        <v>-28393</v>
      </c>
      <c r="L52" s="85">
        <f t="shared" ref="L52:S52" si="94">SUM(L53:L56)</f>
        <v>-115676</v>
      </c>
      <c r="M52" s="85">
        <f t="shared" si="94"/>
        <v>-38886</v>
      </c>
      <c r="N52" s="85">
        <f t="shared" si="94"/>
        <v>-406363</v>
      </c>
      <c r="O52" s="85">
        <f t="shared" si="94"/>
        <v>273484</v>
      </c>
      <c r="P52" s="85">
        <f t="shared" si="94"/>
        <v>-8313</v>
      </c>
      <c r="Q52" s="85">
        <f t="shared" si="94"/>
        <v>-97997</v>
      </c>
      <c r="R52" s="85">
        <f t="shared" si="94"/>
        <v>-37845</v>
      </c>
      <c r="S52" s="85">
        <f t="shared" si="94"/>
        <v>-4442</v>
      </c>
    </row>
    <row r="53" spans="2:24" s="68" customFormat="1" ht="15" customHeight="1">
      <c r="B53" s="980" t="s">
        <v>378</v>
      </c>
      <c r="C53" s="980" t="s">
        <v>381</v>
      </c>
      <c r="D53" s="980" t="s">
        <v>389</v>
      </c>
      <c r="E53" s="230"/>
      <c r="F53" s="230" t="s">
        <v>391</v>
      </c>
      <c r="G53" s="980" t="str">
        <f t="shared" ref="G53:G61" si="95">B53&amp;"_"&amp;C53&amp;"_"&amp;D53&amp;"_"&amp;E53&amp;"_"&amp;F53</f>
        <v>card_debit_Master__interchange_fee</v>
      </c>
      <c r="I53" s="1070" t="s">
        <v>392</v>
      </c>
      <c r="J53" s="86">
        <f t="shared" si="81"/>
        <v>-418165</v>
      </c>
      <c r="K53" s="86">
        <v>-23239</v>
      </c>
      <c r="L53" s="86">
        <v>-49174</v>
      </c>
      <c r="M53" s="341">
        <v>-44982</v>
      </c>
      <c r="N53" s="86">
        <v>-112525</v>
      </c>
      <c r="O53" s="70">
        <v>-20354</v>
      </c>
      <c r="P53" s="70">
        <v>-99698</v>
      </c>
      <c r="Q53" s="70">
        <v>-97997</v>
      </c>
      <c r="R53" s="70">
        <v>-38167</v>
      </c>
      <c r="S53" s="70">
        <v>-4442</v>
      </c>
      <c r="T53" s="68">
        <v>0</v>
      </c>
    </row>
    <row r="54" spans="2:24" s="68" customFormat="1" ht="15" customHeight="1">
      <c r="B54" s="980" t="s">
        <v>378</v>
      </c>
      <c r="C54" s="980" t="s">
        <v>381</v>
      </c>
      <c r="D54" s="980" t="s">
        <v>389</v>
      </c>
      <c r="E54" s="230"/>
      <c r="F54" s="230" t="s">
        <v>393</v>
      </c>
      <c r="G54" s="980" t="str">
        <f t="shared" si="95"/>
        <v>card_debit_Master__fx_fee</v>
      </c>
      <c r="I54" s="1070" t="s">
        <v>394</v>
      </c>
      <c r="J54" s="86">
        <f t="shared" si="81"/>
        <v>97803</v>
      </c>
      <c r="K54" s="86">
        <v>-5154</v>
      </c>
      <c r="L54" s="86">
        <v>-66502</v>
      </c>
      <c r="M54" s="86">
        <v>6096</v>
      </c>
      <c r="N54" s="86">
        <v>-293838</v>
      </c>
      <c r="O54" s="70">
        <v>293838</v>
      </c>
      <c r="P54" s="70">
        <v>91385</v>
      </c>
      <c r="Q54" s="70">
        <v>0</v>
      </c>
      <c r="R54" s="68">
        <v>322</v>
      </c>
      <c r="S54" s="68">
        <v>0</v>
      </c>
      <c r="T54" s="68">
        <v>0</v>
      </c>
    </row>
    <row r="55" spans="2:24" s="68" customFormat="1" ht="15" customHeight="1">
      <c r="B55" s="980" t="s">
        <v>378</v>
      </c>
      <c r="C55" s="980" t="s">
        <v>381</v>
      </c>
      <c r="D55" s="980" t="s">
        <v>389</v>
      </c>
      <c r="E55" s="230"/>
      <c r="F55" s="230" t="s">
        <v>395</v>
      </c>
      <c r="G55" s="980" t="str">
        <f t="shared" si="95"/>
        <v>card_debit_Master__reissue_fee</v>
      </c>
      <c r="I55" s="1070" t="s">
        <v>396</v>
      </c>
      <c r="J55" s="86">
        <f t="shared" si="81"/>
        <v>0</v>
      </c>
      <c r="K55" s="86"/>
      <c r="L55" s="86"/>
      <c r="M55" s="86"/>
      <c r="N55" s="86"/>
      <c r="P55" s="70"/>
      <c r="Q55" s="70"/>
    </row>
    <row r="56" spans="2:24" s="68" customFormat="1" ht="15" customHeight="1">
      <c r="B56" s="980" t="s">
        <v>378</v>
      </c>
      <c r="C56" s="980" t="s">
        <v>381</v>
      </c>
      <c r="D56" s="980" t="s">
        <v>389</v>
      </c>
      <c r="E56" s="230"/>
      <c r="F56" s="230" t="s">
        <v>361</v>
      </c>
      <c r="G56" s="980" t="str">
        <f t="shared" si="95"/>
        <v>card_debit_Master__other_income_fee</v>
      </c>
      <c r="I56" s="1070" t="s">
        <v>226</v>
      </c>
      <c r="J56" s="86">
        <f t="shared" si="81"/>
        <v>0</v>
      </c>
      <c r="K56" s="86"/>
      <c r="L56" s="86"/>
      <c r="M56" s="86"/>
      <c r="N56" s="86"/>
      <c r="O56" s="70"/>
      <c r="P56" s="70"/>
      <c r="Q56" s="70"/>
    </row>
    <row r="57" spans="2:24" s="4" customFormat="1" ht="15" customHeight="1">
      <c r="B57" s="980" t="s">
        <v>378</v>
      </c>
      <c r="C57" s="980" t="s">
        <v>381</v>
      </c>
      <c r="D57" s="980" t="s">
        <v>389</v>
      </c>
      <c r="E57" s="230"/>
      <c r="F57" s="230" t="s">
        <v>362</v>
      </c>
      <c r="G57" s="980" t="str">
        <f t="shared" si="95"/>
        <v>card_debit_Master__fee_expenses</v>
      </c>
      <c r="I57" s="1069" t="s">
        <v>295</v>
      </c>
      <c r="J57" s="86">
        <f t="shared" si="81"/>
        <v>3634680804.6666665</v>
      </c>
      <c r="K57" s="47">
        <f>SUM(K58:K62)</f>
        <v>562147749</v>
      </c>
      <c r="L57" s="47">
        <f t="shared" ref="L57:U57" si="96">SUM(L58:L62)</f>
        <v>553860397.33333325</v>
      </c>
      <c r="M57" s="47">
        <f t="shared" si="96"/>
        <v>392306533</v>
      </c>
      <c r="N57" s="47">
        <f t="shared" si="96"/>
        <v>467722023</v>
      </c>
      <c r="O57" s="47">
        <f t="shared" si="96"/>
        <v>531085903</v>
      </c>
      <c r="P57" s="47">
        <f t="shared" si="96"/>
        <v>387420755</v>
      </c>
      <c r="Q57" s="47">
        <f t="shared" si="96"/>
        <v>257995297</v>
      </c>
      <c r="R57" s="47">
        <f t="shared" si="96"/>
        <v>285199823.66666669</v>
      </c>
      <c r="S57" s="47">
        <f t="shared" si="96"/>
        <v>313442940</v>
      </c>
      <c r="T57" s="47">
        <f t="shared" si="96"/>
        <v>244554185</v>
      </c>
      <c r="U57" s="47">
        <f t="shared" si="96"/>
        <v>262863338</v>
      </c>
      <c r="V57" s="47">
        <f>SUM(V58:V62)</f>
        <v>99767388</v>
      </c>
      <c r="W57" s="47">
        <f>SUM(W58:W62)</f>
        <v>90466553</v>
      </c>
      <c r="X57" s="47">
        <f>SUM(X58:X62)</f>
        <v>301856066</v>
      </c>
    </row>
    <row r="58" spans="2:24" s="68" customFormat="1" ht="15" customHeight="1">
      <c r="B58" s="980" t="s">
        <v>378</v>
      </c>
      <c r="C58" s="980" t="s">
        <v>381</v>
      </c>
      <c r="D58" s="980" t="s">
        <v>389</v>
      </c>
      <c r="E58" s="230"/>
      <c r="F58" s="230" t="s">
        <v>397</v>
      </c>
      <c r="G58" s="980" t="str">
        <f t="shared" si="95"/>
        <v>card_debit_Master__tutuka_issuance_fee</v>
      </c>
      <c r="I58" s="1070" t="s">
        <v>398</v>
      </c>
      <c r="J58" s="86">
        <f t="shared" si="81"/>
        <v>0</v>
      </c>
      <c r="K58" s="86"/>
      <c r="L58" s="86"/>
      <c r="M58" s="86"/>
      <c r="N58" s="463"/>
      <c r="P58" s="70"/>
    </row>
    <row r="59" spans="2:24" s="68" customFormat="1" ht="15" customHeight="1">
      <c r="B59" s="980" t="s">
        <v>378</v>
      </c>
      <c r="C59" s="980" t="s">
        <v>381</v>
      </c>
      <c r="D59" s="980" t="s">
        <v>389</v>
      </c>
      <c r="E59" s="230"/>
      <c r="F59" s="230" t="s">
        <v>399</v>
      </c>
      <c r="G59" s="980" t="str">
        <f t="shared" si="95"/>
        <v>card_debit_Master__tutuka_processingg_fee</v>
      </c>
      <c r="I59" s="1070" t="s">
        <v>400</v>
      </c>
      <c r="J59" s="86">
        <f t="shared" si="81"/>
        <v>244800000</v>
      </c>
      <c r="K59" s="86">
        <v>119509006</v>
      </c>
      <c r="L59" s="86">
        <v>120878776</v>
      </c>
      <c r="M59" s="86">
        <v>81600000</v>
      </c>
      <c r="N59" s="86">
        <v>81600000</v>
      </c>
      <c r="O59" s="70">
        <v>81600000</v>
      </c>
      <c r="P59" s="70"/>
    </row>
    <row r="60" spans="2:24" s="68" customFormat="1" ht="15" customHeight="1">
      <c r="B60" s="980" t="s">
        <v>378</v>
      </c>
      <c r="C60" s="980" t="s">
        <v>381</v>
      </c>
      <c r="D60" s="980" t="s">
        <v>389</v>
      </c>
      <c r="E60" s="230"/>
      <c r="F60" s="230" t="s">
        <v>401</v>
      </c>
      <c r="G60" s="980" t="str">
        <f t="shared" si="95"/>
        <v>card_debit_Master__master_fee</v>
      </c>
      <c r="I60" s="1070" t="s">
        <v>402</v>
      </c>
      <c r="J60" s="86">
        <f t="shared" si="81"/>
        <v>3003102613</v>
      </c>
      <c r="K60" s="86">
        <v>386739664</v>
      </c>
      <c r="L60" s="86">
        <v>380908524</v>
      </c>
      <c r="M60" s="86">
        <f>218775739+55981168+557805</f>
        <v>275314712</v>
      </c>
      <c r="N60" s="86">
        <v>272119235</v>
      </c>
      <c r="O60" s="70">
        <v>376777446</v>
      </c>
      <c r="P60" s="70">
        <v>275092960</v>
      </c>
      <c r="Q60" s="70">
        <v>257196242</v>
      </c>
      <c r="R60" s="70">
        <v>284624035</v>
      </c>
      <c r="S60" s="70">
        <v>313016062</v>
      </c>
      <c r="T60" s="70">
        <v>244226127</v>
      </c>
      <c r="U60" s="224">
        <v>262310489</v>
      </c>
      <c r="V60" s="7">
        <v>98587419</v>
      </c>
      <c r="W60" s="285">
        <v>88932316</v>
      </c>
      <c r="X60" s="70">
        <v>254905570</v>
      </c>
    </row>
    <row r="61" spans="2:24" s="68" customFormat="1" ht="15" customHeight="1">
      <c r="B61" s="980" t="s">
        <v>378</v>
      </c>
      <c r="C61" s="980" t="s">
        <v>381</v>
      </c>
      <c r="D61" s="980" t="s">
        <v>389</v>
      </c>
      <c r="E61" s="230"/>
      <c r="F61" s="230" t="s">
        <v>403</v>
      </c>
      <c r="G61" s="980" t="str">
        <f t="shared" si="95"/>
        <v>card_debit_Master__fx_rate_diff</v>
      </c>
      <c r="I61" s="1070" t="s">
        <v>404</v>
      </c>
      <c r="J61" s="86">
        <f t="shared" si="81"/>
        <v>332485768</v>
      </c>
      <c r="K61" s="516">
        <f>55899079</f>
        <v>55899079</v>
      </c>
      <c r="L61" s="86">
        <v>33504110</v>
      </c>
      <c r="M61" s="86">
        <v>34834016</v>
      </c>
      <c r="N61" s="86">
        <v>113660415</v>
      </c>
      <c r="O61" s="70">
        <v>72236045</v>
      </c>
      <c r="P61" s="70">
        <v>111755292</v>
      </c>
      <c r="R61" s="70"/>
    </row>
    <row r="62" spans="2:24" s="68" customFormat="1" ht="15" customHeight="1">
      <c r="B62" s="980" t="s">
        <v>378</v>
      </c>
      <c r="C62" s="980" t="s">
        <v>381</v>
      </c>
      <c r="D62" s="980" t="s">
        <v>389</v>
      </c>
      <c r="E62" s="230"/>
      <c r="F62" s="230" t="s">
        <v>372</v>
      </c>
      <c r="G62" s="980" t="str">
        <f t="shared" ref="G62" si="97">B62&amp;"_"&amp;C62&amp;"_"&amp;D62&amp;"_"&amp;E62&amp;"_"&amp;F62</f>
        <v>card_debit_Master__other_expense_fee</v>
      </c>
      <c r="I62" s="1070" t="s">
        <v>373</v>
      </c>
      <c r="J62" s="86">
        <f t="shared" si="81"/>
        <v>54292423.666666664</v>
      </c>
      <c r="K62" s="516"/>
      <c r="L62" s="86">
        <f>17863459.3333333+705528</f>
        <v>18568987.333333299</v>
      </c>
      <c r="M62" s="86">
        <v>557805</v>
      </c>
      <c r="N62" s="86">
        <v>342373</v>
      </c>
      <c r="O62" s="70">
        <v>472412</v>
      </c>
      <c r="P62" s="70">
        <v>572503</v>
      </c>
      <c r="Q62" s="70">
        <v>799055</v>
      </c>
      <c r="R62" s="70">
        <v>575788.66666666663</v>
      </c>
      <c r="S62" s="70">
        <v>426878</v>
      </c>
      <c r="T62" s="70">
        <v>328058</v>
      </c>
      <c r="U62" s="70">
        <v>552849</v>
      </c>
      <c r="V62" s="70">
        <v>1179969</v>
      </c>
      <c r="W62" s="70">
        <v>1534237</v>
      </c>
      <c r="X62" s="70">
        <f>1500000+45450496</f>
        <v>46950496</v>
      </c>
    </row>
    <row r="63" spans="2:24" s="68" customFormat="1" ht="15" customHeight="1">
      <c r="B63" s="980" t="s">
        <v>378</v>
      </c>
      <c r="C63" s="980" t="s">
        <v>381</v>
      </c>
      <c r="D63" s="980" t="s">
        <v>389</v>
      </c>
      <c r="E63" s="230"/>
      <c r="F63" s="230" t="s">
        <v>269</v>
      </c>
      <c r="G63" s="980" t="str">
        <f t="shared" ref="G63" si="98">B63&amp;"_"&amp;C63&amp;"_"&amp;D63&amp;"_"&amp;E63&amp;"_"&amp;F63</f>
        <v>card_debit_Master__other_TOI</v>
      </c>
      <c r="I63" s="1055" t="s">
        <v>89</v>
      </c>
      <c r="J63" s="86">
        <f t="shared" si="81"/>
        <v>0</v>
      </c>
      <c r="K63" s="86"/>
      <c r="L63" s="86"/>
      <c r="M63" s="86"/>
      <c r="N63" s="86"/>
      <c r="P63" s="70"/>
    </row>
    <row r="64" spans="2:24" s="68" customFormat="1" ht="15" customHeight="1">
      <c r="B64" s="980" t="s">
        <v>378</v>
      </c>
      <c r="C64" s="980" t="s">
        <v>381</v>
      </c>
      <c r="D64" s="980" t="s">
        <v>389</v>
      </c>
      <c r="E64" s="230"/>
      <c r="F64" s="230" t="s">
        <v>271</v>
      </c>
      <c r="G64" s="980" t="str">
        <f t="shared" si="91"/>
        <v>card_debit_Master__variable_cost</v>
      </c>
      <c r="I64" s="95" t="s">
        <v>229</v>
      </c>
      <c r="J64" s="86">
        <f t="shared" si="81"/>
        <v>0</v>
      </c>
      <c r="K64" s="86">
        <f>SUM(K65:K70)</f>
        <v>0</v>
      </c>
      <c r="L64" s="86">
        <f t="shared" ref="L64:Q64" si="99">SUM(L65:L70)</f>
        <v>0</v>
      </c>
      <c r="M64" s="86">
        <f t="shared" si="99"/>
        <v>0</v>
      </c>
      <c r="N64" s="86">
        <f t="shared" si="99"/>
        <v>0</v>
      </c>
      <c r="O64" s="86">
        <f t="shared" si="99"/>
        <v>0</v>
      </c>
      <c r="P64" s="86">
        <f t="shared" si="99"/>
        <v>0</v>
      </c>
      <c r="Q64" s="86">
        <f t="shared" si="99"/>
        <v>0</v>
      </c>
    </row>
    <row r="65" spans="2:24" s="68" customFormat="1" ht="15" customHeight="1">
      <c r="B65" s="980" t="s">
        <v>378</v>
      </c>
      <c r="C65" s="980" t="s">
        <v>381</v>
      </c>
      <c r="D65" s="980" t="s">
        <v>389</v>
      </c>
      <c r="E65" s="230"/>
      <c r="F65" s="230" t="s">
        <v>272</v>
      </c>
      <c r="G65" s="980" t="str">
        <f t="shared" si="91"/>
        <v>card_debit_Master__marketing_acquisition_cost</v>
      </c>
      <c r="I65" s="563" t="s">
        <v>230</v>
      </c>
      <c r="J65" s="86">
        <f t="shared" si="81"/>
        <v>0</v>
      </c>
      <c r="K65" s="86"/>
      <c r="L65" s="86"/>
      <c r="M65" s="86"/>
      <c r="N65" s="86"/>
      <c r="P65" s="70"/>
    </row>
    <row r="66" spans="2:24" s="68" customFormat="1" ht="15" customHeight="1">
      <c r="B66" s="980" t="s">
        <v>378</v>
      </c>
      <c r="C66" s="980" t="s">
        <v>381</v>
      </c>
      <c r="D66" s="980" t="s">
        <v>389</v>
      </c>
      <c r="E66" s="230"/>
      <c r="F66" s="230" t="s">
        <v>278</v>
      </c>
      <c r="G66" s="980" t="str">
        <f t="shared" si="91"/>
        <v>card_debit_Master__promotion</v>
      </c>
      <c r="I66" s="563" t="s">
        <v>235</v>
      </c>
      <c r="J66" s="86">
        <f t="shared" si="81"/>
        <v>0</v>
      </c>
      <c r="K66" s="86"/>
      <c r="L66" s="86"/>
      <c r="M66" s="86"/>
      <c r="N66" s="86"/>
      <c r="P66" s="70"/>
    </row>
    <row r="67" spans="2:24" s="68" customFormat="1" ht="15" customHeight="1">
      <c r="B67" s="980" t="s">
        <v>378</v>
      </c>
      <c r="C67" s="980" t="s">
        <v>381</v>
      </c>
      <c r="D67" s="980" t="s">
        <v>389</v>
      </c>
      <c r="E67" s="126"/>
      <c r="F67" s="126" t="s">
        <v>385</v>
      </c>
      <c r="G67" s="980" t="str">
        <f t="shared" si="91"/>
        <v>card_debit_Master__ems</v>
      </c>
      <c r="I67" s="1066" t="s">
        <v>386</v>
      </c>
      <c r="J67" s="86">
        <f t="shared" si="81"/>
        <v>0</v>
      </c>
      <c r="K67" s="86"/>
      <c r="L67" s="86"/>
      <c r="M67" s="86"/>
      <c r="N67" s="86"/>
      <c r="P67" s="70"/>
    </row>
    <row r="68" spans="2:24" s="68" customFormat="1" ht="15" customHeight="1">
      <c r="B68" s="980" t="s">
        <v>378</v>
      </c>
      <c r="C68" s="980" t="s">
        <v>381</v>
      </c>
      <c r="D68" s="980" t="s">
        <v>389</v>
      </c>
      <c r="E68" s="126"/>
      <c r="F68" s="126" t="s">
        <v>387</v>
      </c>
      <c r="G68" s="980" t="str">
        <f t="shared" si="91"/>
        <v>card_debit_Master__mk</v>
      </c>
      <c r="I68" s="1066" t="s">
        <v>388</v>
      </c>
      <c r="J68" s="86">
        <f t="shared" si="81"/>
        <v>0</v>
      </c>
      <c r="K68" s="86"/>
      <c r="L68" s="86"/>
      <c r="M68" s="86"/>
      <c r="N68" s="86"/>
      <c r="P68" s="70"/>
    </row>
    <row r="69" spans="2:24" s="68" customFormat="1" ht="15" customHeight="1">
      <c r="B69" s="980" t="s">
        <v>378</v>
      </c>
      <c r="C69" s="980" t="s">
        <v>381</v>
      </c>
      <c r="D69" s="980" t="s">
        <v>389</v>
      </c>
      <c r="E69" s="126"/>
      <c r="F69" s="126" t="s">
        <v>279</v>
      </c>
      <c r="G69" s="980" t="str">
        <f t="shared" si="91"/>
        <v>card_debit_Master__sms</v>
      </c>
      <c r="I69" s="563" t="s">
        <v>163</v>
      </c>
      <c r="J69" s="86">
        <f t="shared" si="81"/>
        <v>0</v>
      </c>
      <c r="K69" s="86"/>
      <c r="L69" s="86"/>
      <c r="M69" s="86"/>
      <c r="N69" s="86"/>
      <c r="P69" s="70"/>
    </row>
    <row r="70" spans="2:24" s="68" customFormat="1" ht="15" customHeight="1">
      <c r="B70" s="980" t="s">
        <v>378</v>
      </c>
      <c r="C70" s="980" t="s">
        <v>381</v>
      </c>
      <c r="D70" s="980" t="s">
        <v>389</v>
      </c>
      <c r="E70" s="980"/>
      <c r="F70" s="717" t="s">
        <v>276</v>
      </c>
      <c r="G70" s="980" t="str">
        <f t="shared" si="91"/>
        <v>card_debit_Master__nfc</v>
      </c>
      <c r="I70" s="1067" t="s">
        <v>152</v>
      </c>
      <c r="J70" s="86">
        <f t="shared" si="81"/>
        <v>0</v>
      </c>
      <c r="K70" s="70"/>
      <c r="L70" s="70"/>
      <c r="M70" s="70"/>
      <c r="N70" s="70"/>
      <c r="O70" s="70"/>
      <c r="P70" s="70"/>
      <c r="Q70" s="70"/>
      <c r="R70" s="70"/>
    </row>
    <row r="71" spans="2:24" s="68" customFormat="1" ht="15" customHeight="1">
      <c r="B71" s="980" t="s">
        <v>378</v>
      </c>
      <c r="C71" s="980" t="s">
        <v>381</v>
      </c>
      <c r="D71" s="980" t="s">
        <v>389</v>
      </c>
      <c r="E71" s="126"/>
      <c r="F71" s="126" t="s">
        <v>280</v>
      </c>
      <c r="G71" s="980" t="str">
        <f t="shared" si="91"/>
        <v>card_debit_Master__profit_before_overhead</v>
      </c>
      <c r="I71" s="85" t="s">
        <v>236</v>
      </c>
      <c r="J71" s="86">
        <f t="shared" si="81"/>
        <v>-3635001166.6666665</v>
      </c>
      <c r="K71" s="1071">
        <f t="shared" ref="K71:U71" si="100">K49-K64</f>
        <v>-562176142</v>
      </c>
      <c r="L71" s="1071">
        <f t="shared" si="100"/>
        <v>-553976073.33333325</v>
      </c>
      <c r="M71" s="1071">
        <f t="shared" si="100"/>
        <v>-392345419</v>
      </c>
      <c r="N71" s="1071">
        <f t="shared" si="100"/>
        <v>-468128386</v>
      </c>
      <c r="O71" s="1071">
        <f t="shared" si="100"/>
        <v>-530812419</v>
      </c>
      <c r="P71" s="1071">
        <f t="shared" si="100"/>
        <v>-387429068</v>
      </c>
      <c r="Q71" s="1071">
        <f t="shared" si="100"/>
        <v>-258093294</v>
      </c>
      <c r="R71" s="1071">
        <f t="shared" si="100"/>
        <v>-285237668.66666669</v>
      </c>
      <c r="S71" s="1071">
        <f t="shared" si="100"/>
        <v>-313447382</v>
      </c>
      <c r="T71" s="1071">
        <f t="shared" si="100"/>
        <v>-244554185</v>
      </c>
      <c r="U71" s="1071">
        <f t="shared" si="100"/>
        <v>-262863338</v>
      </c>
      <c r="V71" s="1071">
        <f>V49-V64</f>
        <v>-99767388</v>
      </c>
      <c r="W71" s="1071">
        <f>W49-W64</f>
        <v>-90466553</v>
      </c>
      <c r="X71" s="1071">
        <f>X49-X64</f>
        <v>-301856066</v>
      </c>
    </row>
    <row r="72" spans="2:24" s="68" customFormat="1" ht="15" customHeight="1">
      <c r="B72" s="980"/>
      <c r="C72" s="980"/>
      <c r="D72" s="980"/>
      <c r="E72" s="980"/>
      <c r="F72" s="980"/>
      <c r="G72" s="980"/>
      <c r="I72" s="85"/>
      <c r="J72" s="86"/>
      <c r="K72" s="221"/>
      <c r="L72" s="221"/>
      <c r="M72" s="221"/>
      <c r="N72" s="221"/>
      <c r="O72" s="221"/>
      <c r="P72" s="70"/>
      <c r="Q72" s="70"/>
    </row>
    <row r="73" spans="2:24" ht="15" customHeight="1">
      <c r="G73" s="980" t="str">
        <f t="shared" si="91"/>
        <v>____</v>
      </c>
      <c r="I73" s="82" t="s">
        <v>405</v>
      </c>
      <c r="J73" s="86"/>
      <c r="K73" s="86"/>
      <c r="L73" s="86"/>
      <c r="M73" s="86"/>
      <c r="N73" s="86"/>
    </row>
    <row r="74" spans="2:24" s="4" customFormat="1" ht="15" customHeight="1">
      <c r="B74" s="980" t="s">
        <v>378</v>
      </c>
      <c r="C74" s="980" t="s">
        <v>381</v>
      </c>
      <c r="D74" s="980" t="s">
        <v>406</v>
      </c>
      <c r="E74" s="126"/>
      <c r="F74" s="126" t="s">
        <v>252</v>
      </c>
      <c r="G74" s="980" t="str">
        <f>B74&amp;"_"&amp;C74&amp;"_"&amp;D74&amp;"_"&amp;E74&amp;"_"&amp;F74</f>
        <v>card_debit_Visa__revenue</v>
      </c>
      <c r="I74" s="85" t="s">
        <v>215</v>
      </c>
      <c r="J74" s="86">
        <f t="shared" ref="J74:J97" si="101">SUM(M74:X74)</f>
        <v>15341957003</v>
      </c>
      <c r="K74" s="285">
        <f>K79+K89</f>
        <v>583267362</v>
      </c>
      <c r="L74" s="285">
        <f t="shared" ref="L74:Q74" si="102">L79+L89</f>
        <v>1705365220</v>
      </c>
      <c r="M74" s="285">
        <f t="shared" si="102"/>
        <v>454723553</v>
      </c>
      <c r="N74" s="285">
        <f t="shared" si="102"/>
        <v>520477088</v>
      </c>
      <c r="O74" s="285">
        <f t="shared" si="102"/>
        <v>572757233</v>
      </c>
      <c r="P74" s="285">
        <f t="shared" si="102"/>
        <v>590780172</v>
      </c>
      <c r="Q74" s="285">
        <f t="shared" si="102"/>
        <v>709956605</v>
      </c>
      <c r="R74" s="285">
        <f t="shared" ref="R74:S74" si="103">R79+R89</f>
        <v>773926275</v>
      </c>
      <c r="S74" s="285">
        <f t="shared" si="103"/>
        <v>887454411</v>
      </c>
      <c r="T74" s="285">
        <f t="shared" ref="T74:U74" si="104">T79+T89</f>
        <v>949080825</v>
      </c>
      <c r="U74" s="285">
        <f t="shared" si="104"/>
        <v>5724329461</v>
      </c>
      <c r="V74" s="285">
        <f t="shared" ref="V74:W74" si="105">V79+V89</f>
        <v>1057548343</v>
      </c>
      <c r="W74" s="285">
        <f t="shared" si="105"/>
        <v>1313391658</v>
      </c>
      <c r="X74" s="285">
        <f t="shared" ref="X74" si="106">X79+X89</f>
        <v>1787531379</v>
      </c>
    </row>
    <row r="75" spans="2:24" s="4" customFormat="1" ht="15" customHeight="1">
      <c r="B75" s="980" t="s">
        <v>378</v>
      </c>
      <c r="C75" s="980" t="s">
        <v>381</v>
      </c>
      <c r="D75" s="980" t="s">
        <v>406</v>
      </c>
      <c r="E75" s="126"/>
      <c r="F75" s="126" t="s">
        <v>253</v>
      </c>
      <c r="G75" s="980" t="str">
        <f>B75&amp;"_"&amp;C75&amp;"_"&amp;D75&amp;"_"&amp;E75&amp;"_"&amp;F75</f>
        <v>card_debit_Visa__COGs</v>
      </c>
      <c r="I75" s="85" t="s">
        <v>216</v>
      </c>
      <c r="J75" s="86">
        <f t="shared" si="101"/>
        <v>8866217396.0591545</v>
      </c>
      <c r="K75" s="285">
        <f>K85</f>
        <v>143955145.24804068</v>
      </c>
      <c r="L75" s="285">
        <f t="shared" ref="L75:Q75" si="107">L85</f>
        <v>409164929</v>
      </c>
      <c r="M75" s="285">
        <f t="shared" si="107"/>
        <v>420827883.39048558</v>
      </c>
      <c r="N75" s="285">
        <f t="shared" si="107"/>
        <v>501812634.40250552</v>
      </c>
      <c r="O75" s="285">
        <f t="shared" si="107"/>
        <v>598411493.12401783</v>
      </c>
      <c r="P75" s="285">
        <f t="shared" si="107"/>
        <v>571333259.14214623</v>
      </c>
      <c r="Q75" s="285">
        <f t="shared" si="107"/>
        <v>606339609</v>
      </c>
      <c r="R75" s="285">
        <f t="shared" ref="R75:S75" si="108">R85</f>
        <v>661975400.66666663</v>
      </c>
      <c r="S75" s="285">
        <f t="shared" si="108"/>
        <v>734799058</v>
      </c>
      <c r="T75" s="285">
        <f t="shared" ref="T75:U75" si="109">T85</f>
        <v>764210681</v>
      </c>
      <c r="U75" s="285">
        <f t="shared" si="109"/>
        <v>719067522.33333337</v>
      </c>
      <c r="V75" s="285">
        <f t="shared" ref="V75:W75" si="110">V85</f>
        <v>801869462</v>
      </c>
      <c r="W75" s="285">
        <f t="shared" si="110"/>
        <v>1182625053</v>
      </c>
      <c r="X75" s="285">
        <f t="shared" ref="X75" si="111">X85</f>
        <v>1302945340</v>
      </c>
    </row>
    <row r="76" spans="2:24" s="68" customFormat="1" ht="15" customHeight="1">
      <c r="B76" s="980" t="s">
        <v>378</v>
      </c>
      <c r="C76" s="980" t="s">
        <v>381</v>
      </c>
      <c r="D76" s="980" t="s">
        <v>406</v>
      </c>
      <c r="E76" s="126"/>
      <c r="F76" s="126" t="s">
        <v>217</v>
      </c>
      <c r="G76" s="980" t="str">
        <f>B76&amp;"_"&amp;C76&amp;"_"&amp;D76&amp;"_"&amp;E76&amp;"_"&amp;F76</f>
        <v>card_debit_Visa__TOI</v>
      </c>
      <c r="I76" s="85" t="s">
        <v>217</v>
      </c>
      <c r="J76" s="86">
        <f t="shared" si="101"/>
        <v>6475739606.9408455</v>
      </c>
      <c r="K76" s="222">
        <f>K77+K78</f>
        <v>439312216.75195932</v>
      </c>
      <c r="L76" s="222">
        <f t="shared" ref="L76:Q76" si="112">L77+L78</f>
        <v>1296200291</v>
      </c>
      <c r="M76" s="222">
        <f t="shared" si="112"/>
        <v>33895669.609514415</v>
      </c>
      <c r="N76" s="222">
        <f t="shared" si="112"/>
        <v>18664453.597494483</v>
      </c>
      <c r="O76" s="222">
        <f t="shared" si="112"/>
        <v>-25654260.124017835</v>
      </c>
      <c r="P76" s="222">
        <f t="shared" si="112"/>
        <v>19446912.85785377</v>
      </c>
      <c r="Q76" s="222">
        <f t="shared" si="112"/>
        <v>103616996</v>
      </c>
      <c r="R76" s="222">
        <f t="shared" ref="R76:V76" si="113">R77+R78</f>
        <v>111950874.33333337</v>
      </c>
      <c r="S76" s="222">
        <f t="shared" si="113"/>
        <v>152655353</v>
      </c>
      <c r="T76" s="222">
        <f t="shared" si="113"/>
        <v>184870144</v>
      </c>
      <c r="U76" s="222">
        <f t="shared" si="113"/>
        <v>5005261938.666667</v>
      </c>
      <c r="V76" s="222">
        <f t="shared" si="113"/>
        <v>255678881</v>
      </c>
      <c r="W76" s="222">
        <f t="shared" ref="W76:X76" si="114">W77+W78</f>
        <v>130766605</v>
      </c>
      <c r="X76" s="222">
        <f t="shared" si="114"/>
        <v>484586039</v>
      </c>
    </row>
    <row r="77" spans="2:24" s="68" customFormat="1" ht="15" customHeight="1">
      <c r="B77" s="980" t="s">
        <v>378</v>
      </c>
      <c r="C77" s="980" t="s">
        <v>381</v>
      </c>
      <c r="D77" s="980" t="s">
        <v>406</v>
      </c>
      <c r="E77" s="126"/>
      <c r="F77" s="126" t="s">
        <v>254</v>
      </c>
      <c r="G77" s="980" t="str">
        <f t="shared" ref="G77:G97" si="115">B77&amp;"_"&amp;C77&amp;"_"&amp;D77&amp;"_"&amp;E77&amp;"_"&amp;F77</f>
        <v>card_debit_Visa__NII</v>
      </c>
      <c r="I77" s="1055" t="s">
        <v>218</v>
      </c>
      <c r="J77" s="86">
        <f t="shared" si="101"/>
        <v>0</v>
      </c>
      <c r="K77" s="86"/>
      <c r="L77" s="86"/>
      <c r="M77" s="86"/>
      <c r="N77" s="86"/>
      <c r="O77" s="86"/>
      <c r="P77" s="70"/>
    </row>
    <row r="78" spans="2:24" s="68" customFormat="1" ht="15" customHeight="1">
      <c r="B78" s="980" t="s">
        <v>378</v>
      </c>
      <c r="C78" s="980" t="s">
        <v>381</v>
      </c>
      <c r="D78" s="980" t="s">
        <v>406</v>
      </c>
      <c r="E78" s="126"/>
      <c r="F78" s="126" t="s">
        <v>260</v>
      </c>
      <c r="G78" s="980" t="str">
        <f t="shared" si="115"/>
        <v>card_debit_Visa__NFI</v>
      </c>
      <c r="I78" s="1055" t="s">
        <v>220</v>
      </c>
      <c r="J78" s="86">
        <f t="shared" si="101"/>
        <v>6475739606.9408455</v>
      </c>
      <c r="K78" s="85">
        <f>K79-K85+K89</f>
        <v>439312216.75195932</v>
      </c>
      <c r="L78" s="85">
        <f t="shared" ref="L78:U78" si="116">L79-L85+L89</f>
        <v>1296200291</v>
      </c>
      <c r="M78" s="85">
        <f t="shared" si="116"/>
        <v>33895669.609514415</v>
      </c>
      <c r="N78" s="85">
        <f t="shared" si="116"/>
        <v>18664453.597494483</v>
      </c>
      <c r="O78" s="85">
        <f t="shared" si="116"/>
        <v>-25654260.124017835</v>
      </c>
      <c r="P78" s="85">
        <f t="shared" si="116"/>
        <v>19446912.85785377</v>
      </c>
      <c r="Q78" s="85">
        <f t="shared" si="116"/>
        <v>103616996</v>
      </c>
      <c r="R78" s="85">
        <f t="shared" si="116"/>
        <v>111950874.33333337</v>
      </c>
      <c r="S78" s="85">
        <f t="shared" si="116"/>
        <v>152655353</v>
      </c>
      <c r="T78" s="85">
        <f t="shared" si="116"/>
        <v>184870144</v>
      </c>
      <c r="U78" s="85">
        <f t="shared" si="116"/>
        <v>5005261938.666667</v>
      </c>
      <c r="V78" s="85">
        <f t="shared" ref="V78:X78" si="117">V79-V85+V89</f>
        <v>255678881</v>
      </c>
      <c r="W78" s="85">
        <f t="shared" si="117"/>
        <v>130766605</v>
      </c>
      <c r="X78" s="85">
        <f t="shared" si="117"/>
        <v>484586039</v>
      </c>
    </row>
    <row r="79" spans="2:24" s="68" customFormat="1" ht="15" customHeight="1">
      <c r="B79" s="980" t="s">
        <v>378</v>
      </c>
      <c r="C79" s="980" t="s">
        <v>381</v>
      </c>
      <c r="D79" s="980" t="s">
        <v>406</v>
      </c>
      <c r="E79" s="230"/>
      <c r="F79" s="230" t="s">
        <v>340</v>
      </c>
      <c r="G79" s="980" t="str">
        <f t="shared" ref="G79:G89" si="118">B79&amp;"_"&amp;C79&amp;"_"&amp;D79&amp;"_"&amp;E79&amp;"_"&amp;F79</f>
        <v>card_debit_Visa__fee_incomes</v>
      </c>
      <c r="I79" s="1068" t="s">
        <v>22</v>
      </c>
      <c r="J79" s="86">
        <f t="shared" si="101"/>
        <v>15341957003</v>
      </c>
      <c r="K79" s="85">
        <f>SUM(K80:K84)</f>
        <v>583267362</v>
      </c>
      <c r="L79" s="85">
        <f t="shared" ref="L79:U79" si="119">SUM(L80:L84)</f>
        <v>558547038</v>
      </c>
      <c r="M79" s="85">
        <f t="shared" si="119"/>
        <v>454723553</v>
      </c>
      <c r="N79" s="85">
        <f t="shared" si="119"/>
        <v>520477088</v>
      </c>
      <c r="O79" s="85">
        <f t="shared" si="119"/>
        <v>572757233</v>
      </c>
      <c r="P79" s="85">
        <f t="shared" si="119"/>
        <v>590780172</v>
      </c>
      <c r="Q79" s="85">
        <f t="shared" si="119"/>
        <v>709956605</v>
      </c>
      <c r="R79" s="85">
        <f t="shared" si="119"/>
        <v>773926275</v>
      </c>
      <c r="S79" s="85">
        <f t="shared" si="119"/>
        <v>887454411</v>
      </c>
      <c r="T79" s="85">
        <f t="shared" si="119"/>
        <v>949080825</v>
      </c>
      <c r="U79" s="85">
        <f t="shared" si="119"/>
        <v>5724329461</v>
      </c>
      <c r="V79" s="85">
        <f t="shared" ref="V79:X79" si="120">SUM(V80:V84)</f>
        <v>1057548343</v>
      </c>
      <c r="W79" s="85">
        <f t="shared" si="120"/>
        <v>1313391658</v>
      </c>
      <c r="X79" s="85">
        <f t="shared" si="120"/>
        <v>1787531379</v>
      </c>
    </row>
    <row r="80" spans="2:24" s="68" customFormat="1" ht="15" customHeight="1">
      <c r="B80" s="980" t="s">
        <v>378</v>
      </c>
      <c r="C80" s="980" t="s">
        <v>381</v>
      </c>
      <c r="D80" s="980" t="s">
        <v>406</v>
      </c>
      <c r="E80" s="230"/>
      <c r="F80" s="230" t="s">
        <v>391</v>
      </c>
      <c r="G80" s="980" t="str">
        <f t="shared" si="118"/>
        <v>card_debit_Visa__interchange_fee</v>
      </c>
      <c r="I80" s="1070" t="s">
        <v>392</v>
      </c>
      <c r="J80" s="86">
        <f t="shared" si="101"/>
        <v>2199000893</v>
      </c>
      <c r="K80" s="86">
        <v>126015943</v>
      </c>
      <c r="L80" s="86">
        <v>128184158</v>
      </c>
      <c r="M80" s="86">
        <v>116008335</v>
      </c>
      <c r="N80" s="86">
        <v>110252992</v>
      </c>
      <c r="O80" s="70">
        <v>128469089</v>
      </c>
      <c r="P80" s="70">
        <v>111821589</v>
      </c>
      <c r="Q80" s="70">
        <v>151716409</v>
      </c>
      <c r="R80" s="70">
        <v>229969793</v>
      </c>
      <c r="S80" s="70">
        <v>205667333</v>
      </c>
      <c r="T80" s="70">
        <v>199164402</v>
      </c>
      <c r="U80" s="224">
        <v>182466536</v>
      </c>
      <c r="V80" s="70">
        <v>229176432</v>
      </c>
      <c r="W80" s="70">
        <v>231159267</v>
      </c>
      <c r="X80" s="70">
        <v>303128716</v>
      </c>
    </row>
    <row r="81" spans="2:25" s="68" customFormat="1" ht="15" customHeight="1">
      <c r="B81" s="980" t="s">
        <v>378</v>
      </c>
      <c r="C81" s="980" t="s">
        <v>381</v>
      </c>
      <c r="D81" s="980" t="s">
        <v>406</v>
      </c>
      <c r="E81" s="230"/>
      <c r="F81" s="230" t="s">
        <v>407</v>
      </c>
      <c r="G81" s="980" t="str">
        <f t="shared" si="118"/>
        <v>card_debit_Visa__cash_advance_fee</v>
      </c>
      <c r="I81" s="1070" t="s">
        <v>408</v>
      </c>
      <c r="J81" s="86">
        <f t="shared" si="101"/>
        <v>21461702</v>
      </c>
      <c r="K81" s="86">
        <v>2223998</v>
      </c>
      <c r="L81" s="86">
        <v>1628541</v>
      </c>
      <c r="M81" s="86">
        <v>485664</v>
      </c>
      <c r="N81" s="86">
        <v>4436300</v>
      </c>
      <c r="O81" s="70">
        <v>916535</v>
      </c>
      <c r="P81" s="70">
        <v>2286344</v>
      </c>
      <c r="Q81" s="70">
        <v>459874</v>
      </c>
      <c r="R81" s="70">
        <v>1097274</v>
      </c>
      <c r="S81" s="70">
        <v>2600642</v>
      </c>
      <c r="T81" s="70">
        <v>816515</v>
      </c>
      <c r="U81" s="68">
        <v>2157761</v>
      </c>
      <c r="V81" s="70">
        <v>1605738</v>
      </c>
      <c r="W81" s="70">
        <v>1505807</v>
      </c>
      <c r="X81" s="70">
        <v>3093248</v>
      </c>
    </row>
    <row r="82" spans="2:25" s="68" customFormat="1" ht="15" customHeight="1">
      <c r="B82" s="980" t="s">
        <v>378</v>
      </c>
      <c r="C82" s="980" t="s">
        <v>381</v>
      </c>
      <c r="D82" s="980" t="s">
        <v>406</v>
      </c>
      <c r="E82" s="230"/>
      <c r="F82" s="230" t="s">
        <v>393</v>
      </c>
      <c r="G82" s="980" t="str">
        <f t="shared" si="118"/>
        <v>card_debit_Visa__fx_fee</v>
      </c>
      <c r="I82" s="1070" t="s">
        <v>394</v>
      </c>
      <c r="J82" s="86">
        <f t="shared" si="101"/>
        <v>6083206402</v>
      </c>
      <c r="K82" s="86">
        <v>309527421</v>
      </c>
      <c r="L82" s="86">
        <v>272584339</v>
      </c>
      <c r="M82" s="86">
        <v>153579554</v>
      </c>
      <c r="N82" s="86">
        <v>248437796</v>
      </c>
      <c r="O82" s="70">
        <v>291271609</v>
      </c>
      <c r="P82" s="70">
        <v>330572239</v>
      </c>
      <c r="Q82" s="70">
        <v>334730322</v>
      </c>
      <c r="R82" s="70">
        <v>365559208</v>
      </c>
      <c r="S82" s="70">
        <v>472036436</v>
      </c>
      <c r="T82" s="70">
        <v>530999908</v>
      </c>
      <c r="U82" s="68">
        <v>495667158</v>
      </c>
      <c r="V82" s="70">
        <v>644066173</v>
      </c>
      <c r="W82" s="70">
        <v>905976584</v>
      </c>
      <c r="X82" s="70">
        <v>1310309415</v>
      </c>
      <c r="Y82" s="221"/>
    </row>
    <row r="83" spans="2:25" s="68" customFormat="1" ht="15" customHeight="1">
      <c r="B83" s="980" t="s">
        <v>378</v>
      </c>
      <c r="C83" s="980" t="s">
        <v>381</v>
      </c>
      <c r="D83" s="980" t="s">
        <v>406</v>
      </c>
      <c r="E83" s="230"/>
      <c r="F83" s="230" t="s">
        <v>395</v>
      </c>
      <c r="G83" s="980" t="str">
        <f t="shared" si="118"/>
        <v>card_debit_Visa__reissue_fee</v>
      </c>
      <c r="I83" s="1070" t="s">
        <v>396</v>
      </c>
      <c r="J83" s="86">
        <f t="shared" si="101"/>
        <v>2227500000</v>
      </c>
      <c r="K83" s="86">
        <v>145500000</v>
      </c>
      <c r="L83" s="86">
        <v>156150000</v>
      </c>
      <c r="M83" s="86">
        <v>184650000</v>
      </c>
      <c r="N83" s="86">
        <v>157350000</v>
      </c>
      <c r="O83" s="70">
        <v>152100000</v>
      </c>
      <c r="P83" s="70">
        <v>146100000</v>
      </c>
      <c r="Q83" s="70">
        <v>223050000</v>
      </c>
      <c r="R83" s="70">
        <v>177300000</v>
      </c>
      <c r="S83" s="70">
        <v>207150000</v>
      </c>
      <c r="T83" s="70">
        <v>218100000</v>
      </c>
      <c r="U83" s="70">
        <v>233250000</v>
      </c>
      <c r="V83" s="70">
        <v>182700000</v>
      </c>
      <c r="W83" s="70">
        <v>174750000</v>
      </c>
      <c r="X83" s="70">
        <v>171000000</v>
      </c>
    </row>
    <row r="84" spans="2:25" s="68" customFormat="1" ht="15" customHeight="1">
      <c r="B84" s="980" t="s">
        <v>378</v>
      </c>
      <c r="C84" s="980" t="s">
        <v>381</v>
      </c>
      <c r="D84" s="980" t="s">
        <v>406</v>
      </c>
      <c r="E84" s="230"/>
      <c r="F84" s="230" t="s">
        <v>361</v>
      </c>
      <c r="G84" s="980" t="str">
        <f t="shared" si="118"/>
        <v>card_debit_Visa__other_income_fee</v>
      </c>
      <c r="I84" s="1070" t="s">
        <v>409</v>
      </c>
      <c r="J84" s="86">
        <f t="shared" si="101"/>
        <v>4810788006</v>
      </c>
      <c r="K84" s="86"/>
      <c r="M84" s="86"/>
      <c r="N84" s="86"/>
      <c r="P84" s="70"/>
      <c r="T84" s="4"/>
      <c r="U84" s="70">
        <v>4810788006</v>
      </c>
    </row>
    <row r="85" spans="2:25" s="4" customFormat="1" ht="15" customHeight="1">
      <c r="B85" s="980" t="s">
        <v>378</v>
      </c>
      <c r="C85" s="980" t="s">
        <v>381</v>
      </c>
      <c r="D85" s="980" t="s">
        <v>406</v>
      </c>
      <c r="E85" s="230"/>
      <c r="F85" s="230" t="s">
        <v>362</v>
      </c>
      <c r="G85" s="980" t="str">
        <f t="shared" si="118"/>
        <v>card_debit_Visa__fee_expenses</v>
      </c>
      <c r="I85" s="1069" t="s">
        <v>295</v>
      </c>
      <c r="J85" s="86">
        <f t="shared" si="101"/>
        <v>8866217396.0591545</v>
      </c>
      <c r="K85" s="47">
        <f t="shared" ref="K85:L85" si="121">K86+K87</f>
        <v>143955145.24804068</v>
      </c>
      <c r="L85" s="47">
        <f t="shared" si="121"/>
        <v>409164929</v>
      </c>
      <c r="M85" s="47">
        <f t="shared" ref="M85:U85" si="122">M86+M87</f>
        <v>420827883.39048558</v>
      </c>
      <c r="N85" s="47">
        <f t="shared" si="122"/>
        <v>501812634.40250552</v>
      </c>
      <c r="O85" s="47">
        <f t="shared" si="122"/>
        <v>598411493.12401783</v>
      </c>
      <c r="P85" s="47">
        <f t="shared" si="122"/>
        <v>571333259.14214623</v>
      </c>
      <c r="Q85" s="47">
        <f t="shared" si="122"/>
        <v>606339609</v>
      </c>
      <c r="R85" s="47">
        <f t="shared" si="122"/>
        <v>661975400.66666663</v>
      </c>
      <c r="S85" s="47">
        <f t="shared" si="122"/>
        <v>734799058</v>
      </c>
      <c r="T85" s="47">
        <f t="shared" si="122"/>
        <v>764210681</v>
      </c>
      <c r="U85" s="47">
        <f t="shared" si="122"/>
        <v>719067522.33333337</v>
      </c>
      <c r="V85" s="47">
        <f>V86+V87</f>
        <v>801869462</v>
      </c>
      <c r="W85" s="47">
        <f>W86+W87</f>
        <v>1182625053</v>
      </c>
      <c r="X85" s="47">
        <f>X86+X87</f>
        <v>1302945340</v>
      </c>
    </row>
    <row r="86" spans="2:25" s="4" customFormat="1" ht="15" customHeight="1">
      <c r="B86" s="980" t="s">
        <v>378</v>
      </c>
      <c r="C86" s="980" t="s">
        <v>381</v>
      </c>
      <c r="D86" s="980" t="s">
        <v>406</v>
      </c>
      <c r="E86" s="230"/>
      <c r="F86" s="230" t="s">
        <v>410</v>
      </c>
      <c r="G86" s="980" t="str">
        <f t="shared" si="118"/>
        <v>card_debit_Visa__BPC_fee</v>
      </c>
      <c r="I86" s="1070" t="s">
        <v>411</v>
      </c>
      <c r="J86" s="86">
        <f t="shared" si="101"/>
        <v>147880744.0591552</v>
      </c>
      <c r="K86" s="86">
        <v>48320248.248040661</v>
      </c>
      <c r="L86" s="86">
        <v>39486984</v>
      </c>
      <c r="M86" s="86">
        <v>34715282.390485562</v>
      </c>
      <c r="N86" s="86">
        <v>44455339.402505547</v>
      </c>
      <c r="O86" s="285">
        <v>41716188.124017842</v>
      </c>
      <c r="P86" s="7">
        <v>26993934.142146271</v>
      </c>
    </row>
    <row r="87" spans="2:25" s="4" customFormat="1" ht="15" customHeight="1">
      <c r="B87" s="980" t="s">
        <v>378</v>
      </c>
      <c r="C87" s="980" t="s">
        <v>381</v>
      </c>
      <c r="D87" s="980" t="s">
        <v>406</v>
      </c>
      <c r="E87" s="230"/>
      <c r="F87" s="230" t="s">
        <v>412</v>
      </c>
      <c r="G87" s="980" t="str">
        <f t="shared" si="118"/>
        <v>card_debit_Visa__visa_fee</v>
      </c>
      <c r="I87" s="1070" t="s">
        <v>413</v>
      </c>
      <c r="J87" s="86">
        <f t="shared" si="101"/>
        <v>8718336652</v>
      </c>
      <c r="K87" s="86">
        <f>37647698+57987199</f>
        <v>95634897</v>
      </c>
      <c r="L87" s="86">
        <f>351108958+705528+17863459</f>
        <v>369677945</v>
      </c>
      <c r="M87" s="86">
        <f>31190937+354363859+557805</f>
        <v>386112601</v>
      </c>
      <c r="N87" s="86">
        <f>95925852+361089070+342373</f>
        <v>457357295</v>
      </c>
      <c r="O87" s="7">
        <f>103207204+472412+453015689</f>
        <v>556695305</v>
      </c>
      <c r="P87" s="7">
        <f>118624791+425142031+572503</f>
        <v>544339325</v>
      </c>
      <c r="Q87" s="7">
        <f>117835966+487704588+799055</f>
        <v>606339609</v>
      </c>
      <c r="R87" s="7">
        <f>125722521+535677091+575788.666666667</f>
        <v>661975400.66666663</v>
      </c>
      <c r="S87" s="7">
        <f>155162891+579209289+426878</f>
        <v>734799058</v>
      </c>
      <c r="T87" s="7">
        <f>159576973+604305650+328058</f>
        <v>764210681</v>
      </c>
      <c r="U87" s="7">
        <f>155418953+563095720+552849.333333333</f>
        <v>719067522.33333337</v>
      </c>
      <c r="V87" s="7">
        <f>180868073+619821420+1179969</f>
        <v>801869462</v>
      </c>
      <c r="W87" s="7">
        <f>216753726+965871327</f>
        <v>1182625053</v>
      </c>
      <c r="X87" s="7">
        <f>302945340+1000000000</f>
        <v>1302945340</v>
      </c>
    </row>
    <row r="88" spans="2:25" s="4" customFormat="1" ht="15" customHeight="1">
      <c r="B88" s="980" t="s">
        <v>378</v>
      </c>
      <c r="C88" s="980" t="s">
        <v>381</v>
      </c>
      <c r="D88" s="980" t="s">
        <v>406</v>
      </c>
      <c r="E88" s="230"/>
      <c r="F88" s="230" t="s">
        <v>414</v>
      </c>
      <c r="G88" s="980" t="str">
        <f t="shared" si="118"/>
        <v>card_debit_Visa__cashback_fee</v>
      </c>
      <c r="I88" s="1070" t="s">
        <v>332</v>
      </c>
      <c r="J88" s="86">
        <f t="shared" si="101"/>
        <v>0</v>
      </c>
      <c r="K88" s="86"/>
      <c r="L88" s="86"/>
      <c r="M88" s="86"/>
      <c r="N88" s="86"/>
      <c r="P88" s="47"/>
    </row>
    <row r="89" spans="2:25" s="4" customFormat="1" ht="15" customHeight="1">
      <c r="B89" s="980" t="s">
        <v>378</v>
      </c>
      <c r="C89" s="980" t="s">
        <v>381</v>
      </c>
      <c r="D89" s="980" t="s">
        <v>406</v>
      </c>
      <c r="E89" s="230"/>
      <c r="F89" s="230" t="s">
        <v>269</v>
      </c>
      <c r="G89" s="980" t="str">
        <f t="shared" si="118"/>
        <v>card_debit_Visa__other_TOI</v>
      </c>
      <c r="I89" s="1055" t="s">
        <v>89</v>
      </c>
      <c r="J89" s="86">
        <f t="shared" si="101"/>
        <v>0</v>
      </c>
      <c r="K89" s="86"/>
      <c r="L89" s="85">
        <v>1146818182</v>
      </c>
      <c r="M89" s="86"/>
      <c r="N89" s="86"/>
      <c r="P89" s="47"/>
    </row>
    <row r="90" spans="2:25" s="68" customFormat="1" ht="15" customHeight="1">
      <c r="B90" s="980" t="s">
        <v>378</v>
      </c>
      <c r="C90" s="980" t="s">
        <v>381</v>
      </c>
      <c r="D90" s="980" t="s">
        <v>406</v>
      </c>
      <c r="E90" s="230"/>
      <c r="F90" s="230" t="s">
        <v>271</v>
      </c>
      <c r="G90" s="980" t="str">
        <f t="shared" si="115"/>
        <v>card_debit_Visa__variable_cost</v>
      </c>
      <c r="I90" s="95" t="s">
        <v>229</v>
      </c>
      <c r="J90" s="86">
        <f>SUM(M90:X90)</f>
        <v>991587323.5</v>
      </c>
      <c r="K90" s="222">
        <f>SUM(K91:K96)</f>
        <v>65394025</v>
      </c>
      <c r="L90" s="222">
        <f t="shared" ref="L90:U90" si="123">SUM(L91:L96)</f>
        <v>66261841</v>
      </c>
      <c r="M90" s="222">
        <f t="shared" si="123"/>
        <v>86664540</v>
      </c>
      <c r="N90" s="222">
        <f t="shared" si="123"/>
        <v>91647617.5</v>
      </c>
      <c r="O90" s="222">
        <f t="shared" si="123"/>
        <v>79522577</v>
      </c>
      <c r="P90" s="222">
        <f t="shared" si="123"/>
        <v>76168261</v>
      </c>
      <c r="Q90" s="222">
        <f t="shared" si="123"/>
        <v>108359588</v>
      </c>
      <c r="R90" s="222">
        <f t="shared" si="123"/>
        <v>88794713</v>
      </c>
      <c r="S90" s="222">
        <f t="shared" si="123"/>
        <v>102977962</v>
      </c>
      <c r="T90" s="222">
        <f t="shared" si="123"/>
        <v>89294605</v>
      </c>
      <c r="U90" s="222">
        <f t="shared" si="123"/>
        <v>77443374</v>
      </c>
      <c r="V90" s="222">
        <f>SUM(V91:V96)</f>
        <v>74410506</v>
      </c>
      <c r="W90" s="222">
        <f>SUM(W91:W96)</f>
        <v>63868091</v>
      </c>
      <c r="X90" s="222">
        <f>SUM(X91:X96)</f>
        <v>52435489</v>
      </c>
    </row>
    <row r="91" spans="2:25" s="68" customFormat="1" ht="15" customHeight="1">
      <c r="B91" s="980" t="s">
        <v>378</v>
      </c>
      <c r="C91" s="980" t="s">
        <v>381</v>
      </c>
      <c r="D91" s="980" t="s">
        <v>406</v>
      </c>
      <c r="E91" s="230"/>
      <c r="F91" s="230" t="s">
        <v>272</v>
      </c>
      <c r="G91" s="980" t="str">
        <f t="shared" si="115"/>
        <v>card_debit_Visa__marketing_acquisition_cost</v>
      </c>
      <c r="I91" s="563" t="s">
        <v>230</v>
      </c>
      <c r="J91" s="86">
        <f t="shared" si="101"/>
        <v>0</v>
      </c>
      <c r="K91" s="86"/>
      <c r="L91" s="86"/>
      <c r="M91" s="86"/>
      <c r="N91" s="86"/>
      <c r="P91" s="70"/>
    </row>
    <row r="92" spans="2:25" s="68" customFormat="1" ht="15" customHeight="1">
      <c r="B92" s="980" t="s">
        <v>378</v>
      </c>
      <c r="C92" s="980" t="s">
        <v>381</v>
      </c>
      <c r="D92" s="980" t="s">
        <v>406</v>
      </c>
      <c r="E92" s="230"/>
      <c r="F92" s="230" t="s">
        <v>278</v>
      </c>
      <c r="G92" s="980" t="str">
        <f t="shared" si="115"/>
        <v>card_debit_Visa__promotion</v>
      </c>
      <c r="I92" s="563" t="s">
        <v>235</v>
      </c>
      <c r="J92" s="86">
        <f t="shared" si="101"/>
        <v>0</v>
      </c>
      <c r="K92" s="86"/>
      <c r="L92" s="86"/>
      <c r="M92" s="86"/>
      <c r="N92" s="86"/>
      <c r="P92" s="70"/>
    </row>
    <row r="93" spans="2:25" s="68" customFormat="1" ht="15" customHeight="1">
      <c r="B93" s="980" t="s">
        <v>378</v>
      </c>
      <c r="C93" s="980" t="s">
        <v>381</v>
      </c>
      <c r="D93" s="980" t="s">
        <v>406</v>
      </c>
      <c r="E93" s="126"/>
      <c r="F93" s="126" t="s">
        <v>385</v>
      </c>
      <c r="G93" s="980" t="str">
        <f t="shared" si="115"/>
        <v>card_debit_Visa__ems</v>
      </c>
      <c r="I93" s="1066" t="s">
        <v>386</v>
      </c>
      <c r="J93" s="86">
        <f t="shared" si="101"/>
        <v>201533891.5</v>
      </c>
      <c r="K93" s="86">
        <v>15239058</v>
      </c>
      <c r="L93" s="86">
        <v>15751648</v>
      </c>
      <c r="M93" s="86">
        <v>15293688</v>
      </c>
      <c r="N93" s="86">
        <v>24038304.5</v>
      </c>
      <c r="O93" s="224">
        <v>16904787</v>
      </c>
      <c r="P93" s="70">
        <v>15244992</v>
      </c>
      <c r="Q93" s="70">
        <v>21635666</v>
      </c>
      <c r="R93" s="224">
        <v>17680606</v>
      </c>
      <c r="S93" s="224">
        <v>21166148</v>
      </c>
      <c r="T93" s="224">
        <v>17498886</v>
      </c>
      <c r="U93" s="224">
        <v>15365072</v>
      </c>
      <c r="V93" s="224">
        <v>15422529</v>
      </c>
      <c r="W93" s="70">
        <v>11324500</v>
      </c>
      <c r="X93" s="224">
        <v>9958713</v>
      </c>
    </row>
    <row r="94" spans="2:25" s="68" customFormat="1" ht="15" customHeight="1">
      <c r="B94" s="980" t="s">
        <v>378</v>
      </c>
      <c r="C94" s="980" t="s">
        <v>381</v>
      </c>
      <c r="D94" s="980" t="s">
        <v>406</v>
      </c>
      <c r="E94" s="126"/>
      <c r="F94" s="126" t="s">
        <v>387</v>
      </c>
      <c r="G94" s="980" t="str">
        <f t="shared" si="115"/>
        <v>card_debit_Visa__mk</v>
      </c>
      <c r="I94" s="1066" t="s">
        <v>388</v>
      </c>
      <c r="J94" s="86">
        <f t="shared" si="101"/>
        <v>651714518</v>
      </c>
      <c r="K94" s="86">
        <v>49407000</v>
      </c>
      <c r="L94" s="86">
        <v>49755180</v>
      </c>
      <c r="M94" s="86">
        <v>59782500</v>
      </c>
      <c r="N94" s="86">
        <v>60111420</v>
      </c>
      <c r="O94" s="224">
        <v>51823350</v>
      </c>
      <c r="P94" s="70">
        <v>50204000</v>
      </c>
      <c r="Q94" s="70">
        <v>75603000</v>
      </c>
      <c r="R94" s="224">
        <v>60001000</v>
      </c>
      <c r="S94" s="224">
        <v>70279500</v>
      </c>
      <c r="T94" s="224">
        <v>60652076</v>
      </c>
      <c r="U94" s="224">
        <v>51291596</v>
      </c>
      <c r="V94" s="224">
        <v>46656500</v>
      </c>
      <c r="W94" s="70">
        <v>40342000</v>
      </c>
      <c r="X94" s="224">
        <v>24967576</v>
      </c>
    </row>
    <row r="95" spans="2:25" s="68" customFormat="1" ht="15" customHeight="1">
      <c r="B95" s="980" t="s">
        <v>378</v>
      </c>
      <c r="C95" s="980" t="s">
        <v>381</v>
      </c>
      <c r="D95" s="980" t="s">
        <v>406</v>
      </c>
      <c r="E95" s="126"/>
      <c r="F95" s="126" t="s">
        <v>279</v>
      </c>
      <c r="G95" s="980" t="str">
        <f t="shared" si="115"/>
        <v>card_debit_Visa__sms</v>
      </c>
      <c r="I95" s="563" t="s">
        <v>163</v>
      </c>
      <c r="J95" s="86">
        <f t="shared" si="101"/>
        <v>19662499</v>
      </c>
      <c r="K95" s="86">
        <v>747967</v>
      </c>
      <c r="L95" s="86">
        <v>755013</v>
      </c>
      <c r="M95" s="86">
        <v>879072</v>
      </c>
      <c r="N95" s="86">
        <v>798923</v>
      </c>
      <c r="O95" s="70">
        <v>847370</v>
      </c>
      <c r="P95" s="70">
        <v>2448359</v>
      </c>
      <c r="Q95" s="70">
        <v>2836242</v>
      </c>
      <c r="R95" s="68">
        <v>2131557</v>
      </c>
      <c r="S95" s="68">
        <v>1362854</v>
      </c>
      <c r="T95" s="70">
        <v>1380773</v>
      </c>
      <c r="U95" s="68">
        <v>1153196</v>
      </c>
      <c r="V95" s="70">
        <v>1275607</v>
      </c>
      <c r="W95" s="70">
        <v>1158321</v>
      </c>
      <c r="X95" s="70">
        <v>3390225</v>
      </c>
    </row>
    <row r="96" spans="2:25" s="68" customFormat="1" ht="15" customHeight="1">
      <c r="B96" s="980" t="s">
        <v>378</v>
      </c>
      <c r="C96" s="980" t="s">
        <v>381</v>
      </c>
      <c r="D96" s="980" t="s">
        <v>406</v>
      </c>
      <c r="E96" s="126"/>
      <c r="F96" s="126" t="s">
        <v>276</v>
      </c>
      <c r="G96" s="980" t="str">
        <f t="shared" si="115"/>
        <v>card_debit_Visa__nfc</v>
      </c>
      <c r="I96" s="563" t="s">
        <v>152</v>
      </c>
      <c r="J96" s="86"/>
      <c r="K96" s="86"/>
      <c r="L96" s="86"/>
      <c r="M96" s="86">
        <v>10709280</v>
      </c>
      <c r="N96" s="86">
        <v>6698970</v>
      </c>
      <c r="O96" s="88">
        <v>9947070</v>
      </c>
      <c r="P96" s="88">
        <v>8270910</v>
      </c>
      <c r="Q96" s="88">
        <v>8284680</v>
      </c>
      <c r="R96" s="68">
        <v>8981550</v>
      </c>
      <c r="S96" s="68">
        <v>10169460</v>
      </c>
      <c r="T96" s="68">
        <v>9762870</v>
      </c>
      <c r="U96" s="68">
        <v>9633510</v>
      </c>
      <c r="V96" s="70">
        <v>11055870</v>
      </c>
      <c r="W96" s="70">
        <v>11043270</v>
      </c>
      <c r="X96" s="70">
        <v>14118975</v>
      </c>
    </row>
    <row r="97" spans="2:27" s="68" customFormat="1" ht="15" customHeight="1">
      <c r="B97" s="980" t="s">
        <v>378</v>
      </c>
      <c r="C97" s="980" t="s">
        <v>381</v>
      </c>
      <c r="D97" s="980" t="s">
        <v>406</v>
      </c>
      <c r="E97" s="126"/>
      <c r="F97" s="126" t="s">
        <v>280</v>
      </c>
      <c r="G97" s="980" t="str">
        <f t="shared" si="115"/>
        <v>card_debit_Visa__profit_before_overhead</v>
      </c>
      <c r="I97" s="85" t="s">
        <v>236</v>
      </c>
      <c r="J97" s="86">
        <f t="shared" si="101"/>
        <v>5484152283.4408455</v>
      </c>
      <c r="K97" s="1071">
        <f>K76-K90</f>
        <v>373918191.75195932</v>
      </c>
      <c r="L97" s="1071">
        <f t="shared" ref="L97:X97" si="124">L76-L90</f>
        <v>1229938450</v>
      </c>
      <c r="M97" s="1071">
        <f t="shared" si="124"/>
        <v>-52768870.390485585</v>
      </c>
      <c r="N97" s="1071">
        <f t="shared" si="124"/>
        <v>-72983163.902505517</v>
      </c>
      <c r="O97" s="1071">
        <f t="shared" si="124"/>
        <v>-105176837.12401783</v>
      </c>
      <c r="P97" s="1071">
        <f t="shared" si="124"/>
        <v>-56721348.14214623</v>
      </c>
      <c r="Q97" s="1071">
        <f t="shared" si="124"/>
        <v>-4742592</v>
      </c>
      <c r="R97" s="1071">
        <f t="shared" si="124"/>
        <v>23156161.333333373</v>
      </c>
      <c r="S97" s="1071">
        <f t="shared" si="124"/>
        <v>49677391</v>
      </c>
      <c r="T97" s="1071">
        <f t="shared" si="124"/>
        <v>95575539</v>
      </c>
      <c r="U97" s="1071">
        <f t="shared" si="124"/>
        <v>4927818564.666667</v>
      </c>
      <c r="V97" s="1071">
        <f t="shared" si="124"/>
        <v>181268375</v>
      </c>
      <c r="W97" s="1071">
        <f t="shared" si="124"/>
        <v>66898514</v>
      </c>
      <c r="X97" s="1071">
        <f t="shared" si="124"/>
        <v>432150550</v>
      </c>
    </row>
    <row r="98" spans="2:27" s="68" customFormat="1" ht="15" customHeight="1">
      <c r="B98" s="980"/>
      <c r="C98" s="980"/>
      <c r="D98" s="980"/>
      <c r="E98" s="980"/>
      <c r="F98" s="980"/>
      <c r="G98" s="980"/>
      <c r="I98" s="462"/>
      <c r="J98" s="86"/>
      <c r="K98" s="86"/>
      <c r="L98" s="86"/>
      <c r="M98" s="86"/>
      <c r="N98" s="86"/>
      <c r="P98" s="70"/>
    </row>
    <row r="99" spans="2:27" ht="15" customHeight="1">
      <c r="E99"/>
      <c r="I99" s="82" t="s">
        <v>19</v>
      </c>
      <c r="K99" s="86"/>
      <c r="L99" s="86"/>
      <c r="M99" s="86"/>
      <c r="N99" s="86"/>
    </row>
    <row r="100" spans="2:27" ht="15" customHeight="1">
      <c r="B100" s="980" t="s">
        <v>378</v>
      </c>
      <c r="C100" s="980" t="s">
        <v>415</v>
      </c>
      <c r="D100" s="468"/>
      <c r="E100" t="s">
        <v>191</v>
      </c>
      <c r="F100" s="126" t="s">
        <v>239</v>
      </c>
      <c r="I100" s="1052" t="s">
        <v>416</v>
      </c>
      <c r="K100" s="86">
        <v>5500</v>
      </c>
      <c r="L100" s="86">
        <v>5853</v>
      </c>
      <c r="M100" s="86">
        <v>3891</v>
      </c>
      <c r="N100" s="86">
        <v>3104</v>
      </c>
      <c r="O100" s="86">
        <v>3682</v>
      </c>
      <c r="P100" s="7">
        <v>3520</v>
      </c>
      <c r="Q100" s="34">
        <v>4344</v>
      </c>
      <c r="R100" s="34">
        <v>4162</v>
      </c>
      <c r="S100" s="34">
        <v>4320</v>
      </c>
      <c r="T100" s="34">
        <v>4240</v>
      </c>
      <c r="U100" s="34">
        <v>3903</v>
      </c>
      <c r="V100" s="89">
        <v>3813</v>
      </c>
      <c r="W100" s="7">
        <v>6824</v>
      </c>
      <c r="X100" s="7">
        <v>5303</v>
      </c>
      <c r="Y100" s="34"/>
    </row>
    <row r="101" spans="2:27" ht="15" customHeight="1">
      <c r="B101" s="980" t="s">
        <v>378</v>
      </c>
      <c r="C101" s="980" t="s">
        <v>415</v>
      </c>
      <c r="D101" s="468"/>
      <c r="E101" t="s">
        <v>191</v>
      </c>
      <c r="F101" s="126" t="s">
        <v>240</v>
      </c>
      <c r="I101" s="1052" t="s">
        <v>417</v>
      </c>
      <c r="K101" s="86">
        <v>144119</v>
      </c>
      <c r="L101" s="86">
        <v>149972</v>
      </c>
      <c r="M101" s="86">
        <f>153863-13930</f>
        <v>139933</v>
      </c>
      <c r="N101" s="86">
        <f>156967-18920</f>
        <v>138047</v>
      </c>
      <c r="O101" s="34">
        <f>160649-20350</f>
        <v>140299</v>
      </c>
      <c r="P101" s="7">
        <f>143819-1268</f>
        <v>142551</v>
      </c>
      <c r="Q101" s="34">
        <f>146895-1443</f>
        <v>145452</v>
      </c>
      <c r="R101" s="34">
        <f t="shared" ref="R101:W101" si="125">Q101+R100</f>
        <v>149614</v>
      </c>
      <c r="S101" s="34">
        <f t="shared" si="125"/>
        <v>153934</v>
      </c>
      <c r="T101" s="34">
        <f t="shared" si="125"/>
        <v>158174</v>
      </c>
      <c r="U101" s="34">
        <f t="shared" si="125"/>
        <v>162077</v>
      </c>
      <c r="V101" s="34">
        <f t="shared" si="125"/>
        <v>165890</v>
      </c>
      <c r="W101" s="34">
        <f t="shared" si="125"/>
        <v>172714</v>
      </c>
      <c r="X101" s="7">
        <f>W101+X100</f>
        <v>178017</v>
      </c>
    </row>
    <row r="102" spans="2:27" ht="15" customHeight="1">
      <c r="B102" s="980" t="s">
        <v>378</v>
      </c>
      <c r="C102" s="980" t="s">
        <v>415</v>
      </c>
      <c r="D102" s="468"/>
      <c r="E102" t="s">
        <v>191</v>
      </c>
      <c r="F102" s="126" t="s">
        <v>241</v>
      </c>
      <c r="I102" s="1052" t="s">
        <v>418</v>
      </c>
      <c r="K102" s="86">
        <v>91107</v>
      </c>
      <c r="L102" s="86">
        <v>103890</v>
      </c>
      <c r="M102" s="86">
        <v>103552</v>
      </c>
      <c r="N102" s="86">
        <v>95810</v>
      </c>
      <c r="O102">
        <v>95319</v>
      </c>
      <c r="P102" s="7">
        <v>90973</v>
      </c>
      <c r="Q102" s="7">
        <v>87076</v>
      </c>
      <c r="R102" s="7">
        <v>77976</v>
      </c>
      <c r="S102" s="7">
        <v>69001</v>
      </c>
      <c r="T102">
        <v>69625</v>
      </c>
      <c r="U102" s="7">
        <v>70137</v>
      </c>
      <c r="V102" s="7">
        <v>70390</v>
      </c>
      <c r="W102" s="7">
        <v>73388</v>
      </c>
      <c r="X102" s="7">
        <v>76116</v>
      </c>
    </row>
    <row r="103" spans="2:27" ht="15" customHeight="1">
      <c r="B103" s="980" t="s">
        <v>378</v>
      </c>
      <c r="C103" s="980" t="s">
        <v>415</v>
      </c>
      <c r="D103" s="468"/>
      <c r="E103" t="s">
        <v>191</v>
      </c>
      <c r="F103" s="1229"/>
      <c r="I103" s="1052" t="s">
        <v>419</v>
      </c>
      <c r="K103" s="42">
        <f>K102/K101</f>
        <v>0.63216508579715369</v>
      </c>
      <c r="L103" s="42">
        <f t="shared" ref="L103:R103" si="126">L102/L101</f>
        <v>0.69272930947110123</v>
      </c>
      <c r="M103" s="42">
        <f t="shared" si="126"/>
        <v>0.7400112911178921</v>
      </c>
      <c r="N103" s="42">
        <f t="shared" si="126"/>
        <v>0.69403898672191355</v>
      </c>
      <c r="O103" s="42">
        <f t="shared" si="126"/>
        <v>0.67939899785458202</v>
      </c>
      <c r="P103" s="42">
        <f t="shared" si="126"/>
        <v>0.63817861677575038</v>
      </c>
      <c r="Q103" s="42">
        <f t="shared" si="126"/>
        <v>0.59865797651458896</v>
      </c>
      <c r="R103" s="42">
        <f t="shared" si="126"/>
        <v>0.52118117288489041</v>
      </c>
      <c r="S103" s="42">
        <f t="shared" ref="S103:X103" si="127">S102/S101</f>
        <v>0.44825054893655725</v>
      </c>
      <c r="T103" s="42">
        <f t="shared" si="127"/>
        <v>0.44017980199021328</v>
      </c>
      <c r="U103" s="42">
        <f t="shared" si="127"/>
        <v>0.43273875997211203</v>
      </c>
      <c r="V103" s="42">
        <f t="shared" si="127"/>
        <v>0.42431731870516609</v>
      </c>
      <c r="W103" s="42">
        <f t="shared" si="127"/>
        <v>0.42491054575772663</v>
      </c>
      <c r="X103" s="42">
        <f t="shared" si="127"/>
        <v>0.42757714150895704</v>
      </c>
    </row>
    <row r="104" spans="2:27" s="68" customFormat="1" ht="15" customHeight="1">
      <c r="B104" s="980" t="s">
        <v>378</v>
      </c>
      <c r="C104" s="980" t="s">
        <v>415</v>
      </c>
      <c r="D104" s="468"/>
      <c r="E104" t="s">
        <v>191</v>
      </c>
      <c r="F104" s="1229"/>
      <c r="G104" s="980"/>
      <c r="H104"/>
      <c r="I104" s="1052" t="s">
        <v>420</v>
      </c>
      <c r="K104" s="70">
        <f t="shared" ref="K104:Q104" si="128">K106/K101</f>
        <v>2909986.1919663609</v>
      </c>
      <c r="L104" s="70">
        <f t="shared" si="128"/>
        <v>3327930.6803936735</v>
      </c>
      <c r="M104" s="70">
        <f t="shared" si="128"/>
        <v>3695884.9671271252</v>
      </c>
      <c r="N104" s="70">
        <f t="shared" si="128"/>
        <v>2884537.4412989779</v>
      </c>
      <c r="O104" s="70">
        <f t="shared" si="128"/>
        <v>4102029.6834332389</v>
      </c>
      <c r="P104" s="70">
        <f t="shared" si="128"/>
        <v>4215941.6155060213</v>
      </c>
      <c r="Q104" s="70">
        <f t="shared" si="128"/>
        <v>4123479.8358771279</v>
      </c>
      <c r="R104" s="70">
        <f t="shared" ref="R104" si="129">R106/R101</f>
        <v>4069482.9436416379</v>
      </c>
      <c r="S104" s="70">
        <f t="shared" ref="S104:X104" si="130">S106/S101</f>
        <v>4736414.1357334964</v>
      </c>
      <c r="T104" s="70">
        <f t="shared" si="130"/>
        <v>4980401.254289574</v>
      </c>
      <c r="U104" s="70">
        <f t="shared" si="130"/>
        <v>4296779.9585258858</v>
      </c>
      <c r="V104" s="70">
        <f t="shared" si="130"/>
        <v>5124838.8877629759</v>
      </c>
      <c r="W104" s="70">
        <f t="shared" si="130"/>
        <v>4842353.4718725756</v>
      </c>
      <c r="X104" s="70">
        <f t="shared" si="130"/>
        <v>6457922.9914277848</v>
      </c>
    </row>
    <row r="105" spans="2:27" s="68" customFormat="1" ht="15" customHeight="1">
      <c r="B105" s="980" t="s">
        <v>378</v>
      </c>
      <c r="C105" s="980" t="s">
        <v>415</v>
      </c>
      <c r="D105" s="468"/>
      <c r="E105" t="s">
        <v>191</v>
      </c>
      <c r="F105" s="1229"/>
      <c r="G105" s="980"/>
      <c r="H105"/>
      <c r="I105" s="1052" t="s">
        <v>421</v>
      </c>
      <c r="K105" s="70">
        <f t="shared" ref="K105:Q105" si="131">K106/K102</f>
        <v>4603206.1202761587</v>
      </c>
      <c r="L105" s="70">
        <f t="shared" si="131"/>
        <v>4804085.2825103477</v>
      </c>
      <c r="M105" s="70">
        <f t="shared" si="131"/>
        <v>4994362.9394410541</v>
      </c>
      <c r="N105" s="70">
        <f t="shared" si="131"/>
        <v>4156160.5277006575</v>
      </c>
      <c r="O105" s="70">
        <f t="shared" si="131"/>
        <v>6037732.9027371248</v>
      </c>
      <c r="P105" s="70">
        <f t="shared" si="131"/>
        <v>6606209.4603013964</v>
      </c>
      <c r="Q105" s="70">
        <f t="shared" si="131"/>
        <v>6887872.5376452757</v>
      </c>
      <c r="R105" s="70">
        <f t="shared" ref="R105" si="132">R106/R102</f>
        <v>7808192.5352672618</v>
      </c>
      <c r="S105" s="70">
        <f t="shared" ref="S105:X105" si="133">S106/S102</f>
        <v>10566443.581542296</v>
      </c>
      <c r="T105" s="70">
        <f t="shared" si="133"/>
        <v>11314470.204610398</v>
      </c>
      <c r="U105" s="70">
        <f t="shared" si="133"/>
        <v>9929269.9336726684</v>
      </c>
      <c r="V105" s="70">
        <f t="shared" si="133"/>
        <v>12077845.192371076</v>
      </c>
      <c r="W105" s="70">
        <f t="shared" si="133"/>
        <v>11396171.547678094</v>
      </c>
      <c r="X105" s="70">
        <f t="shared" si="133"/>
        <v>15103527.210639024</v>
      </c>
    </row>
    <row r="106" spans="2:27" ht="15" customHeight="1">
      <c r="B106" s="980" t="s">
        <v>378</v>
      </c>
      <c r="C106" s="980" t="s">
        <v>415</v>
      </c>
      <c r="D106" s="468"/>
      <c r="E106" t="s">
        <v>191</v>
      </c>
      <c r="F106" s="126" t="s">
        <v>242</v>
      </c>
      <c r="I106" s="1052" t="s">
        <v>199</v>
      </c>
      <c r="J106" s="81">
        <f>SUM(M106:X106)</f>
        <v>8349891581970.998</v>
      </c>
      <c r="K106" s="86">
        <f>419384.3*10^6</f>
        <v>419384300000</v>
      </c>
      <c r="L106" s="86">
        <f>499096.42*10^6</f>
        <v>499096420000</v>
      </c>
      <c r="M106" s="7">
        <v>517176271105</v>
      </c>
      <c r="N106" s="7">
        <v>398201740159</v>
      </c>
      <c r="O106" s="7">
        <v>575510662556</v>
      </c>
      <c r="P106" s="7">
        <v>600986693231.9989</v>
      </c>
      <c r="Q106" s="7">
        <v>599768389088</v>
      </c>
      <c r="R106" s="7">
        <v>608851621130</v>
      </c>
      <c r="S106" s="7">
        <v>729095173570</v>
      </c>
      <c r="T106" s="7">
        <v>787769987995.99902</v>
      </c>
      <c r="U106" s="7">
        <v>696409205338</v>
      </c>
      <c r="V106" s="7">
        <v>850159523091</v>
      </c>
      <c r="W106" s="7">
        <v>836342237541</v>
      </c>
      <c r="X106" s="7">
        <v>1149620077165</v>
      </c>
      <c r="AA106" s="34"/>
    </row>
    <row r="107" spans="2:27" ht="15" customHeight="1">
      <c r="B107" s="980" t="s">
        <v>378</v>
      </c>
      <c r="C107" s="980" t="s">
        <v>415</v>
      </c>
      <c r="D107" s="468"/>
      <c r="E107" t="s">
        <v>191</v>
      </c>
      <c r="F107" s="126" t="s">
        <v>243</v>
      </c>
      <c r="I107" s="1052" t="s">
        <v>200</v>
      </c>
      <c r="K107" s="86">
        <v>769937059521</v>
      </c>
      <c r="L107" s="86">
        <v>796204943229</v>
      </c>
      <c r="M107" s="34">
        <v>879573906552</v>
      </c>
      <c r="N107" s="34">
        <v>865349290215</v>
      </c>
      <c r="O107" s="34">
        <v>898407170123</v>
      </c>
      <c r="P107" s="7">
        <v>959668344633</v>
      </c>
      <c r="Q107" s="34">
        <v>1009062517227</v>
      </c>
      <c r="R107" s="34">
        <v>1049327817055</v>
      </c>
      <c r="S107" s="34">
        <v>1137957901181</v>
      </c>
      <c r="T107" s="34">
        <v>1222872741673</v>
      </c>
      <c r="U107" s="34">
        <v>1288685931838</v>
      </c>
      <c r="V107" s="34">
        <v>1345398043554</v>
      </c>
      <c r="W107" s="7">
        <v>1462788996458</v>
      </c>
      <c r="X107" s="7">
        <v>1526717218023</v>
      </c>
      <c r="Y107" s="34"/>
      <c r="AA107" s="34"/>
    </row>
    <row r="108" spans="2:27" ht="15" customHeight="1">
      <c r="B108" s="980" t="s">
        <v>378</v>
      </c>
      <c r="C108" s="980" t="s">
        <v>415</v>
      </c>
      <c r="D108" s="468"/>
      <c r="E108" t="s">
        <v>191</v>
      </c>
      <c r="F108" s="126" t="s">
        <v>244</v>
      </c>
      <c r="I108" s="1072" t="s">
        <v>201</v>
      </c>
      <c r="K108" s="86"/>
      <c r="L108" s="86"/>
      <c r="M108" s="34"/>
      <c r="N108" s="34"/>
      <c r="O108" s="34"/>
      <c r="Q108" s="34"/>
      <c r="R108" s="34"/>
      <c r="S108" s="7">
        <f>S107-S109</f>
        <v>1137689363237</v>
      </c>
      <c r="T108" s="34">
        <f>T107-T109</f>
        <v>1201686723793</v>
      </c>
      <c r="U108" s="34">
        <f>U107-U109</f>
        <v>1240331156460</v>
      </c>
      <c r="V108" s="34">
        <v>1283657526962</v>
      </c>
      <c r="W108" s="7">
        <f>W107-W109</f>
        <v>1392485794982</v>
      </c>
      <c r="X108" s="7">
        <f>X107-X109</f>
        <v>1440880306283</v>
      </c>
      <c r="AA108" s="34"/>
    </row>
    <row r="109" spans="2:27" ht="15" customHeight="1">
      <c r="B109" s="980" t="s">
        <v>378</v>
      </c>
      <c r="C109" s="980" t="s">
        <v>415</v>
      </c>
      <c r="D109" s="468"/>
      <c r="E109" t="s">
        <v>191</v>
      </c>
      <c r="F109" s="126" t="s">
        <v>245</v>
      </c>
      <c r="I109" s="1072" t="s">
        <v>202</v>
      </c>
      <c r="K109" s="86"/>
      <c r="L109" s="86"/>
      <c r="M109" s="34"/>
      <c r="N109" s="34"/>
      <c r="O109" s="34"/>
      <c r="Q109" s="34"/>
      <c r="R109" s="34"/>
      <c r="S109" s="7">
        <v>268537944</v>
      </c>
      <c r="T109" s="34">
        <v>21186017880</v>
      </c>
      <c r="U109" s="34">
        <v>48354775378</v>
      </c>
      <c r="V109" s="34">
        <v>61740516592</v>
      </c>
      <c r="W109" s="7">
        <v>70303201476</v>
      </c>
      <c r="X109" s="7">
        <v>85836911740</v>
      </c>
      <c r="Y109" s="34"/>
      <c r="AA109" s="34"/>
    </row>
    <row r="110" spans="2:27" ht="15" customHeight="1">
      <c r="B110" s="980" t="s">
        <v>378</v>
      </c>
      <c r="C110" s="980" t="s">
        <v>415</v>
      </c>
      <c r="D110" s="468"/>
      <c r="E110" t="s">
        <v>191</v>
      </c>
      <c r="F110" s="126" t="s">
        <v>246</v>
      </c>
      <c r="I110" s="1052" t="s">
        <v>203</v>
      </c>
      <c r="J110" s="81">
        <f t="shared" ref="J110:J115" si="134">SUM(M110:X110)</f>
        <v>7039053531753</v>
      </c>
      <c r="K110" s="86">
        <v>440000000000</v>
      </c>
      <c r="L110" s="86">
        <v>462876000000</v>
      </c>
      <c r="M110" s="86">
        <v>494313000000</v>
      </c>
      <c r="N110" s="86">
        <v>484897000000</v>
      </c>
      <c r="O110" s="7">
        <v>490561775441</v>
      </c>
      <c r="P110" s="7">
        <v>491442208908</v>
      </c>
      <c r="Q110" s="7">
        <v>541193143784</v>
      </c>
      <c r="R110" s="7">
        <v>575622422128</v>
      </c>
      <c r="S110" s="7">
        <v>610734235876</v>
      </c>
      <c r="T110" s="7">
        <v>636292571814</v>
      </c>
      <c r="U110" s="7">
        <v>644322975504.00012</v>
      </c>
      <c r="V110" s="7">
        <v>666512071038.00012</v>
      </c>
      <c r="W110" s="7">
        <v>694596779016.00012</v>
      </c>
      <c r="X110" s="7">
        <v>708565348244.00012</v>
      </c>
      <c r="AA110" s="34"/>
    </row>
    <row r="111" spans="2:27" ht="15" customHeight="1">
      <c r="B111" s="980" t="s">
        <v>378</v>
      </c>
      <c r="C111" s="980" t="s">
        <v>415</v>
      </c>
      <c r="D111" s="468"/>
      <c r="E111" t="s">
        <v>191</v>
      </c>
      <c r="F111" s="126" t="s">
        <v>247</v>
      </c>
      <c r="I111" s="1052" t="s">
        <v>204</v>
      </c>
      <c r="J111" s="81">
        <f t="shared" si="134"/>
        <v>2223164271579</v>
      </c>
      <c r="K111" s="86">
        <f t="shared" ref="K111:N111" si="135">K112+K113</f>
        <v>138956062904</v>
      </c>
      <c r="L111" s="86">
        <f t="shared" si="135"/>
        <v>157009166000</v>
      </c>
      <c r="M111" s="86">
        <f>M112+M113</f>
        <v>164074978847</v>
      </c>
      <c r="N111" s="86">
        <f t="shared" si="135"/>
        <v>145166827659</v>
      </c>
      <c r="O111" s="7">
        <f>O112+O113</f>
        <v>157979028049</v>
      </c>
      <c r="P111" s="7">
        <f>P112+P113</f>
        <v>154890817058</v>
      </c>
      <c r="Q111" s="34">
        <v>159737105680</v>
      </c>
      <c r="R111" s="130">
        <f t="shared" ref="R111:X111" si="136">R112+R113</f>
        <v>185872060924</v>
      </c>
      <c r="S111" s="130">
        <f t="shared" si="136"/>
        <v>202087547500</v>
      </c>
      <c r="T111" s="130">
        <f t="shared" si="136"/>
        <v>202988173640</v>
      </c>
      <c r="U111" s="130">
        <f t="shared" si="136"/>
        <v>210013502495</v>
      </c>
      <c r="V111" s="130">
        <f t="shared" si="136"/>
        <v>203163710459</v>
      </c>
      <c r="W111" s="130">
        <f t="shared" si="136"/>
        <v>214797869566</v>
      </c>
      <c r="X111" s="130">
        <f t="shared" si="136"/>
        <v>222392649702</v>
      </c>
    </row>
    <row r="112" spans="2:27" ht="15" customHeight="1">
      <c r="B112" s="980" t="s">
        <v>378</v>
      </c>
      <c r="C112" s="980" t="s">
        <v>415</v>
      </c>
      <c r="D112" s="468"/>
      <c r="E112" t="s">
        <v>191</v>
      </c>
      <c r="I112" s="1052" t="s">
        <v>205</v>
      </c>
      <c r="J112" s="81">
        <f t="shared" si="134"/>
        <v>1200952554686</v>
      </c>
      <c r="K112" s="86">
        <v>60085452031</v>
      </c>
      <c r="L112" s="86">
        <v>66250702409</v>
      </c>
      <c r="M112" s="86">
        <v>72063563274</v>
      </c>
      <c r="N112" s="86">
        <v>78642573417</v>
      </c>
      <c r="O112" s="7">
        <v>82778440839</v>
      </c>
      <c r="P112" s="7">
        <v>79676157918</v>
      </c>
      <c r="Q112" s="7">
        <v>79638019531</v>
      </c>
      <c r="R112" s="7">
        <v>87320666024</v>
      </c>
      <c r="S112" s="34">
        <v>109493496363</v>
      </c>
      <c r="T112" s="7">
        <v>107188101530</v>
      </c>
      <c r="U112" s="34">
        <v>116917180414</v>
      </c>
      <c r="V112" s="7">
        <v>122292520938</v>
      </c>
      <c r="W112" s="7">
        <v>132132958403</v>
      </c>
      <c r="X112" s="7">
        <v>132808876035</v>
      </c>
    </row>
    <row r="113" spans="2:26" ht="15" customHeight="1">
      <c r="B113" s="980" t="s">
        <v>378</v>
      </c>
      <c r="C113" s="980" t="s">
        <v>415</v>
      </c>
      <c r="D113" s="468"/>
      <c r="E113" t="s">
        <v>191</v>
      </c>
      <c r="F113" s="126" t="s">
        <v>248</v>
      </c>
      <c r="I113" s="1052" t="s">
        <v>206</v>
      </c>
      <c r="J113" s="81">
        <f t="shared" si="134"/>
        <v>1022211716893</v>
      </c>
      <c r="K113" s="86">
        <v>78870610873</v>
      </c>
      <c r="L113" s="86">
        <v>90758463591</v>
      </c>
      <c r="M113" s="86">
        <v>92011415573</v>
      </c>
      <c r="N113" s="86">
        <v>66524254242</v>
      </c>
      <c r="O113" s="7">
        <v>75200587210</v>
      </c>
      <c r="P113" s="7">
        <v>75214659140</v>
      </c>
      <c r="Q113" s="7">
        <v>80099086149</v>
      </c>
      <c r="R113" s="7">
        <v>98551394900</v>
      </c>
      <c r="S113" s="34">
        <v>92594051137</v>
      </c>
      <c r="T113" s="7">
        <v>95800072110</v>
      </c>
      <c r="U113" s="34">
        <v>93096322081</v>
      </c>
      <c r="V113" s="7">
        <v>80871189521</v>
      </c>
      <c r="W113" s="7">
        <v>82664911163</v>
      </c>
      <c r="X113" s="7">
        <v>89583773667</v>
      </c>
      <c r="Z113" s="34"/>
    </row>
    <row r="114" spans="2:26" ht="15" customHeight="1">
      <c r="B114" s="980" t="s">
        <v>378</v>
      </c>
      <c r="C114" s="980" t="s">
        <v>415</v>
      </c>
      <c r="D114" s="468"/>
      <c r="E114" t="s">
        <v>191</v>
      </c>
      <c r="F114" s="1229"/>
      <c r="I114" s="1052" t="s">
        <v>422</v>
      </c>
      <c r="J114" s="81">
        <f t="shared" si="134"/>
        <v>1464482392565</v>
      </c>
      <c r="K114" s="86"/>
      <c r="L114" s="86"/>
      <c r="M114" s="86">
        <v>124987861693</v>
      </c>
      <c r="N114" s="86">
        <v>102679750319</v>
      </c>
      <c r="O114" s="7">
        <v>106063842505</v>
      </c>
      <c r="P114" s="7">
        <v>108659204455</v>
      </c>
      <c r="Q114" s="7">
        <v>112966869051</v>
      </c>
      <c r="R114" s="7">
        <v>124858948745</v>
      </c>
      <c r="S114" s="7">
        <v>132198948649</v>
      </c>
      <c r="T114" s="7">
        <v>131728018338</v>
      </c>
      <c r="U114" s="7">
        <v>125230860887</v>
      </c>
      <c r="V114" s="7">
        <v>128920130310</v>
      </c>
      <c r="W114" s="7">
        <v>136705683019</v>
      </c>
      <c r="X114" s="7">
        <v>129482274594</v>
      </c>
      <c r="Z114" s="34"/>
    </row>
    <row r="115" spans="2:26" ht="15" customHeight="1">
      <c r="B115" s="980" t="s">
        <v>378</v>
      </c>
      <c r="C115" s="980" t="s">
        <v>415</v>
      </c>
      <c r="D115" s="468"/>
      <c r="E115" t="s">
        <v>191</v>
      </c>
      <c r="F115" s="126"/>
      <c r="I115" s="1052" t="s">
        <v>207</v>
      </c>
      <c r="J115" s="81">
        <f t="shared" si="134"/>
        <v>692646440021</v>
      </c>
      <c r="K115" s="86">
        <v>62202970016</v>
      </c>
      <c r="L115" s="86">
        <v>67370619761</v>
      </c>
      <c r="M115" s="86">
        <v>72688671990</v>
      </c>
      <c r="N115" s="86">
        <v>46044379048</v>
      </c>
      <c r="O115" s="7">
        <v>47567560254</v>
      </c>
      <c r="P115" s="7">
        <v>53300399880</v>
      </c>
      <c r="Q115" s="7">
        <v>57387597645</v>
      </c>
      <c r="R115" s="7">
        <v>68487810303</v>
      </c>
      <c r="S115" s="7">
        <v>69126702973</v>
      </c>
      <c r="T115" s="7">
        <v>71147417881</v>
      </c>
      <c r="U115" s="7">
        <v>55158992545</v>
      </c>
      <c r="V115" s="7">
        <v>54333094470</v>
      </c>
      <c r="W115" s="7">
        <v>51783202219</v>
      </c>
      <c r="X115" s="7">
        <v>45620610813</v>
      </c>
      <c r="Z115" s="34"/>
    </row>
    <row r="116" spans="2:26" ht="15" customHeight="1">
      <c r="B116" s="980" t="s">
        <v>378</v>
      </c>
      <c r="C116" s="980" t="s">
        <v>415</v>
      </c>
      <c r="D116" s="468"/>
      <c r="E116" t="s">
        <v>191</v>
      </c>
      <c r="F116" s="126" t="s">
        <v>250</v>
      </c>
      <c r="I116" s="1052" t="s">
        <v>208</v>
      </c>
      <c r="K116" s="86">
        <v>13723</v>
      </c>
      <c r="L116" s="86">
        <f>L117+L118</f>
        <v>22711</v>
      </c>
      <c r="M116" s="86">
        <f>M117+M118</f>
        <v>23356</v>
      </c>
      <c r="N116" s="86">
        <f>N117+N118</f>
        <v>22067</v>
      </c>
      <c r="O116" s="7">
        <f>O117+O118</f>
        <v>22177</v>
      </c>
      <c r="P116" s="86"/>
    </row>
    <row r="117" spans="2:26" ht="15" customHeight="1">
      <c r="B117" s="980" t="s">
        <v>378</v>
      </c>
      <c r="C117" s="980" t="s">
        <v>415</v>
      </c>
      <c r="D117" s="468"/>
      <c r="E117" t="s">
        <v>191</v>
      </c>
      <c r="F117" s="126"/>
      <c r="I117" s="1052" t="s">
        <v>209</v>
      </c>
      <c r="K117" s="86">
        <v>5141</v>
      </c>
      <c r="L117" s="86">
        <v>13501</v>
      </c>
      <c r="M117" s="86">
        <v>13785</v>
      </c>
      <c r="N117" s="86">
        <v>13079</v>
      </c>
      <c r="O117" s="7">
        <v>13043</v>
      </c>
      <c r="P117" s="86"/>
      <c r="V117" s="34"/>
    </row>
    <row r="118" spans="2:26" ht="15" customHeight="1">
      <c r="B118" s="980" t="s">
        <v>378</v>
      </c>
      <c r="C118" s="980" t="s">
        <v>415</v>
      </c>
      <c r="D118" s="468"/>
      <c r="E118" t="s">
        <v>191</v>
      </c>
      <c r="F118" s="126" t="s">
        <v>251</v>
      </c>
      <c r="I118" s="1052" t="s">
        <v>210</v>
      </c>
      <c r="K118" s="86">
        <v>8582</v>
      </c>
      <c r="L118" s="86">
        <v>9210</v>
      </c>
      <c r="M118" s="86">
        <v>9571</v>
      </c>
      <c r="N118" s="86">
        <v>8988</v>
      </c>
      <c r="O118" s="7">
        <v>9134</v>
      </c>
      <c r="P118" s="86"/>
    </row>
    <row r="119" spans="2:26" ht="15" customHeight="1">
      <c r="B119" s="980" t="s">
        <v>378</v>
      </c>
      <c r="C119" s="980" t="s">
        <v>415</v>
      </c>
      <c r="D119" s="468"/>
      <c r="E119" t="s">
        <v>191</v>
      </c>
      <c r="F119" s="126"/>
      <c r="I119" s="553" t="s">
        <v>211</v>
      </c>
      <c r="K119" s="344">
        <f t="shared" ref="K119:Q119" si="137">K112/K107</f>
        <v>7.8039433597833163E-2</v>
      </c>
      <c r="L119" s="344">
        <f t="shared" si="137"/>
        <v>8.3208102351539082E-2</v>
      </c>
      <c r="M119" s="345">
        <f t="shared" si="137"/>
        <v>8.1930083120013111E-2</v>
      </c>
      <c r="N119" s="345">
        <f t="shared" si="137"/>
        <v>9.0879572337155198E-2</v>
      </c>
      <c r="O119" s="345">
        <f t="shared" si="137"/>
        <v>9.2139114192139507E-2</v>
      </c>
      <c r="P119" s="344">
        <f t="shared" si="137"/>
        <v>8.3024680728080141E-2</v>
      </c>
      <c r="Q119" s="344">
        <f t="shared" si="137"/>
        <v>7.8922780473357462E-2</v>
      </c>
      <c r="R119" s="344">
        <f t="shared" ref="R119" si="138">R112/R107</f>
        <v>8.3215811688925362E-2</v>
      </c>
      <c r="S119" s="345">
        <f t="shared" ref="S119:X119" si="139">S112/S107</f>
        <v>9.6219285660185686E-2</v>
      </c>
      <c r="T119" s="345">
        <f t="shared" si="139"/>
        <v>8.765270324314943E-2</v>
      </c>
      <c r="U119" s="345">
        <f t="shared" si="139"/>
        <v>9.0725891798357577E-2</v>
      </c>
      <c r="V119" s="345">
        <f t="shared" si="139"/>
        <v>9.0896907070678046E-2</v>
      </c>
      <c r="W119" s="345">
        <f t="shared" si="139"/>
        <v>9.0329472482324508E-2</v>
      </c>
      <c r="X119" s="345">
        <f t="shared" si="139"/>
        <v>8.6989833131625324E-2</v>
      </c>
    </row>
    <row r="120" spans="2:26" ht="15" customHeight="1">
      <c r="B120" s="980" t="s">
        <v>378</v>
      </c>
      <c r="C120" s="980" t="s">
        <v>415</v>
      </c>
      <c r="D120" s="468"/>
      <c r="E120" t="s">
        <v>191</v>
      </c>
      <c r="F120" s="126"/>
      <c r="I120" s="553" t="s">
        <v>212</v>
      </c>
      <c r="K120" s="344">
        <f t="shared" ref="K120:Q120" si="140">K111/K107</f>
        <v>0.18047717171900851</v>
      </c>
      <c r="L120" s="344">
        <f t="shared" si="140"/>
        <v>0.1971969244039746</v>
      </c>
      <c r="M120" s="345">
        <f t="shared" si="140"/>
        <v>0.18653916131981113</v>
      </c>
      <c r="N120" s="345">
        <f t="shared" si="140"/>
        <v>0.1677551819831419</v>
      </c>
      <c r="O120" s="345">
        <f t="shared" si="140"/>
        <v>0.17584346307851845</v>
      </c>
      <c r="P120" s="344">
        <f t="shared" si="140"/>
        <v>0.16140036078530226</v>
      </c>
      <c r="Q120" s="344">
        <f t="shared" si="140"/>
        <v>0.15830248666749885</v>
      </c>
      <c r="R120" s="344">
        <f t="shared" ref="R120" si="141">R111/R107</f>
        <v>0.17713440728719157</v>
      </c>
      <c r="S120" s="345">
        <f t="shared" ref="S120:X120" si="142">S111/S107</f>
        <v>0.17758789432391892</v>
      </c>
      <c r="T120" s="345">
        <f t="shared" si="142"/>
        <v>0.16599288439637136</v>
      </c>
      <c r="U120" s="345">
        <f t="shared" si="142"/>
        <v>0.16296717245563963</v>
      </c>
      <c r="V120" s="345">
        <f t="shared" si="142"/>
        <v>0.15100639653252598</v>
      </c>
      <c r="W120" s="345">
        <f t="shared" si="142"/>
        <v>0.14684132167121297</v>
      </c>
      <c r="X120" s="345">
        <f t="shared" si="142"/>
        <v>0.14566721792132803</v>
      </c>
      <c r="Z120" s="34"/>
    </row>
    <row r="121" spans="2:26" ht="15" customHeight="1">
      <c r="B121" s="980" t="s">
        <v>378</v>
      </c>
      <c r="C121" s="980" t="s">
        <v>415</v>
      </c>
      <c r="D121" s="468"/>
      <c r="E121" t="s">
        <v>191</v>
      </c>
      <c r="F121" s="1229" t="s">
        <v>213</v>
      </c>
      <c r="G121" s="980" t="str">
        <f t="shared" ref="G121" si="143">B121&amp;"_"&amp;C121&amp;"_"&amp;D121&amp;"_"&amp;E121&amp;"_"&amp;F121</f>
        <v>card_credit__all_npl</v>
      </c>
      <c r="I121" s="553" t="s">
        <v>423</v>
      </c>
      <c r="K121" s="225">
        <f t="shared" ref="K121:Q121" si="144">K113/K107</f>
        <v>0.10243773812117536</v>
      </c>
      <c r="L121" s="87">
        <f t="shared" si="144"/>
        <v>0.11398882205243552</v>
      </c>
      <c r="M121" s="87">
        <f t="shared" si="144"/>
        <v>0.10460907819979802</v>
      </c>
      <c r="N121" s="87">
        <f t="shared" si="144"/>
        <v>7.6875609645986706E-2</v>
      </c>
      <c r="O121" s="131">
        <f t="shared" si="144"/>
        <v>8.3704348886378954E-2</v>
      </c>
      <c r="P121" s="87">
        <f t="shared" si="144"/>
        <v>7.8375680057222133E-2</v>
      </c>
      <c r="Q121" s="87">
        <f t="shared" si="144"/>
        <v>7.9379706194141392E-2</v>
      </c>
      <c r="R121" s="87">
        <f t="shared" ref="R121" si="145">R113/R107</f>
        <v>9.3918595598266194E-2</v>
      </c>
      <c r="S121" s="131">
        <f t="shared" ref="S121:X121" si="146">S113/S107</f>
        <v>8.136860866373323E-2</v>
      </c>
      <c r="T121" s="131">
        <f t="shared" si="146"/>
        <v>7.8340181153221944E-2</v>
      </c>
      <c r="U121" s="131">
        <f t="shared" si="146"/>
        <v>7.2241280657282053E-2</v>
      </c>
      <c r="V121" s="131">
        <f t="shared" si="146"/>
        <v>6.0109489461847944E-2</v>
      </c>
      <c r="W121" s="131">
        <f t="shared" si="146"/>
        <v>5.6511849188888463E-2</v>
      </c>
      <c r="X121" s="131">
        <f t="shared" si="146"/>
        <v>5.8677384789702698E-2</v>
      </c>
    </row>
    <row r="122" spans="2:26" ht="15" customHeight="1">
      <c r="B122" s="980" t="s">
        <v>378</v>
      </c>
      <c r="C122" s="980" t="s">
        <v>415</v>
      </c>
      <c r="D122" s="468"/>
      <c r="E122" t="s">
        <v>191</v>
      </c>
      <c r="F122" s="126"/>
      <c r="I122" s="85" t="s">
        <v>215</v>
      </c>
      <c r="J122" s="86">
        <f t="shared" ref="J122:J166" si="147">SUM(M122:X122)</f>
        <v>407238087848</v>
      </c>
      <c r="K122" s="285">
        <f>K126+K132+K148</f>
        <v>25513120557</v>
      </c>
      <c r="L122" s="285">
        <f t="shared" ref="L122:R122" si="148">L126+L132+L148</f>
        <v>20419181217</v>
      </c>
      <c r="M122" s="285">
        <f t="shared" si="148"/>
        <v>22455576209</v>
      </c>
      <c r="N122" s="285">
        <f t="shared" si="148"/>
        <v>20349547133</v>
      </c>
      <c r="O122" s="285">
        <f t="shared" si="148"/>
        <v>21401252640</v>
      </c>
      <c r="P122" s="151">
        <f t="shared" si="148"/>
        <v>25057966032</v>
      </c>
      <c r="Q122" s="151">
        <f t="shared" si="148"/>
        <v>31052194784</v>
      </c>
      <c r="R122" s="151">
        <f t="shared" si="148"/>
        <v>34703802914</v>
      </c>
      <c r="S122" s="151">
        <f t="shared" ref="S122:T122" si="149">S126+S132+S148</f>
        <v>29719958188</v>
      </c>
      <c r="T122" s="151">
        <f t="shared" si="149"/>
        <v>40023202706</v>
      </c>
      <c r="U122" s="151">
        <f t="shared" ref="U122" si="150">U126+U132+U148</f>
        <v>45461084291</v>
      </c>
      <c r="V122" s="151">
        <f>V126+V132+V148</f>
        <v>43128267937</v>
      </c>
      <c r="W122" s="151">
        <f>W126+W132+W148</f>
        <v>44958847150</v>
      </c>
      <c r="X122" s="151">
        <f>X126+X132+X148</f>
        <v>48926387864</v>
      </c>
    </row>
    <row r="123" spans="2:26" ht="15" customHeight="1">
      <c r="B123" s="980" t="s">
        <v>378</v>
      </c>
      <c r="C123" s="980" t="s">
        <v>415</v>
      </c>
      <c r="D123" s="468"/>
      <c r="E123" t="s">
        <v>191</v>
      </c>
      <c r="I123" s="85" t="s">
        <v>216</v>
      </c>
      <c r="J123" s="86">
        <f t="shared" si="147"/>
        <v>105677372239.77069</v>
      </c>
      <c r="K123" s="34">
        <f>K130+K143</f>
        <v>5792881908.538166</v>
      </c>
      <c r="L123" s="34">
        <f t="shared" ref="L123:R123" si="151">L130+L143</f>
        <v>6856394779.8534479</v>
      </c>
      <c r="M123" s="34">
        <f t="shared" si="151"/>
        <v>7544366095.6095142</v>
      </c>
      <c r="N123" s="34">
        <f t="shared" si="151"/>
        <v>7030157440.5974941</v>
      </c>
      <c r="O123" s="34">
        <f t="shared" si="151"/>
        <v>7789908365.0993948</v>
      </c>
      <c r="P123" s="34">
        <f t="shared" si="151"/>
        <v>7603224912.4480839</v>
      </c>
      <c r="Q123" s="34">
        <f t="shared" si="151"/>
        <v>7710972717.5385208</v>
      </c>
      <c r="R123" s="34">
        <f t="shared" si="151"/>
        <v>4952371199.5131226</v>
      </c>
      <c r="S123" s="34">
        <f t="shared" ref="S123:T123" si="152">S130+S143</f>
        <v>8620209731.6578846</v>
      </c>
      <c r="T123" s="34">
        <f t="shared" si="152"/>
        <v>9567400291.7735157</v>
      </c>
      <c r="U123" s="34">
        <f t="shared" ref="U123" si="153">U130+U143</f>
        <v>10153668389.333332</v>
      </c>
      <c r="V123" s="34">
        <f>V130+V143</f>
        <v>10892698478.376823</v>
      </c>
      <c r="W123" s="34">
        <f>W130+W143</f>
        <v>10895325700.439972</v>
      </c>
      <c r="X123" s="34">
        <f>X130+X143</f>
        <v>12917068917.383028</v>
      </c>
    </row>
    <row r="124" spans="2:26" ht="15" customHeight="1">
      <c r="B124" s="980" t="s">
        <v>378</v>
      </c>
      <c r="C124" s="980" t="s">
        <v>415</v>
      </c>
      <c r="D124" s="468"/>
      <c r="E124" t="s">
        <v>191</v>
      </c>
      <c r="F124" s="126" t="s">
        <v>217</v>
      </c>
      <c r="I124" s="226" t="s">
        <v>217</v>
      </c>
      <c r="J124" s="86">
        <f t="shared" si="147"/>
        <v>301560715608.22931</v>
      </c>
      <c r="K124" s="227">
        <f>K125+K131+K148</f>
        <v>19720238648.461834</v>
      </c>
      <c r="L124" s="227">
        <f t="shared" ref="L124:Q124" si="154">L125+L131+L148</f>
        <v>13562786437.146553</v>
      </c>
      <c r="M124" s="227">
        <f>M125+M131+M148</f>
        <v>14911210113.390486</v>
      </c>
      <c r="N124" s="227">
        <f t="shared" si="154"/>
        <v>13319389692.402506</v>
      </c>
      <c r="O124" s="227">
        <f t="shared" si="154"/>
        <v>13611344274.900604</v>
      </c>
      <c r="P124" s="1089">
        <f>P125+P131+P148</f>
        <v>17454741119.551918</v>
      </c>
      <c r="Q124" s="1089">
        <f t="shared" si="154"/>
        <v>23341222066.461479</v>
      </c>
      <c r="R124" s="1089">
        <f t="shared" ref="R124:W124" si="155">R125+R131+R148</f>
        <v>29751431714.486877</v>
      </c>
      <c r="S124" s="1089">
        <f t="shared" si="155"/>
        <v>21099748456.342117</v>
      </c>
      <c r="T124" s="1089">
        <f t="shared" si="155"/>
        <v>30455802414.226486</v>
      </c>
      <c r="U124" s="1089">
        <f t="shared" si="155"/>
        <v>35307415901.666672</v>
      </c>
      <c r="V124" s="227">
        <f>V125+V131+V148</f>
        <v>32235569458.623177</v>
      </c>
      <c r="W124" s="227">
        <f t="shared" si="155"/>
        <v>34063521449.560028</v>
      </c>
      <c r="X124" s="227">
        <f>X125+X131+X148</f>
        <v>36009318946.616974</v>
      </c>
      <c r="Z124" s="34"/>
    </row>
    <row r="125" spans="2:26" ht="15" customHeight="1">
      <c r="B125" s="980" t="s">
        <v>378</v>
      </c>
      <c r="C125" s="980" t="s">
        <v>415</v>
      </c>
      <c r="D125" s="468"/>
      <c r="E125" t="s">
        <v>191</v>
      </c>
      <c r="F125" s="126" t="s">
        <v>254</v>
      </c>
      <c r="I125" s="1055" t="s">
        <v>218</v>
      </c>
      <c r="J125" s="86">
        <f t="shared" si="147"/>
        <v>157808398145.17014</v>
      </c>
      <c r="K125" s="227">
        <f t="shared" ref="K125:Q125" si="156">K126-K130</f>
        <v>8684887518</v>
      </c>
      <c r="L125" s="227">
        <f t="shared" si="156"/>
        <v>7917145283</v>
      </c>
      <c r="M125" s="227">
        <f t="shared" si="156"/>
        <v>9507790092</v>
      </c>
      <c r="N125" s="227">
        <f t="shared" si="156"/>
        <v>9667769049</v>
      </c>
      <c r="O125" s="227">
        <f t="shared" si="156"/>
        <v>8516832437.7765875</v>
      </c>
      <c r="P125" s="85">
        <f t="shared" si="156"/>
        <v>11745377259.409771</v>
      </c>
      <c r="Q125" s="85">
        <f t="shared" si="156"/>
        <v>11748332635.461479</v>
      </c>
      <c r="R125" s="85">
        <f t="shared" ref="R125:X125" si="157">R126-R130</f>
        <v>13671065580.153545</v>
      </c>
      <c r="S125" s="85">
        <f t="shared" si="157"/>
        <v>12963637657.322117</v>
      </c>
      <c r="T125" s="85">
        <f t="shared" si="157"/>
        <v>16103771665.226484</v>
      </c>
      <c r="U125" s="85">
        <f t="shared" si="157"/>
        <v>16100224886</v>
      </c>
      <c r="V125" s="47">
        <f t="shared" si="157"/>
        <v>16102734122.623177</v>
      </c>
      <c r="W125" s="47">
        <f t="shared" si="157"/>
        <v>16517094009.580029</v>
      </c>
      <c r="X125" s="47">
        <f t="shared" si="157"/>
        <v>15163768750.616972</v>
      </c>
      <c r="Z125" s="34"/>
    </row>
    <row r="126" spans="2:26" ht="15" customHeight="1">
      <c r="B126" s="980" t="s">
        <v>378</v>
      </c>
      <c r="C126" s="980" t="s">
        <v>415</v>
      </c>
      <c r="D126" s="468"/>
      <c r="E126" t="s">
        <v>191</v>
      </c>
      <c r="F126" s="126" t="s">
        <v>255</v>
      </c>
      <c r="I126" s="1056" t="s">
        <v>20</v>
      </c>
      <c r="J126" s="86">
        <f t="shared" si="147"/>
        <v>214981436621</v>
      </c>
      <c r="K126" s="151">
        <f t="shared" ref="K126:T126" si="158">K127-K128+K129</f>
        <v>11262027417</v>
      </c>
      <c r="L126" s="151">
        <f t="shared" si="158"/>
        <v>10800645626</v>
      </c>
      <c r="M126" s="151">
        <f t="shared" si="158"/>
        <v>12736325266</v>
      </c>
      <c r="N126" s="151">
        <f t="shared" si="158"/>
        <v>12711793072</v>
      </c>
      <c r="O126" s="151">
        <f t="shared" si="158"/>
        <v>11905428048</v>
      </c>
      <c r="P126" s="151">
        <f t="shared" si="158"/>
        <v>15048779990</v>
      </c>
      <c r="Q126" s="151">
        <f t="shared" si="158"/>
        <v>15563152891</v>
      </c>
      <c r="R126" s="151">
        <f t="shared" si="158"/>
        <v>17647741506</v>
      </c>
      <c r="S126" s="151">
        <f t="shared" si="158"/>
        <v>17669830163</v>
      </c>
      <c r="T126" s="151">
        <f t="shared" si="158"/>
        <v>21451679111</v>
      </c>
      <c r="U126" s="151">
        <f>U127-U128+U129</f>
        <v>21698728050</v>
      </c>
      <c r="V126" s="7">
        <f>V127-V128+V129</f>
        <v>22363626755</v>
      </c>
      <c r="W126" s="7">
        <f>W127-W128+W129</f>
        <v>22786261396</v>
      </c>
      <c r="X126" s="7">
        <f>X127-X128+X129</f>
        <v>23398090373</v>
      </c>
    </row>
    <row r="127" spans="2:26" s="68" customFormat="1" ht="15" customHeight="1">
      <c r="B127" s="980" t="s">
        <v>378</v>
      </c>
      <c r="C127" s="980" t="s">
        <v>415</v>
      </c>
      <c r="D127" s="468"/>
      <c r="E127" t="s">
        <v>191</v>
      </c>
      <c r="F127" s="980"/>
      <c r="G127" s="980"/>
      <c r="H127"/>
      <c r="I127" s="1057" t="s">
        <v>256</v>
      </c>
      <c r="J127" s="86">
        <f t="shared" si="147"/>
        <v>211566050882</v>
      </c>
      <c r="K127" s="88">
        <v>11747409847</v>
      </c>
      <c r="L127" s="88">
        <v>11718103524</v>
      </c>
      <c r="M127" s="88">
        <v>12459011151</v>
      </c>
      <c r="N127" s="88">
        <v>13462695726</v>
      </c>
      <c r="O127" s="70">
        <v>11877123219</v>
      </c>
      <c r="P127" s="70">
        <v>13016157391</v>
      </c>
      <c r="Q127" s="221">
        <v>15674361112</v>
      </c>
      <c r="R127" s="221">
        <v>17246537342</v>
      </c>
      <c r="S127" s="221">
        <v>18364033670</v>
      </c>
      <c r="T127" s="221">
        <v>20758272582</v>
      </c>
      <c r="U127" s="221">
        <v>21170450055</v>
      </c>
      <c r="V127" s="7">
        <v>21792160587</v>
      </c>
      <c r="W127" s="70">
        <v>22691429518</v>
      </c>
      <c r="X127" s="221">
        <v>23053818529</v>
      </c>
    </row>
    <row r="128" spans="2:26" s="68" customFormat="1" ht="15" customHeight="1">
      <c r="B128" s="980" t="s">
        <v>378</v>
      </c>
      <c r="C128" s="980" t="s">
        <v>415</v>
      </c>
      <c r="D128" s="468"/>
      <c r="E128" t="s">
        <v>191</v>
      </c>
      <c r="F128" s="980"/>
      <c r="G128" s="980"/>
      <c r="H128"/>
      <c r="I128" s="1057" t="s">
        <v>259</v>
      </c>
      <c r="J128" s="86">
        <f t="shared" si="147"/>
        <v>52191469570</v>
      </c>
      <c r="K128" s="88">
        <v>5034040644</v>
      </c>
      <c r="L128" s="88">
        <f>5238505895+712992647</f>
        <v>5951498542</v>
      </c>
      <c r="M128" s="88">
        <v>5674184427</v>
      </c>
      <c r="N128" s="88">
        <v>6425087081</v>
      </c>
      <c r="O128" s="70">
        <v>6396782252</v>
      </c>
      <c r="P128" s="70">
        <f>4364159653</f>
        <v>4364159653</v>
      </c>
      <c r="Q128" s="70">
        <v>4475367874</v>
      </c>
      <c r="R128" s="70">
        <v>4074163710</v>
      </c>
      <c r="S128" s="70">
        <v>4768367217</v>
      </c>
      <c r="T128" s="221">
        <v>4074960688</v>
      </c>
      <c r="U128" s="221">
        <v>3546682693</v>
      </c>
      <c r="V128" s="70">
        <v>2975216525</v>
      </c>
      <c r="W128" s="70">
        <v>2880384647</v>
      </c>
      <c r="X128" s="70">
        <v>2536112803</v>
      </c>
    </row>
    <row r="129" spans="2:26" s="68" customFormat="1" ht="15" customHeight="1">
      <c r="B129" s="980" t="s">
        <v>378</v>
      </c>
      <c r="C129" s="980" t="s">
        <v>415</v>
      </c>
      <c r="D129" s="468"/>
      <c r="E129" t="s">
        <v>191</v>
      </c>
      <c r="F129" s="980"/>
      <c r="G129" s="980"/>
      <c r="H129"/>
      <c r="I129" s="1057" t="s">
        <v>228</v>
      </c>
      <c r="J129" s="86">
        <f t="shared" si="147"/>
        <v>55606855309</v>
      </c>
      <c r="K129" s="88">
        <v>4548658214</v>
      </c>
      <c r="L129" s="88">
        <v>5034040644</v>
      </c>
      <c r="M129" s="88">
        <f>5238505895+712992647</f>
        <v>5951498542</v>
      </c>
      <c r="N129" s="88">
        <v>5674184427</v>
      </c>
      <c r="O129" s="88">
        <v>6425087081</v>
      </c>
      <c r="P129" s="70">
        <v>6396782252</v>
      </c>
      <c r="Q129" s="70">
        <f>4364159653</f>
        <v>4364159653</v>
      </c>
      <c r="R129" s="70">
        <v>4475367874</v>
      </c>
      <c r="S129" s="70">
        <v>4074163710</v>
      </c>
      <c r="T129" s="70">
        <v>4768367217</v>
      </c>
      <c r="U129" s="221">
        <v>4074960688</v>
      </c>
      <c r="V129" s="221">
        <v>3546682693</v>
      </c>
      <c r="W129" s="70">
        <v>2975216525</v>
      </c>
      <c r="X129" s="70">
        <v>2880384647</v>
      </c>
    </row>
    <row r="130" spans="2:26" ht="15" customHeight="1">
      <c r="B130" s="980" t="s">
        <v>378</v>
      </c>
      <c r="C130" s="980" t="s">
        <v>415</v>
      </c>
      <c r="D130" s="468"/>
      <c r="E130" t="s">
        <v>191</v>
      </c>
      <c r="F130" s="126" t="s">
        <v>219</v>
      </c>
      <c r="I130" s="1056" t="s">
        <v>219</v>
      </c>
      <c r="J130" s="86">
        <f t="shared" si="147"/>
        <v>57173038475.829834</v>
      </c>
      <c r="K130" s="86">
        <v>2577139899</v>
      </c>
      <c r="L130" s="86">
        <v>2883500343</v>
      </c>
      <c r="M130" s="86">
        <v>3228535174</v>
      </c>
      <c r="N130" s="86">
        <v>3044024023</v>
      </c>
      <c r="O130" s="221">
        <v>3388595610.2234125</v>
      </c>
      <c r="P130" s="7">
        <v>3303402730.59023</v>
      </c>
      <c r="Q130" s="7">
        <v>3814820255.5385213</v>
      </c>
      <c r="R130" s="7">
        <v>3976675925.8464556</v>
      </c>
      <c r="S130" s="7">
        <v>4706192505.6778841</v>
      </c>
      <c r="T130" s="34">
        <v>5347907445.7735157</v>
      </c>
      <c r="U130" s="89">
        <v>5598503164</v>
      </c>
      <c r="V130" s="7">
        <v>6260892632.3768234</v>
      </c>
      <c r="W130" s="7">
        <v>6269167386.4199705</v>
      </c>
      <c r="X130" s="7">
        <v>8234321622.383028</v>
      </c>
    </row>
    <row r="131" spans="2:26" ht="15" customHeight="1">
      <c r="B131" s="980" t="s">
        <v>378</v>
      </c>
      <c r="C131" s="980" t="s">
        <v>415</v>
      </c>
      <c r="D131" s="468"/>
      <c r="E131" t="s">
        <v>191</v>
      </c>
      <c r="F131" s="126" t="s">
        <v>260</v>
      </c>
      <c r="I131" s="1055" t="s">
        <v>220</v>
      </c>
      <c r="J131" s="86">
        <f t="shared" si="147"/>
        <v>129282647305.05916</v>
      </c>
      <c r="K131" s="1089">
        <f>K132-K143</f>
        <v>10877043165.461834</v>
      </c>
      <c r="L131" s="1089">
        <f t="shared" ref="L131:U131" si="159">L132-L143</f>
        <v>2289320904.1465521</v>
      </c>
      <c r="M131" s="1089">
        <f t="shared" si="159"/>
        <v>5108010239.3904858</v>
      </c>
      <c r="N131" s="1089">
        <f t="shared" si="159"/>
        <v>3243870373.4025054</v>
      </c>
      <c r="O131" s="1089">
        <f t="shared" si="159"/>
        <v>4123991359.1240177</v>
      </c>
      <c r="P131" s="1089">
        <f t="shared" si="159"/>
        <v>4232980058.1421461</v>
      </c>
      <c r="Q131" s="1089">
        <f>Q132-Q143</f>
        <v>8245646618</v>
      </c>
      <c r="R131" s="1089">
        <f t="shared" si="159"/>
        <v>15284804476.333334</v>
      </c>
      <c r="S131" s="1089">
        <f t="shared" si="159"/>
        <v>7220892875.0200005</v>
      </c>
      <c r="T131" s="1089">
        <f t="shared" si="159"/>
        <v>13274811615</v>
      </c>
      <c r="U131" s="1089">
        <f t="shared" si="159"/>
        <v>17946712543.666668</v>
      </c>
      <c r="V131" s="227">
        <f>V132-V143</f>
        <v>14750921005</v>
      </c>
      <c r="W131" s="227">
        <f>W132-W143</f>
        <v>16474616994.98</v>
      </c>
      <c r="X131" s="227">
        <f>X132-X143</f>
        <v>19375389147</v>
      </c>
      <c r="Y131" s="34"/>
      <c r="Z131" s="34"/>
    </row>
    <row r="132" spans="2:26" ht="15">
      <c r="B132" s="980" t="s">
        <v>378</v>
      </c>
      <c r="C132" s="980" t="s">
        <v>415</v>
      </c>
      <c r="D132" s="468"/>
      <c r="E132" t="s">
        <v>191</v>
      </c>
      <c r="F132" s="230" t="s">
        <v>340</v>
      </c>
      <c r="I132" s="1073" t="s">
        <v>22</v>
      </c>
      <c r="J132" s="86">
        <f t="shared" si="147"/>
        <v>177786981069</v>
      </c>
      <c r="K132" s="81">
        <f>SUM(K133:K139)-K140+K141+K142</f>
        <v>14092785175</v>
      </c>
      <c r="L132" s="81">
        <f t="shared" ref="L132:P132" si="160">SUM(L133:L139)-L140+L141+L142</f>
        <v>6262215341</v>
      </c>
      <c r="M132" s="81">
        <f t="shared" si="160"/>
        <v>9423841161</v>
      </c>
      <c r="N132" s="81">
        <f t="shared" si="160"/>
        <v>7230003791</v>
      </c>
      <c r="O132" s="81">
        <f t="shared" si="160"/>
        <v>8525304114</v>
      </c>
      <c r="P132" s="81">
        <f t="shared" si="160"/>
        <v>8532802240</v>
      </c>
      <c r="Q132" s="81">
        <f>SUM(Q133:Q139)-Q140+Q141+Q142</f>
        <v>12141799080</v>
      </c>
      <c r="R132" s="81">
        <f t="shared" ref="R132:W132" si="161">SUM(R133:R139)-R140+R141+R142</f>
        <v>16260499750</v>
      </c>
      <c r="S132" s="81">
        <f t="shared" si="161"/>
        <v>11134910101</v>
      </c>
      <c r="T132" s="81">
        <f t="shared" si="161"/>
        <v>17494304461</v>
      </c>
      <c r="U132" s="81">
        <f t="shared" si="161"/>
        <v>22501877769</v>
      </c>
      <c r="V132" s="81">
        <f t="shared" si="161"/>
        <v>19382726851</v>
      </c>
      <c r="W132" s="81">
        <f t="shared" si="161"/>
        <v>21100775309</v>
      </c>
      <c r="X132" s="81">
        <f>SUM(X133:X139)-X140+X141+X142</f>
        <v>24058136442</v>
      </c>
      <c r="Y132" s="221"/>
      <c r="Z132" s="34"/>
    </row>
    <row r="133" spans="2:26" s="68" customFormat="1" ht="15" customHeight="1">
      <c r="B133" s="980" t="s">
        <v>378</v>
      </c>
      <c r="C133" s="980" t="s">
        <v>415</v>
      </c>
      <c r="D133" s="468"/>
      <c r="E133" t="s">
        <v>191</v>
      </c>
      <c r="F133" s="230" t="s">
        <v>424</v>
      </c>
      <c r="G133" s="980"/>
      <c r="H133"/>
      <c r="I133" s="1057" t="s">
        <v>425</v>
      </c>
      <c r="J133" s="86">
        <f t="shared" si="147"/>
        <v>48817847964</v>
      </c>
      <c r="K133" s="88">
        <v>8682179107</v>
      </c>
      <c r="L133" s="88">
        <v>-433646640</v>
      </c>
      <c r="M133" s="88">
        <v>1565402372</v>
      </c>
      <c r="N133" s="7">
        <v>1738167111</v>
      </c>
      <c r="O133" s="221">
        <v>1245274042</v>
      </c>
      <c r="P133" s="70">
        <v>571365618</v>
      </c>
      <c r="Q133" s="70">
        <v>1935311658</v>
      </c>
      <c r="R133" s="221">
        <v>6977529473</v>
      </c>
      <c r="S133" s="221">
        <v>5851928062</v>
      </c>
      <c r="T133" s="221">
        <v>4444177901</v>
      </c>
      <c r="U133" s="221">
        <v>5044025456</v>
      </c>
      <c r="V133" s="70">
        <v>5287633790</v>
      </c>
      <c r="W133" s="70">
        <v>6659931922</v>
      </c>
      <c r="X133" s="221">
        <v>7497100559</v>
      </c>
      <c r="Y133" s="221"/>
      <c r="Z133" s="34"/>
    </row>
    <row r="134" spans="2:26" ht="15" customHeight="1">
      <c r="B134" s="980" t="s">
        <v>378</v>
      </c>
      <c r="C134" s="980" t="s">
        <v>415</v>
      </c>
      <c r="D134" s="468"/>
      <c r="E134" t="s">
        <v>191</v>
      </c>
      <c r="F134" s="230" t="s">
        <v>391</v>
      </c>
      <c r="I134" s="1057" t="s">
        <v>21</v>
      </c>
      <c r="J134" s="86">
        <f t="shared" si="147"/>
        <v>42200960716</v>
      </c>
      <c r="K134" s="86">
        <v>2609854914</v>
      </c>
      <c r="L134" s="86">
        <v>2981111142</v>
      </c>
      <c r="M134" s="86">
        <v>3157635883</v>
      </c>
      <c r="N134" s="86">
        <v>2261496100</v>
      </c>
      <c r="O134" s="70">
        <v>3200762702</v>
      </c>
      <c r="P134" s="70">
        <v>2818191674</v>
      </c>
      <c r="Q134" s="7">
        <v>3413548040</v>
      </c>
      <c r="R134" s="34">
        <v>3274779830</v>
      </c>
      <c r="S134" s="221">
        <v>3811104308</v>
      </c>
      <c r="T134" s="7">
        <v>3391176937</v>
      </c>
      <c r="U134" s="221">
        <v>3660625957</v>
      </c>
      <c r="V134" s="7">
        <v>4383607738</v>
      </c>
      <c r="W134" s="7">
        <v>3850695292</v>
      </c>
      <c r="X134" s="221">
        <v>4977336255</v>
      </c>
      <c r="Y134" s="221"/>
      <c r="Z134" s="34"/>
    </row>
    <row r="135" spans="2:26" s="68" customFormat="1" ht="15" customHeight="1">
      <c r="B135" s="980" t="s">
        <v>378</v>
      </c>
      <c r="C135" s="980" t="s">
        <v>415</v>
      </c>
      <c r="D135" s="468"/>
      <c r="E135" t="s">
        <v>191</v>
      </c>
      <c r="F135" s="230" t="s">
        <v>407</v>
      </c>
      <c r="G135" s="980"/>
      <c r="H135"/>
      <c r="I135" s="1057" t="s">
        <v>408</v>
      </c>
      <c r="J135" s="86">
        <f t="shared" si="147"/>
        <v>12358366683</v>
      </c>
      <c r="K135" s="88">
        <v>1158428249</v>
      </c>
      <c r="L135" s="88">
        <v>1196662424</v>
      </c>
      <c r="M135" s="88">
        <v>972422214</v>
      </c>
      <c r="N135" s="7">
        <v>442664658</v>
      </c>
      <c r="O135" s="221">
        <v>540248916</v>
      </c>
      <c r="P135" s="70">
        <v>955739712</v>
      </c>
      <c r="Q135" s="70">
        <v>1031622023</v>
      </c>
      <c r="R135" s="221">
        <v>1016886173</v>
      </c>
      <c r="S135" s="221">
        <v>1105878404</v>
      </c>
      <c r="T135" s="70">
        <v>1182521740</v>
      </c>
      <c r="U135" s="221">
        <v>1041895713</v>
      </c>
      <c r="V135" s="70">
        <v>1094102624</v>
      </c>
      <c r="W135" s="70">
        <v>1405081361</v>
      </c>
      <c r="X135" s="221">
        <v>1569303145</v>
      </c>
      <c r="Y135" s="221"/>
      <c r="Z135" s="34"/>
    </row>
    <row r="136" spans="2:26" s="68" customFormat="1" ht="15" customHeight="1">
      <c r="B136" s="980" t="s">
        <v>378</v>
      </c>
      <c r="C136" s="980" t="s">
        <v>415</v>
      </c>
      <c r="D136" s="468"/>
      <c r="E136" t="s">
        <v>191</v>
      </c>
      <c r="F136" s="230" t="s">
        <v>393</v>
      </c>
      <c r="G136" s="980"/>
      <c r="H136"/>
      <c r="I136" s="1057" t="s">
        <v>426</v>
      </c>
      <c r="J136" s="86">
        <f>SUM(M136:X136)</f>
        <v>3279249198</v>
      </c>
      <c r="K136" s="88">
        <v>172256901</v>
      </c>
      <c r="L136" s="88">
        <v>190539072</v>
      </c>
      <c r="M136" s="88">
        <v>188888814</v>
      </c>
      <c r="N136" s="7">
        <v>186751305</v>
      </c>
      <c r="O136" s="221">
        <v>248199670</v>
      </c>
      <c r="P136" s="70">
        <v>276033134</v>
      </c>
      <c r="Q136" s="70">
        <v>289290237</v>
      </c>
      <c r="R136" s="221">
        <v>265091089</v>
      </c>
      <c r="S136" s="221">
        <v>284417928</v>
      </c>
      <c r="T136" s="70">
        <v>281636464</v>
      </c>
      <c r="U136" s="221">
        <v>273415149</v>
      </c>
      <c r="V136" s="70">
        <v>292035840</v>
      </c>
      <c r="W136" s="70">
        <v>324689590</v>
      </c>
      <c r="X136" s="221">
        <v>368799978</v>
      </c>
      <c r="Y136" s="221"/>
      <c r="Z136" s="34"/>
    </row>
    <row r="137" spans="2:26" s="68" customFormat="1" ht="15" customHeight="1">
      <c r="B137" s="980" t="s">
        <v>378</v>
      </c>
      <c r="C137" s="980" t="s">
        <v>415</v>
      </c>
      <c r="D137" s="468"/>
      <c r="E137" t="s">
        <v>191</v>
      </c>
      <c r="F137" s="230" t="s">
        <v>395</v>
      </c>
      <c r="G137" s="980"/>
      <c r="H137"/>
      <c r="I137" s="1061" t="s">
        <v>409</v>
      </c>
      <c r="J137" s="86">
        <f t="shared" si="147"/>
        <v>2187558429</v>
      </c>
      <c r="K137" s="88">
        <v>60586372</v>
      </c>
      <c r="L137" s="88">
        <v>59788197</v>
      </c>
      <c r="M137" s="88">
        <v>11306241</v>
      </c>
      <c r="N137" s="7">
        <v>14670088</v>
      </c>
      <c r="O137" s="221">
        <v>-5811825</v>
      </c>
      <c r="P137" s="70">
        <v>-912297</v>
      </c>
      <c r="Q137" s="70">
        <v>-941458</v>
      </c>
      <c r="R137" s="221">
        <v>77543176</v>
      </c>
      <c r="S137" s="221">
        <v>283770923</v>
      </c>
      <c r="T137" s="70">
        <v>273534686</v>
      </c>
      <c r="U137" s="221">
        <v>318956887</v>
      </c>
      <c r="V137" s="70">
        <v>343637927</v>
      </c>
      <c r="W137" s="70">
        <v>477039270</v>
      </c>
      <c r="X137" s="221">
        <v>394764811</v>
      </c>
      <c r="Y137" s="221"/>
      <c r="Z137" s="34"/>
    </row>
    <row r="138" spans="2:26" s="68" customFormat="1" ht="15" customHeight="1">
      <c r="B138" s="980" t="s">
        <v>378</v>
      </c>
      <c r="C138" s="980" t="s">
        <v>415</v>
      </c>
      <c r="D138" s="468"/>
      <c r="E138" t="s">
        <v>191</v>
      </c>
      <c r="F138" s="230" t="s">
        <v>262</v>
      </c>
      <c r="G138" s="980"/>
      <c r="H138"/>
      <c r="I138" s="1057" t="s">
        <v>427</v>
      </c>
      <c r="J138" s="86">
        <f t="shared" si="147"/>
        <v>62607979529</v>
      </c>
      <c r="K138" s="88">
        <v>2561378937</v>
      </c>
      <c r="L138" s="88">
        <v>2497490347</v>
      </c>
      <c r="M138" s="88">
        <v>3473072895</v>
      </c>
      <c r="N138" s="7">
        <v>3207684143</v>
      </c>
      <c r="O138" s="221">
        <v>3170602004</v>
      </c>
      <c r="P138" s="70">
        <v>8424551261</v>
      </c>
      <c r="Q138" s="70">
        <v>1808911187</v>
      </c>
      <c r="R138" s="221">
        <v>5528440932</v>
      </c>
      <c r="S138" s="221">
        <v>5412897392</v>
      </c>
      <c r="T138" s="70">
        <v>6614830484</v>
      </c>
      <c r="U138" s="221">
        <v>6511513915</v>
      </c>
      <c r="V138" s="70">
        <v>5831365386</v>
      </c>
      <c r="W138" s="70">
        <v>7937348203</v>
      </c>
      <c r="X138" s="221">
        <v>4686761727</v>
      </c>
      <c r="Y138" s="221"/>
      <c r="Z138" s="34"/>
    </row>
    <row r="139" spans="2:26" s="68" customFormat="1" ht="15" customHeight="1">
      <c r="B139" s="980" t="s">
        <v>378</v>
      </c>
      <c r="C139" s="980" t="s">
        <v>415</v>
      </c>
      <c r="D139" s="468"/>
      <c r="E139" t="s">
        <v>191</v>
      </c>
      <c r="F139" s="230" t="s">
        <v>264</v>
      </c>
      <c r="G139" s="980"/>
      <c r="H139"/>
      <c r="I139" s="1057" t="s">
        <v>224</v>
      </c>
      <c r="J139" s="86">
        <f t="shared" si="147"/>
        <v>7320207468</v>
      </c>
      <c r="K139" s="88"/>
      <c r="L139" s="88"/>
      <c r="M139" s="88"/>
      <c r="N139" s="7"/>
      <c r="O139" s="221"/>
      <c r="P139" s="70"/>
      <c r="Q139" s="70"/>
      <c r="R139" s="221"/>
      <c r="S139" s="221">
        <v>10426447</v>
      </c>
      <c r="T139" s="70">
        <v>1329270975</v>
      </c>
      <c r="U139" s="221">
        <v>1823539582</v>
      </c>
      <c r="V139" s="70">
        <v>1239811446</v>
      </c>
      <c r="W139" s="70">
        <v>1072370212</v>
      </c>
      <c r="X139" s="221">
        <v>1844788806</v>
      </c>
      <c r="Y139" s="221"/>
      <c r="Z139" s="34"/>
    </row>
    <row r="140" spans="2:26" ht="15" customHeight="1">
      <c r="B140" s="980" t="s">
        <v>378</v>
      </c>
      <c r="C140" s="980" t="s">
        <v>415</v>
      </c>
      <c r="D140" s="468"/>
      <c r="E140" t="s">
        <v>191</v>
      </c>
      <c r="F140" s="126" t="s">
        <v>267</v>
      </c>
      <c r="I140" s="1057" t="s">
        <v>227</v>
      </c>
      <c r="J140" s="86">
        <f t="shared" si="147"/>
        <v>109272687979</v>
      </c>
      <c r="K140" s="7">
        <v>4369194533</v>
      </c>
      <c r="L140" s="7">
        <f>4127618666+471305068</f>
        <v>4598923734</v>
      </c>
      <c r="M140" s="7">
        <v>4543810992</v>
      </c>
      <c r="N140" s="7">
        <v>5165240606</v>
      </c>
      <c r="O140" s="221">
        <v>5039212001</v>
      </c>
      <c r="P140" s="70">
        <f>9551378863</f>
        <v>9551378863</v>
      </c>
      <c r="Q140" s="34">
        <v>5887321470</v>
      </c>
      <c r="R140" s="70">
        <v>6767092393</v>
      </c>
      <c r="S140" s="221">
        <v>12392605756</v>
      </c>
      <c r="T140" s="34">
        <v>12415450482</v>
      </c>
      <c r="U140" s="34">
        <v>12287395372</v>
      </c>
      <c r="V140" s="34">
        <v>11376863272</v>
      </c>
      <c r="W140" s="34">
        <v>12003243813</v>
      </c>
      <c r="X140" s="221">
        <v>11843072959</v>
      </c>
      <c r="Y140" s="221"/>
      <c r="Z140" s="34"/>
    </row>
    <row r="141" spans="2:26" ht="15" customHeight="1">
      <c r="B141" s="980" t="s">
        <v>378</v>
      </c>
      <c r="C141" s="980" t="s">
        <v>415</v>
      </c>
      <c r="D141" s="468"/>
      <c r="E141" t="s">
        <v>191</v>
      </c>
      <c r="F141" s="126" t="s">
        <v>268</v>
      </c>
      <c r="I141" s="1057" t="s">
        <v>228</v>
      </c>
      <c r="J141" s="86">
        <f t="shared" si="147"/>
        <v>102028538754</v>
      </c>
      <c r="K141" s="7">
        <v>3217295228</v>
      </c>
      <c r="L141" s="7">
        <f>4369194533</f>
        <v>4369194533</v>
      </c>
      <c r="M141" s="7">
        <f>4127618666+471305068</f>
        <v>4598923734</v>
      </c>
      <c r="N141" s="7">
        <v>4543810992</v>
      </c>
      <c r="O141" s="7">
        <v>5165240606</v>
      </c>
      <c r="P141" s="70">
        <v>5039212001</v>
      </c>
      <c r="Q141" s="70">
        <f>9551378863</f>
        <v>9551378863</v>
      </c>
      <c r="R141" s="34">
        <v>5887321470</v>
      </c>
      <c r="S141" s="70">
        <v>6767092393</v>
      </c>
      <c r="T141" s="221">
        <v>12392605756</v>
      </c>
      <c r="U141" s="34">
        <v>12415450482</v>
      </c>
      <c r="V141" s="34">
        <v>12287395372</v>
      </c>
      <c r="W141" s="34">
        <v>11376863272</v>
      </c>
      <c r="X141" s="34">
        <v>12003243813</v>
      </c>
      <c r="Y141" s="221"/>
      <c r="Z141" s="34"/>
    </row>
    <row r="142" spans="2:26" s="68" customFormat="1" ht="15" customHeight="1">
      <c r="B142" s="980" t="s">
        <v>378</v>
      </c>
      <c r="C142" s="980" t="s">
        <v>415</v>
      </c>
      <c r="D142" s="468"/>
      <c r="E142" t="s">
        <v>191</v>
      </c>
      <c r="F142" s="230" t="s">
        <v>361</v>
      </c>
      <c r="G142" s="980"/>
      <c r="H142"/>
      <c r="I142" s="1057" t="s">
        <v>226</v>
      </c>
      <c r="J142" s="86">
        <f t="shared" si="147"/>
        <v>6258960307</v>
      </c>
      <c r="K142" s="88"/>
      <c r="L142" s="88"/>
      <c r="M142" s="88"/>
      <c r="N142" s="7"/>
      <c r="O142" s="221"/>
      <c r="P142" s="70"/>
      <c r="Q142" s="70"/>
      <c r="R142" s="221"/>
      <c r="S142" s="221">
        <f t="shared" ref="S142" si="162">R142-Q142</f>
        <v>0</v>
      </c>
      <c r="U142" s="70">
        <v>3699849999.9999995</v>
      </c>
      <c r="V142" s="1326"/>
      <c r="X142" s="224">
        <f>2383272727+175837580</f>
        <v>2559110307</v>
      </c>
      <c r="Y142" s="221"/>
    </row>
    <row r="143" spans="2:26" ht="15" customHeight="1">
      <c r="B143" s="980" t="s">
        <v>378</v>
      </c>
      <c r="C143" s="980" t="s">
        <v>415</v>
      </c>
      <c r="D143" s="468"/>
      <c r="E143" t="s">
        <v>191</v>
      </c>
      <c r="F143" s="230" t="s">
        <v>362</v>
      </c>
      <c r="I143" s="1073" t="s">
        <v>295</v>
      </c>
      <c r="J143" s="86">
        <f t="shared" si="147"/>
        <v>48504333763.940842</v>
      </c>
      <c r="K143" s="47">
        <f>SUM(K144:K147)</f>
        <v>3215742009.5381665</v>
      </c>
      <c r="L143" s="47">
        <f t="shared" ref="L143:U143" si="163">SUM(L144:L147)</f>
        <v>3972894436.8534479</v>
      </c>
      <c r="M143" s="47">
        <f t="shared" si="163"/>
        <v>4315830921.6095142</v>
      </c>
      <c r="N143" s="47">
        <f t="shared" si="163"/>
        <v>3986133417.5974946</v>
      </c>
      <c r="O143" s="47">
        <f t="shared" si="163"/>
        <v>4401312754.8759823</v>
      </c>
      <c r="P143" s="85">
        <f t="shared" si="163"/>
        <v>4299822181.8578539</v>
      </c>
      <c r="Q143" s="47">
        <f t="shared" si="163"/>
        <v>3896152462</v>
      </c>
      <c r="R143" s="47">
        <f t="shared" si="163"/>
        <v>975695273.66666663</v>
      </c>
      <c r="S143" s="47">
        <f t="shared" si="163"/>
        <v>3914017225.98</v>
      </c>
      <c r="T143" s="47">
        <f t="shared" si="163"/>
        <v>4219492846</v>
      </c>
      <c r="U143" s="47">
        <f t="shared" si="163"/>
        <v>4555165225.333333</v>
      </c>
      <c r="V143" s="47">
        <f>SUM(V144:V147)</f>
        <v>4631805846</v>
      </c>
      <c r="W143" s="47">
        <f>SUM(W144:W147)</f>
        <v>4626158314.0200005</v>
      </c>
      <c r="X143" s="47">
        <f>SUM(X144:X147)</f>
        <v>4682747295</v>
      </c>
    </row>
    <row r="144" spans="2:26" ht="15" customHeight="1">
      <c r="B144" s="1369" t="s">
        <v>378</v>
      </c>
      <c r="C144" s="1369" t="s">
        <v>415</v>
      </c>
      <c r="D144" s="1370"/>
      <c r="E144" t="s">
        <v>191</v>
      </c>
      <c r="F144" s="269" t="s">
        <v>410</v>
      </c>
      <c r="G144" s="1369"/>
      <c r="I144" s="1057" t="s">
        <v>411</v>
      </c>
      <c r="J144" s="86">
        <f t="shared" si="147"/>
        <v>4262789669.9608455</v>
      </c>
      <c r="K144" s="88">
        <v>639956218.53816664</v>
      </c>
      <c r="L144" s="88">
        <v>658248244.85344791</v>
      </c>
      <c r="M144" s="88">
        <v>838874707.60951447</v>
      </c>
      <c r="N144" s="88">
        <v>732558315.59749448</v>
      </c>
      <c r="O144" s="88">
        <v>788409031.87598228</v>
      </c>
      <c r="P144" s="88">
        <v>500593770.85785371</v>
      </c>
      <c r="Q144" s="88">
        <v>78987000</v>
      </c>
      <c r="R144" s="88">
        <v>78987000</v>
      </c>
      <c r="S144" s="88">
        <v>78987000</v>
      </c>
      <c r="T144" s="88">
        <v>342277000</v>
      </c>
      <c r="U144" s="88">
        <v>342277000</v>
      </c>
      <c r="V144" s="88">
        <v>342277000</v>
      </c>
      <c r="W144" s="88">
        <v>138561844.02000025</v>
      </c>
      <c r="X144" s="88">
        <v>0</v>
      </c>
    </row>
    <row r="145" spans="2:26" ht="15" customHeight="1">
      <c r="B145" s="980" t="s">
        <v>378</v>
      </c>
      <c r="C145" s="980" t="s">
        <v>415</v>
      </c>
      <c r="D145" s="468"/>
      <c r="E145" t="s">
        <v>191</v>
      </c>
      <c r="F145" s="230" t="s">
        <v>412</v>
      </c>
      <c r="I145" s="1057" t="s">
        <v>413</v>
      </c>
      <c r="J145" s="86">
        <f t="shared" si="147"/>
        <v>12682135785.98</v>
      </c>
      <c r="K145" s="88">
        <f>161794607+298491488</f>
        <v>460286095</v>
      </c>
      <c r="L145" s="88">
        <f>162996354+841979503+705528+17863459</f>
        <v>1023544844</v>
      </c>
      <c r="M145" s="88">
        <f>111704906+835282862+557805</f>
        <v>947545573</v>
      </c>
      <c r="N145" s="88">
        <f>140574419+768458996+342373</f>
        <v>909375788</v>
      </c>
      <c r="O145" s="70">
        <f>110427519+955644667+472412</f>
        <v>1066544598</v>
      </c>
      <c r="P145" s="70">
        <f>89999268+809271169+572503</f>
        <v>899842940</v>
      </c>
      <c r="Q145" s="70">
        <f>109688536+776023772+799055</f>
        <v>886511363</v>
      </c>
      <c r="R145" s="7">
        <f>122919347+771100450+575788.666666667</f>
        <v>894595585.66666663</v>
      </c>
      <c r="S145" s="7">
        <f>111723097.98+890771623+426878</f>
        <v>1002921598.98</v>
      </c>
      <c r="T145" s="89">
        <f>113528442+905490624</f>
        <v>1019019066</v>
      </c>
      <c r="U145" s="89">
        <f>116279294+916348126.333333+552849</f>
        <v>1033180269.333333</v>
      </c>
      <c r="V145" s="7">
        <f>126593966+953148800+1179969</f>
        <v>1080922735</v>
      </c>
      <c r="W145" s="7">
        <f>136733637+1283517146+1534237</f>
        <v>1421785020</v>
      </c>
      <c r="X145" s="7">
        <f>219891249+1300000000</f>
        <v>1519891249</v>
      </c>
    </row>
    <row r="146" spans="2:26" ht="15" customHeight="1">
      <c r="B146" s="980" t="s">
        <v>378</v>
      </c>
      <c r="C146" s="980" t="s">
        <v>415</v>
      </c>
      <c r="D146" s="468"/>
      <c r="E146" t="s">
        <v>191</v>
      </c>
      <c r="F146" s="230" t="s">
        <v>414</v>
      </c>
      <c r="I146" s="1057" t="s">
        <v>332</v>
      </c>
      <c r="J146" s="86">
        <f>SUM(M146:W146)</f>
        <v>28396552262</v>
      </c>
      <c r="K146" s="88">
        <v>2115499696</v>
      </c>
      <c r="L146" s="88">
        <v>2291101348</v>
      </c>
      <c r="M146" s="88">
        <v>2529410641</v>
      </c>
      <c r="N146" s="88">
        <v>2344199314</v>
      </c>
      <c r="O146" s="70">
        <v>2546359125</v>
      </c>
      <c r="P146" s="70">
        <v>2899385471</v>
      </c>
      <c r="Q146" s="7">
        <v>2930654099</v>
      </c>
      <c r="R146" s="70">
        <f>2112688</f>
        <v>2112688</v>
      </c>
      <c r="S146" s="221">
        <v>2832108627</v>
      </c>
      <c r="T146" s="7">
        <v>2858196780</v>
      </c>
      <c r="U146" s="7">
        <v>3179707956</v>
      </c>
      <c r="V146" s="7">
        <v>3208606111</v>
      </c>
      <c r="W146" s="7">
        <v>3065811450</v>
      </c>
      <c r="X146" s="7">
        <v>3162856046</v>
      </c>
    </row>
    <row r="147" spans="2:26" ht="15" customHeight="1">
      <c r="B147" s="980" t="s">
        <v>378</v>
      </c>
      <c r="C147" s="980" t="s">
        <v>415</v>
      </c>
      <c r="D147" s="468"/>
      <c r="E147" t="s">
        <v>191</v>
      </c>
      <c r="F147" s="230" t="s">
        <v>372</v>
      </c>
      <c r="I147" s="1057" t="s">
        <v>373</v>
      </c>
      <c r="J147" s="86">
        <f t="shared" si="147"/>
        <v>0</v>
      </c>
      <c r="K147" s="86"/>
      <c r="L147" s="86"/>
      <c r="M147" s="86"/>
      <c r="N147" s="86"/>
      <c r="O147" s="7"/>
      <c r="Q147" s="7"/>
      <c r="V147" s="497"/>
      <c r="W147" s="497"/>
    </row>
    <row r="148" spans="2:26" ht="15" customHeight="1">
      <c r="B148" s="980" t="s">
        <v>378</v>
      </c>
      <c r="C148" s="980" t="s">
        <v>415</v>
      </c>
      <c r="D148" s="468"/>
      <c r="E148" t="s">
        <v>191</v>
      </c>
      <c r="F148" s="717" t="s">
        <v>269</v>
      </c>
      <c r="I148" s="1074" t="s">
        <v>89</v>
      </c>
      <c r="J148" s="86">
        <f t="shared" si="147"/>
        <v>14469670158</v>
      </c>
      <c r="K148" s="222">
        <v>158307965</v>
      </c>
      <c r="L148" s="223">
        <f>17305766+3073704440+265310044</f>
        <v>3356320250</v>
      </c>
      <c r="M148" s="222">
        <v>295409782</v>
      </c>
      <c r="N148" s="47">
        <v>407750270</v>
      </c>
      <c r="O148" s="47">
        <v>970520478</v>
      </c>
      <c r="P148" s="47">
        <v>1476383802</v>
      </c>
      <c r="Q148" s="223">
        <f>2655393+2343636364+1000951056</f>
        <v>3347242813</v>
      </c>
      <c r="R148" s="7">
        <v>795561658</v>
      </c>
      <c r="S148" s="7">
        <v>915217924</v>
      </c>
      <c r="T148" s="7">
        <v>1077219134</v>
      </c>
      <c r="U148" s="7">
        <v>1260478472</v>
      </c>
      <c r="V148" s="7">
        <v>1381914331</v>
      </c>
      <c r="W148" s="7">
        <v>1071810445</v>
      </c>
      <c r="X148" s="221">
        <v>1470161049</v>
      </c>
    </row>
    <row r="149" spans="2:26" ht="15" customHeight="1">
      <c r="B149" s="980" t="s">
        <v>378</v>
      </c>
      <c r="C149" s="980" t="s">
        <v>415</v>
      </c>
      <c r="D149" s="468"/>
      <c r="E149" t="s">
        <v>191</v>
      </c>
      <c r="F149" s="126" t="s">
        <v>270</v>
      </c>
      <c r="I149" s="85" t="s">
        <v>136</v>
      </c>
      <c r="J149" s="86">
        <f t="shared" si="147"/>
        <v>235983542936</v>
      </c>
      <c r="K149" s="85">
        <v>8623782912</v>
      </c>
      <c r="L149" s="85">
        <f>8070577634+3396219483</f>
        <v>11466797117</v>
      </c>
      <c r="M149" s="85">
        <v>25264429823</v>
      </c>
      <c r="N149" s="85">
        <v>13064743689</v>
      </c>
      <c r="O149" s="47">
        <f>13000585164+3549785166</f>
        <v>16550370330</v>
      </c>
      <c r="P149" s="47">
        <v>11182551451</v>
      </c>
      <c r="Q149" s="47">
        <v>9417984626</v>
      </c>
      <c r="R149" s="81">
        <f>16623356229+3427764286</f>
        <v>20051120515</v>
      </c>
      <c r="S149" s="7">
        <v>12950560114</v>
      </c>
      <c r="T149" s="7">
        <v>26624260010</v>
      </c>
      <c r="U149" s="7">
        <f>21245228442+3853558298</f>
        <v>25098786740</v>
      </c>
      <c r="V149" s="7">
        <v>21789423336</v>
      </c>
      <c r="W149" s="7">
        <v>24826685539</v>
      </c>
      <c r="X149" s="7">
        <f>24599040724+4563586039</f>
        <v>29162626763</v>
      </c>
      <c r="Z149" s="34"/>
    </row>
    <row r="150" spans="2:26" ht="15" customHeight="1">
      <c r="B150" s="980" t="s">
        <v>378</v>
      </c>
      <c r="C150" s="980" t="s">
        <v>415</v>
      </c>
      <c r="D150" s="468"/>
      <c r="E150" t="s">
        <v>191</v>
      </c>
      <c r="F150" s="126" t="s">
        <v>271</v>
      </c>
      <c r="I150" s="85" t="s">
        <v>229</v>
      </c>
      <c r="J150" s="86">
        <f t="shared" si="147"/>
        <v>33624922440.539036</v>
      </c>
      <c r="K150" s="47">
        <f>SUM(K151:K160)</f>
        <v>2526390663.8824306</v>
      </c>
      <c r="L150" s="47">
        <f t="shared" ref="L150:U150" si="164">SUM(L151:L160)</f>
        <v>2960706234.2720194</v>
      </c>
      <c r="M150" s="47">
        <f t="shared" si="164"/>
        <v>2675752724.7617316</v>
      </c>
      <c r="N150" s="47">
        <f t="shared" si="164"/>
        <v>2503593052.4185371</v>
      </c>
      <c r="O150" s="47">
        <f t="shared" si="164"/>
        <v>2958732699.3192034</v>
      </c>
      <c r="P150" s="47">
        <f t="shared" si="164"/>
        <v>2738733759.1112809</v>
      </c>
      <c r="Q150" s="47">
        <f t="shared" si="164"/>
        <v>2890117298.1603169</v>
      </c>
      <c r="R150" s="47">
        <f t="shared" si="164"/>
        <v>2280290609.2274885</v>
      </c>
      <c r="S150" s="47">
        <f t="shared" si="164"/>
        <v>2506283147.1182976</v>
      </c>
      <c r="T150" s="47">
        <f t="shared" si="164"/>
        <v>2907002946.3914218</v>
      </c>
      <c r="U150" s="47">
        <f t="shared" si="164"/>
        <v>2799651848.5701084</v>
      </c>
      <c r="V150" s="47">
        <f>SUM(V151:V160)</f>
        <v>2770357998.4703345</v>
      </c>
      <c r="W150" s="47">
        <f>SUM(W151:W160)</f>
        <v>3447038883.3804131</v>
      </c>
      <c r="X150" s="47">
        <f>SUM(X151:X160)</f>
        <v>3147367473.6099038</v>
      </c>
    </row>
    <row r="151" spans="2:26" ht="15" customHeight="1">
      <c r="B151" s="980" t="s">
        <v>378</v>
      </c>
      <c r="C151" s="980" t="s">
        <v>415</v>
      </c>
      <c r="D151" s="468"/>
      <c r="E151" t="s">
        <v>191</v>
      </c>
      <c r="F151" s="126" t="s">
        <v>272</v>
      </c>
      <c r="I151" s="563" t="s">
        <v>230</v>
      </c>
      <c r="J151" s="86">
        <f t="shared" si="147"/>
        <v>9031592388</v>
      </c>
      <c r="K151" s="86">
        <v>530003787.66666669</v>
      </c>
      <c r="L151" s="86">
        <v>745154444.66666663</v>
      </c>
      <c r="M151" s="86">
        <v>553186807</v>
      </c>
      <c r="N151" s="86">
        <v>487114769</v>
      </c>
      <c r="O151" s="7">
        <v>554194956</v>
      </c>
      <c r="P151" s="1030">
        <v>594495416</v>
      </c>
      <c r="Q151" s="7">
        <v>621922934</v>
      </c>
      <c r="R151" s="7">
        <v>619028336</v>
      </c>
      <c r="S151" s="7">
        <v>613663985</v>
      </c>
      <c r="T151" s="7">
        <v>896042289</v>
      </c>
      <c r="U151" s="7">
        <v>718358575</v>
      </c>
      <c r="V151" s="7">
        <v>801266158</v>
      </c>
      <c r="W151" s="34">
        <v>1457920465</v>
      </c>
      <c r="X151" s="7">
        <v>1114397698</v>
      </c>
      <c r="Z151" s="34"/>
    </row>
    <row r="152" spans="2:26" ht="15" customHeight="1">
      <c r="B152" s="980" t="s">
        <v>378</v>
      </c>
      <c r="C152" s="980" t="s">
        <v>415</v>
      </c>
      <c r="D152" s="468"/>
      <c r="E152" t="s">
        <v>191</v>
      </c>
      <c r="F152" s="126" t="s">
        <v>273</v>
      </c>
      <c r="I152" s="563" t="s">
        <v>231</v>
      </c>
      <c r="J152" s="86">
        <f t="shared" si="147"/>
        <v>2508558159</v>
      </c>
      <c r="K152" s="86"/>
      <c r="L152" s="86"/>
      <c r="M152" s="86"/>
      <c r="N152" s="86">
        <f t="shared" ref="N152:P152" si="165">N338</f>
        <v>0</v>
      </c>
      <c r="O152" s="7">
        <f t="shared" si="165"/>
        <v>123255614</v>
      </c>
      <c r="P152" s="7">
        <f t="shared" si="165"/>
        <v>264777433.5</v>
      </c>
      <c r="Q152" s="7">
        <f>Q338</f>
        <v>281594604.5</v>
      </c>
      <c r="R152" s="7">
        <f>R338</f>
        <v>284568493.5</v>
      </c>
      <c r="S152" s="7">
        <f>S338</f>
        <v>327744598</v>
      </c>
      <c r="T152" s="7">
        <f>T338</f>
        <v>190522460</v>
      </c>
      <c r="U152" s="7">
        <f>U338</f>
        <v>286696285</v>
      </c>
      <c r="V152" s="7">
        <f>V338+V218</f>
        <v>206988513.5</v>
      </c>
      <c r="W152" s="7">
        <f>W338+W218</f>
        <v>299160157</v>
      </c>
      <c r="X152" s="7">
        <f>X338+X218</f>
        <v>243250000</v>
      </c>
      <c r="Z152" s="34"/>
    </row>
    <row r="153" spans="2:26" ht="15" customHeight="1">
      <c r="B153" s="980" t="s">
        <v>378</v>
      </c>
      <c r="C153" s="980" t="s">
        <v>415</v>
      </c>
      <c r="D153" s="468"/>
      <c r="E153" t="s">
        <v>191</v>
      </c>
      <c r="F153" s="126" t="s">
        <v>274</v>
      </c>
      <c r="I153" s="563" t="s">
        <v>232</v>
      </c>
      <c r="J153" s="86">
        <f t="shared" si="147"/>
        <v>7785606342</v>
      </c>
      <c r="K153" s="86">
        <v>540109102.99999988</v>
      </c>
      <c r="L153" s="86">
        <v>752635705.99999988</v>
      </c>
      <c r="M153" s="86">
        <v>622923643</v>
      </c>
      <c r="N153" s="86">
        <v>547285793</v>
      </c>
      <c r="O153" s="7">
        <v>675955090</v>
      </c>
      <c r="P153" s="7">
        <v>618498082</v>
      </c>
      <c r="Q153" s="7">
        <v>647860635</v>
      </c>
      <c r="R153" s="7">
        <v>641203335</v>
      </c>
      <c r="S153" s="7">
        <v>633336907</v>
      </c>
      <c r="T153" s="7">
        <v>728493025.99999988</v>
      </c>
      <c r="U153" s="7">
        <v>736913441</v>
      </c>
      <c r="V153" s="7">
        <v>628344899.99999988</v>
      </c>
      <c r="W153" s="7">
        <v>680208404</v>
      </c>
      <c r="X153" s="7">
        <v>624583086</v>
      </c>
      <c r="Z153" s="34"/>
    </row>
    <row r="154" spans="2:26" ht="14.25" customHeight="1">
      <c r="B154" s="980" t="s">
        <v>378</v>
      </c>
      <c r="C154" s="980" t="s">
        <v>415</v>
      </c>
      <c r="D154" s="468"/>
      <c r="E154" t="s">
        <v>191</v>
      </c>
      <c r="F154" s="126" t="s">
        <v>275</v>
      </c>
      <c r="I154" s="563" t="s">
        <v>233</v>
      </c>
      <c r="J154" s="86">
        <f t="shared" si="147"/>
        <v>40391724</v>
      </c>
      <c r="K154" s="86">
        <v>4201183</v>
      </c>
      <c r="L154" s="86">
        <v>4384515</v>
      </c>
      <c r="M154" s="86">
        <v>3099219.0000000005</v>
      </c>
      <c r="N154" s="7">
        <v>2302528</v>
      </c>
      <c r="O154" s="7">
        <v>3739479</v>
      </c>
      <c r="P154" s="7">
        <v>3209767</v>
      </c>
      <c r="Q154" s="7">
        <v>3285192</v>
      </c>
      <c r="R154" s="7">
        <v>3295926</v>
      </c>
      <c r="S154" s="7">
        <v>3246239</v>
      </c>
      <c r="T154" s="7">
        <f>T220+T280+T340+T400+T460</f>
        <v>3215857</v>
      </c>
      <c r="U154" s="34">
        <f>U220+U280+U340+U400+U460</f>
        <v>2898621</v>
      </c>
      <c r="V154" s="7">
        <f>V220+V280+V340+V400+V460</f>
        <v>2824125</v>
      </c>
      <c r="W154" s="7">
        <f>W220+W280+W340+W400+W460</f>
        <v>5163377.0000000009</v>
      </c>
      <c r="X154" s="7">
        <f>X220+X280+X340+X400+X460</f>
        <v>4111394</v>
      </c>
      <c r="Z154" s="34"/>
    </row>
    <row r="155" spans="2:26" ht="15" customHeight="1">
      <c r="B155" s="980" t="s">
        <v>378</v>
      </c>
      <c r="C155" s="980" t="s">
        <v>415</v>
      </c>
      <c r="D155" s="468"/>
      <c r="E155" t="s">
        <v>191</v>
      </c>
      <c r="F155" s="126" t="s">
        <v>276</v>
      </c>
      <c r="I155" s="563" t="s">
        <v>152</v>
      </c>
      <c r="J155" s="86">
        <f t="shared" si="147"/>
        <v>474705660</v>
      </c>
      <c r="K155" s="86"/>
      <c r="L155" s="86"/>
      <c r="M155" s="86">
        <v>42837120</v>
      </c>
      <c r="N155" s="86">
        <v>26795880</v>
      </c>
      <c r="O155" s="7">
        <v>39788280</v>
      </c>
      <c r="P155" s="7">
        <v>33083640</v>
      </c>
      <c r="Q155" s="7">
        <v>33138720</v>
      </c>
      <c r="R155" s="7">
        <v>35926200</v>
      </c>
      <c r="S155" s="7">
        <v>40677840</v>
      </c>
      <c r="T155" s="7">
        <v>39051480</v>
      </c>
      <c r="U155" s="7">
        <v>38534040</v>
      </c>
      <c r="V155" s="7">
        <v>44223480</v>
      </c>
      <c r="W155" s="7">
        <v>44173080</v>
      </c>
      <c r="X155" s="7">
        <v>56475900</v>
      </c>
      <c r="Z155" s="34"/>
    </row>
    <row r="156" spans="2:26" ht="15" customHeight="1">
      <c r="B156" s="980" t="s">
        <v>378</v>
      </c>
      <c r="C156" s="980" t="s">
        <v>415</v>
      </c>
      <c r="D156" s="468"/>
      <c r="E156" t="s">
        <v>191</v>
      </c>
      <c r="F156" s="126" t="s">
        <v>387</v>
      </c>
      <c r="I156" s="563" t="s">
        <v>388</v>
      </c>
      <c r="J156" s="86">
        <f t="shared" si="147"/>
        <v>2695748479</v>
      </c>
      <c r="K156" s="86">
        <v>293340000</v>
      </c>
      <c r="L156" s="86">
        <v>293808430</v>
      </c>
      <c r="M156" s="86">
        <v>194035500</v>
      </c>
      <c r="N156" s="86">
        <v>165194620</v>
      </c>
      <c r="O156" s="7">
        <v>181024510</v>
      </c>
      <c r="P156" s="7">
        <v>177578000</v>
      </c>
      <c r="Q156" s="89">
        <v>228041000</v>
      </c>
      <c r="R156" s="7">
        <v>225165500</v>
      </c>
      <c r="S156" s="89">
        <v>235508000</v>
      </c>
      <c r="T156" s="89">
        <v>233416683</v>
      </c>
      <c r="U156" s="7">
        <v>231970276</v>
      </c>
      <c r="V156" s="7">
        <v>223811000</v>
      </c>
      <c r="W156" s="7">
        <v>361459500</v>
      </c>
      <c r="X156" s="7">
        <v>238543890</v>
      </c>
      <c r="Z156" s="34"/>
    </row>
    <row r="157" spans="2:26" ht="15" customHeight="1">
      <c r="B157" s="980" t="s">
        <v>378</v>
      </c>
      <c r="C157" s="980" t="s">
        <v>415</v>
      </c>
      <c r="D157" s="468"/>
      <c r="E157" t="s">
        <v>191</v>
      </c>
      <c r="F157" s="126" t="s">
        <v>385</v>
      </c>
      <c r="I157" s="563" t="s">
        <v>386</v>
      </c>
      <c r="J157" s="86">
        <f t="shared" si="147"/>
        <v>772936004.88888884</v>
      </c>
      <c r="K157" s="86">
        <v>86524329</v>
      </c>
      <c r="L157" s="86">
        <v>89988461</v>
      </c>
      <c r="M157" s="86">
        <v>54126165</v>
      </c>
      <c r="N157" s="86">
        <v>50783424.888888888</v>
      </c>
      <c r="O157" s="7">
        <v>44667477</v>
      </c>
      <c r="P157" s="7">
        <v>51720367</v>
      </c>
      <c r="Q157" s="89">
        <v>63471313</v>
      </c>
      <c r="R157" s="7">
        <v>62335601</v>
      </c>
      <c r="S157" s="89">
        <v>65124161</v>
      </c>
      <c r="T157" s="89">
        <v>63672079</v>
      </c>
      <c r="U157" s="7">
        <v>66020269</v>
      </c>
      <c r="V157" s="7">
        <v>70131904</v>
      </c>
      <c r="W157" s="7">
        <v>102326500</v>
      </c>
      <c r="X157" s="7">
        <v>78556744</v>
      </c>
      <c r="Z157" s="34"/>
    </row>
    <row r="158" spans="2:26" ht="15" customHeight="1">
      <c r="B158" s="980" t="s">
        <v>378</v>
      </c>
      <c r="C158" s="980" t="s">
        <v>415</v>
      </c>
      <c r="D158" s="468"/>
      <c r="E158" t="s">
        <v>191</v>
      </c>
      <c r="F158" s="126" t="s">
        <v>277</v>
      </c>
      <c r="I158" s="563" t="s">
        <v>234</v>
      </c>
      <c r="J158" s="86">
        <f t="shared" si="147"/>
        <v>6691719610.5123043</v>
      </c>
      <c r="K158" s="86">
        <v>571242902.44744456</v>
      </c>
      <c r="L158" s="86">
        <v>750638797.41499627</v>
      </c>
      <c r="M158" s="86">
        <v>724962266.33276451</v>
      </c>
      <c r="N158" s="86">
        <v>957639904.46247673</v>
      </c>
      <c r="O158" s="7">
        <v>824002892.60482848</v>
      </c>
      <c r="P158" s="7">
        <v>849996328.26653588</v>
      </c>
      <c r="Q158" s="7">
        <v>830732998.84928179</v>
      </c>
      <c r="R158" s="7">
        <v>310594779.94429493</v>
      </c>
      <c r="S158" s="7">
        <v>463196285.21262205</v>
      </c>
      <c r="T158" s="34">
        <f>T224+T284+T344+T404+T464</f>
        <v>494476796.04821461</v>
      </c>
      <c r="U158" s="34">
        <f>U224+U284+U344+U404+U464</f>
        <v>598563226.90528572</v>
      </c>
      <c r="V158" s="34">
        <f>V224+V284+V344+V404+V464</f>
        <v>195060550.70000008</v>
      </c>
      <c r="W158" s="7">
        <f>W224+W284+W344+W404+W464</f>
        <v>235670457.90599999</v>
      </c>
      <c r="X158" s="7">
        <f>X224+X284+X344+X404+X464</f>
        <v>206823123.28</v>
      </c>
      <c r="Z158" s="34"/>
    </row>
    <row r="159" spans="2:26" ht="15" customHeight="1">
      <c r="B159" s="980" t="s">
        <v>378</v>
      </c>
      <c r="C159" s="980" t="s">
        <v>415</v>
      </c>
      <c r="D159" s="468"/>
      <c r="E159" t="s">
        <v>191</v>
      </c>
      <c r="F159" s="126" t="s">
        <v>278</v>
      </c>
      <c r="I159" s="563" t="s">
        <v>235</v>
      </c>
      <c r="J159" s="86">
        <f t="shared" si="147"/>
        <v>2114209777</v>
      </c>
      <c r="K159" s="86">
        <v>345907575.5</v>
      </c>
      <c r="L159" s="86">
        <v>23893646.5</v>
      </c>
      <c r="M159" s="86">
        <v>218520134</v>
      </c>
      <c r="N159" s="86">
        <v>73079563</v>
      </c>
      <c r="O159" s="86">
        <v>313951743</v>
      </c>
      <c r="P159" s="86">
        <v>9600680</v>
      </c>
      <c r="Q159" s="86">
        <v>82322811</v>
      </c>
      <c r="R159" s="7">
        <v>15177374</v>
      </c>
      <c r="S159" s="7">
        <v>20318553</v>
      </c>
      <c r="T159" s="7">
        <v>174440677</v>
      </c>
      <c r="U159" s="7">
        <v>30132234</v>
      </c>
      <c r="V159" s="7">
        <v>508847098</v>
      </c>
      <c r="W159" s="7">
        <f>96467980+75000000</f>
        <v>171467980</v>
      </c>
      <c r="X159" s="7">
        <f>421350930+75000000</f>
        <v>496350930</v>
      </c>
      <c r="Z159" s="34"/>
    </row>
    <row r="160" spans="2:26" ht="15" customHeight="1">
      <c r="B160" s="980" t="s">
        <v>378</v>
      </c>
      <c r="C160" s="980" t="s">
        <v>415</v>
      </c>
      <c r="D160" s="468"/>
      <c r="E160" t="s">
        <v>191</v>
      </c>
      <c r="F160" s="126" t="s">
        <v>279</v>
      </c>
      <c r="I160" s="563" t="s">
        <v>163</v>
      </c>
      <c r="J160" s="86">
        <f t="shared" si="147"/>
        <v>1509454296.1378438</v>
      </c>
      <c r="K160" s="86">
        <v>155061783.26831949</v>
      </c>
      <c r="L160" s="86">
        <v>300202233.69035649</v>
      </c>
      <c r="M160" s="86">
        <v>262061870.42896703</v>
      </c>
      <c r="N160" s="86">
        <v>193396570.06717169</v>
      </c>
      <c r="O160" s="7">
        <v>198152657.71437523</v>
      </c>
      <c r="P160" s="7">
        <v>135774045.3447451</v>
      </c>
      <c r="Q160" s="7">
        <v>97747089.81103535</v>
      </c>
      <c r="R160" s="7">
        <v>82995063.783193827</v>
      </c>
      <c r="S160" s="7">
        <v>103466578.90567535</v>
      </c>
      <c r="T160" s="34">
        <f>T226+T286+T346+T406+T466</f>
        <v>83671599.34320724</v>
      </c>
      <c r="U160" s="34">
        <f>U226+U286+U346+U406+U466</f>
        <v>89564880.664822385</v>
      </c>
      <c r="V160" s="34">
        <f>V226+V286+V346+V406+V466</f>
        <v>88860269.270334393</v>
      </c>
      <c r="W160" s="7">
        <f>W226+W286+W346+W406+W466</f>
        <v>89488962.474412769</v>
      </c>
      <c r="X160" s="7">
        <f>X226+X286+X346+X406+X466</f>
        <v>84274708.329903543</v>
      </c>
      <c r="Z160" s="34"/>
    </row>
    <row r="161" spans="2:25" ht="15" customHeight="1">
      <c r="B161" s="980" t="s">
        <v>378</v>
      </c>
      <c r="C161" s="980" t="s">
        <v>415</v>
      </c>
      <c r="D161" s="468"/>
      <c r="E161" t="s">
        <v>191</v>
      </c>
      <c r="F161" s="126" t="s">
        <v>298</v>
      </c>
      <c r="G161" s="980" t="str">
        <f t="shared" ref="G161:G166" si="166">B161&amp;"_"&amp;C161&amp;"_"&amp;D161&amp;"_"&amp;E161&amp;"_"&amp;F161</f>
        <v>card_credit__all_overhead_cost</v>
      </c>
      <c r="I161" s="85" t="s">
        <v>299</v>
      </c>
      <c r="J161" s="86">
        <f t="shared" si="147"/>
        <v>51135303711.458633</v>
      </c>
      <c r="K161" s="85">
        <f>SUM(K162:K165)</f>
        <v>3144658348.7200003</v>
      </c>
      <c r="L161" s="85">
        <f t="shared" ref="L161:R161" si="167">SUM(L162:L165)</f>
        <v>5778777494.4416485</v>
      </c>
      <c r="M161" s="85">
        <f t="shared" si="167"/>
        <v>3357130135.9928899</v>
      </c>
      <c r="N161" s="85">
        <f t="shared" si="167"/>
        <v>3513678726.950551</v>
      </c>
      <c r="O161" s="85">
        <f t="shared" si="167"/>
        <v>3504660485.9418135</v>
      </c>
      <c r="P161" s="85">
        <f t="shared" si="167"/>
        <v>3690524106.1342292</v>
      </c>
      <c r="Q161" s="85">
        <f t="shared" si="167"/>
        <v>3341598459.0897779</v>
      </c>
      <c r="R161" s="85">
        <f t="shared" si="167"/>
        <v>3694170643.4386778</v>
      </c>
      <c r="S161" s="47">
        <f t="shared" ref="S161:X161" si="168">SUM(S162:S165)</f>
        <v>5060282657.1397943</v>
      </c>
      <c r="T161" s="47">
        <f t="shared" si="168"/>
        <v>4802394660.1077919</v>
      </c>
      <c r="U161" s="47">
        <f t="shared" si="168"/>
        <v>4590290822.7710085</v>
      </c>
      <c r="V161" s="47">
        <f t="shared" si="168"/>
        <v>7053588682.7806435</v>
      </c>
      <c r="W161" s="47">
        <f t="shared" si="168"/>
        <v>4433313096.2243528</v>
      </c>
      <c r="X161" s="47">
        <f t="shared" si="168"/>
        <v>4093671234.8871012</v>
      </c>
    </row>
    <row r="162" spans="2:25" ht="15" customHeight="1">
      <c r="B162" s="980" t="s">
        <v>378</v>
      </c>
      <c r="C162" s="980" t="s">
        <v>415</v>
      </c>
      <c r="D162" s="468"/>
      <c r="E162" t="s">
        <v>191</v>
      </c>
      <c r="F162" s="126" t="s">
        <v>300</v>
      </c>
      <c r="G162" s="980" t="str">
        <f t="shared" si="166"/>
        <v>card_credit__all_direct_HR</v>
      </c>
      <c r="I162" s="1067" t="s">
        <v>301</v>
      </c>
      <c r="J162" s="86">
        <f t="shared" si="147"/>
        <v>27180781217.439995</v>
      </c>
      <c r="K162" s="86">
        <f t="shared" ref="K162:R165" si="169">80%*K12</f>
        <v>1939905457.6000001</v>
      </c>
      <c r="L162" s="86">
        <f t="shared" si="169"/>
        <v>1982304052</v>
      </c>
      <c r="M162" s="86">
        <f t="shared" si="169"/>
        <v>2030663637.6000004</v>
      </c>
      <c r="N162" s="86">
        <f t="shared" si="169"/>
        <v>2072888396.392257</v>
      </c>
      <c r="O162" s="7">
        <f t="shared" si="169"/>
        <v>2172038624.7497144</v>
      </c>
      <c r="P162" s="7">
        <f t="shared" si="169"/>
        <v>2085945923.5519998</v>
      </c>
      <c r="Q162" s="7">
        <f t="shared" si="169"/>
        <v>2078231153.9200001</v>
      </c>
      <c r="R162" s="7">
        <f t="shared" si="169"/>
        <v>2094813285.4768808</v>
      </c>
      <c r="S162" s="7">
        <f t="shared" ref="S162" si="170">80%*S12</f>
        <v>2121049866.7090909</v>
      </c>
      <c r="T162" s="7">
        <f t="shared" ref="T162:U165" si="171">80%*T12</f>
        <v>2604752202.5391955</v>
      </c>
      <c r="U162" s="7">
        <f t="shared" si="171"/>
        <v>2414035219.8340926</v>
      </c>
      <c r="V162" s="7">
        <f t="shared" ref="V162:X165" si="172">80%*V12</f>
        <v>2463168117.3297877</v>
      </c>
      <c r="W162" s="7">
        <f t="shared" si="172"/>
        <v>2562731430.8549399</v>
      </c>
      <c r="X162" s="7">
        <f t="shared" si="172"/>
        <v>2480463358.4820375</v>
      </c>
    </row>
    <row r="163" spans="2:25" ht="15" customHeight="1">
      <c r="B163" s="980" t="s">
        <v>378</v>
      </c>
      <c r="C163" s="980" t="s">
        <v>415</v>
      </c>
      <c r="D163" s="468"/>
      <c r="E163" t="s">
        <v>191</v>
      </c>
      <c r="F163" s="126" t="s">
        <v>302</v>
      </c>
      <c r="G163" s="980" t="str">
        <f t="shared" si="166"/>
        <v>card_credit__all_indirect_HR</v>
      </c>
      <c r="I163" s="1067" t="s">
        <v>303</v>
      </c>
      <c r="J163" s="86">
        <f t="shared" si="147"/>
        <v>10087958138.238121</v>
      </c>
      <c r="K163" s="86">
        <f t="shared" si="169"/>
        <v>392253108.80000001</v>
      </c>
      <c r="L163" s="86">
        <f t="shared" si="169"/>
        <v>393590858.40000004</v>
      </c>
      <c r="M163" s="86">
        <f t="shared" si="169"/>
        <v>469977515.18400002</v>
      </c>
      <c r="N163" s="86">
        <f t="shared" si="169"/>
        <v>441826250.49607146</v>
      </c>
      <c r="O163" s="7">
        <f t="shared" si="169"/>
        <v>432148198.24098772</v>
      </c>
      <c r="P163" s="7">
        <f t="shared" si="169"/>
        <v>438259920.77600002</v>
      </c>
      <c r="Q163" s="7">
        <f t="shared" si="169"/>
        <v>450340681.81599998</v>
      </c>
      <c r="R163" s="7">
        <f t="shared" si="169"/>
        <v>453626800.07735234</v>
      </c>
      <c r="S163" s="7">
        <f t="shared" ref="S163" si="173">80%*S13</f>
        <v>1775772817.6840367</v>
      </c>
      <c r="T163" s="7">
        <f t="shared" si="171"/>
        <v>977467684.8752625</v>
      </c>
      <c r="U163" s="7">
        <f t="shared" si="171"/>
        <v>719555114.22040725</v>
      </c>
      <c r="V163" s="7">
        <f t="shared" si="172"/>
        <v>2646547910.0641904</v>
      </c>
      <c r="W163" s="7">
        <f t="shared" si="172"/>
        <v>739655841.03163445</v>
      </c>
      <c r="X163" s="7">
        <f t="shared" si="172"/>
        <v>542779403.77217638</v>
      </c>
    </row>
    <row r="164" spans="2:25" ht="15" customHeight="1">
      <c r="B164" s="980" t="s">
        <v>378</v>
      </c>
      <c r="C164" s="980" t="s">
        <v>415</v>
      </c>
      <c r="D164" s="468"/>
      <c r="E164" t="s">
        <v>191</v>
      </c>
      <c r="F164" s="126" t="s">
        <v>304</v>
      </c>
      <c r="G164" s="980" t="str">
        <f t="shared" si="166"/>
        <v>card_credit__all_system_cost</v>
      </c>
      <c r="I164" s="1067" t="s">
        <v>305</v>
      </c>
      <c r="J164" s="86">
        <f t="shared" si="147"/>
        <v>7311788838.0471115</v>
      </c>
      <c r="K164" s="86">
        <f t="shared" si="169"/>
        <v>408400000</v>
      </c>
      <c r="L164" s="86">
        <f t="shared" si="169"/>
        <v>714651149.28000009</v>
      </c>
      <c r="M164" s="86">
        <f t="shared" si="169"/>
        <v>498786639.35111117</v>
      </c>
      <c r="N164" s="86">
        <f t="shared" si="169"/>
        <v>542433491.04888892</v>
      </c>
      <c r="O164" s="7">
        <f t="shared" si="169"/>
        <v>473665755.29777789</v>
      </c>
      <c r="P164" s="7">
        <f t="shared" si="169"/>
        <v>587507689.36000001</v>
      </c>
      <c r="Q164" s="7">
        <f t="shared" si="169"/>
        <v>440390061.81599998</v>
      </c>
      <c r="R164" s="7">
        <f t="shared" si="169"/>
        <v>625754616.81777775</v>
      </c>
      <c r="S164" s="7">
        <f t="shared" ref="S164" si="174">80%*S14</f>
        <v>583904872.6400001</v>
      </c>
      <c r="T164" s="7">
        <f t="shared" si="171"/>
        <v>606918232.13333344</v>
      </c>
      <c r="U164" s="7">
        <f t="shared" si="171"/>
        <v>654795316.88000011</v>
      </c>
      <c r="V164" s="7">
        <f t="shared" si="172"/>
        <v>682087466.18666685</v>
      </c>
      <c r="W164" s="7">
        <f t="shared" si="172"/>
        <v>570128785.15555561</v>
      </c>
      <c r="X164" s="7">
        <f t="shared" si="172"/>
        <v>1045415911.3600001</v>
      </c>
    </row>
    <row r="165" spans="2:25" ht="15" customHeight="1" thickBot="1">
      <c r="B165" s="980" t="s">
        <v>378</v>
      </c>
      <c r="C165" s="980" t="s">
        <v>415</v>
      </c>
      <c r="D165" s="468"/>
      <c r="E165" t="s">
        <v>191</v>
      </c>
      <c r="F165" s="126" t="s">
        <v>306</v>
      </c>
      <c r="G165" s="980" t="str">
        <f t="shared" si="166"/>
        <v>card_credit__all_other_support_cost</v>
      </c>
      <c r="I165" s="1096" t="s">
        <v>307</v>
      </c>
      <c r="J165" s="1092">
        <f t="shared" si="147"/>
        <v>6554775517.7334013</v>
      </c>
      <c r="K165" s="1092">
        <f t="shared" si="169"/>
        <v>404099782.32000005</v>
      </c>
      <c r="L165" s="1092">
        <f t="shared" si="169"/>
        <v>2688231434.7616482</v>
      </c>
      <c r="M165" s="1092">
        <f t="shared" si="169"/>
        <v>357702343.85777789</v>
      </c>
      <c r="N165" s="1092">
        <f t="shared" si="169"/>
        <v>456530589.01333308</v>
      </c>
      <c r="O165" s="1094">
        <f t="shared" si="169"/>
        <v>426807907.65333343</v>
      </c>
      <c r="P165" s="1094">
        <f t="shared" si="169"/>
        <v>578810572.44622886</v>
      </c>
      <c r="Q165" s="1094">
        <f t="shared" si="169"/>
        <v>372636561.53777766</v>
      </c>
      <c r="R165" s="1094">
        <f t="shared" si="169"/>
        <v>519975941.06666702</v>
      </c>
      <c r="S165" s="1094">
        <f t="shared" ref="S165" si="175">80%*S15</f>
        <v>579555100.10666656</v>
      </c>
      <c r="T165" s="1094">
        <f t="shared" si="171"/>
        <v>613256540.5600003</v>
      </c>
      <c r="U165" s="1094">
        <f t="shared" si="171"/>
        <v>801905171.83650875</v>
      </c>
      <c r="V165" s="1094">
        <f t="shared" si="172"/>
        <v>1261785189.1999986</v>
      </c>
      <c r="W165" s="1094">
        <f t="shared" si="172"/>
        <v>560797039.18222284</v>
      </c>
      <c r="X165" s="1094">
        <f t="shared" si="172"/>
        <v>25012561.272887379</v>
      </c>
    </row>
    <row r="166" spans="2:25" ht="15" customHeight="1" thickTop="1">
      <c r="B166" s="980" t="s">
        <v>378</v>
      </c>
      <c r="C166" s="980" t="s">
        <v>415</v>
      </c>
      <c r="D166" s="468"/>
      <c r="E166" t="s">
        <v>191</v>
      </c>
      <c r="F166" s="126" t="s">
        <v>308</v>
      </c>
      <c r="G166" s="980" t="str">
        <f t="shared" si="166"/>
        <v>card_credit__all_profit_after_overhead</v>
      </c>
      <c r="I166" s="462" t="s">
        <v>309</v>
      </c>
      <c r="J166" s="86">
        <f t="shared" si="147"/>
        <v>-19183053479.768353</v>
      </c>
      <c r="K166" s="47">
        <f>K124-K149-K150-K161</f>
        <v>5425406723.8594027</v>
      </c>
      <c r="L166" s="47">
        <f t="shared" ref="L166:Q166" si="176">L124-L149-L150-L161</f>
        <v>-6643494408.5671148</v>
      </c>
      <c r="M166" s="47">
        <f t="shared" si="176"/>
        <v>-16386102570.364136</v>
      </c>
      <c r="N166" s="47">
        <f t="shared" si="176"/>
        <v>-5762625775.9665823</v>
      </c>
      <c r="O166" s="47">
        <f t="shared" si="176"/>
        <v>-9402419240.3604126</v>
      </c>
      <c r="P166" s="47">
        <f t="shared" si="176"/>
        <v>-157068196.69359207</v>
      </c>
      <c r="Q166" s="47">
        <f t="shared" si="176"/>
        <v>7691521683.2113848</v>
      </c>
      <c r="R166" s="47">
        <f t="shared" ref="R166:W166" si="177">R124-R149-R150-R161</f>
        <v>3725849946.8207111</v>
      </c>
      <c r="S166" s="47">
        <f t="shared" si="177"/>
        <v>582622538.08402538</v>
      </c>
      <c r="T166" s="47">
        <f t="shared" si="177"/>
        <v>-3877855202.2727275</v>
      </c>
      <c r="U166" s="47">
        <f t="shared" si="177"/>
        <v>2818686490.3255548</v>
      </c>
      <c r="V166" s="47">
        <f t="shared" si="177"/>
        <v>622199441.3721981</v>
      </c>
      <c r="W166" s="47">
        <f t="shared" si="177"/>
        <v>1356483930.9552622</v>
      </c>
      <c r="X166" s="47">
        <f>X124-X149-X150-X161</f>
        <v>-394346524.88003111</v>
      </c>
    </row>
    <row r="167" spans="2:25" ht="15" customHeight="1">
      <c r="E167"/>
      <c r="F167" s="126"/>
      <c r="I167" s="1090" t="s">
        <v>236</v>
      </c>
      <c r="J167" s="47">
        <f t="shared" ref="J167:Q167" si="178">J166+J161</f>
        <v>31952250231.690281</v>
      </c>
      <c r="K167" s="47">
        <f t="shared" si="178"/>
        <v>8570065072.5794029</v>
      </c>
      <c r="L167" s="47">
        <f t="shared" si="178"/>
        <v>-864716914.12546635</v>
      </c>
      <c r="M167" s="47">
        <f t="shared" si="178"/>
        <v>-13028972434.371246</v>
      </c>
      <c r="N167" s="47">
        <f t="shared" si="178"/>
        <v>-2248947049.0160313</v>
      </c>
      <c r="O167" s="47">
        <f t="shared" si="178"/>
        <v>-5897758754.4185991</v>
      </c>
      <c r="P167" s="47">
        <f t="shared" si="178"/>
        <v>3533455909.4406371</v>
      </c>
      <c r="Q167" s="47">
        <f t="shared" si="178"/>
        <v>11033120142.301163</v>
      </c>
      <c r="R167" s="47">
        <f t="shared" ref="R167:W167" si="179">R166+R161</f>
        <v>7420020590.2593889</v>
      </c>
      <c r="S167" s="47">
        <f t="shared" si="179"/>
        <v>5642905195.2238197</v>
      </c>
      <c r="T167" s="47">
        <f t="shared" si="179"/>
        <v>924539457.83506441</v>
      </c>
      <c r="U167" s="47">
        <f t="shared" si="179"/>
        <v>7408977313.0965633</v>
      </c>
      <c r="V167" s="47">
        <f t="shared" si="179"/>
        <v>7675788124.1528416</v>
      </c>
      <c r="W167" s="47">
        <f t="shared" si="179"/>
        <v>5789797027.179615</v>
      </c>
      <c r="X167" s="47">
        <f>X166+X161</f>
        <v>3699324710.0070701</v>
      </c>
      <c r="Y167" s="47"/>
    </row>
    <row r="168" spans="2:25" ht="15" customHeight="1">
      <c r="E168"/>
      <c r="I168" s="462"/>
      <c r="J168" s="86"/>
      <c r="K168" s="85"/>
      <c r="L168" s="85"/>
      <c r="M168" s="85"/>
      <c r="N168" s="85"/>
      <c r="O168" s="85"/>
      <c r="P168" s="85"/>
      <c r="Q168" s="85"/>
      <c r="U168" s="345"/>
    </row>
    <row r="169" spans="2:25" ht="15" customHeight="1">
      <c r="B169" s="980" t="s">
        <v>378</v>
      </c>
      <c r="C169" s="980" t="s">
        <v>415</v>
      </c>
      <c r="E169" s="468" t="s">
        <v>282</v>
      </c>
      <c r="G169" s="980" t="str">
        <f t="shared" ref="G169:G225" si="180">B169&amp;"_"&amp;C169&amp;"_"&amp;D169&amp;"_"&amp;E169&amp;"_"&amp;F169</f>
        <v>card_credit__BEG_</v>
      </c>
      <c r="I169" s="82" t="s">
        <v>428</v>
      </c>
      <c r="U169" s="7"/>
    </row>
    <row r="170" spans="2:25" ht="15" customHeight="1">
      <c r="B170" s="980" t="s">
        <v>378</v>
      </c>
      <c r="C170" s="980" t="s">
        <v>415</v>
      </c>
      <c r="D170" s="1229"/>
      <c r="E170" s="468" t="s">
        <v>282</v>
      </c>
      <c r="F170" s="126" t="s">
        <v>239</v>
      </c>
      <c r="G170" s="980" t="str">
        <f t="shared" si="180"/>
        <v>card_credit__BEG_new_account</v>
      </c>
      <c r="I170" s="1052" t="s">
        <v>416</v>
      </c>
      <c r="K170">
        <v>36</v>
      </c>
      <c r="L170">
        <v>19</v>
      </c>
      <c r="M170">
        <v>1</v>
      </c>
      <c r="N170">
        <v>0</v>
      </c>
      <c r="O170">
        <v>1</v>
      </c>
      <c r="P170" s="7">
        <v>0</v>
      </c>
      <c r="Q170">
        <v>0</v>
      </c>
      <c r="R170">
        <v>0</v>
      </c>
      <c r="S170">
        <v>19</v>
      </c>
      <c r="T170" s="7">
        <v>53</v>
      </c>
      <c r="U170" s="7">
        <v>46</v>
      </c>
      <c r="V170">
        <v>55</v>
      </c>
      <c r="W170">
        <v>46</v>
      </c>
      <c r="X170" s="7">
        <v>58</v>
      </c>
    </row>
    <row r="171" spans="2:25" ht="15" customHeight="1">
      <c r="B171" s="980" t="s">
        <v>378</v>
      </c>
      <c r="C171" s="980" t="s">
        <v>415</v>
      </c>
      <c r="D171" s="1229"/>
      <c r="E171" s="468" t="s">
        <v>282</v>
      </c>
      <c r="F171" s="126" t="s">
        <v>240</v>
      </c>
      <c r="G171" s="980" t="str">
        <f t="shared" si="180"/>
        <v>card_credit__BEG_accum_account</v>
      </c>
      <c r="I171" s="1052" t="s">
        <v>417</v>
      </c>
      <c r="K171" s="34">
        <v>4723</v>
      </c>
      <c r="L171" s="34">
        <v>4742</v>
      </c>
      <c r="M171" s="34">
        <v>4743</v>
      </c>
      <c r="N171" s="34">
        <v>4743</v>
      </c>
      <c r="O171" s="34">
        <v>4744</v>
      </c>
      <c r="P171" s="7">
        <v>4744</v>
      </c>
      <c r="Q171" s="34">
        <f t="shared" ref="Q171:W171" si="181">P171+Q170</f>
        <v>4744</v>
      </c>
      <c r="R171" s="7">
        <f t="shared" si="181"/>
        <v>4744</v>
      </c>
      <c r="S171" s="7">
        <f t="shared" si="181"/>
        <v>4763</v>
      </c>
      <c r="T171" s="7">
        <f t="shared" si="181"/>
        <v>4816</v>
      </c>
      <c r="U171" s="7">
        <f t="shared" si="181"/>
        <v>4862</v>
      </c>
      <c r="V171" s="7">
        <f t="shared" si="181"/>
        <v>4917</v>
      </c>
      <c r="W171" s="7">
        <f t="shared" si="181"/>
        <v>4963</v>
      </c>
      <c r="X171" s="7">
        <f>W171+X170</f>
        <v>5021</v>
      </c>
    </row>
    <row r="172" spans="2:25" ht="15" customHeight="1">
      <c r="B172" s="980" t="s">
        <v>378</v>
      </c>
      <c r="C172" s="980" t="s">
        <v>415</v>
      </c>
      <c r="D172" s="1229"/>
      <c r="E172" s="468" t="s">
        <v>282</v>
      </c>
      <c r="F172" s="126" t="s">
        <v>241</v>
      </c>
      <c r="G172" s="980" t="str">
        <f>B172&amp;"_"&amp;C172&amp;"_"&amp;D172&amp;"_"&amp;E172&amp;"_"&amp;F172</f>
        <v>card_credit__BEG_active_account</v>
      </c>
      <c r="I172" s="1052" t="s">
        <v>418</v>
      </c>
      <c r="K172">
        <v>2735</v>
      </c>
      <c r="L172">
        <v>3274</v>
      </c>
      <c r="M172">
        <v>3117</v>
      </c>
      <c r="N172">
        <v>2585</v>
      </c>
      <c r="O172">
        <v>2433</v>
      </c>
      <c r="P172" s="7">
        <v>2268</v>
      </c>
      <c r="Q172">
        <v>2030</v>
      </c>
      <c r="R172" s="7">
        <v>1771</v>
      </c>
      <c r="S172" s="7">
        <v>1506</v>
      </c>
      <c r="T172">
        <v>1497</v>
      </c>
      <c r="U172" s="7">
        <v>1470</v>
      </c>
      <c r="V172" s="7">
        <v>1454</v>
      </c>
      <c r="W172" s="7">
        <v>1471</v>
      </c>
      <c r="X172" s="7">
        <v>1506</v>
      </c>
    </row>
    <row r="173" spans="2:25" ht="15" customHeight="1">
      <c r="B173" s="980" t="s">
        <v>378</v>
      </c>
      <c r="C173" s="980" t="s">
        <v>415</v>
      </c>
      <c r="D173" s="1229"/>
      <c r="E173" s="468" t="s">
        <v>282</v>
      </c>
      <c r="F173" s="1229"/>
      <c r="G173" s="980" t="str">
        <f>B173&amp;"_"&amp;C173&amp;"_"&amp;D173&amp;"_"&amp;E173&amp;"_"&amp;F173</f>
        <v>card_credit__BEG_</v>
      </c>
      <c r="I173" s="1052" t="s">
        <v>419</v>
      </c>
      <c r="K173" s="80">
        <f t="shared" ref="K173:Q173" si="182">K172/K171</f>
        <v>0.57908109252593687</v>
      </c>
      <c r="L173" s="80">
        <f t="shared" si="182"/>
        <v>0.69042598059890337</v>
      </c>
      <c r="M173" s="80">
        <f t="shared" si="182"/>
        <v>0.65717900063251111</v>
      </c>
      <c r="N173" s="80">
        <f t="shared" si="182"/>
        <v>0.54501370440649377</v>
      </c>
      <c r="O173" s="80">
        <f t="shared" si="182"/>
        <v>0.51285834738617198</v>
      </c>
      <c r="P173" s="42">
        <f t="shared" si="182"/>
        <v>0.47807757166947723</v>
      </c>
      <c r="Q173" s="42">
        <f t="shared" si="182"/>
        <v>0.42790893760539628</v>
      </c>
      <c r="R173" s="42">
        <f t="shared" ref="R173" si="183">R172/R171</f>
        <v>0.37331365935919053</v>
      </c>
      <c r="S173" s="42">
        <f t="shared" ref="S173:X173" si="184">S172/S171</f>
        <v>0.31618727692630694</v>
      </c>
      <c r="T173" s="42">
        <f t="shared" si="184"/>
        <v>0.31083887043189368</v>
      </c>
      <c r="U173" s="42">
        <f t="shared" si="184"/>
        <v>0.30234471410941999</v>
      </c>
      <c r="V173" s="42">
        <f t="shared" si="184"/>
        <v>0.2957087655074232</v>
      </c>
      <c r="W173" s="42">
        <f t="shared" si="184"/>
        <v>0.29639331049768286</v>
      </c>
      <c r="X173" s="42">
        <f t="shared" si="184"/>
        <v>0.29994025094602667</v>
      </c>
    </row>
    <row r="174" spans="2:25" ht="15" customHeight="1">
      <c r="B174" s="980" t="s">
        <v>378</v>
      </c>
      <c r="C174" s="980" t="s">
        <v>415</v>
      </c>
      <c r="D174" s="1229"/>
      <c r="E174" s="468" t="s">
        <v>282</v>
      </c>
      <c r="F174" s="1229"/>
      <c r="G174" s="980" t="str">
        <f t="shared" si="180"/>
        <v>card_credit__BEG_</v>
      </c>
      <c r="I174" s="1052" t="s">
        <v>420</v>
      </c>
      <c r="K174" s="7">
        <f t="shared" ref="K174:Q174" si="185">K176/K171</f>
        <v>2130239.2547109886</v>
      </c>
      <c r="L174" s="7">
        <f t="shared" si="185"/>
        <v>2510343.7368199071</v>
      </c>
      <c r="M174" s="7">
        <f t="shared" si="185"/>
        <v>2317248.0286738351</v>
      </c>
      <c r="N174" s="7">
        <f t="shared" si="185"/>
        <v>1630424.6696183849</v>
      </c>
      <c r="O174" s="7">
        <f t="shared" si="185"/>
        <v>2295863.8551854976</v>
      </c>
      <c r="P174" s="7">
        <f t="shared" si="185"/>
        <v>2147478.515598651</v>
      </c>
      <c r="Q174" s="7">
        <f t="shared" si="185"/>
        <v>1927673.8676222598</v>
      </c>
      <c r="R174" s="7">
        <f t="shared" ref="R174" si="186">R176/R171</f>
        <v>1758259.310708263</v>
      </c>
      <c r="S174" s="7">
        <f t="shared" ref="S174:X174" si="187">S176/S171</f>
        <v>1988912.9034222129</v>
      </c>
      <c r="T174" s="7">
        <f t="shared" si="187"/>
        <v>2114177.4632475083</v>
      </c>
      <c r="U174" s="7">
        <f t="shared" si="187"/>
        <v>1910889.4529000411</v>
      </c>
      <c r="V174" s="7">
        <f t="shared" si="187"/>
        <v>2217793.6324994913</v>
      </c>
      <c r="W174" s="7">
        <f t="shared" si="187"/>
        <v>2162300.6304654442</v>
      </c>
      <c r="X174" s="7">
        <f t="shared" si="187"/>
        <v>2760098.3523202548</v>
      </c>
    </row>
    <row r="175" spans="2:25" ht="15" customHeight="1">
      <c r="B175" s="980" t="s">
        <v>378</v>
      </c>
      <c r="C175" s="980" t="s">
        <v>415</v>
      </c>
      <c r="D175" s="1229"/>
      <c r="E175" s="468" t="s">
        <v>282</v>
      </c>
      <c r="F175" s="1229"/>
      <c r="G175" s="980" t="str">
        <f t="shared" si="180"/>
        <v>card_credit__BEG_</v>
      </c>
      <c r="I175" s="1052" t="s">
        <v>421</v>
      </c>
      <c r="K175" s="34">
        <f t="shared" ref="K175:Q175" si="188">K176/K172</f>
        <v>3678654.4789762339</v>
      </c>
      <c r="L175" s="34">
        <f t="shared" si="188"/>
        <v>3635934.6365302382</v>
      </c>
      <c r="M175" s="34">
        <f t="shared" si="188"/>
        <v>3526053.0638434393</v>
      </c>
      <c r="N175" s="34">
        <f t="shared" si="188"/>
        <v>2991529.6742746616</v>
      </c>
      <c r="O175" s="34">
        <f t="shared" si="188"/>
        <v>4476604.2453760793</v>
      </c>
      <c r="P175" s="7">
        <f t="shared" si="188"/>
        <v>4491903.9144620812</v>
      </c>
      <c r="Q175" s="7">
        <f t="shared" si="188"/>
        <v>4504869.3733990146</v>
      </c>
      <c r="R175" s="7">
        <f t="shared" ref="R175" si="189">R176/R172</f>
        <v>4709871.3551665721</v>
      </c>
      <c r="S175" s="7">
        <f t="shared" ref="S175:X175" si="190">S176/S172</f>
        <v>6290300.2383798137</v>
      </c>
      <c r="T175" s="7">
        <f t="shared" si="190"/>
        <v>6801522.1529726116</v>
      </c>
      <c r="U175" s="7">
        <f t="shared" si="190"/>
        <v>6320234.3673469387</v>
      </c>
      <c r="V175" s="7">
        <f t="shared" si="190"/>
        <v>7499925.2345254468</v>
      </c>
      <c r="W175" s="7">
        <f t="shared" si="190"/>
        <v>7295375.9544527531</v>
      </c>
      <c r="X175" s="7">
        <f t="shared" si="190"/>
        <v>9202160.5756972115</v>
      </c>
    </row>
    <row r="176" spans="2:25" ht="15" customHeight="1">
      <c r="B176" s="980" t="s">
        <v>378</v>
      </c>
      <c r="C176" s="980" t="s">
        <v>415</v>
      </c>
      <c r="D176" s="1229"/>
      <c r="E176" s="468" t="s">
        <v>282</v>
      </c>
      <c r="F176" s="126" t="s">
        <v>242</v>
      </c>
      <c r="G176" s="980" t="str">
        <f>B176&amp;"_"&amp;C176&amp;"_"&amp;D176&amp;"_"&amp;E176&amp;"_"&amp;F176</f>
        <v>card_credit__BEG_disburse/spend</v>
      </c>
      <c r="I176" s="1052" t="s">
        <v>199</v>
      </c>
      <c r="J176" s="34">
        <f>SUM(M176:X176)</f>
        <v>121729753302</v>
      </c>
      <c r="K176" s="89">
        <f>10061.12*10^6</f>
        <v>10061120000</v>
      </c>
      <c r="L176" s="89">
        <v>11904050000</v>
      </c>
      <c r="M176" s="7">
        <v>10990707400</v>
      </c>
      <c r="N176" s="7">
        <v>7733104208</v>
      </c>
      <c r="O176" s="7">
        <v>10891578129</v>
      </c>
      <c r="P176" s="7">
        <v>10187638078</v>
      </c>
      <c r="Q176" s="7">
        <v>9144884828</v>
      </c>
      <c r="R176" s="7">
        <v>8341182170</v>
      </c>
      <c r="S176" s="7">
        <v>9473192159</v>
      </c>
      <c r="T176" s="7">
        <v>10181878663</v>
      </c>
      <c r="U176" s="7">
        <v>9290744520</v>
      </c>
      <c r="V176" s="7">
        <v>10904891291</v>
      </c>
      <c r="W176" s="7">
        <v>10731498029</v>
      </c>
      <c r="X176" s="7">
        <v>13858453827</v>
      </c>
    </row>
    <row r="177" spans="2:24" ht="15" customHeight="1">
      <c r="B177" s="980" t="s">
        <v>378</v>
      </c>
      <c r="C177" s="980" t="s">
        <v>415</v>
      </c>
      <c r="D177" s="1229"/>
      <c r="E177" s="468" t="s">
        <v>282</v>
      </c>
      <c r="F177" s="126" t="s">
        <v>243</v>
      </c>
      <c r="G177" s="980" t="str">
        <f>B177&amp;"_"&amp;C177&amp;"_"&amp;D177&amp;"_"&amp;E177&amp;"_"&amp;F177</f>
        <v>card_credit__BEG_ENR</v>
      </c>
      <c r="I177" s="1052" t="s">
        <v>200</v>
      </c>
      <c r="K177" s="7">
        <v>20006536877</v>
      </c>
      <c r="L177" s="7">
        <v>19933912593</v>
      </c>
      <c r="M177" s="7">
        <v>20199643960</v>
      </c>
      <c r="N177" s="7">
        <v>19083005283</v>
      </c>
      <c r="O177" s="7">
        <v>18261998691</v>
      </c>
      <c r="P177" s="7">
        <v>18403455863</v>
      </c>
      <c r="Q177" s="7">
        <v>17960888719</v>
      </c>
      <c r="R177" s="7">
        <v>17963673028</v>
      </c>
      <c r="S177" s="7">
        <v>17760851743</v>
      </c>
      <c r="T177" s="7">
        <v>18592013315</v>
      </c>
      <c r="U177" s="7">
        <v>19447948968</v>
      </c>
      <c r="V177" s="7">
        <v>19858363523</v>
      </c>
      <c r="W177" s="7">
        <v>20810057348</v>
      </c>
      <c r="X177" s="7">
        <v>21184347243</v>
      </c>
    </row>
    <row r="178" spans="2:24" ht="15" customHeight="1">
      <c r="B178" s="980" t="s">
        <v>378</v>
      </c>
      <c r="C178" s="980" t="s">
        <v>415</v>
      </c>
      <c r="D178" s="1229"/>
      <c r="E178" s="468" t="s">
        <v>282</v>
      </c>
      <c r="F178" s="126" t="s">
        <v>244</v>
      </c>
      <c r="G178" s="980" t="str">
        <f t="shared" ref="G178:G187" si="191">B178&amp;"_"&amp;C178&amp;"_"&amp;D178&amp;"_"&amp;E178&amp;"_"&amp;F178</f>
        <v>card_credit__BEG_nonEMI_ENR</v>
      </c>
      <c r="I178" s="1072" t="s">
        <v>201</v>
      </c>
      <c r="K178" s="7"/>
      <c r="L178" s="7"/>
      <c r="M178" s="7"/>
      <c r="N178" s="7"/>
      <c r="O178" s="7"/>
      <c r="Q178" s="7"/>
      <c r="S178" s="7">
        <f t="shared" ref="S178:X178" si="192">S177-S179</f>
        <v>17755193410</v>
      </c>
      <c r="T178" s="34">
        <f t="shared" si="192"/>
        <v>18262138232</v>
      </c>
      <c r="U178" s="34">
        <f t="shared" si="192"/>
        <v>18667884596</v>
      </c>
      <c r="V178" s="34">
        <f t="shared" si="192"/>
        <v>18808365858</v>
      </c>
      <c r="W178" s="34">
        <f t="shared" si="192"/>
        <v>19701598783</v>
      </c>
      <c r="X178" s="34">
        <f t="shared" si="192"/>
        <v>19904631832</v>
      </c>
    </row>
    <row r="179" spans="2:24" ht="15" customHeight="1">
      <c r="B179" s="980" t="s">
        <v>378</v>
      </c>
      <c r="C179" s="980" t="s">
        <v>415</v>
      </c>
      <c r="D179" s="1229"/>
      <c r="E179" s="468" t="s">
        <v>282</v>
      </c>
      <c r="F179" s="126" t="s">
        <v>245</v>
      </c>
      <c r="G179" s="980" t="str">
        <f t="shared" si="191"/>
        <v>card_credit__BEG_EMI_ENR</v>
      </c>
      <c r="I179" s="1072" t="s">
        <v>202</v>
      </c>
      <c r="K179" s="7"/>
      <c r="L179" s="7"/>
      <c r="M179" s="7"/>
      <c r="N179" s="7"/>
      <c r="O179" s="7"/>
      <c r="Q179" s="7"/>
      <c r="S179" s="7">
        <v>5658333</v>
      </c>
      <c r="T179" s="7">
        <v>329875083</v>
      </c>
      <c r="U179" s="7">
        <v>780064372</v>
      </c>
      <c r="V179" s="7">
        <v>1049997665</v>
      </c>
      <c r="W179" s="7">
        <v>1108458565</v>
      </c>
      <c r="X179" s="7">
        <v>1279715411</v>
      </c>
    </row>
    <row r="180" spans="2:24" ht="15" customHeight="1">
      <c r="B180" s="980" t="s">
        <v>378</v>
      </c>
      <c r="C180" s="980" t="s">
        <v>415</v>
      </c>
      <c r="D180" s="1229"/>
      <c r="E180" s="468" t="s">
        <v>282</v>
      </c>
      <c r="F180" s="126" t="s">
        <v>246</v>
      </c>
      <c r="G180" s="980" t="str">
        <f t="shared" si="191"/>
        <v>card_credit__BEG_revolving_ENR</v>
      </c>
      <c r="I180" s="1052" t="s">
        <v>203</v>
      </c>
      <c r="K180" s="7">
        <v>12107000000</v>
      </c>
      <c r="L180" s="7">
        <f>11942*10^6</f>
        <v>11942000000</v>
      </c>
      <c r="M180" s="7">
        <v>12072000000</v>
      </c>
      <c r="N180" s="7">
        <v>11182000000</v>
      </c>
      <c r="O180" s="7">
        <v>10816631418</v>
      </c>
      <c r="P180" s="7">
        <v>10666281858</v>
      </c>
      <c r="Q180" s="7">
        <v>10893165808.999998</v>
      </c>
      <c r="R180" s="7">
        <v>10956627407</v>
      </c>
      <c r="S180" s="7">
        <v>11024717332.999998</v>
      </c>
      <c r="T180" s="7">
        <v>11281506969</v>
      </c>
      <c r="U180" s="7">
        <v>11163671250</v>
      </c>
      <c r="V180" s="7">
        <v>11348867022.999998</v>
      </c>
      <c r="W180" s="7">
        <v>11568492663</v>
      </c>
      <c r="X180" s="7">
        <v>11373706292</v>
      </c>
    </row>
    <row r="181" spans="2:24" ht="15" customHeight="1">
      <c r="B181" s="980" t="s">
        <v>378</v>
      </c>
      <c r="C181" s="980" t="s">
        <v>415</v>
      </c>
      <c r="D181" s="1229"/>
      <c r="E181" s="468" t="s">
        <v>282</v>
      </c>
      <c r="F181" s="126" t="s">
        <v>247</v>
      </c>
      <c r="G181" s="980" t="str">
        <f t="shared" si="191"/>
        <v>card_credit__BEG_overdue_balance_10d</v>
      </c>
      <c r="I181" s="1052" t="s">
        <v>204</v>
      </c>
      <c r="K181" s="86">
        <f t="shared" ref="K181:R181" si="193">K182+K183</f>
        <v>3164883980</v>
      </c>
      <c r="L181" s="86">
        <f t="shared" si="193"/>
        <v>3373393002</v>
      </c>
      <c r="M181" s="86">
        <f t="shared" si="193"/>
        <v>3483590637</v>
      </c>
      <c r="N181" s="86">
        <f t="shared" si="193"/>
        <v>2926074253</v>
      </c>
      <c r="O181" s="7">
        <f t="shared" si="193"/>
        <v>2797680660</v>
      </c>
      <c r="P181" s="7">
        <f t="shared" si="193"/>
        <v>2657164575</v>
      </c>
      <c r="Q181" s="86">
        <f t="shared" si="193"/>
        <v>2754697996</v>
      </c>
      <c r="R181" s="86">
        <f t="shared" si="193"/>
        <v>2968471005</v>
      </c>
      <c r="S181" s="7">
        <f t="shared" ref="S181:X181" si="194">S182+S183</f>
        <v>3182733135</v>
      </c>
      <c r="T181" s="7">
        <f t="shared" si="194"/>
        <v>2811518613</v>
      </c>
      <c r="U181" s="7">
        <f t="shared" si="194"/>
        <v>2829381271</v>
      </c>
      <c r="V181" s="7">
        <f t="shared" si="194"/>
        <v>2536172776</v>
      </c>
      <c r="W181" s="7">
        <f t="shared" si="194"/>
        <v>2686953280</v>
      </c>
      <c r="X181" s="7">
        <f t="shared" si="194"/>
        <v>2913659939</v>
      </c>
    </row>
    <row r="182" spans="2:24" ht="15" customHeight="1">
      <c r="B182" s="980" t="s">
        <v>378</v>
      </c>
      <c r="C182" s="980" t="s">
        <v>415</v>
      </c>
      <c r="D182" s="1229"/>
      <c r="E182" s="468" t="s">
        <v>282</v>
      </c>
      <c r="G182" s="980" t="str">
        <f t="shared" si="191"/>
        <v>card_credit__BEG_</v>
      </c>
      <c r="I182" s="1052" t="s">
        <v>205</v>
      </c>
      <c r="K182" s="86">
        <v>1141482969</v>
      </c>
      <c r="L182" s="7">
        <v>1243693948</v>
      </c>
      <c r="M182" s="7">
        <v>1307391948</v>
      </c>
      <c r="N182" s="7">
        <v>1444906005</v>
      </c>
      <c r="O182" s="7">
        <v>1157808231</v>
      </c>
      <c r="P182" s="86">
        <v>1151504180</v>
      </c>
      <c r="Q182" s="86">
        <v>1356600703</v>
      </c>
      <c r="R182" s="7">
        <v>1495051532</v>
      </c>
      <c r="S182" s="7">
        <v>1821098285</v>
      </c>
      <c r="T182" s="7">
        <v>1466064436</v>
      </c>
      <c r="U182" s="7">
        <v>1548402306</v>
      </c>
      <c r="V182" s="7">
        <v>1476442152</v>
      </c>
      <c r="W182" s="7">
        <v>1622498740</v>
      </c>
      <c r="X182" s="7">
        <v>1844239317</v>
      </c>
    </row>
    <row r="183" spans="2:24" ht="15" customHeight="1">
      <c r="B183" s="980" t="s">
        <v>378</v>
      </c>
      <c r="C183" s="980" t="s">
        <v>415</v>
      </c>
      <c r="D183" s="1229"/>
      <c r="E183" s="468" t="s">
        <v>282</v>
      </c>
      <c r="F183" s="126" t="s">
        <v>248</v>
      </c>
      <c r="G183" s="980" t="str">
        <f t="shared" si="191"/>
        <v>card_credit__BEG_overdue_balance_90d</v>
      </c>
      <c r="I183" s="1052" t="s">
        <v>206</v>
      </c>
      <c r="K183" s="86">
        <v>2023401011</v>
      </c>
      <c r="L183" s="7">
        <v>2129699054</v>
      </c>
      <c r="M183" s="7">
        <v>2176198689</v>
      </c>
      <c r="N183" s="7">
        <v>1481168248</v>
      </c>
      <c r="O183" s="7">
        <v>1639872429</v>
      </c>
      <c r="P183" s="86">
        <v>1505660395</v>
      </c>
      <c r="Q183" s="86">
        <v>1398097293</v>
      </c>
      <c r="R183" s="7">
        <v>1473419473</v>
      </c>
      <c r="S183" s="7">
        <v>1361634850</v>
      </c>
      <c r="T183" s="7">
        <v>1345454177</v>
      </c>
      <c r="U183" s="7">
        <v>1280978965</v>
      </c>
      <c r="V183" s="7">
        <v>1059730624</v>
      </c>
      <c r="W183" s="7">
        <v>1064454540</v>
      </c>
      <c r="X183" s="7">
        <v>1069420622</v>
      </c>
    </row>
    <row r="184" spans="2:24" ht="15" customHeight="1">
      <c r="B184" s="980" t="s">
        <v>378</v>
      </c>
      <c r="C184" s="980" t="s">
        <v>415</v>
      </c>
      <c r="D184" s="1229"/>
      <c r="E184" s="468" t="s">
        <v>282</v>
      </c>
      <c r="F184" s="1229" t="s">
        <v>213</v>
      </c>
      <c r="G184" s="980" t="str">
        <f t="shared" si="191"/>
        <v>card_credit__BEG_npl</v>
      </c>
      <c r="I184" s="226" t="s">
        <v>423</v>
      </c>
      <c r="K184" s="80">
        <f>K183/K177</f>
        <v>0.10113699454532538</v>
      </c>
      <c r="L184" s="80">
        <f>L183/L177</f>
        <v>0.10683798496978791</v>
      </c>
      <c r="M184" s="80">
        <f>M183/M177</f>
        <v>0.10773450726702809</v>
      </c>
      <c r="N184" s="526">
        <f>N183/N177</f>
        <v>7.7617137659102955E-2</v>
      </c>
      <c r="O184" s="526">
        <f>O183/O177</f>
        <v>8.979698535452052E-2</v>
      </c>
      <c r="P184" s="526">
        <f t="shared" ref="P184:R184" si="195">P183/P177</f>
        <v>8.1814003098576615E-2</v>
      </c>
      <c r="Q184" s="526">
        <f t="shared" si="195"/>
        <v>7.7841209022191479E-2</v>
      </c>
      <c r="R184" s="526">
        <f t="shared" si="195"/>
        <v>8.2022171674099129E-2</v>
      </c>
      <c r="S184" s="526">
        <f t="shared" ref="S184:X184" si="196">S183/S177</f>
        <v>7.666495220515844E-2</v>
      </c>
      <c r="T184" s="526">
        <f t="shared" si="196"/>
        <v>7.2367319999415564E-2</v>
      </c>
      <c r="U184" s="526">
        <f t="shared" si="196"/>
        <v>6.5867046808264745E-2</v>
      </c>
      <c r="V184" s="526">
        <f t="shared" si="196"/>
        <v>5.3364448826441195E-2</v>
      </c>
      <c r="W184" s="526">
        <f t="shared" si="196"/>
        <v>5.1150966198673258E-2</v>
      </c>
      <c r="X184" s="526">
        <f t="shared" si="196"/>
        <v>5.0481641455975071E-2</v>
      </c>
    </row>
    <row r="185" spans="2:24" ht="15" customHeight="1">
      <c r="B185" s="980" t="s">
        <v>378</v>
      </c>
      <c r="C185" s="980" t="s">
        <v>415</v>
      </c>
      <c r="D185" s="1229"/>
      <c r="E185" s="468" t="s">
        <v>282</v>
      </c>
      <c r="F185" s="126" t="s">
        <v>250</v>
      </c>
      <c r="G185" s="980" t="str">
        <f t="shared" si="191"/>
        <v>card_credit__BEG_overdue_account_10d</v>
      </c>
      <c r="I185" s="1052" t="s">
        <v>208</v>
      </c>
      <c r="K185">
        <v>274</v>
      </c>
      <c r="L185">
        <f>L186+L187</f>
        <v>566</v>
      </c>
      <c r="M185">
        <f>M186+M187</f>
        <v>538</v>
      </c>
      <c r="N185">
        <f>N186+N187</f>
        <v>460</v>
      </c>
      <c r="O185">
        <f>O186+O187</f>
        <v>413</v>
      </c>
      <c r="P185" s="86"/>
    </row>
    <row r="186" spans="2:24" ht="15" customHeight="1">
      <c r="B186" s="980" t="s">
        <v>378</v>
      </c>
      <c r="C186" s="980" t="s">
        <v>415</v>
      </c>
      <c r="D186" s="1229"/>
      <c r="E186" s="468" t="s">
        <v>282</v>
      </c>
      <c r="G186" s="980" t="str">
        <f t="shared" si="191"/>
        <v>card_credit__BEG_</v>
      </c>
      <c r="I186" s="1052" t="s">
        <v>209</v>
      </c>
      <c r="K186">
        <v>93</v>
      </c>
      <c r="L186">
        <v>381</v>
      </c>
      <c r="M186">
        <v>230</v>
      </c>
      <c r="N186">
        <v>238</v>
      </c>
      <c r="O186">
        <v>208</v>
      </c>
      <c r="P186" s="86"/>
    </row>
    <row r="187" spans="2:24" ht="15" customHeight="1">
      <c r="B187" s="980" t="s">
        <v>378</v>
      </c>
      <c r="C187" s="980" t="s">
        <v>415</v>
      </c>
      <c r="D187" s="1229"/>
      <c r="E187" s="468" t="s">
        <v>282</v>
      </c>
      <c r="F187" s="126" t="s">
        <v>251</v>
      </c>
      <c r="G187" s="980" t="str">
        <f t="shared" si="191"/>
        <v>card_credit__BEG_overdue_account_90d</v>
      </c>
      <c r="I187" s="1052" t="s">
        <v>210</v>
      </c>
      <c r="K187">
        <v>181</v>
      </c>
      <c r="L187">
        <v>185</v>
      </c>
      <c r="M187">
        <v>308</v>
      </c>
      <c r="N187">
        <v>222</v>
      </c>
      <c r="O187">
        <v>205</v>
      </c>
      <c r="P187" s="86"/>
    </row>
    <row r="188" spans="2:24" ht="15" customHeight="1">
      <c r="B188" s="980" t="s">
        <v>378</v>
      </c>
      <c r="C188" s="980" t="s">
        <v>415</v>
      </c>
      <c r="D188" s="886"/>
      <c r="E188" s="468" t="s">
        <v>282</v>
      </c>
      <c r="F188" s="126" t="s">
        <v>252</v>
      </c>
      <c r="G188" s="980" t="str">
        <f t="shared" si="180"/>
        <v>card_credit__BEG_revenue</v>
      </c>
      <c r="I188" s="85" t="s">
        <v>215</v>
      </c>
      <c r="J188" s="86">
        <f t="shared" ref="J188:J227" si="197">SUM(M188:X188)</f>
        <v>6984834370.6900826</v>
      </c>
      <c r="K188" s="285">
        <f>K191+K198+K214</f>
        <v>816189272.12913799</v>
      </c>
      <c r="L188" s="285">
        <f t="shared" ref="L188:Q188" si="198">L191+L198+L214</f>
        <v>423071414.09002936</v>
      </c>
      <c r="M188" s="285">
        <f t="shared" si="198"/>
        <v>496641957.89765161</v>
      </c>
      <c r="N188" s="285">
        <f t="shared" si="198"/>
        <v>415284823.23986012</v>
      </c>
      <c r="O188" s="285">
        <f t="shared" si="198"/>
        <v>478308423.98157257</v>
      </c>
      <c r="P188" s="285">
        <f t="shared" si="198"/>
        <v>459194904.89151895</v>
      </c>
      <c r="Q188" s="285">
        <f t="shared" si="198"/>
        <v>509016158.19330597</v>
      </c>
      <c r="R188" s="285">
        <f t="shared" ref="R188" si="199">R191+R198+R214</f>
        <v>564876888.97775841</v>
      </c>
      <c r="S188" s="7">
        <f>S191+S198+S214</f>
        <v>466485989.11375636</v>
      </c>
      <c r="T188" s="86">
        <f>T192+T198+T214</f>
        <v>832083263.42224562</v>
      </c>
      <c r="U188" s="86">
        <f>U192+U198+U214</f>
        <v>734724411.4522562</v>
      </c>
      <c r="V188" s="86">
        <f>V192+V198+V214</f>
        <v>726599451.50780272</v>
      </c>
      <c r="W188" s="86">
        <f t="shared" ref="W188:X188" si="200">W192+W198+W214</f>
        <v>704687787.52074397</v>
      </c>
      <c r="X188" s="86">
        <f t="shared" si="200"/>
        <v>596930310.49161005</v>
      </c>
    </row>
    <row r="189" spans="2:24" ht="15" customHeight="1">
      <c r="B189" s="980" t="s">
        <v>378</v>
      </c>
      <c r="C189" s="980" t="s">
        <v>415</v>
      </c>
      <c r="D189" s="886"/>
      <c r="E189" s="468" t="s">
        <v>282</v>
      </c>
      <c r="F189" s="126" t="s">
        <v>253</v>
      </c>
      <c r="G189" s="980" t="str">
        <f>B189&amp;"_"&amp;C189&amp;"_"&amp;D189&amp;"_"&amp;E189&amp;"_"&amp;F189</f>
        <v>card_credit__BEG_COGs</v>
      </c>
      <c r="I189" s="85" t="s">
        <v>216</v>
      </c>
      <c r="J189" s="86">
        <f t="shared" si="197"/>
        <v>1700713113.5415287</v>
      </c>
      <c r="K189" s="285">
        <f>K196+K209</f>
        <v>158961680.43338907</v>
      </c>
      <c r="L189" s="285">
        <f t="shared" ref="L189:Q189" si="201">L196+L209</f>
        <v>162734696.20436031</v>
      </c>
      <c r="M189" s="285">
        <f t="shared" si="201"/>
        <v>168585259.03706077</v>
      </c>
      <c r="N189" s="285">
        <f t="shared" si="201"/>
        <v>144194394.36016208</v>
      </c>
      <c r="O189" s="285">
        <f t="shared" si="201"/>
        <v>149073507.85192722</v>
      </c>
      <c r="P189" s="285">
        <f t="shared" si="201"/>
        <v>155211132.7950694</v>
      </c>
      <c r="Q189" s="285">
        <f t="shared" si="201"/>
        <v>129456703.37186068</v>
      </c>
      <c r="R189" s="285">
        <f t="shared" ref="R189" si="202">R196+R209</f>
        <v>81415532.739897117</v>
      </c>
      <c r="S189" s="7">
        <f>S196+S209</f>
        <v>123698148.73431909</v>
      </c>
      <c r="T189" s="7">
        <f>T196+T209</f>
        <v>135090079.4744069</v>
      </c>
      <c r="U189" s="7">
        <f>U196+U209</f>
        <v>140942874.43821907</v>
      </c>
      <c r="V189" s="7">
        <f>V196+V209</f>
        <v>151408385.75434849</v>
      </c>
      <c r="W189" s="7">
        <f t="shared" ref="W189:X189" si="203">W196+W209</f>
        <v>147340189.58818233</v>
      </c>
      <c r="X189" s="7">
        <f t="shared" si="203"/>
        <v>174296905.39607519</v>
      </c>
    </row>
    <row r="190" spans="2:24" ht="15" customHeight="1">
      <c r="B190" s="980" t="s">
        <v>378</v>
      </c>
      <c r="C190" s="980" t="s">
        <v>415</v>
      </c>
      <c r="D190" s="886"/>
      <c r="E190" s="468" t="s">
        <v>282</v>
      </c>
      <c r="F190" s="126" t="s">
        <v>217</v>
      </c>
      <c r="G190" s="980" t="str">
        <f>B190&amp;"_"&amp;C190&amp;"_"&amp;D190&amp;"_"&amp;E190&amp;"_"&amp;F190</f>
        <v>card_credit__BEG_TOI</v>
      </c>
      <c r="I190" s="226" t="s">
        <v>217</v>
      </c>
      <c r="J190" s="86">
        <f t="shared" si="197"/>
        <v>5767055031.0031834</v>
      </c>
      <c r="K190" s="47">
        <f t="shared" ref="K190:Q190" si="204">K191+K197+K214</f>
        <v>726398132.84557414</v>
      </c>
      <c r="L190" s="47">
        <f t="shared" si="204"/>
        <v>332528487.4646675</v>
      </c>
      <c r="M190" s="47">
        <f t="shared" si="204"/>
        <v>402200850.41095424</v>
      </c>
      <c r="N190" s="47">
        <f t="shared" si="204"/>
        <v>338218381.91477293</v>
      </c>
      <c r="O190" s="47">
        <f t="shared" si="204"/>
        <v>398115186.29685253</v>
      </c>
      <c r="P190" s="47">
        <f t="shared" si="204"/>
        <v>367332768.33053917</v>
      </c>
      <c r="Q190" s="47">
        <f t="shared" si="204"/>
        <v>447461652.08173728</v>
      </c>
      <c r="R190" s="47">
        <f t="shared" ref="R190" si="205">R191+R197+R214</f>
        <v>551538943.53628373</v>
      </c>
      <c r="S190" s="47">
        <f>S191+S197+S214</f>
        <v>416240458.68861639</v>
      </c>
      <c r="T190" s="47">
        <f>T191+T197+T214</f>
        <v>696993183.94783878</v>
      </c>
      <c r="U190" s="47">
        <f>U191+U197+U214</f>
        <v>593781537.01403713</v>
      </c>
      <c r="V190" s="47">
        <f>V191+V197+V214</f>
        <v>575191065.75345421</v>
      </c>
      <c r="W190" s="47">
        <f t="shared" ref="W190:X190" si="206">W191+W197+W214</f>
        <v>557347597.93256164</v>
      </c>
      <c r="X190" s="47">
        <f t="shared" si="206"/>
        <v>422633405.09553492</v>
      </c>
    </row>
    <row r="191" spans="2:24" ht="15" customHeight="1">
      <c r="B191" s="980" t="s">
        <v>378</v>
      </c>
      <c r="C191" s="980" t="s">
        <v>415</v>
      </c>
      <c r="D191" s="886"/>
      <c r="E191" s="468" t="s">
        <v>282</v>
      </c>
      <c r="F191" s="126" t="s">
        <v>254</v>
      </c>
      <c r="G191" s="980" t="str">
        <f>B191&amp;"_"&amp;C191&amp;"_"&amp;D191&amp;"_"&amp;E191&amp;"_"&amp;F191</f>
        <v>card_credit__BEG_NII</v>
      </c>
      <c r="I191" s="1055" t="s">
        <v>218</v>
      </c>
      <c r="J191" s="86">
        <f t="shared" si="197"/>
        <v>3539956259.198173</v>
      </c>
      <c r="K191" s="47">
        <f t="shared" ref="K191:R191" si="207">K192-K196</f>
        <v>314780759.85017484</v>
      </c>
      <c r="L191" s="47">
        <f t="shared" si="207"/>
        <v>264814818.42100155</v>
      </c>
      <c r="M191" s="47">
        <f t="shared" si="207"/>
        <v>291343469.44963664</v>
      </c>
      <c r="N191" s="47">
        <f t="shared" si="207"/>
        <v>254316376.96492511</v>
      </c>
      <c r="O191" s="47">
        <f t="shared" si="207"/>
        <v>245271399.83279282</v>
      </c>
      <c r="P191" s="47">
        <f t="shared" si="207"/>
        <v>320613963.76591033</v>
      </c>
      <c r="Q191" s="47">
        <f t="shared" si="207"/>
        <v>274869355.73970801</v>
      </c>
      <c r="R191" s="47">
        <f t="shared" si="207"/>
        <v>285032829.70157748</v>
      </c>
      <c r="S191" s="47">
        <f>S192-S196</f>
        <v>277586624.69082087</v>
      </c>
      <c r="T191" s="47">
        <f>T192-T196</f>
        <v>343452125.57459396</v>
      </c>
      <c r="U191" s="47">
        <f>U192-U196</f>
        <v>323134347.32076585</v>
      </c>
      <c r="V191" s="47">
        <f>V192-V196</f>
        <v>318077090.65829593</v>
      </c>
      <c r="W191" s="47">
        <f t="shared" ref="W191:X191" si="208">W192-W196</f>
        <v>314827204.09277403</v>
      </c>
      <c r="X191" s="47">
        <f t="shared" si="208"/>
        <v>291431471.40637219</v>
      </c>
    </row>
    <row r="192" spans="2:24" ht="15" customHeight="1">
      <c r="B192" s="980" t="s">
        <v>378</v>
      </c>
      <c r="C192" s="980" t="s">
        <v>415</v>
      </c>
      <c r="D192" s="886"/>
      <c r="E192" s="468" t="s">
        <v>282</v>
      </c>
      <c r="F192" s="126" t="s">
        <v>255</v>
      </c>
      <c r="G192" s="980" t="str">
        <f>B192&amp;"_"&amp;C192&amp;"_"&amp;D192&amp;"_"&amp;E192&amp;"_"&amp;F192</f>
        <v>card_credit__BEG_CII</v>
      </c>
      <c r="I192" s="1056" t="s">
        <v>20</v>
      </c>
      <c r="J192" s="86">
        <f t="shared" si="197"/>
        <v>4484542433</v>
      </c>
      <c r="K192" s="70">
        <f t="shared" ref="K192:R192" si="209">K193-K194+K195</f>
        <v>383951301</v>
      </c>
      <c r="L192" s="70">
        <f t="shared" si="209"/>
        <v>337006588</v>
      </c>
      <c r="M192" s="70">
        <f t="shared" si="209"/>
        <v>365487621</v>
      </c>
      <c r="N192" s="70">
        <f t="shared" si="209"/>
        <v>321444330</v>
      </c>
      <c r="O192" s="70">
        <f t="shared" si="209"/>
        <v>314151670</v>
      </c>
      <c r="P192" s="70">
        <f t="shared" si="209"/>
        <v>383962960</v>
      </c>
      <c r="Q192" s="70">
        <f t="shared" si="209"/>
        <v>342771553</v>
      </c>
      <c r="R192" s="70">
        <f t="shared" si="209"/>
        <v>353110417</v>
      </c>
      <c r="S192" s="70">
        <f>S193-S194+S195</f>
        <v>351039243</v>
      </c>
      <c r="T192" s="70">
        <f>T193-T194+T195</f>
        <v>424759332</v>
      </c>
      <c r="U192" s="70">
        <f t="shared" ref="U192:V192" si="210">U193-U194+U195</f>
        <v>407623051</v>
      </c>
      <c r="V192" s="70">
        <f t="shared" si="210"/>
        <v>410489208</v>
      </c>
      <c r="W192" s="70">
        <f t="shared" ref="W192" si="211">W193-W194+W195</f>
        <v>404014184</v>
      </c>
      <c r="X192" s="70">
        <f t="shared" ref="X192" si="212">X193-X194+X195</f>
        <v>405688864</v>
      </c>
    </row>
    <row r="193" spans="2:24" ht="15" customHeight="1">
      <c r="B193" s="980" t="s">
        <v>378</v>
      </c>
      <c r="C193" s="980" t="s">
        <v>415</v>
      </c>
      <c r="D193" s="886"/>
      <c r="E193" s="468" t="s">
        <v>282</v>
      </c>
      <c r="G193" s="980" t="str">
        <f t="shared" si="180"/>
        <v>card_credit__BEG_</v>
      </c>
      <c r="I193" s="1057" t="s">
        <v>256</v>
      </c>
      <c r="J193" s="86">
        <f t="shared" si="197"/>
        <v>4349429462</v>
      </c>
      <c r="K193" s="70">
        <v>395031202</v>
      </c>
      <c r="L193" s="70">
        <v>369661746</v>
      </c>
      <c r="M193" s="70">
        <v>343236007</v>
      </c>
      <c r="N193" s="70">
        <v>367836438</v>
      </c>
      <c r="O193" s="70">
        <v>329103564</v>
      </c>
      <c r="P193" s="70">
        <v>308314397</v>
      </c>
      <c r="Q193" s="70">
        <v>344643719</v>
      </c>
      <c r="R193" s="89">
        <v>329248398</v>
      </c>
      <c r="S193" s="89">
        <v>354242883</v>
      </c>
      <c r="T193" s="89">
        <v>379871955</v>
      </c>
      <c r="U193" s="89">
        <v>395735618</v>
      </c>
      <c r="V193" s="89">
        <v>389766585</v>
      </c>
      <c r="W193" s="89">
        <v>400941005</v>
      </c>
      <c r="X193" s="7">
        <v>406488893</v>
      </c>
    </row>
    <row r="194" spans="2:24" ht="15" customHeight="1">
      <c r="B194" s="980" t="s">
        <v>378</v>
      </c>
      <c r="C194" s="980" t="s">
        <v>415</v>
      </c>
      <c r="D194" s="886"/>
      <c r="E194" s="468" t="s">
        <v>282</v>
      </c>
      <c r="G194" s="980" t="str">
        <f t="shared" si="180"/>
        <v>card_credit__BEG_</v>
      </c>
      <c r="I194" s="1057" t="s">
        <v>259</v>
      </c>
      <c r="J194" s="86">
        <f t="shared" si="197"/>
        <v>1477723049</v>
      </c>
      <c r="K194" s="70">
        <v>153851770</v>
      </c>
      <c r="L194" s="70">
        <f>165269601+21237327</f>
        <v>186506928</v>
      </c>
      <c r="M194" s="70">
        <v>164255314</v>
      </c>
      <c r="N194" s="70">
        <v>210647422</v>
      </c>
      <c r="O194" s="70">
        <v>225599316</v>
      </c>
      <c r="P194" s="70">
        <v>149950753</v>
      </c>
      <c r="Q194" s="70">
        <v>151822919</v>
      </c>
      <c r="R194" s="7">
        <v>127960900</v>
      </c>
      <c r="S194" s="7">
        <v>131164540</v>
      </c>
      <c r="T194" s="7">
        <v>86277163</v>
      </c>
      <c r="U194" s="7">
        <v>74389730</v>
      </c>
      <c r="V194" s="7">
        <v>53667107</v>
      </c>
      <c r="W194" s="7">
        <v>50593928</v>
      </c>
      <c r="X194" s="7">
        <v>51393957</v>
      </c>
    </row>
    <row r="195" spans="2:24" ht="15" customHeight="1">
      <c r="B195" s="980" t="s">
        <v>378</v>
      </c>
      <c r="C195" s="980" t="s">
        <v>415</v>
      </c>
      <c r="D195" s="886"/>
      <c r="E195" s="468" t="s">
        <v>282</v>
      </c>
      <c r="G195" s="980" t="str">
        <f t="shared" si="180"/>
        <v>card_credit__BEG_</v>
      </c>
      <c r="I195" s="1057" t="s">
        <v>228</v>
      </c>
      <c r="J195" s="86">
        <f t="shared" si="197"/>
        <v>1612836020</v>
      </c>
      <c r="K195" s="70">
        <v>142771869</v>
      </c>
      <c r="L195" s="70">
        <v>153851770</v>
      </c>
      <c r="M195" s="70">
        <f>165269601+21237327</f>
        <v>186506928</v>
      </c>
      <c r="N195" s="70">
        <v>164255314</v>
      </c>
      <c r="O195" s="70">
        <v>210647422</v>
      </c>
      <c r="P195" s="70">
        <v>225599316</v>
      </c>
      <c r="Q195" s="70">
        <v>149950753</v>
      </c>
      <c r="R195" s="70">
        <v>151822919</v>
      </c>
      <c r="S195" s="7">
        <v>127960900</v>
      </c>
      <c r="T195" s="7">
        <v>131164540</v>
      </c>
      <c r="U195" s="7">
        <v>86277163</v>
      </c>
      <c r="V195" s="7">
        <v>74389730</v>
      </c>
      <c r="W195" s="7">
        <v>53667107</v>
      </c>
      <c r="X195" s="7">
        <v>50593928</v>
      </c>
    </row>
    <row r="196" spans="2:24" ht="15" customHeight="1">
      <c r="B196" s="980" t="s">
        <v>378</v>
      </c>
      <c r="C196" s="980" t="s">
        <v>415</v>
      </c>
      <c r="D196" s="886"/>
      <c r="E196" s="468" t="s">
        <v>282</v>
      </c>
      <c r="F196" s="126" t="s">
        <v>219</v>
      </c>
      <c r="G196" s="980" t="str">
        <f>B196&amp;"_"&amp;C196&amp;"_"&amp;D196&amp;"_"&amp;E196&amp;"_"&amp;F196</f>
        <v>card_credit__BEG_COF</v>
      </c>
      <c r="I196" s="1056" t="s">
        <v>219</v>
      </c>
      <c r="J196" s="86">
        <f t="shared" si="197"/>
        <v>944586173.80182683</v>
      </c>
      <c r="K196" s="70">
        <v>69170541.149825141</v>
      </c>
      <c r="L196" s="70">
        <v>72191769.578998461</v>
      </c>
      <c r="M196" s="70">
        <f t="shared" ref="M196:R196" si="213">M177/M107*M130</f>
        <v>74144151.550363377</v>
      </c>
      <c r="N196" s="70">
        <f t="shared" si="213"/>
        <v>67127953.03507489</v>
      </c>
      <c r="O196" s="70">
        <f t="shared" si="213"/>
        <v>68880270.167207181</v>
      </c>
      <c r="P196" s="70">
        <f t="shared" si="213"/>
        <v>63348996.234089665</v>
      </c>
      <c r="Q196" s="70">
        <f t="shared" si="213"/>
        <v>67902197.260291979</v>
      </c>
      <c r="R196" s="70">
        <f t="shared" si="213"/>
        <v>68077587.29842253</v>
      </c>
      <c r="S196" s="70">
        <f t="shared" ref="S196:X196" si="214">S177/S107*S130</f>
        <v>73452618.309179142</v>
      </c>
      <c r="T196" s="70">
        <f t="shared" si="214"/>
        <v>81307206.425406039</v>
      </c>
      <c r="U196" s="70">
        <f t="shared" si="214"/>
        <v>84488703.679234162</v>
      </c>
      <c r="V196" s="70">
        <f t="shared" si="214"/>
        <v>92412117.341704085</v>
      </c>
      <c r="W196" s="70">
        <f t="shared" si="214"/>
        <v>89186979.907225952</v>
      </c>
      <c r="X196" s="70">
        <f t="shared" si="214"/>
        <v>114257392.59362781</v>
      </c>
    </row>
    <row r="197" spans="2:24" ht="15" customHeight="1">
      <c r="B197" s="980" t="s">
        <v>378</v>
      </c>
      <c r="C197" s="980" t="s">
        <v>415</v>
      </c>
      <c r="D197" s="886"/>
      <c r="E197" s="468" t="s">
        <v>282</v>
      </c>
      <c r="F197" s="126" t="s">
        <v>260</v>
      </c>
      <c r="G197" s="980" t="str">
        <f>B197&amp;"_"&amp;C197&amp;"_"&amp;D197&amp;"_"&amp;E197&amp;"_"&amp;F197</f>
        <v>card_credit__BEG_NFI</v>
      </c>
      <c r="I197" s="1055" t="s">
        <v>220</v>
      </c>
      <c r="J197" s="86">
        <f t="shared" si="197"/>
        <v>2000974419.8050098</v>
      </c>
      <c r="K197" s="47">
        <f>K198-K209</f>
        <v>411617372.99539924</v>
      </c>
      <c r="L197" s="47">
        <f t="shared" ref="L197:R197" si="215">L198-L209</f>
        <v>66533399.04366596</v>
      </c>
      <c r="M197" s="47">
        <f t="shared" si="215"/>
        <v>97021703.961317584</v>
      </c>
      <c r="N197" s="47">
        <f t="shared" si="215"/>
        <v>41138604.949847803</v>
      </c>
      <c r="O197" s="47">
        <f t="shared" si="215"/>
        <v>106149631.4640597</v>
      </c>
      <c r="P197" s="47">
        <f t="shared" si="215"/>
        <v>36188112.564628854</v>
      </c>
      <c r="Q197" s="47">
        <f t="shared" si="215"/>
        <v>172083054.34202927</v>
      </c>
      <c r="R197" s="47">
        <f t="shared" si="215"/>
        <v>265720249.83470628</v>
      </c>
      <c r="S197" s="47">
        <f>S198-S209</f>
        <v>137950958.99779552</v>
      </c>
      <c r="T197" s="47">
        <f>T198-T209</f>
        <v>298710531.37324476</v>
      </c>
      <c r="U197" s="47">
        <f>U198-U209</f>
        <v>266178876.69327131</v>
      </c>
      <c r="V197" s="47">
        <f t="shared" ref="V197:W197" si="216">V198-V209</f>
        <v>228095623.09515825</v>
      </c>
      <c r="W197" s="47">
        <f t="shared" si="216"/>
        <v>232407432.8397876</v>
      </c>
      <c r="X197" s="47">
        <f>X198-X209</f>
        <v>119329639.68916273</v>
      </c>
    </row>
    <row r="198" spans="2:24" ht="15" customHeight="1">
      <c r="B198" s="980" t="s">
        <v>378</v>
      </c>
      <c r="C198" s="980" t="s">
        <v>415</v>
      </c>
      <c r="D198" s="886"/>
      <c r="E198" s="468" t="s">
        <v>282</v>
      </c>
      <c r="F198" s="230" t="s">
        <v>340</v>
      </c>
      <c r="G198" s="980" t="str">
        <f>B198&amp;"_"&amp;C198&amp;"_"&amp;D198&amp;"_"&amp;E198&amp;"_"&amp;F198</f>
        <v>card_credit__BEG_fee_incomes</v>
      </c>
      <c r="I198" s="1073" t="s">
        <v>22</v>
      </c>
      <c r="J198" s="86">
        <f t="shared" si="197"/>
        <v>2757101359.5447106</v>
      </c>
      <c r="K198" s="47">
        <f>SUM(K199:K205)-K206+K207+K208</f>
        <v>501408512.27896315</v>
      </c>
      <c r="L198" s="47">
        <f t="shared" ref="L198:R198" si="217">SUM(L199:L205)-L206+L207+L208</f>
        <v>157076325.66902781</v>
      </c>
      <c r="M198" s="47">
        <f t="shared" si="217"/>
        <v>191462811.44801497</v>
      </c>
      <c r="N198" s="47">
        <f t="shared" si="217"/>
        <v>118205046.27493501</v>
      </c>
      <c r="O198" s="47">
        <f t="shared" si="217"/>
        <v>186342869.14877975</v>
      </c>
      <c r="P198" s="47">
        <f t="shared" si="217"/>
        <v>128050249.12560859</v>
      </c>
      <c r="Q198" s="47">
        <f t="shared" si="217"/>
        <v>233637560.45359796</v>
      </c>
      <c r="R198" s="47">
        <f t="shared" si="217"/>
        <v>279058195.27618086</v>
      </c>
      <c r="S198" s="47">
        <f>SUM(S199:S205)-S206+S207+S208</f>
        <v>188196489.42293549</v>
      </c>
      <c r="T198" s="47">
        <f>SUM(T199:T205)-T206+T207+T208</f>
        <v>352493404.42224562</v>
      </c>
      <c r="U198" s="47">
        <f>SUM(U199:U205)-U206+U207+U208</f>
        <v>322633047.4522562</v>
      </c>
      <c r="V198" s="47">
        <f t="shared" ref="V198:W198" si="218">SUM(V199:V205)-V206+V207+V208</f>
        <v>287091891.50780267</v>
      </c>
      <c r="W198" s="47">
        <f t="shared" si="218"/>
        <v>290560642.52074397</v>
      </c>
      <c r="X198" s="47">
        <f>SUM(X199:X205)-X206+X207+X208</f>
        <v>179369152.49161011</v>
      </c>
    </row>
    <row r="199" spans="2:24" ht="15" customHeight="1">
      <c r="B199" s="980" t="s">
        <v>378</v>
      </c>
      <c r="C199" s="980" t="s">
        <v>415</v>
      </c>
      <c r="D199" s="886"/>
      <c r="E199" s="468" t="s">
        <v>282</v>
      </c>
      <c r="F199" s="230" t="s">
        <v>424</v>
      </c>
      <c r="G199" s="980" t="str">
        <f>B199&amp;"_"&amp;C199&amp;"_"&amp;D199&amp;"_"&amp;E199&amp;"_"&amp;F199</f>
        <v>card_credit__BEG_annual_fee</v>
      </c>
      <c r="I199" s="1057" t="s">
        <v>425</v>
      </c>
      <c r="J199" s="86">
        <f t="shared" si="197"/>
        <v>647705316</v>
      </c>
      <c r="K199" s="7">
        <f>488625000-119400000</f>
        <v>369225000</v>
      </c>
      <c r="L199" s="7">
        <v>-37128330</v>
      </c>
      <c r="M199" s="7">
        <v>3104339</v>
      </c>
      <c r="N199" s="7">
        <v>5753031</v>
      </c>
      <c r="O199" s="7">
        <v>6461145</v>
      </c>
      <c r="P199" s="7">
        <v>2042834</v>
      </c>
      <c r="Q199" s="7">
        <v>-912162</v>
      </c>
      <c r="R199" s="89">
        <v>167487124</v>
      </c>
      <c r="S199" s="89">
        <v>114628347</v>
      </c>
      <c r="T199" s="89">
        <v>76516483</v>
      </c>
      <c r="U199" s="89">
        <v>99299035</v>
      </c>
      <c r="V199" s="89">
        <v>68095305</v>
      </c>
      <c r="W199" s="7">
        <v>63556516</v>
      </c>
      <c r="X199" s="7">
        <v>41673319</v>
      </c>
    </row>
    <row r="200" spans="2:24" ht="15" customHeight="1">
      <c r="B200" s="980" t="s">
        <v>378</v>
      </c>
      <c r="C200" s="980" t="s">
        <v>415</v>
      </c>
      <c r="D200" s="886"/>
      <c r="E200" s="468" t="s">
        <v>282</v>
      </c>
      <c r="F200" s="230" t="s">
        <v>391</v>
      </c>
      <c r="G200" s="980" t="str">
        <f t="shared" si="180"/>
        <v>card_credit__BEG_interchange_fee</v>
      </c>
      <c r="I200" s="1057" t="s">
        <v>21</v>
      </c>
      <c r="J200" s="86">
        <f t="shared" si="197"/>
        <v>624105219.54471111</v>
      </c>
      <c r="K200" s="7">
        <v>62036426.278963163</v>
      </c>
      <c r="L200" s="7">
        <v>71103146.669027805</v>
      </c>
      <c r="M200" s="7">
        <f t="shared" ref="M200:R200" si="219">M176/M106*M134</f>
        <v>67104107.44801496</v>
      </c>
      <c r="N200" s="7">
        <f t="shared" si="219"/>
        <v>43918404.274935022</v>
      </c>
      <c r="O200" s="7">
        <f t="shared" si="219"/>
        <v>60574650.148779757</v>
      </c>
      <c r="P200" s="7">
        <f t="shared" si="219"/>
        <v>47772633.125608601</v>
      </c>
      <c r="Q200" s="7">
        <f t="shared" si="219"/>
        <v>52047597.453597955</v>
      </c>
      <c r="R200" s="7">
        <f t="shared" si="219"/>
        <v>44864026.276180856</v>
      </c>
      <c r="S200" s="7">
        <f>S176/S106*S134</f>
        <v>49517984.422935508</v>
      </c>
      <c r="T200" s="7">
        <f>T176/T106*T134</f>
        <v>43830753.422245584</v>
      </c>
      <c r="U200" s="7">
        <f t="shared" ref="U200" si="220">U176/U106*U134</f>
        <v>48836144.45225618</v>
      </c>
      <c r="V200" s="7">
        <f>V176/V106*V134</f>
        <v>56227995.507802673</v>
      </c>
      <c r="W200" s="7">
        <f>W176/W106*W134</f>
        <v>49410070.520743929</v>
      </c>
      <c r="X200" s="7">
        <f>X176/X106*X134</f>
        <v>60000852.49161011</v>
      </c>
    </row>
    <row r="201" spans="2:24" ht="15" customHeight="1">
      <c r="B201" s="980" t="s">
        <v>378</v>
      </c>
      <c r="C201" s="980" t="s">
        <v>415</v>
      </c>
      <c r="D201" s="886"/>
      <c r="E201" s="468" t="s">
        <v>282</v>
      </c>
      <c r="F201" s="230" t="s">
        <v>407</v>
      </c>
      <c r="G201" s="980" t="str">
        <f t="shared" si="180"/>
        <v>card_credit__BEG_cash_advance_fee</v>
      </c>
      <c r="I201" s="1057" t="s">
        <v>408</v>
      </c>
      <c r="J201" s="86">
        <f t="shared" si="197"/>
        <v>127307278</v>
      </c>
      <c r="K201" s="7">
        <v>10163476</v>
      </c>
      <c r="L201" s="7">
        <v>14593396</v>
      </c>
      <c r="M201" s="7">
        <v>9311021</v>
      </c>
      <c r="N201" s="7">
        <v>3143537</v>
      </c>
      <c r="O201" s="7">
        <v>3215572</v>
      </c>
      <c r="P201" s="7">
        <v>10055386</v>
      </c>
      <c r="Q201" s="7">
        <v>7794507</v>
      </c>
      <c r="R201" s="89">
        <v>6198310</v>
      </c>
      <c r="S201" s="89">
        <v>11303839</v>
      </c>
      <c r="T201" s="89">
        <v>17592521</v>
      </c>
      <c r="U201" s="89">
        <v>14554757</v>
      </c>
      <c r="V201" s="89">
        <v>13263878</v>
      </c>
      <c r="W201" s="7">
        <v>14571399</v>
      </c>
      <c r="X201" s="7">
        <v>16302551</v>
      </c>
    </row>
    <row r="202" spans="2:24" ht="15" customHeight="1">
      <c r="B202" s="980" t="s">
        <v>378</v>
      </c>
      <c r="C202" s="980" t="s">
        <v>415</v>
      </c>
      <c r="D202" s="886"/>
      <c r="E202" s="468" t="s">
        <v>282</v>
      </c>
      <c r="F202" s="230" t="s">
        <v>393</v>
      </c>
      <c r="G202" s="980" t="str">
        <f t="shared" si="180"/>
        <v>card_credit__BEG_fx_fee</v>
      </c>
      <c r="I202" s="1057" t="s">
        <v>426</v>
      </c>
      <c r="J202" s="86">
        <f t="shared" si="197"/>
        <v>86258013</v>
      </c>
      <c r="K202" s="7">
        <v>6307070</v>
      </c>
      <c r="L202" s="7">
        <v>5954930</v>
      </c>
      <c r="M202" s="7">
        <v>6094561</v>
      </c>
      <c r="N202" s="7">
        <v>4331445</v>
      </c>
      <c r="O202" s="7">
        <v>6509213</v>
      </c>
      <c r="P202" s="7">
        <v>5978298</v>
      </c>
      <c r="Q202" s="7">
        <v>7520922</v>
      </c>
      <c r="R202" s="89">
        <v>7138446</v>
      </c>
      <c r="S202" s="89">
        <v>702875</v>
      </c>
      <c r="T202" s="89">
        <v>7426865</v>
      </c>
      <c r="U202" s="89">
        <v>9070977</v>
      </c>
      <c r="V202" s="89">
        <v>10736334</v>
      </c>
      <c r="W202" s="7">
        <v>11431852</v>
      </c>
      <c r="X202" s="7">
        <v>9316225</v>
      </c>
    </row>
    <row r="203" spans="2:24" ht="15" customHeight="1">
      <c r="B203" s="980" t="s">
        <v>378</v>
      </c>
      <c r="C203" s="980" t="s">
        <v>415</v>
      </c>
      <c r="D203" s="886"/>
      <c r="E203" s="468" t="s">
        <v>282</v>
      </c>
      <c r="F203" s="230" t="s">
        <v>395</v>
      </c>
      <c r="G203" s="980" t="str">
        <f>B203&amp;"_"&amp;C203&amp;"_"&amp;D203&amp;"_"&amp;E203&amp;"_"&amp;F203</f>
        <v>card_credit__BEG_reissue_fee</v>
      </c>
      <c r="I203" s="1061" t="s">
        <v>396</v>
      </c>
      <c r="J203" s="86">
        <f t="shared" si="197"/>
        <v>49146252</v>
      </c>
      <c r="K203" s="7">
        <v>1121847</v>
      </c>
      <c r="L203" s="7">
        <v>1185000</v>
      </c>
      <c r="M203" s="7">
        <v>136088</v>
      </c>
      <c r="N203" s="7">
        <v>30607</v>
      </c>
      <c r="O203" s="7"/>
      <c r="P203" s="7">
        <v>17425</v>
      </c>
      <c r="Q203" s="7">
        <v>-110264</v>
      </c>
      <c r="R203" s="89">
        <v>1760264</v>
      </c>
      <c r="S203" s="89">
        <v>4133396</v>
      </c>
      <c r="T203" s="89">
        <v>3970000</v>
      </c>
      <c r="U203" s="89">
        <v>5489000</v>
      </c>
      <c r="V203" s="89">
        <v>10902736</v>
      </c>
      <c r="W203" s="7">
        <v>16070000</v>
      </c>
      <c r="X203" s="7">
        <v>6747000</v>
      </c>
    </row>
    <row r="204" spans="2:24" ht="15" customHeight="1">
      <c r="B204" s="980" t="s">
        <v>378</v>
      </c>
      <c r="C204" s="980" t="s">
        <v>415</v>
      </c>
      <c r="D204" s="886"/>
      <c r="E204" s="468" t="s">
        <v>282</v>
      </c>
      <c r="F204" s="230" t="s">
        <v>262</v>
      </c>
      <c r="G204" s="980" t="str">
        <f>B204&amp;"_"&amp;C204&amp;"_"&amp;D204&amp;"_"&amp;E204&amp;"_"&amp;F204</f>
        <v>card_credit__BEG_late_payment_fee</v>
      </c>
      <c r="I204" s="1057" t="s">
        <v>427</v>
      </c>
      <c r="J204" s="86">
        <f t="shared" si="197"/>
        <v>1312303275</v>
      </c>
      <c r="K204" s="34">
        <v>84651952</v>
      </c>
      <c r="L204" s="7">
        <v>117140264</v>
      </c>
      <c r="M204" s="7">
        <v>95686661</v>
      </c>
      <c r="N204" s="7">
        <v>84287255</v>
      </c>
      <c r="O204" s="7">
        <v>125961757</v>
      </c>
      <c r="P204" s="7">
        <v>135123665</v>
      </c>
      <c r="Q204" s="7">
        <v>80663092</v>
      </c>
      <c r="R204" s="89">
        <v>99832997</v>
      </c>
      <c r="S204" s="89">
        <v>116192928</v>
      </c>
      <c r="T204" s="89">
        <v>111396420</v>
      </c>
      <c r="U204" s="89">
        <v>135033894</v>
      </c>
      <c r="V204" s="89">
        <v>115623619</v>
      </c>
      <c r="W204" s="7">
        <v>138781547</v>
      </c>
      <c r="X204" s="7">
        <v>73719440</v>
      </c>
    </row>
    <row r="205" spans="2:24" ht="15" customHeight="1">
      <c r="B205" s="980" t="s">
        <v>378</v>
      </c>
      <c r="C205" s="980" t="s">
        <v>415</v>
      </c>
      <c r="D205" s="886"/>
      <c r="E205" s="468" t="s">
        <v>282</v>
      </c>
      <c r="F205" s="230" t="s">
        <v>264</v>
      </c>
      <c r="G205" s="980" t="str">
        <f t="shared" ref="G205:G214" si="221">B205&amp;"_"&amp;C205&amp;"_"&amp;D205&amp;"_"&amp;E205&amp;"_"&amp;F205</f>
        <v>card_credit__BEG_installment_fee</v>
      </c>
      <c r="I205" s="1057" t="s">
        <v>224</v>
      </c>
      <c r="J205" s="86">
        <f t="shared" si="197"/>
        <v>108566640</v>
      </c>
      <c r="K205" s="34"/>
      <c r="L205" s="7"/>
      <c r="M205" s="7"/>
      <c r="N205" s="7"/>
      <c r="O205" s="7"/>
      <c r="Q205" s="7"/>
      <c r="S205" s="7">
        <v>304871</v>
      </c>
      <c r="T205" s="89">
        <v>21419423</v>
      </c>
      <c r="U205" s="89">
        <v>25454721</v>
      </c>
      <c r="V205" s="89">
        <v>23957797</v>
      </c>
      <c r="W205" s="7">
        <v>14683038</v>
      </c>
      <c r="X205" s="7">
        <v>22746790</v>
      </c>
    </row>
    <row r="206" spans="2:24" ht="15" customHeight="1">
      <c r="B206" s="980" t="s">
        <v>378</v>
      </c>
      <c r="C206" s="980" t="s">
        <v>415</v>
      </c>
      <c r="D206" s="886"/>
      <c r="E206" s="468" t="s">
        <v>282</v>
      </c>
      <c r="F206" s="126" t="s">
        <v>267</v>
      </c>
      <c r="G206" s="980" t="str">
        <f t="shared" si="221"/>
        <v>card_credit__BEG_adjust_minus_fee</v>
      </c>
      <c r="I206" s="1057" t="s">
        <v>227</v>
      </c>
      <c r="J206" s="86">
        <f t="shared" si="197"/>
        <v>2644550070</v>
      </c>
      <c r="K206" s="34">
        <v>114382153</v>
      </c>
      <c r="L206" s="7">
        <f>118625082+11529152</f>
        <v>130154234</v>
      </c>
      <c r="M206" s="7">
        <v>120128200</v>
      </c>
      <c r="N206" s="7">
        <v>143387433</v>
      </c>
      <c r="O206" s="7">
        <v>159766901</v>
      </c>
      <c r="P206" s="7">
        <v>232706893</v>
      </c>
      <c r="Q206" s="7">
        <v>146073025</v>
      </c>
      <c r="R206" s="7">
        <v>194295997</v>
      </c>
      <c r="S206" s="7">
        <v>302883748</v>
      </c>
      <c r="T206" s="7">
        <v>232542809</v>
      </c>
      <c r="U206" s="7">
        <v>247648290</v>
      </c>
      <c r="V206" s="7">
        <v>259364063</v>
      </c>
      <c r="W206" s="7">
        <v>277307843</v>
      </c>
      <c r="X206" s="7">
        <v>328444868</v>
      </c>
    </row>
    <row r="207" spans="2:24" ht="15" customHeight="1">
      <c r="B207" s="980" t="s">
        <v>378</v>
      </c>
      <c r="C207" s="980" t="s">
        <v>415</v>
      </c>
      <c r="D207" s="886"/>
      <c r="E207" s="468" t="s">
        <v>282</v>
      </c>
      <c r="F207" s="126" t="s">
        <v>268</v>
      </c>
      <c r="G207" s="980" t="str">
        <f t="shared" si="221"/>
        <v>card_credit__BEG_adjust_bonus_fee</v>
      </c>
      <c r="I207" s="1057" t="s">
        <v>228</v>
      </c>
      <c r="J207" s="86">
        <f t="shared" si="197"/>
        <v>2446259436</v>
      </c>
      <c r="K207" s="7">
        <v>82284894</v>
      </c>
      <c r="L207" s="7">
        <v>114382153</v>
      </c>
      <c r="M207" s="7">
        <f>118625082+11529152</f>
        <v>130154234</v>
      </c>
      <c r="N207" s="7">
        <v>120128200</v>
      </c>
      <c r="O207" s="7">
        <v>143387433</v>
      </c>
      <c r="P207" s="7">
        <v>159766901</v>
      </c>
      <c r="Q207" s="7">
        <v>232706893</v>
      </c>
      <c r="R207" s="7">
        <v>146073025</v>
      </c>
      <c r="S207" s="7">
        <v>194295997</v>
      </c>
      <c r="T207" s="7">
        <v>302883748</v>
      </c>
      <c r="U207" s="7">
        <v>232542809</v>
      </c>
      <c r="V207" s="7">
        <v>247648290</v>
      </c>
      <c r="W207" s="7">
        <v>259364063</v>
      </c>
      <c r="X207" s="7">
        <v>277307843</v>
      </c>
    </row>
    <row r="208" spans="2:24" ht="15" customHeight="1">
      <c r="B208" s="980" t="s">
        <v>378</v>
      </c>
      <c r="C208" s="980" t="s">
        <v>415</v>
      </c>
      <c r="D208" s="886"/>
      <c r="E208" s="468" t="s">
        <v>282</v>
      </c>
      <c r="F208" s="230" t="s">
        <v>361</v>
      </c>
      <c r="G208" s="980" t="str">
        <f t="shared" si="221"/>
        <v>card_credit__BEG_other_income_fee</v>
      </c>
      <c r="I208" s="1057" t="s">
        <v>226</v>
      </c>
      <c r="J208" s="86">
        <f t="shared" si="197"/>
        <v>0</v>
      </c>
      <c r="L208" s="7"/>
      <c r="M208" s="7"/>
      <c r="N208" s="7"/>
      <c r="O208" s="7"/>
      <c r="Q208" s="7"/>
    </row>
    <row r="209" spans="2:25" ht="15" customHeight="1">
      <c r="B209" s="980" t="s">
        <v>378</v>
      </c>
      <c r="C209" s="980" t="s">
        <v>415</v>
      </c>
      <c r="D209" s="886"/>
      <c r="E209" s="468" t="s">
        <v>282</v>
      </c>
      <c r="F209" s="230" t="s">
        <v>362</v>
      </c>
      <c r="G209" s="980" t="str">
        <f t="shared" si="221"/>
        <v>card_credit__BEG_fee_expenses</v>
      </c>
      <c r="I209" s="1073" t="s">
        <v>295</v>
      </c>
      <c r="J209" s="86">
        <f t="shared" si="197"/>
        <v>756126939.73970151</v>
      </c>
      <c r="K209" s="47">
        <f>SUM(K210:K213)</f>
        <v>89791139.283563912</v>
      </c>
      <c r="L209" s="47">
        <f t="shared" ref="L209:R209" si="222">SUM(L210:L213)</f>
        <v>90542926.625361845</v>
      </c>
      <c r="M209" s="47">
        <f t="shared" si="222"/>
        <v>94441107.486697391</v>
      </c>
      <c r="N209" s="47">
        <f t="shared" si="222"/>
        <v>77066441.325087205</v>
      </c>
      <c r="O209" s="47">
        <f t="shared" si="222"/>
        <v>80193237.684720054</v>
      </c>
      <c r="P209" s="47">
        <f t="shared" si="222"/>
        <v>91862136.560979739</v>
      </c>
      <c r="Q209" s="47">
        <f t="shared" si="222"/>
        <v>61554506.111568704</v>
      </c>
      <c r="R209" s="47">
        <f t="shared" si="222"/>
        <v>13337945.44147459</v>
      </c>
      <c r="S209" s="47">
        <f t="shared" ref="S209:X209" si="223">SUM(S210:S213)</f>
        <v>50245530.425139949</v>
      </c>
      <c r="T209" s="47">
        <f t="shared" si="223"/>
        <v>53782873.049000859</v>
      </c>
      <c r="U209" s="47">
        <f t="shared" si="223"/>
        <v>56454170.758984894</v>
      </c>
      <c r="V209" s="47">
        <f t="shared" si="223"/>
        <v>58996268.412644409</v>
      </c>
      <c r="W209" s="47">
        <f t="shared" si="223"/>
        <v>58153209.680956364</v>
      </c>
      <c r="X209" s="47">
        <f t="shared" si="223"/>
        <v>60039512.802447379</v>
      </c>
    </row>
    <row r="210" spans="2:25" ht="15" customHeight="1">
      <c r="B210" s="980" t="s">
        <v>378</v>
      </c>
      <c r="C210" s="980" t="s">
        <v>415</v>
      </c>
      <c r="D210" s="886"/>
      <c r="E210" s="468" t="s">
        <v>282</v>
      </c>
      <c r="F210" s="230" t="s">
        <v>410</v>
      </c>
      <c r="G210" s="980" t="str">
        <f t="shared" si="221"/>
        <v>card_credit__BEG_BPC_fee</v>
      </c>
      <c r="I210" s="1057" t="s">
        <v>411</v>
      </c>
      <c r="J210" s="86">
        <f t="shared" si="197"/>
        <v>73931329.375355452</v>
      </c>
      <c r="K210" s="7">
        <v>15252770.719446899</v>
      </c>
      <c r="L210" s="7">
        <v>15700025.684733372</v>
      </c>
      <c r="M210">
        <f t="shared" ref="M210:R210" si="224">M176/M106*M144</f>
        <v>17827241.83554985</v>
      </c>
      <c r="N210">
        <f t="shared" si="224"/>
        <v>14226331.082055017</v>
      </c>
      <c r="O210" s="7">
        <f t="shared" si="224"/>
        <v>14920694.136489527</v>
      </c>
      <c r="P210" s="7">
        <f t="shared" si="224"/>
        <v>8485825.425143607</v>
      </c>
      <c r="Q210" s="7">
        <f t="shared" si="224"/>
        <v>1204343.2615840209</v>
      </c>
      <c r="R210" s="7">
        <f t="shared" si="224"/>
        <v>1082110.867733266</v>
      </c>
      <c r="S210" s="7">
        <f t="shared" ref="S210:V210" si="225">S176/S106*S144</f>
        <v>1026284.4360895952</v>
      </c>
      <c r="T210" s="7">
        <f t="shared" si="225"/>
        <v>4423909.1819189116</v>
      </c>
      <c r="U210" s="7">
        <f t="shared" si="225"/>
        <v>4566292.5442357315</v>
      </c>
      <c r="V210" s="7">
        <f t="shared" si="225"/>
        <v>4390344.8412117427</v>
      </c>
      <c r="W210" s="7">
        <f t="shared" ref="W210:X210" si="226">W176/W106*W144</f>
        <v>1777951.7633441803</v>
      </c>
      <c r="X210" s="7">
        <f t="shared" si="226"/>
        <v>0</v>
      </c>
    </row>
    <row r="211" spans="2:25" ht="15" customHeight="1">
      <c r="B211" s="980" t="s">
        <v>378</v>
      </c>
      <c r="C211" s="980" t="s">
        <v>415</v>
      </c>
      <c r="D211" s="230"/>
      <c r="E211" s="468" t="s">
        <v>282</v>
      </c>
      <c r="F211" s="230" t="s">
        <v>412</v>
      </c>
      <c r="G211" s="980" t="str">
        <f t="shared" si="221"/>
        <v>card_credit__BEG_visa_fee</v>
      </c>
      <c r="I211" s="1057" t="s">
        <v>413</v>
      </c>
      <c r="J211" s="86">
        <f t="shared" si="197"/>
        <v>189423548.62434644</v>
      </c>
      <c r="K211" s="7">
        <v>7411378.7121170945</v>
      </c>
      <c r="L211" s="7">
        <v>11043029.292628473</v>
      </c>
      <c r="M211">
        <f t="shared" ref="M211:R211" si="227">M176/M106*M145</f>
        <v>20136647.257147636</v>
      </c>
      <c r="N211">
        <f t="shared" si="227"/>
        <v>17660138.125032187</v>
      </c>
      <c r="O211" s="7">
        <f t="shared" si="227"/>
        <v>20184428.496230632</v>
      </c>
      <c r="P211" s="7">
        <f t="shared" si="227"/>
        <v>15253705.785836138</v>
      </c>
      <c r="Q211" s="7">
        <f t="shared" si="227"/>
        <v>13516958.313984782</v>
      </c>
      <c r="R211" s="7">
        <f t="shared" si="227"/>
        <v>12255834.573741324</v>
      </c>
      <c r="S211" s="7">
        <f t="shared" ref="S211:X211" si="228">S176/S106*S145</f>
        <v>13031040.901050355</v>
      </c>
      <c r="T211" s="7">
        <f t="shared" si="228"/>
        <v>13170758.779081952</v>
      </c>
      <c r="U211" s="7">
        <f t="shared" si="228"/>
        <v>13783582.772749158</v>
      </c>
      <c r="V211" s="7">
        <f t="shared" si="228"/>
        <v>13864862.533432679</v>
      </c>
      <c r="W211" s="7">
        <f t="shared" si="228"/>
        <v>18243587.917612184</v>
      </c>
      <c r="X211" s="7">
        <f t="shared" si="228"/>
        <v>18322003.168447386</v>
      </c>
    </row>
    <row r="212" spans="2:25" ht="15" customHeight="1">
      <c r="B212" s="980" t="s">
        <v>378</v>
      </c>
      <c r="C212" s="980" t="s">
        <v>415</v>
      </c>
      <c r="D212" s="230"/>
      <c r="E212" s="468" t="s">
        <v>282</v>
      </c>
      <c r="F212" s="230" t="s">
        <v>414</v>
      </c>
      <c r="G212" s="980" t="str">
        <f t="shared" si="221"/>
        <v>card_credit__BEG_cashback_fee</v>
      </c>
      <c r="I212" s="1057" t="s">
        <v>332</v>
      </c>
      <c r="J212" s="86">
        <f t="shared" si="197"/>
        <v>492772061.73999971</v>
      </c>
      <c r="K212" s="7">
        <v>67126989.851999909</v>
      </c>
      <c r="L212" s="7">
        <v>63799871.648000002</v>
      </c>
      <c r="M212" s="7">
        <v>56477218.393999904</v>
      </c>
      <c r="N212">
        <v>45179972.118000001</v>
      </c>
      <c r="O212" s="7">
        <v>45088115.051999897</v>
      </c>
      <c r="P212" s="7">
        <v>68122605.349999994</v>
      </c>
      <c r="Q212" s="7">
        <v>46833204.535999902</v>
      </c>
      <c r="R212" s="7"/>
      <c r="S212" s="7">
        <v>36188205.088</v>
      </c>
      <c r="T212" s="7">
        <v>36188205.088</v>
      </c>
      <c r="U212" s="7">
        <v>38104295.442000002</v>
      </c>
      <c r="V212" s="7">
        <v>40741061.037999988</v>
      </c>
      <c r="W212" s="7">
        <v>38131670</v>
      </c>
      <c r="X212" s="7">
        <v>41717509.633999988</v>
      </c>
    </row>
    <row r="213" spans="2:25" ht="15" customHeight="1">
      <c r="B213" s="980" t="s">
        <v>378</v>
      </c>
      <c r="C213" s="980" t="s">
        <v>415</v>
      </c>
      <c r="D213" s="886"/>
      <c r="E213" s="468" t="s">
        <v>282</v>
      </c>
      <c r="F213" s="230" t="s">
        <v>372</v>
      </c>
      <c r="G213" s="980" t="str">
        <f t="shared" si="221"/>
        <v>card_credit__BEG_other_expense_fee</v>
      </c>
      <c r="I213" s="1057" t="s">
        <v>373</v>
      </c>
      <c r="J213" s="86">
        <f t="shared" si="197"/>
        <v>0</v>
      </c>
      <c r="K213" s="7"/>
      <c r="L213" s="7"/>
      <c r="M213" s="7"/>
      <c r="O213" s="7"/>
      <c r="Q213" s="7"/>
      <c r="X213" s="7"/>
    </row>
    <row r="214" spans="2:25" ht="15" customHeight="1">
      <c r="B214" s="980" t="s">
        <v>378</v>
      </c>
      <c r="C214" s="980" t="s">
        <v>415</v>
      </c>
      <c r="D214" s="886"/>
      <c r="E214" s="468" t="s">
        <v>282</v>
      </c>
      <c r="F214" s="717" t="s">
        <v>269</v>
      </c>
      <c r="G214" s="980" t="str">
        <f t="shared" si="221"/>
        <v>card_credit__BEG_other_TOI</v>
      </c>
      <c r="I214" s="1074" t="s">
        <v>89</v>
      </c>
      <c r="J214" s="86">
        <f t="shared" si="197"/>
        <v>226124352</v>
      </c>
      <c r="K214" s="47"/>
      <c r="L214" s="47">
        <f>184+1180086</f>
        <v>1180270</v>
      </c>
      <c r="M214" s="47">
        <v>13835677</v>
      </c>
      <c r="N214" s="47">
        <v>42763400</v>
      </c>
      <c r="O214" s="47">
        <v>46694155</v>
      </c>
      <c r="P214" s="47">
        <v>10530692</v>
      </c>
      <c r="Q214" s="47">
        <v>509242</v>
      </c>
      <c r="R214" s="89">
        <v>785864</v>
      </c>
      <c r="S214" s="89">
        <v>702875</v>
      </c>
      <c r="T214" s="7">
        <v>54830527</v>
      </c>
      <c r="U214" s="89">
        <v>4468313</v>
      </c>
      <c r="V214" s="89">
        <v>29018352</v>
      </c>
      <c r="W214" s="89">
        <v>10112961</v>
      </c>
      <c r="X214" s="7">
        <v>11872294</v>
      </c>
    </row>
    <row r="215" spans="2:25" ht="14.25" customHeight="1">
      <c r="B215" s="980" t="s">
        <v>378</v>
      </c>
      <c r="C215" s="980" t="s">
        <v>415</v>
      </c>
      <c r="D215" s="886"/>
      <c r="E215" s="468" t="s">
        <v>282</v>
      </c>
      <c r="F215" s="126" t="s">
        <v>270</v>
      </c>
      <c r="G215" s="980" t="str">
        <f>B215&amp;"_"&amp;C215&amp;"_"&amp;D215&amp;"_"&amp;E215&amp;"_"&amp;F215</f>
        <v>card_credit__BEG_provision</v>
      </c>
      <c r="I215" s="85" t="s">
        <v>136</v>
      </c>
      <c r="J215" s="86">
        <f t="shared" si="197"/>
        <v>3391531039</v>
      </c>
      <c r="K215" s="47">
        <v>210073007</v>
      </c>
      <c r="L215" s="47">
        <f>162166160+70314897</f>
        <v>232481057</v>
      </c>
      <c r="M215" s="4">
        <v>569231158</v>
      </c>
      <c r="N215" s="47">
        <v>265682694</v>
      </c>
      <c r="O215" s="47">
        <f>238370595+64109581</f>
        <v>302480176</v>
      </c>
      <c r="P215" s="81">
        <v>198092981</v>
      </c>
      <c r="Q215" s="47">
        <v>78406474</v>
      </c>
      <c r="R215" s="47">
        <f>335028953-18596641</f>
        <v>316432312</v>
      </c>
      <c r="S215" s="7">
        <v>146425293</v>
      </c>
      <c r="T215" s="7">
        <v>255111761</v>
      </c>
      <c r="U215" s="7">
        <f>290310346+28266887</f>
        <v>318577233</v>
      </c>
      <c r="V215" s="7">
        <v>239780844</v>
      </c>
      <c r="W215" s="7">
        <v>345083260</v>
      </c>
      <c r="X215" s="7">
        <f>294855678+61371175</f>
        <v>356226853</v>
      </c>
    </row>
    <row r="216" spans="2:25" ht="15" customHeight="1">
      <c r="B216" s="980" t="s">
        <v>378</v>
      </c>
      <c r="C216" s="980" t="s">
        <v>415</v>
      </c>
      <c r="D216" s="886"/>
      <c r="E216" s="468" t="s">
        <v>282</v>
      </c>
      <c r="F216" s="126" t="s">
        <v>271</v>
      </c>
      <c r="G216" s="980" t="str">
        <f t="shared" si="180"/>
        <v>card_credit__BEG_variable_cost</v>
      </c>
      <c r="I216" s="85" t="s">
        <v>229</v>
      </c>
      <c r="J216" s="86">
        <f t="shared" si="197"/>
        <v>675569568.79382658</v>
      </c>
      <c r="K216" s="47">
        <f>SUM(K217:K226)</f>
        <v>38599734.235731669</v>
      </c>
      <c r="L216" s="47">
        <f t="shared" ref="L216:R216" si="229">SUM(L217:L226)</f>
        <v>30701904.786520604</v>
      </c>
      <c r="M216" s="47">
        <f t="shared" si="229"/>
        <v>31195138.330141958</v>
      </c>
      <c r="N216" s="47">
        <f t="shared" si="229"/>
        <v>29594919.155534975</v>
      </c>
      <c r="O216" s="47">
        <f t="shared" si="229"/>
        <v>31739763.586119823</v>
      </c>
      <c r="P216" s="47">
        <f t="shared" si="229"/>
        <v>23001048.112523407</v>
      </c>
      <c r="Q216" s="47">
        <f t="shared" si="229"/>
        <v>24162117.45834012</v>
      </c>
      <c r="R216" s="47">
        <f t="shared" si="229"/>
        <v>8031188.8327935189</v>
      </c>
      <c r="S216" s="47">
        <f t="shared" ref="S216:X216" si="230">SUM(S217:S226)</f>
        <v>20774690.485854726</v>
      </c>
      <c r="T216" s="47">
        <f t="shared" si="230"/>
        <v>38917969.034507304</v>
      </c>
      <c r="U216" s="47">
        <f t="shared" si="230"/>
        <v>37942726.163398974</v>
      </c>
      <c r="V216" s="47">
        <f t="shared" si="230"/>
        <v>92279121.416070491</v>
      </c>
      <c r="W216" s="47">
        <f t="shared" si="230"/>
        <v>173502013.45750016</v>
      </c>
      <c r="X216" s="47">
        <f t="shared" si="230"/>
        <v>164428872.76104116</v>
      </c>
    </row>
    <row r="217" spans="2:25" ht="15" customHeight="1">
      <c r="B217" s="980" t="s">
        <v>378</v>
      </c>
      <c r="C217" s="980" t="s">
        <v>415</v>
      </c>
      <c r="D217" s="886"/>
      <c r="E217" s="468" t="s">
        <v>282</v>
      </c>
      <c r="F217" s="126" t="s">
        <v>272</v>
      </c>
      <c r="G217" s="980" t="str">
        <f>B217&amp;"_"&amp;C217&amp;"_"&amp;D217&amp;"_"&amp;E217&amp;"_"&amp;F217</f>
        <v>card_credit__BEG_marketing_acquisition_cost</v>
      </c>
      <c r="I217" s="563" t="s">
        <v>230</v>
      </c>
      <c r="J217" s="86">
        <f t="shared" si="197"/>
        <v>0</v>
      </c>
      <c r="S217" s="7"/>
      <c r="X217" s="7"/>
    </row>
    <row r="218" spans="2:25" ht="15" customHeight="1">
      <c r="B218" s="980" t="s">
        <v>378</v>
      </c>
      <c r="C218" s="980" t="s">
        <v>415</v>
      </c>
      <c r="D218" s="886"/>
      <c r="E218" s="468" t="s">
        <v>282</v>
      </c>
      <c r="F218" s="126" t="s">
        <v>273</v>
      </c>
      <c r="G218" s="980" t="str">
        <f>B218&amp;"_"&amp;C218&amp;"_"&amp;D218&amp;"_"&amp;E218&amp;"_"&amp;F218</f>
        <v>card_credit__BEG_partner_acquisition_cost</v>
      </c>
      <c r="I218" s="563" t="s">
        <v>231</v>
      </c>
      <c r="J218" s="86">
        <f t="shared" si="197"/>
        <v>177313508.5</v>
      </c>
      <c r="V218" s="7">
        <v>51766815.5</v>
      </c>
      <c r="W218" s="7">
        <v>70546693</v>
      </c>
      <c r="X218" s="7">
        <v>55000000</v>
      </c>
      <c r="Y218" s="89"/>
    </row>
    <row r="219" spans="2:25" ht="15" customHeight="1">
      <c r="B219" s="980" t="s">
        <v>378</v>
      </c>
      <c r="C219" s="980" t="s">
        <v>415</v>
      </c>
      <c r="D219" s="886"/>
      <c r="E219" s="468" t="s">
        <v>282</v>
      </c>
      <c r="F219" s="126" t="s">
        <v>274</v>
      </c>
      <c r="G219" s="980" t="str">
        <f t="shared" si="180"/>
        <v>card_credit__BEG_underwritting</v>
      </c>
      <c r="I219" s="563" t="s">
        <v>232</v>
      </c>
      <c r="J219" s="86">
        <f t="shared" si="197"/>
        <v>50673456.11216554</v>
      </c>
      <c r="K219" s="7">
        <v>3170256.2800172637</v>
      </c>
      <c r="L219" s="7">
        <v>1591421.5506939932</v>
      </c>
      <c r="M219" s="7">
        <v>101309.57693826816</v>
      </c>
      <c r="N219" s="7">
        <v>57017.845809241029</v>
      </c>
      <c r="O219" s="7">
        <v>29368.283188147634</v>
      </c>
      <c r="P219" s="7">
        <v>0</v>
      </c>
      <c r="Q219" s="7">
        <v>1521946.1820237979</v>
      </c>
      <c r="R219" s="7">
        <v>0</v>
      </c>
      <c r="S219" s="7">
        <v>3232702.4714684994</v>
      </c>
      <c r="T219" s="7">
        <v>9199841.4308865257</v>
      </c>
      <c r="U219" s="7">
        <v>10473746.474830776</v>
      </c>
      <c r="V219" s="7">
        <v>9352658.7974991202</v>
      </c>
      <c r="W219" s="7">
        <v>7747350.1264442382</v>
      </c>
      <c r="X219" s="7">
        <v>8957514.9230769239</v>
      </c>
    </row>
    <row r="220" spans="2:25" ht="15" customHeight="1">
      <c r="B220" s="980" t="s">
        <v>378</v>
      </c>
      <c r="C220" s="980" t="s">
        <v>415</v>
      </c>
      <c r="D220" s="886"/>
      <c r="E220" s="468" t="s">
        <v>282</v>
      </c>
      <c r="F220" s="126" t="s">
        <v>275</v>
      </c>
      <c r="G220" s="980" t="str">
        <f>B220&amp;"_"&amp;C220&amp;"_"&amp;D220&amp;"_"&amp;E220&amp;"_"&amp;F220</f>
        <v>card_credit__BEG_e_contract</v>
      </c>
      <c r="I220" s="563" t="s">
        <v>233</v>
      </c>
      <c r="J220" s="86">
        <f t="shared" si="197"/>
        <v>210709.64323373779</v>
      </c>
      <c r="K220" s="7">
        <v>25813.720430107525</v>
      </c>
      <c r="L220" s="7">
        <v>14233.006150691952</v>
      </c>
      <c r="M220">
        <v>798.76778350515463</v>
      </c>
      <c r="N220" s="7">
        <v>0</v>
      </c>
      <c r="O220" s="7">
        <v>1017.8222645617856</v>
      </c>
      <c r="P220" s="7">
        <v>0</v>
      </c>
      <c r="S220" s="7">
        <v>14277.440046296297</v>
      </c>
      <c r="T220" s="7">
        <v>39943.853058354813</v>
      </c>
      <c r="U220" s="7">
        <v>34162.584166026136</v>
      </c>
      <c r="V220" s="7">
        <v>40736.13296616837</v>
      </c>
      <c r="W220" s="7">
        <v>34805.882473622507</v>
      </c>
      <c r="X220" s="7">
        <v>44967.16047520272</v>
      </c>
    </row>
    <row r="221" spans="2:25" ht="15" customHeight="1">
      <c r="B221" s="980" t="s">
        <v>378</v>
      </c>
      <c r="C221" s="980" t="s">
        <v>415</v>
      </c>
      <c r="D221" s="886"/>
      <c r="E221" s="468" t="s">
        <v>282</v>
      </c>
      <c r="F221" s="126" t="s">
        <v>276</v>
      </c>
      <c r="G221" s="980" t="str">
        <f>B221&amp;"_"&amp;C221&amp;"_"&amp;D221&amp;"_"&amp;E221&amp;"_"&amp;F221</f>
        <v>card_credit__BEG_nfc</v>
      </c>
      <c r="I221" s="563" t="s">
        <v>152</v>
      </c>
      <c r="J221" s="86">
        <f t="shared" si="197"/>
        <v>2693336.6529257083</v>
      </c>
      <c r="K221" s="7"/>
      <c r="L221" s="7"/>
      <c r="M221" s="7">
        <v>11040.494845360825</v>
      </c>
      <c r="N221" s="7">
        <v>0</v>
      </c>
      <c r="O221" s="7">
        <v>10829.689711486119</v>
      </c>
      <c r="Q221" s="7">
        <v>0</v>
      </c>
      <c r="S221" s="7">
        <v>178907.16666666666</v>
      </c>
      <c r="T221" s="7">
        <v>485054.70822591987</v>
      </c>
      <c r="U221" s="7">
        <v>454154.71176018449</v>
      </c>
      <c r="V221" s="7">
        <v>637894.41384736425</v>
      </c>
      <c r="W221" s="7">
        <v>297766.95193434937</v>
      </c>
      <c r="X221" s="7">
        <v>617688.51593437674</v>
      </c>
    </row>
    <row r="222" spans="2:25" ht="15" customHeight="1">
      <c r="B222" s="980" t="s">
        <v>378</v>
      </c>
      <c r="C222" s="980" t="s">
        <v>415</v>
      </c>
      <c r="D222" s="886"/>
      <c r="E222" s="468" t="s">
        <v>282</v>
      </c>
      <c r="F222" s="126" t="s">
        <v>387</v>
      </c>
      <c r="G222" s="980" t="str">
        <f>B222&amp;"_"&amp;C222&amp;"_"&amp;D222&amp;"_"&amp;E222&amp;"_"&amp;F222</f>
        <v>card_credit__BEG_mk</v>
      </c>
      <c r="I222" s="563" t="s">
        <v>388</v>
      </c>
      <c r="J222" s="86">
        <f t="shared" si="197"/>
        <v>15060393.260835923</v>
      </c>
      <c r="K222" s="7">
        <v>1920043.6363636362</v>
      </c>
      <c r="L222" s="7">
        <v>953760.49376388174</v>
      </c>
      <c r="M222" s="7">
        <f t="shared" ref="M222:R222" si="231">M170/M100*M156</f>
        <v>49867.771781033152</v>
      </c>
      <c r="N222" s="7">
        <f t="shared" si="231"/>
        <v>0</v>
      </c>
      <c r="O222" s="7">
        <f t="shared" si="231"/>
        <v>49164.722976643126</v>
      </c>
      <c r="P222" s="7">
        <f t="shared" si="231"/>
        <v>0</v>
      </c>
      <c r="Q222" s="7">
        <f t="shared" si="231"/>
        <v>0</v>
      </c>
      <c r="R222" s="7">
        <f t="shared" si="231"/>
        <v>0</v>
      </c>
      <c r="S222" s="7">
        <f t="shared" ref="S222:X222" si="232">S170/S100*S156</f>
        <v>1035799.0740740742</v>
      </c>
      <c r="T222" s="7">
        <f t="shared" si="232"/>
        <v>2917708.5375000001</v>
      </c>
      <c r="U222" s="7">
        <f t="shared" si="232"/>
        <v>2733956.622085575</v>
      </c>
      <c r="V222" s="7">
        <f t="shared" si="232"/>
        <v>3228325.4655127199</v>
      </c>
      <c r="W222" s="7">
        <f t="shared" si="232"/>
        <v>2436567.5556858149</v>
      </c>
      <c r="X222" s="7">
        <f t="shared" si="232"/>
        <v>2609003.511220064</v>
      </c>
    </row>
    <row r="223" spans="2:25" ht="15" customHeight="1">
      <c r="B223" s="980" t="s">
        <v>378</v>
      </c>
      <c r="C223" s="980" t="s">
        <v>415</v>
      </c>
      <c r="D223" s="886"/>
      <c r="E223" s="468" t="s">
        <v>282</v>
      </c>
      <c r="F223" s="126" t="s">
        <v>385</v>
      </c>
      <c r="G223" s="980" t="str">
        <f>B223&amp;"_"&amp;C223&amp;"_"&amp;D223&amp;"_"&amp;E223&amp;"_"&amp;F223</f>
        <v>card_credit__BEG_ems</v>
      </c>
      <c r="I223" s="563" t="s">
        <v>386</v>
      </c>
      <c r="J223" s="86">
        <f t="shared" si="197"/>
        <v>4447042.3715930432</v>
      </c>
      <c r="K223" s="7">
        <v>566341.06254545448</v>
      </c>
      <c r="L223" s="89">
        <v>292120.4098752776</v>
      </c>
      <c r="M223" s="7">
        <f t="shared" ref="M223:R223" si="233">M170/M100*M157</f>
        <v>13910.605242868158</v>
      </c>
      <c r="N223" s="7">
        <f t="shared" si="233"/>
        <v>0</v>
      </c>
      <c r="O223" s="7">
        <f t="shared" si="233"/>
        <v>12131.308256382399</v>
      </c>
      <c r="P223" s="7">
        <f t="shared" si="233"/>
        <v>0</v>
      </c>
      <c r="Q223" s="7">
        <f t="shared" si="233"/>
        <v>0</v>
      </c>
      <c r="R223" s="7">
        <f t="shared" si="233"/>
        <v>0</v>
      </c>
      <c r="S223" s="7">
        <f t="shared" ref="S223:X223" si="234">S170/S100*S157</f>
        <v>286425.70810185187</v>
      </c>
      <c r="T223" s="7">
        <f t="shared" si="234"/>
        <v>795900.98750000005</v>
      </c>
      <c r="U223" s="7">
        <f t="shared" si="234"/>
        <v>778102.06866512937</v>
      </c>
      <c r="V223" s="7">
        <f t="shared" si="234"/>
        <v>1011606.273275636</v>
      </c>
      <c r="W223" s="7">
        <f t="shared" si="234"/>
        <v>689774.17936694017</v>
      </c>
      <c r="X223" s="7">
        <f t="shared" si="234"/>
        <v>859191.24118423532</v>
      </c>
    </row>
    <row r="224" spans="2:25" ht="15" customHeight="1">
      <c r="B224" s="980" t="s">
        <v>378</v>
      </c>
      <c r="C224" s="980" t="s">
        <v>415</v>
      </c>
      <c r="D224" s="886"/>
      <c r="E224" s="468" t="s">
        <v>282</v>
      </c>
      <c r="F224" s="126" t="s">
        <v>277</v>
      </c>
      <c r="G224" s="980" t="str">
        <f t="shared" si="180"/>
        <v>card_credit__BEG_collection</v>
      </c>
      <c r="I224" s="563" t="s">
        <v>234</v>
      </c>
      <c r="J224" s="86">
        <f t="shared" si="197"/>
        <v>156430185.61770904</v>
      </c>
      <c r="K224" s="7">
        <v>17285830.07419236</v>
      </c>
      <c r="L224" s="7">
        <v>21509281.220883273</v>
      </c>
      <c r="M224" s="7">
        <v>19685711.80996719</v>
      </c>
      <c r="N224" s="7">
        <v>24597738.270815037</v>
      </c>
      <c r="O224" s="7">
        <v>20699836.728418827</v>
      </c>
      <c r="P224" s="7">
        <v>20439991.944991369</v>
      </c>
      <c r="Q224" s="7">
        <v>19360324.258221809</v>
      </c>
      <c r="R224" s="7">
        <v>6858785.9755109977</v>
      </c>
      <c r="S224" s="7">
        <v>9947731.1242136303</v>
      </c>
      <c r="T224">
        <v>10106633.576518282</v>
      </c>
      <c r="U224" s="7">
        <v>12118786.741279686</v>
      </c>
      <c r="V224" s="7">
        <v>3897168.9006300438</v>
      </c>
      <c r="W224" s="7">
        <v>4716399.8066460434</v>
      </c>
      <c r="X224" s="7">
        <v>4001076.4804961076</v>
      </c>
    </row>
    <row r="225" spans="2:24" ht="15" customHeight="1">
      <c r="B225" s="980" t="s">
        <v>378</v>
      </c>
      <c r="C225" s="980" t="s">
        <v>415</v>
      </c>
      <c r="D225" s="886"/>
      <c r="E225" s="468" t="s">
        <v>282</v>
      </c>
      <c r="F225" s="126" t="s">
        <v>278</v>
      </c>
      <c r="G225" s="980" t="str">
        <f t="shared" si="180"/>
        <v>card_credit__BEG_promotion</v>
      </c>
      <c r="I225" s="563" t="s">
        <v>235</v>
      </c>
      <c r="J225" s="86">
        <f t="shared" si="197"/>
        <v>194411679.00164247</v>
      </c>
      <c r="K225" s="7">
        <v>10384023.389997477</v>
      </c>
      <c r="L225">
        <v>752986.7998941188</v>
      </c>
      <c r="M225" s="7">
        <v>6577634.9822118357</v>
      </c>
      <c r="N225" s="7">
        <v>1960427.039237459</v>
      </c>
      <c r="O225" s="7">
        <v>7923996.6657887101</v>
      </c>
      <c r="P225" s="7">
        <v>239349.50194013608</v>
      </c>
      <c r="Q225" s="7">
        <v>1896021.174608577</v>
      </c>
      <c r="R225" s="7">
        <v>229692.73358664184</v>
      </c>
      <c r="S225" s="7">
        <v>443468.0775351082</v>
      </c>
      <c r="T225" s="7">
        <v>3728332.1426249379</v>
      </c>
      <c r="U225" s="7">
        <v>631540.89824201202</v>
      </c>
      <c r="V225" s="7">
        <v>10510920.308168774</v>
      </c>
      <c r="W225" s="7">
        <f>1933618.5558947+75000000</f>
        <v>76933618.555894703</v>
      </c>
      <c r="X225" s="7">
        <f>8336676.92180356+75000000</f>
        <v>83336676.921803564</v>
      </c>
    </row>
    <row r="226" spans="2:24" ht="15" customHeight="1">
      <c r="B226" s="980" t="s">
        <v>378</v>
      </c>
      <c r="C226" s="980" t="s">
        <v>415</v>
      </c>
      <c r="D226" s="886"/>
      <c r="E226" s="468" t="s">
        <v>282</v>
      </c>
      <c r="F226" s="126" t="s">
        <v>279</v>
      </c>
      <c r="G226" s="980" t="str">
        <f t="shared" ref="G226:G287" si="235">B226&amp;"_"&amp;C226&amp;"_"&amp;D226&amp;"_"&amp;E226&amp;"_"&amp;F226</f>
        <v>card_credit__BEG_sms</v>
      </c>
      <c r="I226" s="563" t="s">
        <v>163</v>
      </c>
      <c r="J226" s="86">
        <f t="shared" si="197"/>
        <v>74329257.633721203</v>
      </c>
      <c r="K226" s="7">
        <v>5247426.0721853757</v>
      </c>
      <c r="L226" s="7">
        <v>5588101.3052593665</v>
      </c>
      <c r="M226" s="7">
        <v>4754864.321371899</v>
      </c>
      <c r="N226" s="7">
        <v>2979735.999673239</v>
      </c>
      <c r="O226" s="7">
        <v>3013418.3655150654</v>
      </c>
      <c r="P226" s="7">
        <v>2321706.6655919035</v>
      </c>
      <c r="Q226" s="7">
        <v>1383825.8434859356</v>
      </c>
      <c r="R226" s="7">
        <v>942710.12369587971</v>
      </c>
      <c r="S226" s="7">
        <v>5635379.4237485984</v>
      </c>
      <c r="T226" s="7">
        <v>11644553.798193287</v>
      </c>
      <c r="U226" s="7">
        <v>10718276.062369583</v>
      </c>
      <c r="V226" s="7">
        <v>11832995.624170668</v>
      </c>
      <c r="W226" s="7">
        <v>10099037.399054436</v>
      </c>
      <c r="X226" s="7">
        <v>9002754.006850699</v>
      </c>
    </row>
    <row r="227" spans="2:24" ht="15" customHeight="1">
      <c r="B227" s="980" t="s">
        <v>378</v>
      </c>
      <c r="C227" s="980" t="s">
        <v>415</v>
      </c>
      <c r="D227" s="886"/>
      <c r="E227" s="468" t="s">
        <v>282</v>
      </c>
      <c r="F227" s="126" t="s">
        <v>280</v>
      </c>
      <c r="G227" s="980" t="str">
        <f t="shared" si="235"/>
        <v>card_credit__BEG_profit_before_overhead</v>
      </c>
      <c r="I227" s="85" t="s">
        <v>236</v>
      </c>
      <c r="J227" s="7">
        <f t="shared" si="197"/>
        <v>1699954423.2093563</v>
      </c>
      <c r="K227" s="47">
        <f>K190-K215-K216</f>
        <v>477725391.60984248</v>
      </c>
      <c r="L227" s="47">
        <f t="shared" ref="L227:R227" si="236">L190-L215-L216</f>
        <v>69345525.678146899</v>
      </c>
      <c r="M227" s="47">
        <f t="shared" si="236"/>
        <v>-198225445.91918772</v>
      </c>
      <c r="N227" s="47">
        <f t="shared" si="236"/>
        <v>42940768.759237953</v>
      </c>
      <c r="O227" s="47">
        <f t="shared" si="236"/>
        <v>63895246.710732706</v>
      </c>
      <c r="P227" s="47">
        <f t="shared" si="236"/>
        <v>146238739.21801576</v>
      </c>
      <c r="Q227" s="47">
        <f t="shared" si="236"/>
        <v>344893060.62339717</v>
      </c>
      <c r="R227" s="47">
        <f t="shared" si="236"/>
        <v>227075442.7034902</v>
      </c>
      <c r="S227" s="47">
        <f t="shared" ref="S227:X227" si="237">S190-S215-S216</f>
        <v>249040475.20276168</v>
      </c>
      <c r="T227" s="47">
        <f t="shared" si="237"/>
        <v>402963453.91333151</v>
      </c>
      <c r="U227" s="47">
        <f t="shared" si="237"/>
        <v>237261577.85063815</v>
      </c>
      <c r="V227" s="47">
        <f t="shared" si="237"/>
        <v>243131100.33738372</v>
      </c>
      <c r="W227" s="47">
        <f t="shared" si="237"/>
        <v>38762324.475061476</v>
      </c>
      <c r="X227" s="47">
        <f t="shared" si="237"/>
        <v>-98022320.665506244</v>
      </c>
    </row>
    <row r="228" spans="2:24" ht="15" customHeight="1">
      <c r="D228" s="886"/>
      <c r="E228" s="1232"/>
      <c r="F228" s="756"/>
      <c r="H228" s="85"/>
      <c r="I228" s="85"/>
      <c r="J228" s="34"/>
      <c r="K228" s="7"/>
      <c r="L228" s="7"/>
      <c r="M228" s="7"/>
      <c r="N228" s="7"/>
      <c r="O228" s="7"/>
      <c r="Q228" s="7"/>
    </row>
    <row r="229" spans="2:24" ht="15" customHeight="1">
      <c r="B229" s="980" t="s">
        <v>378</v>
      </c>
      <c r="C229" s="980" t="s">
        <v>415</v>
      </c>
      <c r="E229" s="468" t="s">
        <v>310</v>
      </c>
      <c r="G229" s="980" t="str">
        <f t="shared" si="235"/>
        <v>card_credit__CAKE_</v>
      </c>
      <c r="I229" s="82" t="s">
        <v>429</v>
      </c>
    </row>
    <row r="230" spans="2:24" ht="15" customHeight="1">
      <c r="B230" s="980" t="s">
        <v>378</v>
      </c>
      <c r="C230" s="980" t="s">
        <v>415</v>
      </c>
      <c r="E230" s="468" t="s">
        <v>310</v>
      </c>
      <c r="F230" s="126" t="s">
        <v>239</v>
      </c>
      <c r="G230" s="980" t="str">
        <f t="shared" si="235"/>
        <v>card_credit__CAKE_new_account</v>
      </c>
      <c r="I230" s="1052" t="s">
        <v>416</v>
      </c>
      <c r="K230" s="7">
        <v>4891</v>
      </c>
      <c r="L230" s="7">
        <v>4993</v>
      </c>
      <c r="M230">
        <v>3437</v>
      </c>
      <c r="N230">
        <v>2445</v>
      </c>
      <c r="O230" s="89">
        <v>3078</v>
      </c>
      <c r="P230" s="7">
        <v>3072</v>
      </c>
      <c r="Q230">
        <v>3776</v>
      </c>
      <c r="R230">
        <v>3597</v>
      </c>
      <c r="S230" s="89">
        <v>3865</v>
      </c>
      <c r="T230" s="7">
        <v>3638</v>
      </c>
      <c r="U230" s="7">
        <v>3186</v>
      </c>
      <c r="V230">
        <v>3154</v>
      </c>
      <c r="W230">
        <v>6262</v>
      </c>
      <c r="X230" s="7">
        <v>4755</v>
      </c>
    </row>
    <row r="231" spans="2:24" ht="15" customHeight="1">
      <c r="B231" s="980" t="s">
        <v>378</v>
      </c>
      <c r="C231" s="980" t="s">
        <v>415</v>
      </c>
      <c r="E231" s="468" t="s">
        <v>310</v>
      </c>
      <c r="F231" s="126" t="s">
        <v>240</v>
      </c>
      <c r="G231" s="980" t="str">
        <f t="shared" si="235"/>
        <v>card_credit__CAKE_accum_account</v>
      </c>
      <c r="I231" s="1052" t="s">
        <v>417</v>
      </c>
      <c r="K231" s="34">
        <v>131995</v>
      </c>
      <c r="L231" s="34">
        <v>136988</v>
      </c>
      <c r="M231" s="34">
        <v>140425</v>
      </c>
      <c r="N231" s="34">
        <v>142870</v>
      </c>
      <c r="O231" s="34">
        <v>145948</v>
      </c>
      <c r="P231" s="7">
        <v>149020</v>
      </c>
      <c r="Q231" s="34">
        <f t="shared" ref="Q231:W231" si="238">Q101-Q171-Q291-Q351-Q411</f>
        <v>129735</v>
      </c>
      <c r="R231" s="34">
        <f t="shared" si="238"/>
        <v>133332</v>
      </c>
      <c r="S231" s="34">
        <f t="shared" si="238"/>
        <v>137197</v>
      </c>
      <c r="T231" s="34">
        <f t="shared" si="238"/>
        <v>140915</v>
      </c>
      <c r="U231" s="34">
        <f t="shared" si="238"/>
        <v>144101</v>
      </c>
      <c r="V231" s="34">
        <f t="shared" si="238"/>
        <v>147255</v>
      </c>
      <c r="W231" s="34">
        <f t="shared" si="238"/>
        <v>153517</v>
      </c>
      <c r="X231" s="7">
        <f>X101-X171-X291-X351-X411</f>
        <v>158272</v>
      </c>
    </row>
    <row r="232" spans="2:24" ht="15" customHeight="1">
      <c r="B232" s="980" t="s">
        <v>378</v>
      </c>
      <c r="C232" s="980" t="s">
        <v>415</v>
      </c>
      <c r="E232" s="468" t="s">
        <v>310</v>
      </c>
      <c r="F232" s="126" t="s">
        <v>241</v>
      </c>
      <c r="G232" s="980" t="str">
        <f>B232&amp;"_"&amp;C232&amp;"_"&amp;D232&amp;"_"&amp;E232&amp;"_"&amp;F232</f>
        <v>card_credit__CAKE_active_account</v>
      </c>
      <c r="I232" s="1052" t="s">
        <v>418</v>
      </c>
      <c r="K232">
        <v>82735</v>
      </c>
      <c r="L232">
        <v>94433</v>
      </c>
      <c r="M232">
        <v>94077</v>
      </c>
      <c r="N232" s="7">
        <v>86502</v>
      </c>
      <c r="O232">
        <v>85690</v>
      </c>
      <c r="P232" s="7">
        <v>81728</v>
      </c>
      <c r="Q232">
        <v>78017</v>
      </c>
      <c r="R232">
        <v>69467</v>
      </c>
      <c r="S232">
        <v>61606</v>
      </c>
      <c r="T232">
        <v>62200</v>
      </c>
      <c r="U232" s="7">
        <v>62547</v>
      </c>
      <c r="V232" s="7">
        <v>62701</v>
      </c>
      <c r="W232" s="7">
        <v>65602</v>
      </c>
      <c r="X232" s="7">
        <v>68132</v>
      </c>
    </row>
    <row r="233" spans="2:24" ht="15" customHeight="1">
      <c r="B233" s="980" t="s">
        <v>378</v>
      </c>
      <c r="C233" s="980" t="s">
        <v>415</v>
      </c>
      <c r="E233" s="468" t="s">
        <v>310</v>
      </c>
      <c r="F233" s="1230"/>
      <c r="G233" s="980" t="str">
        <f>B233&amp;"_"&amp;C233&amp;"_"&amp;D233&amp;"_"&amp;E233&amp;"_"&amp;F233</f>
        <v>card_credit__CAKE_</v>
      </c>
      <c r="I233" s="1052" t="s">
        <v>196</v>
      </c>
      <c r="K233" s="225">
        <f t="shared" ref="K233:Q233" si="239">K232/K231</f>
        <v>0.62680404560778813</v>
      </c>
      <c r="L233" s="225">
        <f t="shared" si="239"/>
        <v>0.68935235203083478</v>
      </c>
      <c r="M233" s="225">
        <f t="shared" si="239"/>
        <v>0.66994481039700904</v>
      </c>
      <c r="N233" s="42">
        <f t="shared" si="239"/>
        <v>0.60545950864422204</v>
      </c>
      <c r="O233" s="42">
        <f t="shared" si="239"/>
        <v>0.58712692191739524</v>
      </c>
      <c r="P233" s="42">
        <f t="shared" si="239"/>
        <v>0.54843645148302245</v>
      </c>
      <c r="Q233" s="42">
        <f t="shared" si="239"/>
        <v>0.6013566115543223</v>
      </c>
      <c r="R233" s="42">
        <f t="shared" ref="R233" si="240">R232/R231</f>
        <v>0.52100771007710078</v>
      </c>
      <c r="S233" s="42">
        <f t="shared" ref="S233:X233" si="241">S232/S231</f>
        <v>0.44903314212409895</v>
      </c>
      <c r="T233" s="42">
        <f t="shared" si="241"/>
        <v>0.44140084448071532</v>
      </c>
      <c r="U233" s="42">
        <f t="shared" si="241"/>
        <v>0.43404972900951416</v>
      </c>
      <c r="V233" s="42">
        <f t="shared" si="241"/>
        <v>0.42579878442158159</v>
      </c>
      <c r="W233" s="42">
        <f t="shared" si="241"/>
        <v>0.42732726668707699</v>
      </c>
      <c r="X233" s="42">
        <f t="shared" si="241"/>
        <v>0.43047412050141526</v>
      </c>
    </row>
    <row r="234" spans="2:24" ht="15" customHeight="1">
      <c r="B234" s="980" t="s">
        <v>378</v>
      </c>
      <c r="C234" s="980" t="s">
        <v>415</v>
      </c>
      <c r="E234" s="468" t="s">
        <v>310</v>
      </c>
      <c r="F234" s="126"/>
      <c r="G234" s="980" t="str">
        <f t="shared" si="235"/>
        <v>card_credit__CAKE_</v>
      </c>
      <c r="I234" s="1052" t="s">
        <v>197</v>
      </c>
      <c r="K234" s="7">
        <f t="shared" ref="K234:Q234" si="242">K236/K231</f>
        <v>2884212.8110913294</v>
      </c>
      <c r="L234" s="7">
        <f t="shared" si="242"/>
        <v>3290320.0280316523</v>
      </c>
      <c r="M234" s="7">
        <f t="shared" si="242"/>
        <v>3345660.7510201177</v>
      </c>
      <c r="N234" s="7">
        <f t="shared" si="242"/>
        <v>2508238.034345909</v>
      </c>
      <c r="O234" s="7">
        <f t="shared" si="242"/>
        <v>3548524.8352358374</v>
      </c>
      <c r="P234" s="7">
        <f t="shared" si="242"/>
        <v>3649850.5357133197</v>
      </c>
      <c r="Q234" s="7">
        <f t="shared" si="242"/>
        <v>4203495.3101090686</v>
      </c>
      <c r="R234" s="7">
        <f t="shared" ref="R234" si="243">R236/R231</f>
        <v>4149743.4984549847</v>
      </c>
      <c r="S234" s="7">
        <f t="shared" ref="S234:X234" si="244">S236/S231</f>
        <v>4858651.8294860674</v>
      </c>
      <c r="T234" s="7">
        <f t="shared" si="244"/>
        <v>5109858.2899833163</v>
      </c>
      <c r="U234" s="7">
        <f t="shared" si="244"/>
        <v>4387206.913324682</v>
      </c>
      <c r="V234" s="7">
        <f t="shared" si="244"/>
        <v>5255120.4205969237</v>
      </c>
      <c r="W234" s="7">
        <f t="shared" si="244"/>
        <v>4984125.2071627248</v>
      </c>
      <c r="X234" s="7">
        <f t="shared" si="244"/>
        <v>6672184.5783777293</v>
      </c>
    </row>
    <row r="235" spans="2:24" ht="15" customHeight="1">
      <c r="B235" s="980" t="s">
        <v>378</v>
      </c>
      <c r="C235" s="980" t="s">
        <v>415</v>
      </c>
      <c r="E235" s="468" t="s">
        <v>310</v>
      </c>
      <c r="F235" s="1230"/>
      <c r="G235" s="980" t="str">
        <f t="shared" si="235"/>
        <v>card_credit__CAKE_</v>
      </c>
      <c r="I235" s="1053" t="s">
        <v>198</v>
      </c>
      <c r="K235" s="86">
        <f t="shared" ref="K235:Q235" si="245">K236/K232</f>
        <v>4601458.5121170003</v>
      </c>
      <c r="L235" s="86">
        <f t="shared" si="245"/>
        <v>4773059.8413690133</v>
      </c>
      <c r="M235" s="86">
        <f t="shared" si="245"/>
        <v>4993934.8720941357</v>
      </c>
      <c r="N235" s="86">
        <f t="shared" si="245"/>
        <v>4142701.5325310398</v>
      </c>
      <c r="O235" s="86">
        <f t="shared" si="245"/>
        <v>6043880.2970358264</v>
      </c>
      <c r="P235" s="86">
        <f t="shared" si="245"/>
        <v>6655010.8510179976</v>
      </c>
      <c r="Q235" s="86">
        <f t="shared" si="245"/>
        <v>6990020.9448838076</v>
      </c>
      <c r="R235" s="86">
        <f t="shared" ref="R235" si="246">R236/R232</f>
        <v>7964840.8616465377</v>
      </c>
      <c r="S235" s="7">
        <f t="shared" ref="S235:X235" si="247">S236/S232</f>
        <v>10820252.16780833</v>
      </c>
      <c r="T235" s="7">
        <f t="shared" si="247"/>
        <v>11576457.892813489</v>
      </c>
      <c r="U235" s="7">
        <f t="shared" si="247"/>
        <v>10107613.529297968</v>
      </c>
      <c r="V235" s="7">
        <f t="shared" si="247"/>
        <v>12341792.914546818</v>
      </c>
      <c r="W235" s="7">
        <f t="shared" si="247"/>
        <v>11663485.09844212</v>
      </c>
      <c r="X235" s="7">
        <f t="shared" si="247"/>
        <v>15499618.35244819</v>
      </c>
    </row>
    <row r="236" spans="2:24" ht="15" customHeight="1">
      <c r="B236" s="980" t="s">
        <v>378</v>
      </c>
      <c r="C236" s="980" t="s">
        <v>415</v>
      </c>
      <c r="E236" s="468" t="s">
        <v>310</v>
      </c>
      <c r="F236" s="126" t="s">
        <v>242</v>
      </c>
      <c r="G236" s="980" t="str">
        <f>B236&amp;"_"&amp;C236&amp;"_"&amp;D236&amp;"_"&amp;E236&amp;"_"&amp;F236</f>
        <v>card_credit__CAKE_disburse/spend</v>
      </c>
      <c r="I236" s="1052" t="s">
        <v>199</v>
      </c>
      <c r="J236" s="34">
        <f>SUM(M236:X236)</f>
        <v>7602461016558.998</v>
      </c>
      <c r="K236" s="89">
        <v>380701670000</v>
      </c>
      <c r="L236" s="7">
        <v>450734360000</v>
      </c>
      <c r="M236" s="7">
        <f t="shared" ref="M236:O236" si="248">M106-M176-M296-M356-M416</f>
        <v>469814410962</v>
      </c>
      <c r="N236" s="7">
        <f t="shared" si="248"/>
        <v>358351967967</v>
      </c>
      <c r="O236" s="7">
        <f t="shared" si="248"/>
        <v>517900102653</v>
      </c>
      <c r="P236" s="7">
        <f>P106-P176-P296-P356-P416</f>
        <v>543900726831.9989</v>
      </c>
      <c r="Q236" s="7">
        <f>Q106-Q176-Q296-Q356-Q416</f>
        <v>545340464057</v>
      </c>
      <c r="R236" s="7">
        <f>R106-R176-R296-R356-R416</f>
        <v>553293600136</v>
      </c>
      <c r="S236" s="7">
        <f>S106-S176-S296-S356-S416</f>
        <v>666592455050</v>
      </c>
      <c r="T236" s="7">
        <f t="shared" ref="T236:W236" si="249">T106-T176-T296-T356-T416</f>
        <v>720055680932.99902</v>
      </c>
      <c r="U236" s="7">
        <f t="shared" si="249"/>
        <v>632200903417</v>
      </c>
      <c r="V236" s="7">
        <f t="shared" si="249"/>
        <v>773842757535</v>
      </c>
      <c r="W236" s="7">
        <f t="shared" si="249"/>
        <v>765147949428</v>
      </c>
      <c r="X236" s="7">
        <v>1056019997589</v>
      </c>
    </row>
    <row r="237" spans="2:24" ht="15" customHeight="1">
      <c r="B237" s="980" t="s">
        <v>378</v>
      </c>
      <c r="C237" s="980" t="s">
        <v>415</v>
      </c>
      <c r="E237" s="468" t="s">
        <v>310</v>
      </c>
      <c r="F237" s="126" t="s">
        <v>243</v>
      </c>
      <c r="G237" s="980" t="str">
        <f>B237&amp;"_"&amp;C237&amp;"_"&amp;D237&amp;"_"&amp;E237&amp;"_"&amp;F237</f>
        <v>card_credit__CAKE_ENR</v>
      </c>
      <c r="I237" s="1052" t="s">
        <v>200</v>
      </c>
      <c r="K237" s="86">
        <v>695128089005</v>
      </c>
      <c r="L237" s="34">
        <v>715254291374</v>
      </c>
      <c r="M237" s="7">
        <v>789910215909</v>
      </c>
      <c r="N237" s="7">
        <v>774259865554</v>
      </c>
      <c r="O237" s="7">
        <v>801376520743</v>
      </c>
      <c r="P237" s="7">
        <v>855791473706</v>
      </c>
      <c r="Q237" s="7">
        <v>900093558427</v>
      </c>
      <c r="R237" s="7">
        <v>936651254362</v>
      </c>
      <c r="S237" s="7">
        <v>1019077332580</v>
      </c>
      <c r="T237" s="7">
        <v>1096303453813</v>
      </c>
      <c r="U237" s="7">
        <v>1154720128533</v>
      </c>
      <c r="V237" s="7">
        <v>1203753646476</v>
      </c>
      <c r="W237" s="7">
        <v>1312974820235</v>
      </c>
      <c r="X237" s="7">
        <v>1374377421081</v>
      </c>
    </row>
    <row r="238" spans="2:24" ht="15" customHeight="1">
      <c r="B238" s="980" t="s">
        <v>378</v>
      </c>
      <c r="C238" s="980" t="s">
        <v>415</v>
      </c>
      <c r="E238" s="468" t="s">
        <v>310</v>
      </c>
      <c r="F238" s="126" t="s">
        <v>244</v>
      </c>
      <c r="G238" s="980" t="str">
        <f t="shared" ref="G238:G239" si="250">B238&amp;"_"&amp;C238&amp;"_"&amp;D238&amp;"_"&amp;E238&amp;"_"&amp;F238</f>
        <v>card_credit__CAKE_nonEMI_ENR</v>
      </c>
      <c r="I238" s="1072" t="s">
        <v>201</v>
      </c>
      <c r="K238" s="86"/>
      <c r="L238" s="34"/>
      <c r="M238" s="7"/>
      <c r="N238" s="7"/>
      <c r="O238" s="7"/>
      <c r="Q238" s="7"/>
      <c r="S238" s="7">
        <f t="shared" ref="S238:X238" si="251">S237-S239</f>
        <v>1018814452969</v>
      </c>
      <c r="T238" s="34">
        <f t="shared" si="251"/>
        <v>1077257199723</v>
      </c>
      <c r="U238" s="34">
        <f t="shared" si="251"/>
        <v>1111468759197</v>
      </c>
      <c r="V238" s="34">
        <f t="shared" si="251"/>
        <v>1148473728746</v>
      </c>
      <c r="W238" s="34">
        <f t="shared" si="251"/>
        <v>1249889783004</v>
      </c>
      <c r="X238" s="34">
        <f t="shared" si="251"/>
        <v>1296971390651</v>
      </c>
    </row>
    <row r="239" spans="2:24" ht="15" customHeight="1">
      <c r="B239" s="980" t="s">
        <v>378</v>
      </c>
      <c r="C239" s="980" t="s">
        <v>415</v>
      </c>
      <c r="E239" s="468" t="s">
        <v>310</v>
      </c>
      <c r="F239" s="126" t="s">
        <v>245</v>
      </c>
      <c r="G239" s="980" t="str">
        <f t="shared" si="250"/>
        <v>card_credit__CAKE_EMI_ENR</v>
      </c>
      <c r="I239" s="1072" t="s">
        <v>202</v>
      </c>
      <c r="K239" s="86"/>
      <c r="L239" s="34"/>
      <c r="M239" s="7"/>
      <c r="N239" s="7"/>
      <c r="O239" s="7"/>
      <c r="Q239" s="7"/>
      <c r="S239" s="7">
        <v>262879611</v>
      </c>
      <c r="T239" s="7">
        <v>19046254090</v>
      </c>
      <c r="U239" s="7">
        <v>43251369336</v>
      </c>
      <c r="V239" s="7">
        <v>55279917730</v>
      </c>
      <c r="W239" s="7">
        <v>63085037231</v>
      </c>
      <c r="X239" s="7">
        <v>77406030430</v>
      </c>
    </row>
    <row r="240" spans="2:24" ht="15" customHeight="1">
      <c r="B240" s="980" t="s">
        <v>378</v>
      </c>
      <c r="C240" s="980" t="s">
        <v>415</v>
      </c>
      <c r="E240" s="468" t="s">
        <v>310</v>
      </c>
      <c r="F240" s="126" t="s">
        <v>246</v>
      </c>
      <c r="G240" s="980" t="str">
        <f>B240&amp;"_"&amp;C240&amp;"_"&amp;D240&amp;"_"&amp;E240&amp;"_"&amp;F240</f>
        <v>card_credit__CAKE_revolving_ENR</v>
      </c>
      <c r="I240" s="1052" t="s">
        <v>203</v>
      </c>
      <c r="K240" s="86">
        <v>392904000000</v>
      </c>
      <c r="L240" s="7">
        <v>412147000000</v>
      </c>
      <c r="M240" s="7">
        <v>438918000000</v>
      </c>
      <c r="N240" s="7">
        <v>428385000000</v>
      </c>
      <c r="O240" s="7">
        <v>432532051331</v>
      </c>
      <c r="P240" s="7">
        <v>431996120897</v>
      </c>
      <c r="Q240" s="7">
        <v>475356206934</v>
      </c>
      <c r="R240" s="7">
        <v>505425441054</v>
      </c>
      <c r="S240" s="7">
        <v>536843006110.99994</v>
      </c>
      <c r="T240" s="7">
        <v>559077187664.00012</v>
      </c>
      <c r="U240" s="7">
        <v>565281601629</v>
      </c>
      <c r="V240" s="7">
        <v>583669086996.00012</v>
      </c>
      <c r="W240" s="7">
        <v>607291319909.00012</v>
      </c>
      <c r="X240" s="7">
        <v>621620031623</v>
      </c>
    </row>
    <row r="241" spans="2:24" ht="15" customHeight="1">
      <c r="B241" s="980" t="s">
        <v>378</v>
      </c>
      <c r="C241" s="980" t="s">
        <v>415</v>
      </c>
      <c r="E241" s="468" t="s">
        <v>310</v>
      </c>
      <c r="F241" s="126" t="s">
        <v>247</v>
      </c>
      <c r="G241" s="980" t="str">
        <f>B241&amp;"_"&amp;C241&amp;"_"&amp;D241&amp;"_"&amp;E241&amp;"_"&amp;F241</f>
        <v>card_credit__CAKE_overdue_balance_10d</v>
      </c>
      <c r="I241" s="1052" t="s">
        <v>204</v>
      </c>
      <c r="K241" s="86">
        <f t="shared" ref="K241:P241" si="252">K242+K243</f>
        <v>126549424916</v>
      </c>
      <c r="L241" s="86">
        <f t="shared" si="252"/>
        <v>141963706230</v>
      </c>
      <c r="M241" s="86">
        <f t="shared" si="252"/>
        <v>147503500938</v>
      </c>
      <c r="N241" s="86">
        <f t="shared" si="252"/>
        <v>128079962539</v>
      </c>
      <c r="O241" s="7">
        <f t="shared" si="252"/>
        <v>139266240237</v>
      </c>
      <c r="P241" s="86">
        <f t="shared" si="252"/>
        <v>136440779611</v>
      </c>
      <c r="Q241" s="86">
        <f t="shared" ref="Q241:V241" si="253">Q242+Q243</f>
        <v>140302289922</v>
      </c>
      <c r="R241" s="86">
        <f t="shared" si="253"/>
        <v>162655439254</v>
      </c>
      <c r="S241" s="7">
        <f t="shared" si="253"/>
        <v>177329029950</v>
      </c>
      <c r="T241" s="7">
        <f t="shared" si="253"/>
        <v>178756435960</v>
      </c>
      <c r="U241" s="7">
        <f t="shared" si="253"/>
        <v>183927764456</v>
      </c>
      <c r="V241" s="7">
        <f t="shared" si="253"/>
        <v>177845914614</v>
      </c>
      <c r="W241" s="7">
        <f>W242+W243</f>
        <v>187409474971</v>
      </c>
      <c r="X241" s="7">
        <f>X242+X243</f>
        <v>193860407268</v>
      </c>
    </row>
    <row r="242" spans="2:24" ht="15" customHeight="1">
      <c r="B242" s="980" t="s">
        <v>378</v>
      </c>
      <c r="C242" s="980" t="s">
        <v>415</v>
      </c>
      <c r="E242" s="468" t="s">
        <v>310</v>
      </c>
      <c r="F242" s="1230"/>
      <c r="G242" s="980" t="str">
        <f>B242&amp;"_"&amp;C242&amp;"_"&amp;D242&amp;"_"&amp;E242&amp;"_"&amp;F242</f>
        <v>card_credit__CAKE_</v>
      </c>
      <c r="I242" s="1052" t="s">
        <v>205</v>
      </c>
      <c r="K242" s="86">
        <v>53314306390</v>
      </c>
      <c r="L242" s="34">
        <v>58488945441</v>
      </c>
      <c r="M242" s="7">
        <v>63764802715</v>
      </c>
      <c r="N242" s="7">
        <v>69199370581</v>
      </c>
      <c r="O242" s="7">
        <v>73128026158</v>
      </c>
      <c r="P242" s="86">
        <v>70246654641</v>
      </c>
      <c r="Q242" s="86">
        <v>70157338459</v>
      </c>
      <c r="R242" s="7">
        <v>76046790385</v>
      </c>
      <c r="S242" s="7">
        <v>95472039418</v>
      </c>
      <c r="T242" s="7">
        <v>93944705277</v>
      </c>
      <c r="U242" s="7">
        <v>102636368264</v>
      </c>
      <c r="V242" s="7">
        <v>107419864184</v>
      </c>
      <c r="W242" s="7">
        <v>115467068766</v>
      </c>
      <c r="X242" s="7">
        <v>115555023159</v>
      </c>
    </row>
    <row r="243" spans="2:24" ht="15" customHeight="1">
      <c r="B243" s="980" t="s">
        <v>378</v>
      </c>
      <c r="C243" s="980" t="s">
        <v>415</v>
      </c>
      <c r="E243" s="468" t="s">
        <v>310</v>
      </c>
      <c r="F243" s="126" t="s">
        <v>248</v>
      </c>
      <c r="G243" s="980" t="str">
        <f>B243&amp;"_"&amp;C243&amp;"_"&amp;D243&amp;"_"&amp;E243&amp;"_"&amp;F243</f>
        <v>card_credit__CAKE_overdue_balance_90d</v>
      </c>
      <c r="I243" s="1052" t="s">
        <v>206</v>
      </c>
      <c r="K243" s="86">
        <v>73235118526</v>
      </c>
      <c r="L243" s="89">
        <v>83474760789</v>
      </c>
      <c r="M243" s="7">
        <v>83738698223</v>
      </c>
      <c r="N243" s="7">
        <v>58880591958</v>
      </c>
      <c r="O243" s="7">
        <v>66138214079</v>
      </c>
      <c r="P243" s="86">
        <v>66194124970</v>
      </c>
      <c r="Q243" s="86">
        <v>70144951463</v>
      </c>
      <c r="R243" s="7">
        <v>86608648869</v>
      </c>
      <c r="S243" s="7">
        <v>81856990532</v>
      </c>
      <c r="T243" s="7">
        <v>84811730683</v>
      </c>
      <c r="U243" s="7">
        <v>81291396192</v>
      </c>
      <c r="V243" s="7">
        <v>70426050430</v>
      </c>
      <c r="W243" s="7">
        <v>71942406205</v>
      </c>
      <c r="X243" s="7">
        <v>78305384109</v>
      </c>
    </row>
    <row r="244" spans="2:24" ht="15" customHeight="1">
      <c r="B244" s="980" t="s">
        <v>378</v>
      </c>
      <c r="C244" s="980" t="s">
        <v>415</v>
      </c>
      <c r="E244" s="468" t="s">
        <v>310</v>
      </c>
      <c r="F244" s="1229" t="s">
        <v>213</v>
      </c>
      <c r="G244" s="980" t="str">
        <f>B244&amp;"_"&amp;C244&amp;"_"&amp;D244&amp;"_"&amp;E244&amp;"_"&amp;F244</f>
        <v>card_credit__CAKE_npl</v>
      </c>
      <c r="I244" s="226" t="s">
        <v>423</v>
      </c>
      <c r="K244" s="42">
        <f>K243/K237</f>
        <v>0.10535485428423426</v>
      </c>
      <c r="L244" s="42">
        <f>L243/L237</f>
        <v>0.11670641028751522</v>
      </c>
      <c r="M244" s="42">
        <f>M243/M237</f>
        <v>0.10601040034231808</v>
      </c>
      <c r="N244" s="131">
        <f>N243/N237</f>
        <v>7.6047583734525151E-2</v>
      </c>
      <c r="O244" s="131">
        <f>O243/O237</f>
        <v>8.2530760968239553E-2</v>
      </c>
      <c r="P244" s="131">
        <f t="shared" ref="P244:Q244" si="254">P243/P237</f>
        <v>7.7348427746477447E-2</v>
      </c>
      <c r="Q244" s="131">
        <f t="shared" si="254"/>
        <v>7.7930733762371376E-2</v>
      </c>
      <c r="R244" s="131">
        <f t="shared" ref="R244:X244" si="255">R243/R237</f>
        <v>9.2466271160863908E-2</v>
      </c>
      <c r="S244" s="131">
        <f t="shared" si="255"/>
        <v>8.0324611209595359E-2</v>
      </c>
      <c r="T244" s="131">
        <f t="shared" si="255"/>
        <v>7.7361546557224117E-2</v>
      </c>
      <c r="U244" s="131">
        <f t="shared" si="255"/>
        <v>7.0399219848428257E-2</v>
      </c>
      <c r="V244" s="131">
        <f t="shared" si="255"/>
        <v>5.8505368300376843E-2</v>
      </c>
      <c r="W244" s="131">
        <f t="shared" si="255"/>
        <v>5.4793439368565761E-2</v>
      </c>
      <c r="X244" s="131">
        <f t="shared" si="255"/>
        <v>5.6975167743522626E-2</v>
      </c>
    </row>
    <row r="245" spans="2:24" ht="15" customHeight="1">
      <c r="B245" s="980" t="s">
        <v>378</v>
      </c>
      <c r="C245" s="980" t="s">
        <v>415</v>
      </c>
      <c r="E245" s="468" t="s">
        <v>310</v>
      </c>
      <c r="F245" s="126" t="s">
        <v>250</v>
      </c>
      <c r="G245" s="980" t="str">
        <f t="shared" si="235"/>
        <v>card_credit__CAKE_overdue_account_10d</v>
      </c>
      <c r="I245" s="1052" t="s">
        <v>208</v>
      </c>
      <c r="K245" s="86">
        <v>12628</v>
      </c>
      <c r="L245" s="86">
        <v>21127</v>
      </c>
      <c r="M245" s="86">
        <f>M246+M247</f>
        <v>22268</v>
      </c>
      <c r="N245" s="86">
        <f>N246+N247</f>
        <v>19610</v>
      </c>
      <c r="O245" s="86">
        <f>O246+O247</f>
        <v>18973</v>
      </c>
      <c r="P245" s="86"/>
    </row>
    <row r="246" spans="2:24" ht="15" customHeight="1">
      <c r="B246" s="980" t="s">
        <v>378</v>
      </c>
      <c r="C246" s="980" t="s">
        <v>415</v>
      </c>
      <c r="E246" s="468" t="s">
        <v>310</v>
      </c>
      <c r="F246" s="126"/>
      <c r="G246" s="980" t="str">
        <f t="shared" ref="G246:G247" si="256">B246&amp;"_"&amp;C246&amp;"_"&amp;D246&amp;"_"&amp;E246&amp;"_"&amp;F246</f>
        <v>card_credit__CAKE_</v>
      </c>
      <c r="I246" s="1052" t="s">
        <v>209</v>
      </c>
      <c r="K246" s="86">
        <v>4505</v>
      </c>
      <c r="L246" s="86">
        <v>12461</v>
      </c>
      <c r="M246" s="7">
        <v>10959</v>
      </c>
      <c r="N246">
        <v>11578</v>
      </c>
      <c r="O246">
        <v>11537</v>
      </c>
      <c r="P246" s="86"/>
    </row>
    <row r="247" spans="2:24" ht="15" customHeight="1">
      <c r="B247" s="980" t="s">
        <v>378</v>
      </c>
      <c r="C247" s="980" t="s">
        <v>415</v>
      </c>
      <c r="E247" s="468" t="s">
        <v>310</v>
      </c>
      <c r="F247" s="126" t="s">
        <v>251</v>
      </c>
      <c r="G247" s="980" t="str">
        <f t="shared" si="256"/>
        <v>card_credit__CAKE_overdue_account_90d</v>
      </c>
      <c r="I247" s="1052" t="s">
        <v>210</v>
      </c>
      <c r="K247" s="86">
        <v>8123</v>
      </c>
      <c r="L247" s="86">
        <v>8666</v>
      </c>
      <c r="M247" s="7">
        <v>11309</v>
      </c>
      <c r="N247" s="7">
        <v>8032</v>
      </c>
      <c r="O247">
        <v>7436</v>
      </c>
      <c r="P247" s="86"/>
    </row>
    <row r="248" spans="2:24" ht="15" customHeight="1">
      <c r="B248" s="980" t="s">
        <v>378</v>
      </c>
      <c r="C248" s="980" t="s">
        <v>415</v>
      </c>
      <c r="E248" s="468" t="s">
        <v>310</v>
      </c>
      <c r="F248" s="126" t="s">
        <v>252</v>
      </c>
      <c r="G248" s="980" t="str">
        <f t="shared" si="235"/>
        <v>card_credit__CAKE_revenue</v>
      </c>
      <c r="I248" s="85" t="s">
        <v>215</v>
      </c>
      <c r="J248" s="86">
        <f t="shared" ref="J248:J287" si="257">SUM(M248:X248)</f>
        <v>354878812158.23865</v>
      </c>
      <c r="K248" s="7">
        <f>K252+K258+K274</f>
        <v>23908843978.688675</v>
      </c>
      <c r="L248" s="7">
        <f t="shared" ref="L248:Q248" si="258">L252+L258+L274</f>
        <v>15484862042.502764</v>
      </c>
      <c r="M248" s="7">
        <f t="shared" si="258"/>
        <v>20145802940.021027</v>
      </c>
      <c r="N248" s="7">
        <f t="shared" si="258"/>
        <v>18397558345.899288</v>
      </c>
      <c r="O248" s="7">
        <f t="shared" si="258"/>
        <v>19237147243.661728</v>
      </c>
      <c r="P248" s="7">
        <f t="shared" si="258"/>
        <v>22446666498.088051</v>
      </c>
      <c r="Q248" s="7">
        <f t="shared" si="258"/>
        <v>25276346611.120995</v>
      </c>
      <c r="R248" s="7">
        <f t="shared" ref="R248" si="259">R252+R258+R274</f>
        <v>30845915138.097462</v>
      </c>
      <c r="S248" s="7">
        <f>S252+S258+S274</f>
        <v>26366533663.300571</v>
      </c>
      <c r="T248" s="86">
        <f>T252+T258+T274</f>
        <v>35465835865.726212</v>
      </c>
      <c r="U248" s="86">
        <f t="shared" ref="U248:X248" si="260">U252+U258+U274</f>
        <v>36683993827.553352</v>
      </c>
      <c r="V248" s="86">
        <f t="shared" si="260"/>
        <v>38248778874.52063</v>
      </c>
      <c r="W248" s="86">
        <f t="shared" si="260"/>
        <v>40165442892.855667</v>
      </c>
      <c r="X248" s="86">
        <f t="shared" si="260"/>
        <v>41598790257.3937</v>
      </c>
    </row>
    <row r="249" spans="2:24" ht="15" customHeight="1">
      <c r="B249" s="980" t="s">
        <v>378</v>
      </c>
      <c r="C249" s="980" t="s">
        <v>415</v>
      </c>
      <c r="E249" s="468" t="s">
        <v>310</v>
      </c>
      <c r="F249" s="126" t="s">
        <v>253</v>
      </c>
      <c r="G249" s="980" t="str">
        <f>B249&amp;"_"&amp;C249&amp;"_"&amp;D249&amp;"_"&amp;E249&amp;"_"&amp;F249</f>
        <v>card_credit__CAKE_COGs</v>
      </c>
      <c r="I249" s="85" t="s">
        <v>216</v>
      </c>
      <c r="J249" s="86">
        <f t="shared" si="257"/>
        <v>96147709423.910675</v>
      </c>
      <c r="K249" s="34">
        <f>K256+K269</f>
        <v>5139535310.5617504</v>
      </c>
      <c r="L249" s="34">
        <f t="shared" ref="L249:Q249" si="261">L256+L269</f>
        <v>5743002339.5360107</v>
      </c>
      <c r="M249" s="34">
        <f t="shared" si="261"/>
        <v>6871237906.0720711</v>
      </c>
      <c r="N249" s="34">
        <f t="shared" si="261"/>
        <v>6389093359.7912436</v>
      </c>
      <c r="O249" s="34">
        <f t="shared" si="261"/>
        <v>7066619337.6292477</v>
      </c>
      <c r="P249" s="34">
        <f t="shared" si="261"/>
        <v>6907377177.1549225</v>
      </c>
      <c r="Q249" s="34">
        <f t="shared" si="261"/>
        <v>7017571805.8699837</v>
      </c>
      <c r="R249" s="34">
        <f t="shared" ref="R249" si="262">R256+R269</f>
        <v>4436516809.9419823</v>
      </c>
      <c r="S249" s="34">
        <f>S256+S269</f>
        <v>7866896404.3065758</v>
      </c>
      <c r="T249" s="34">
        <f>T256+T269</f>
        <v>8727953366.6072712</v>
      </c>
      <c r="U249" s="34">
        <f t="shared" ref="U249:X249" si="263">U256+U269</f>
        <v>9252020775.6903839</v>
      </c>
      <c r="V249" s="34">
        <f t="shared" si="263"/>
        <v>9910206501.8525276</v>
      </c>
      <c r="W249" s="34">
        <f t="shared" si="263"/>
        <v>9928252695.1272812</v>
      </c>
      <c r="X249" s="7">
        <f t="shared" si="263"/>
        <v>11773963283.867191</v>
      </c>
    </row>
    <row r="250" spans="2:24" ht="15" customHeight="1">
      <c r="B250" s="980" t="s">
        <v>378</v>
      </c>
      <c r="C250" s="980" t="s">
        <v>415</v>
      </c>
      <c r="E250" s="468" t="s">
        <v>310</v>
      </c>
      <c r="F250" s="126" t="s">
        <v>217</v>
      </c>
      <c r="G250" s="980" t="str">
        <f>B250&amp;"_"&amp;C250&amp;"_"&amp;D250&amp;"_"&amp;E250&amp;"_"&amp;F250</f>
        <v>card_credit__CAKE_TOI</v>
      </c>
      <c r="I250" s="1051" t="s">
        <v>217</v>
      </c>
      <c r="J250" s="86">
        <f t="shared" si="257"/>
        <v>258731102734.32803</v>
      </c>
      <c r="K250" s="47">
        <f t="shared" ref="K250:Q250" si="264">K251+K257+K274</f>
        <v>18769308668.126923</v>
      </c>
      <c r="L250" s="47">
        <f t="shared" si="264"/>
        <v>9741859702.966753</v>
      </c>
      <c r="M250" s="47">
        <f t="shared" si="264"/>
        <v>13274565033.948956</v>
      </c>
      <c r="N250" s="47">
        <f t="shared" si="264"/>
        <v>12008464986.108044</v>
      </c>
      <c r="O250" s="47">
        <f t="shared" si="264"/>
        <v>12170527906.032482</v>
      </c>
      <c r="P250" s="47">
        <f t="shared" si="264"/>
        <v>15539289320.933128</v>
      </c>
      <c r="Q250" s="47">
        <f t="shared" si="264"/>
        <v>18258774805.251011</v>
      </c>
      <c r="R250" s="47">
        <f t="shared" ref="R250" si="265">R251+R257+R274</f>
        <v>26409398328.155479</v>
      </c>
      <c r="S250" s="47">
        <f>S251+S257+S274</f>
        <v>18499637258.993996</v>
      </c>
      <c r="T250" s="47">
        <f>T251+T257+T274</f>
        <v>26737882499.118942</v>
      </c>
      <c r="U250" s="47">
        <f t="shared" ref="U250:X250" si="266">U251+U257+U274</f>
        <v>27431973051.862968</v>
      </c>
      <c r="V250" s="47">
        <f t="shared" si="266"/>
        <v>28338572372.668098</v>
      </c>
      <c r="W250" s="47">
        <f t="shared" si="266"/>
        <v>30237190197.728386</v>
      </c>
      <c r="X250" s="47">
        <f t="shared" si="266"/>
        <v>29824826973.526508</v>
      </c>
    </row>
    <row r="251" spans="2:24" ht="15" customHeight="1">
      <c r="B251" s="980" t="s">
        <v>378</v>
      </c>
      <c r="C251" s="980" t="s">
        <v>415</v>
      </c>
      <c r="E251" s="468" t="s">
        <v>310</v>
      </c>
      <c r="F251" s="126" t="s">
        <v>254</v>
      </c>
      <c r="G251" s="980" t="str">
        <f>B251&amp;"_"&amp;C251&amp;"_"&amp;D251&amp;"_"&amp;E251&amp;"_"&amp;F251</f>
        <v>card_credit__CAKE_NII</v>
      </c>
      <c r="I251" s="1055" t="s">
        <v>218</v>
      </c>
      <c r="J251" s="86">
        <f t="shared" si="257"/>
        <v>138335456675.93771</v>
      </c>
      <c r="K251" s="47">
        <f t="shared" ref="K251:Q251" si="267">K252-K256</f>
        <v>8247509981.9669323</v>
      </c>
      <c r="L251" s="47">
        <f t="shared" si="267"/>
        <v>6974793770.5455885</v>
      </c>
      <c r="M251" s="47">
        <f t="shared" si="267"/>
        <v>8388789162.2512865</v>
      </c>
      <c r="N251" s="47">
        <f t="shared" si="267"/>
        <v>8622291816.7412014</v>
      </c>
      <c r="O251" s="47">
        <f t="shared" si="267"/>
        <v>7572426659.2217579</v>
      </c>
      <c r="P251" s="47">
        <f t="shared" si="267"/>
        <v>10268737940.666704</v>
      </c>
      <c r="Q251" s="47">
        <f t="shared" si="267"/>
        <v>10241959326.817785</v>
      </c>
      <c r="R251" s="47">
        <f t="shared" ref="R251" si="268">R252-R256</f>
        <v>11992725516.173035</v>
      </c>
      <c r="S251" s="47">
        <f>S252-S256</f>
        <v>11377594155.222961</v>
      </c>
      <c r="T251" s="85">
        <f>T252-T256</f>
        <v>14066112486.451042</v>
      </c>
      <c r="U251" s="85">
        <f t="shared" ref="U251:X251" si="269">U252-U256</f>
        <v>14122379003.914648</v>
      </c>
      <c r="V251" s="85">
        <f t="shared" si="269"/>
        <v>14115709977.528107</v>
      </c>
      <c r="W251" s="85">
        <f t="shared" si="269"/>
        <v>14394570815.807182</v>
      </c>
      <c r="X251" s="85">
        <f t="shared" si="269"/>
        <v>13172159815.14201</v>
      </c>
    </row>
    <row r="252" spans="2:24" ht="15" customHeight="1">
      <c r="B252" s="980" t="s">
        <v>378</v>
      </c>
      <c r="C252" s="980" t="s">
        <v>415</v>
      </c>
      <c r="E252" s="468" t="s">
        <v>310</v>
      </c>
      <c r="F252" s="126" t="s">
        <v>255</v>
      </c>
      <c r="G252" s="980" t="str">
        <f>B252&amp;"_"&amp;C252&amp;"_"&amp;D252&amp;"_"&amp;E252&amp;"_"&amp;F252</f>
        <v>card_credit__CAKE_CII</v>
      </c>
      <c r="I252" s="1056" t="s">
        <v>20</v>
      </c>
      <c r="J252" s="86">
        <f t="shared" si="257"/>
        <v>189546409521</v>
      </c>
      <c r="K252" s="47">
        <f t="shared" ref="K252:R252" si="270">K253-K254+K255</f>
        <v>10575491273</v>
      </c>
      <c r="L252" s="47">
        <f t="shared" si="270"/>
        <v>9565126840</v>
      </c>
      <c r="M252" s="47">
        <f t="shared" si="270"/>
        <v>11288207730</v>
      </c>
      <c r="N252" s="47">
        <f t="shared" si="270"/>
        <v>11345892168</v>
      </c>
      <c r="O252" s="47">
        <f t="shared" si="270"/>
        <v>10595043854</v>
      </c>
      <c r="P252" s="47">
        <f t="shared" si="270"/>
        <v>13214572204</v>
      </c>
      <c r="Q252" s="47">
        <f t="shared" si="270"/>
        <v>13644816018</v>
      </c>
      <c r="R252" s="47">
        <f t="shared" si="270"/>
        <v>15542386960</v>
      </c>
      <c r="S252" s="47">
        <f>S253-S254+S255</f>
        <v>15592138560</v>
      </c>
      <c r="T252" s="85">
        <f>T253-T254+T255</f>
        <v>18860502944</v>
      </c>
      <c r="U252" s="85">
        <f t="shared" ref="U252:X252" si="271">U253-U254+U255</f>
        <v>19138887785</v>
      </c>
      <c r="V252" s="85">
        <f t="shared" si="271"/>
        <v>19717451687</v>
      </c>
      <c r="W252" s="85">
        <f t="shared" si="271"/>
        <v>20021670105</v>
      </c>
      <c r="X252" s="85">
        <f t="shared" si="271"/>
        <v>20584839506</v>
      </c>
    </row>
    <row r="253" spans="2:24" ht="15" customHeight="1">
      <c r="B253" s="980" t="s">
        <v>378</v>
      </c>
      <c r="C253" s="980" t="s">
        <v>415</v>
      </c>
      <c r="E253" s="468" t="s">
        <v>310</v>
      </c>
      <c r="F253" s="756"/>
      <c r="G253" s="980" t="str">
        <f t="shared" si="235"/>
        <v>card_credit__CAKE_</v>
      </c>
      <c r="I253" s="1057" t="s">
        <v>256</v>
      </c>
      <c r="J253" s="86">
        <f t="shared" si="257"/>
        <v>186307302627</v>
      </c>
      <c r="K253" s="7">
        <v>11008832043</v>
      </c>
      <c r="L253" s="7">
        <v>10344040202</v>
      </c>
      <c r="M253" s="7">
        <v>11033862255</v>
      </c>
      <c r="N253" s="7">
        <v>11949216730</v>
      </c>
      <c r="O253" s="7">
        <v>10542579451</v>
      </c>
      <c r="P253" s="89">
        <f t="shared" ref="P253:U253" si="272">P127-P193-P313-P373-P433</f>
        <v>11357411711</v>
      </c>
      <c r="Q253" s="89">
        <f t="shared" si="272"/>
        <v>13729055614</v>
      </c>
      <c r="R253" s="89">
        <f t="shared" si="272"/>
        <v>15161560959</v>
      </c>
      <c r="S253" s="89">
        <f t="shared" si="272"/>
        <v>16232570218</v>
      </c>
      <c r="T253" s="89">
        <f t="shared" si="272"/>
        <v>18267083981</v>
      </c>
      <c r="U253" s="89">
        <f t="shared" si="272"/>
        <v>18655557456</v>
      </c>
      <c r="V253" s="89">
        <f>V127-V193-V313-V373-V433</f>
        <v>19198224447</v>
      </c>
      <c r="W253" s="89">
        <f>W127-W193-W313-W373-W433</f>
        <v>19916393762</v>
      </c>
      <c r="X253" s="7">
        <f>X127-X193-X313-X373-X433</f>
        <v>20263786043</v>
      </c>
    </row>
    <row r="254" spans="2:24" ht="15" customHeight="1">
      <c r="B254" s="980" t="s">
        <v>378</v>
      </c>
      <c r="C254" s="980" t="s">
        <v>415</v>
      </c>
      <c r="E254" s="468" t="s">
        <v>310</v>
      </c>
      <c r="F254" s="756"/>
      <c r="G254" s="980" t="str">
        <f t="shared" si="235"/>
        <v>card_credit__CAKE_</v>
      </c>
      <c r="I254" s="1057" t="s">
        <v>259</v>
      </c>
      <c r="J254" s="86">
        <f t="shared" si="257"/>
        <v>46758952144</v>
      </c>
      <c r="K254" s="7">
        <v>4683802923</v>
      </c>
      <c r="L254" s="7">
        <f>4809262162+653454123</f>
        <v>5462716285</v>
      </c>
      <c r="M254" s="7">
        <v>5208370810</v>
      </c>
      <c r="N254" s="7">
        <v>5811695372</v>
      </c>
      <c r="O254" s="7">
        <v>5759230969</v>
      </c>
      <c r="P254" s="7">
        <v>3902070476</v>
      </c>
      <c r="Q254" s="7">
        <v>3986310072</v>
      </c>
      <c r="R254" s="7">
        <v>3605484071</v>
      </c>
      <c r="S254" s="7">
        <v>4245915729</v>
      </c>
      <c r="T254" s="86">
        <v>3652496766</v>
      </c>
      <c r="U254" s="7">
        <v>3169166437</v>
      </c>
      <c r="V254" s="7">
        <v>2649939197</v>
      </c>
      <c r="W254" s="7">
        <v>2544662854</v>
      </c>
      <c r="X254" s="7">
        <v>2223609391</v>
      </c>
    </row>
    <row r="255" spans="2:24" ht="15" customHeight="1">
      <c r="B255" s="980" t="s">
        <v>378</v>
      </c>
      <c r="C255" s="980" t="s">
        <v>415</v>
      </c>
      <c r="E255" s="468" t="s">
        <v>310</v>
      </c>
      <c r="F255" s="756"/>
      <c r="G255" s="980" t="str">
        <f t="shared" si="235"/>
        <v>card_credit__CAKE_</v>
      </c>
      <c r="I255" s="1057" t="s">
        <v>228</v>
      </c>
      <c r="J255" s="86">
        <f t="shared" si="257"/>
        <v>49998059038</v>
      </c>
      <c r="K255" s="7">
        <v>4250462153</v>
      </c>
      <c r="L255" s="7">
        <v>4683802923</v>
      </c>
      <c r="M255" s="7">
        <f>4809262162+653454123</f>
        <v>5462716285</v>
      </c>
      <c r="N255" s="7">
        <v>5208370810</v>
      </c>
      <c r="O255" s="7">
        <v>5811695372</v>
      </c>
      <c r="P255" s="7">
        <v>5759230969</v>
      </c>
      <c r="Q255" s="7">
        <v>3902070476</v>
      </c>
      <c r="R255" s="7">
        <v>3986310072</v>
      </c>
      <c r="S255" s="7">
        <v>3605484071</v>
      </c>
      <c r="T255" s="86">
        <v>4245915729</v>
      </c>
      <c r="U255" s="86">
        <v>3652496766</v>
      </c>
      <c r="V255" s="7">
        <v>3169166437</v>
      </c>
      <c r="W255" s="7">
        <v>2649939197</v>
      </c>
      <c r="X255" s="7">
        <v>2544662854</v>
      </c>
    </row>
    <row r="256" spans="2:24" ht="15" customHeight="1">
      <c r="B256" s="980" t="s">
        <v>378</v>
      </c>
      <c r="C256" s="980" t="s">
        <v>415</v>
      </c>
      <c r="E256" s="468" t="s">
        <v>310</v>
      </c>
      <c r="F256" s="126" t="s">
        <v>219</v>
      </c>
      <c r="G256" s="980" t="str">
        <f>B256&amp;"_"&amp;C256&amp;"_"&amp;D256&amp;"_"&amp;E256&amp;"_"&amp;F256</f>
        <v>card_credit__CAKE_COF</v>
      </c>
      <c r="I256" s="1056" t="s">
        <v>219</v>
      </c>
      <c r="J256" s="86">
        <f t="shared" si="257"/>
        <v>51210952845.062279</v>
      </c>
      <c r="K256" s="47">
        <v>2327981291.0330682</v>
      </c>
      <c r="L256" s="47">
        <v>2590333069.4544115</v>
      </c>
      <c r="M256" s="47">
        <f t="shared" ref="M256:R256" si="273">M237/M107*M130</f>
        <v>2899418567.7487135</v>
      </c>
      <c r="N256" s="47">
        <f t="shared" si="273"/>
        <v>2723600351.2587986</v>
      </c>
      <c r="O256" s="47">
        <f t="shared" si="273"/>
        <v>3022617194.7782426</v>
      </c>
      <c r="P256" s="47">
        <f t="shared" si="273"/>
        <v>2945834263.3332963</v>
      </c>
      <c r="Q256" s="47">
        <f t="shared" si="273"/>
        <v>3402856691.1822143</v>
      </c>
      <c r="R256" s="47">
        <f t="shared" si="273"/>
        <v>3549661443.8269663</v>
      </c>
      <c r="S256" s="47">
        <f t="shared" ref="S256:X256" si="274">S237/S107*S130</f>
        <v>4214544404.7770376</v>
      </c>
      <c r="T256" s="85">
        <f t="shared" si="274"/>
        <v>4794390457.5489588</v>
      </c>
      <c r="U256" s="85">
        <f t="shared" si="274"/>
        <v>5016508781.0853519</v>
      </c>
      <c r="V256" s="47">
        <f t="shared" si="274"/>
        <v>5601741709.4718924</v>
      </c>
      <c r="W256" s="47">
        <f t="shared" si="274"/>
        <v>5627099289.1928167</v>
      </c>
      <c r="X256" s="47">
        <f t="shared" si="274"/>
        <v>7412679690.8579893</v>
      </c>
    </row>
    <row r="257" spans="2:24" ht="15" customHeight="1">
      <c r="B257" s="980" t="s">
        <v>378</v>
      </c>
      <c r="C257" s="980" t="s">
        <v>415</v>
      </c>
      <c r="E257" s="468" t="s">
        <v>310</v>
      </c>
      <c r="F257" s="126" t="s">
        <v>260</v>
      </c>
      <c r="G257" s="980" t="str">
        <f>B257&amp;"_"&amp;C257&amp;"_"&amp;D257&amp;"_"&amp;E257&amp;"_"&amp;F257</f>
        <v>card_credit__CAKE_NFI</v>
      </c>
      <c r="I257" s="1055" t="s">
        <v>220</v>
      </c>
      <c r="J257" s="86">
        <f t="shared" si="257"/>
        <v>108970009362.39029</v>
      </c>
      <c r="K257" s="47">
        <f>K258-K269</f>
        <v>10363490721.159992</v>
      </c>
      <c r="L257" s="47">
        <f t="shared" ref="L257:R257" si="275">L258-L269</f>
        <v>2485630392.421165</v>
      </c>
      <c r="M257" s="47">
        <f t="shared" si="275"/>
        <v>4604201766.69767</v>
      </c>
      <c r="N257" s="47">
        <f t="shared" si="275"/>
        <v>3021186299.3668432</v>
      </c>
      <c r="O257" s="47">
        <f t="shared" si="275"/>
        <v>3686687255.8107233</v>
      </c>
      <c r="P257" s="47">
        <f t="shared" si="275"/>
        <v>3844872431.2664251</v>
      </c>
      <c r="Q257" s="47">
        <f t="shared" si="275"/>
        <v>7019730700.4332256</v>
      </c>
      <c r="R257" s="47">
        <f t="shared" si="275"/>
        <v>13669768360.982445</v>
      </c>
      <c r="S257" s="47">
        <f>S258-S269</f>
        <v>6267808596.7710323</v>
      </c>
      <c r="T257" s="85">
        <f>T258-T269</f>
        <v>11666324901.6679</v>
      </c>
      <c r="U257" s="85">
        <f>U258-U269</f>
        <v>12115271119.948318</v>
      </c>
      <c r="V257" s="85">
        <f t="shared" ref="V257:X257" si="276">V258-V269</f>
        <v>12937417874.139992</v>
      </c>
      <c r="W257" s="85">
        <f t="shared" si="276"/>
        <v>14875776596.921202</v>
      </c>
      <c r="X257" s="85">
        <f t="shared" si="276"/>
        <v>15260963458.384499</v>
      </c>
    </row>
    <row r="258" spans="2:24" ht="15" customHeight="1">
      <c r="B258" s="980" t="s">
        <v>378</v>
      </c>
      <c r="C258" s="980" t="s">
        <v>415</v>
      </c>
      <c r="E258" s="468" t="s">
        <v>310</v>
      </c>
      <c r="F258" s="230" t="s">
        <v>340</v>
      </c>
      <c r="G258" s="980" t="str">
        <f>B258&amp;"_"&amp;C258&amp;"_"&amp;D258&amp;"_"&amp;E258&amp;"_"&amp;F258</f>
        <v>card_credit__CAKE_fee_incomes</v>
      </c>
      <c r="I258" s="1073" t="s">
        <v>22</v>
      </c>
      <c r="J258" s="86">
        <f t="shared" si="257"/>
        <v>153906765941.23868</v>
      </c>
      <c r="K258" s="47">
        <f>SUM(K259:K265)-K266+K267+K268</f>
        <v>13175044740.688675</v>
      </c>
      <c r="L258" s="47">
        <f t="shared" ref="L258:R258" si="277">SUM(L259:L265)-L266+L267+L268</f>
        <v>5638299662.5027637</v>
      </c>
      <c r="M258" s="47">
        <f t="shared" si="277"/>
        <v>8576021105.0210285</v>
      </c>
      <c r="N258" s="47">
        <f t="shared" si="277"/>
        <v>6686679307.8992882</v>
      </c>
      <c r="O258" s="47">
        <f t="shared" si="277"/>
        <v>7730689398.6617279</v>
      </c>
      <c r="P258" s="47">
        <f t="shared" si="277"/>
        <v>7806415345.0880508</v>
      </c>
      <c r="Q258" s="47">
        <f t="shared" si="277"/>
        <v>10634445815.120995</v>
      </c>
      <c r="R258" s="47">
        <f t="shared" si="277"/>
        <v>14556623727.097462</v>
      </c>
      <c r="S258" s="47">
        <f>SUM(S259:S265)-S266+S267+S268</f>
        <v>9920160596.3005714</v>
      </c>
      <c r="T258" s="85">
        <f>SUM(T259:T265)-T266+T267+T268</f>
        <v>15599887810.726213</v>
      </c>
      <c r="U258" s="85">
        <f>SUM(U259:U265)-U266+U267+U268</f>
        <v>16350783114.55335</v>
      </c>
      <c r="V258" s="85">
        <f t="shared" ref="V258:X258" si="278">SUM(V259:V265)-V266+V267+V268</f>
        <v>17245882666.520626</v>
      </c>
      <c r="W258" s="85">
        <f t="shared" si="278"/>
        <v>19176930002.855667</v>
      </c>
      <c r="X258" s="85">
        <f t="shared" si="278"/>
        <v>19622247051.3937</v>
      </c>
    </row>
    <row r="259" spans="2:24" ht="15" customHeight="1">
      <c r="B259" s="980" t="s">
        <v>378</v>
      </c>
      <c r="C259" s="980" t="s">
        <v>415</v>
      </c>
      <c r="E259" s="468" t="s">
        <v>310</v>
      </c>
      <c r="F259" s="230" t="s">
        <v>424</v>
      </c>
      <c r="G259" s="980" t="str">
        <f>B259&amp;"_"&amp;C259&amp;"_"&amp;D259&amp;"_"&amp;E259&amp;"_"&amp;F259</f>
        <v>card_credit__CAKE_annual_fee</v>
      </c>
      <c r="I259" s="1057" t="s">
        <v>425</v>
      </c>
      <c r="J259" s="86">
        <f t="shared" si="257"/>
        <v>44502867966</v>
      </c>
      <c r="K259" s="7">
        <v>8351454347</v>
      </c>
      <c r="L259" s="7">
        <v>-377346288</v>
      </c>
      <c r="M259" s="7">
        <v>1505404066</v>
      </c>
      <c r="N259" s="7">
        <v>1708417659</v>
      </c>
      <c r="O259" s="7">
        <v>1175076159</v>
      </c>
      <c r="P259" s="7">
        <f t="shared" ref="P259:U259" si="279">P133-P199-P319-P379-P439</f>
        <v>480112892</v>
      </c>
      <c r="Q259" s="7">
        <f t="shared" si="279"/>
        <v>1838851865</v>
      </c>
      <c r="R259" s="7">
        <f t="shared" si="279"/>
        <v>6289202899</v>
      </c>
      <c r="S259" s="7">
        <f t="shared" si="279"/>
        <v>5282877894</v>
      </c>
      <c r="T259" s="86">
        <f t="shared" si="279"/>
        <v>3949623330</v>
      </c>
      <c r="U259" s="86">
        <f t="shared" si="279"/>
        <v>4190413080</v>
      </c>
      <c r="V259" s="7">
        <f>V133-V199-V319-V379-V439</f>
        <v>4778536855</v>
      </c>
      <c r="W259" s="7">
        <f>W133-W199-W319-W379-W439</f>
        <v>6316305874</v>
      </c>
      <c r="X259" s="7">
        <f>X133-X199-X319-X379-X439</f>
        <v>6988045393</v>
      </c>
    </row>
    <row r="260" spans="2:24" ht="15" customHeight="1">
      <c r="B260" s="980" t="s">
        <v>378</v>
      </c>
      <c r="C260" s="980" t="s">
        <v>415</v>
      </c>
      <c r="E260" s="468" t="s">
        <v>310</v>
      </c>
      <c r="F260" s="230" t="s">
        <v>391</v>
      </c>
      <c r="G260" s="980" t="str">
        <f t="shared" si="235"/>
        <v>card_credit__CAKE_interchange_fee</v>
      </c>
      <c r="I260" s="1057" t="s">
        <v>21</v>
      </c>
      <c r="J260" s="86">
        <f t="shared" si="257"/>
        <v>38406516547.238686</v>
      </c>
      <c r="K260" s="7">
        <v>2347389861.6886749</v>
      </c>
      <c r="L260" s="7">
        <v>2692243517.5027637</v>
      </c>
      <c r="M260" s="7">
        <f t="shared" ref="M260:R260" si="280">M236/M106*M134</f>
        <v>2868466566.0210285</v>
      </c>
      <c r="N260" s="7">
        <f t="shared" si="280"/>
        <v>2035178393.8992884</v>
      </c>
      <c r="O260" s="7">
        <f t="shared" si="280"/>
        <v>2880355551.6617274</v>
      </c>
      <c r="P260" s="7">
        <f t="shared" ref="P260:Q260" si="281">P236/P106*P134</f>
        <v>2550499898.0880504</v>
      </c>
      <c r="Q260" s="7">
        <f t="shared" si="281"/>
        <v>3103774567.1209936</v>
      </c>
      <c r="R260" s="7">
        <f t="shared" si="280"/>
        <v>2975954500.0974612</v>
      </c>
      <c r="S260" s="7">
        <f t="shared" ref="S260:X260" si="282">S236/S106*S134</f>
        <v>3484391982.300571</v>
      </c>
      <c r="T260" s="7">
        <f t="shared" si="282"/>
        <v>3099681703.7262135</v>
      </c>
      <c r="U260" s="7">
        <f t="shared" si="282"/>
        <v>3323119538.5533504</v>
      </c>
      <c r="V260" s="7">
        <f t="shared" si="282"/>
        <v>3990101866.5206256</v>
      </c>
      <c r="W260" s="7">
        <f t="shared" si="282"/>
        <v>3522901838.855669</v>
      </c>
      <c r="X260" s="7">
        <f t="shared" si="282"/>
        <v>4572090140.3937016</v>
      </c>
    </row>
    <row r="261" spans="2:24" ht="15" customHeight="1">
      <c r="B261" s="980" t="s">
        <v>378</v>
      </c>
      <c r="C261" s="980" t="s">
        <v>415</v>
      </c>
      <c r="E261" s="468" t="s">
        <v>310</v>
      </c>
      <c r="F261" s="230" t="s">
        <v>407</v>
      </c>
      <c r="G261" s="980" t="str">
        <f t="shared" si="235"/>
        <v>card_credit__CAKE_cash_advance_fee</v>
      </c>
      <c r="I261" s="1057" t="s">
        <v>408</v>
      </c>
      <c r="J261" s="86">
        <f t="shared" si="257"/>
        <v>10231261213</v>
      </c>
      <c r="K261" s="7">
        <v>1018875518</v>
      </c>
      <c r="L261" s="7">
        <v>1025664989</v>
      </c>
      <c r="M261" s="7">
        <v>858770153</v>
      </c>
      <c r="N261" s="7">
        <v>380512070</v>
      </c>
      <c r="O261" s="7">
        <v>451330686</v>
      </c>
      <c r="P261" s="34">
        <f t="shared" ref="P261:R264" si="283">P135-P201-P321-P381-P441</f>
        <v>789145177</v>
      </c>
      <c r="Q261" s="34">
        <f t="shared" si="283"/>
        <v>854160141</v>
      </c>
      <c r="R261" s="34">
        <f t="shared" si="283"/>
        <v>832155865</v>
      </c>
      <c r="S261" s="34">
        <f t="shared" ref="S261:T265" si="284">S135-S201-S321-S381-S441</f>
        <v>927376663</v>
      </c>
      <c r="T261" s="34">
        <f t="shared" si="284"/>
        <v>955433096</v>
      </c>
      <c r="U261" s="34">
        <f t="shared" ref="U261" si="285">U135-U201-U321-U381-U441</f>
        <v>814910291</v>
      </c>
      <c r="V261" s="34">
        <f t="shared" ref="V261:W265" si="286">V135-V201-V321-V381-V441</f>
        <v>853453344</v>
      </c>
      <c r="W261" s="34">
        <f t="shared" si="286"/>
        <v>1171623660</v>
      </c>
      <c r="X261" s="7">
        <f>X135-X201-X321-X381-X441</f>
        <v>1342390067</v>
      </c>
    </row>
    <row r="262" spans="2:24" ht="15" customHeight="1">
      <c r="B262" s="980" t="s">
        <v>378</v>
      </c>
      <c r="C262" s="980" t="s">
        <v>415</v>
      </c>
      <c r="E262" s="468" t="s">
        <v>310</v>
      </c>
      <c r="F262" s="230" t="s">
        <v>393</v>
      </c>
      <c r="G262" s="980" t="str">
        <f t="shared" si="235"/>
        <v>card_credit__CAKE_fx_fee</v>
      </c>
      <c r="I262" s="1057" t="s">
        <v>426</v>
      </c>
      <c r="J262" s="86">
        <f t="shared" si="257"/>
        <v>3003145857</v>
      </c>
      <c r="K262" s="7">
        <v>156793075</v>
      </c>
      <c r="L262" s="7">
        <v>173559876</v>
      </c>
      <c r="M262" s="7">
        <v>169529523</v>
      </c>
      <c r="N262" s="7">
        <v>171149010</v>
      </c>
      <c r="O262" s="7">
        <v>226724343</v>
      </c>
      <c r="P262" s="89">
        <f t="shared" si="283"/>
        <v>251340973</v>
      </c>
      <c r="Q262" s="89">
        <f t="shared" si="283"/>
        <v>267536644</v>
      </c>
      <c r="R262" s="89">
        <f t="shared" si="283"/>
        <v>244911396</v>
      </c>
      <c r="S262" s="89">
        <f t="shared" si="284"/>
        <v>269270164</v>
      </c>
      <c r="T262" s="89">
        <f t="shared" si="284"/>
        <v>259232759</v>
      </c>
      <c r="U262" s="89">
        <f t="shared" ref="U262" si="287">U136-U202-U322-U382-U442</f>
        <v>246783863</v>
      </c>
      <c r="V262" s="89">
        <f t="shared" si="286"/>
        <v>263587935</v>
      </c>
      <c r="W262" s="89">
        <f t="shared" si="286"/>
        <v>294487767</v>
      </c>
      <c r="X262" s="7">
        <f>X136-X202-X322-X382-X442</f>
        <v>338591480</v>
      </c>
    </row>
    <row r="263" spans="2:24" ht="15" customHeight="1">
      <c r="B263" s="980" t="s">
        <v>378</v>
      </c>
      <c r="C263" s="980" t="s">
        <v>415</v>
      </c>
      <c r="E263" s="468" t="s">
        <v>310</v>
      </c>
      <c r="F263" s="230" t="s">
        <v>395</v>
      </c>
      <c r="G263" s="980" t="str">
        <f t="shared" si="235"/>
        <v>card_credit__CAKE_reissue_fee</v>
      </c>
      <c r="I263" s="1061" t="s">
        <v>396</v>
      </c>
      <c r="J263" s="86">
        <f t="shared" si="257"/>
        <v>1932791289</v>
      </c>
      <c r="K263" s="7">
        <v>54424525</v>
      </c>
      <c r="L263" s="7">
        <v>55259354</v>
      </c>
      <c r="M263" s="7">
        <v>10909085</v>
      </c>
      <c r="N263" s="7">
        <v>13236861</v>
      </c>
      <c r="O263" s="7">
        <v>-5129244</v>
      </c>
      <c r="P263" s="89">
        <f t="shared" si="283"/>
        <v>-957546</v>
      </c>
      <c r="Q263" s="89">
        <f t="shared" si="283"/>
        <v>-842510</v>
      </c>
      <c r="R263" s="89">
        <f t="shared" si="283"/>
        <v>68363425</v>
      </c>
      <c r="S263" s="89">
        <f t="shared" si="284"/>
        <v>259618247</v>
      </c>
      <c r="T263" s="89">
        <f t="shared" si="284"/>
        <v>238967240</v>
      </c>
      <c r="U263" s="89">
        <f t="shared" ref="U263" si="288">U137-U203-U323-U383-U443</f>
        <v>276927400</v>
      </c>
      <c r="V263" s="89">
        <f t="shared" si="286"/>
        <v>297736322</v>
      </c>
      <c r="W263" s="89">
        <f t="shared" si="286"/>
        <v>416710103</v>
      </c>
      <c r="X263" s="7">
        <f>X137-X203-X323-X383-X443</f>
        <v>357251906</v>
      </c>
    </row>
    <row r="264" spans="2:24" ht="15" customHeight="1">
      <c r="B264" s="980" t="s">
        <v>378</v>
      </c>
      <c r="C264" s="980" t="s">
        <v>415</v>
      </c>
      <c r="E264" s="468" t="s">
        <v>310</v>
      </c>
      <c r="F264" s="230" t="s">
        <v>262</v>
      </c>
      <c r="G264" s="980" t="str">
        <f t="shared" si="235"/>
        <v>card_credit__CAKE_late_payment_fee</v>
      </c>
      <c r="I264" s="1057" t="s">
        <v>427</v>
      </c>
      <c r="J264" s="86">
        <f t="shared" si="257"/>
        <v>55333665821</v>
      </c>
      <c r="K264" s="7">
        <v>2334723946</v>
      </c>
      <c r="L264" s="7">
        <v>2232345796</v>
      </c>
      <c r="M264" s="7">
        <v>3114092056</v>
      </c>
      <c r="N264" s="7">
        <v>2921651388</v>
      </c>
      <c r="O264" s="7">
        <v>2837574822</v>
      </c>
      <c r="P264" s="89">
        <f t="shared" si="283"/>
        <v>7783314531</v>
      </c>
      <c r="Q264" s="89">
        <f t="shared" si="283"/>
        <v>1261398492</v>
      </c>
      <c r="R264" s="89">
        <f t="shared" si="283"/>
        <v>4870958786</v>
      </c>
      <c r="S264" s="89">
        <f t="shared" si="284"/>
        <v>4790663284</v>
      </c>
      <c r="T264" s="89">
        <f t="shared" si="284"/>
        <v>5863004825</v>
      </c>
      <c r="U264" s="89">
        <f t="shared" ref="U264" si="289">U138-U204-U324-U384-U444</f>
        <v>5684720436</v>
      </c>
      <c r="V264" s="89">
        <f t="shared" si="286"/>
        <v>5134523725</v>
      </c>
      <c r="W264" s="89">
        <f t="shared" si="286"/>
        <v>6967268242</v>
      </c>
      <c r="X264" s="7">
        <f>X138-X204-X324-X384-X444</f>
        <v>4104495234</v>
      </c>
    </row>
    <row r="265" spans="2:24" ht="15" customHeight="1">
      <c r="B265" s="980" t="s">
        <v>378</v>
      </c>
      <c r="C265" s="980" t="s">
        <v>415</v>
      </c>
      <c r="E265" s="468" t="s">
        <v>310</v>
      </c>
      <c r="F265" s="230" t="s">
        <v>264</v>
      </c>
      <c r="G265" s="980" t="str">
        <f t="shared" si="235"/>
        <v>card_credit__CAKE_installment_fee</v>
      </c>
      <c r="I265" s="1057" t="s">
        <v>224</v>
      </c>
      <c r="J265" s="86">
        <f t="shared" si="257"/>
        <v>6685042636</v>
      </c>
      <c r="K265" s="7"/>
      <c r="L265" s="7"/>
      <c r="M265" s="7"/>
      <c r="N265" s="7"/>
      <c r="O265" s="7"/>
      <c r="Q265" s="34"/>
      <c r="S265" s="7">
        <f t="shared" si="284"/>
        <v>10121576</v>
      </c>
      <c r="T265" s="7">
        <f t="shared" si="284"/>
        <v>1270294866</v>
      </c>
      <c r="U265" s="7">
        <f t="shared" ref="U265" si="290">U139-U205-U325-U385-U445</f>
        <v>1637260661</v>
      </c>
      <c r="V265" s="7">
        <f t="shared" si="286"/>
        <v>1116176514</v>
      </c>
      <c r="W265" s="7">
        <f t="shared" si="286"/>
        <v>964021521</v>
      </c>
      <c r="X265" s="7">
        <f>X139-X205-X325-X385-X445</f>
        <v>1687167498</v>
      </c>
    </row>
    <row r="266" spans="2:24" ht="15" customHeight="1">
      <c r="B266" s="980" t="s">
        <v>378</v>
      </c>
      <c r="C266" s="980" t="s">
        <v>415</v>
      </c>
      <c r="E266" s="468" t="s">
        <v>310</v>
      </c>
      <c r="F266" s="126" t="s">
        <v>267</v>
      </c>
      <c r="G266" s="980" t="str">
        <f t="shared" si="235"/>
        <v>card_credit__CAKE_adjust_minus_fee</v>
      </c>
      <c r="I266" s="1057" t="s">
        <v>227</v>
      </c>
      <c r="J266" s="86">
        <f t="shared" si="257"/>
        <v>98560870791</v>
      </c>
      <c r="K266" s="7">
        <v>4120725589</v>
      </c>
      <c r="L266" s="7">
        <f>3845022077+439131094</f>
        <v>4284153171</v>
      </c>
      <c r="M266" s="7">
        <v>4235303515</v>
      </c>
      <c r="N266" s="7">
        <v>4778769589</v>
      </c>
      <c r="O266" s="7">
        <v>4614012508</v>
      </c>
      <c r="P266" s="7">
        <v>8661053088</v>
      </c>
      <c r="Q266" s="7">
        <v>5351486472</v>
      </c>
      <c r="R266" s="7">
        <v>6076409616</v>
      </c>
      <c r="S266" s="7">
        <v>11180568830</v>
      </c>
      <c r="T266" s="7">
        <v>11216918839</v>
      </c>
      <c r="U266" s="7">
        <v>11040270994</v>
      </c>
      <c r="V266" s="7">
        <v>10228504889</v>
      </c>
      <c r="W266" s="7">
        <v>10704893892</v>
      </c>
      <c r="X266" s="7">
        <v>10472678559</v>
      </c>
    </row>
    <row r="267" spans="2:24" ht="15" customHeight="1">
      <c r="B267" s="980" t="s">
        <v>378</v>
      </c>
      <c r="C267" s="980" t="s">
        <v>415</v>
      </c>
      <c r="E267" s="468" t="s">
        <v>310</v>
      </c>
      <c r="F267" s="126" t="s">
        <v>268</v>
      </c>
      <c r="G267" s="980" t="str">
        <f t="shared" si="235"/>
        <v>card_credit__CAKE_adjust_bonus_fee</v>
      </c>
      <c r="I267" s="1057" t="s">
        <v>228</v>
      </c>
      <c r="J267" s="86">
        <f t="shared" si="257"/>
        <v>92372345403</v>
      </c>
      <c r="K267" s="7">
        <v>3032109057</v>
      </c>
      <c r="L267" s="7">
        <v>4120725589</v>
      </c>
      <c r="M267" s="7">
        <f>3845022077+439131094</f>
        <v>4284153171</v>
      </c>
      <c r="N267" s="7">
        <v>4235303515</v>
      </c>
      <c r="O267" s="7">
        <v>4778769589</v>
      </c>
      <c r="P267" s="7">
        <v>4614012508</v>
      </c>
      <c r="Q267" s="7">
        <v>8661053088</v>
      </c>
      <c r="R267" s="7">
        <v>5351486472</v>
      </c>
      <c r="S267" s="7">
        <v>6076409616</v>
      </c>
      <c r="T267" s="7">
        <v>11180568830</v>
      </c>
      <c r="U267" s="7">
        <v>11216918839</v>
      </c>
      <c r="V267" s="7">
        <v>11040270994</v>
      </c>
      <c r="W267" s="7">
        <v>10228504889</v>
      </c>
      <c r="X267" s="7">
        <v>10704893892</v>
      </c>
    </row>
    <row r="268" spans="2:24" ht="15" customHeight="1">
      <c r="B268" s="980" t="s">
        <v>378</v>
      </c>
      <c r="C268" s="980" t="s">
        <v>415</v>
      </c>
      <c r="E268" s="468" t="s">
        <v>310</v>
      </c>
      <c r="F268" s="230" t="s">
        <v>361</v>
      </c>
      <c r="G268" s="980" t="str">
        <f t="shared" si="235"/>
        <v>card_credit__CAKE_other_income_fee</v>
      </c>
      <c r="I268" s="1057" t="s">
        <v>226</v>
      </c>
      <c r="J268" s="86">
        <f t="shared" si="257"/>
        <v>0</v>
      </c>
      <c r="K268" s="7"/>
      <c r="L268" s="7"/>
      <c r="M268" s="7"/>
      <c r="N268" s="7"/>
      <c r="O268" s="7"/>
    </row>
    <row r="269" spans="2:24" ht="15" customHeight="1">
      <c r="B269" s="980" t="s">
        <v>378</v>
      </c>
      <c r="C269" s="980" t="s">
        <v>415</v>
      </c>
      <c r="E269" s="468" t="s">
        <v>310</v>
      </c>
      <c r="F269" s="230" t="s">
        <v>362</v>
      </c>
      <c r="G269" s="980" t="str">
        <f t="shared" si="235"/>
        <v>card_credit__CAKE_fee_expenses</v>
      </c>
      <c r="I269" s="1073" t="s">
        <v>295</v>
      </c>
      <c r="J269" s="86">
        <f t="shared" si="257"/>
        <v>44936756578.848396</v>
      </c>
      <c r="K269" s="47">
        <f>SUM(K270:K273)</f>
        <v>2811554019.5286827</v>
      </c>
      <c r="L269" s="47">
        <f t="shared" ref="L269:R269" si="291">SUM(L270:L273)</f>
        <v>3152669270.0815988</v>
      </c>
      <c r="M269" s="47">
        <f t="shared" si="291"/>
        <v>3971819338.3233581</v>
      </c>
      <c r="N269" s="47">
        <f t="shared" si="291"/>
        <v>3665493008.532445</v>
      </c>
      <c r="O269" s="47">
        <f t="shared" si="291"/>
        <v>4044002142.8510046</v>
      </c>
      <c r="P269" s="47">
        <f t="shared" si="291"/>
        <v>3961542913.8216257</v>
      </c>
      <c r="Q269" s="47">
        <f t="shared" si="291"/>
        <v>3614715114.6877694</v>
      </c>
      <c r="R269" s="47">
        <f t="shared" si="291"/>
        <v>886855366.11501646</v>
      </c>
      <c r="S269" s="47">
        <f t="shared" ref="S269:X269" si="292">SUM(S270:S273)</f>
        <v>3652351999.5295386</v>
      </c>
      <c r="T269" s="47">
        <f t="shared" si="292"/>
        <v>3933562909.0583124</v>
      </c>
      <c r="U269" s="47">
        <f t="shared" si="292"/>
        <v>4235511994.6050315</v>
      </c>
      <c r="V269" s="47">
        <f t="shared" si="292"/>
        <v>4308464792.3806343</v>
      </c>
      <c r="W269" s="47">
        <f t="shared" si="292"/>
        <v>4301153405.9344654</v>
      </c>
      <c r="X269" s="47">
        <f t="shared" si="292"/>
        <v>4361283593.009202</v>
      </c>
    </row>
    <row r="270" spans="2:24" ht="15" customHeight="1">
      <c r="B270" s="980" t="s">
        <v>378</v>
      </c>
      <c r="C270" s="980" t="s">
        <v>415</v>
      </c>
      <c r="E270" s="468" t="s">
        <v>310</v>
      </c>
      <c r="F270" s="230" t="s">
        <v>410</v>
      </c>
      <c r="G270" s="980" t="str">
        <f t="shared" si="235"/>
        <v>card_credit__CAKE_BPC_fee</v>
      </c>
      <c r="I270" s="1057" t="s">
        <v>411</v>
      </c>
      <c r="J270" s="86">
        <f t="shared" si="257"/>
        <v>3861538662.20298</v>
      </c>
      <c r="K270" s="7">
        <v>577147999.92650282</v>
      </c>
      <c r="L270" s="7">
        <v>594464441.51201236</v>
      </c>
      <c r="M270" s="7">
        <f t="shared" ref="M270:V270" si="293">M236/M106*M144</f>
        <v>762052415.48382747</v>
      </c>
      <c r="N270" s="7">
        <f t="shared" si="293"/>
        <v>659248033.27110624</v>
      </c>
      <c r="O270" s="7">
        <f t="shared" si="293"/>
        <v>709486626.5859884</v>
      </c>
      <c r="P270" s="7">
        <f t="shared" si="293"/>
        <v>453043834.22022301</v>
      </c>
      <c r="Q270" s="7">
        <f t="shared" si="293"/>
        <v>71819068.857512236</v>
      </c>
      <c r="R270" s="7">
        <f t="shared" si="293"/>
        <v>71779395.95994097</v>
      </c>
      <c r="S270" s="7">
        <f t="shared" si="293"/>
        <v>72215727.322983369</v>
      </c>
      <c r="T270" s="7">
        <f t="shared" si="293"/>
        <v>312855912.33256763</v>
      </c>
      <c r="U270" s="7">
        <f t="shared" si="293"/>
        <v>310719368.67037439</v>
      </c>
      <c r="V270" s="7">
        <f t="shared" si="293"/>
        <v>311551620.99202412</v>
      </c>
      <c r="W270" s="7">
        <f t="shared" ref="W270:X270" si="294">W236/W106*W144</f>
        <v>126766658.50643247</v>
      </c>
      <c r="X270" s="7">
        <f t="shared" si="294"/>
        <v>0</v>
      </c>
    </row>
    <row r="271" spans="2:24" ht="15" customHeight="1">
      <c r="B271" s="980" t="s">
        <v>378</v>
      </c>
      <c r="C271" s="980" t="s">
        <v>415</v>
      </c>
      <c r="D271" s="230"/>
      <c r="E271" s="468" t="s">
        <v>310</v>
      </c>
      <c r="F271" s="230" t="s">
        <v>412</v>
      </c>
      <c r="G271" s="980" t="str">
        <f t="shared" si="235"/>
        <v>card_credit__CAKE_visa_fee</v>
      </c>
      <c r="I271" s="1057" t="s">
        <v>413</v>
      </c>
      <c r="J271" s="86">
        <f t="shared" si="257"/>
        <v>11539400430.175451</v>
      </c>
      <c r="K271" s="7">
        <v>280438385.85618967</v>
      </c>
      <c r="L271" s="7">
        <f>418132324.931586+17863459</f>
        <v>435995783.93158603</v>
      </c>
      <c r="M271" s="7">
        <f t="shared" ref="M271:R271" si="295">M236/M106*M145</f>
        <v>860771443.1435405</v>
      </c>
      <c r="N271" s="7">
        <f t="shared" si="295"/>
        <v>818370615.66134906</v>
      </c>
      <c r="O271" s="7">
        <f t="shared" si="295"/>
        <v>959779883.72101605</v>
      </c>
      <c r="P271" s="7">
        <f t="shared" si="295"/>
        <v>814369493.72140253</v>
      </c>
      <c r="Q271" s="7">
        <f t="shared" si="295"/>
        <v>806062018.08226693</v>
      </c>
      <c r="R271" s="7">
        <f t="shared" si="295"/>
        <v>812963282.15507555</v>
      </c>
      <c r="S271" s="7">
        <f t="shared" ref="S271:X271" si="296">S236/S106*S145</f>
        <v>916944721.51455498</v>
      </c>
      <c r="T271" s="7">
        <f t="shared" si="296"/>
        <v>931427293.03374434</v>
      </c>
      <c r="U271" s="7">
        <f t="shared" si="296"/>
        <v>937921978.42665625</v>
      </c>
      <c r="V271" s="7">
        <f t="shared" si="296"/>
        <v>983890913.6646111</v>
      </c>
      <c r="W271" s="7">
        <f t="shared" si="296"/>
        <v>1300754456.4280326</v>
      </c>
      <c r="X271" s="7">
        <f t="shared" si="296"/>
        <v>1396144330.6232016</v>
      </c>
    </row>
    <row r="272" spans="2:24" ht="15" customHeight="1">
      <c r="B272" s="980" t="s">
        <v>378</v>
      </c>
      <c r="C272" s="980" t="s">
        <v>415</v>
      </c>
      <c r="D272" s="230"/>
      <c r="E272" s="468" t="s">
        <v>310</v>
      </c>
      <c r="F272" s="230" t="s">
        <v>414</v>
      </c>
      <c r="G272" s="980" t="str">
        <f t="shared" si="235"/>
        <v>card_credit__CAKE_cashback_fee</v>
      </c>
      <c r="I272" s="1057" t="s">
        <v>332</v>
      </c>
      <c r="J272" s="86">
        <f t="shared" si="257"/>
        <v>29535817486.469975</v>
      </c>
      <c r="K272" s="7">
        <v>1953967633.74599</v>
      </c>
      <c r="L272" s="7">
        <v>2122209044.6380002</v>
      </c>
      <c r="M272" s="7">
        <v>2348995479.6959901</v>
      </c>
      <c r="N272" s="7">
        <v>2187874359.5999899</v>
      </c>
      <c r="O272" s="7">
        <v>2374735632.5440001</v>
      </c>
      <c r="P272" s="7">
        <f>P146-P212-P332-P392-P452</f>
        <v>2694129585.8800001</v>
      </c>
      <c r="Q272" s="7">
        <v>2736834027.7479901</v>
      </c>
      <c r="R272" s="70">
        <f>2112688</f>
        <v>2112688</v>
      </c>
      <c r="S272" s="7">
        <f t="shared" ref="S272:X272" si="297">S146-S212-S332-S392-S452</f>
        <v>2663191550.6920004</v>
      </c>
      <c r="T272" s="7">
        <f t="shared" si="297"/>
        <v>2689279703.6920004</v>
      </c>
      <c r="U272" s="7">
        <f t="shared" si="297"/>
        <v>2986870647.5080009</v>
      </c>
      <c r="V272" s="7">
        <f t="shared" si="297"/>
        <v>3013022257.7239995</v>
      </c>
      <c r="W272" s="7">
        <f t="shared" si="297"/>
        <v>2873632291</v>
      </c>
      <c r="X272" s="7">
        <f t="shared" si="297"/>
        <v>2965139262.3860002</v>
      </c>
    </row>
    <row r="273" spans="2:24" ht="15" customHeight="1">
      <c r="B273" s="980" t="s">
        <v>378</v>
      </c>
      <c r="C273" s="980" t="s">
        <v>415</v>
      </c>
      <c r="E273" s="468" t="s">
        <v>310</v>
      </c>
      <c r="F273" s="230" t="s">
        <v>372</v>
      </c>
      <c r="G273" s="980" t="str">
        <f t="shared" si="235"/>
        <v>card_credit__CAKE_other_expense_fee</v>
      </c>
      <c r="I273" s="1057" t="s">
        <v>373</v>
      </c>
      <c r="J273" s="86">
        <f t="shared" si="257"/>
        <v>0</v>
      </c>
      <c r="K273" s="7"/>
      <c r="L273" s="7"/>
      <c r="M273" s="7"/>
      <c r="N273" s="7"/>
      <c r="O273" s="7"/>
      <c r="Q273" s="7"/>
    </row>
    <row r="274" spans="2:24" ht="15" customHeight="1">
      <c r="B274" s="980" t="s">
        <v>378</v>
      </c>
      <c r="C274" s="980" t="s">
        <v>415</v>
      </c>
      <c r="E274" s="468" t="s">
        <v>310</v>
      </c>
      <c r="F274" s="717" t="s">
        <v>269</v>
      </c>
      <c r="G274" s="980" t="str">
        <f t="shared" si="235"/>
        <v>card_credit__CAKE_other_TOI</v>
      </c>
      <c r="I274" s="1074" t="s">
        <v>89</v>
      </c>
      <c r="J274" s="86">
        <f t="shared" si="257"/>
        <v>11425636696</v>
      </c>
      <c r="K274" s="47">
        <v>158307965</v>
      </c>
      <c r="L274" s="47">
        <f>265309860+16125680</f>
        <v>281435540</v>
      </c>
      <c r="M274" s="47">
        <v>281574105</v>
      </c>
      <c r="N274" s="47">
        <v>364986870</v>
      </c>
      <c r="O274" s="47">
        <v>911413991</v>
      </c>
      <c r="P274" s="47">
        <f>P148-P214-P334-P454</f>
        <v>1425678949</v>
      </c>
      <c r="Q274" s="47">
        <v>997084778</v>
      </c>
      <c r="R274" s="89">
        <v>746904451</v>
      </c>
      <c r="S274" s="89">
        <v>854234507</v>
      </c>
      <c r="T274" s="86">
        <f>T148-T214-T334-T394-T454</f>
        <v>1005445111</v>
      </c>
      <c r="U274" s="86">
        <f>U148-U214-U334-U394-U454</f>
        <v>1194322928</v>
      </c>
      <c r="V274" s="7">
        <f>V148-V214-V334-V394-V454</f>
        <v>1285444521</v>
      </c>
      <c r="W274" s="7">
        <f>W148-W214-W334-W394-W454</f>
        <v>966842785</v>
      </c>
      <c r="X274" s="7">
        <f>X148-X214-X334-X394-X454</f>
        <v>1391703700</v>
      </c>
    </row>
    <row r="275" spans="2:24" ht="15" customHeight="1">
      <c r="B275" s="980" t="s">
        <v>378</v>
      </c>
      <c r="C275" s="980" t="s">
        <v>415</v>
      </c>
      <c r="E275" s="468" t="s">
        <v>310</v>
      </c>
      <c r="F275" s="126" t="s">
        <v>270</v>
      </c>
      <c r="G275" s="980" t="str">
        <f t="shared" si="235"/>
        <v>card_credit__CAKE_provision</v>
      </c>
      <c r="I275" s="85" t="s">
        <v>136</v>
      </c>
      <c r="J275" s="86">
        <f t="shared" si="257"/>
        <v>207569994251</v>
      </c>
      <c r="K275" s="47">
        <v>7875092037</v>
      </c>
      <c r="L275" s="47">
        <f>7411067558+3093330173</f>
        <v>10504397731</v>
      </c>
      <c r="M275" s="4">
        <v>23239238647</v>
      </c>
      <c r="N275" s="47">
        <v>11635320809</v>
      </c>
      <c r="O275" s="47">
        <f>11418386395+3145091789</f>
        <v>14563478184</v>
      </c>
      <c r="P275" s="81">
        <v>9791495860</v>
      </c>
      <c r="Q275" s="47">
        <v>8173723029</v>
      </c>
      <c r="R275" s="47">
        <f>14204862850+3007569557</f>
        <v>17212432407</v>
      </c>
      <c r="S275" s="7">
        <v>11462245529</v>
      </c>
      <c r="T275" s="7">
        <v>23730759820</v>
      </c>
      <c r="U275" s="7">
        <f>18599639883+3323796038</f>
        <v>21923435921</v>
      </c>
      <c r="V275" s="7">
        <v>19088538389</v>
      </c>
      <c r="W275" s="7">
        <v>21557033586</v>
      </c>
      <c r="X275" s="7">
        <f>21126252040+4066040030</f>
        <v>25192292070</v>
      </c>
    </row>
    <row r="276" spans="2:24" ht="15" customHeight="1">
      <c r="B276" s="980" t="s">
        <v>378</v>
      </c>
      <c r="C276" s="980" t="s">
        <v>415</v>
      </c>
      <c r="E276" s="468" t="s">
        <v>310</v>
      </c>
      <c r="F276" s="126" t="s">
        <v>271</v>
      </c>
      <c r="G276" s="980" t="str">
        <f t="shared" si="235"/>
        <v>card_credit__CAKE_variable_cost</v>
      </c>
      <c r="I276" s="85" t="s">
        <v>229</v>
      </c>
      <c r="J276" s="86">
        <f t="shared" si="257"/>
        <v>27689209152.409588</v>
      </c>
      <c r="K276" s="81">
        <f>SUM(K277:K286)</f>
        <v>2293312595.3779345</v>
      </c>
      <c r="L276" s="81">
        <f t="shared" ref="L276:R276" si="298">SUM(L277:L286)</f>
        <v>2387662035.3077936</v>
      </c>
      <c r="M276" s="81">
        <f t="shared" si="298"/>
        <v>2271219314.4184203</v>
      </c>
      <c r="N276" s="81">
        <f t="shared" si="298"/>
        <v>2105509459.9549909</v>
      </c>
      <c r="O276" s="81">
        <f t="shared" si="298"/>
        <v>2448991102.0475373</v>
      </c>
      <c r="P276" s="81">
        <f t="shared" si="298"/>
        <v>2251112049.3742433</v>
      </c>
      <c r="Q276" s="81">
        <f t="shared" si="298"/>
        <v>2382793512.6529536</v>
      </c>
      <c r="R276" s="81">
        <f t="shared" si="298"/>
        <v>1842379399.6580102</v>
      </c>
      <c r="S276" s="81">
        <f t="shared" ref="S276:X276" si="299">SUM(S277:S286)</f>
        <v>2003635428.0039973</v>
      </c>
      <c r="T276" s="81">
        <f t="shared" si="299"/>
        <v>2451387878.1100616</v>
      </c>
      <c r="U276" s="81">
        <f t="shared" si="299"/>
        <v>2224387129.9134078</v>
      </c>
      <c r="V276" s="81">
        <f t="shared" si="299"/>
        <v>2293598487.2470236</v>
      </c>
      <c r="W276" s="81">
        <f t="shared" si="299"/>
        <v>2823541318.4170876</v>
      </c>
      <c r="X276" s="81">
        <f t="shared" si="299"/>
        <v>2590654072.6118536</v>
      </c>
    </row>
    <row r="277" spans="2:24" ht="15" customHeight="1">
      <c r="B277" s="980" t="s">
        <v>378</v>
      </c>
      <c r="C277" s="980" t="s">
        <v>415</v>
      </c>
      <c r="E277" s="468" t="s">
        <v>310</v>
      </c>
      <c r="F277" s="126" t="s">
        <v>272</v>
      </c>
      <c r="G277" s="980" t="str">
        <f t="shared" si="235"/>
        <v>card_credit__CAKE_marketing_acquisition_cost</v>
      </c>
      <c r="I277" s="563" t="s">
        <v>230</v>
      </c>
      <c r="J277" s="86">
        <f t="shared" si="257"/>
        <v>8766892388</v>
      </c>
      <c r="K277" s="7">
        <v>528903787.66666669</v>
      </c>
      <c r="L277" s="7">
        <v>645154444.66666663</v>
      </c>
      <c r="M277" s="7">
        <v>518186807</v>
      </c>
      <c r="N277" s="7">
        <v>438914769</v>
      </c>
      <c r="O277" s="7">
        <v>526194956</v>
      </c>
      <c r="P277" s="7">
        <v>579495416</v>
      </c>
      <c r="Q277" s="7">
        <v>612922934</v>
      </c>
      <c r="R277" s="7">
        <v>619028336</v>
      </c>
      <c r="S277" s="7">
        <v>612913985</v>
      </c>
      <c r="T277" s="7">
        <v>876042289</v>
      </c>
      <c r="U277" s="7">
        <v>694608575</v>
      </c>
      <c r="V277" s="7">
        <v>778766158</v>
      </c>
      <c r="W277" s="7">
        <v>1420420465</v>
      </c>
      <c r="X277" s="7">
        <v>1089397698</v>
      </c>
    </row>
    <row r="278" spans="2:24" ht="15" customHeight="1">
      <c r="B278" s="980" t="s">
        <v>378</v>
      </c>
      <c r="C278" s="980" t="s">
        <v>415</v>
      </c>
      <c r="E278" s="468" t="s">
        <v>310</v>
      </c>
      <c r="F278" s="126" t="s">
        <v>273</v>
      </c>
      <c r="G278" s="980" t="str">
        <f t="shared" si="235"/>
        <v>card_credit__CAKE_partner_acquisition_cost</v>
      </c>
      <c r="I278" s="563" t="s">
        <v>231</v>
      </c>
      <c r="J278" s="86">
        <f t="shared" si="257"/>
        <v>0</v>
      </c>
      <c r="N278" s="7"/>
      <c r="P278" s="34"/>
      <c r="R278" s="7"/>
    </row>
    <row r="279" spans="2:24" ht="15" customHeight="1">
      <c r="B279" s="980" t="s">
        <v>378</v>
      </c>
      <c r="C279" s="980" t="s">
        <v>415</v>
      </c>
      <c r="E279" s="468" t="s">
        <v>310</v>
      </c>
      <c r="F279" s="126" t="s">
        <v>274</v>
      </c>
      <c r="G279" s="980" t="str">
        <f t="shared" si="235"/>
        <v>card_credit__CAKE_underwritting</v>
      </c>
      <c r="I279" s="563" t="s">
        <v>232</v>
      </c>
      <c r="J279" s="86">
        <f t="shared" si="257"/>
        <v>6803751726.0146322</v>
      </c>
      <c r="K279" s="7">
        <v>459143244.0838728</v>
      </c>
      <c r="L279" s="7">
        <v>542141311.39535761</v>
      </c>
      <c r="M279" s="7">
        <v>474837987.10966289</v>
      </c>
      <c r="N279" s="7">
        <v>416458345.7906965</v>
      </c>
      <c r="O279" s="7">
        <v>546852117.10490298</v>
      </c>
      <c r="P279" s="7">
        <v>572272395.9953531</v>
      </c>
      <c r="Q279" s="7">
        <v>604991304.40308785</v>
      </c>
      <c r="R279" s="7">
        <v>600278994.37798715</v>
      </c>
      <c r="S279" s="7">
        <v>593279254.47203672</v>
      </c>
      <c r="T279" s="7">
        <v>646328487.67962885</v>
      </c>
      <c r="U279" s="7">
        <v>643274920.68683064</v>
      </c>
      <c r="V279" s="7">
        <v>556341012.76001942</v>
      </c>
      <c r="W279" s="7">
        <v>596529202.67032361</v>
      </c>
      <c r="X279" s="7">
        <v>552307702.96410263</v>
      </c>
    </row>
    <row r="280" spans="2:24" ht="15" customHeight="1">
      <c r="B280" s="980" t="s">
        <v>378</v>
      </c>
      <c r="C280" s="980" t="s">
        <v>415</v>
      </c>
      <c r="E280" s="468" t="s">
        <v>310</v>
      </c>
      <c r="F280" s="126" t="s">
        <v>275</v>
      </c>
      <c r="G280" s="980" t="str">
        <f t="shared" si="235"/>
        <v>card_credit__CAKE_e_contract</v>
      </c>
      <c r="I280" s="563" t="s">
        <v>233</v>
      </c>
      <c r="J280" s="86">
        <f t="shared" si="257"/>
        <v>35002038.894899338</v>
      </c>
      <c r="K280">
        <v>3791031.6642771806</v>
      </c>
      <c r="L280" s="7">
        <v>3740284.1952844695</v>
      </c>
      <c r="M280">
        <v>2719005.5350515465</v>
      </c>
      <c r="N280" s="7">
        <v>1813685.8762886596</v>
      </c>
      <c r="O280" s="7">
        <v>3158302.4869352207</v>
      </c>
      <c r="P280" s="7">
        <v>2813590.0445714286</v>
      </c>
      <c r="Q280" s="7">
        <v>2855636.5082872929</v>
      </c>
      <c r="R280" s="7">
        <v>2848497.3142719846</v>
      </c>
      <c r="S280" s="7">
        <v>2904331.8831018517</v>
      </c>
      <c r="T280" s="7">
        <v>2762155.1218654793</v>
      </c>
      <c r="U280" s="7">
        <v>2366130.2859338969</v>
      </c>
      <c r="V280" s="7">
        <v>2336032.0613690009</v>
      </c>
      <c r="W280" s="7">
        <v>4738139.9141266122</v>
      </c>
      <c r="X280" s="7">
        <v>3686531.8630963606</v>
      </c>
    </row>
    <row r="281" spans="2:24" ht="15" customHeight="1">
      <c r="B281" s="980" t="s">
        <v>378</v>
      </c>
      <c r="C281" s="980" t="s">
        <v>415</v>
      </c>
      <c r="E281" s="468" t="s">
        <v>310</v>
      </c>
      <c r="F281" s="126" t="s">
        <v>276</v>
      </c>
      <c r="G281" s="980" t="str">
        <f t="shared" si="235"/>
        <v>card_credit__CAKE_nfc</v>
      </c>
      <c r="I281" s="563" t="s">
        <v>152</v>
      </c>
      <c r="J281" s="86">
        <f t="shared" si="257"/>
        <v>410294213.17257434</v>
      </c>
      <c r="K281" s="7"/>
      <c r="L281" s="7"/>
      <c r="M281" s="7">
        <v>37581844.453608245</v>
      </c>
      <c r="N281" s="7">
        <v>21106935.115979381</v>
      </c>
      <c r="O281">
        <v>33604527.174741425</v>
      </c>
      <c r="P281" s="7">
        <v>29000173.577142857</v>
      </c>
      <c r="Q281" s="7">
        <v>28805664.530386738</v>
      </c>
      <c r="R281" s="7">
        <v>31049144.978375778</v>
      </c>
      <c r="S281" s="7">
        <v>36393484.166666664</v>
      </c>
      <c r="T281" s="7">
        <v>33541990.672603704</v>
      </c>
      <c r="U281" s="7">
        <v>31455150.253651038</v>
      </c>
      <c r="V281" s="7">
        <v>36580345.114083402</v>
      </c>
      <c r="W281" s="7">
        <v>40535144.630715124</v>
      </c>
      <c r="X281" s="7">
        <v>50639808.504620023</v>
      </c>
    </row>
    <row r="282" spans="2:24" ht="15" customHeight="1">
      <c r="B282" s="980" t="s">
        <v>378</v>
      </c>
      <c r="C282" s="980" t="s">
        <v>415</v>
      </c>
      <c r="E282" s="468" t="s">
        <v>310</v>
      </c>
      <c r="F282" s="126" t="s">
        <v>387</v>
      </c>
      <c r="G282" s="980" t="str">
        <f t="shared" si="235"/>
        <v>card_credit__CAKE_mk</v>
      </c>
      <c r="I282" s="563" t="s">
        <v>388</v>
      </c>
      <c r="J282" s="86">
        <f t="shared" si="257"/>
        <v>1860950351.1914411</v>
      </c>
      <c r="K282" s="7">
        <v>76943726.025272727</v>
      </c>
      <c r="L282" s="7">
        <v>76766168.763540074</v>
      </c>
      <c r="M282" s="7">
        <f>M230/M100*M157</f>
        <v>47810750.219737858</v>
      </c>
      <c r="N282" s="7">
        <f>N230/N100*N157</f>
        <v>40001763.483676977</v>
      </c>
      <c r="O282" s="7">
        <f>O230/O100*O157</f>
        <v>37340166.813145027</v>
      </c>
      <c r="P282" s="7">
        <f>P230/P100*P156</f>
        <v>154977163.63636363</v>
      </c>
      <c r="Q282" s="7">
        <f>Q230/Q100*Q157</f>
        <v>55172117.377532229</v>
      </c>
      <c r="R282" s="7">
        <f t="shared" ref="R282:W282" si="300">R230/R100*R156</f>
        <v>194598823.52234504</v>
      </c>
      <c r="S282" s="7">
        <f t="shared" si="300"/>
        <v>210703337.96296296</v>
      </c>
      <c r="T282" s="7">
        <f t="shared" si="300"/>
        <v>200275918.10235849</v>
      </c>
      <c r="U282" s="7">
        <f t="shared" si="300"/>
        <v>189356212.99923137</v>
      </c>
      <c r="V282" s="7">
        <f t="shared" si="300"/>
        <v>185129791.24049306</v>
      </c>
      <c r="W282" s="7">
        <f t="shared" si="300"/>
        <v>331691000.7327081</v>
      </c>
      <c r="X282" s="7">
        <f t="shared" ref="X282" si="301">X230/X100*X156</f>
        <v>213893305.10088632</v>
      </c>
    </row>
    <row r="283" spans="2:24" ht="15" customHeight="1">
      <c r="B283" s="980" t="s">
        <v>378</v>
      </c>
      <c r="C283" s="980" t="s">
        <v>415</v>
      </c>
      <c r="E283" s="468" t="s">
        <v>310</v>
      </c>
      <c r="F283" s="126" t="s">
        <v>385</v>
      </c>
      <c r="G283" s="980" t="str">
        <f t="shared" si="235"/>
        <v>card_credit__CAKE_ems</v>
      </c>
      <c r="I283" s="563" t="s">
        <v>386</v>
      </c>
      <c r="J283" s="86">
        <f t="shared" si="257"/>
        <v>1139219957.8800168</v>
      </c>
      <c r="K283" s="7">
        <v>260859261.81818184</v>
      </c>
      <c r="L283" s="7">
        <v>250638218.17700326</v>
      </c>
      <c r="M283" s="7">
        <f>M230/M100*M156</f>
        <v>171395531.61141095</v>
      </c>
      <c r="N283" s="7">
        <f>N230/N100*N156</f>
        <v>130122695.19974226</v>
      </c>
      <c r="O283" s="7">
        <f>O230/O100*O156</f>
        <v>151329017.32210755</v>
      </c>
      <c r="P283" s="7">
        <f>P230/P100*P157</f>
        <v>45137774.836363636</v>
      </c>
      <c r="Q283" s="7">
        <f>Q230/Q100*Q156</f>
        <v>198223484.34622467</v>
      </c>
      <c r="R283" s="7">
        <f t="shared" ref="R283:W283" si="302">R230/R100*R157</f>
        <v>53873415.857039884</v>
      </c>
      <c r="S283" s="7">
        <f t="shared" si="302"/>
        <v>58265019.042824075</v>
      </c>
      <c r="T283" s="7">
        <f t="shared" si="302"/>
        <v>54631845.141981132</v>
      </c>
      <c r="U283" s="7">
        <f t="shared" si="302"/>
        <v>53892025.886241354</v>
      </c>
      <c r="V283" s="7">
        <f t="shared" si="302"/>
        <v>58011021.562024653</v>
      </c>
      <c r="W283" s="7">
        <f t="shared" si="302"/>
        <v>93899258.939038694</v>
      </c>
      <c r="X283" s="7">
        <f t="shared" ref="X283" si="303">X230/X100*X157</f>
        <v>70438868.135017917</v>
      </c>
    </row>
    <row r="284" spans="2:24" ht="15" customHeight="1">
      <c r="B284" s="980" t="s">
        <v>378</v>
      </c>
      <c r="C284" s="980" t="s">
        <v>415</v>
      </c>
      <c r="E284" s="468" t="s">
        <v>310</v>
      </c>
      <c r="F284" s="126" t="s">
        <v>277</v>
      </c>
      <c r="G284" s="980" t="str">
        <f t="shared" si="235"/>
        <v>card_credit__CAKE_collection</v>
      </c>
      <c r="I284" s="563" t="s">
        <v>234</v>
      </c>
      <c r="J284" s="86">
        <f t="shared" si="257"/>
        <v>6001829740.2526264</v>
      </c>
      <c r="K284" s="7">
        <v>515961575.59316939</v>
      </c>
      <c r="L284" s="7">
        <v>677524799.86090815</v>
      </c>
      <c r="M284" s="7">
        <v>653413560.80273521</v>
      </c>
      <c r="N284" s="7">
        <v>871486901.51505411</v>
      </c>
      <c r="O284" s="7">
        <v>739740334.29611421</v>
      </c>
      <c r="P284" s="7">
        <v>761205508.46841693</v>
      </c>
      <c r="Q284" s="7">
        <v>743359976.22238982</v>
      </c>
      <c r="R284" s="7">
        <v>277355785.2914452</v>
      </c>
      <c r="S284" s="7">
        <v>413189728.29603392</v>
      </c>
      <c r="T284" s="7">
        <v>441604032.07178891</v>
      </c>
      <c r="U284" s="7">
        <v>533894335.55622226</v>
      </c>
      <c r="V284" s="7">
        <v>173590395.99705285</v>
      </c>
      <c r="W284" s="7">
        <v>209173802.23550254</v>
      </c>
      <c r="X284" s="7">
        <v>183815379.49987116</v>
      </c>
    </row>
    <row r="285" spans="2:24" ht="15" customHeight="1">
      <c r="B285" s="980" t="s">
        <v>378</v>
      </c>
      <c r="C285" s="980" t="s">
        <v>415</v>
      </c>
      <c r="E285" s="468" t="s">
        <v>310</v>
      </c>
      <c r="F285" s="126" t="s">
        <v>278</v>
      </c>
      <c r="G285" s="980" t="str">
        <f t="shared" si="235"/>
        <v>card_credit__CAKE_promotion</v>
      </c>
      <c r="I285" s="563" t="s">
        <v>235</v>
      </c>
      <c r="J285" s="86">
        <f t="shared" si="257"/>
        <v>1760390742.2476578</v>
      </c>
      <c r="K285" s="7">
        <v>314121453.44476825</v>
      </c>
      <c r="L285" s="7">
        <v>21718632.399023004</v>
      </c>
      <c r="M285" s="7">
        <v>198525558.62096336</v>
      </c>
      <c r="N285" s="7">
        <v>65601879.97992985</v>
      </c>
      <c r="O285" s="7">
        <v>282600844.11275876</v>
      </c>
      <c r="P285" s="7">
        <v>8625024.7330526635</v>
      </c>
      <c r="Q285" s="7">
        <v>73861699.758236885</v>
      </c>
      <c r="R285" s="7">
        <v>13626016.331394747</v>
      </c>
      <c r="S285" s="7">
        <v>18140965.726844538</v>
      </c>
      <c r="T285" s="7">
        <v>155886068.73850432</v>
      </c>
      <c r="U285" s="7">
        <v>26871420.790709611</v>
      </c>
      <c r="V285" s="7">
        <v>453263558.62619692</v>
      </c>
      <c r="W285" s="7">
        <v>86233340.927127048</v>
      </c>
      <c r="X285" s="7">
        <v>377154363.90193915</v>
      </c>
    </row>
    <row r="286" spans="2:24" ht="15" customHeight="1">
      <c r="B286" s="980" t="s">
        <v>378</v>
      </c>
      <c r="C286" s="980" t="s">
        <v>415</v>
      </c>
      <c r="E286" s="468" t="s">
        <v>310</v>
      </c>
      <c r="F286" s="126" t="s">
        <v>279</v>
      </c>
      <c r="G286" s="980" t="str">
        <f t="shared" si="235"/>
        <v>card_credit__CAKE_sms</v>
      </c>
      <c r="I286" s="563" t="s">
        <v>163</v>
      </c>
      <c r="J286" s="86">
        <f t="shared" si="257"/>
        <v>910877994.75573707</v>
      </c>
      <c r="K286" s="7">
        <v>133588515.0817257</v>
      </c>
      <c r="L286" s="7">
        <v>169978175.85001066</v>
      </c>
      <c r="M286">
        <v>166748269.06525034</v>
      </c>
      <c r="N286" s="7">
        <v>120002483.99362276</v>
      </c>
      <c r="O286" s="7">
        <v>128170836.73683226</v>
      </c>
      <c r="P286" s="7">
        <v>97585002.082978502</v>
      </c>
      <c r="Q286" s="7">
        <v>62600695.506808281</v>
      </c>
      <c r="R286" s="7">
        <v>49720385.985150494</v>
      </c>
      <c r="S286" s="7">
        <v>57845321.453526497</v>
      </c>
      <c r="T286" s="283">
        <v>40315091.581330553</v>
      </c>
      <c r="U286" s="7">
        <v>48668358.454587348</v>
      </c>
      <c r="V286" s="7">
        <v>49580171.885784462</v>
      </c>
      <c r="W286" s="7">
        <v>40320963.367545776</v>
      </c>
      <c r="X286" s="7">
        <v>49320414.642319866</v>
      </c>
    </row>
    <row r="287" spans="2:24" ht="15" customHeight="1">
      <c r="B287" s="980" t="s">
        <v>378</v>
      </c>
      <c r="C287" s="980" t="s">
        <v>415</v>
      </c>
      <c r="E287" s="468" t="s">
        <v>310</v>
      </c>
      <c r="F287" s="126" t="s">
        <v>280</v>
      </c>
      <c r="G287" s="980" t="str">
        <f t="shared" si="235"/>
        <v>card_credit__CAKE_profit_before_overhead</v>
      </c>
      <c r="I287" s="85" t="s">
        <v>236</v>
      </c>
      <c r="J287" s="7">
        <f t="shared" si="257"/>
        <v>23471899330.918411</v>
      </c>
      <c r="K287" s="81">
        <f>K250-K275-K276</f>
        <v>8600904035.7489891</v>
      </c>
      <c r="L287" s="81">
        <f t="shared" ref="L287:R287" si="304">L250-L275-L276</f>
        <v>-3150200063.3410406</v>
      </c>
      <c r="M287" s="81">
        <f t="shared" si="304"/>
        <v>-12235892927.469465</v>
      </c>
      <c r="N287" s="81">
        <f t="shared" si="304"/>
        <v>-1732365282.8469472</v>
      </c>
      <c r="O287" s="81">
        <f t="shared" si="304"/>
        <v>-4841941380.0150547</v>
      </c>
      <c r="P287" s="81">
        <f t="shared" si="304"/>
        <v>3496681411.5588851</v>
      </c>
      <c r="Q287" s="81">
        <f t="shared" si="304"/>
        <v>7702258263.5980568</v>
      </c>
      <c r="R287" s="81">
        <f t="shared" si="304"/>
        <v>7354586521.4974689</v>
      </c>
      <c r="S287" s="81">
        <f t="shared" ref="S287:X287" si="305">S250-S275-S276</f>
        <v>5033756301.9899979</v>
      </c>
      <c r="T287" s="81">
        <f t="shared" si="305"/>
        <v>555734801.00888062</v>
      </c>
      <c r="U287" s="81">
        <f t="shared" si="305"/>
        <v>3284150000.9495606</v>
      </c>
      <c r="V287" s="81">
        <f t="shared" si="305"/>
        <v>6956435496.4210749</v>
      </c>
      <c r="W287" s="81">
        <f t="shared" si="305"/>
        <v>5856615293.3112984</v>
      </c>
      <c r="X287" s="81">
        <f t="shared" si="305"/>
        <v>2041880830.9146547</v>
      </c>
    </row>
    <row r="288" spans="2:24" ht="15" customHeight="1">
      <c r="E288" s="468"/>
      <c r="F288" s="756"/>
      <c r="I288" s="304"/>
      <c r="J288" s="34"/>
      <c r="K288" s="34"/>
      <c r="L288" s="34"/>
      <c r="M288" s="34"/>
      <c r="N288" s="7"/>
      <c r="O288" s="7"/>
      <c r="Q288" s="7"/>
    </row>
    <row r="289" spans="2:24" ht="15" customHeight="1">
      <c r="B289" s="980" t="s">
        <v>378</v>
      </c>
      <c r="C289" s="980" t="s">
        <v>415</v>
      </c>
      <c r="E289" s="468" t="s">
        <v>237</v>
      </c>
      <c r="G289" s="980" t="str">
        <f t="shared" ref="G289:G344" si="306">B289&amp;"_"&amp;C289&amp;"_"&amp;D289&amp;"_"&amp;E289&amp;"_"&amp;F289</f>
        <v>card_credit__VDS_</v>
      </c>
      <c r="I289" s="82" t="s">
        <v>430</v>
      </c>
      <c r="N289" s="7"/>
    </row>
    <row r="290" spans="2:24" ht="15" customHeight="1">
      <c r="B290" s="980" t="s">
        <v>378</v>
      </c>
      <c r="C290" s="980" t="s">
        <v>415</v>
      </c>
      <c r="E290" s="468" t="s">
        <v>237</v>
      </c>
      <c r="F290" s="126" t="s">
        <v>239</v>
      </c>
      <c r="G290" s="980" t="str">
        <f t="shared" si="306"/>
        <v>card_credit__VDS_new_account</v>
      </c>
      <c r="I290" s="1052" t="s">
        <v>416</v>
      </c>
      <c r="K290">
        <v>471</v>
      </c>
      <c r="L290">
        <v>327</v>
      </c>
      <c r="M290">
        <v>226</v>
      </c>
      <c r="N290" s="7">
        <v>415</v>
      </c>
      <c r="O290">
        <v>408</v>
      </c>
      <c r="P290" s="7">
        <v>403</v>
      </c>
      <c r="Q290">
        <v>477</v>
      </c>
      <c r="R290">
        <v>484</v>
      </c>
      <c r="S290">
        <v>360</v>
      </c>
      <c r="T290" s="7">
        <v>397</v>
      </c>
      <c r="U290" s="7">
        <v>519</v>
      </c>
      <c r="V290">
        <v>478</v>
      </c>
      <c r="W290">
        <v>362</v>
      </c>
      <c r="X290" s="7">
        <v>365</v>
      </c>
    </row>
    <row r="291" spans="2:24" ht="15" customHeight="1">
      <c r="B291" s="980" t="s">
        <v>378</v>
      </c>
      <c r="C291" s="980" t="s">
        <v>415</v>
      </c>
      <c r="E291" s="468" t="s">
        <v>237</v>
      </c>
      <c r="F291" s="126" t="s">
        <v>240</v>
      </c>
      <c r="G291" s="980" t="str">
        <f t="shared" si="306"/>
        <v>card_credit__VDS_accum_account</v>
      </c>
      <c r="I291" s="1052" t="s">
        <v>417</v>
      </c>
      <c r="K291" s="89">
        <v>4843</v>
      </c>
      <c r="L291" s="89">
        <v>5170</v>
      </c>
      <c r="M291" s="89">
        <v>5396</v>
      </c>
      <c r="N291" s="7">
        <v>5811</v>
      </c>
      <c r="O291" s="34">
        <v>6219</v>
      </c>
      <c r="P291" s="7">
        <v>6622</v>
      </c>
      <c r="Q291" s="34">
        <f t="shared" ref="Q291:W291" si="307">P291+Q290</f>
        <v>7099</v>
      </c>
      <c r="R291" s="34">
        <f t="shared" si="307"/>
        <v>7583</v>
      </c>
      <c r="S291" s="34">
        <f t="shared" si="307"/>
        <v>7943</v>
      </c>
      <c r="T291" s="34">
        <f t="shared" si="307"/>
        <v>8340</v>
      </c>
      <c r="U291" s="34">
        <f t="shared" si="307"/>
        <v>8859</v>
      </c>
      <c r="V291" s="34">
        <f t="shared" si="307"/>
        <v>9337</v>
      </c>
      <c r="W291" s="34">
        <f t="shared" si="307"/>
        <v>9699</v>
      </c>
      <c r="X291" s="7">
        <f>W291+X290</f>
        <v>10064</v>
      </c>
    </row>
    <row r="292" spans="2:24" ht="15" customHeight="1">
      <c r="B292" s="980" t="s">
        <v>378</v>
      </c>
      <c r="C292" s="980" t="s">
        <v>415</v>
      </c>
      <c r="E292" s="468" t="s">
        <v>237</v>
      </c>
      <c r="F292" s="126" t="s">
        <v>241</v>
      </c>
      <c r="G292" s="980" t="str">
        <f>B292&amp;"_"&amp;C292&amp;"_"&amp;D292&amp;"_"&amp;E292&amp;"_"&amp;F292</f>
        <v>card_credit__VDS_active_account</v>
      </c>
      <c r="I292" s="1052" t="s">
        <v>418</v>
      </c>
      <c r="K292">
        <v>3740</v>
      </c>
      <c r="L292">
        <v>3959</v>
      </c>
      <c r="M292">
        <v>4077</v>
      </c>
      <c r="N292" s="7">
        <v>4261</v>
      </c>
      <c r="O292">
        <v>4521</v>
      </c>
      <c r="P292" s="7">
        <v>4424</v>
      </c>
      <c r="Q292">
        <v>4584</v>
      </c>
      <c r="R292">
        <v>4418</v>
      </c>
      <c r="S292">
        <v>3954</v>
      </c>
      <c r="T292">
        <v>3968</v>
      </c>
      <c r="U292" s="7">
        <v>4107</v>
      </c>
      <c r="V292" s="7">
        <v>4211</v>
      </c>
      <c r="W292" s="7">
        <v>4292</v>
      </c>
      <c r="X292" s="7">
        <v>4369</v>
      </c>
    </row>
    <row r="293" spans="2:24" ht="15" customHeight="1">
      <c r="B293" s="980" t="s">
        <v>378</v>
      </c>
      <c r="C293" s="980" t="s">
        <v>415</v>
      </c>
      <c r="E293" s="468" t="s">
        <v>237</v>
      </c>
      <c r="G293" s="980" t="str">
        <f>B293&amp;"_"&amp;C293&amp;"_"&amp;D293&amp;"_"&amp;E293&amp;"_"&amp;F293</f>
        <v>card_credit__VDS_</v>
      </c>
      <c r="I293" s="1052" t="s">
        <v>419</v>
      </c>
      <c r="K293" s="42">
        <f t="shared" ref="K293:Q293" si="308">K292/K291</f>
        <v>0.77224860623580427</v>
      </c>
      <c r="L293" s="42">
        <f t="shared" si="308"/>
        <v>0.7657640232108317</v>
      </c>
      <c r="M293" s="42">
        <f t="shared" si="308"/>
        <v>0.75555967383246847</v>
      </c>
      <c r="N293" s="42">
        <f t="shared" si="308"/>
        <v>0.73326449836516949</v>
      </c>
      <c r="O293" s="42">
        <f t="shared" si="308"/>
        <v>0.72696575012059816</v>
      </c>
      <c r="P293" s="42">
        <f t="shared" si="308"/>
        <v>0.66807610993657507</v>
      </c>
      <c r="Q293" s="42">
        <f t="shared" si="308"/>
        <v>0.6457247499647838</v>
      </c>
      <c r="R293" s="42">
        <f t="shared" ref="R293" si="309">R292/R291</f>
        <v>0.58261901622049317</v>
      </c>
      <c r="S293" s="42">
        <f t="shared" ref="S293:X293" si="310">S292/S291</f>
        <v>0.49779680221578748</v>
      </c>
      <c r="T293" s="42">
        <f t="shared" si="310"/>
        <v>0.47577937649880098</v>
      </c>
      <c r="U293" s="42">
        <f t="shared" si="310"/>
        <v>0.46359634270233663</v>
      </c>
      <c r="V293" s="42">
        <f t="shared" si="310"/>
        <v>0.45100139231016384</v>
      </c>
      <c r="W293" s="42">
        <f t="shared" si="310"/>
        <v>0.44251984740694916</v>
      </c>
      <c r="X293" s="42">
        <f t="shared" si="310"/>
        <v>0.4341216216216216</v>
      </c>
    </row>
    <row r="294" spans="2:24" ht="15" customHeight="1">
      <c r="B294" s="980" t="s">
        <v>378</v>
      </c>
      <c r="C294" s="980" t="s">
        <v>415</v>
      </c>
      <c r="E294" s="468" t="s">
        <v>237</v>
      </c>
      <c r="G294" s="980" t="str">
        <f t="shared" si="306"/>
        <v>card_credit__VDS_</v>
      </c>
      <c r="I294" s="1052" t="s">
        <v>420</v>
      </c>
      <c r="K294" s="89">
        <f t="shared" ref="K294:Q294" si="311">K296/K291</f>
        <v>3773807.5572991949</v>
      </c>
      <c r="L294" s="89">
        <f t="shared" si="311"/>
        <v>4030048.3558994196</v>
      </c>
      <c r="M294" s="89">
        <f t="shared" si="311"/>
        <v>3914076.5329873972</v>
      </c>
      <c r="N294" s="89">
        <f t="shared" si="311"/>
        <v>2947801.3446911029</v>
      </c>
      <c r="O294" s="89">
        <f t="shared" si="311"/>
        <v>4087461.8429007879</v>
      </c>
      <c r="P294" s="7">
        <f t="shared" si="311"/>
        <v>4053549.9466928416</v>
      </c>
      <c r="Q294" s="7">
        <f t="shared" si="311"/>
        <v>3696950.7767291171</v>
      </c>
      <c r="R294" s="7">
        <f t="shared" ref="R294" si="312">R296/R291</f>
        <v>3722909.6047738367</v>
      </c>
      <c r="S294" s="7">
        <f t="shared" ref="S294:X294" si="313">S296/S291</f>
        <v>3905809.3278358304</v>
      </c>
      <c r="T294" s="7">
        <f t="shared" si="313"/>
        <v>4034289.8961630696</v>
      </c>
      <c r="U294" s="7">
        <f t="shared" si="313"/>
        <v>3638446.7410542946</v>
      </c>
      <c r="V294" s="7">
        <f t="shared" si="313"/>
        <v>4259926.6191496197</v>
      </c>
      <c r="W294" s="7">
        <f t="shared" si="313"/>
        <v>3735525.1870295908</v>
      </c>
      <c r="X294" s="7">
        <f t="shared" si="313"/>
        <v>4580774.3816573927</v>
      </c>
    </row>
    <row r="295" spans="2:24" ht="15" customHeight="1">
      <c r="B295" s="980" t="s">
        <v>378</v>
      </c>
      <c r="C295" s="980" t="s">
        <v>415</v>
      </c>
      <c r="E295" s="468" t="s">
        <v>237</v>
      </c>
      <c r="G295" s="980" t="str">
        <f t="shared" si="306"/>
        <v>card_credit__VDS_</v>
      </c>
      <c r="I295" s="1052" t="s">
        <v>421</v>
      </c>
      <c r="K295" s="89">
        <f t="shared" ref="K295:Q295" si="314">K296/K292</f>
        <v>4886778.0748663098</v>
      </c>
      <c r="L295" s="89">
        <f t="shared" si="314"/>
        <v>5262781.0053043701</v>
      </c>
      <c r="M295" s="89">
        <f t="shared" si="314"/>
        <v>5180367.1748834923</v>
      </c>
      <c r="N295" s="89">
        <f t="shared" si="314"/>
        <v>4020106.4571696785</v>
      </c>
      <c r="O295" s="89">
        <f t="shared" si="314"/>
        <v>5622633.3114355234</v>
      </c>
      <c r="P295" s="7">
        <f t="shared" si="314"/>
        <v>6067497.230334538</v>
      </c>
      <c r="Q295" s="7">
        <f t="shared" si="314"/>
        <v>5725273.4650959866</v>
      </c>
      <c r="R295" s="7">
        <f t="shared" ref="R295" si="315">R296/R292</f>
        <v>6389955.530330467</v>
      </c>
      <c r="S295" s="7">
        <f t="shared" ref="S295:X295" si="316">S296/S292</f>
        <v>7846192.0816894285</v>
      </c>
      <c r="T295" s="7">
        <f t="shared" si="316"/>
        <v>8479329.0660282262</v>
      </c>
      <c r="U295" s="7">
        <f t="shared" si="316"/>
        <v>7848307.6890674448</v>
      </c>
      <c r="V295" s="7">
        <f t="shared" si="316"/>
        <v>9445484.4082165752</v>
      </c>
      <c r="W295" s="7">
        <f t="shared" si="316"/>
        <v>8441486.2043336444</v>
      </c>
      <c r="X295" s="7">
        <f t="shared" si="316"/>
        <v>10551822.70016022</v>
      </c>
    </row>
    <row r="296" spans="2:24" ht="15" customHeight="1">
      <c r="B296" s="980" t="s">
        <v>378</v>
      </c>
      <c r="C296" s="980" t="s">
        <v>415</v>
      </c>
      <c r="E296" s="468" t="s">
        <v>237</v>
      </c>
      <c r="F296" s="126" t="s">
        <v>242</v>
      </c>
      <c r="G296" s="980" t="str">
        <f>B296&amp;"_"&amp;C296&amp;"_"&amp;D296&amp;"_"&amp;E296&amp;"_"&amp;F296</f>
        <v>card_credit__VDS_disburse/spend</v>
      </c>
      <c r="I296" s="1052" t="s">
        <v>199</v>
      </c>
      <c r="J296" s="34">
        <f>SUM(M296:X296)</f>
        <v>363997568544</v>
      </c>
      <c r="K296" s="89">
        <v>18276550000</v>
      </c>
      <c r="L296" s="7">
        <f>20835.35*10^6</f>
        <v>20835350000</v>
      </c>
      <c r="M296" s="7">
        <v>21120356971.999996</v>
      </c>
      <c r="N296" s="7">
        <v>17129673614</v>
      </c>
      <c r="O296" s="7">
        <v>25419925201</v>
      </c>
      <c r="P296" s="7">
        <v>26842607746.999996</v>
      </c>
      <c r="Q296" s="7">
        <v>26244653564.000004</v>
      </c>
      <c r="R296" s="7">
        <v>28230823533.000004</v>
      </c>
      <c r="S296" s="7">
        <v>31023843491</v>
      </c>
      <c r="T296" s="7">
        <v>33645977734</v>
      </c>
      <c r="U296" s="7">
        <v>32232999678.999996</v>
      </c>
      <c r="V296" s="7">
        <v>39774934843</v>
      </c>
      <c r="W296" s="7">
        <v>36230858789</v>
      </c>
      <c r="X296" s="7">
        <v>46100913377</v>
      </c>
    </row>
    <row r="297" spans="2:24" ht="15" customHeight="1">
      <c r="B297" s="980" t="s">
        <v>378</v>
      </c>
      <c r="C297" s="980" t="s">
        <v>415</v>
      </c>
      <c r="E297" s="468" t="s">
        <v>237</v>
      </c>
      <c r="F297" s="126" t="s">
        <v>243</v>
      </c>
      <c r="G297" s="980" t="str">
        <f>B297&amp;"_"&amp;C297&amp;"_"&amp;D297&amp;"_"&amp;E297&amp;"_"&amp;F297</f>
        <v>card_credit__VDS_ENR</v>
      </c>
      <c r="I297" s="1052" t="s">
        <v>200</v>
      </c>
      <c r="K297" s="7">
        <v>36727347799</v>
      </c>
      <c r="L297" s="7">
        <v>39732208170</v>
      </c>
      <c r="M297" s="7">
        <v>43721633848</v>
      </c>
      <c r="N297" s="7">
        <v>43364757709</v>
      </c>
      <c r="O297" s="7">
        <v>46076751395</v>
      </c>
      <c r="P297" s="7">
        <v>50545291199</v>
      </c>
      <c r="Q297" s="7">
        <v>54273607081</v>
      </c>
      <c r="R297">
        <v>57887424594</v>
      </c>
      <c r="S297" s="7">
        <v>62536485106</v>
      </c>
      <c r="T297" s="7">
        <v>67004595826</v>
      </c>
      <c r="U297" s="7">
        <v>71387029183</v>
      </c>
      <c r="V297" s="7">
        <v>76489476128</v>
      </c>
      <c r="W297" s="7">
        <v>80727955304</v>
      </c>
      <c r="X297" s="7">
        <v>82364752297</v>
      </c>
    </row>
    <row r="298" spans="2:24" ht="15" customHeight="1">
      <c r="B298" s="980" t="s">
        <v>378</v>
      </c>
      <c r="C298" s="980" t="s">
        <v>415</v>
      </c>
      <c r="E298" s="468" t="s">
        <v>237</v>
      </c>
      <c r="F298" s="126" t="s">
        <v>244</v>
      </c>
      <c r="G298" s="980" t="str">
        <f t="shared" ref="G298:G312" si="317">B298&amp;"_"&amp;C298&amp;"_"&amp;D298&amp;"_"&amp;E298&amp;"_"&amp;F298</f>
        <v>card_credit__VDS_nonEMI_ENR</v>
      </c>
      <c r="I298" s="1072" t="s">
        <v>201</v>
      </c>
      <c r="K298" s="7"/>
      <c r="L298" s="7"/>
      <c r="M298" s="7"/>
      <c r="N298" s="7"/>
      <c r="O298" s="7"/>
      <c r="Q298" s="7"/>
      <c r="T298" s="34">
        <f>T297-T299</f>
        <v>66197859178</v>
      </c>
      <c r="U298" s="34">
        <f>U297-U299</f>
        <v>69328486339</v>
      </c>
      <c r="V298" s="34">
        <f>V297-V299</f>
        <v>73607061906</v>
      </c>
      <c r="W298" s="34">
        <f>W297-W299</f>
        <v>77341484479</v>
      </c>
      <c r="X298" s="34">
        <f>X297-X299</f>
        <v>78514413424</v>
      </c>
    </row>
    <row r="299" spans="2:24" ht="15" customHeight="1">
      <c r="B299" s="980" t="s">
        <v>378</v>
      </c>
      <c r="C299" s="980" t="s">
        <v>415</v>
      </c>
      <c r="E299" s="468" t="s">
        <v>237</v>
      </c>
      <c r="F299" s="126" t="s">
        <v>245</v>
      </c>
      <c r="G299" s="980" t="str">
        <f t="shared" si="317"/>
        <v>card_credit__VDS_EMI_ENR</v>
      </c>
      <c r="I299" s="1072" t="s">
        <v>202</v>
      </c>
      <c r="K299" s="7"/>
      <c r="L299" s="7"/>
      <c r="M299" s="7"/>
      <c r="N299" s="7"/>
      <c r="O299" s="7"/>
      <c r="Q299" s="7"/>
      <c r="T299" s="7">
        <v>806736648</v>
      </c>
      <c r="U299" s="7">
        <v>2058542844</v>
      </c>
      <c r="V299" s="7">
        <v>2882414222</v>
      </c>
      <c r="W299" s="7">
        <v>3386470825</v>
      </c>
      <c r="X299" s="7">
        <v>3850338873</v>
      </c>
    </row>
    <row r="300" spans="2:24" ht="15" customHeight="1">
      <c r="B300" s="980" t="s">
        <v>378</v>
      </c>
      <c r="C300" s="980" t="s">
        <v>415</v>
      </c>
      <c r="E300" s="468" t="s">
        <v>237</v>
      </c>
      <c r="F300" s="126" t="s">
        <v>246</v>
      </c>
      <c r="G300" s="980" t="str">
        <f t="shared" si="317"/>
        <v>card_credit__VDS_revolving_ENR</v>
      </c>
      <c r="I300" s="1052" t="s">
        <v>203</v>
      </c>
      <c r="K300" s="7">
        <v>24488000000</v>
      </c>
      <c r="L300" s="7">
        <f>26948*10^6</f>
        <v>26948000000</v>
      </c>
      <c r="M300" s="7">
        <v>29363000000</v>
      </c>
      <c r="N300" s="7">
        <v>29428000000</v>
      </c>
      <c r="O300" s="7">
        <v>29842836459</v>
      </c>
      <c r="P300" s="7">
        <v>30518153248</v>
      </c>
      <c r="Q300" s="7">
        <v>34242043039.999996</v>
      </c>
      <c r="R300" s="7">
        <v>37596385276</v>
      </c>
      <c r="S300" s="7">
        <v>40740918517</v>
      </c>
      <c r="T300" s="7">
        <v>43564633348.999992</v>
      </c>
      <c r="U300" s="7">
        <v>45729153699.999992</v>
      </c>
      <c r="V300" s="7">
        <v>48293307396</v>
      </c>
      <c r="W300" s="7">
        <v>51060845832</v>
      </c>
      <c r="X300" s="7">
        <v>51788422600</v>
      </c>
    </row>
    <row r="301" spans="2:24" ht="15" customHeight="1">
      <c r="B301" s="980" t="s">
        <v>378</v>
      </c>
      <c r="C301" s="980" t="s">
        <v>415</v>
      </c>
      <c r="E301" s="468" t="s">
        <v>237</v>
      </c>
      <c r="F301" s="126" t="s">
        <v>247</v>
      </c>
      <c r="G301" s="980" t="str">
        <f t="shared" si="317"/>
        <v>card_credit__VDS_overdue_balance_10d</v>
      </c>
      <c r="I301" s="1052" t="s">
        <v>204</v>
      </c>
      <c r="K301" s="7">
        <f t="shared" ref="K301:R301" si="318">K302+K303</f>
        <v>6760403763</v>
      </c>
      <c r="L301" s="7">
        <f t="shared" si="318"/>
        <v>8192597157</v>
      </c>
      <c r="M301" s="7">
        <f t="shared" si="318"/>
        <v>8888846700</v>
      </c>
      <c r="N301" s="7">
        <f t="shared" si="318"/>
        <v>9049751499</v>
      </c>
      <c r="O301" s="7">
        <f t="shared" si="318"/>
        <v>9702261707</v>
      </c>
      <c r="P301" s="7">
        <f t="shared" si="318"/>
        <v>9432773875</v>
      </c>
      <c r="Q301" s="86">
        <f t="shared" si="318"/>
        <v>9780193565</v>
      </c>
      <c r="R301" s="86">
        <f t="shared" si="318"/>
        <v>12195614950</v>
      </c>
      <c r="S301" s="7">
        <f t="shared" ref="S301:X301" si="319">S302+S303</f>
        <v>13333774855</v>
      </c>
      <c r="T301" s="7">
        <f t="shared" si="319"/>
        <v>13207392213</v>
      </c>
      <c r="U301" s="7">
        <f t="shared" si="319"/>
        <v>14720666843</v>
      </c>
      <c r="V301" s="7">
        <f t="shared" si="319"/>
        <v>14503644447</v>
      </c>
      <c r="W301" s="7">
        <f t="shared" si="319"/>
        <v>16089675942</v>
      </c>
      <c r="X301" s="7">
        <f t="shared" si="319"/>
        <v>16935541977</v>
      </c>
    </row>
    <row r="302" spans="2:24" ht="15" customHeight="1">
      <c r="B302" s="980" t="s">
        <v>378</v>
      </c>
      <c r="C302" s="980" t="s">
        <v>415</v>
      </c>
      <c r="E302" s="468" t="s">
        <v>237</v>
      </c>
      <c r="G302" s="980" t="str">
        <f t="shared" si="317"/>
        <v>card_credit__VDS_</v>
      </c>
      <c r="I302" s="1052" t="s">
        <v>205</v>
      </c>
      <c r="K302" s="7">
        <v>3745208468</v>
      </c>
      <c r="L302" s="89">
        <v>4025472158</v>
      </c>
      <c r="M302" s="7">
        <v>4104880057</v>
      </c>
      <c r="N302" s="7">
        <v>4803101410</v>
      </c>
      <c r="O302" s="7">
        <v>4967105957</v>
      </c>
      <c r="P302" s="7">
        <v>4903306290</v>
      </c>
      <c r="Q302" s="86">
        <v>4837117907</v>
      </c>
      <c r="R302" s="7">
        <v>6088558123</v>
      </c>
      <c r="S302" s="7">
        <v>7769420994</v>
      </c>
      <c r="T302" s="7">
        <v>7460208847</v>
      </c>
      <c r="U302" s="7">
        <v>8291154459</v>
      </c>
      <c r="V302" s="7">
        <v>8611626176</v>
      </c>
      <c r="W302" s="7">
        <v>9881101263</v>
      </c>
      <c r="X302" s="7">
        <v>9847181173</v>
      </c>
    </row>
    <row r="303" spans="2:24" ht="15" customHeight="1">
      <c r="B303" s="980" t="s">
        <v>378</v>
      </c>
      <c r="C303" s="980" t="s">
        <v>415</v>
      </c>
      <c r="E303" s="468" t="s">
        <v>237</v>
      </c>
      <c r="F303" s="126" t="s">
        <v>248</v>
      </c>
      <c r="G303" s="980" t="str">
        <f t="shared" si="317"/>
        <v>card_credit__VDS_overdue_balance_90d</v>
      </c>
      <c r="I303" s="1052" t="s">
        <v>206</v>
      </c>
      <c r="K303" s="7">
        <v>3015195295</v>
      </c>
      <c r="L303" s="89">
        <v>4167124999</v>
      </c>
      <c r="M303" s="7">
        <v>4783966643</v>
      </c>
      <c r="N303" s="7">
        <v>4246650089</v>
      </c>
      <c r="O303" s="7">
        <v>4735155750</v>
      </c>
      <c r="P303" s="7">
        <v>4529467585</v>
      </c>
      <c r="Q303" s="86">
        <v>4943075658</v>
      </c>
      <c r="R303" s="7">
        <v>6107056827</v>
      </c>
      <c r="S303" s="7">
        <v>5564353861</v>
      </c>
      <c r="T303" s="7">
        <v>5747183366</v>
      </c>
      <c r="U303" s="7">
        <v>6429512384</v>
      </c>
      <c r="V303" s="7">
        <v>5892018271</v>
      </c>
      <c r="W303" s="7">
        <v>6208574679</v>
      </c>
      <c r="X303" s="7">
        <v>7088360804</v>
      </c>
    </row>
    <row r="304" spans="2:24" ht="15" customHeight="1">
      <c r="B304" s="980" t="s">
        <v>378</v>
      </c>
      <c r="C304" s="980" t="s">
        <v>415</v>
      </c>
      <c r="E304" s="468" t="s">
        <v>237</v>
      </c>
      <c r="F304" s="1229" t="s">
        <v>213</v>
      </c>
      <c r="G304" s="980" t="str">
        <f t="shared" si="317"/>
        <v>card_credit__VDS_npl</v>
      </c>
      <c r="I304" s="226" t="s">
        <v>423</v>
      </c>
      <c r="K304" s="42">
        <f>K303/K297</f>
        <v>8.2096733788169063E-2</v>
      </c>
      <c r="L304" s="42">
        <f>L303/L297</f>
        <v>0.10488027700777044</v>
      </c>
      <c r="M304" s="42">
        <f>M303/M297</f>
        <v>0.10941875273077969</v>
      </c>
      <c r="N304" s="131">
        <f>N303/N297</f>
        <v>9.7928601780672295E-2</v>
      </c>
      <c r="O304" s="131">
        <f>O303/O297</f>
        <v>0.10276670135459753</v>
      </c>
      <c r="P304" s="131">
        <f t="shared" ref="P304:R304" si="320">P303/P297</f>
        <v>8.961205836498598E-2</v>
      </c>
      <c r="Q304" s="131">
        <f t="shared" si="320"/>
        <v>9.1076969522640452E-2</v>
      </c>
      <c r="R304" s="131">
        <f t="shared" si="320"/>
        <v>0.10549885177709206</v>
      </c>
      <c r="S304" s="131">
        <f t="shared" ref="S304:X304" si="321">S303/S297</f>
        <v>8.8977719991271687E-2</v>
      </c>
      <c r="T304" s="131">
        <f t="shared" si="321"/>
        <v>8.5772972661823044E-2</v>
      </c>
      <c r="U304" s="131">
        <f t="shared" si="321"/>
        <v>9.0065554731490555E-2</v>
      </c>
      <c r="V304" s="131">
        <f t="shared" si="321"/>
        <v>7.7030443523238457E-2</v>
      </c>
      <c r="W304" s="131">
        <f t="shared" si="321"/>
        <v>7.6907369394160416E-2</v>
      </c>
      <c r="X304" s="131">
        <f t="shared" si="321"/>
        <v>8.6060609742866695E-2</v>
      </c>
    </row>
    <row r="305" spans="2:24" ht="15" customHeight="1">
      <c r="B305" s="980" t="s">
        <v>378</v>
      </c>
      <c r="C305" s="980" t="s">
        <v>415</v>
      </c>
      <c r="E305" s="468" t="s">
        <v>237</v>
      </c>
      <c r="F305" s="126" t="s">
        <v>250</v>
      </c>
      <c r="G305" s="980" t="str">
        <f t="shared" si="317"/>
        <v>card_credit__VDS_overdue_account_10d</v>
      </c>
      <c r="I305" s="1052" t="s">
        <v>208</v>
      </c>
      <c r="K305">
        <v>535</v>
      </c>
      <c r="L305">
        <f>L306+L307</f>
        <v>611</v>
      </c>
      <c r="M305">
        <f>M306+M307</f>
        <v>1204</v>
      </c>
      <c r="N305">
        <f>N306+N307</f>
        <v>1254</v>
      </c>
      <c r="O305">
        <f>O306+O307</f>
        <v>1202</v>
      </c>
      <c r="P305" s="1113"/>
    </row>
    <row r="306" spans="2:24" ht="15" customHeight="1">
      <c r="B306" s="980" t="s">
        <v>378</v>
      </c>
      <c r="C306" s="980" t="s">
        <v>415</v>
      </c>
      <c r="E306" s="468" t="s">
        <v>237</v>
      </c>
      <c r="G306" s="980" t="str">
        <f t="shared" si="317"/>
        <v>card_credit__VDS_</v>
      </c>
      <c r="I306" s="1052" t="s">
        <v>209</v>
      </c>
      <c r="K306">
        <v>301</v>
      </c>
      <c r="L306">
        <v>311</v>
      </c>
      <c r="M306">
        <v>652</v>
      </c>
      <c r="N306" s="7">
        <v>499</v>
      </c>
      <c r="O306">
        <v>759</v>
      </c>
      <c r="P306" s="1113"/>
    </row>
    <row r="307" spans="2:24" ht="15" customHeight="1">
      <c r="B307" s="980" t="s">
        <v>378</v>
      </c>
      <c r="C307" s="980" t="s">
        <v>415</v>
      </c>
      <c r="E307" s="468" t="s">
        <v>237</v>
      </c>
      <c r="F307" s="126" t="s">
        <v>251</v>
      </c>
      <c r="G307" s="980" t="str">
        <f t="shared" si="317"/>
        <v>card_credit__VDS_overdue_account_90d</v>
      </c>
      <c r="I307" s="1052" t="s">
        <v>210</v>
      </c>
      <c r="K307">
        <v>234</v>
      </c>
      <c r="L307">
        <v>300</v>
      </c>
      <c r="M307">
        <v>552</v>
      </c>
      <c r="N307" s="7">
        <v>755</v>
      </c>
      <c r="O307">
        <v>443</v>
      </c>
      <c r="P307" s="1113"/>
    </row>
    <row r="308" spans="2:24" ht="15" customHeight="1">
      <c r="B308" s="980" t="s">
        <v>378</v>
      </c>
      <c r="C308" s="980" t="s">
        <v>415</v>
      </c>
      <c r="E308" s="468" t="s">
        <v>237</v>
      </c>
      <c r="F308" s="126" t="s">
        <v>252</v>
      </c>
      <c r="G308" s="980" t="str">
        <f t="shared" si="317"/>
        <v>card_credit__VDS_revenue</v>
      </c>
      <c r="I308" s="85" t="s">
        <v>215</v>
      </c>
      <c r="J308" s="7">
        <f t="shared" ref="J308:J347" si="322">SUM(M308:X308)</f>
        <v>24424203129.422905</v>
      </c>
      <c r="K308" s="7">
        <f>K312+K318+K334</f>
        <v>982552462.66909289</v>
      </c>
      <c r="L308" s="7">
        <f t="shared" ref="L308:Q308" si="323">L312+L318+L334</f>
        <v>935191372.65346479</v>
      </c>
      <c r="M308" s="7">
        <f t="shared" si="323"/>
        <v>1150575640.4224319</v>
      </c>
      <c r="N308" s="7">
        <f t="shared" si="323"/>
        <v>943424736.31784523</v>
      </c>
      <c r="O308" s="7">
        <f t="shared" si="323"/>
        <v>1072418996.8880087</v>
      </c>
      <c r="P308" s="86">
        <f t="shared" si="323"/>
        <v>1332742342.4248605</v>
      </c>
      <c r="Q308" s="86">
        <f t="shared" si="323"/>
        <v>1848701070.0810592</v>
      </c>
      <c r="R308" s="86">
        <f t="shared" ref="R308" si="324">R312+R318+R334</f>
        <v>2248771290.3389153</v>
      </c>
      <c r="S308" s="7">
        <f>S312+S318+S334</f>
        <v>1981753480.2819304</v>
      </c>
      <c r="T308" s="86">
        <f>T312+T318+T334</f>
        <v>2491655719.1672168</v>
      </c>
      <c r="U308" s="86">
        <f t="shared" ref="U308:X308" si="325">U312+U318+U334</f>
        <v>2832862550.4404945</v>
      </c>
      <c r="V308" s="86">
        <f t="shared" si="325"/>
        <v>2882085675.4091506</v>
      </c>
      <c r="W308" s="86">
        <f t="shared" si="325"/>
        <v>2825566873.2795463</v>
      </c>
      <c r="X308" s="86">
        <f t="shared" si="325"/>
        <v>2813644754.3714437</v>
      </c>
    </row>
    <row r="309" spans="2:24" ht="15" customHeight="1">
      <c r="B309" s="980" t="s">
        <v>378</v>
      </c>
      <c r="C309" s="980" t="s">
        <v>415</v>
      </c>
      <c r="E309" s="468" t="s">
        <v>237</v>
      </c>
      <c r="F309" s="126" t="s">
        <v>253</v>
      </c>
      <c r="G309" s="980" t="str">
        <f t="shared" si="317"/>
        <v>card_credit__VDS_COGs</v>
      </c>
      <c r="I309" s="85" t="s">
        <v>216</v>
      </c>
      <c r="J309" s="7">
        <f t="shared" si="322"/>
        <v>4275242899.5785809</v>
      </c>
      <c r="K309" s="7">
        <f>K316+K329</f>
        <v>194327837.31370842</v>
      </c>
      <c r="L309" s="7">
        <f t="shared" ref="L309:Q309" si="326">L316+L329</f>
        <v>221480483.31292796</v>
      </c>
      <c r="M309" s="7">
        <f t="shared" si="326"/>
        <v>262630850.66501188</v>
      </c>
      <c r="N309" s="7">
        <f t="shared" si="326"/>
        <v>252801138.67049468</v>
      </c>
      <c r="O309" s="7">
        <f t="shared" si="326"/>
        <v>290186760.41581959</v>
      </c>
      <c r="P309" s="7">
        <f t="shared" si="326"/>
        <v>263968260.85503477</v>
      </c>
      <c r="Q309" s="7">
        <f t="shared" si="326"/>
        <v>292745208.17638731</v>
      </c>
      <c r="R309" s="7">
        <f t="shared" ref="R309" si="327">R316+R329</f>
        <v>264520509.93861362</v>
      </c>
      <c r="S309" s="7">
        <f>S316+S329</f>
        <v>342978836.61767006</v>
      </c>
      <c r="T309" s="7">
        <f>T316+T329</f>
        <v>389481749.79785532</v>
      </c>
      <c r="U309" s="7">
        <f t="shared" ref="U309:X309" si="328">U316+U329</f>
        <v>423942002.45409513</v>
      </c>
      <c r="V309" s="7">
        <f t="shared" si="328"/>
        <v>471786051.18131483</v>
      </c>
      <c r="W309" s="7">
        <f t="shared" si="328"/>
        <v>463374612.91327703</v>
      </c>
      <c r="X309" s="7">
        <f t="shared" si="328"/>
        <v>556826917.89300644</v>
      </c>
    </row>
    <row r="310" spans="2:24" ht="15" customHeight="1">
      <c r="B310" s="980" t="s">
        <v>378</v>
      </c>
      <c r="C310" s="980" t="s">
        <v>415</v>
      </c>
      <c r="E310" s="468" t="s">
        <v>237</v>
      </c>
      <c r="F310" s="126" t="s">
        <v>217</v>
      </c>
      <c r="G310" s="980" t="str">
        <f t="shared" si="317"/>
        <v>card_credit__VDS_TOI</v>
      </c>
      <c r="I310" s="226" t="s">
        <v>217</v>
      </c>
      <c r="J310" s="7">
        <f t="shared" si="322"/>
        <v>20148960229.844322</v>
      </c>
      <c r="K310" s="47">
        <f>K311+K317+K334</f>
        <v>788224625.35538447</v>
      </c>
      <c r="L310" s="47">
        <f t="shared" ref="L310:Q310" si="329">L311+L317+L334</f>
        <v>713710889.34053683</v>
      </c>
      <c r="M310" s="47">
        <f t="shared" si="329"/>
        <v>887944789.75742018</v>
      </c>
      <c r="N310" s="47">
        <f t="shared" si="329"/>
        <v>690623597.64735055</v>
      </c>
      <c r="O310" s="47">
        <f t="shared" si="329"/>
        <v>782232236.47218919</v>
      </c>
      <c r="P310" s="47">
        <f t="shared" si="329"/>
        <v>1068774081.5698259</v>
      </c>
      <c r="Q310" s="47">
        <f t="shared" si="329"/>
        <v>1555955861.9046719</v>
      </c>
      <c r="R310" s="47">
        <f t="shared" ref="R310" si="330">R311+R317+R334</f>
        <v>1984250780.4003017</v>
      </c>
      <c r="S310" s="47">
        <f>S311+S317+S334</f>
        <v>1638774643.6642604</v>
      </c>
      <c r="T310" s="47">
        <f>T311+T317+T334</f>
        <v>2102173969.3693614</v>
      </c>
      <c r="U310" s="47">
        <f t="shared" ref="U310:X310" si="331">U311+U317+U334</f>
        <v>2408920547.9863997</v>
      </c>
      <c r="V310" s="47">
        <f t="shared" si="331"/>
        <v>2410299624.2278357</v>
      </c>
      <c r="W310" s="47">
        <f t="shared" si="331"/>
        <v>2362192260.3662691</v>
      </c>
      <c r="X310" s="47">
        <f t="shared" si="331"/>
        <v>2256817836.4784374</v>
      </c>
    </row>
    <row r="311" spans="2:24" ht="15" customHeight="1">
      <c r="B311" s="980" t="s">
        <v>378</v>
      </c>
      <c r="C311" s="980" t="s">
        <v>415</v>
      </c>
      <c r="E311" s="468" t="s">
        <v>237</v>
      </c>
      <c r="F311" s="126" t="s">
        <v>254</v>
      </c>
      <c r="G311" s="980" t="str">
        <f t="shared" si="317"/>
        <v>card_credit__VDS_NII</v>
      </c>
      <c r="I311" s="1055" t="s">
        <v>218</v>
      </c>
      <c r="J311" s="7">
        <f t="shared" si="322"/>
        <v>10829248729.40897</v>
      </c>
      <c r="K311" s="47">
        <f t="shared" ref="K311:Q311" si="332">K312-K316</f>
        <v>567728202.55965602</v>
      </c>
      <c r="L311" s="47">
        <f t="shared" si="332"/>
        <v>491845013.38396829</v>
      </c>
      <c r="M311" s="47">
        <f t="shared" si="332"/>
        <v>610691955.74786341</v>
      </c>
      <c r="N311" s="47">
        <f t="shared" si="332"/>
        <v>560141592.27269721</v>
      </c>
      <c r="O311" s="47">
        <f t="shared" si="332"/>
        <v>492803358.09835517</v>
      </c>
      <c r="P311" s="47">
        <f t="shared" si="332"/>
        <v>729682415.52789366</v>
      </c>
      <c r="Q311" s="47">
        <f t="shared" si="332"/>
        <v>797459037.03906035</v>
      </c>
      <c r="R311" s="47">
        <f t="shared" ref="R311" si="333">R312-R316</f>
        <v>879706335.28577554</v>
      </c>
      <c r="S311" s="47">
        <f>S312-S316</f>
        <v>854849465.09119177</v>
      </c>
      <c r="T311" s="47">
        <f>T312-T316</f>
        <v>1129161252.4457383</v>
      </c>
      <c r="U311" s="47">
        <f t="shared" ref="U311:X311" si="334">U312-U316</f>
        <v>1156710651.615437</v>
      </c>
      <c r="V311" s="47">
        <f t="shared" si="334"/>
        <v>1164242802.350564</v>
      </c>
      <c r="W311" s="47">
        <f t="shared" si="334"/>
        <v>1253681062.4393947</v>
      </c>
      <c r="X311" s="47">
        <f t="shared" si="334"/>
        <v>1200118801.4949994</v>
      </c>
    </row>
    <row r="312" spans="2:24" ht="15" customHeight="1">
      <c r="B312" s="980" t="s">
        <v>378</v>
      </c>
      <c r="C312" s="980" t="s">
        <v>415</v>
      </c>
      <c r="E312" s="468" t="s">
        <v>237</v>
      </c>
      <c r="F312" s="126" t="s">
        <v>255</v>
      </c>
      <c r="G312" s="980" t="str">
        <f t="shared" si="317"/>
        <v>card_credit__VDS_CII</v>
      </c>
      <c r="I312" s="1056" t="s">
        <v>20</v>
      </c>
      <c r="J312" s="7">
        <f t="shared" si="322"/>
        <v>13922566186</v>
      </c>
      <c r="K312" s="47">
        <f t="shared" ref="K312:Q312" si="335">K313-K314+K315</f>
        <v>688399616</v>
      </c>
      <c r="L312" s="47">
        <f t="shared" si="335"/>
        <v>635737408</v>
      </c>
      <c r="M312" s="47">
        <f t="shared" si="335"/>
        <v>771175153</v>
      </c>
      <c r="N312" s="47">
        <f t="shared" si="335"/>
        <v>712685040</v>
      </c>
      <c r="O312" s="47">
        <f t="shared" si="335"/>
        <v>666594800</v>
      </c>
      <c r="P312" s="47">
        <f t="shared" si="335"/>
        <v>903671121</v>
      </c>
      <c r="Q312" s="47">
        <f t="shared" si="335"/>
        <v>1002643604</v>
      </c>
      <c r="R312" s="47">
        <f t="shared" ref="R312" si="336">R313-R314+R315</f>
        <v>1099084421</v>
      </c>
      <c r="S312" s="47">
        <f>S313-S314+S315</f>
        <v>1113478310</v>
      </c>
      <c r="T312" s="47">
        <f>T313-T314+T315</f>
        <v>1422187963</v>
      </c>
      <c r="U312" s="47">
        <f t="shared" ref="U312:X312" si="337">U313-U314+U315</f>
        <v>1466840916</v>
      </c>
      <c r="V312" s="47">
        <f t="shared" si="337"/>
        <v>1520191289</v>
      </c>
      <c r="W312" s="47">
        <f t="shared" si="337"/>
        <v>1599661970</v>
      </c>
      <c r="X312" s="47">
        <f t="shared" si="337"/>
        <v>1644351599</v>
      </c>
    </row>
    <row r="313" spans="2:24" ht="15" customHeight="1">
      <c r="B313" s="980" t="s">
        <v>378</v>
      </c>
      <c r="C313" s="980" t="s">
        <v>415</v>
      </c>
      <c r="E313" s="468" t="s">
        <v>237</v>
      </c>
      <c r="F313" s="756"/>
      <c r="G313" s="980" t="str">
        <f t="shared" si="306"/>
        <v>card_credit__VDS_</v>
      </c>
      <c r="I313" s="1057" t="s">
        <v>256</v>
      </c>
      <c r="J313" s="7">
        <f t="shared" si="322"/>
        <v>13871725065</v>
      </c>
      <c r="K313" s="7">
        <v>704889431</v>
      </c>
      <c r="L313" s="7">
        <v>715035498</v>
      </c>
      <c r="M313" s="7">
        <v>770562643</v>
      </c>
      <c r="N313" s="7">
        <v>764651182</v>
      </c>
      <c r="O313" s="7">
        <v>692978781</v>
      </c>
      <c r="P313" s="7">
        <v>829277220</v>
      </c>
      <c r="Q313" s="7">
        <v>984426856</v>
      </c>
      <c r="R313" s="89">
        <v>1120653900</v>
      </c>
      <c r="S313" s="89">
        <v>1154158725</v>
      </c>
      <c r="T313" s="89">
        <v>1380759779</v>
      </c>
      <c r="U313" s="89">
        <v>1446755888</v>
      </c>
      <c r="V313" s="89">
        <v>1491151783</v>
      </c>
      <c r="W313" s="89">
        <v>1617090212</v>
      </c>
      <c r="X313" s="89">
        <v>1619258096</v>
      </c>
    </row>
    <row r="314" spans="2:24" ht="15" customHeight="1">
      <c r="B314" s="980" t="s">
        <v>378</v>
      </c>
      <c r="C314" s="980" t="s">
        <v>415</v>
      </c>
      <c r="E314" s="468" t="s">
        <v>237</v>
      </c>
      <c r="F314" s="756"/>
      <c r="G314" s="980" t="str">
        <f t="shared" si="306"/>
        <v>card_credit__VDS_</v>
      </c>
      <c r="I314" s="1057" t="s">
        <v>259</v>
      </c>
      <c r="J314" s="7">
        <f t="shared" si="322"/>
        <v>2749061241</v>
      </c>
      <c r="K314" s="7">
        <v>146201144</v>
      </c>
      <c r="L314" s="7">
        <f>198858489+26640745</f>
        <v>225499234</v>
      </c>
      <c r="M314" s="7">
        <v>224886724</v>
      </c>
      <c r="N314" s="7">
        <v>276852866</v>
      </c>
      <c r="O314" s="7">
        <v>303236847</v>
      </c>
      <c r="P314" s="7">
        <v>228842946</v>
      </c>
      <c r="Q314" s="7">
        <v>210626198</v>
      </c>
      <c r="R314" s="7">
        <v>232195677</v>
      </c>
      <c r="S314" s="7">
        <v>272876092</v>
      </c>
      <c r="T314" s="7">
        <v>231447908</v>
      </c>
      <c r="U314" s="7">
        <v>211362880</v>
      </c>
      <c r="V314" s="7">
        <v>182323374</v>
      </c>
      <c r="W314" s="7">
        <v>199751616</v>
      </c>
      <c r="X314" s="7">
        <v>174658113</v>
      </c>
    </row>
    <row r="315" spans="2:24" ht="15" customHeight="1">
      <c r="B315" s="980" t="s">
        <v>378</v>
      </c>
      <c r="C315" s="980" t="s">
        <v>415</v>
      </c>
      <c r="E315" s="468" t="s">
        <v>237</v>
      </c>
      <c r="F315" s="756"/>
      <c r="G315" s="980" t="str">
        <f t="shared" si="306"/>
        <v>card_credit__VDS_</v>
      </c>
      <c r="I315" s="1057" t="s">
        <v>228</v>
      </c>
      <c r="J315" s="7">
        <f t="shared" si="322"/>
        <v>2799902362</v>
      </c>
      <c r="K315" s="7">
        <v>129711329</v>
      </c>
      <c r="L315" s="7">
        <v>146201144</v>
      </c>
      <c r="M315" s="7">
        <f>198858489+26640745</f>
        <v>225499234</v>
      </c>
      <c r="N315" s="7">
        <v>224886724</v>
      </c>
      <c r="O315" s="7">
        <v>276852866</v>
      </c>
      <c r="P315" s="7">
        <v>303236847</v>
      </c>
      <c r="Q315" s="7">
        <v>228842946</v>
      </c>
      <c r="R315" s="7">
        <v>210626198</v>
      </c>
      <c r="S315" s="7">
        <v>232195677</v>
      </c>
      <c r="T315" s="7">
        <v>272876092</v>
      </c>
      <c r="U315" s="7">
        <v>231447908</v>
      </c>
      <c r="V315" s="7">
        <v>211362880</v>
      </c>
      <c r="W315" s="7">
        <v>182323374</v>
      </c>
      <c r="X315" s="7">
        <v>199751616</v>
      </c>
    </row>
    <row r="316" spans="2:24" ht="15" customHeight="1">
      <c r="B316" s="980" t="s">
        <v>378</v>
      </c>
      <c r="C316" s="980" t="s">
        <v>415</v>
      </c>
      <c r="E316" s="468" t="s">
        <v>237</v>
      </c>
      <c r="F316" s="126" t="s">
        <v>219</v>
      </c>
      <c r="G316" s="980" t="str">
        <f>B316&amp;"_"&amp;C316&amp;"_"&amp;D316&amp;"_"&amp;E316&amp;"_"&amp;F316</f>
        <v>card_credit__VDS_COF</v>
      </c>
      <c r="I316" s="1056" t="s">
        <v>219</v>
      </c>
      <c r="J316" s="7">
        <f t="shared" si="322"/>
        <v>3093317456.5910296</v>
      </c>
      <c r="K316" s="47">
        <v>120671413.44034401</v>
      </c>
      <c r="L316" s="47">
        <v>143892394.61603171</v>
      </c>
      <c r="M316" s="47">
        <f t="shared" ref="M316:R316" si="338">M297/M107*M130</f>
        <v>160483197.25213659</v>
      </c>
      <c r="N316" s="47">
        <f t="shared" si="338"/>
        <v>152543447.72730282</v>
      </c>
      <c r="O316" s="47">
        <f t="shared" si="338"/>
        <v>173791441.90164483</v>
      </c>
      <c r="P316" s="47">
        <f t="shared" si="338"/>
        <v>173988705.47210637</v>
      </c>
      <c r="Q316" s="47">
        <f t="shared" si="338"/>
        <v>205184566.96093965</v>
      </c>
      <c r="R316" s="47">
        <f t="shared" si="338"/>
        <v>219378085.71422446</v>
      </c>
      <c r="S316" s="47">
        <f t="shared" ref="S316:X316" si="339">S297/S107*S130</f>
        <v>258628844.90880829</v>
      </c>
      <c r="T316" s="47">
        <f t="shared" si="339"/>
        <v>293026710.55426157</v>
      </c>
      <c r="U316" s="47">
        <f t="shared" si="339"/>
        <v>310130264.38456297</v>
      </c>
      <c r="V316" s="47">
        <f t="shared" si="339"/>
        <v>355948486.64943588</v>
      </c>
      <c r="W316" s="47">
        <f t="shared" si="339"/>
        <v>345980907.56060529</v>
      </c>
      <c r="X316" s="47">
        <f t="shared" si="339"/>
        <v>444232797.50500065</v>
      </c>
    </row>
    <row r="317" spans="2:24" ht="15" customHeight="1">
      <c r="B317" s="980" t="s">
        <v>378</v>
      </c>
      <c r="C317" s="980" t="s">
        <v>415</v>
      </c>
      <c r="E317" s="468" t="s">
        <v>237</v>
      </c>
      <c r="F317" s="126" t="s">
        <v>260</v>
      </c>
      <c r="G317" s="980" t="str">
        <f>B317&amp;"_"&amp;C317&amp;"_"&amp;D317&amp;"_"&amp;E317&amp;"_"&amp;F317</f>
        <v>card_credit__VDS_NFI</v>
      </c>
      <c r="I317" s="1055" t="s">
        <v>220</v>
      </c>
      <c r="J317" s="7">
        <f t="shared" si="322"/>
        <v>8936594867.4353523</v>
      </c>
      <c r="K317" s="47">
        <f>K318-K329</f>
        <v>220496422.79572845</v>
      </c>
      <c r="L317" s="47">
        <f t="shared" ref="L317:Q317" si="340">L318-L329</f>
        <v>221865875.9565686</v>
      </c>
      <c r="M317" s="47">
        <f t="shared" si="340"/>
        <v>277252834.00955677</v>
      </c>
      <c r="N317" s="47">
        <f t="shared" si="340"/>
        <v>130482005.37465335</v>
      </c>
      <c r="O317" s="47">
        <f t="shared" si="340"/>
        <v>277016546.37383395</v>
      </c>
      <c r="P317" s="47">
        <f t="shared" si="340"/>
        <v>304507304.04193223</v>
      </c>
      <c r="Q317" s="47">
        <f t="shared" si="340"/>
        <v>755139788.86561155</v>
      </c>
      <c r="R317" s="47">
        <f t="shared" ref="R317" si="341">R318-R329</f>
        <v>1056673661.1145262</v>
      </c>
      <c r="S317" s="47">
        <f>S318-S329</f>
        <v>723644636.57306862</v>
      </c>
      <c r="T317" s="47">
        <f>T318-T329</f>
        <v>957069220.92362297</v>
      </c>
      <c r="U317" s="47">
        <f t="shared" ref="U317:X317" si="342">U318-U329</f>
        <v>1199253769.3709624</v>
      </c>
      <c r="V317" s="47">
        <f t="shared" si="342"/>
        <v>1211402064.8772717</v>
      </c>
      <c r="W317" s="47">
        <f t="shared" si="342"/>
        <v>1035742194.9268745</v>
      </c>
      <c r="X317" s="47">
        <f t="shared" si="342"/>
        <v>1008410840.983438</v>
      </c>
    </row>
    <row r="318" spans="2:24" ht="15" customHeight="1">
      <c r="B318" s="980" t="s">
        <v>378</v>
      </c>
      <c r="C318" s="980" t="s">
        <v>415</v>
      </c>
      <c r="E318" s="468" t="s">
        <v>237</v>
      </c>
      <c r="F318" s="230" t="s">
        <v>340</v>
      </c>
      <c r="G318" s="980" t="str">
        <f>B318&amp;"_"&amp;C318&amp;"_"&amp;D318&amp;"_"&amp;E318&amp;"_"&amp;F318</f>
        <v>card_credit__VDS_fee_incomes</v>
      </c>
      <c r="I318" s="1073" t="s">
        <v>22</v>
      </c>
      <c r="J318" s="7">
        <f t="shared" si="322"/>
        <v>10118520310.422905</v>
      </c>
      <c r="K318" s="47">
        <f>SUM(K319:K325)-K326+K327+K328</f>
        <v>294152846.66909289</v>
      </c>
      <c r="L318" s="47">
        <f t="shared" ref="L318:Q318" si="343">SUM(L319:L325)-L326+L327+L328</f>
        <v>299453964.65346485</v>
      </c>
      <c r="M318" s="47">
        <f t="shared" si="343"/>
        <v>379400487.42243207</v>
      </c>
      <c r="N318" s="47">
        <f t="shared" si="343"/>
        <v>230739696.31784523</v>
      </c>
      <c r="O318" s="47">
        <f t="shared" si="343"/>
        <v>393411864.88800871</v>
      </c>
      <c r="P318" s="47">
        <f t="shared" si="343"/>
        <v>394486859.4248606</v>
      </c>
      <c r="Q318" s="47">
        <f t="shared" si="343"/>
        <v>842700430.08105922</v>
      </c>
      <c r="R318" s="47">
        <f t="shared" ref="R318" si="344">SUM(R319:R325)-R326+R327+R328</f>
        <v>1101816085.3389153</v>
      </c>
      <c r="S318" s="47">
        <f>SUM(S319:S325)-S326+S327+S328</f>
        <v>807994628.28193045</v>
      </c>
      <c r="T318" s="47">
        <f>SUM(T319:T325)-T326+T327+T328</f>
        <v>1053524260.1672168</v>
      </c>
      <c r="U318" s="47">
        <f t="shared" ref="U318:X318" si="345">SUM(U319:U325)-U326+U327+U328</f>
        <v>1313065507.4404945</v>
      </c>
      <c r="V318" s="47">
        <f t="shared" si="345"/>
        <v>1327239629.4091506</v>
      </c>
      <c r="W318" s="47">
        <f t="shared" si="345"/>
        <v>1153135900.2795463</v>
      </c>
      <c r="X318" s="47">
        <f t="shared" si="345"/>
        <v>1121004961.3714437</v>
      </c>
    </row>
    <row r="319" spans="2:24" ht="15" customHeight="1">
      <c r="B319" s="980" t="s">
        <v>378</v>
      </c>
      <c r="C319" s="980" t="s">
        <v>415</v>
      </c>
      <c r="E319" s="468" t="s">
        <v>237</v>
      </c>
      <c r="F319" s="230" t="s">
        <v>424</v>
      </c>
      <c r="G319" s="980" t="str">
        <f>B319&amp;"_"&amp;C319&amp;"_"&amp;D319&amp;"_"&amp;E319&amp;"_"&amp;F319</f>
        <v>card_credit__VDS_annual_fee</v>
      </c>
      <c r="I319" s="1057" t="s">
        <v>425</v>
      </c>
      <c r="J319" s="7">
        <f t="shared" si="322"/>
        <v>2739707540</v>
      </c>
      <c r="K319" s="7"/>
      <c r="L319" s="7"/>
      <c r="M319" s="7"/>
      <c r="N319" s="7"/>
      <c r="O319" s="7">
        <v>50274000</v>
      </c>
      <c r="P319" s="7">
        <v>48214724</v>
      </c>
      <c r="Q319" s="7">
        <v>87936315</v>
      </c>
      <c r="R319" s="89">
        <v>519904757</v>
      </c>
      <c r="S319" s="89">
        <v>457063109</v>
      </c>
      <c r="T319" s="89">
        <v>339044509</v>
      </c>
      <c r="U319" s="89">
        <v>359051957</v>
      </c>
      <c r="V319" s="89">
        <v>362550863</v>
      </c>
      <c r="W319" s="7">
        <v>232870203</v>
      </c>
      <c r="X319" s="89">
        <v>282797103</v>
      </c>
    </row>
    <row r="320" spans="2:24" ht="15" customHeight="1">
      <c r="B320" s="980" t="s">
        <v>378</v>
      </c>
      <c r="C320" s="980" t="s">
        <v>415</v>
      </c>
      <c r="E320" s="468" t="s">
        <v>237</v>
      </c>
      <c r="F320" s="230" t="s">
        <v>391</v>
      </c>
      <c r="G320" s="980" t="str">
        <f t="shared" si="306"/>
        <v>card_credit__VDS_interchange_fee</v>
      </c>
      <c r="I320" s="1057" t="s">
        <v>21</v>
      </c>
      <c r="J320" s="7">
        <f t="shared" si="322"/>
        <v>1842630586.4229035</v>
      </c>
      <c r="K320" s="7">
        <v>112692408.66909292</v>
      </c>
      <c r="L320" s="7">
        <v>124449993.65346487</v>
      </c>
      <c r="M320" s="7">
        <f>M296/M106*M134</f>
        <v>128950999.42243205</v>
      </c>
      <c r="N320" s="7">
        <f t="shared" ref="N320:R320" si="346">N296/N106*N134</f>
        <v>97284080.317845255</v>
      </c>
      <c r="O320" s="7">
        <f t="shared" si="346"/>
        <v>141375570.88800874</v>
      </c>
      <c r="P320" s="7">
        <f t="shared" si="346"/>
        <v>125872360.42486058</v>
      </c>
      <c r="Q320" s="7">
        <f t="shared" si="346"/>
        <v>149369969.08105919</v>
      </c>
      <c r="R320" s="7">
        <f t="shared" si="346"/>
        <v>151842794.33891526</v>
      </c>
      <c r="S320" s="7">
        <f t="shared" ref="S320:X320" si="347">S296/S106*S134</f>
        <v>162166899.28193054</v>
      </c>
      <c r="T320" s="7">
        <f t="shared" si="347"/>
        <v>144838551.16721687</v>
      </c>
      <c r="U320" s="7">
        <f t="shared" si="347"/>
        <v>169430493.4404946</v>
      </c>
      <c r="V320" s="7">
        <f t="shared" si="347"/>
        <v>205088230.40915063</v>
      </c>
      <c r="W320" s="7">
        <f t="shared" si="347"/>
        <v>166814482.27954614</v>
      </c>
      <c r="X320" s="7">
        <f t="shared" si="347"/>
        <v>199596155.37144384</v>
      </c>
    </row>
    <row r="321" spans="2:25" ht="15" customHeight="1">
      <c r="B321" s="980" t="s">
        <v>378</v>
      </c>
      <c r="C321" s="980" t="s">
        <v>415</v>
      </c>
      <c r="E321" s="468" t="s">
        <v>237</v>
      </c>
      <c r="F321" s="230" t="s">
        <v>407</v>
      </c>
      <c r="G321" s="980" t="str">
        <f t="shared" si="306"/>
        <v>card_credit__VDS_cash_advance_fee</v>
      </c>
      <c r="I321" s="1057" t="s">
        <v>408</v>
      </c>
      <c r="J321" s="7">
        <f t="shared" si="322"/>
        <v>1575071722</v>
      </c>
      <c r="K321" s="7">
        <v>87515241</v>
      </c>
      <c r="L321" s="7">
        <v>95819126</v>
      </c>
      <c r="M321" s="7">
        <v>68404789</v>
      </c>
      <c r="N321" s="7">
        <v>30865459</v>
      </c>
      <c r="O321" s="7">
        <v>55263792</v>
      </c>
      <c r="P321" s="7">
        <v>123844652</v>
      </c>
      <c r="Q321" s="7">
        <v>131922654</v>
      </c>
      <c r="R321" s="89">
        <v>143801209</v>
      </c>
      <c r="S321" s="89">
        <v>139469862</v>
      </c>
      <c r="T321" s="89">
        <v>177444095</v>
      </c>
      <c r="U321" s="89">
        <v>182059773</v>
      </c>
      <c r="V321" s="89">
        <v>187569179</v>
      </c>
      <c r="W321" s="7">
        <v>169099010</v>
      </c>
      <c r="X321" s="7">
        <v>165327248</v>
      </c>
    </row>
    <row r="322" spans="2:25" ht="15" customHeight="1">
      <c r="B322" s="980" t="s">
        <v>378</v>
      </c>
      <c r="C322" s="980" t="s">
        <v>415</v>
      </c>
      <c r="E322" s="468" t="s">
        <v>237</v>
      </c>
      <c r="F322" s="230" t="s">
        <v>393</v>
      </c>
      <c r="G322" s="980" t="str">
        <f t="shared" si="306"/>
        <v>card_credit__VDS_fx_fee</v>
      </c>
      <c r="I322" s="1057" t="s">
        <v>426</v>
      </c>
      <c r="J322" s="7">
        <f t="shared" si="322"/>
        <v>105068997</v>
      </c>
      <c r="K322" s="7">
        <v>5368713</v>
      </c>
      <c r="L322" s="7">
        <v>5937207</v>
      </c>
      <c r="M322" s="7">
        <v>6690600</v>
      </c>
      <c r="N322" s="7">
        <v>4957208</v>
      </c>
      <c r="O322" s="7">
        <v>6813684</v>
      </c>
      <c r="P322" s="7">
        <v>7768076</v>
      </c>
      <c r="Q322" s="7">
        <v>5217828</v>
      </c>
      <c r="R322" s="89">
        <v>6475394</v>
      </c>
      <c r="S322" s="89">
        <v>8470484</v>
      </c>
      <c r="T322" s="89">
        <v>10177880</v>
      </c>
      <c r="U322" s="89">
        <v>10047448</v>
      </c>
      <c r="V322" s="89">
        <v>10806719</v>
      </c>
      <c r="W322" s="7">
        <v>13533176</v>
      </c>
      <c r="X322" s="7">
        <v>14110500</v>
      </c>
    </row>
    <row r="323" spans="2:25" ht="15" customHeight="1">
      <c r="B323" s="980" t="s">
        <v>378</v>
      </c>
      <c r="C323" s="980" t="s">
        <v>415</v>
      </c>
      <c r="E323" s="468" t="s">
        <v>237</v>
      </c>
      <c r="F323" s="230" t="s">
        <v>395</v>
      </c>
      <c r="G323" s="980" t="str">
        <f t="shared" si="306"/>
        <v>card_credit__VDS_reissue_fee</v>
      </c>
      <c r="I323" s="1061" t="s">
        <v>396</v>
      </c>
      <c r="J323" s="7">
        <f t="shared" si="322"/>
        <v>167653335</v>
      </c>
      <c r="K323" s="7">
        <v>4035000</v>
      </c>
      <c r="L323" s="7">
        <v>1921088</v>
      </c>
      <c r="M323" s="7">
        <v>312818</v>
      </c>
      <c r="N323" s="7">
        <v>787620</v>
      </c>
      <c r="O323" s="7">
        <v>-242899</v>
      </c>
      <c r="P323" s="7">
        <v>150000</v>
      </c>
      <c r="Q323" s="7">
        <v>11316</v>
      </c>
      <c r="R323" s="89">
        <v>4692487</v>
      </c>
      <c r="S323" s="89">
        <v>20642376</v>
      </c>
      <c r="T323" s="89">
        <v>21381446</v>
      </c>
      <c r="U323" s="89">
        <v>30328000</v>
      </c>
      <c r="V323" s="89">
        <v>29255869</v>
      </c>
      <c r="W323" s="7">
        <v>35195397</v>
      </c>
      <c r="X323" s="7">
        <v>25138905</v>
      </c>
    </row>
    <row r="324" spans="2:25" ht="15" customHeight="1">
      <c r="B324" s="980" t="s">
        <v>378</v>
      </c>
      <c r="C324" s="980" t="s">
        <v>415</v>
      </c>
      <c r="E324" s="468" t="s">
        <v>237</v>
      </c>
      <c r="F324" s="230" t="s">
        <v>262</v>
      </c>
      <c r="G324" s="980" t="str">
        <f>B324&amp;"_"&amp;C324&amp;"_"&amp;D324&amp;"_"&amp;E324&amp;"_"&amp;F324</f>
        <v>card_credit__VDS_late_payment_fee</v>
      </c>
      <c r="I324" s="1057" t="s">
        <v>427</v>
      </c>
      <c r="J324" s="7">
        <f t="shared" si="322"/>
        <v>4007714832</v>
      </c>
      <c r="K324" s="7">
        <v>99258040</v>
      </c>
      <c r="L324" s="7">
        <v>108952268</v>
      </c>
      <c r="M324" s="7">
        <v>174818680</v>
      </c>
      <c r="N324" s="7">
        <v>135841420</v>
      </c>
      <c r="O324" s="7">
        <v>160770834</v>
      </c>
      <c r="P324" s="7">
        <v>321933093</v>
      </c>
      <c r="Q324" s="7">
        <v>281910341</v>
      </c>
      <c r="R324" s="89">
        <v>371021793</v>
      </c>
      <c r="S324" s="89">
        <v>339770517</v>
      </c>
      <c r="T324" s="89">
        <v>387644625</v>
      </c>
      <c r="U324" s="89">
        <v>493631816</v>
      </c>
      <c r="V324" s="89">
        <v>385303570</v>
      </c>
      <c r="W324" s="7">
        <v>603504966</v>
      </c>
      <c r="X324" s="7">
        <v>351563177</v>
      </c>
    </row>
    <row r="325" spans="2:25" ht="15" customHeight="1">
      <c r="B325" s="980" t="s">
        <v>378</v>
      </c>
      <c r="C325" s="980" t="s">
        <v>415</v>
      </c>
      <c r="E325" s="468" t="s">
        <v>237</v>
      </c>
      <c r="F325" s="230" t="s">
        <v>264</v>
      </c>
      <c r="G325" s="980" t="str">
        <f t="shared" ref="G325:G331" si="348">B325&amp;"_"&amp;C325&amp;"_"&amp;D325&amp;"_"&amp;E325&amp;"_"&amp;F325</f>
        <v>card_credit__VDS_installment_fee</v>
      </c>
      <c r="I325" s="1057" t="s">
        <v>224</v>
      </c>
      <c r="J325" s="7">
        <f t="shared" si="322"/>
        <v>268426301</v>
      </c>
      <c r="K325" s="7"/>
      <c r="L325" s="7"/>
      <c r="M325" s="7"/>
      <c r="N325" s="7"/>
      <c r="O325" s="7"/>
      <c r="Q325" s="7"/>
      <c r="S325" s="7">
        <v>0</v>
      </c>
      <c r="U325" s="89">
        <v>77335463</v>
      </c>
      <c r="V325" s="89">
        <v>64251216</v>
      </c>
      <c r="W325" s="7">
        <v>61280156</v>
      </c>
      <c r="X325" s="7">
        <v>65559466</v>
      </c>
    </row>
    <row r="326" spans="2:25" ht="15" customHeight="1">
      <c r="B326" s="980" t="s">
        <v>378</v>
      </c>
      <c r="C326" s="980" t="s">
        <v>415</v>
      </c>
      <c r="E326" s="468" t="s">
        <v>237</v>
      </c>
      <c r="F326" s="126" t="s">
        <v>267</v>
      </c>
      <c r="G326" s="980" t="str">
        <f t="shared" si="348"/>
        <v>card_credit__VDS_adjust_minus_fee</v>
      </c>
      <c r="I326" s="1057" t="s">
        <v>227</v>
      </c>
      <c r="J326" s="7">
        <f t="shared" si="322"/>
        <v>5608599460</v>
      </c>
      <c r="K326" s="7">
        <v>96658062</v>
      </c>
      <c r="L326" s="7">
        <f>121796570+12487210</f>
        <v>134283780</v>
      </c>
      <c r="M326" s="7">
        <v>134061179</v>
      </c>
      <c r="N326" s="7">
        <v>173057270</v>
      </c>
      <c r="O326" s="7">
        <v>193900387</v>
      </c>
      <c r="P326" s="7">
        <v>427196433</v>
      </c>
      <c r="Q326" s="7">
        <v>240864426</v>
      </c>
      <c r="R326" s="7">
        <v>336786775</v>
      </c>
      <c r="S326" s="7">
        <v>656375394</v>
      </c>
      <c r="T326" s="7">
        <v>683382240</v>
      </c>
      <c r="U326" s="7">
        <v>692201683</v>
      </c>
      <c r="V326" s="7">
        <v>609787700</v>
      </c>
      <c r="W326" s="7">
        <v>738949190</v>
      </c>
      <c r="X326" s="7">
        <v>722036783</v>
      </c>
    </row>
    <row r="327" spans="2:25" ht="15" customHeight="1">
      <c r="B327" s="980" t="s">
        <v>378</v>
      </c>
      <c r="C327" s="980" t="s">
        <v>415</v>
      </c>
      <c r="E327" s="468" t="s">
        <v>237</v>
      </c>
      <c r="F327" s="126" t="s">
        <v>268</v>
      </c>
      <c r="G327" s="980" t="str">
        <f t="shared" si="348"/>
        <v>card_credit__VDS_adjust_bonus_fee</v>
      </c>
      <c r="I327" s="1057" t="s">
        <v>228</v>
      </c>
      <c r="J327" s="7">
        <f t="shared" si="322"/>
        <v>5020846457</v>
      </c>
      <c r="K327" s="7">
        <v>81941506</v>
      </c>
      <c r="L327" s="7">
        <v>96658062</v>
      </c>
      <c r="M327" s="7">
        <f>121796570+12487210</f>
        <v>134283780</v>
      </c>
      <c r="N327" s="7">
        <v>134061179</v>
      </c>
      <c r="O327" s="7">
        <v>173057270</v>
      </c>
      <c r="P327" s="7">
        <v>193900387</v>
      </c>
      <c r="Q327" s="7">
        <v>427196433</v>
      </c>
      <c r="R327" s="7">
        <v>240864426</v>
      </c>
      <c r="S327" s="7">
        <v>336786775</v>
      </c>
      <c r="T327" s="7">
        <v>656375394</v>
      </c>
      <c r="U327" s="7">
        <v>683382240</v>
      </c>
      <c r="V327" s="7">
        <v>692201683</v>
      </c>
      <c r="W327" s="7">
        <v>609787700</v>
      </c>
      <c r="X327" s="7">
        <v>738949190</v>
      </c>
      <c r="Y327" s="34"/>
    </row>
    <row r="328" spans="2:25" ht="15" customHeight="1">
      <c r="B328" s="980" t="s">
        <v>378</v>
      </c>
      <c r="C328" s="980" t="s">
        <v>415</v>
      </c>
      <c r="E328" s="468" t="s">
        <v>237</v>
      </c>
      <c r="F328" s="230" t="s">
        <v>361</v>
      </c>
      <c r="G328" s="980" t="str">
        <f t="shared" si="348"/>
        <v>card_credit__VDS_other_income_fee</v>
      </c>
      <c r="I328" s="1057" t="s">
        <v>226</v>
      </c>
      <c r="J328" s="7">
        <f t="shared" si="322"/>
        <v>0</v>
      </c>
      <c r="K328" s="7"/>
      <c r="L328" s="7"/>
      <c r="M328" s="7"/>
      <c r="N328" s="7"/>
      <c r="O328" s="7"/>
      <c r="Q328" s="7"/>
    </row>
    <row r="329" spans="2:25" ht="15" customHeight="1">
      <c r="B329" s="980" t="s">
        <v>378</v>
      </c>
      <c r="C329" s="980" t="s">
        <v>415</v>
      </c>
      <c r="E329" s="468" t="s">
        <v>237</v>
      </c>
      <c r="F329" s="230" t="s">
        <v>362</v>
      </c>
      <c r="G329" s="980" t="str">
        <f t="shared" si="348"/>
        <v>card_credit__VDS_fee_expenses</v>
      </c>
      <c r="I329" s="1073" t="s">
        <v>295</v>
      </c>
      <c r="J329" s="7">
        <f t="shared" si="322"/>
        <v>1181925442.9875515</v>
      </c>
      <c r="K329" s="47">
        <f>SUM(K330:K333)</f>
        <v>73656423.873364434</v>
      </c>
      <c r="L329" s="47">
        <f t="shared" ref="L329:R329" si="349">SUM(L330:L333)</f>
        <v>77588088.696896255</v>
      </c>
      <c r="M329" s="47">
        <f t="shared" si="349"/>
        <v>102147653.41287529</v>
      </c>
      <c r="N329" s="47">
        <f t="shared" si="349"/>
        <v>100257690.94319187</v>
      </c>
      <c r="O329" s="47">
        <f t="shared" si="349"/>
        <v>116395318.51417476</v>
      </c>
      <c r="P329" s="47">
        <f t="shared" si="349"/>
        <v>89979555.382928386</v>
      </c>
      <c r="Q329" s="47">
        <f t="shared" si="349"/>
        <v>87560641.215447679</v>
      </c>
      <c r="R329" s="47">
        <f t="shared" si="349"/>
        <v>45142424.224389158</v>
      </c>
      <c r="S329" s="47">
        <f t="shared" ref="S329:X329" si="350">SUM(S330:S333)</f>
        <v>84349991.708861798</v>
      </c>
      <c r="T329" s="47">
        <f t="shared" si="350"/>
        <v>96455039.243593767</v>
      </c>
      <c r="U329" s="47">
        <f t="shared" si="350"/>
        <v>113811738.06953216</v>
      </c>
      <c r="V329" s="47">
        <f t="shared" si="350"/>
        <v>115837564.53187892</v>
      </c>
      <c r="W329" s="47">
        <f t="shared" si="350"/>
        <v>117393705.35267171</v>
      </c>
      <c r="X329" s="47">
        <f t="shared" si="350"/>
        <v>112594120.38800579</v>
      </c>
    </row>
    <row r="330" spans="2:25" ht="15" customHeight="1">
      <c r="B330" s="980" t="s">
        <v>378</v>
      </c>
      <c r="C330" s="980" t="s">
        <v>415</v>
      </c>
      <c r="D330" s="230"/>
      <c r="E330" s="468" t="s">
        <v>237</v>
      </c>
      <c r="F330" s="230" t="s">
        <v>410</v>
      </c>
      <c r="G330" s="980" t="str">
        <f t="shared" si="348"/>
        <v>card_credit__VDS_BPC_fee</v>
      </c>
      <c r="I330" s="1057" t="s">
        <v>411</v>
      </c>
      <c r="J330" s="7">
        <f t="shared" si="322"/>
        <v>185909599.28759792</v>
      </c>
      <c r="K330" s="7">
        <v>27707454.70608712</v>
      </c>
      <c r="L330" s="7">
        <v>27479347.797632691</v>
      </c>
      <c r="M330" s="7">
        <f t="shared" ref="M330:R330" si="351">M296/M106*M144</f>
        <v>34257823.240111485</v>
      </c>
      <c r="N330" s="7">
        <f t="shared" si="351"/>
        <v>31512883.00346487</v>
      </c>
      <c r="O330" s="7">
        <f t="shared" si="351"/>
        <v>34823505.317992575</v>
      </c>
      <c r="P330" s="7">
        <f t="shared" si="351"/>
        <v>22358635.196173612</v>
      </c>
      <c r="Q330" s="7">
        <f t="shared" si="351"/>
        <v>3456311.6175759523</v>
      </c>
      <c r="R330" s="7">
        <f t="shared" si="351"/>
        <v>3662416.2291997201</v>
      </c>
      <c r="S330" s="7">
        <f>S296/S106*S144</f>
        <v>3360988.2696450846</v>
      </c>
      <c r="T330" s="7">
        <f t="shared" ref="T330:V330" si="352">T296/T106*T144</f>
        <v>14618790.378339225</v>
      </c>
      <c r="U330" s="7">
        <f t="shared" si="352"/>
        <v>15842143.306785323</v>
      </c>
      <c r="V330" s="7">
        <f t="shared" si="352"/>
        <v>16013518.643841952</v>
      </c>
      <c r="W330" s="7">
        <f t="shared" ref="W330:X330" si="353">W296/W106*W144</f>
        <v>6002584.0844681328</v>
      </c>
      <c r="X330" s="7">
        <f t="shared" si="353"/>
        <v>0</v>
      </c>
    </row>
    <row r="331" spans="2:25" ht="15" customHeight="1">
      <c r="B331" s="980" t="s">
        <v>378</v>
      </c>
      <c r="C331" s="980" t="s">
        <v>415</v>
      </c>
      <c r="D331" s="230"/>
      <c r="E331" s="468" t="s">
        <v>237</v>
      </c>
      <c r="F331" s="230" t="s">
        <v>412</v>
      </c>
      <c r="G331" s="980" t="str">
        <f t="shared" si="348"/>
        <v>card_credit__VDS_visa_fee</v>
      </c>
      <c r="I331" s="1057" t="s">
        <v>413</v>
      </c>
      <c r="J331" s="7">
        <f t="shared" si="322"/>
        <v>552517670.33395422</v>
      </c>
      <c r="K331" s="7">
        <v>13463156.54727741</v>
      </c>
      <c r="L331" s="7">
        <v>19328327.785263557</v>
      </c>
      <c r="M331" s="7">
        <f t="shared" ref="M331:R331" si="354">M296/M106*M145</f>
        <v>38695705.636763901</v>
      </c>
      <c r="N331" s="7">
        <f t="shared" si="354"/>
        <v>39119142.057727106</v>
      </c>
      <c r="O331" s="7">
        <f t="shared" si="354"/>
        <v>47108569.256182179</v>
      </c>
      <c r="P331" s="7">
        <f t="shared" si="354"/>
        <v>40190791.816754974</v>
      </c>
      <c r="Q331" s="7">
        <f t="shared" si="354"/>
        <v>38791947.067871831</v>
      </c>
      <c r="R331" s="7">
        <f t="shared" si="354"/>
        <v>41480007.995189436</v>
      </c>
      <c r="S331" s="7">
        <f t="shared" ref="S331:X331" si="355">S296/S106*S145</f>
        <v>42675474.819216728</v>
      </c>
      <c r="T331" s="7">
        <f t="shared" si="355"/>
        <v>43522720.245254643</v>
      </c>
      <c r="U331" s="7">
        <f t="shared" si="355"/>
        <v>47820303.112747036</v>
      </c>
      <c r="V331" s="7">
        <f t="shared" si="355"/>
        <v>50571251.850037061</v>
      </c>
      <c r="W331" s="7">
        <f t="shared" si="355"/>
        <v>61592599.268203579</v>
      </c>
      <c r="X331" s="7">
        <f t="shared" si="355"/>
        <v>60949157.208005793</v>
      </c>
    </row>
    <row r="332" spans="2:25" ht="15" customHeight="1">
      <c r="B332" s="980" t="s">
        <v>378</v>
      </c>
      <c r="C332" s="980" t="s">
        <v>415</v>
      </c>
      <c r="E332" s="468" t="s">
        <v>237</v>
      </c>
      <c r="F332" s="230" t="s">
        <v>414</v>
      </c>
      <c r="G332" s="980" t="str">
        <f t="shared" si="306"/>
        <v>card_credit__VDS_cashback_fee</v>
      </c>
      <c r="I332" s="1057" t="s">
        <v>332</v>
      </c>
      <c r="J332" s="7">
        <f t="shared" si="322"/>
        <v>443498173.3659991</v>
      </c>
      <c r="K332" s="7">
        <v>32485812.6199999</v>
      </c>
      <c r="L332" s="7">
        <v>30780413.114</v>
      </c>
      <c r="M332" s="7">
        <v>29194124.535999902</v>
      </c>
      <c r="N332" s="7">
        <v>29625665.881999899</v>
      </c>
      <c r="O332" s="7">
        <v>34463243.939999998</v>
      </c>
      <c r="P332" s="7">
        <v>27430128.3699998</v>
      </c>
      <c r="Q332" s="7">
        <v>45312382.529999897</v>
      </c>
      <c r="R332" s="7"/>
      <c r="S332" s="7">
        <v>38313528.619999982</v>
      </c>
      <c r="T332" s="7">
        <v>38313528.6199999</v>
      </c>
      <c r="U332" s="7">
        <v>50149291.649999797</v>
      </c>
      <c r="V332" s="7">
        <v>49252794.037999913</v>
      </c>
      <c r="W332" s="7">
        <v>49798522</v>
      </c>
      <c r="X332" s="7">
        <v>51644963.179999992</v>
      </c>
    </row>
    <row r="333" spans="2:25" ht="15" customHeight="1">
      <c r="B333" s="980" t="s">
        <v>378</v>
      </c>
      <c r="C333" s="980" t="s">
        <v>415</v>
      </c>
      <c r="E333" s="468" t="s">
        <v>237</v>
      </c>
      <c r="F333" s="230" t="s">
        <v>372</v>
      </c>
      <c r="G333" s="980" t="str">
        <f t="shared" si="306"/>
        <v>card_credit__VDS_other_expense_fee</v>
      </c>
      <c r="I333" s="1057" t="s">
        <v>373</v>
      </c>
      <c r="J333" s="7">
        <f t="shared" si="322"/>
        <v>0</v>
      </c>
      <c r="K333" s="7"/>
      <c r="L333" s="7"/>
      <c r="M333" s="7"/>
      <c r="N333" s="7"/>
      <c r="O333" s="7"/>
      <c r="Q333" s="7"/>
    </row>
    <row r="334" spans="2:25" ht="15" customHeight="1">
      <c r="B334" s="980" t="s">
        <v>378</v>
      </c>
      <c r="C334" s="980" t="s">
        <v>415</v>
      </c>
      <c r="E334" s="468" t="s">
        <v>237</v>
      </c>
      <c r="F334" s="717" t="s">
        <v>269</v>
      </c>
      <c r="G334" s="980" t="str">
        <f t="shared" si="306"/>
        <v>card_credit__VDS_other_TOI</v>
      </c>
      <c r="I334" s="1074" t="s">
        <v>89</v>
      </c>
      <c r="J334" s="7">
        <f t="shared" si="322"/>
        <v>383116633</v>
      </c>
      <c r="K334" s="7"/>
      <c r="L334" s="7"/>
      <c r="M334" s="7"/>
      <c r="N334" s="7"/>
      <c r="O334" s="7">
        <v>12412332</v>
      </c>
      <c r="P334" s="7">
        <v>34584362</v>
      </c>
      <c r="Q334" s="7">
        <v>3357036</v>
      </c>
      <c r="R334" s="7">
        <v>47870784</v>
      </c>
      <c r="S334" s="89">
        <v>60280542</v>
      </c>
      <c r="T334" s="7">
        <v>15943496</v>
      </c>
      <c r="U334" s="89">
        <v>52956127</v>
      </c>
      <c r="V334" s="89">
        <v>34654757</v>
      </c>
      <c r="W334" s="89">
        <v>72769003</v>
      </c>
      <c r="X334" s="89">
        <v>48288194</v>
      </c>
    </row>
    <row r="335" spans="2:25" ht="15" customHeight="1">
      <c r="B335" s="980" t="s">
        <v>378</v>
      </c>
      <c r="C335" s="980" t="s">
        <v>415</v>
      </c>
      <c r="E335" s="468" t="s">
        <v>237</v>
      </c>
      <c r="F335" s="126" t="s">
        <v>270</v>
      </c>
      <c r="G335" s="980" t="str">
        <f>B335&amp;"_"&amp;C335&amp;"_"&amp;D335&amp;"_"&amp;E335&amp;"_"&amp;F335</f>
        <v>card_credit__VDS_provision</v>
      </c>
      <c r="I335" s="85" t="s">
        <v>136</v>
      </c>
      <c r="J335" s="7">
        <f t="shared" si="322"/>
        <v>15862872748</v>
      </c>
      <c r="K335" s="47">
        <v>395655729</v>
      </c>
      <c r="L335" s="47">
        <f>370710990+157074103</f>
        <v>527785093</v>
      </c>
      <c r="M335" s="4">
        <v>1211042614</v>
      </c>
      <c r="N335" s="47">
        <v>768422289</v>
      </c>
      <c r="O335" s="47">
        <f>944139307+205924087</f>
        <v>1150063394</v>
      </c>
      <c r="P335" s="81">
        <v>765980119</v>
      </c>
      <c r="Q335" s="81">
        <v>654335093</v>
      </c>
      <c r="R335" s="47">
        <f>1232139074+257908918</f>
        <v>1490047992</v>
      </c>
      <c r="S335" s="7">
        <v>774463719</v>
      </c>
      <c r="T335" s="7">
        <v>1576673766</v>
      </c>
      <c r="U335" s="7">
        <f>1378489902+297593175</f>
        <v>1676083077</v>
      </c>
      <c r="V335" s="7">
        <v>1518776736</v>
      </c>
      <c r="W335" s="7">
        <v>1790860113</v>
      </c>
      <c r="X335" s="7">
        <f>2135374559+350749277</f>
        <v>2486123836</v>
      </c>
    </row>
    <row r="336" spans="2:25" ht="15" customHeight="1">
      <c r="B336" s="980" t="s">
        <v>378</v>
      </c>
      <c r="C336" s="980" t="s">
        <v>415</v>
      </c>
      <c r="E336" s="468" t="s">
        <v>237</v>
      </c>
      <c r="F336" s="126" t="s">
        <v>271</v>
      </c>
      <c r="G336" s="980" t="str">
        <f t="shared" si="306"/>
        <v>card_credit__VDS_variable_cost</v>
      </c>
      <c r="I336" s="85" t="s">
        <v>229</v>
      </c>
      <c r="J336" s="7">
        <f t="shared" si="322"/>
        <v>3553550478.7112703</v>
      </c>
      <c r="K336" s="47">
        <f>SUM(K337:K346)</f>
        <v>135567414.66739777</v>
      </c>
      <c r="L336" s="47">
        <f t="shared" ref="L336:R336" si="356">SUM(L337:L346)</f>
        <v>120031816.95814191</v>
      </c>
      <c r="M336" s="47">
        <f t="shared" si="356"/>
        <v>117665320.51674385</v>
      </c>
      <c r="N336" s="47">
        <f t="shared" si="356"/>
        <v>112754951.98905312</v>
      </c>
      <c r="O336" s="47">
        <f t="shared" si="356"/>
        <v>241549857.25927466</v>
      </c>
      <c r="P336" s="47">
        <f t="shared" si="356"/>
        <v>364232557.34136909</v>
      </c>
      <c r="Q336" s="47">
        <f t="shared" si="356"/>
        <v>389305200.51108456</v>
      </c>
      <c r="R336" s="47">
        <f t="shared" si="356"/>
        <v>365318930.27287233</v>
      </c>
      <c r="S336" s="47">
        <f t="shared" ref="S336:X336" si="357">SUM(S337:S346)</f>
        <v>409787196.19843763</v>
      </c>
      <c r="T336" s="47">
        <f t="shared" si="357"/>
        <v>291573868.82313412</v>
      </c>
      <c r="U336" s="47">
        <f t="shared" si="357"/>
        <v>404136930.99922782</v>
      </c>
      <c r="V336" s="47">
        <f t="shared" si="357"/>
        <v>268529562.4156906</v>
      </c>
      <c r="W336" s="47">
        <f t="shared" si="357"/>
        <v>306694932.75278229</v>
      </c>
      <c r="X336" s="47">
        <f t="shared" si="357"/>
        <v>282001169.6316005</v>
      </c>
    </row>
    <row r="337" spans="2:24" ht="15" customHeight="1">
      <c r="B337" s="980" t="s">
        <v>378</v>
      </c>
      <c r="C337" s="980" t="s">
        <v>415</v>
      </c>
      <c r="E337" s="468" t="s">
        <v>237</v>
      </c>
      <c r="F337" s="126" t="s">
        <v>272</v>
      </c>
      <c r="G337" s="980" t="str">
        <f>B337&amp;"_"&amp;C337&amp;"_"&amp;D337&amp;"_"&amp;E337&amp;"_"&amp;F337</f>
        <v>card_credit__VDS_marketing_acquisition_cost</v>
      </c>
      <c r="I337" s="563" t="s">
        <v>230</v>
      </c>
      <c r="J337" s="7">
        <f t="shared" si="322"/>
        <v>0</v>
      </c>
      <c r="K337" s="7"/>
      <c r="N337" s="7"/>
      <c r="Q337" s="7"/>
      <c r="V337" s="7"/>
      <c r="W337" s="7"/>
      <c r="X337" s="7"/>
    </row>
    <row r="338" spans="2:24" ht="15" customHeight="1">
      <c r="B338" s="980" t="s">
        <v>378</v>
      </c>
      <c r="C338" s="980" t="s">
        <v>415</v>
      </c>
      <c r="E338" s="468" t="s">
        <v>237</v>
      </c>
      <c r="F338" s="126" t="s">
        <v>273</v>
      </c>
      <c r="G338" s="980" t="str">
        <f>B338&amp;"_"&amp;C338&amp;"_"&amp;D338&amp;"_"&amp;E338&amp;"_"&amp;F338</f>
        <v>card_credit__VDS_partner_acquisition_cost</v>
      </c>
      <c r="I338" s="563" t="s">
        <v>231</v>
      </c>
      <c r="J338" s="7">
        <f t="shared" si="322"/>
        <v>2331244650.5</v>
      </c>
      <c r="K338" s="7"/>
      <c r="L338" s="7"/>
      <c r="N338" s="7"/>
      <c r="O338" s="7">
        <v>123255614</v>
      </c>
      <c r="P338" s="7">
        <v>264777433.5</v>
      </c>
      <c r="Q338" s="7">
        <v>281594604.5</v>
      </c>
      <c r="R338" s="7">
        <v>284568493.5</v>
      </c>
      <c r="S338" s="7">
        <v>327744598</v>
      </c>
      <c r="T338" s="7">
        <v>190522460</v>
      </c>
      <c r="U338" s="7">
        <v>286696285</v>
      </c>
      <c r="V338" s="7">
        <v>155221698</v>
      </c>
      <c r="W338" s="7">
        <v>228613464</v>
      </c>
      <c r="X338" s="7">
        <v>188250000</v>
      </c>
    </row>
    <row r="339" spans="2:24" ht="15" customHeight="1">
      <c r="B339" s="980" t="s">
        <v>378</v>
      </c>
      <c r="C339" s="980" t="s">
        <v>415</v>
      </c>
      <c r="E339" s="468" t="s">
        <v>237</v>
      </c>
      <c r="F339" s="126" t="s">
        <v>274</v>
      </c>
      <c r="G339" s="980" t="str">
        <f t="shared" si="306"/>
        <v>card_credit__VDS_underwritting</v>
      </c>
      <c r="I339" s="563" t="s">
        <v>232</v>
      </c>
      <c r="J339" s="7">
        <f t="shared" si="322"/>
        <v>340585907.70122808</v>
      </c>
      <c r="K339" s="7">
        <v>58673051.888260677</v>
      </c>
      <c r="L339" s="7">
        <v>57246722.709042586</v>
      </c>
      <c r="M339" s="7">
        <v>52471124.455670178</v>
      </c>
      <c r="N339" s="7">
        <v>31566504.886141066</v>
      </c>
      <c r="O339" s="7">
        <v>28905732.727934308</v>
      </c>
      <c r="P339" s="7">
        <v>21243928.864123356</v>
      </c>
      <c r="Q339" s="7">
        <v>21080724.325892419</v>
      </c>
      <c r="R339" s="7">
        <v>22358352.708001435</v>
      </c>
      <c r="S339" s="7">
        <v>23145453.242758304</v>
      </c>
      <c r="T339" s="7">
        <v>29672817.296036482</v>
      </c>
      <c r="U339" s="7">
        <v>32268281.822328448</v>
      </c>
      <c r="V339" s="7">
        <v>25261657.79932617</v>
      </c>
      <c r="W339" s="7">
        <v>24984785.231135599</v>
      </c>
      <c r="X339" s="7">
        <v>27626544.341880344</v>
      </c>
    </row>
    <row r="340" spans="2:24" ht="15" customHeight="1">
      <c r="B340" s="980" t="s">
        <v>378</v>
      </c>
      <c r="C340" s="980" t="s">
        <v>415</v>
      </c>
      <c r="E340" s="468" t="s">
        <v>237</v>
      </c>
      <c r="F340" s="126" t="s">
        <v>275</v>
      </c>
      <c r="G340" s="980" t="str">
        <f>B340&amp;"_"&amp;C340&amp;"_"&amp;D340&amp;"_"&amp;E340&amp;"_"&amp;F340</f>
        <v>card_credit__VDS_e_contract</v>
      </c>
      <c r="I340" s="563" t="s">
        <v>233</v>
      </c>
      <c r="J340" s="7">
        <f t="shared" si="322"/>
        <v>3849520.7695453744</v>
      </c>
      <c r="K340" s="7">
        <v>301877.11947431305</v>
      </c>
      <c r="L340" s="7">
        <v>244957.52690927728</v>
      </c>
      <c r="M340">
        <v>196496.87474226803</v>
      </c>
      <c r="N340" s="7">
        <v>307844.43298969069</v>
      </c>
      <c r="O340" s="7">
        <v>375576.41562329885</v>
      </c>
      <c r="P340" s="7">
        <v>359493.90399999998</v>
      </c>
      <c r="Q340" s="7">
        <v>360735.86187845306</v>
      </c>
      <c r="R340" s="7">
        <v>383284.04228736187</v>
      </c>
      <c r="S340" s="7">
        <v>270519.91666666663</v>
      </c>
      <c r="T340" s="7">
        <v>299202.06913522381</v>
      </c>
      <c r="U340" s="7">
        <v>385443.06917755574</v>
      </c>
      <c r="V340" s="7">
        <v>354034.02832415421</v>
      </c>
      <c r="W340" s="7">
        <v>273907.16207502934</v>
      </c>
      <c r="X340" s="7">
        <v>282982.99264567223</v>
      </c>
    </row>
    <row r="341" spans="2:24" ht="15" customHeight="1">
      <c r="B341" s="980" t="s">
        <v>378</v>
      </c>
      <c r="C341" s="980" t="s">
        <v>415</v>
      </c>
      <c r="E341" s="468" t="s">
        <v>237</v>
      </c>
      <c r="F341" s="126" t="s">
        <v>276</v>
      </c>
      <c r="G341" s="980" t="str">
        <f>B341&amp;"_"&amp;C341&amp;"_"&amp;D341&amp;"_"&amp;E341&amp;"_"&amp;F341</f>
        <v>card_credit__VDS_nfc</v>
      </c>
      <c r="I341" s="563" t="s">
        <v>152</v>
      </c>
      <c r="J341" s="7">
        <f t="shared" si="322"/>
        <v>45738331.159107409</v>
      </c>
      <c r="K341" s="7"/>
      <c r="L341" s="7"/>
      <c r="M341" s="7">
        <v>2715961.7319587627</v>
      </c>
      <c r="N341" s="7">
        <v>3582567.719072165</v>
      </c>
      <c r="O341" s="7">
        <v>3996155.5035383776</v>
      </c>
      <c r="P341" s="7">
        <v>3705367.68</v>
      </c>
      <c r="Q341" s="7">
        <v>3638851.1602209946</v>
      </c>
      <c r="R341" s="7">
        <v>4177866.602594906</v>
      </c>
      <c r="S341" s="7">
        <v>3389820</v>
      </c>
      <c r="T341" s="7">
        <v>3633334.3238809467</v>
      </c>
      <c r="U341" s="7">
        <v>5124049.9000768643</v>
      </c>
      <c r="V341" s="7">
        <v>5543882.3603461841</v>
      </c>
      <c r="W341" s="7">
        <v>2343296.4478311841</v>
      </c>
      <c r="X341" s="7">
        <v>3887177.7295870259</v>
      </c>
    </row>
    <row r="342" spans="2:24" ht="15" customHeight="1">
      <c r="B342" s="980" t="s">
        <v>378</v>
      </c>
      <c r="C342" s="980" t="s">
        <v>415</v>
      </c>
      <c r="E342" s="468" t="s">
        <v>237</v>
      </c>
      <c r="F342" s="126" t="s">
        <v>387</v>
      </c>
      <c r="G342" s="980" t="str">
        <f>B342&amp;"_"&amp;C342&amp;"_"&amp;D342&amp;"_"&amp;E342&amp;"_"&amp;F342</f>
        <v>card_credit__VDS_mk</v>
      </c>
      <c r="I342" s="563" t="s">
        <v>388</v>
      </c>
      <c r="J342" s="7">
        <f t="shared" si="322"/>
        <v>260948873.87418404</v>
      </c>
      <c r="K342" s="7">
        <v>25120570.90909091</v>
      </c>
      <c r="L342" s="7">
        <v>16414720.076883649</v>
      </c>
      <c r="M342" s="7">
        <f t="shared" ref="M342:R342" si="358">M290/M100*M156</f>
        <v>11270116.422513492</v>
      </c>
      <c r="N342" s="7">
        <f t="shared" si="358"/>
        <v>22086265.238402061</v>
      </c>
      <c r="O342" s="7">
        <f t="shared" si="358"/>
        <v>20059206.974470396</v>
      </c>
      <c r="P342" s="7">
        <f t="shared" si="358"/>
        <v>20330663.068181816</v>
      </c>
      <c r="Q342" s="7">
        <f t="shared" si="358"/>
        <v>25040413.67403315</v>
      </c>
      <c r="R342" s="7">
        <f t="shared" si="358"/>
        <v>26184551.177318595</v>
      </c>
      <c r="S342" s="7">
        <f t="shared" ref="S342:X342" si="359">S290/S100*S156</f>
        <v>19625666.666666664</v>
      </c>
      <c r="T342" s="7">
        <f t="shared" si="359"/>
        <v>21855288.479009431</v>
      </c>
      <c r="U342" s="7">
        <f t="shared" si="359"/>
        <v>30846162.757878557</v>
      </c>
      <c r="V342" s="7">
        <f t="shared" si="359"/>
        <v>28057083.136637818</v>
      </c>
      <c r="W342" s="7">
        <f t="shared" si="359"/>
        <v>19174727.286049239</v>
      </c>
      <c r="X342" s="7">
        <f t="shared" si="359"/>
        <v>16418728.993022816</v>
      </c>
    </row>
    <row r="343" spans="2:24" ht="15" customHeight="1">
      <c r="B343" s="980" t="s">
        <v>378</v>
      </c>
      <c r="C343" s="980" t="s">
        <v>415</v>
      </c>
      <c r="E343" s="468" t="s">
        <v>237</v>
      </c>
      <c r="F343" s="126" t="s">
        <v>385</v>
      </c>
      <c r="G343" s="980" t="str">
        <f>B343&amp;"_"&amp;C343&amp;"_"&amp;D343&amp;"_"&amp;E343&amp;"_"&amp;F343</f>
        <v>card_credit__VDS_ems</v>
      </c>
      <c r="I343" s="563" t="s">
        <v>386</v>
      </c>
      <c r="J343" s="7">
        <f t="shared" si="322"/>
        <v>74817787.407282606</v>
      </c>
      <c r="K343" s="7">
        <v>7409628.9016363639</v>
      </c>
      <c r="L343" s="7">
        <v>5027546.0015376732</v>
      </c>
      <c r="M343" s="7">
        <f t="shared" ref="M343:R343" si="360">M290/M100*M157</f>
        <v>3143796.7848882037</v>
      </c>
      <c r="N343" s="7">
        <f t="shared" si="360"/>
        <v>6789665.3765750285</v>
      </c>
      <c r="O343" s="7">
        <f t="shared" si="360"/>
        <v>4949573.7686040197</v>
      </c>
      <c r="P343" s="7">
        <f t="shared" si="360"/>
        <v>5921394.2900568182</v>
      </c>
      <c r="Q343" s="7">
        <f t="shared" si="360"/>
        <v>6969570.9716850827</v>
      </c>
      <c r="R343" s="7">
        <f t="shared" si="360"/>
        <v>7249022.317155214</v>
      </c>
      <c r="S343" s="7">
        <f t="shared" ref="S343:X343" si="361">S290/S100*S157</f>
        <v>5427013.416666666</v>
      </c>
      <c r="T343" s="7">
        <f t="shared" si="361"/>
        <v>5961748.9063679241</v>
      </c>
      <c r="U343" s="7">
        <f t="shared" si="361"/>
        <v>8779021.166026134</v>
      </c>
      <c r="V343" s="7">
        <f t="shared" si="361"/>
        <v>8791778.1568318903</v>
      </c>
      <c r="W343" s="7">
        <f t="shared" si="361"/>
        <v>5428222.8898007041</v>
      </c>
      <c r="X343" s="7">
        <f t="shared" si="361"/>
        <v>5406979.3626249284</v>
      </c>
    </row>
    <row r="344" spans="2:24" ht="15" customHeight="1">
      <c r="B344" s="980" t="s">
        <v>378</v>
      </c>
      <c r="C344" s="980" t="s">
        <v>415</v>
      </c>
      <c r="E344" s="468" t="s">
        <v>237</v>
      </c>
      <c r="F344" s="126" t="s">
        <v>277</v>
      </c>
      <c r="G344" s="980" t="str">
        <f t="shared" si="306"/>
        <v>card_credit__VDS_collection</v>
      </c>
      <c r="I344" s="563" t="s">
        <v>234</v>
      </c>
      <c r="J344" s="7">
        <f t="shared" si="322"/>
        <v>348647629.06397682</v>
      </c>
      <c r="K344" s="7">
        <v>25057636.233754743</v>
      </c>
      <c r="L344" s="7">
        <v>34221705.387348168</v>
      </c>
      <c r="M344">
        <v>33363772.180474952</v>
      </c>
      <c r="N344" s="7">
        <v>40206539.716191888</v>
      </c>
      <c r="O344" s="7">
        <v>40018320.041940697</v>
      </c>
      <c r="P344" s="7">
        <v>43174483.500697523</v>
      </c>
      <c r="Q344" s="7">
        <v>43661354.966956571</v>
      </c>
      <c r="R344" s="7">
        <v>17128187.774583712</v>
      </c>
      <c r="S344" s="7">
        <v>26441352.393679626</v>
      </c>
      <c r="T344">
        <v>28754900.639760304</v>
      </c>
      <c r="U344" s="7">
        <v>35619997.280754089</v>
      </c>
      <c r="V344" s="7">
        <v>12034473.896916768</v>
      </c>
      <c r="W344" s="7">
        <v>15053748.031503821</v>
      </c>
      <c r="X344" s="7">
        <v>13190498.640516946</v>
      </c>
    </row>
    <row r="345" spans="2:24" ht="15" customHeight="1">
      <c r="B345" s="980" t="s">
        <v>378</v>
      </c>
      <c r="C345" s="980" t="s">
        <v>415</v>
      </c>
      <c r="E345" s="468" t="s">
        <v>237</v>
      </c>
      <c r="F345" s="126" t="s">
        <v>278</v>
      </c>
      <c r="G345" s="980" t="str">
        <f t="shared" ref="G345:G383" si="362">B345&amp;"_"&amp;C345&amp;"_"&amp;D345&amp;"_"&amp;E345&amp;"_"&amp;F345</f>
        <v>card_credit__VDS_promotion</v>
      </c>
      <c r="I345" s="563" t="s">
        <v>235</v>
      </c>
      <c r="J345" s="7">
        <f t="shared" si="322"/>
        <v>105286677.57983927</v>
      </c>
      <c r="K345" s="7">
        <v>14199724.855060535</v>
      </c>
      <c r="L345">
        <v>910529.8536288382</v>
      </c>
      <c r="M345" s="7">
        <v>8603470.587897867</v>
      </c>
      <c r="N345" s="7">
        <v>3231481.4755090182</v>
      </c>
      <c r="O345" s="7">
        <v>14718319.197218882</v>
      </c>
      <c r="P345" s="7">
        <v>466879.27538940124</v>
      </c>
      <c r="Q345" s="7">
        <v>4281458.6524166092</v>
      </c>
      <c r="R345" s="7">
        <v>866594.78820306039</v>
      </c>
      <c r="S345" s="7">
        <v>1164324.5541658816</v>
      </c>
      <c r="T345" s="7">
        <v>9921492.2728024535</v>
      </c>
      <c r="U345" s="7">
        <v>1764447.9381496215</v>
      </c>
      <c r="V345" s="7">
        <v>30441186.669668987</v>
      </c>
      <c r="W345" s="7">
        <v>5641802.0679130098</v>
      </c>
      <c r="X345" s="7">
        <v>24185220.100504491</v>
      </c>
    </row>
    <row r="346" spans="2:24" ht="15" customHeight="1">
      <c r="B346" s="980" t="s">
        <v>378</v>
      </c>
      <c r="C346" s="980" t="s">
        <v>415</v>
      </c>
      <c r="E346" s="468" t="s">
        <v>237</v>
      </c>
      <c r="F346" s="126" t="s">
        <v>279</v>
      </c>
      <c r="G346" s="980" t="str">
        <f t="shared" si="362"/>
        <v>card_credit__VDS_sms</v>
      </c>
      <c r="I346" s="563" t="s">
        <v>163</v>
      </c>
      <c r="J346" s="7">
        <f t="shared" si="322"/>
        <v>42431100.656106733</v>
      </c>
      <c r="K346" s="7">
        <v>4804924.7601202186</v>
      </c>
      <c r="L346" s="7">
        <v>5965635.4027916975</v>
      </c>
      <c r="M346">
        <v>5900581.4785981383</v>
      </c>
      <c r="N346" s="7">
        <v>4984083.1441722121</v>
      </c>
      <c r="O346">
        <v>5271358.6299446737</v>
      </c>
      <c r="P346" s="7">
        <v>4252913.2589201936</v>
      </c>
      <c r="Q346" s="7">
        <v>2677486.3980012271</v>
      </c>
      <c r="R346" s="7">
        <v>2402577.3627280602</v>
      </c>
      <c r="S346" s="7">
        <v>2578448.007833791</v>
      </c>
      <c r="T346" s="7">
        <v>952624.83614133578</v>
      </c>
      <c r="U346" s="7">
        <v>2653242.0648365566</v>
      </c>
      <c r="V346" s="7">
        <v>2823768.3676386098</v>
      </c>
      <c r="W346" s="7">
        <v>5180979.6364737386</v>
      </c>
      <c r="X346" s="7">
        <v>2753037.470818202</v>
      </c>
    </row>
    <row r="347" spans="2:24" ht="15" customHeight="1">
      <c r="B347" s="980" t="s">
        <v>378</v>
      </c>
      <c r="C347" s="980" t="s">
        <v>415</v>
      </c>
      <c r="E347" s="468" t="s">
        <v>237</v>
      </c>
      <c r="F347" s="126" t="s">
        <v>280</v>
      </c>
      <c r="G347" s="980" t="str">
        <f t="shared" si="362"/>
        <v>card_credit__VDS_profit_before_overhead</v>
      </c>
      <c r="I347" s="85" t="s">
        <v>236</v>
      </c>
      <c r="J347" s="7">
        <f t="shared" si="322"/>
        <v>732537003.13305223</v>
      </c>
      <c r="K347" s="47">
        <f>K311-K335-K336</f>
        <v>36505058.892258257</v>
      </c>
      <c r="L347" s="47">
        <f t="shared" ref="L347" si="363">L311-L335-L336</f>
        <v>-155971896.57417363</v>
      </c>
      <c r="M347" s="47">
        <f>M310-M335-M336</f>
        <v>-440763144.75932366</v>
      </c>
      <c r="N347" s="47">
        <f t="shared" ref="N347:R347" si="364">N310-N335-N336</f>
        <v>-190553643.34170258</v>
      </c>
      <c r="O347" s="47">
        <f t="shared" si="364"/>
        <v>-609381014.78708553</v>
      </c>
      <c r="P347" s="47">
        <f t="shared" si="364"/>
        <v>-61438594.771543205</v>
      </c>
      <c r="Q347" s="47">
        <f t="shared" si="364"/>
        <v>512315568.39358735</v>
      </c>
      <c r="R347" s="47">
        <f t="shared" si="364"/>
        <v>128883858.12742937</v>
      </c>
      <c r="S347" s="47">
        <f t="shared" ref="S347:X347" si="365">S310-S335-S336</f>
        <v>454523728.46582276</v>
      </c>
      <c r="T347" s="47">
        <f t="shared" si="365"/>
        <v>233926334.54622728</v>
      </c>
      <c r="U347" s="47">
        <f t="shared" si="365"/>
        <v>328700539.98717183</v>
      </c>
      <c r="V347" s="47">
        <f t="shared" si="365"/>
        <v>622993325.81214499</v>
      </c>
      <c r="W347" s="47">
        <f t="shared" si="365"/>
        <v>264637214.61348683</v>
      </c>
      <c r="X347" s="47">
        <f t="shared" si="365"/>
        <v>-511307169.15316308</v>
      </c>
    </row>
    <row r="348" spans="2:24" ht="15" customHeight="1">
      <c r="E348" s="468"/>
      <c r="F348" s="126"/>
      <c r="I348" s="85"/>
      <c r="J348" s="7"/>
      <c r="K348" s="7"/>
      <c r="L348" s="7"/>
      <c r="M348" s="7"/>
      <c r="N348" s="7"/>
      <c r="O348" s="7"/>
      <c r="Q348" s="7"/>
    </row>
    <row r="349" spans="2:24" ht="15" customHeight="1">
      <c r="B349" s="980" t="s">
        <v>378</v>
      </c>
      <c r="C349" s="980" t="s">
        <v>415</v>
      </c>
      <c r="E349" s="468" t="s">
        <v>431</v>
      </c>
      <c r="G349" s="980" t="str">
        <f t="shared" si="362"/>
        <v>card_credit__VieON_</v>
      </c>
      <c r="I349" s="82" t="s">
        <v>432</v>
      </c>
      <c r="K349" s="7"/>
      <c r="N349" s="7"/>
    </row>
    <row r="350" spans="2:24" ht="15" customHeight="1">
      <c r="B350" s="980" t="s">
        <v>378</v>
      </c>
      <c r="C350" s="980" t="s">
        <v>415</v>
      </c>
      <c r="E350" s="468" t="s">
        <v>431</v>
      </c>
      <c r="F350" s="126" t="s">
        <v>239</v>
      </c>
      <c r="G350" s="980" t="str">
        <f t="shared" si="362"/>
        <v>card_credit__VieON_new_account</v>
      </c>
      <c r="I350" s="1052" t="s">
        <v>416</v>
      </c>
      <c r="K350" s="7">
        <v>90</v>
      </c>
      <c r="L350" s="7">
        <v>115</v>
      </c>
      <c r="M350">
        <v>89</v>
      </c>
      <c r="N350" s="7">
        <v>71</v>
      </c>
      <c r="O350" s="7">
        <v>94</v>
      </c>
      <c r="P350" s="7">
        <v>10</v>
      </c>
      <c r="Q350">
        <v>91</v>
      </c>
      <c r="R350">
        <v>81</v>
      </c>
      <c r="S350">
        <v>76</v>
      </c>
      <c r="T350" s="7">
        <v>72</v>
      </c>
      <c r="U350" s="7">
        <v>57</v>
      </c>
      <c r="V350">
        <v>42</v>
      </c>
      <c r="W350">
        <v>52</v>
      </c>
      <c r="X350" s="7">
        <v>28</v>
      </c>
    </row>
    <row r="351" spans="2:24" ht="15" customHeight="1">
      <c r="B351" s="980" t="s">
        <v>378</v>
      </c>
      <c r="C351" s="980" t="s">
        <v>415</v>
      </c>
      <c r="E351" s="468" t="s">
        <v>431</v>
      </c>
      <c r="F351" s="126" t="s">
        <v>240</v>
      </c>
      <c r="G351" s="980" t="str">
        <f t="shared" si="362"/>
        <v>card_credit__VieON_accum_account</v>
      </c>
      <c r="I351" s="1052" t="s">
        <v>417</v>
      </c>
      <c r="K351" s="7">
        <v>1186</v>
      </c>
      <c r="L351" s="34">
        <v>1301</v>
      </c>
      <c r="M351" s="34">
        <v>1390</v>
      </c>
      <c r="N351" s="7">
        <v>1461</v>
      </c>
      <c r="O351" s="34">
        <f>N351+O350</f>
        <v>1555</v>
      </c>
      <c r="P351" s="7">
        <v>1565</v>
      </c>
      <c r="Q351" s="34">
        <f t="shared" ref="Q351:W351" si="366">P351+Q350</f>
        <v>1656</v>
      </c>
      <c r="R351" s="34">
        <f t="shared" si="366"/>
        <v>1737</v>
      </c>
      <c r="S351" s="34">
        <f t="shared" si="366"/>
        <v>1813</v>
      </c>
      <c r="T351" s="34">
        <f t="shared" si="366"/>
        <v>1885</v>
      </c>
      <c r="U351" s="34">
        <f t="shared" si="366"/>
        <v>1942</v>
      </c>
      <c r="V351" s="34">
        <f t="shared" si="366"/>
        <v>1984</v>
      </c>
      <c r="W351" s="34">
        <f t="shared" si="366"/>
        <v>2036</v>
      </c>
      <c r="X351" s="7">
        <f>W351+X350</f>
        <v>2064</v>
      </c>
    </row>
    <row r="352" spans="2:24" ht="15" customHeight="1">
      <c r="B352" s="980" t="s">
        <v>378</v>
      </c>
      <c r="C352" s="980" t="s">
        <v>415</v>
      </c>
      <c r="E352" s="468" t="s">
        <v>431</v>
      </c>
      <c r="F352" s="126" t="s">
        <v>241</v>
      </c>
      <c r="G352" s="980" t="str">
        <f>B352&amp;"_"&amp;C352&amp;"_"&amp;D352&amp;"_"&amp;E352&amp;"_"&amp;F352</f>
        <v>card_credit__VieON_active_account</v>
      </c>
      <c r="I352" s="1052" t="s">
        <v>418</v>
      </c>
      <c r="K352" s="7">
        <v>930</v>
      </c>
      <c r="L352">
        <v>1003</v>
      </c>
      <c r="M352">
        <v>1039</v>
      </c>
      <c r="N352" s="7">
        <v>1056</v>
      </c>
      <c r="O352">
        <v>1117</v>
      </c>
      <c r="P352" s="7">
        <v>1080</v>
      </c>
      <c r="Q352">
        <v>1085</v>
      </c>
      <c r="R352">
        <v>1051</v>
      </c>
      <c r="S352">
        <v>947</v>
      </c>
      <c r="T352">
        <v>990</v>
      </c>
      <c r="U352" s="7">
        <v>989</v>
      </c>
      <c r="V352" s="7">
        <v>987</v>
      </c>
      <c r="W352" s="7">
        <v>986</v>
      </c>
      <c r="X352" s="7">
        <v>998</v>
      </c>
    </row>
    <row r="353" spans="2:24" ht="15" customHeight="1">
      <c r="B353" s="980" t="s">
        <v>378</v>
      </c>
      <c r="C353" s="980" t="s">
        <v>415</v>
      </c>
      <c r="E353" s="468" t="s">
        <v>431</v>
      </c>
      <c r="G353" s="980" t="str">
        <f>B353&amp;"_"&amp;C353&amp;"_"&amp;D353&amp;"_"&amp;E353&amp;"_"&amp;F353</f>
        <v>card_credit__VieON_</v>
      </c>
      <c r="I353" s="1052" t="s">
        <v>419</v>
      </c>
      <c r="K353" s="42">
        <f t="shared" ref="K353:Q353" si="367">K352/K351</f>
        <v>0.78414839797639124</v>
      </c>
      <c r="L353" s="42">
        <f t="shared" si="367"/>
        <v>0.77094542659492693</v>
      </c>
      <c r="M353" s="42">
        <f t="shared" si="367"/>
        <v>0.74748201438848916</v>
      </c>
      <c r="N353" s="42">
        <f t="shared" si="367"/>
        <v>0.7227926078028748</v>
      </c>
      <c r="O353" s="42">
        <f t="shared" si="367"/>
        <v>0.71832797427652728</v>
      </c>
      <c r="P353" s="42">
        <f t="shared" si="367"/>
        <v>0.69009584664536738</v>
      </c>
      <c r="Q353" s="42">
        <f t="shared" si="367"/>
        <v>0.65519323671497587</v>
      </c>
      <c r="R353" s="42">
        <f t="shared" ref="R353" si="368">R352/R351</f>
        <v>0.60506620610247552</v>
      </c>
      <c r="S353" s="42">
        <f t="shared" ref="S353:X353" si="369">S352/S351</f>
        <v>0.52233866519580807</v>
      </c>
      <c r="T353" s="42">
        <f t="shared" si="369"/>
        <v>0.5251989389920424</v>
      </c>
      <c r="U353" s="42">
        <f t="shared" si="369"/>
        <v>0.50926879505664269</v>
      </c>
      <c r="V353" s="42">
        <f t="shared" si="369"/>
        <v>0.49747983870967744</v>
      </c>
      <c r="W353" s="42">
        <f t="shared" si="369"/>
        <v>0.48428290766208254</v>
      </c>
      <c r="X353" s="42">
        <f t="shared" si="369"/>
        <v>0.48352713178294576</v>
      </c>
    </row>
    <row r="354" spans="2:24" ht="15" customHeight="1">
      <c r="B354" s="980" t="s">
        <v>378</v>
      </c>
      <c r="C354" s="980" t="s">
        <v>415</v>
      </c>
      <c r="E354" s="468" t="s">
        <v>431</v>
      </c>
      <c r="G354" s="980" t="str">
        <f t="shared" si="362"/>
        <v>card_credit__VieON_</v>
      </c>
      <c r="I354" s="1052" t="s">
        <v>420</v>
      </c>
      <c r="K354" s="89">
        <f t="shared" ref="K354:Q354" si="370">K356/K351</f>
        <v>4720607.0826306911</v>
      </c>
      <c r="L354" s="89">
        <f t="shared" si="370"/>
        <v>5541529.592621061</v>
      </c>
      <c r="M354" s="89">
        <f t="shared" si="370"/>
        <v>5456863.1446043169</v>
      </c>
      <c r="N354" s="89">
        <f t="shared" si="370"/>
        <v>4585708.0746064335</v>
      </c>
      <c r="O354" s="89">
        <f t="shared" si="370"/>
        <v>6361671.0810289392</v>
      </c>
      <c r="P354" s="7">
        <f t="shared" si="370"/>
        <v>6323424.5476038335</v>
      </c>
      <c r="Q354" s="7">
        <f t="shared" si="370"/>
        <v>5833315.2747584544</v>
      </c>
      <c r="R354" s="7">
        <f t="shared" ref="R354" si="371">R356/R351</f>
        <v>6054251.8059873329</v>
      </c>
      <c r="S354" s="7">
        <f t="shared" ref="S354:X354" si="372">S356/S351</f>
        <v>6735025.4655267512</v>
      </c>
      <c r="T354" s="7">
        <f t="shared" si="372"/>
        <v>7608461.3920424404</v>
      </c>
      <c r="U354" s="7">
        <f t="shared" si="372"/>
        <v>6587842.894953656</v>
      </c>
      <c r="V354" s="7">
        <f t="shared" si="372"/>
        <v>7000182.3961693551</v>
      </c>
      <c r="W354" s="7">
        <f t="shared" si="372"/>
        <v>6356925.2686640471</v>
      </c>
      <c r="X354" s="7">
        <f t="shared" si="372"/>
        <v>8532860.7403100766</v>
      </c>
    </row>
    <row r="355" spans="2:24" ht="15" customHeight="1">
      <c r="B355" s="980" t="s">
        <v>378</v>
      </c>
      <c r="C355" s="980" t="s">
        <v>415</v>
      </c>
      <c r="E355" s="468" t="s">
        <v>431</v>
      </c>
      <c r="G355" s="980" t="str">
        <f t="shared" si="362"/>
        <v>card_credit__VieON_</v>
      </c>
      <c r="I355" s="1052" t="s">
        <v>421</v>
      </c>
      <c r="K355" s="89">
        <f t="shared" ref="K355:Q355" si="373">K356/K352</f>
        <v>6020043.0107526882</v>
      </c>
      <c r="L355" s="89">
        <f t="shared" si="373"/>
        <v>7187966.1016949154</v>
      </c>
      <c r="M355" s="89">
        <f t="shared" si="373"/>
        <v>7300327.0173243508</v>
      </c>
      <c r="N355" s="89">
        <f t="shared" si="373"/>
        <v>6344431.3418560605</v>
      </c>
      <c r="O355" s="89">
        <f t="shared" si="373"/>
        <v>8856220.7081468217</v>
      </c>
      <c r="P355" s="7">
        <f t="shared" si="373"/>
        <v>9163110.571296297</v>
      </c>
      <c r="Q355" s="7">
        <f t="shared" si="373"/>
        <v>8903198.244239632</v>
      </c>
      <c r="R355" s="7">
        <f t="shared" ref="R355" si="374">R356/R352</f>
        <v>10005932.813510939</v>
      </c>
      <c r="S355" s="7">
        <f t="shared" ref="S355:X355" si="375">S356/S352</f>
        <v>12893982.227032734</v>
      </c>
      <c r="T355" s="7">
        <f t="shared" si="375"/>
        <v>14486817.903030302</v>
      </c>
      <c r="U355" s="7">
        <f t="shared" si="375"/>
        <v>12935885.644084934</v>
      </c>
      <c r="V355" s="7">
        <f t="shared" si="375"/>
        <v>14071288.626139818</v>
      </c>
      <c r="W355" s="7">
        <f t="shared" si="375"/>
        <v>13126470.433062881</v>
      </c>
      <c r="X355" s="7">
        <f t="shared" si="375"/>
        <v>17647118.805611223</v>
      </c>
    </row>
    <row r="356" spans="2:24" ht="15" customHeight="1">
      <c r="B356" s="980" t="s">
        <v>378</v>
      </c>
      <c r="C356" s="980" t="s">
        <v>415</v>
      </c>
      <c r="E356" s="468" t="s">
        <v>431</v>
      </c>
      <c r="F356" s="126" t="s">
        <v>242</v>
      </c>
      <c r="G356" s="980" t="str">
        <f>B356&amp;"_"&amp;C356&amp;"_"&amp;D356&amp;"_"&amp;E356&amp;"_"&amp;F356</f>
        <v>card_credit__VieON_disburse/spend</v>
      </c>
      <c r="I356" s="1052" t="s">
        <v>199</v>
      </c>
      <c r="J356" s="34">
        <f>SUM(M356:X356)</f>
        <v>138038550782</v>
      </c>
      <c r="K356" s="7">
        <v>5598640000</v>
      </c>
      <c r="L356" s="7">
        <v>7209530000</v>
      </c>
      <c r="M356" s="7">
        <v>7585039771</v>
      </c>
      <c r="N356" s="7">
        <v>6699719497</v>
      </c>
      <c r="O356" s="7">
        <v>9892398531</v>
      </c>
      <c r="P356" s="7">
        <v>9896159417</v>
      </c>
      <c r="Q356" s="7">
        <v>9659970095</v>
      </c>
      <c r="R356" s="7">
        <v>10516235386.999998</v>
      </c>
      <c r="S356" s="7">
        <v>12210601169</v>
      </c>
      <c r="T356" s="7">
        <v>14341949724</v>
      </c>
      <c r="U356" s="7">
        <v>12793590902</v>
      </c>
      <c r="V356" s="7">
        <v>13888361874</v>
      </c>
      <c r="W356" s="7">
        <v>12942699847</v>
      </c>
      <c r="X356" s="7">
        <v>17611824568</v>
      </c>
    </row>
    <row r="357" spans="2:24" ht="15" customHeight="1">
      <c r="B357" s="980" t="s">
        <v>378</v>
      </c>
      <c r="C357" s="980" t="s">
        <v>415</v>
      </c>
      <c r="E357" s="468" t="s">
        <v>431</v>
      </c>
      <c r="F357" s="126" t="s">
        <v>243</v>
      </c>
      <c r="G357" s="980" t="str">
        <f>B357&amp;"_"&amp;C357&amp;"_"&amp;D357&amp;"_"&amp;E357&amp;"_"&amp;F357</f>
        <v>card_credit__VieON_ENR</v>
      </c>
      <c r="I357" s="1052" t="s">
        <v>200</v>
      </c>
      <c r="K357" s="7">
        <v>8662476726</v>
      </c>
      <c r="L357" s="7">
        <v>9503237906</v>
      </c>
      <c r="M357" s="7">
        <v>11284957130</v>
      </c>
      <c r="N357" s="7">
        <v>11844842148</v>
      </c>
      <c r="O357" s="7">
        <v>13622974355</v>
      </c>
      <c r="P357" s="7">
        <v>14610442214</v>
      </c>
      <c r="Q357" s="7">
        <v>15787628812</v>
      </c>
      <c r="R357" s="7">
        <v>15962887796</v>
      </c>
      <c r="S357" s="7">
        <v>17919039158</v>
      </c>
      <c r="T357" s="7">
        <v>19896494925</v>
      </c>
      <c r="U357" s="7">
        <v>20816302910</v>
      </c>
      <c r="V357" s="7">
        <v>21849298129</v>
      </c>
      <c r="W357" s="7">
        <v>22951475765</v>
      </c>
      <c r="X357" s="7">
        <v>22629619226</v>
      </c>
    </row>
    <row r="358" spans="2:24" ht="15" customHeight="1">
      <c r="B358" s="980" t="s">
        <v>378</v>
      </c>
      <c r="C358" s="980" t="s">
        <v>415</v>
      </c>
      <c r="E358" s="468" t="s">
        <v>431</v>
      </c>
      <c r="F358" s="126" t="s">
        <v>244</v>
      </c>
      <c r="G358" s="980" t="str">
        <f t="shared" ref="G358:G367" si="376">B358&amp;"_"&amp;C358&amp;"_"&amp;D358&amp;"_"&amp;E358&amp;"_"&amp;F358</f>
        <v>card_credit__VieON_nonEMI_ENR</v>
      </c>
      <c r="I358" s="1072" t="s">
        <v>201</v>
      </c>
      <c r="K358" s="7"/>
      <c r="L358" s="7"/>
      <c r="M358" s="7"/>
      <c r="N358" s="7"/>
      <c r="O358" s="7"/>
      <c r="Q358" s="7"/>
      <c r="T358" s="34">
        <f>T357-T359</f>
        <v>19476986439</v>
      </c>
      <c r="U358" s="34">
        <f>U357-U359</f>
        <v>19672290999</v>
      </c>
      <c r="V358" s="34">
        <f>V357-V359</f>
        <v>20519313973</v>
      </c>
      <c r="W358" s="34">
        <f>W357-W359</f>
        <v>21583028900</v>
      </c>
      <c r="X358" s="34">
        <f>X357-X359</f>
        <v>21057835231</v>
      </c>
    </row>
    <row r="359" spans="2:24" ht="15" customHeight="1">
      <c r="B359" s="980" t="s">
        <v>378</v>
      </c>
      <c r="C359" s="980" t="s">
        <v>415</v>
      </c>
      <c r="E359" s="468" t="s">
        <v>431</v>
      </c>
      <c r="F359" s="126" t="s">
        <v>245</v>
      </c>
      <c r="G359" s="980" t="str">
        <f t="shared" si="376"/>
        <v>card_credit__VieON_EMI_ENR</v>
      </c>
      <c r="I359" s="1072" t="s">
        <v>202</v>
      </c>
      <c r="K359" s="7"/>
      <c r="L359" s="7"/>
      <c r="M359" s="7"/>
      <c r="N359" s="7"/>
      <c r="O359" s="7"/>
      <c r="Q359" s="7"/>
      <c r="T359" s="7">
        <v>419508486</v>
      </c>
      <c r="U359" s="7">
        <v>1144011911</v>
      </c>
      <c r="V359" s="7">
        <v>1329984156</v>
      </c>
      <c r="W359" s="7">
        <v>1368446865</v>
      </c>
      <c r="X359" s="7">
        <v>1571783995</v>
      </c>
    </row>
    <row r="360" spans="2:24" ht="15" customHeight="1">
      <c r="B360" s="980" t="s">
        <v>378</v>
      </c>
      <c r="C360" s="980" t="s">
        <v>415</v>
      </c>
      <c r="E360" s="468" t="s">
        <v>431</v>
      </c>
      <c r="F360" s="126" t="s">
        <v>246</v>
      </c>
      <c r="G360" s="980" t="str">
        <f t="shared" si="376"/>
        <v>card_credit__VieON_revolving_ENR</v>
      </c>
      <c r="I360" s="1052" t="s">
        <v>203</v>
      </c>
      <c r="K360" s="7">
        <v>4201000000</v>
      </c>
      <c r="L360" s="7">
        <v>4704000000</v>
      </c>
      <c r="M360" s="7">
        <v>5268000000</v>
      </c>
      <c r="N360" s="7">
        <v>5620000000</v>
      </c>
      <c r="O360" s="7">
        <v>5996149989</v>
      </c>
      <c r="P360" s="7">
        <v>6208756185</v>
      </c>
      <c r="Q360" s="7">
        <v>7105174404</v>
      </c>
      <c r="R360" s="7">
        <v>7477273513</v>
      </c>
      <c r="S360" s="7">
        <v>8078184548</v>
      </c>
      <c r="T360" s="7">
        <v>8323565429</v>
      </c>
      <c r="U360" s="7">
        <v>8483291067</v>
      </c>
      <c r="V360" s="7">
        <v>9084618369</v>
      </c>
      <c r="W360" s="7">
        <v>9774633494</v>
      </c>
      <c r="X360" s="7">
        <v>9335873360</v>
      </c>
    </row>
    <row r="361" spans="2:24" ht="15" customHeight="1">
      <c r="B361" s="980" t="s">
        <v>378</v>
      </c>
      <c r="C361" s="980" t="s">
        <v>415</v>
      </c>
      <c r="E361" s="468" t="s">
        <v>431</v>
      </c>
      <c r="F361" s="126" t="s">
        <v>247</v>
      </c>
      <c r="G361" s="980" t="str">
        <f>B361&amp;"_"&amp;C361&amp;"_"&amp;D361&amp;"_"&amp;E361&amp;"_"&amp;F361</f>
        <v>card_credit__VieON_overdue_balance_10d</v>
      </c>
      <c r="I361" s="1052" t="s">
        <v>204</v>
      </c>
      <c r="K361" s="7">
        <f t="shared" ref="K361:R361" si="377">K362+K363</f>
        <v>1281625936</v>
      </c>
      <c r="L361" s="7">
        <f t="shared" si="377"/>
        <v>1597321920</v>
      </c>
      <c r="M361" s="7">
        <f t="shared" si="377"/>
        <v>1825493198</v>
      </c>
      <c r="N361" s="7">
        <f t="shared" si="377"/>
        <v>2075560810</v>
      </c>
      <c r="O361" s="7">
        <f t="shared" si="377"/>
        <v>2329722485</v>
      </c>
      <c r="P361" s="7">
        <f t="shared" si="377"/>
        <v>2305413307</v>
      </c>
      <c r="Q361" s="86">
        <f t="shared" si="377"/>
        <v>2449297351</v>
      </c>
      <c r="R361" s="86">
        <f t="shared" si="377"/>
        <v>2779511886</v>
      </c>
      <c r="S361" s="7">
        <f t="shared" ref="S361:X361" si="378">S362+S363</f>
        <v>3241364562</v>
      </c>
      <c r="T361" s="7">
        <f t="shared" si="378"/>
        <v>3115930751</v>
      </c>
      <c r="U361" s="7">
        <f t="shared" si="378"/>
        <v>3478688247</v>
      </c>
      <c r="V361" s="7">
        <f t="shared" si="378"/>
        <v>3516925050</v>
      </c>
      <c r="W361" s="7">
        <f t="shared" si="378"/>
        <v>3823269004</v>
      </c>
      <c r="X361" s="7">
        <f t="shared" si="378"/>
        <v>4044083287</v>
      </c>
    </row>
    <row r="362" spans="2:24" ht="15" customHeight="1">
      <c r="B362" s="980" t="s">
        <v>378</v>
      </c>
      <c r="C362" s="980" t="s">
        <v>415</v>
      </c>
      <c r="E362" s="468" t="s">
        <v>431</v>
      </c>
      <c r="G362" s="980" t="str">
        <f>B362&amp;"_"&amp;C362&amp;"_"&amp;D362&amp;"_"&amp;E362&amp;"_"&amp;F362</f>
        <v>card_credit__VieON_</v>
      </c>
      <c r="I362" s="1052" t="s">
        <v>205</v>
      </c>
      <c r="K362" s="7">
        <v>727883134</v>
      </c>
      <c r="L362" s="89">
        <v>860809473</v>
      </c>
      <c r="M362" s="7">
        <v>987879434</v>
      </c>
      <c r="N362" s="7">
        <v>1138802901</v>
      </c>
      <c r="O362" s="7">
        <v>1355010061</v>
      </c>
      <c r="P362" s="86">
        <v>1332644719</v>
      </c>
      <c r="Q362" s="86">
        <v>1215576483</v>
      </c>
      <c r="R362" s="7">
        <v>1316007710</v>
      </c>
      <c r="S362" s="7">
        <v>1902999601</v>
      </c>
      <c r="T362" s="7">
        <v>1686051757</v>
      </c>
      <c r="U362" s="7">
        <v>2029043508</v>
      </c>
      <c r="V362" s="7">
        <v>2194210386</v>
      </c>
      <c r="W362" s="7">
        <v>2558413060</v>
      </c>
      <c r="X362" s="7">
        <v>2658037988</v>
      </c>
    </row>
    <row r="363" spans="2:24" ht="15" customHeight="1">
      <c r="B363" s="980" t="s">
        <v>378</v>
      </c>
      <c r="C363" s="980" t="s">
        <v>415</v>
      </c>
      <c r="E363" s="468" t="s">
        <v>431</v>
      </c>
      <c r="F363" s="126" t="s">
        <v>248</v>
      </c>
      <c r="G363" s="980" t="str">
        <f>B363&amp;"_"&amp;C363&amp;"_"&amp;D363&amp;"_"&amp;E363&amp;"_"&amp;F363</f>
        <v>card_credit__VieON_overdue_balance_90d</v>
      </c>
      <c r="I363" s="1052" t="s">
        <v>206</v>
      </c>
      <c r="K363" s="7">
        <v>553742802</v>
      </c>
      <c r="L363" s="89">
        <v>736512447</v>
      </c>
      <c r="M363" s="7">
        <v>837613764</v>
      </c>
      <c r="N363" s="7">
        <v>936757909</v>
      </c>
      <c r="O363" s="7">
        <v>974712424</v>
      </c>
      <c r="P363" s="86">
        <v>972768588</v>
      </c>
      <c r="Q363" s="86">
        <v>1233720868</v>
      </c>
      <c r="R363" s="7">
        <v>1463504176</v>
      </c>
      <c r="S363" s="7">
        <v>1338364961</v>
      </c>
      <c r="T363" s="7">
        <v>1429878994</v>
      </c>
      <c r="U363" s="7">
        <v>1449644739</v>
      </c>
      <c r="V363" s="7">
        <v>1322714664</v>
      </c>
      <c r="W363" s="7">
        <v>1264855944</v>
      </c>
      <c r="X363" s="7">
        <v>1386045299</v>
      </c>
    </row>
    <row r="364" spans="2:24" ht="15" customHeight="1">
      <c r="B364" s="980" t="s">
        <v>378</v>
      </c>
      <c r="C364" s="980" t="s">
        <v>415</v>
      </c>
      <c r="E364" s="468" t="s">
        <v>431</v>
      </c>
      <c r="F364" s="1229" t="s">
        <v>213</v>
      </c>
      <c r="G364" s="980" t="str">
        <f>B364&amp;"_"&amp;C364&amp;"_"&amp;D364&amp;"_"&amp;E364&amp;"_"&amp;F364</f>
        <v>card_credit__VieON_npl</v>
      </c>
      <c r="I364" s="226" t="s">
        <v>423</v>
      </c>
      <c r="K364" s="80">
        <f>K363/K357</f>
        <v>6.3924304735846288E-2</v>
      </c>
      <c r="L364" s="80">
        <f>L363/L357</f>
        <v>7.7501211090905422E-2</v>
      </c>
      <c r="M364" s="80">
        <f>M363/M357</f>
        <v>7.4223920777978181E-2</v>
      </c>
      <c r="N364" s="526">
        <f>N363/N357</f>
        <v>7.9085723329641117E-2</v>
      </c>
      <c r="O364" s="526">
        <f>O363/O357</f>
        <v>7.1549163831630805E-2</v>
      </c>
      <c r="P364" s="526">
        <f t="shared" ref="P364:R364" si="379">P363/P357</f>
        <v>6.6580365861060309E-2</v>
      </c>
      <c r="Q364" s="526">
        <f t="shared" si="379"/>
        <v>7.8144785559074115E-2</v>
      </c>
      <c r="R364" s="526">
        <f t="shared" si="379"/>
        <v>9.1681667797397323E-2</v>
      </c>
      <c r="S364" s="526">
        <f t="shared" ref="S364:X364" si="380">S363/S357</f>
        <v>7.4689549433931759E-2</v>
      </c>
      <c r="T364" s="526">
        <f t="shared" si="380"/>
        <v>7.1865873833051527E-2</v>
      </c>
      <c r="U364" s="526">
        <f t="shared" si="380"/>
        <v>6.9639875306753016E-2</v>
      </c>
      <c r="V364" s="526">
        <f t="shared" si="380"/>
        <v>6.0538084847878731E-2</v>
      </c>
      <c r="W364" s="526">
        <f t="shared" si="380"/>
        <v>5.5110004992744308E-2</v>
      </c>
      <c r="X364" s="526">
        <f t="shared" si="380"/>
        <v>6.1249165757394704E-2</v>
      </c>
    </row>
    <row r="365" spans="2:24" ht="15" customHeight="1">
      <c r="B365" s="980" t="s">
        <v>378</v>
      </c>
      <c r="C365" s="980" t="s">
        <v>415</v>
      </c>
      <c r="E365" s="468" t="s">
        <v>431</v>
      </c>
      <c r="F365" s="126" t="s">
        <v>250</v>
      </c>
      <c r="G365" s="980" t="str">
        <f t="shared" si="376"/>
        <v>card_credit__VieON_overdue_account_10d</v>
      </c>
      <c r="I365" s="1052" t="s">
        <v>208</v>
      </c>
      <c r="K365" s="7">
        <v>102</v>
      </c>
      <c r="L365">
        <v>129</v>
      </c>
      <c r="M365">
        <f>M366+M367</f>
        <v>273</v>
      </c>
      <c r="N365">
        <f>N366+N367</f>
        <v>296</v>
      </c>
      <c r="O365">
        <f>O366+O367</f>
        <v>291</v>
      </c>
      <c r="P365" s="86"/>
    </row>
    <row r="366" spans="2:24" ht="15" customHeight="1">
      <c r="B366" s="980" t="s">
        <v>378</v>
      </c>
      <c r="C366" s="980" t="s">
        <v>415</v>
      </c>
      <c r="E366" s="468" t="s">
        <v>431</v>
      </c>
      <c r="G366" s="980" t="str">
        <f t="shared" si="376"/>
        <v>card_credit__VieON_</v>
      </c>
      <c r="I366" s="1052" t="s">
        <v>209</v>
      </c>
      <c r="K366" s="7">
        <v>58</v>
      </c>
      <c r="L366">
        <v>73</v>
      </c>
      <c r="M366">
        <v>173</v>
      </c>
      <c r="N366" s="7">
        <v>182</v>
      </c>
      <c r="O366">
        <v>184</v>
      </c>
      <c r="P366" s="86"/>
    </row>
    <row r="367" spans="2:24" ht="15" customHeight="1">
      <c r="B367" s="980" t="s">
        <v>378</v>
      </c>
      <c r="C367" s="980" t="s">
        <v>415</v>
      </c>
      <c r="E367" s="468" t="s">
        <v>431</v>
      </c>
      <c r="F367" s="126" t="s">
        <v>251</v>
      </c>
      <c r="G367" s="980" t="str">
        <f t="shared" si="376"/>
        <v>card_credit__VieON_overdue_account_90d</v>
      </c>
      <c r="I367" s="1052" t="s">
        <v>210</v>
      </c>
      <c r="K367" s="7">
        <v>44</v>
      </c>
      <c r="L367">
        <v>56</v>
      </c>
      <c r="M367">
        <v>100</v>
      </c>
      <c r="N367" s="7">
        <v>114</v>
      </c>
      <c r="O367">
        <v>107</v>
      </c>
      <c r="P367" s="86"/>
    </row>
    <row r="368" spans="2:24" ht="15" customHeight="1">
      <c r="B368" s="980" t="s">
        <v>378</v>
      </c>
      <c r="C368" s="980" t="s">
        <v>415</v>
      </c>
      <c r="E368" s="468" t="s">
        <v>431</v>
      </c>
      <c r="F368" s="126" t="s">
        <v>252</v>
      </c>
      <c r="G368" s="980" t="str">
        <f t="shared" si="362"/>
        <v>card_credit__VieON_revenue</v>
      </c>
      <c r="I368" s="85" t="s">
        <v>215</v>
      </c>
      <c r="J368" s="7">
        <f t="shared" ref="J368:J407" si="381">SUM(M368:X368)</f>
        <v>7261091937.8669214</v>
      </c>
      <c r="K368" s="7">
        <f t="shared" ref="K368:R368" si="382">SUM(K372:K380)</f>
        <v>479936981.92212915</v>
      </c>
      <c r="L368" s="7">
        <f t="shared" si="382"/>
        <v>382667827.80767953</v>
      </c>
      <c r="M368" s="7">
        <f t="shared" si="382"/>
        <v>416747822.63007534</v>
      </c>
      <c r="N368" s="7">
        <f t="shared" si="382"/>
        <v>363502373.22642744</v>
      </c>
      <c r="O368" s="7">
        <f t="shared" si="382"/>
        <v>423522169.30113333</v>
      </c>
      <c r="P368" s="86">
        <f t="shared" si="382"/>
        <v>685246016.90978861</v>
      </c>
      <c r="Q368" s="86">
        <f t="shared" si="382"/>
        <v>913066480.547225</v>
      </c>
      <c r="R368" s="86">
        <f t="shared" si="382"/>
        <v>979096067.96999907</v>
      </c>
      <c r="S368" s="7">
        <f>SUM(S372:S380)</f>
        <v>850287264.64971852</v>
      </c>
      <c r="T368" s="86">
        <f>T372+T378+T394</f>
        <v>516651676.49041814</v>
      </c>
      <c r="U368" s="86">
        <f t="shared" ref="U368:V368" si="383">U372+U378+U394</f>
        <v>514845772.84048915</v>
      </c>
      <c r="V368" s="86">
        <f t="shared" si="383"/>
        <v>560186323.88701093</v>
      </c>
      <c r="W368" s="86">
        <f t="shared" ref="W368" si="384">W372+W378+W394</f>
        <v>537274721.03920901</v>
      </c>
      <c r="X368" s="7">
        <f>X372+X378+X394</f>
        <v>500665248.37542671</v>
      </c>
    </row>
    <row r="369" spans="1:24" ht="15" customHeight="1">
      <c r="B369" s="980" t="s">
        <v>378</v>
      </c>
      <c r="C369" s="980" t="s">
        <v>415</v>
      </c>
      <c r="E369" s="468" t="s">
        <v>431</v>
      </c>
      <c r="F369" s="126" t="s">
        <v>253</v>
      </c>
      <c r="G369" s="980" t="str">
        <f>B369&amp;"_"&amp;C369&amp;"_"&amp;D369&amp;"_"&amp;E369&amp;"_"&amp;F369</f>
        <v>card_credit__VieON_COGs</v>
      </c>
      <c r="I369" s="85" t="s">
        <v>216</v>
      </c>
      <c r="J369" s="7">
        <f t="shared" si="381"/>
        <v>1621191375.1647065</v>
      </c>
      <c r="K369" s="7"/>
      <c r="M369" s="7"/>
      <c r="N369" s="7"/>
      <c r="O369" s="34">
        <f>O376+O389</f>
        <v>142815942.15120423</v>
      </c>
      <c r="P369" s="34">
        <f t="shared" ref="P369:R369" si="385">P376+P389</f>
        <v>143027303.51086086</v>
      </c>
      <c r="Q369" s="34">
        <f t="shared" si="385"/>
        <v>143623912.71957958</v>
      </c>
      <c r="R369" s="34">
        <f t="shared" si="385"/>
        <v>77311097.057114869</v>
      </c>
      <c r="S369" s="34">
        <f>S376+S389</f>
        <v>156392550.46508408</v>
      </c>
      <c r="T369" s="34">
        <f>T376+T389</f>
        <v>175961777.34818691</v>
      </c>
      <c r="U369" s="34">
        <f t="shared" ref="U369:V369" si="386">U376+U389</f>
        <v>187721306.62170985</v>
      </c>
      <c r="V369" s="34">
        <f t="shared" si="386"/>
        <v>194832588.77493519</v>
      </c>
      <c r="W369" s="34">
        <f t="shared" ref="W369" si="387">W376+W389</f>
        <v>188445826.72071233</v>
      </c>
      <c r="X369" s="7">
        <f>X376+X389</f>
        <v>211059069.79531837</v>
      </c>
    </row>
    <row r="370" spans="1:24" ht="15" customHeight="1">
      <c r="B370" s="980" t="s">
        <v>378</v>
      </c>
      <c r="C370" s="980" t="s">
        <v>415</v>
      </c>
      <c r="E370" s="468" t="s">
        <v>431</v>
      </c>
      <c r="F370" s="126" t="s">
        <v>217</v>
      </c>
      <c r="G370" s="980" t="str">
        <f>B370&amp;"_"&amp;C370&amp;"_"&amp;D370&amp;"_"&amp;E370&amp;"_"&amp;F370</f>
        <v>card_credit__VieON_TOI</v>
      </c>
      <c r="I370" s="226" t="s">
        <v>217</v>
      </c>
      <c r="J370" s="7">
        <f t="shared" si="381"/>
        <v>2595989826.8489127</v>
      </c>
      <c r="K370" s="47">
        <f t="shared" ref="K370:Q370" si="388">K371+K377+K394</f>
        <v>105698596.48053038</v>
      </c>
      <c r="L370" s="47">
        <f t="shared" si="388"/>
        <v>46709965.458521135</v>
      </c>
      <c r="M370" s="47">
        <f t="shared" si="388"/>
        <v>48987761.896213457</v>
      </c>
      <c r="N370" s="47">
        <f t="shared" si="388"/>
        <v>-5313194.0746145397</v>
      </c>
      <c r="O370" s="47">
        <f t="shared" si="388"/>
        <v>7149307.2293588445</v>
      </c>
      <c r="P370" s="47">
        <f t="shared" si="388"/>
        <v>130647141.11461115</v>
      </c>
      <c r="Q370" s="47">
        <f t="shared" si="388"/>
        <v>244096206.54942465</v>
      </c>
      <c r="R370" s="47">
        <f t="shared" ref="R370" si="389">R371+R377+R394</f>
        <v>315414995.96418715</v>
      </c>
      <c r="S370" s="47">
        <f>S371+S377+S394</f>
        <v>183404434.79804087</v>
      </c>
      <c r="T370" s="47">
        <f>T371+T377+T394</f>
        <v>340689899.14223123</v>
      </c>
      <c r="U370" s="47">
        <f t="shared" ref="U370:W370" si="390">U371+U377+U394</f>
        <v>327124466.21877933</v>
      </c>
      <c r="V370" s="47">
        <f t="shared" si="390"/>
        <v>365353735.11207575</v>
      </c>
      <c r="W370" s="47">
        <f t="shared" si="390"/>
        <v>348828894.3184967</v>
      </c>
      <c r="X370" s="47">
        <f>X371+X377+X394</f>
        <v>289606178.58010834</v>
      </c>
    </row>
    <row r="371" spans="1:24" ht="15" customHeight="1">
      <c r="B371" s="980" t="s">
        <v>378</v>
      </c>
      <c r="C371" s="980" t="s">
        <v>415</v>
      </c>
      <c r="E371" s="468" t="s">
        <v>431</v>
      </c>
      <c r="F371" s="126" t="s">
        <v>254</v>
      </c>
      <c r="G371" s="980" t="str">
        <f>B371&amp;"_"&amp;C371&amp;"_"&amp;D371&amp;"_"&amp;E371&amp;"_"&amp;F371</f>
        <v>card_credit__VieON_NII</v>
      </c>
      <c r="I371" s="1055" t="s">
        <v>218</v>
      </c>
      <c r="J371" s="7">
        <f t="shared" si="381"/>
        <v>1724548675.3056164</v>
      </c>
      <c r="K371" s="47">
        <f t="shared" ref="K371:Q371" si="391">K372-K376</f>
        <v>89136596.922544807</v>
      </c>
      <c r="L371" s="47">
        <f t="shared" si="391"/>
        <v>54948840.069949463</v>
      </c>
      <c r="M371" s="47">
        <f t="shared" si="391"/>
        <v>56694040.958215818</v>
      </c>
      <c r="N371" s="47">
        <f t="shared" si="391"/>
        <v>24778563.492938079</v>
      </c>
      <c r="O371" s="47">
        <f t="shared" si="391"/>
        <v>26492680.344675846</v>
      </c>
      <c r="P371" s="47">
        <f t="shared" si="391"/>
        <v>116378382.22788334</v>
      </c>
      <c r="Q371" s="47">
        <f t="shared" si="391"/>
        <v>148293391.77010405</v>
      </c>
      <c r="R371" s="47">
        <f t="shared" ref="R371" si="392">R372-R376</f>
        <v>177148691.51839608</v>
      </c>
      <c r="S371" s="47">
        <f>S372-S376</f>
        <v>164328030.33728611</v>
      </c>
      <c r="T371" s="47">
        <f>T372-T376</f>
        <v>224685704.53161973</v>
      </c>
      <c r="U371" s="47">
        <f t="shared" ref="U371:V371" si="393">U372-U376</f>
        <v>198883824.40986332</v>
      </c>
      <c r="V371" s="47">
        <f t="shared" si="393"/>
        <v>198617703.88663101</v>
      </c>
      <c r="W371" s="47">
        <f t="shared" ref="W371" si="394">W372-W376</f>
        <v>218159595.64624718</v>
      </c>
      <c r="X371" s="47">
        <f>X372-X376</f>
        <v>170088066.1817559</v>
      </c>
    </row>
    <row r="372" spans="1:24" ht="15" customHeight="1">
      <c r="B372" s="980" t="s">
        <v>378</v>
      </c>
      <c r="C372" s="980" t="s">
        <v>415</v>
      </c>
      <c r="E372" s="468" t="s">
        <v>431</v>
      </c>
      <c r="F372" s="126" t="s">
        <v>255</v>
      </c>
      <c r="G372" s="980" t="str">
        <f>B372&amp;"_"&amp;C372&amp;"_"&amp;D372&amp;"_"&amp;E372&amp;"_"&amp;F372</f>
        <v>card_credit__VieON_CII</v>
      </c>
      <c r="I372" s="1056" t="s">
        <v>20</v>
      </c>
      <c r="J372" s="7">
        <f t="shared" si="381"/>
        <v>2603140136</v>
      </c>
      <c r="K372" s="47">
        <f t="shared" ref="K372:Q372" si="395">K373-K374+K375</f>
        <v>116944708</v>
      </c>
      <c r="L372" s="47">
        <f t="shared" si="395"/>
        <v>89365343</v>
      </c>
      <c r="M372" s="47">
        <f t="shared" si="395"/>
        <v>98116235</v>
      </c>
      <c r="N372" s="47">
        <f t="shared" si="395"/>
        <v>66444957</v>
      </c>
      <c r="O372" s="47">
        <f t="shared" si="395"/>
        <v>77875564</v>
      </c>
      <c r="P372" s="47">
        <f t="shared" si="395"/>
        <v>166670939</v>
      </c>
      <c r="Q372" s="47">
        <f t="shared" si="395"/>
        <v>207979452</v>
      </c>
      <c r="R372" s="47">
        <f t="shared" ref="R372" si="396">R373-R374+R375</f>
        <v>237643830</v>
      </c>
      <c r="S372" s="47">
        <f>S373-S374+S375</f>
        <v>238434856</v>
      </c>
      <c r="T372" s="47">
        <f>T373-T374+T375</f>
        <v>311697713</v>
      </c>
      <c r="U372" s="47">
        <f t="shared" ref="U372:V372" si="397">U373-U374+U375</f>
        <v>289317137</v>
      </c>
      <c r="V372" s="47">
        <f t="shared" si="397"/>
        <v>300294758</v>
      </c>
      <c r="W372" s="47">
        <f t="shared" ref="W372" si="398">W373-W374+W375</f>
        <v>316524188</v>
      </c>
      <c r="X372" s="47">
        <f>X373-X374+X375</f>
        <v>292140507</v>
      </c>
    </row>
    <row r="373" spans="1:24" ht="15" customHeight="1">
      <c r="B373" s="980" t="s">
        <v>378</v>
      </c>
      <c r="C373" s="980" t="s">
        <v>415</v>
      </c>
      <c r="E373" s="468" t="s">
        <v>431</v>
      </c>
      <c r="G373" s="980" t="str">
        <f t="shared" si="362"/>
        <v>card_credit__VieON_</v>
      </c>
      <c r="I373" s="1057" t="s">
        <v>256</v>
      </c>
      <c r="J373" s="7">
        <f t="shared" si="381"/>
        <v>2602757061</v>
      </c>
      <c r="K373" s="7">
        <v>120982225</v>
      </c>
      <c r="L373" s="7">
        <v>98184758</v>
      </c>
      <c r="M373" s="7">
        <v>93475658</v>
      </c>
      <c r="N373" s="7">
        <v>99476719</v>
      </c>
      <c r="O373" s="7">
        <v>68658798</v>
      </c>
      <c r="P373" s="34">
        <v>163656927</v>
      </c>
      <c r="Q373" s="7">
        <v>210848323</v>
      </c>
      <c r="R373" s="89">
        <v>230250378</v>
      </c>
      <c r="S373" s="89">
        <v>249636934</v>
      </c>
      <c r="T373" s="89">
        <v>301586106</v>
      </c>
      <c r="U373" s="89">
        <v>276154529</v>
      </c>
      <c r="V373" s="89">
        <v>304671660</v>
      </c>
      <c r="W373" s="89">
        <v>317117129</v>
      </c>
      <c r="X373" s="7">
        <v>287223900</v>
      </c>
    </row>
    <row r="374" spans="1:24" ht="15" customHeight="1">
      <c r="B374" s="980" t="s">
        <v>378</v>
      </c>
      <c r="C374" s="980" t="s">
        <v>415</v>
      </c>
      <c r="E374" s="468" t="s">
        <v>431</v>
      </c>
      <c r="G374" s="980" t="str">
        <f t="shared" si="362"/>
        <v>card_credit__VieON_</v>
      </c>
      <c r="I374" s="1057" t="s">
        <v>259</v>
      </c>
      <c r="J374" s="7">
        <f t="shared" si="381"/>
        <v>555983552</v>
      </c>
      <c r="K374" s="7">
        <v>26431758</v>
      </c>
      <c r="L374" s="7">
        <f>33998967+1252206</f>
        <v>35251173</v>
      </c>
      <c r="M374" s="7">
        <v>30610596</v>
      </c>
      <c r="N374" s="7">
        <v>63642358</v>
      </c>
      <c r="O374" s="7">
        <v>54425592</v>
      </c>
      <c r="P374" s="7">
        <v>51411580</v>
      </c>
      <c r="Q374" s="7">
        <v>54280451</v>
      </c>
      <c r="R374" s="7">
        <v>46886999</v>
      </c>
      <c r="S374" s="7">
        <v>58089077</v>
      </c>
      <c r="T374" s="7">
        <v>47977470</v>
      </c>
      <c r="U374" s="7">
        <v>34814862</v>
      </c>
      <c r="V374" s="7">
        <v>39191764</v>
      </c>
      <c r="W374" s="7">
        <v>39784705</v>
      </c>
      <c r="X374" s="7">
        <v>34868098</v>
      </c>
    </row>
    <row r="375" spans="1:24" ht="15" customHeight="1">
      <c r="B375" s="980" t="s">
        <v>378</v>
      </c>
      <c r="C375" s="980" t="s">
        <v>415</v>
      </c>
      <c r="E375" s="468" t="s">
        <v>431</v>
      </c>
      <c r="G375" s="980" t="str">
        <f t="shared" si="362"/>
        <v>card_credit__VieON_</v>
      </c>
      <c r="I375" s="1057" t="s">
        <v>228</v>
      </c>
      <c r="J375" s="7">
        <f t="shared" si="381"/>
        <v>556366627</v>
      </c>
      <c r="K375" s="7">
        <v>22394241</v>
      </c>
      <c r="L375" s="7">
        <v>26431758</v>
      </c>
      <c r="M375" s="7">
        <f>33998967+1252206</f>
        <v>35251173</v>
      </c>
      <c r="N375" s="7">
        <v>30610596</v>
      </c>
      <c r="O375" s="7">
        <v>63642358</v>
      </c>
      <c r="P375" s="7">
        <v>54425592</v>
      </c>
      <c r="Q375" s="7">
        <v>51411580</v>
      </c>
      <c r="R375" s="7">
        <v>54280451</v>
      </c>
      <c r="S375" s="7">
        <v>46886999</v>
      </c>
      <c r="T375" s="7">
        <v>58089077</v>
      </c>
      <c r="U375" s="7">
        <v>47977470</v>
      </c>
      <c r="V375" s="7">
        <v>34814862</v>
      </c>
      <c r="W375" s="7">
        <v>39191764</v>
      </c>
      <c r="X375" s="7">
        <v>39784705</v>
      </c>
    </row>
    <row r="376" spans="1:24" ht="15" customHeight="1">
      <c r="B376" s="980" t="s">
        <v>378</v>
      </c>
      <c r="C376" s="980" t="s">
        <v>415</v>
      </c>
      <c r="E376" s="468" t="s">
        <v>431</v>
      </c>
      <c r="F376" s="126" t="s">
        <v>219</v>
      </c>
      <c r="G376" s="980" t="str">
        <f>B376&amp;"_"&amp;C376&amp;"_"&amp;D376&amp;"_"&amp;E376&amp;"_"&amp;F376</f>
        <v>card_credit__VieON_COF</v>
      </c>
      <c r="I376" s="1056" t="s">
        <v>219</v>
      </c>
      <c r="J376" s="7">
        <f t="shared" si="381"/>
        <v>878591460.69438362</v>
      </c>
      <c r="K376" s="47">
        <v>27808111.0774552</v>
      </c>
      <c r="L376" s="47">
        <v>34416502.930050537</v>
      </c>
      <c r="M376" s="47">
        <f t="shared" ref="M376:R376" si="399">M357/M107*M130</f>
        <v>41422194.041784182</v>
      </c>
      <c r="N376" s="47">
        <f t="shared" si="399"/>
        <v>41666393.507061921</v>
      </c>
      <c r="O376" s="47">
        <f t="shared" si="399"/>
        <v>51382883.655324154</v>
      </c>
      <c r="P376" s="47">
        <f t="shared" si="399"/>
        <v>50292556.772116654</v>
      </c>
      <c r="Q376" s="47">
        <f t="shared" si="399"/>
        <v>59686060.229895964</v>
      </c>
      <c r="R376" s="47">
        <f t="shared" si="399"/>
        <v>60495138.481603935</v>
      </c>
      <c r="S376" s="47">
        <f t="shared" ref="S376:X376" si="400">S357/S107*S130</f>
        <v>74106825.66271387</v>
      </c>
      <c r="T376" s="47">
        <f t="shared" si="400"/>
        <v>87012008.468380272</v>
      </c>
      <c r="U376" s="47">
        <f t="shared" si="400"/>
        <v>90433312.590136677</v>
      </c>
      <c r="V376" s="47">
        <f t="shared" si="400"/>
        <v>101677054.11336897</v>
      </c>
      <c r="W376" s="47">
        <f t="shared" si="400"/>
        <v>98364592.353752822</v>
      </c>
      <c r="X376" s="47">
        <f t="shared" si="400"/>
        <v>122052440.8182441</v>
      </c>
    </row>
    <row r="377" spans="1:24" ht="15" customHeight="1">
      <c r="B377" s="980" t="s">
        <v>378</v>
      </c>
      <c r="C377" s="980" t="s">
        <v>415</v>
      </c>
      <c r="E377" s="468" t="s">
        <v>431</v>
      </c>
      <c r="F377" s="126" t="s">
        <v>260</v>
      </c>
      <c r="G377" s="980" t="str">
        <f>B377&amp;"_"&amp;C377&amp;"_"&amp;D377&amp;"_"&amp;E377&amp;"_"&amp;F377</f>
        <v>card_credit__VieON_NFI</v>
      </c>
      <c r="I377" s="1055" t="s">
        <v>220</v>
      </c>
      <c r="J377" s="7">
        <f t="shared" si="381"/>
        <v>823075883.54329634</v>
      </c>
      <c r="K377" s="47">
        <f>K378-K389</f>
        <v>16561999.557985574</v>
      </c>
      <c r="L377" s="47">
        <f t="shared" ref="L377:Q377" si="401">L378-L389</f>
        <v>-8238874.6114283279</v>
      </c>
      <c r="M377" s="47">
        <f t="shared" si="401"/>
        <v>-7706279.0620023608</v>
      </c>
      <c r="N377" s="47">
        <f t="shared" si="401"/>
        <v>-30091757.567552619</v>
      </c>
      <c r="O377" s="47">
        <f t="shared" si="401"/>
        <v>-19343373.115317002</v>
      </c>
      <c r="P377" s="47">
        <f t="shared" si="401"/>
        <v>14268758.88672781</v>
      </c>
      <c r="Q377" s="47">
        <f t="shared" si="401"/>
        <v>95802814.779320613</v>
      </c>
      <c r="R377" s="47">
        <f t="shared" ref="R377" si="402">R378-R389</f>
        <v>138265745.44579107</v>
      </c>
      <c r="S377" s="47">
        <f t="shared" ref="S377:X377" si="403">S378-S389</f>
        <v>19076404.460754752</v>
      </c>
      <c r="T377" s="47">
        <f t="shared" si="403"/>
        <v>116004194.61061151</v>
      </c>
      <c r="U377" s="47">
        <f t="shared" si="403"/>
        <v>128240640.80891597</v>
      </c>
      <c r="V377" s="47">
        <f t="shared" si="403"/>
        <v>148178692.22544473</v>
      </c>
      <c r="W377" s="47">
        <f t="shared" si="403"/>
        <v>109689600.6722495</v>
      </c>
      <c r="X377" s="47">
        <f t="shared" si="403"/>
        <v>110690441.39835244</v>
      </c>
    </row>
    <row r="378" spans="1:24" ht="15" customHeight="1">
      <c r="B378" s="980" t="s">
        <v>378</v>
      </c>
      <c r="C378" s="980" t="s">
        <v>415</v>
      </c>
      <c r="E378" s="468" t="s">
        <v>431</v>
      </c>
      <c r="F378" s="230" t="s">
        <v>340</v>
      </c>
      <c r="G378" s="980" t="str">
        <f>B378&amp;"_"&amp;C378&amp;"_"&amp;D378&amp;"_"&amp;E378&amp;"_"&amp;F378</f>
        <v>card_credit__VieON_fee_incomes</v>
      </c>
      <c r="I378" s="1073" t="s">
        <v>22</v>
      </c>
      <c r="J378" s="7">
        <f t="shared" si="381"/>
        <v>1820767545.6606259</v>
      </c>
      <c r="K378" s="47">
        <f>SUM(K379:K385)-K386+K387+K388</f>
        <v>86186854.643344179</v>
      </c>
      <c r="L378" s="47">
        <f t="shared" ref="L378:Q378" si="404">SUM(L379:L385)-L386+L387+L388</f>
        <v>64148919.744528629</v>
      </c>
      <c r="M378" s="47">
        <f t="shared" si="404"/>
        <v>81395460.325146765</v>
      </c>
      <c r="N378" s="47">
        <f t="shared" si="404"/>
        <v>52809663.143459059</v>
      </c>
      <c r="O378" s="47">
        <f t="shared" si="404"/>
        <v>72089685.380563065</v>
      </c>
      <c r="P378" s="47">
        <f t="shared" si="404"/>
        <v>107003505.62547201</v>
      </c>
      <c r="Q378" s="47">
        <f t="shared" si="404"/>
        <v>179740667.26900423</v>
      </c>
      <c r="R378" s="47">
        <f t="shared" ref="R378" si="405">SUM(R379:R385)-R386+R387+R388</f>
        <v>155081704.02130201</v>
      </c>
      <c r="S378" s="47">
        <f t="shared" ref="S378:X378" si="406">SUM(S379:S385)-S386+S387+S388</f>
        <v>101362129.26312494</v>
      </c>
      <c r="T378" s="47">
        <f t="shared" si="406"/>
        <v>204953963.49041814</v>
      </c>
      <c r="U378" s="47">
        <f t="shared" si="406"/>
        <v>225528634.84048915</v>
      </c>
      <c r="V378" s="47">
        <f t="shared" si="406"/>
        <v>241334226.88701093</v>
      </c>
      <c r="W378" s="47">
        <f t="shared" si="406"/>
        <v>199770835.03920901</v>
      </c>
      <c r="X378" s="47">
        <f t="shared" si="406"/>
        <v>199697070.37542671</v>
      </c>
    </row>
    <row r="379" spans="1:24" ht="15" customHeight="1">
      <c r="B379" s="980" t="s">
        <v>378</v>
      </c>
      <c r="C379" s="980" t="s">
        <v>415</v>
      </c>
      <c r="E379" s="468" t="s">
        <v>431</v>
      </c>
      <c r="F379" s="230" t="s">
        <v>424</v>
      </c>
      <c r="G379" s="980" t="str">
        <f>B379&amp;"_"&amp;C379&amp;"_"&amp;D379&amp;"_"&amp;E379&amp;"_"&amp;F379</f>
        <v>card_credit__VieON_annual_fee</v>
      </c>
      <c r="I379" s="1057" t="s">
        <v>425</v>
      </c>
      <c r="J379" s="7">
        <f t="shared" si="381"/>
        <v>25325902</v>
      </c>
      <c r="K379" s="7">
        <v>4156469</v>
      </c>
      <c r="L379" s="7">
        <v>45570</v>
      </c>
      <c r="M379" s="7">
        <v>-2127912</v>
      </c>
      <c r="N379" s="7">
        <v>893913</v>
      </c>
      <c r="O379" s="7">
        <v>-226947</v>
      </c>
      <c r="P379" s="34">
        <v>31110348</v>
      </c>
      <c r="Q379" s="7">
        <v>-1662044</v>
      </c>
      <c r="R379" s="89">
        <v>-370983</v>
      </c>
      <c r="S379" s="89">
        <v>-1132847</v>
      </c>
      <c r="T379" s="89">
        <v>-157881</v>
      </c>
      <c r="U379" s="89">
        <v>-999745</v>
      </c>
      <c r="V379" s="89">
        <v>291174</v>
      </c>
      <c r="W379" s="7">
        <v>-435026</v>
      </c>
      <c r="X379" s="7">
        <v>143852</v>
      </c>
    </row>
    <row r="380" spans="1:24" ht="15" customHeight="1">
      <c r="A380" t="s">
        <v>433</v>
      </c>
      <c r="B380" s="980" t="s">
        <v>378</v>
      </c>
      <c r="C380" s="980" t="s">
        <v>415</v>
      </c>
      <c r="E380" s="468" t="s">
        <v>431</v>
      </c>
      <c r="F380" s="230" t="s">
        <v>391</v>
      </c>
      <c r="G380" s="980" t="str">
        <f t="shared" si="362"/>
        <v>card_credit__VieON_interchange_fee</v>
      </c>
      <c r="I380" s="1057" t="s">
        <v>21</v>
      </c>
      <c r="J380" s="7">
        <f t="shared" si="381"/>
        <v>697593652.66062617</v>
      </c>
      <c r="K380" s="7">
        <v>58470615.643344179</v>
      </c>
      <c r="L380" s="7">
        <v>43062677.744528629</v>
      </c>
      <c r="M380" s="7">
        <f t="shared" ref="M380:R380" si="407">M356/M106*M134</f>
        <v>46310697.325146765</v>
      </c>
      <c r="N380" s="7">
        <f t="shared" si="407"/>
        <v>38049531.143459059</v>
      </c>
      <c r="O380" s="7">
        <f t="shared" si="407"/>
        <v>55017608.380563065</v>
      </c>
      <c r="P380" s="7">
        <f t="shared" si="407"/>
        <v>46405809.625472017</v>
      </c>
      <c r="Q380" s="7">
        <f t="shared" si="407"/>
        <v>54979176.269004226</v>
      </c>
      <c r="R380" s="7">
        <f t="shared" si="407"/>
        <v>56562805.021302015</v>
      </c>
      <c r="S380" s="7">
        <f>S356/S106*S134</f>
        <v>63826886.263124958</v>
      </c>
      <c r="T380" s="7">
        <f>T356/T106*T134</f>
        <v>61738946.490418129</v>
      </c>
      <c r="U380" s="7">
        <f>U356/U106*U134</f>
        <v>67248609.840489134</v>
      </c>
      <c r="V380" s="7">
        <f>V356/V106*V134</f>
        <v>71611419.887010947</v>
      </c>
      <c r="W380" s="7">
        <f t="shared" ref="W380:X380" si="408">W356/W106*W134</f>
        <v>59590908.039209001</v>
      </c>
      <c r="X380" s="7">
        <f t="shared" si="408"/>
        <v>76251254.375426725</v>
      </c>
    </row>
    <row r="381" spans="1:24" ht="15" customHeight="1">
      <c r="B381" s="980" t="s">
        <v>378</v>
      </c>
      <c r="C381" s="980" t="s">
        <v>415</v>
      </c>
      <c r="E381" s="468" t="s">
        <v>431</v>
      </c>
      <c r="F381" s="230" t="s">
        <v>407</v>
      </c>
      <c r="G381" s="980" t="str">
        <f t="shared" si="362"/>
        <v>card_credit__VieON_cash_advance_fee</v>
      </c>
      <c r="I381" s="1057" t="s">
        <v>408</v>
      </c>
      <c r="J381" s="7">
        <f t="shared" si="381"/>
        <v>123243944</v>
      </c>
      <c r="K381" s="7">
        <v>6098675</v>
      </c>
      <c r="L381" s="7">
        <v>6262333</v>
      </c>
      <c r="M381" s="7">
        <v>1509093</v>
      </c>
      <c r="N381" s="7">
        <v>5186797</v>
      </c>
      <c r="O381" s="7">
        <v>3464848</v>
      </c>
      <c r="P381" s="34">
        <v>8181122</v>
      </c>
      <c r="Q381" s="7">
        <v>14525095</v>
      </c>
      <c r="R381" s="89">
        <v>13788715</v>
      </c>
      <c r="S381" s="89">
        <v>15266482</v>
      </c>
      <c r="T381" s="89">
        <v>13992200</v>
      </c>
      <c r="U381" s="89">
        <v>5740019</v>
      </c>
      <c r="V381" s="89">
        <v>13612936</v>
      </c>
      <c r="W381" s="7">
        <v>14337719</v>
      </c>
      <c r="X381" s="7">
        <v>13638918</v>
      </c>
    </row>
    <row r="382" spans="1:24" ht="15" customHeight="1">
      <c r="B382" s="980" t="s">
        <v>378</v>
      </c>
      <c r="C382" s="980" t="s">
        <v>415</v>
      </c>
      <c r="E382" s="468" t="s">
        <v>431</v>
      </c>
      <c r="F382" s="230" t="s">
        <v>393</v>
      </c>
      <c r="G382" s="980" t="str">
        <f t="shared" si="362"/>
        <v>card_credit__VieON_fx_fee</v>
      </c>
      <c r="I382" s="1057" t="s">
        <v>426</v>
      </c>
      <c r="J382" s="7">
        <f t="shared" si="381"/>
        <v>40624981</v>
      </c>
      <c r="K382" s="7">
        <v>2243423</v>
      </c>
      <c r="L382" s="7">
        <v>2351103</v>
      </c>
      <c r="M382" s="7">
        <v>2986597</v>
      </c>
      <c r="N382" s="7">
        <v>1663783</v>
      </c>
      <c r="O382" s="7">
        <v>2235188</v>
      </c>
      <c r="P382" s="34">
        <v>5896675</v>
      </c>
      <c r="Q382" s="7">
        <v>4935895</v>
      </c>
      <c r="R382" s="89">
        <v>3390537</v>
      </c>
      <c r="S382" s="89">
        <v>3044530</v>
      </c>
      <c r="T382" s="89">
        <v>1884444</v>
      </c>
      <c r="U382" s="89">
        <v>4499530</v>
      </c>
      <c r="V382" s="89">
        <v>3573330</v>
      </c>
      <c r="W382" s="7">
        <v>2663002</v>
      </c>
      <c r="X382" s="7">
        <v>3851470</v>
      </c>
    </row>
    <row r="383" spans="1:24" ht="15" customHeight="1">
      <c r="B383" s="980" t="s">
        <v>378</v>
      </c>
      <c r="C383" s="980" t="s">
        <v>415</v>
      </c>
      <c r="E383" s="468" t="s">
        <v>431</v>
      </c>
      <c r="F383" s="230" t="s">
        <v>395</v>
      </c>
      <c r="G383" s="980" t="str">
        <f t="shared" si="362"/>
        <v>card_credit__VieON_reissue_fee</v>
      </c>
      <c r="I383" s="1061" t="s">
        <v>396</v>
      </c>
      <c r="J383" s="7">
        <f t="shared" si="381"/>
        <v>17930161</v>
      </c>
      <c r="K383" s="7">
        <v>900000</v>
      </c>
      <c r="L383" s="7">
        <v>150000</v>
      </c>
      <c r="M383" s="7"/>
      <c r="N383" s="7">
        <v>150000</v>
      </c>
      <c r="O383" s="7"/>
      <c r="Q383" s="7"/>
      <c r="R383" s="7">
        <v>1718000</v>
      </c>
      <c r="S383" s="89">
        <v>-623096</v>
      </c>
      <c r="T383" s="89">
        <v>4804000</v>
      </c>
      <c r="U383" s="89">
        <v>2647487</v>
      </c>
      <c r="V383" s="89">
        <v>2758000</v>
      </c>
      <c r="W383" s="7">
        <v>4351770</v>
      </c>
      <c r="X383" s="7">
        <v>2124000</v>
      </c>
    </row>
    <row r="384" spans="1:24" ht="15" customHeight="1">
      <c r="B384" s="980" t="s">
        <v>378</v>
      </c>
      <c r="C384" s="980" t="s">
        <v>415</v>
      </c>
      <c r="E384" s="468" t="s">
        <v>431</v>
      </c>
      <c r="F384" s="230" t="s">
        <v>262</v>
      </c>
      <c r="G384" s="980" t="str">
        <f t="shared" ref="G384:G405" si="409">B384&amp;"_"&amp;C384&amp;"_"&amp;D384&amp;"_"&amp;E384&amp;"_"&amp;F384</f>
        <v>card_credit__VieON_late_payment_fee</v>
      </c>
      <c r="I384" s="1057" t="s">
        <v>427</v>
      </c>
      <c r="J384" s="7">
        <f t="shared" si="381"/>
        <v>887267702</v>
      </c>
      <c r="K384" s="7">
        <v>15475805</v>
      </c>
      <c r="L384" s="7">
        <v>12384874</v>
      </c>
      <c r="M384" s="7">
        <v>36354213</v>
      </c>
      <c r="N384" s="7">
        <v>21150115</v>
      </c>
      <c r="O384" s="7">
        <v>13662036</v>
      </c>
      <c r="P384" s="34">
        <v>77617269</v>
      </c>
      <c r="Q384" s="7">
        <v>78762074</v>
      </c>
      <c r="R384" s="89">
        <v>89269105</v>
      </c>
      <c r="S384" s="89">
        <v>60382259</v>
      </c>
      <c r="T384" s="89">
        <v>132388467</v>
      </c>
      <c r="U384" s="89">
        <v>73567804</v>
      </c>
      <c r="V384" s="89">
        <v>136420002</v>
      </c>
      <c r="W384" s="7">
        <v>116000233</v>
      </c>
      <c r="X384" s="7">
        <v>51694125</v>
      </c>
    </row>
    <row r="385" spans="2:24" ht="15" customHeight="1">
      <c r="B385" s="980" t="s">
        <v>378</v>
      </c>
      <c r="C385" s="980" t="s">
        <v>415</v>
      </c>
      <c r="E385" s="468" t="s">
        <v>431</v>
      </c>
      <c r="F385" s="230" t="s">
        <v>264</v>
      </c>
      <c r="G385" s="980" t="str">
        <f t="shared" si="409"/>
        <v>card_credit__VieON_installment_fee</v>
      </c>
      <c r="I385" s="1057" t="s">
        <v>224</v>
      </c>
      <c r="J385" s="7">
        <f t="shared" si="381"/>
        <v>109527799</v>
      </c>
      <c r="S385" s="7">
        <v>0</v>
      </c>
      <c r="T385" s="34"/>
      <c r="U385" s="89">
        <v>46205968</v>
      </c>
      <c r="V385" s="89">
        <v>20537128</v>
      </c>
      <c r="W385" s="7">
        <v>14618987</v>
      </c>
      <c r="X385" s="7">
        <v>28165716</v>
      </c>
    </row>
    <row r="386" spans="2:24" ht="15" customHeight="1">
      <c r="B386" s="980" t="s">
        <v>378</v>
      </c>
      <c r="C386" s="980" t="s">
        <v>415</v>
      </c>
      <c r="E386" s="468" t="s">
        <v>431</v>
      </c>
      <c r="F386" s="126" t="s">
        <v>267</v>
      </c>
      <c r="G386" s="980" t="str">
        <f t="shared" si="409"/>
        <v>card_credit__VieON_adjust_minus_fee</v>
      </c>
      <c r="I386" s="1057" t="s">
        <v>227</v>
      </c>
      <c r="J386" s="7">
        <f t="shared" si="381"/>
        <v>1031576476</v>
      </c>
      <c r="K386" s="7">
        <v>17497046</v>
      </c>
      <c r="L386" s="7">
        <f>16320821+1283863</f>
        <v>17604684</v>
      </c>
      <c r="M386" s="7">
        <v>21241912</v>
      </c>
      <c r="N386" s="7">
        <v>35526388</v>
      </c>
      <c r="O386" s="7">
        <v>37589436</v>
      </c>
      <c r="P386" s="7">
        <v>99797154</v>
      </c>
      <c r="Q386" s="7">
        <v>71596683</v>
      </c>
      <c r="R386" s="7">
        <v>80873158</v>
      </c>
      <c r="S386" s="7">
        <v>120275243</v>
      </c>
      <c r="T386" s="7">
        <v>129971456</v>
      </c>
      <c r="U386" s="7">
        <v>103352494</v>
      </c>
      <c r="V386" s="7">
        <v>110822257</v>
      </c>
      <c r="W386" s="7">
        <v>122179015</v>
      </c>
      <c r="X386" s="7">
        <v>98351280</v>
      </c>
    </row>
    <row r="387" spans="2:24" ht="15" customHeight="1">
      <c r="B387" s="980" t="s">
        <v>378</v>
      </c>
      <c r="C387" s="980" t="s">
        <v>415</v>
      </c>
      <c r="E387" s="468" t="s">
        <v>431</v>
      </c>
      <c r="F387" s="126" t="s">
        <v>268</v>
      </c>
      <c r="G387" s="980" t="str">
        <f t="shared" si="409"/>
        <v>card_credit__VieON_adjust_bonus_fee</v>
      </c>
      <c r="I387" s="1057" t="s">
        <v>228</v>
      </c>
      <c r="J387" s="7">
        <f t="shared" si="381"/>
        <v>950829880</v>
      </c>
      <c r="K387" s="7">
        <v>16338913</v>
      </c>
      <c r="L387" s="7">
        <v>17497046</v>
      </c>
      <c r="M387" s="7">
        <f>16320821+1283863</f>
        <v>17604684</v>
      </c>
      <c r="N387" s="7">
        <v>21241912</v>
      </c>
      <c r="O387" s="7">
        <v>35526388</v>
      </c>
      <c r="P387" s="7">
        <v>37589436</v>
      </c>
      <c r="Q387" s="7">
        <v>99797154</v>
      </c>
      <c r="R387" s="7">
        <v>71596683</v>
      </c>
      <c r="S387" s="7">
        <v>80873158</v>
      </c>
      <c r="T387" s="7">
        <v>120275243</v>
      </c>
      <c r="U387" s="7">
        <v>129971456</v>
      </c>
      <c r="V387" s="7">
        <v>103352494</v>
      </c>
      <c r="W387" s="7">
        <v>110822257</v>
      </c>
      <c r="X387" s="7">
        <v>122179015</v>
      </c>
    </row>
    <row r="388" spans="2:24" ht="15" customHeight="1">
      <c r="B388" s="980" t="s">
        <v>378</v>
      </c>
      <c r="C388" s="980" t="s">
        <v>415</v>
      </c>
      <c r="E388" s="468" t="s">
        <v>431</v>
      </c>
      <c r="F388" s="230" t="s">
        <v>361</v>
      </c>
      <c r="G388" s="980" t="str">
        <f t="shared" si="409"/>
        <v>card_credit__VieON_other_income_fee</v>
      </c>
      <c r="I388" s="1057" t="s">
        <v>226</v>
      </c>
      <c r="J388" s="7">
        <f t="shared" si="381"/>
        <v>0</v>
      </c>
      <c r="K388" s="7"/>
      <c r="L388" s="7"/>
      <c r="M388" s="7"/>
      <c r="N388" s="7"/>
      <c r="O388" s="7"/>
      <c r="Q388" s="7"/>
    </row>
    <row r="389" spans="2:24" ht="15" customHeight="1">
      <c r="B389" s="980" t="s">
        <v>378</v>
      </c>
      <c r="C389" s="980" t="s">
        <v>415</v>
      </c>
      <c r="E389" s="468" t="s">
        <v>431</v>
      </c>
      <c r="F389" s="230" t="s">
        <v>362</v>
      </c>
      <c r="G389" s="980" t="str">
        <f t="shared" si="409"/>
        <v>card_credit__VieON_fee_expenses</v>
      </c>
      <c r="I389" s="1073" t="s">
        <v>295</v>
      </c>
      <c r="J389" s="7">
        <f t="shared" si="381"/>
        <v>997691662.11732972</v>
      </c>
      <c r="K389" s="47">
        <f>SUM(K390:K393)</f>
        <v>69624855.085358605</v>
      </c>
      <c r="L389" s="47">
        <f t="shared" ref="L389:R389" si="410">SUM(L390:L393)</f>
        <v>72387794.355956957</v>
      </c>
      <c r="M389" s="47">
        <f t="shared" si="410"/>
        <v>89101739.387149125</v>
      </c>
      <c r="N389" s="47">
        <f t="shared" si="410"/>
        <v>82901420.711011678</v>
      </c>
      <c r="O389" s="47">
        <f t="shared" si="410"/>
        <v>91433058.495880067</v>
      </c>
      <c r="P389" s="47">
        <f t="shared" si="410"/>
        <v>92734746.738744199</v>
      </c>
      <c r="Q389" s="47">
        <f t="shared" si="410"/>
        <v>83937852.489683613</v>
      </c>
      <c r="R389" s="47">
        <f t="shared" si="410"/>
        <v>16815958.575510934</v>
      </c>
      <c r="S389" s="47">
        <f t="shared" ref="S389:X389" si="411">SUM(S390:S393)</f>
        <v>82285724.802370191</v>
      </c>
      <c r="T389" s="47">
        <f t="shared" si="411"/>
        <v>88949768.879806623</v>
      </c>
      <c r="U389" s="47">
        <f t="shared" si="411"/>
        <v>97287994.031573176</v>
      </c>
      <c r="V389" s="47">
        <f t="shared" si="411"/>
        <v>93155534.661566213</v>
      </c>
      <c r="W389" s="47">
        <f t="shared" si="411"/>
        <v>90081234.366959512</v>
      </c>
      <c r="X389" s="47">
        <f t="shared" si="411"/>
        <v>89006628.977074265</v>
      </c>
    </row>
    <row r="390" spans="2:24" ht="15" customHeight="1">
      <c r="B390" s="980" t="s">
        <v>378</v>
      </c>
      <c r="C390" s="980" t="s">
        <v>415</v>
      </c>
      <c r="E390" s="468" t="s">
        <v>431</v>
      </c>
      <c r="F390" s="230" t="s">
        <v>410</v>
      </c>
      <c r="G390" s="980" t="str">
        <f t="shared" si="409"/>
        <v>card_credit__VieON_BPC_fee</v>
      </c>
      <c r="I390" s="1057" t="s">
        <v>411</v>
      </c>
      <c r="J390" s="7">
        <f t="shared" si="381"/>
        <v>70637737.267023847</v>
      </c>
      <c r="K390" s="7">
        <v>14376052.066933144</v>
      </c>
      <c r="L390" s="7">
        <v>9508512.3277250826</v>
      </c>
      <c r="M390" s="7">
        <f t="shared" ref="M390:R390" si="412">M356/M106*M144</f>
        <v>12303151.508690028</v>
      </c>
      <c r="N390" s="7">
        <f t="shared" si="412"/>
        <v>12325248.070835397</v>
      </c>
      <c r="O390" s="7">
        <f t="shared" si="412"/>
        <v>13551888.533426074</v>
      </c>
      <c r="P390" s="7">
        <f t="shared" si="412"/>
        <v>8243037.3506691167</v>
      </c>
      <c r="Q390" s="7">
        <f t="shared" si="412"/>
        <v>1272177.846941869</v>
      </c>
      <c r="R390" s="7">
        <f t="shared" si="412"/>
        <v>1364282.9479066329</v>
      </c>
      <c r="S390" s="7">
        <f>S356/S106*S144</f>
        <v>1322843.4222287498</v>
      </c>
      <c r="T390" s="7">
        <f t="shared" ref="T390:W390" si="413">T356/T106*T144</f>
        <v>6231412.2148386287</v>
      </c>
      <c r="U390" s="7">
        <f t="shared" si="413"/>
        <v>6287900.6762102516</v>
      </c>
      <c r="V390" s="7">
        <f t="shared" si="413"/>
        <v>5591499.8397756834</v>
      </c>
      <c r="W390" s="7">
        <f t="shared" si="413"/>
        <v>2144294.8555013989</v>
      </c>
      <c r="X390" s="7">
        <f t="shared" ref="X390" si="414">X356/X106*X144</f>
        <v>0</v>
      </c>
    </row>
    <row r="391" spans="2:24" ht="15" customHeight="1">
      <c r="B391" s="980" t="s">
        <v>378</v>
      </c>
      <c r="C391" s="980" t="s">
        <v>415</v>
      </c>
      <c r="D391" s="230"/>
      <c r="E391" s="468" t="s">
        <v>431</v>
      </c>
      <c r="F391" s="230" t="s">
        <v>412</v>
      </c>
      <c r="G391" s="980" t="str">
        <f t="shared" si="409"/>
        <v>card_credit__VieON_visa_fee</v>
      </c>
      <c r="I391" s="1057" t="s">
        <v>413</v>
      </c>
      <c r="J391" s="7">
        <f t="shared" si="381"/>
        <v>209351082.65030581</v>
      </c>
      <c r="K391" s="7">
        <v>6985377.8184255613</v>
      </c>
      <c r="L391" s="7">
        <v>6688064.2282318827</v>
      </c>
      <c r="M391" s="7">
        <f t="shared" ref="M391:R391" si="415">M356/M106*M145</f>
        <v>13896946.278459098</v>
      </c>
      <c r="N391" s="7">
        <f t="shared" si="415"/>
        <v>15300191.040176289</v>
      </c>
      <c r="O391" s="7">
        <f t="shared" si="415"/>
        <v>18332734.562454004</v>
      </c>
      <c r="P391" s="7">
        <f t="shared" si="415"/>
        <v>14817281.788075086</v>
      </c>
      <c r="Q391" s="7">
        <f t="shared" si="415"/>
        <v>14278300.442741739</v>
      </c>
      <c r="R391" s="7">
        <f t="shared" si="415"/>
        <v>15451675.6276043</v>
      </c>
      <c r="S391" s="7">
        <f t="shared" ref="S391:X391" si="416">S356/S106*S145</f>
        <v>16796539.180141453</v>
      </c>
      <c r="T391" s="7">
        <f t="shared" si="416"/>
        <v>18552014.464967996</v>
      </c>
      <c r="U391" s="7">
        <f t="shared" si="416"/>
        <v>18980343.155362923</v>
      </c>
      <c r="V391" s="7">
        <f t="shared" si="416"/>
        <v>17658152.021790519</v>
      </c>
      <c r="W391" s="7">
        <f t="shared" si="416"/>
        <v>22002639.51145811</v>
      </c>
      <c r="X391" s="7">
        <f t="shared" si="416"/>
        <v>23284264.577074274</v>
      </c>
    </row>
    <row r="392" spans="2:24" ht="15" customHeight="1">
      <c r="B392" s="980" t="s">
        <v>378</v>
      </c>
      <c r="C392" s="980" t="s">
        <v>415</v>
      </c>
      <c r="D392" s="230"/>
      <c r="E392" s="468" t="s">
        <v>431</v>
      </c>
      <c r="F392" s="230" t="s">
        <v>414</v>
      </c>
      <c r="G392" s="980" t="str">
        <f t="shared" si="409"/>
        <v>card_credit__VieON_cashback_fee</v>
      </c>
      <c r="I392" s="1057" t="s">
        <v>332</v>
      </c>
      <c r="J392" s="7">
        <f t="shared" si="381"/>
        <v>717702842.19999993</v>
      </c>
      <c r="K392" s="7">
        <v>48263425.199999899</v>
      </c>
      <c r="L392" s="7">
        <v>56191217.799999997</v>
      </c>
      <c r="M392" s="7">
        <v>62901641.600000001</v>
      </c>
      <c r="N392" s="7">
        <v>55275981.600000001</v>
      </c>
      <c r="O392" s="7">
        <v>59548435.399999999</v>
      </c>
      <c r="P392" s="7">
        <v>69674427.599999994</v>
      </c>
      <c r="Q392" s="7">
        <v>68387374.200000003</v>
      </c>
      <c r="R392" s="7"/>
      <c r="S392" s="7">
        <v>64166342.199999996</v>
      </c>
      <c r="T392" s="7">
        <v>64166342.200000003</v>
      </c>
      <c r="U392" s="7">
        <v>72019750.200000003</v>
      </c>
      <c r="V392" s="7">
        <v>69905882.800000012</v>
      </c>
      <c r="W392" s="7">
        <v>65934300</v>
      </c>
      <c r="X392" s="7">
        <v>65722364.399999999</v>
      </c>
    </row>
    <row r="393" spans="2:24" ht="15" customHeight="1">
      <c r="B393" s="980" t="s">
        <v>378</v>
      </c>
      <c r="C393" s="980" t="s">
        <v>415</v>
      </c>
      <c r="E393" s="468" t="s">
        <v>431</v>
      </c>
      <c r="F393" s="230" t="s">
        <v>372</v>
      </c>
      <c r="G393" s="980" t="str">
        <f t="shared" si="409"/>
        <v>card_credit__VieON_other_expense_fee</v>
      </c>
      <c r="I393" s="1057" t="s">
        <v>373</v>
      </c>
      <c r="J393" s="7">
        <f t="shared" si="381"/>
        <v>0</v>
      </c>
      <c r="K393" s="7"/>
      <c r="L393" s="7"/>
      <c r="M393" s="7"/>
      <c r="N393" s="7"/>
      <c r="O393" s="7"/>
      <c r="Q393" s="7"/>
    </row>
    <row r="394" spans="2:24" ht="15" customHeight="1">
      <c r="B394" s="980" t="s">
        <v>378</v>
      </c>
      <c r="C394" s="980" t="s">
        <v>415</v>
      </c>
      <c r="E394" s="468" t="s">
        <v>431</v>
      </c>
      <c r="F394" s="717" t="s">
        <v>269</v>
      </c>
      <c r="G394" s="980" t="str">
        <f t="shared" si="409"/>
        <v>card_credit__VieON_other_TOI</v>
      </c>
      <c r="I394" s="1074" t="s">
        <v>89</v>
      </c>
      <c r="J394" s="7">
        <f t="shared" si="381"/>
        <v>48365268</v>
      </c>
      <c r="K394" s="7"/>
      <c r="L394" s="7"/>
      <c r="M394" s="7"/>
      <c r="N394" s="7"/>
      <c r="O394" s="7"/>
      <c r="R394" s="7">
        <v>559</v>
      </c>
      <c r="S394">
        <v>0</v>
      </c>
      <c r="T394" s="7">
        <v>0</v>
      </c>
      <c r="U394">
        <v>1</v>
      </c>
      <c r="V394" s="89">
        <v>18557339</v>
      </c>
      <c r="W394" s="89">
        <v>20979698</v>
      </c>
      <c r="X394" s="89">
        <v>8827671</v>
      </c>
    </row>
    <row r="395" spans="2:24" ht="15" customHeight="1">
      <c r="B395" s="980" t="s">
        <v>378</v>
      </c>
      <c r="C395" s="980" t="s">
        <v>415</v>
      </c>
      <c r="E395" s="468" t="s">
        <v>431</v>
      </c>
      <c r="F395" s="126" t="s">
        <v>270</v>
      </c>
      <c r="G395" s="980" t="str">
        <f t="shared" si="409"/>
        <v>card_credit__VieON_provision</v>
      </c>
      <c r="I395" s="85" t="s">
        <v>136</v>
      </c>
      <c r="J395" s="7">
        <f t="shared" si="381"/>
        <v>3445432712</v>
      </c>
      <c r="K395" s="47">
        <v>81173920</v>
      </c>
      <c r="L395" s="47">
        <v>115750382</v>
      </c>
      <c r="M395" s="47">
        <v>167125615</v>
      </c>
      <c r="N395" s="47">
        <v>258988487</v>
      </c>
      <c r="O395" s="47">
        <v>223636856</v>
      </c>
      <c r="P395" s="47">
        <v>145508043</v>
      </c>
      <c r="Q395" s="47">
        <v>204033976</v>
      </c>
      <c r="R395" s="47">
        <f>234136049+48005603</f>
        <v>282141652</v>
      </c>
      <c r="S395" s="7">
        <v>201350712</v>
      </c>
      <c r="T395" s="7">
        <v>368187374</v>
      </c>
      <c r="U395" s="7">
        <f>336518984+52094077</f>
        <v>388613061</v>
      </c>
      <c r="V395" s="7">
        <v>409720418</v>
      </c>
      <c r="W395" s="7">
        <v>330841017</v>
      </c>
      <c r="X395" s="7">
        <f>466250614-965113</f>
        <v>465285501</v>
      </c>
    </row>
    <row r="396" spans="2:24" ht="15" customHeight="1">
      <c r="B396" s="980" t="s">
        <v>378</v>
      </c>
      <c r="C396" s="980" t="s">
        <v>415</v>
      </c>
      <c r="E396" s="468" t="s">
        <v>431</v>
      </c>
      <c r="F396" s="126" t="s">
        <v>271</v>
      </c>
      <c r="G396" s="980" t="str">
        <f t="shared" si="409"/>
        <v>card_credit__VieON_variable_cost</v>
      </c>
      <c r="I396" s="85" t="s">
        <v>229</v>
      </c>
      <c r="J396" s="7">
        <f t="shared" si="381"/>
        <v>319327311.62346071</v>
      </c>
      <c r="K396" s="47">
        <f>SUM(K397:K406)</f>
        <v>28925175.761651978</v>
      </c>
      <c r="L396" s="47">
        <f t="shared" ref="L396:R396" si="417">SUM(L397:L406)</f>
        <v>32632731.417602137</v>
      </c>
      <c r="M396" s="47">
        <f t="shared" si="417"/>
        <v>32326713.600603759</v>
      </c>
      <c r="N396" s="47">
        <f t="shared" si="417"/>
        <v>30438125.362202194</v>
      </c>
      <c r="O396" s="47">
        <f t="shared" si="417"/>
        <v>39795779.610392749</v>
      </c>
      <c r="P396" s="47">
        <f t="shared" si="417"/>
        <v>13946901.919905953</v>
      </c>
      <c r="Q396" s="47">
        <f t="shared" si="417"/>
        <v>38911550.796056159</v>
      </c>
      <c r="R396" s="47">
        <f t="shared" si="417"/>
        <v>29725034.119581446</v>
      </c>
      <c r="S396" s="47">
        <f t="shared" ref="S396:X396" si="418">SUM(S397:S406)</f>
        <v>26696761.817889787</v>
      </c>
      <c r="T396" s="47">
        <f t="shared" si="418"/>
        <v>29280811.469221327</v>
      </c>
      <c r="U396" s="47">
        <f t="shared" si="418"/>
        <v>23633860.154397003</v>
      </c>
      <c r="V396" s="47">
        <f t="shared" si="418"/>
        <v>22462658.453470804</v>
      </c>
      <c r="W396" s="47">
        <f t="shared" si="418"/>
        <v>17183027.851799514</v>
      </c>
      <c r="X396" s="47">
        <f t="shared" si="418"/>
        <v>14926086.46794001</v>
      </c>
    </row>
    <row r="397" spans="2:24" ht="15" customHeight="1">
      <c r="B397" s="980" t="s">
        <v>378</v>
      </c>
      <c r="C397" s="980" t="s">
        <v>415</v>
      </c>
      <c r="E397" s="468" t="s">
        <v>431</v>
      </c>
      <c r="F397" s="126" t="s">
        <v>272</v>
      </c>
      <c r="G397" s="980" t="str">
        <f t="shared" si="409"/>
        <v>card_credit__VieON_marketing_acquisition_cost</v>
      </c>
      <c r="I397" s="563" t="s">
        <v>230</v>
      </c>
      <c r="J397" s="7">
        <f t="shared" si="381"/>
        <v>0</v>
      </c>
      <c r="K397" s="7"/>
      <c r="L397" s="7"/>
      <c r="N397" s="7"/>
      <c r="O397" s="7"/>
      <c r="Q397" s="7"/>
      <c r="V397" s="7"/>
      <c r="W397" s="7"/>
      <c r="X397" s="7"/>
    </row>
    <row r="398" spans="2:24" ht="15" customHeight="1">
      <c r="B398" s="980" t="s">
        <v>378</v>
      </c>
      <c r="C398" s="980" t="s">
        <v>415</v>
      </c>
      <c r="E398" s="468" t="s">
        <v>431</v>
      </c>
      <c r="F398" s="126" t="s">
        <v>273</v>
      </c>
      <c r="G398" s="980" t="str">
        <f t="shared" si="409"/>
        <v>card_credit__VieON_partner_acquisition_cost</v>
      </c>
      <c r="I398" s="563" t="s">
        <v>231</v>
      </c>
      <c r="J398" s="7">
        <f t="shared" si="381"/>
        <v>0</v>
      </c>
      <c r="K398" s="7"/>
      <c r="N398" s="7"/>
    </row>
    <row r="399" spans="2:24" ht="15" customHeight="1">
      <c r="B399" s="980" t="s">
        <v>378</v>
      </c>
      <c r="C399" s="980" t="s">
        <v>415</v>
      </c>
      <c r="E399" s="468" t="s">
        <v>431</v>
      </c>
      <c r="F399" s="126" t="s">
        <v>274</v>
      </c>
      <c r="G399" s="980" t="str">
        <f t="shared" si="409"/>
        <v>card_credit__VieON_underwritting</v>
      </c>
      <c r="I399" s="563" t="s">
        <v>232</v>
      </c>
      <c r="J399" s="7">
        <f t="shared" si="381"/>
        <v>142803446.35251683</v>
      </c>
      <c r="K399" s="7">
        <v>11989474.117810387</v>
      </c>
      <c r="L399" s="7">
        <v>15069606.304057645</v>
      </c>
      <c r="M399" s="7">
        <v>14009667.21089194</v>
      </c>
      <c r="N399" s="7">
        <v>12372872.540605303</v>
      </c>
      <c r="O399" s="7">
        <v>18325808.709404122</v>
      </c>
      <c r="P399" s="7">
        <v>1647547.6092094302</v>
      </c>
      <c r="Q399" s="7">
        <v>20167556.616678137</v>
      </c>
      <c r="R399" s="7">
        <v>18565987.914011471</v>
      </c>
      <c r="S399" s="7">
        <v>13679496.813736541</v>
      </c>
      <c r="T399" s="7">
        <v>14196033.744834548</v>
      </c>
      <c r="U399" s="7">
        <v>9747710.1338283867</v>
      </c>
      <c r="V399" s="7">
        <v>8331028.2757002292</v>
      </c>
      <c r="W399" s="7">
        <v>7657979.1084030643</v>
      </c>
      <c r="X399" s="7">
        <v>4101757.675213675</v>
      </c>
    </row>
    <row r="400" spans="2:24" ht="15" customHeight="1">
      <c r="B400" s="980" t="s">
        <v>378</v>
      </c>
      <c r="C400" s="980" t="s">
        <v>415</v>
      </c>
      <c r="E400" s="468" t="s">
        <v>431</v>
      </c>
      <c r="F400" s="126" t="s">
        <v>275</v>
      </c>
      <c r="G400" s="980" t="str">
        <f t="shared" si="409"/>
        <v>card_credit__VieON_e_contract</v>
      </c>
      <c r="I400" s="563" t="s">
        <v>233</v>
      </c>
      <c r="J400" s="7">
        <f t="shared" si="381"/>
        <v>610488.1518601526</v>
      </c>
      <c r="K400" s="7">
        <v>69553.63560334529</v>
      </c>
      <c r="L400" s="7">
        <v>86147.14249103023</v>
      </c>
      <c r="M400" s="7">
        <v>71090.332731958755</v>
      </c>
      <c r="N400" s="7">
        <v>52667.360824742267</v>
      </c>
      <c r="O400" s="7">
        <v>98728.75966249319</v>
      </c>
      <c r="P400" s="7">
        <v>9170.7628571428577</v>
      </c>
      <c r="Q400" s="7">
        <v>68819.629834254141</v>
      </c>
      <c r="R400" s="7">
        <v>64144.643440653526</v>
      </c>
      <c r="S400" s="7">
        <v>57109.760185185187</v>
      </c>
      <c r="T400" s="7">
        <v>54263.347550972576</v>
      </c>
      <c r="U400" s="7">
        <v>42331.897770945427</v>
      </c>
      <c r="V400" s="7">
        <v>31107.592446892209</v>
      </c>
      <c r="W400" s="7">
        <v>39345.780187573269</v>
      </c>
      <c r="X400" s="7">
        <v>21708.284367339242</v>
      </c>
    </row>
    <row r="401" spans="2:24" ht="15" customHeight="1">
      <c r="B401" s="980" t="s">
        <v>378</v>
      </c>
      <c r="C401" s="980" t="s">
        <v>415</v>
      </c>
      <c r="E401" s="468" t="s">
        <v>431</v>
      </c>
      <c r="F401" s="126" t="s">
        <v>276</v>
      </c>
      <c r="G401" s="980" t="str">
        <f t="shared" si="409"/>
        <v>card_credit__VieON_nfc</v>
      </c>
      <c r="I401" s="563" t="s">
        <v>152</v>
      </c>
      <c r="J401" s="7">
        <f t="shared" si="381"/>
        <v>7193170.3649802981</v>
      </c>
      <c r="K401" s="7"/>
      <c r="L401" s="7"/>
      <c r="M401" s="7">
        <v>982604.04123711342</v>
      </c>
      <c r="N401" s="7">
        <v>612921.2242268041</v>
      </c>
      <c r="O401" s="7">
        <v>1050479.9020141535</v>
      </c>
      <c r="P401" s="7">
        <v>94524.685714285719</v>
      </c>
      <c r="Q401" s="7">
        <v>694204.30939226516</v>
      </c>
      <c r="R401" s="7">
        <v>699188.41902931279</v>
      </c>
      <c r="S401" s="7">
        <v>715628.66666666663</v>
      </c>
      <c r="T401" s="7">
        <v>658942.24513709871</v>
      </c>
      <c r="U401" s="7">
        <v>562756.92544196779</v>
      </c>
      <c r="V401" s="7">
        <v>487119.37057435088</v>
      </c>
      <c r="W401" s="7">
        <v>336606.11957796011</v>
      </c>
      <c r="X401" s="7">
        <v>298194.45596831979</v>
      </c>
    </row>
    <row r="402" spans="2:24" ht="15" customHeight="1">
      <c r="B402" s="980" t="s">
        <v>378</v>
      </c>
      <c r="C402" s="980" t="s">
        <v>415</v>
      </c>
      <c r="E402" s="468" t="s">
        <v>431</v>
      </c>
      <c r="F402" s="126" t="s">
        <v>387</v>
      </c>
      <c r="G402" s="980" t="str">
        <f t="shared" si="409"/>
        <v>card_credit__VieON_mk</v>
      </c>
      <c r="I402" s="563" t="s">
        <v>388</v>
      </c>
      <c r="J402" s="7">
        <f t="shared" si="381"/>
        <v>40475810.983207919</v>
      </c>
      <c r="K402" s="7">
        <v>4800109.0909090908</v>
      </c>
      <c r="L402" s="7">
        <v>5772760.8833077047</v>
      </c>
      <c r="M402" s="7">
        <v>4438231.6885119509</v>
      </c>
      <c r="N402" s="7">
        <v>3778614.0528350514</v>
      </c>
      <c r="O402" s="7">
        <v>4621483.9598044539</v>
      </c>
      <c r="P402" s="7">
        <f t="shared" ref="P402:U402" si="419">P350/P100*P156</f>
        <v>504482.95454545459</v>
      </c>
      <c r="Q402" s="7">
        <f t="shared" si="419"/>
        <v>4777101.9797421731</v>
      </c>
      <c r="R402" s="7">
        <f t="shared" si="419"/>
        <v>4382125.3003363768</v>
      </c>
      <c r="S402" s="7">
        <f t="shared" si="419"/>
        <v>4143196.2962962966</v>
      </c>
      <c r="T402" s="7">
        <f t="shared" si="419"/>
        <v>3963679.5226415093</v>
      </c>
      <c r="U402" s="7">
        <f t="shared" si="419"/>
        <v>3387728.8578016912</v>
      </c>
      <c r="V402" s="7">
        <f>V350/V100*V156</f>
        <v>2465266.7191188042</v>
      </c>
      <c r="W402" s="7">
        <f>W350/W100*W156</f>
        <v>2754380.7151230946</v>
      </c>
      <c r="X402" s="7">
        <f>X350/X100*X156</f>
        <v>1259518.9364510654</v>
      </c>
    </row>
    <row r="403" spans="2:24" ht="15" customHeight="1">
      <c r="B403" s="980" t="s">
        <v>378</v>
      </c>
      <c r="C403" s="980" t="s">
        <v>415</v>
      </c>
      <c r="E403" s="468" t="s">
        <v>431</v>
      </c>
      <c r="F403" s="126" t="s">
        <v>385</v>
      </c>
      <c r="G403" s="980" t="str">
        <f t="shared" si="409"/>
        <v>card_credit__VieON_ems</v>
      </c>
      <c r="I403" s="563" t="s">
        <v>386</v>
      </c>
      <c r="J403" s="7">
        <f t="shared" si="381"/>
        <v>11387835.39091072</v>
      </c>
      <c r="K403" s="7">
        <v>1415852.6563636365</v>
      </c>
      <c r="L403" s="7">
        <v>1768097.217666154</v>
      </c>
      <c r="M403" s="7">
        <v>1238043.8666152661</v>
      </c>
      <c r="N403" s="7">
        <v>1161605.4017754868</v>
      </c>
      <c r="O403" s="7">
        <v>1140342.9760999456</v>
      </c>
      <c r="P403" s="7">
        <f t="shared" ref="P403:U403" si="420">P350/P100*P157</f>
        <v>146932.86079545456</v>
      </c>
      <c r="Q403" s="7">
        <f t="shared" si="420"/>
        <v>1329624.6507826888</v>
      </c>
      <c r="R403" s="7">
        <f t="shared" si="420"/>
        <v>1213162.8258049013</v>
      </c>
      <c r="S403" s="7">
        <f t="shared" si="420"/>
        <v>1145702.8324074075</v>
      </c>
      <c r="T403" s="7">
        <f t="shared" si="420"/>
        <v>1081223.9830188679</v>
      </c>
      <c r="U403" s="7">
        <f t="shared" si="420"/>
        <v>964169.95465026901</v>
      </c>
      <c r="V403" s="7">
        <f>V350/V100*V157</f>
        <v>772499.33595594019</v>
      </c>
      <c r="W403" s="7">
        <f>W350/W100*W157</f>
        <v>779744.72450175846</v>
      </c>
      <c r="X403" s="7">
        <f>X350/X100*X157</f>
        <v>414781.97850273433</v>
      </c>
    </row>
    <row r="404" spans="2:24" ht="15" customHeight="1">
      <c r="B404" s="980" t="s">
        <v>378</v>
      </c>
      <c r="C404" s="980" t="s">
        <v>415</v>
      </c>
      <c r="E404" s="468" t="s">
        <v>431</v>
      </c>
      <c r="F404" s="126" t="s">
        <v>277</v>
      </c>
      <c r="G404" s="980" t="str">
        <f t="shared" si="409"/>
        <v>card_credit__VieON_collection</v>
      </c>
      <c r="I404" s="563" t="s">
        <v>234</v>
      </c>
      <c r="J404" s="7">
        <f t="shared" si="381"/>
        <v>80365826.570094824</v>
      </c>
      <c r="K404" s="7">
        <v>5938690.0868390929</v>
      </c>
      <c r="L404" s="7">
        <v>8173526.8639356438</v>
      </c>
      <c r="M404" s="7">
        <v>7879298.063157496</v>
      </c>
      <c r="N404" s="7">
        <v>10011022.26266798</v>
      </c>
      <c r="O404" s="7">
        <v>9515990.191512363</v>
      </c>
      <c r="P404" s="7">
        <v>10388399.613649065</v>
      </c>
      <c r="Q404" s="7">
        <v>10213476.674685623</v>
      </c>
      <c r="R404" s="7">
        <v>3953446.5702547212</v>
      </c>
      <c r="S404" s="7">
        <v>5833171.6043407172</v>
      </c>
      <c r="T404">
        <v>6354848.8494687425</v>
      </c>
      <c r="U404" s="7">
        <v>7850377.8169566654</v>
      </c>
      <c r="V404" s="7">
        <v>2568171.0199018307</v>
      </c>
      <c r="W404" s="7">
        <v>3120570.1423390922</v>
      </c>
      <c r="X404" s="7">
        <v>2677053.7611605236</v>
      </c>
    </row>
    <row r="405" spans="2:24" ht="15" customHeight="1">
      <c r="B405" s="980" t="s">
        <v>378</v>
      </c>
      <c r="C405" s="980" t="s">
        <v>415</v>
      </c>
      <c r="E405" s="468" t="s">
        <v>431</v>
      </c>
      <c r="F405" s="126" t="s">
        <v>278</v>
      </c>
      <c r="G405" s="980" t="str">
        <f t="shared" si="409"/>
        <v>card_credit__VieON_promotion</v>
      </c>
      <c r="I405" s="563" t="s">
        <v>235</v>
      </c>
      <c r="J405" s="7">
        <f>SUM(M405:X405)</f>
        <v>25358178.808503564</v>
      </c>
      <c r="K405" s="7">
        <v>3530947.6243867101</v>
      </c>
      <c r="L405" s="7">
        <v>230679.82904514391</v>
      </c>
      <c r="M405" s="7">
        <v>2192544.9940706119</v>
      </c>
      <c r="N405" s="7">
        <v>1016236.8404557814</v>
      </c>
      <c r="O405" s="7">
        <v>3636443.8273155256</v>
      </c>
      <c r="P405" s="7">
        <v>113975.9533048267</v>
      </c>
      <c r="Q405" s="7">
        <v>1013390.6278080326</v>
      </c>
      <c r="R405" s="7">
        <v>248915.52427109182</v>
      </c>
      <c r="S405" s="7">
        <v>278860.73667048302</v>
      </c>
      <c r="T405" s="7">
        <v>2477264.052071006</v>
      </c>
      <c r="U405" s="7">
        <v>424893.84242268704</v>
      </c>
      <c r="V405" s="7">
        <v>7134991.983605626</v>
      </c>
      <c r="W405" s="7">
        <v>1296089.6642502861</v>
      </c>
      <c r="X405" s="7">
        <v>5524570.7622576067</v>
      </c>
    </row>
    <row r="406" spans="2:24" ht="15" customHeight="1">
      <c r="B406" s="980" t="s">
        <v>378</v>
      </c>
      <c r="C406" s="980" t="s">
        <v>415</v>
      </c>
      <c r="E406" s="468" t="s">
        <v>431</v>
      </c>
      <c r="F406" s="126" t="s">
        <v>279</v>
      </c>
      <c r="G406" s="980" t="str">
        <f t="shared" ref="G406:G407" si="421">B406&amp;"_"&amp;C406&amp;"_"&amp;D406&amp;"_"&amp;E406&amp;"_"&amp;F406</f>
        <v>card_credit__VieON_sms</v>
      </c>
      <c r="I406" s="563" t="s">
        <v>163</v>
      </c>
      <c r="J406" s="7">
        <f t="shared" si="381"/>
        <v>11132555.001386385</v>
      </c>
      <c r="K406" s="7">
        <v>1180548.5497397133</v>
      </c>
      <c r="L406" s="7">
        <v>1531913.177098816</v>
      </c>
      <c r="M406" s="7">
        <v>1515233.4033874243</v>
      </c>
      <c r="N406" s="7">
        <v>1432185.6788110447</v>
      </c>
      <c r="O406" s="7">
        <v>1406501.2845796924</v>
      </c>
      <c r="P406" s="7">
        <v>1041867.4798302935</v>
      </c>
      <c r="Q406" s="7">
        <v>647376.30713298044</v>
      </c>
      <c r="R406" s="7">
        <v>598062.92243291659</v>
      </c>
      <c r="S406" s="7">
        <v>843595.10758649139</v>
      </c>
      <c r="T406" s="7">
        <v>494555.72449858446</v>
      </c>
      <c r="U406" s="7">
        <v>653890.72552439303</v>
      </c>
      <c r="V406" s="7">
        <v>672474.15616713255</v>
      </c>
      <c r="W406" s="7">
        <v>1198311.5974166852</v>
      </c>
      <c r="X406" s="7">
        <v>628500.61401874619</v>
      </c>
    </row>
    <row r="407" spans="2:24" ht="15" customHeight="1">
      <c r="B407" s="980" t="s">
        <v>378</v>
      </c>
      <c r="C407" s="980" t="s">
        <v>415</v>
      </c>
      <c r="E407" s="468" t="s">
        <v>431</v>
      </c>
      <c r="F407" s="126" t="s">
        <v>280</v>
      </c>
      <c r="G407" s="980" t="str">
        <f t="shared" si="421"/>
        <v>card_credit__VieON_profit_before_overhead</v>
      </c>
      <c r="I407" s="85" t="s">
        <v>236</v>
      </c>
      <c r="J407" s="7">
        <f t="shared" si="381"/>
        <v>-1168770196.7745476</v>
      </c>
      <c r="K407" s="81">
        <f>K370-K395-K396</f>
        <v>-4400499.2811215967</v>
      </c>
      <c r="L407" s="81">
        <f t="shared" ref="L407:R407" si="422">L370-L395-L396</f>
        <v>-101673147.95908101</v>
      </c>
      <c r="M407" s="81">
        <f t="shared" si="422"/>
        <v>-150464566.70439029</v>
      </c>
      <c r="N407" s="81">
        <f t="shared" si="422"/>
        <v>-294739806.43681669</v>
      </c>
      <c r="O407" s="81">
        <f t="shared" si="422"/>
        <v>-256283328.3810339</v>
      </c>
      <c r="P407" s="81">
        <f t="shared" si="422"/>
        <v>-28807803.805294804</v>
      </c>
      <c r="Q407" s="81">
        <f t="shared" si="422"/>
        <v>1150679.7533684894</v>
      </c>
      <c r="R407" s="81">
        <f t="shared" si="422"/>
        <v>3548309.8446056992</v>
      </c>
      <c r="S407" s="81">
        <f>S370-S395-S396</f>
        <v>-44643039.01984892</v>
      </c>
      <c r="T407" s="81">
        <f>T370-T395-T396</f>
        <v>-56778286.326990098</v>
      </c>
      <c r="U407" s="81">
        <f>U370-U395-U396</f>
        <v>-85122454.935617685</v>
      </c>
      <c r="V407" s="81">
        <f>V370-V395-V396</f>
        <v>-66829341.341395058</v>
      </c>
      <c r="W407" s="81">
        <f t="shared" ref="W407:X407" si="423">W370-W395-W396</f>
        <v>804849.46669718996</v>
      </c>
      <c r="X407" s="81">
        <f t="shared" si="423"/>
        <v>-190605408.88783166</v>
      </c>
    </row>
    <row r="408" spans="2:24" ht="15" customHeight="1">
      <c r="E408" s="468"/>
      <c r="F408" s="756"/>
      <c r="I408" s="85"/>
      <c r="J408" s="34"/>
      <c r="K408" s="34"/>
      <c r="L408" s="34"/>
      <c r="M408" s="34"/>
      <c r="N408" s="7"/>
      <c r="O408" s="7"/>
      <c r="Q408" s="7"/>
    </row>
    <row r="409" spans="2:24" ht="15" customHeight="1">
      <c r="B409" s="980" t="s">
        <v>378</v>
      </c>
      <c r="C409" s="980" t="s">
        <v>415</v>
      </c>
      <c r="E409" s="468" t="s">
        <v>434</v>
      </c>
      <c r="G409" s="980" t="str">
        <f t="shared" ref="G409:G415" si="424">B409&amp;"_"&amp;C409&amp;"_"&amp;D409&amp;"_"&amp;E409&amp;"_"&amp;F409</f>
        <v>card_credit__ZALO_</v>
      </c>
      <c r="I409" s="82" t="s">
        <v>435</v>
      </c>
      <c r="K409" s="7"/>
      <c r="N409" s="7"/>
    </row>
    <row r="410" spans="2:24" ht="15" customHeight="1">
      <c r="B410" s="980" t="s">
        <v>378</v>
      </c>
      <c r="C410" s="980" t="s">
        <v>415</v>
      </c>
      <c r="E410" s="468" t="s">
        <v>434</v>
      </c>
      <c r="F410" s="126" t="s">
        <v>239</v>
      </c>
      <c r="G410" s="980" t="str">
        <f t="shared" si="424"/>
        <v>card_credit__ZALO_new_account</v>
      </c>
      <c r="I410" s="1052" t="s">
        <v>416</v>
      </c>
      <c r="K410" s="7">
        <v>12</v>
      </c>
      <c r="L410" s="7">
        <v>399</v>
      </c>
      <c r="M410">
        <v>138</v>
      </c>
      <c r="N410" s="7">
        <v>173</v>
      </c>
      <c r="O410" s="7">
        <v>101</v>
      </c>
      <c r="P410" s="7">
        <v>35</v>
      </c>
      <c r="Q410" s="7">
        <v>0</v>
      </c>
      <c r="R410" s="7">
        <v>0</v>
      </c>
      <c r="S410" s="7">
        <v>0</v>
      </c>
      <c r="T410" s="7">
        <v>80</v>
      </c>
      <c r="U410" s="7">
        <v>95</v>
      </c>
      <c r="V410">
        <v>84</v>
      </c>
      <c r="W410">
        <v>102</v>
      </c>
      <c r="X410" s="7">
        <v>97</v>
      </c>
    </row>
    <row r="411" spans="2:24" ht="15" customHeight="1">
      <c r="B411" s="980" t="s">
        <v>378</v>
      </c>
      <c r="C411" s="980" t="s">
        <v>415</v>
      </c>
      <c r="E411" s="468" t="s">
        <v>434</v>
      </c>
      <c r="F411" s="126" t="s">
        <v>240</v>
      </c>
      <c r="G411" s="980" t="str">
        <f t="shared" si="424"/>
        <v>card_credit__ZALO_accum_account</v>
      </c>
      <c r="I411" s="1052" t="s">
        <v>417</v>
      </c>
      <c r="K411" s="7">
        <v>1372</v>
      </c>
      <c r="L411" s="34">
        <v>1771</v>
      </c>
      <c r="M411" s="34">
        <v>1909</v>
      </c>
      <c r="N411" s="7">
        <v>2082</v>
      </c>
      <c r="O411" s="34">
        <f>N411+O410</f>
        <v>2183</v>
      </c>
      <c r="P411" s="7">
        <v>2218</v>
      </c>
      <c r="Q411" s="7">
        <v>2218</v>
      </c>
      <c r="R411" s="7">
        <v>2218</v>
      </c>
      <c r="S411" s="7">
        <v>2218</v>
      </c>
      <c r="T411" s="7">
        <v>2218</v>
      </c>
      <c r="U411" s="7">
        <f>T411+U410</f>
        <v>2313</v>
      </c>
      <c r="V411" s="7">
        <f>U411+V410</f>
        <v>2397</v>
      </c>
      <c r="W411" s="7">
        <f>V411+W410</f>
        <v>2499</v>
      </c>
      <c r="X411" s="7">
        <f>W411+X410</f>
        <v>2596</v>
      </c>
    </row>
    <row r="412" spans="2:24" ht="15" customHeight="1">
      <c r="B412" s="980" t="s">
        <v>378</v>
      </c>
      <c r="C412" s="980" t="s">
        <v>415</v>
      </c>
      <c r="E412" s="468" t="s">
        <v>434</v>
      </c>
      <c r="F412" s="126" t="s">
        <v>241</v>
      </c>
      <c r="G412" s="980" t="str">
        <f>B412&amp;"_"&amp;C412&amp;"_"&amp;D412&amp;"_"&amp;E412&amp;"_"&amp;F412</f>
        <v>card_credit__ZALO_active_account</v>
      </c>
      <c r="I412" s="1052" t="s">
        <v>418</v>
      </c>
      <c r="K412">
        <v>967</v>
      </c>
      <c r="L412">
        <v>1221</v>
      </c>
      <c r="M412">
        <v>1242</v>
      </c>
      <c r="N412" s="7">
        <v>1406</v>
      </c>
      <c r="O412">
        <v>1558</v>
      </c>
      <c r="P412" s="7">
        <v>1473</v>
      </c>
      <c r="Q412">
        <v>1360</v>
      </c>
      <c r="R412">
        <v>1269</v>
      </c>
      <c r="S412">
        <v>988</v>
      </c>
      <c r="T412">
        <v>970</v>
      </c>
      <c r="U412" s="7">
        <v>1024</v>
      </c>
      <c r="V412" s="7">
        <v>1037</v>
      </c>
      <c r="W412" s="7">
        <v>1037</v>
      </c>
      <c r="X412" s="7">
        <v>1111</v>
      </c>
    </row>
    <row r="413" spans="2:24" ht="15" customHeight="1">
      <c r="B413" s="980" t="s">
        <v>378</v>
      </c>
      <c r="C413" s="980" t="s">
        <v>415</v>
      </c>
      <c r="E413" s="468" t="s">
        <v>434</v>
      </c>
      <c r="F413" s="1230"/>
      <c r="G413" s="980" t="str">
        <f>B413&amp;"_"&amp;C413&amp;"_"&amp;D413&amp;"_"&amp;E413&amp;"_"&amp;F413</f>
        <v>card_credit__ZALO_</v>
      </c>
      <c r="I413" s="1052" t="s">
        <v>419</v>
      </c>
      <c r="K413" s="42">
        <f t="shared" ref="K413:Q413" si="425">K412/K411</f>
        <v>0.70481049562682219</v>
      </c>
      <c r="L413" s="42">
        <f t="shared" si="425"/>
        <v>0.68944099378881984</v>
      </c>
      <c r="M413" s="42">
        <f t="shared" si="425"/>
        <v>0.6506024096385542</v>
      </c>
      <c r="N413" s="42">
        <f t="shared" si="425"/>
        <v>0.67531219980787704</v>
      </c>
      <c r="O413" s="42">
        <f t="shared" si="425"/>
        <v>0.71369674759505264</v>
      </c>
      <c r="P413" s="42">
        <f t="shared" si="425"/>
        <v>0.66411181244364292</v>
      </c>
      <c r="Q413" s="42">
        <f t="shared" si="425"/>
        <v>0.61316501352569885</v>
      </c>
      <c r="R413" s="42">
        <f t="shared" ref="R413" si="426">R412/R411</f>
        <v>0.57213706041478807</v>
      </c>
      <c r="S413" s="42">
        <f t="shared" ref="S413:X413" si="427">S412/S411</f>
        <v>0.4454463480613165</v>
      </c>
      <c r="T413" s="42">
        <f t="shared" si="427"/>
        <v>0.43733092876465285</v>
      </c>
      <c r="U413" s="42">
        <f t="shared" si="427"/>
        <v>0.4427150886294855</v>
      </c>
      <c r="V413" s="42">
        <f t="shared" si="427"/>
        <v>0.43262411347517732</v>
      </c>
      <c r="W413" s="42">
        <f t="shared" si="427"/>
        <v>0.41496598639455784</v>
      </c>
      <c r="X413" s="42">
        <f t="shared" si="427"/>
        <v>0.42796610169491528</v>
      </c>
    </row>
    <row r="414" spans="2:24" ht="15" customHeight="1">
      <c r="B414" s="980" t="s">
        <v>378</v>
      </c>
      <c r="C414" s="980" t="s">
        <v>415</v>
      </c>
      <c r="E414" s="468" t="s">
        <v>434</v>
      </c>
      <c r="F414" s="126"/>
      <c r="G414" s="980" t="str">
        <f t="shared" si="424"/>
        <v>card_credit__ZALO_</v>
      </c>
      <c r="I414" s="1052" t="s">
        <v>197</v>
      </c>
      <c r="K414" s="7">
        <f t="shared" ref="K414:Q414" si="428">K416/K411</f>
        <v>3459416.9096209914</v>
      </c>
      <c r="L414" s="7">
        <f t="shared" si="428"/>
        <v>4750496.8944099378</v>
      </c>
      <c r="M414" s="7">
        <f t="shared" si="428"/>
        <v>4015587.2184389732</v>
      </c>
      <c r="N414" s="7">
        <f t="shared" si="428"/>
        <v>3980439.4202689719</v>
      </c>
      <c r="O414" s="7">
        <f t="shared" si="428"/>
        <v>5225221.274393037</v>
      </c>
      <c r="P414" s="7">
        <f t="shared" si="428"/>
        <v>4580505.4815148786</v>
      </c>
      <c r="Q414" s="7">
        <f t="shared" si="428"/>
        <v>4228321.2551848516</v>
      </c>
      <c r="R414" s="7">
        <f t="shared" ref="R414" si="429">R416/R411</f>
        <v>3818656.4039675379</v>
      </c>
      <c r="S414" s="7">
        <f t="shared" ref="S414:X414" si="430">S416/S411</f>
        <v>4416177.50270514</v>
      </c>
      <c r="T414" s="7">
        <f t="shared" si="430"/>
        <v>4303201.5067628482</v>
      </c>
      <c r="U414" s="7">
        <f t="shared" si="430"/>
        <v>4276250.246433204</v>
      </c>
      <c r="V414" s="7">
        <f t="shared" si="430"/>
        <v>4901367.3541927421</v>
      </c>
      <c r="W414" s="7">
        <f t="shared" si="430"/>
        <v>4517499.5790316118</v>
      </c>
      <c r="X414" s="7">
        <f t="shared" si="430"/>
        <v>6174456.0107858237</v>
      </c>
    </row>
    <row r="415" spans="2:24" ht="15" customHeight="1">
      <c r="B415" s="980" t="s">
        <v>378</v>
      </c>
      <c r="C415" s="980" t="s">
        <v>415</v>
      </c>
      <c r="E415" s="468" t="s">
        <v>434</v>
      </c>
      <c r="F415" s="1230"/>
      <c r="G415" s="980" t="str">
        <f t="shared" si="424"/>
        <v>card_credit__ZALO_</v>
      </c>
      <c r="I415" s="1053" t="s">
        <v>198</v>
      </c>
      <c r="K415" s="7">
        <f t="shared" ref="K415:Q415" si="431">K416/K412</f>
        <v>4908293.6918304032</v>
      </c>
      <c r="L415" s="7">
        <f t="shared" si="431"/>
        <v>6890360.3603603598</v>
      </c>
      <c r="M415" s="7">
        <f t="shared" si="431"/>
        <v>6172106.2801932367</v>
      </c>
      <c r="N415" s="7">
        <f t="shared" si="431"/>
        <v>5894221.1045519207</v>
      </c>
      <c r="O415" s="7">
        <f t="shared" si="431"/>
        <v>7321346.6251604622</v>
      </c>
      <c r="P415" s="7">
        <f t="shared" si="431"/>
        <v>6897190.1955193486</v>
      </c>
      <c r="Q415" s="7">
        <f t="shared" si="431"/>
        <v>6895894.5176470587</v>
      </c>
      <c r="R415" s="7">
        <f t="shared" ref="R415" si="432">R416/R412</f>
        <v>6674373.4468085095</v>
      </c>
      <c r="S415" s="7">
        <f t="shared" ref="S415:X415" si="433">S416/S412</f>
        <v>9914050.3046558704</v>
      </c>
      <c r="T415" s="7">
        <f t="shared" si="433"/>
        <v>9839691.6927835029</v>
      </c>
      <c r="U415" s="7">
        <f t="shared" si="433"/>
        <v>9659147.2851562519</v>
      </c>
      <c r="V415" s="7">
        <f t="shared" si="433"/>
        <v>11329390.11378978</v>
      </c>
      <c r="W415" s="7">
        <f t="shared" si="433"/>
        <v>10886433.411764704</v>
      </c>
      <c r="X415" s="7">
        <f t="shared" si="433"/>
        <v>14427441.767776776</v>
      </c>
    </row>
    <row r="416" spans="2:24" ht="15" customHeight="1">
      <c r="B416" s="980" t="s">
        <v>378</v>
      </c>
      <c r="C416" s="980" t="s">
        <v>415</v>
      </c>
      <c r="E416" s="468" t="s">
        <v>434</v>
      </c>
      <c r="F416" s="126" t="s">
        <v>242</v>
      </c>
      <c r="G416" s="980" t="str">
        <f>B416&amp;"_"&amp;C416&amp;"_"&amp;D416&amp;"_"&amp;E416&amp;"_"&amp;F416</f>
        <v>card_credit__ZALO_disburse/spend</v>
      </c>
      <c r="I416" s="1052" t="s">
        <v>199</v>
      </c>
      <c r="J416" s="34">
        <f>SUM(M416:X416)</f>
        <v>123664692784</v>
      </c>
      <c r="K416" s="7">
        <v>4746320000</v>
      </c>
      <c r="L416" s="7">
        <f>8413.13*10^6</f>
        <v>8413129999.999999</v>
      </c>
      <c r="M416" s="7">
        <v>7665756000</v>
      </c>
      <c r="N416" s="7">
        <v>8287274873</v>
      </c>
      <c r="O416" s="7">
        <v>11406658042</v>
      </c>
      <c r="P416" s="7">
        <v>10159561158</v>
      </c>
      <c r="Q416" s="7">
        <v>9378416544</v>
      </c>
      <c r="R416" s="7">
        <v>8469779903.999999</v>
      </c>
      <c r="S416" s="7">
        <v>9795081701</v>
      </c>
      <c r="T416" s="7">
        <v>9544500941.9999981</v>
      </c>
      <c r="U416" s="7">
        <v>9890966820.0000019</v>
      </c>
      <c r="V416" s="7">
        <v>11748577548.000002</v>
      </c>
      <c r="W416" s="7">
        <v>11289231447.999998</v>
      </c>
      <c r="X416" s="7">
        <v>16028887803.999998</v>
      </c>
    </row>
    <row r="417" spans="2:24" ht="15" customHeight="1">
      <c r="B417" s="980" t="s">
        <v>378</v>
      </c>
      <c r="C417" s="980" t="s">
        <v>415</v>
      </c>
      <c r="E417" s="468" t="s">
        <v>434</v>
      </c>
      <c r="F417" s="126" t="s">
        <v>243</v>
      </c>
      <c r="G417" s="980" t="str">
        <f>B417&amp;"_"&amp;C417&amp;"_"&amp;D417&amp;"_"&amp;E417&amp;"_"&amp;F417</f>
        <v>card_credit__ZALO_ENR</v>
      </c>
      <c r="I417" s="1052" t="s">
        <v>200</v>
      </c>
      <c r="J417" s="34"/>
      <c r="K417" s="7">
        <v>9412609114</v>
      </c>
      <c r="L417" s="7">
        <v>11781293186</v>
      </c>
      <c r="M417" s="7">
        <v>14457455705</v>
      </c>
      <c r="N417" s="7">
        <v>16796819521</v>
      </c>
      <c r="O417" s="7">
        <v>19068924939</v>
      </c>
      <c r="P417" s="7">
        <v>20317681651</v>
      </c>
      <c r="Q417" s="7">
        <v>20946834188</v>
      </c>
      <c r="R417" s="7">
        <v>20862577275</v>
      </c>
      <c r="S417" s="7">
        <v>20664192594</v>
      </c>
      <c r="T417" s="7">
        <v>21076183794</v>
      </c>
      <c r="U417" s="7">
        <v>22314522244</v>
      </c>
      <c r="V417" s="7">
        <v>23447259298</v>
      </c>
      <c r="W417" s="7">
        <v>25324687806</v>
      </c>
      <c r="X417" s="7">
        <v>26161078176</v>
      </c>
    </row>
    <row r="418" spans="2:24" ht="15" customHeight="1">
      <c r="B418" s="980" t="s">
        <v>378</v>
      </c>
      <c r="C418" s="980" t="s">
        <v>415</v>
      </c>
      <c r="E418" s="468" t="s">
        <v>434</v>
      </c>
      <c r="F418" s="126" t="s">
        <v>244</v>
      </c>
      <c r="G418" s="980" t="str">
        <f t="shared" ref="G418:G434" si="434">B418&amp;"_"&amp;C418&amp;"_"&amp;D418&amp;"_"&amp;E418&amp;"_"&amp;F418</f>
        <v>card_credit__ZALO_nonEMI_ENR</v>
      </c>
      <c r="I418" s="1072" t="s">
        <v>201</v>
      </c>
      <c r="J418" s="34"/>
      <c r="K418" s="7"/>
      <c r="L418" s="7"/>
      <c r="M418" s="7"/>
      <c r="N418" s="7"/>
      <c r="O418" s="7"/>
      <c r="Q418" s="7"/>
      <c r="R418" s="7"/>
      <c r="T418" s="34">
        <f>T417-T419</f>
        <v>20492540221</v>
      </c>
      <c r="U418" s="34">
        <f>U417-U419</f>
        <v>21193735329</v>
      </c>
      <c r="V418" s="34">
        <f>V417-V419</f>
        <v>22249056479</v>
      </c>
      <c r="W418" s="34">
        <f>W417-W419</f>
        <v>23969899816</v>
      </c>
      <c r="X418" s="34">
        <f>X417-X419</f>
        <v>24432035145</v>
      </c>
    </row>
    <row r="419" spans="2:24" ht="15" customHeight="1">
      <c r="B419" s="980" t="s">
        <v>378</v>
      </c>
      <c r="C419" s="980" t="s">
        <v>415</v>
      </c>
      <c r="E419" s="468" t="s">
        <v>434</v>
      </c>
      <c r="F419" s="126" t="s">
        <v>245</v>
      </c>
      <c r="G419" s="980" t="str">
        <f t="shared" si="434"/>
        <v>card_credit__ZALO_EMI_ENR</v>
      </c>
      <c r="I419" s="1052" t="s">
        <v>202</v>
      </c>
      <c r="J419" s="34"/>
      <c r="K419" s="7"/>
      <c r="L419" s="7"/>
      <c r="M419" s="7"/>
      <c r="N419" s="7"/>
      <c r="O419" s="7"/>
      <c r="Q419" s="7"/>
      <c r="R419" s="7"/>
      <c r="T419" s="7">
        <v>583643573</v>
      </c>
      <c r="U419" s="7">
        <v>1120786915</v>
      </c>
      <c r="V419" s="7">
        <v>1198202819</v>
      </c>
      <c r="W419" s="7">
        <v>1354787990</v>
      </c>
      <c r="X419" s="7">
        <v>1729043031</v>
      </c>
    </row>
    <row r="420" spans="2:24" ht="15" customHeight="1">
      <c r="B420" s="980" t="s">
        <v>378</v>
      </c>
      <c r="C420" s="980" t="s">
        <v>415</v>
      </c>
      <c r="E420" s="468" t="s">
        <v>434</v>
      </c>
      <c r="F420" s="126" t="s">
        <v>246</v>
      </c>
      <c r="G420" s="980" t="str">
        <f t="shared" si="434"/>
        <v>card_credit__ZALO_revolving_ENR</v>
      </c>
      <c r="I420" s="1052" t="s">
        <v>203</v>
      </c>
      <c r="K420" s="7">
        <v>6300000000</v>
      </c>
      <c r="L420" s="7">
        <v>7135000000</v>
      </c>
      <c r="M420" s="7">
        <v>8692000000</v>
      </c>
      <c r="N420" s="7">
        <v>10282000000</v>
      </c>
      <c r="O420" s="7">
        <v>11374106244</v>
      </c>
      <c r="P420" s="7">
        <v>12052896720</v>
      </c>
      <c r="Q420" s="7">
        <v>13596553597</v>
      </c>
      <c r="R420" s="7">
        <f>14166.694878*10^6</f>
        <v>14166694878</v>
      </c>
      <c r="S420" s="7">
        <v>14047409367</v>
      </c>
      <c r="T420" s="7">
        <v>14045678403</v>
      </c>
      <c r="U420" s="7">
        <v>13665257857.999998</v>
      </c>
      <c r="V420" s="7">
        <v>14116191254</v>
      </c>
      <c r="W420" s="7">
        <v>14901487118</v>
      </c>
      <c r="X420" s="7">
        <v>14447314369</v>
      </c>
    </row>
    <row r="421" spans="2:24" ht="15" customHeight="1">
      <c r="B421" s="980" t="s">
        <v>378</v>
      </c>
      <c r="C421" s="980" t="s">
        <v>415</v>
      </c>
      <c r="E421" s="468" t="s">
        <v>434</v>
      </c>
      <c r="F421" s="126" t="s">
        <v>247</v>
      </c>
      <c r="G421" s="980" t="str">
        <f t="shared" si="434"/>
        <v>card_credit__ZALO_overdue_balance_10d</v>
      </c>
      <c r="I421" s="1052" t="s">
        <v>204</v>
      </c>
      <c r="J421" s="34"/>
      <c r="K421" s="86">
        <f t="shared" ref="K421:R421" si="435">K422+K423</f>
        <v>1199724309</v>
      </c>
      <c r="L421" s="86">
        <f t="shared" si="435"/>
        <v>1882147691</v>
      </c>
      <c r="M421" s="86">
        <f t="shared" si="435"/>
        <v>2373547374</v>
      </c>
      <c r="N421" s="86">
        <f t="shared" si="435"/>
        <v>3035478558</v>
      </c>
      <c r="O421" s="7">
        <f t="shared" si="435"/>
        <v>3883122960</v>
      </c>
      <c r="P421" s="7">
        <f t="shared" si="435"/>
        <v>4054685690</v>
      </c>
      <c r="Q421" s="86">
        <f t="shared" si="435"/>
        <v>4450626846</v>
      </c>
      <c r="R421" s="86">
        <f t="shared" si="435"/>
        <v>5273023829</v>
      </c>
      <c r="S421" s="7">
        <f t="shared" ref="S421:X421" si="436">S422+S423</f>
        <v>5000644998</v>
      </c>
      <c r="T421" s="7">
        <f t="shared" si="436"/>
        <v>5096896103</v>
      </c>
      <c r="U421" s="7">
        <f t="shared" si="436"/>
        <v>5057001678</v>
      </c>
      <c r="V421" s="7">
        <f t="shared" si="436"/>
        <v>4761053572</v>
      </c>
      <c r="W421" s="7">
        <f t="shared" si="436"/>
        <v>4788496369</v>
      </c>
      <c r="X421" s="7">
        <f t="shared" si="436"/>
        <v>4638957231</v>
      </c>
    </row>
    <row r="422" spans="2:24" ht="15" customHeight="1">
      <c r="B422" s="980" t="s">
        <v>378</v>
      </c>
      <c r="C422" s="980" t="s">
        <v>415</v>
      </c>
      <c r="E422" s="468" t="s">
        <v>434</v>
      </c>
      <c r="F422" s="1230"/>
      <c r="G422" s="980" t="str">
        <f t="shared" si="434"/>
        <v>card_credit__ZALO_</v>
      </c>
      <c r="I422" s="1052" t="s">
        <v>205</v>
      </c>
      <c r="J422" s="34"/>
      <c r="K422" s="86">
        <v>1156571070</v>
      </c>
      <c r="L422" s="86">
        <v>1631781389</v>
      </c>
      <c r="M422" s="7">
        <v>1898609120</v>
      </c>
      <c r="N422" s="7">
        <v>2056392520</v>
      </c>
      <c r="O422" s="7">
        <v>2170490432</v>
      </c>
      <c r="P422" s="86">
        <v>2042048088</v>
      </c>
      <c r="Q422" s="86">
        <v>2071385979</v>
      </c>
      <c r="R422" s="7">
        <v>2374258274</v>
      </c>
      <c r="S422" s="7">
        <v>2527938065</v>
      </c>
      <c r="T422">
        <v>2631071213</v>
      </c>
      <c r="U422" s="7">
        <v>2412211877</v>
      </c>
      <c r="V422" s="7">
        <v>2590378040</v>
      </c>
      <c r="W422" s="7">
        <v>2603876574</v>
      </c>
      <c r="X422" s="7">
        <v>2904394398</v>
      </c>
    </row>
    <row r="423" spans="2:24" ht="15" customHeight="1">
      <c r="B423" s="980" t="s">
        <v>378</v>
      </c>
      <c r="C423" s="980" t="s">
        <v>415</v>
      </c>
      <c r="E423" s="468" t="s">
        <v>434</v>
      </c>
      <c r="F423" s="126" t="s">
        <v>248</v>
      </c>
      <c r="G423" s="980" t="str">
        <f t="shared" si="434"/>
        <v>card_credit__ZALO_overdue_balance_90d</v>
      </c>
      <c r="I423" s="1052" t="s">
        <v>206</v>
      </c>
      <c r="J423" s="34"/>
      <c r="K423" s="86">
        <v>43153239</v>
      </c>
      <c r="L423" s="86">
        <v>250366302</v>
      </c>
      <c r="M423" s="7">
        <v>474938254</v>
      </c>
      <c r="N423" s="7">
        <v>979086038</v>
      </c>
      <c r="O423" s="7">
        <v>1712632528</v>
      </c>
      <c r="P423" s="86">
        <v>2012637602</v>
      </c>
      <c r="Q423" s="86">
        <v>2379240867</v>
      </c>
      <c r="R423" s="7">
        <v>2898765555</v>
      </c>
      <c r="S423" s="7">
        <v>2472706933</v>
      </c>
      <c r="T423">
        <v>2465824890</v>
      </c>
      <c r="U423" s="7">
        <v>2644789801</v>
      </c>
      <c r="V423" s="7">
        <v>2170675532</v>
      </c>
      <c r="W423" s="7">
        <v>2184619795</v>
      </c>
      <c r="X423" s="7">
        <v>1734562833</v>
      </c>
    </row>
    <row r="424" spans="2:24" ht="15" customHeight="1">
      <c r="B424" s="980" t="s">
        <v>378</v>
      </c>
      <c r="C424" s="980" t="s">
        <v>415</v>
      </c>
      <c r="E424" s="468" t="s">
        <v>434</v>
      </c>
      <c r="F424" s="1229" t="s">
        <v>213</v>
      </c>
      <c r="G424" s="980" t="str">
        <f t="shared" si="434"/>
        <v>card_credit__ZALO_npl</v>
      </c>
      <c r="I424" s="226" t="s">
        <v>423</v>
      </c>
      <c r="K424" s="345">
        <v>4.5846203191222843E-3</v>
      </c>
      <c r="L424" s="345">
        <v>4.5846203191222843E-3</v>
      </c>
      <c r="M424" s="345">
        <f>M423/M417</f>
        <v>3.2850749377412669E-2</v>
      </c>
      <c r="N424" s="345">
        <f t="shared" ref="N424:R424" si="437">N423/N417</f>
        <v>5.8289965953132419E-2</v>
      </c>
      <c r="O424" s="345">
        <f t="shared" si="437"/>
        <v>8.9812746836991475E-2</v>
      </c>
      <c r="P424" s="345">
        <f t="shared" si="437"/>
        <v>9.9058427854682995E-2</v>
      </c>
      <c r="Q424" s="345">
        <f t="shared" si="437"/>
        <v>0.11358474725326355</v>
      </c>
      <c r="R424" s="345">
        <f t="shared" si="437"/>
        <v>0.13894570727240121</v>
      </c>
      <c r="S424" s="345">
        <f t="shared" ref="S424:X424" si="438">S423/S417</f>
        <v>0.11966143471378449</v>
      </c>
      <c r="T424" s="345">
        <f t="shared" si="438"/>
        <v>0.11699579554349752</v>
      </c>
      <c r="U424" s="345">
        <f t="shared" si="438"/>
        <v>0.11852325459090389</v>
      </c>
      <c r="V424" s="345">
        <f t="shared" si="438"/>
        <v>9.2576940631400526E-2</v>
      </c>
      <c r="W424" s="345">
        <f t="shared" si="438"/>
        <v>8.6264431440786146E-2</v>
      </c>
      <c r="X424" s="345">
        <f t="shared" si="438"/>
        <v>6.6303186028138408E-2</v>
      </c>
    </row>
    <row r="425" spans="2:24" ht="15" customHeight="1">
      <c r="B425" s="980" t="s">
        <v>378</v>
      </c>
      <c r="C425" s="980" t="s">
        <v>415</v>
      </c>
      <c r="E425" s="468" t="s">
        <v>434</v>
      </c>
      <c r="F425" s="126" t="s">
        <v>250</v>
      </c>
      <c r="G425" s="980" t="str">
        <f t="shared" si="434"/>
        <v>card_credit__ZALO_overdue_account_10d</v>
      </c>
      <c r="I425" s="1052" t="s">
        <v>208</v>
      </c>
      <c r="K425" s="7">
        <v>184</v>
      </c>
      <c r="L425" s="7">
        <v>278</v>
      </c>
      <c r="M425">
        <f>M426+M427</f>
        <v>387</v>
      </c>
      <c r="N425">
        <f>N426+N427</f>
        <v>447</v>
      </c>
      <c r="O425">
        <f>O426+O427</f>
        <v>473</v>
      </c>
      <c r="P425" s="86"/>
    </row>
    <row r="426" spans="2:24" ht="15" customHeight="1">
      <c r="B426" s="980" t="s">
        <v>378</v>
      </c>
      <c r="C426" s="980" t="s">
        <v>415</v>
      </c>
      <c r="E426" s="468" t="s">
        <v>434</v>
      </c>
      <c r="F426" s="126"/>
      <c r="G426" s="980" t="str">
        <f t="shared" si="434"/>
        <v>card_credit__ZALO_</v>
      </c>
      <c r="I426" s="1052" t="s">
        <v>209</v>
      </c>
      <c r="K426" s="7">
        <v>184</v>
      </c>
      <c r="L426" s="7">
        <v>275</v>
      </c>
      <c r="M426">
        <v>319</v>
      </c>
      <c r="N426" s="7">
        <v>326</v>
      </c>
      <c r="O426">
        <v>355</v>
      </c>
      <c r="P426" s="86"/>
    </row>
    <row r="427" spans="2:24" ht="15" customHeight="1">
      <c r="B427" s="980" t="s">
        <v>378</v>
      </c>
      <c r="C427" s="980" t="s">
        <v>415</v>
      </c>
      <c r="E427" s="468" t="s">
        <v>434</v>
      </c>
      <c r="F427" s="126" t="s">
        <v>251</v>
      </c>
      <c r="G427" s="980" t="str">
        <f t="shared" si="434"/>
        <v>card_credit__ZALO_overdue_account_90d</v>
      </c>
      <c r="I427" s="1052" t="s">
        <v>210</v>
      </c>
      <c r="K427" s="7">
        <v>0</v>
      </c>
      <c r="L427" s="7">
        <v>3</v>
      </c>
      <c r="M427">
        <v>68</v>
      </c>
      <c r="N427" s="7">
        <v>121</v>
      </c>
      <c r="O427">
        <v>118</v>
      </c>
      <c r="P427" s="86"/>
    </row>
    <row r="428" spans="2:24" ht="15" customHeight="1">
      <c r="B428" s="980" t="s">
        <v>378</v>
      </c>
      <c r="C428" s="980" t="s">
        <v>415</v>
      </c>
      <c r="E428" s="468" t="s">
        <v>434</v>
      </c>
      <c r="F428" s="126" t="s">
        <v>252</v>
      </c>
      <c r="G428" s="980" t="str">
        <f t="shared" si="434"/>
        <v>card_credit__ZALO_revenue</v>
      </c>
      <c r="I428" s="85" t="s">
        <v>215</v>
      </c>
      <c r="J428" s="7">
        <f t="shared" ref="J428:J467" si="439">SUM(M428:X428)</f>
        <v>6573982923.9852276</v>
      </c>
      <c r="K428" s="7"/>
      <c r="L428" s="7"/>
      <c r="M428" s="7"/>
      <c r="N428" s="7"/>
      <c r="O428" s="7">
        <f>O432+O438+O454</f>
        <v>394532455.92092097</v>
      </c>
      <c r="P428" s="7">
        <f t="shared" ref="P428:R428" si="440">P432+P438+P454</f>
        <v>482338845.73600823</v>
      </c>
      <c r="Q428" s="7">
        <f t="shared" si="440"/>
        <v>616216871.07534516</v>
      </c>
      <c r="R428" s="7">
        <f t="shared" si="440"/>
        <v>583435916.26614058</v>
      </c>
      <c r="S428" s="7">
        <f>S432+S438+S454</f>
        <v>491935451.73143774</v>
      </c>
      <c r="T428" s="86">
        <f>T432+T438+T454</f>
        <v>716976181.19390607</v>
      </c>
      <c r="U428" s="86">
        <f t="shared" ref="U428:X428" si="441">U432+U438+U454</f>
        <v>994807728.71340942</v>
      </c>
      <c r="V428" s="86">
        <f t="shared" si="441"/>
        <v>710617611.67541039</v>
      </c>
      <c r="W428" s="86">
        <f t="shared" si="441"/>
        <v>725874875.30483186</v>
      </c>
      <c r="X428" s="86">
        <f t="shared" si="441"/>
        <v>857246986.36781836</v>
      </c>
    </row>
    <row r="429" spans="2:24" ht="15" customHeight="1">
      <c r="B429" s="980" t="s">
        <v>378</v>
      </c>
      <c r="C429" s="980" t="s">
        <v>415</v>
      </c>
      <c r="E429" s="468" t="s">
        <v>434</v>
      </c>
      <c r="F429" s="126" t="s">
        <v>253</v>
      </c>
      <c r="G429" s="980" t="str">
        <f t="shared" si="434"/>
        <v>card_credit__ZALO_COGs</v>
      </c>
      <c r="I429" s="47" t="s">
        <v>216</v>
      </c>
      <c r="J429" s="7">
        <f t="shared" si="439"/>
        <v>1446534799.514214</v>
      </c>
      <c r="K429" s="7"/>
      <c r="N429" s="7"/>
      <c r="O429" s="34">
        <f>O436+O449</f>
        <v>141212816.58719677</v>
      </c>
      <c r="P429" s="34">
        <f t="shared" ref="P429:R429" si="442">P436+P449</f>
        <v>133641038.13219669</v>
      </c>
      <c r="Q429" s="34">
        <f t="shared" si="442"/>
        <v>127575087.41470027</v>
      </c>
      <c r="R429" s="34">
        <f t="shared" si="442"/>
        <v>92607249.835513473</v>
      </c>
      <c r="S429" s="34">
        <f>S436+S449</f>
        <v>130243791.5342349</v>
      </c>
      <c r="T429" s="34">
        <f>T436+T449</f>
        <v>138913318.54579562</v>
      </c>
      <c r="U429" s="34">
        <f t="shared" ref="U429:X429" si="443">U436+U449</f>
        <v>149041430.12892541</v>
      </c>
      <c r="V429" s="34">
        <f t="shared" si="443"/>
        <v>164464950.81369704</v>
      </c>
      <c r="W429" s="34">
        <f t="shared" si="443"/>
        <v>167912376.09051728</v>
      </c>
      <c r="X429" s="7">
        <f t="shared" si="443"/>
        <v>200922740.4314366</v>
      </c>
    </row>
    <row r="430" spans="2:24" ht="15" customHeight="1">
      <c r="B430" s="980" t="s">
        <v>378</v>
      </c>
      <c r="C430" s="980" t="s">
        <v>415</v>
      </c>
      <c r="E430" s="468" t="s">
        <v>434</v>
      </c>
      <c r="F430" s="126" t="s">
        <v>217</v>
      </c>
      <c r="G430" s="980" t="str">
        <f>B430&amp;"_"&amp;C430&amp;"_"&amp;D430&amp;"_"&amp;E430&amp;"_"&amp;F430</f>
        <v>card_credit__ZALO_TOI</v>
      </c>
      <c r="I430" s="226" t="s">
        <v>217</v>
      </c>
      <c r="J430" s="7">
        <f t="shared" si="439"/>
        <v>5712355725.6289272</v>
      </c>
      <c r="K430" s="47">
        <f t="shared" ref="K430:Q430" si="444">K431+K437+K454</f>
        <v>187577688.62165055</v>
      </c>
      <c r="L430" s="47">
        <f t="shared" si="444"/>
        <v>196957982.91607225</v>
      </c>
      <c r="M430" s="47">
        <f t="shared" si="444"/>
        <v>297511680.75095117</v>
      </c>
      <c r="N430" s="47">
        <f t="shared" si="444"/>
        <v>287395920.40696222</v>
      </c>
      <c r="O430" s="47">
        <f t="shared" si="444"/>
        <v>253319639.3337242</v>
      </c>
      <c r="P430" s="47">
        <f t="shared" si="444"/>
        <v>348697807.6038115</v>
      </c>
      <c r="Q430" s="47">
        <f t="shared" si="444"/>
        <v>488641783.66064489</v>
      </c>
      <c r="R430" s="47">
        <f t="shared" ref="R430" si="445">R431+R437+R454</f>
        <v>490828666.43062711</v>
      </c>
      <c r="S430" s="47">
        <f>S431+S437+S454</f>
        <v>361691660.19720286</v>
      </c>
      <c r="T430" s="47">
        <f>T431+T437+T454</f>
        <v>578062862.64811039</v>
      </c>
      <c r="U430" s="47">
        <f t="shared" ref="U430:X430" si="446">U431+U437+U454</f>
        <v>845766298.58448398</v>
      </c>
      <c r="V430" s="47">
        <f t="shared" si="446"/>
        <v>546152660.86171341</v>
      </c>
      <c r="W430" s="47">
        <f t="shared" si="446"/>
        <v>557962499.21431458</v>
      </c>
      <c r="X430" s="47">
        <f t="shared" si="446"/>
        <v>656324245.9363817</v>
      </c>
    </row>
    <row r="431" spans="2:24" ht="15" customHeight="1">
      <c r="B431" s="980" t="s">
        <v>378</v>
      </c>
      <c r="C431" s="980" t="s">
        <v>415</v>
      </c>
      <c r="E431" s="468" t="s">
        <v>434</v>
      </c>
      <c r="F431" s="126" t="s">
        <v>254</v>
      </c>
      <c r="G431" s="980" t="str">
        <f>B431&amp;"_"&amp;C431&amp;"_"&amp;D431&amp;"_"&amp;E431&amp;"_"&amp;F431</f>
        <v>card_credit__ZALO_NII</v>
      </c>
      <c r="I431" s="1055" t="s">
        <v>218</v>
      </c>
      <c r="J431" s="7">
        <f t="shared" si="439"/>
        <v>3379187808.3196788</v>
      </c>
      <c r="K431" s="47">
        <f t="shared" ref="K431:Q431" si="447">K432-K436</f>
        <v>175933084.70070529</v>
      </c>
      <c r="L431" s="47">
        <f>L432-L436</f>
        <v>130742840.57949212</v>
      </c>
      <c r="M431" s="47">
        <f t="shared" si="447"/>
        <v>160271466.59299797</v>
      </c>
      <c r="N431" s="47">
        <f t="shared" si="447"/>
        <v>206240699.52823842</v>
      </c>
      <c r="O431" s="47">
        <f t="shared" si="447"/>
        <v>179838340.27900589</v>
      </c>
      <c r="P431" s="47">
        <f t="shared" si="447"/>
        <v>309964557.22137892</v>
      </c>
      <c r="Q431" s="47">
        <f t="shared" si="447"/>
        <v>285751524.09482038</v>
      </c>
      <c r="R431" s="47">
        <f t="shared" ref="R431" si="448">R432-R436</f>
        <v>336452207.4747619</v>
      </c>
      <c r="S431" s="47">
        <f>S432-S436</f>
        <v>289279381.97985482</v>
      </c>
      <c r="T431" s="47">
        <f>T432-T436</f>
        <v>340360096.22349107</v>
      </c>
      <c r="U431" s="47">
        <f t="shared" ref="U431:X431" si="449">U432-U436</f>
        <v>299117058.73928642</v>
      </c>
      <c r="V431" s="47">
        <f t="shared" si="449"/>
        <v>306086548.19957811</v>
      </c>
      <c r="W431" s="47">
        <f t="shared" si="449"/>
        <v>335855331.59443033</v>
      </c>
      <c r="X431" s="47">
        <f t="shared" si="449"/>
        <v>329970596.39183444</v>
      </c>
    </row>
    <row r="432" spans="2:24" ht="15" customHeight="1">
      <c r="B432" s="980" t="s">
        <v>378</v>
      </c>
      <c r="C432" s="980" t="s">
        <v>415</v>
      </c>
      <c r="E432" s="468" t="s">
        <v>434</v>
      </c>
      <c r="F432" s="126" t="s">
        <v>255</v>
      </c>
      <c r="G432" s="980" t="str">
        <f>B432&amp;"_"&amp;C432&amp;"_"&amp;D432&amp;"_"&amp;E432&amp;"_"&amp;F432</f>
        <v>card_credit__ZALO_CII</v>
      </c>
      <c r="I432" s="1060" t="s">
        <v>20</v>
      </c>
      <c r="J432" s="7">
        <f t="shared" si="439"/>
        <v>4424778348</v>
      </c>
      <c r="K432" s="47">
        <f t="shared" ref="K432:Q432" si="450">K433-K434+K435</f>
        <v>207441627</v>
      </c>
      <c r="L432" s="47">
        <f>L433-L434+L435</f>
        <v>173409447</v>
      </c>
      <c r="M432" s="47">
        <f t="shared" si="450"/>
        <v>213338530</v>
      </c>
      <c r="N432" s="47">
        <f t="shared" si="450"/>
        <v>265326577</v>
      </c>
      <c r="O432" s="47">
        <f t="shared" si="450"/>
        <v>251762160</v>
      </c>
      <c r="P432" s="47">
        <f t="shared" si="450"/>
        <v>379902766</v>
      </c>
      <c r="Q432" s="47">
        <f t="shared" si="450"/>
        <v>364942264</v>
      </c>
      <c r="R432" s="47">
        <f t="shared" ref="R432" si="451">R433-R434+R435</f>
        <v>415515878</v>
      </c>
      <c r="S432" s="47">
        <f>S433-S434+S435</f>
        <v>374739194</v>
      </c>
      <c r="T432" s="47">
        <f>T433-T434+T435</f>
        <v>432531159</v>
      </c>
      <c r="U432" s="47">
        <f t="shared" ref="U432:X432" si="452">U433-U434+U435</f>
        <v>396059161</v>
      </c>
      <c r="V432" s="47">
        <f t="shared" si="452"/>
        <v>415199813</v>
      </c>
      <c r="W432" s="47">
        <f>W433-W434+W435</f>
        <v>444390949</v>
      </c>
      <c r="X432" s="47">
        <f t="shared" si="452"/>
        <v>471069897</v>
      </c>
    </row>
    <row r="433" spans="2:24" ht="15" customHeight="1">
      <c r="B433" s="980" t="s">
        <v>378</v>
      </c>
      <c r="C433" s="980" t="s">
        <v>415</v>
      </c>
      <c r="E433" s="468" t="s">
        <v>434</v>
      </c>
      <c r="F433" s="1229"/>
      <c r="G433" s="980" t="str">
        <f t="shared" si="434"/>
        <v>card_credit__ZALO_</v>
      </c>
      <c r="I433" s="1061" t="s">
        <v>256</v>
      </c>
      <c r="J433" s="7">
        <f t="shared" si="439"/>
        <v>4434836670</v>
      </c>
      <c r="K433" s="7">
        <v>227876054</v>
      </c>
      <c r="L433" s="7">
        <v>191181320</v>
      </c>
      <c r="M433" s="7">
        <v>217874591</v>
      </c>
      <c r="N433" s="7">
        <v>281514657</v>
      </c>
      <c r="O433" s="7">
        <v>243802625</v>
      </c>
      <c r="P433" s="7">
        <v>357497136</v>
      </c>
      <c r="Q433" s="7">
        <v>405386600</v>
      </c>
      <c r="R433" s="89">
        <v>404823707</v>
      </c>
      <c r="S433" s="89">
        <v>373424910</v>
      </c>
      <c r="T433" s="89">
        <v>428970761</v>
      </c>
      <c r="U433" s="89">
        <v>396246564</v>
      </c>
      <c r="V433" s="89">
        <v>408346112</v>
      </c>
      <c r="W433" s="89">
        <v>439887410</v>
      </c>
      <c r="X433" s="7">
        <v>477061597</v>
      </c>
    </row>
    <row r="434" spans="2:24" ht="15" customHeight="1">
      <c r="B434" s="980" t="s">
        <v>378</v>
      </c>
      <c r="C434" s="980" t="s">
        <v>415</v>
      </c>
      <c r="E434" s="468" t="s">
        <v>434</v>
      </c>
      <c r="F434" s="1229"/>
      <c r="G434" s="980" t="str">
        <f t="shared" si="434"/>
        <v>card_credit__ZALO_</v>
      </c>
      <c r="I434" s="1061" t="s">
        <v>259</v>
      </c>
      <c r="J434" s="7">
        <f t="shared" si="439"/>
        <v>649749584</v>
      </c>
      <c r="K434" s="7">
        <v>23753049</v>
      </c>
      <c r="L434" s="7">
        <f>31116676+10408246</f>
        <v>41524922</v>
      </c>
      <c r="M434" s="7">
        <v>46060983</v>
      </c>
      <c r="N434" s="7">
        <v>62249063</v>
      </c>
      <c r="O434" s="7">
        <v>54289528</v>
      </c>
      <c r="P434" s="7">
        <v>31883898</v>
      </c>
      <c r="Q434" s="7">
        <v>72328234</v>
      </c>
      <c r="R434" s="34">
        <v>61636063</v>
      </c>
      <c r="S434" s="7">
        <v>60321779</v>
      </c>
      <c r="T434" s="7">
        <v>56761381</v>
      </c>
      <c r="U434" s="7">
        <v>56948784</v>
      </c>
      <c r="V434" s="7">
        <v>50095083</v>
      </c>
      <c r="W434" s="7">
        <v>45591544</v>
      </c>
      <c r="X434" s="7">
        <v>51583244</v>
      </c>
    </row>
    <row r="435" spans="2:24" ht="15" customHeight="1">
      <c r="B435" s="980" t="s">
        <v>378</v>
      </c>
      <c r="C435" s="980" t="s">
        <v>415</v>
      </c>
      <c r="E435" s="468" t="s">
        <v>434</v>
      </c>
      <c r="F435" s="756"/>
      <c r="G435" s="980" t="str">
        <f t="shared" ref="G435:G472" si="453">B435&amp;"_"&amp;C435&amp;"_"&amp;D435&amp;"_"&amp;E435&amp;"_"&amp;F435</f>
        <v>card_credit__ZALO_</v>
      </c>
      <c r="I435" s="1061" t="s">
        <v>228</v>
      </c>
      <c r="J435" s="7">
        <f t="shared" si="439"/>
        <v>639691262</v>
      </c>
      <c r="K435" s="7">
        <v>3318622</v>
      </c>
      <c r="L435" s="7">
        <v>23753049</v>
      </c>
      <c r="M435" s="7">
        <f>31116676+10408246</f>
        <v>41524922</v>
      </c>
      <c r="N435" s="7">
        <v>46060983</v>
      </c>
      <c r="O435" s="7">
        <v>62249063</v>
      </c>
      <c r="P435" s="7">
        <v>54289528</v>
      </c>
      <c r="Q435" s="7">
        <v>31883898</v>
      </c>
      <c r="R435" s="7">
        <v>72328234</v>
      </c>
      <c r="S435" s="34">
        <v>61636063</v>
      </c>
      <c r="T435" s="7">
        <v>60321779</v>
      </c>
      <c r="U435" s="7">
        <v>56761381</v>
      </c>
      <c r="V435" s="7">
        <v>56948784</v>
      </c>
      <c r="W435" s="7">
        <v>50095083</v>
      </c>
      <c r="X435" s="7">
        <v>45591544</v>
      </c>
    </row>
    <row r="436" spans="2:24" ht="15" customHeight="1">
      <c r="B436" s="980" t="s">
        <v>378</v>
      </c>
      <c r="C436" s="980" t="s">
        <v>415</v>
      </c>
      <c r="E436" s="468" t="s">
        <v>434</v>
      </c>
      <c r="F436" s="126" t="s">
        <v>219</v>
      </c>
      <c r="G436" s="980" t="str">
        <f>B436&amp;"_"&amp;C436&amp;"_"&amp;D436&amp;"_"&amp;E436&amp;"_"&amp;F436</f>
        <v>card_credit__ZALO_COF</v>
      </c>
      <c r="I436" s="1060" t="s">
        <v>219</v>
      </c>
      <c r="J436" s="7">
        <f t="shared" si="439"/>
        <v>1045590539.6803215</v>
      </c>
      <c r="K436" s="47">
        <v>31508542.299294699</v>
      </c>
      <c r="L436" s="47">
        <v>42666606.420507878</v>
      </c>
      <c r="M436" s="47">
        <f t="shared" ref="M436:R436" si="454">M417/M107*M130</f>
        <v>53067063.407002032</v>
      </c>
      <c r="N436" s="47">
        <f t="shared" si="454"/>
        <v>59085877.471761599</v>
      </c>
      <c r="O436" s="47">
        <f t="shared" si="454"/>
        <v>71923819.72099413</v>
      </c>
      <c r="P436" s="47">
        <f t="shared" si="454"/>
        <v>69938208.778621048</v>
      </c>
      <c r="Q436" s="47">
        <f t="shared" si="454"/>
        <v>79190739.905179635</v>
      </c>
      <c r="R436" s="47">
        <f t="shared" si="454"/>
        <v>79063670.525238097</v>
      </c>
      <c r="S436" s="47">
        <f t="shared" ref="S436:X436" si="455">S417/S107*S130</f>
        <v>85459812.020145208</v>
      </c>
      <c r="T436" s="47">
        <f t="shared" si="455"/>
        <v>92171062.776508957</v>
      </c>
      <c r="U436" s="47">
        <f t="shared" si="455"/>
        <v>96942102.260713577</v>
      </c>
      <c r="V436" s="47">
        <f t="shared" si="455"/>
        <v>109113264.80042191</v>
      </c>
      <c r="W436" s="47">
        <f t="shared" si="455"/>
        <v>108535617.40556967</v>
      </c>
      <c r="X436" s="47">
        <f t="shared" si="455"/>
        <v>141099300.60816556</v>
      </c>
    </row>
    <row r="437" spans="2:24" ht="15" customHeight="1">
      <c r="B437" s="980" t="s">
        <v>378</v>
      </c>
      <c r="C437" s="980" t="s">
        <v>415</v>
      </c>
      <c r="E437" s="468" t="s">
        <v>434</v>
      </c>
      <c r="F437" s="126" t="s">
        <v>260</v>
      </c>
      <c r="G437" s="980" t="str">
        <f>B437&amp;"_"&amp;C437&amp;"_"&amp;D437&amp;"_"&amp;E437&amp;"_"&amp;F437</f>
        <v>card_credit__ZALO_NFI</v>
      </c>
      <c r="I437" s="1055" t="s">
        <v>220</v>
      </c>
      <c r="J437" s="7">
        <f t="shared" si="439"/>
        <v>2293032465.3092494</v>
      </c>
      <c r="K437" s="47">
        <f t="shared" ref="K437:Q437" si="456">K438-K449</f>
        <v>11644603.920945246</v>
      </c>
      <c r="L437" s="47">
        <f t="shared" si="456"/>
        <v>66215142.336580142</v>
      </c>
      <c r="M437" s="47">
        <f t="shared" si="456"/>
        <v>137240214.1579532</v>
      </c>
      <c r="N437" s="47">
        <f t="shared" si="456"/>
        <v>81155220.878723815</v>
      </c>
      <c r="O437" s="47">
        <f t="shared" si="456"/>
        <v>73481299.054718316</v>
      </c>
      <c r="P437" s="47">
        <f t="shared" si="456"/>
        <v>33143451.382432587</v>
      </c>
      <c r="Q437" s="47">
        <f t="shared" si="456"/>
        <v>202890259.56582451</v>
      </c>
      <c r="R437" s="47">
        <f t="shared" ref="R437" si="457">R438-R449</f>
        <v>154376458.95586517</v>
      </c>
      <c r="S437" s="47">
        <f t="shared" ref="S437:X437" si="458">S438-S449</f>
        <v>72412278.217348054</v>
      </c>
      <c r="T437" s="47">
        <f t="shared" si="458"/>
        <v>236702766.42461938</v>
      </c>
      <c r="U437" s="47">
        <f t="shared" si="458"/>
        <v>537918136.84519756</v>
      </c>
      <c r="V437" s="47">
        <f t="shared" si="458"/>
        <v>225826750.66213524</v>
      </c>
      <c r="W437" s="47">
        <f t="shared" si="458"/>
        <v>221001169.61988425</v>
      </c>
      <c r="X437" s="47">
        <f t="shared" si="458"/>
        <v>316884459.54454726</v>
      </c>
    </row>
    <row r="438" spans="2:24" ht="15" customHeight="1">
      <c r="B438" s="980" t="s">
        <v>378</v>
      </c>
      <c r="C438" s="980" t="s">
        <v>415</v>
      </c>
      <c r="E438" s="468" t="s">
        <v>434</v>
      </c>
      <c r="F438" s="230" t="s">
        <v>340</v>
      </c>
      <c r="G438" s="980" t="str">
        <f>B438&amp;"_"&amp;C438&amp;"_"&amp;D438&amp;"_"&amp;E438&amp;"_"&amp;F438</f>
        <v>card_credit__ZALO_fee_incomes</v>
      </c>
      <c r="I438" s="1075" t="s">
        <v>22</v>
      </c>
      <c r="J438" s="7">
        <f t="shared" si="439"/>
        <v>2924865605.1330791</v>
      </c>
      <c r="K438" s="47">
        <f t="shared" ref="K438:Q438" si="459">SUM(K439:K445)-K446+K447+K448</f>
        <v>35992220.719924666</v>
      </c>
      <c r="L438" s="47">
        <f t="shared" si="459"/>
        <v>103236468.43021475</v>
      </c>
      <c r="M438" s="47">
        <f t="shared" si="459"/>
        <v>195561296.78337783</v>
      </c>
      <c r="N438" s="47">
        <f t="shared" si="459"/>
        <v>141570077.36447215</v>
      </c>
      <c r="O438" s="47">
        <f t="shared" si="459"/>
        <v>142770295.92092097</v>
      </c>
      <c r="P438" s="47">
        <f t="shared" si="459"/>
        <v>96846280.736008227</v>
      </c>
      <c r="Q438" s="47">
        <f t="shared" si="459"/>
        <v>251274607.07534516</v>
      </c>
      <c r="R438" s="47">
        <f t="shared" ref="R438" si="460">SUM(R439:R445)-R446+R447+R448</f>
        <v>167920038.26614055</v>
      </c>
      <c r="S438" s="47">
        <f t="shared" ref="S438:X438" si="461">SUM(S439:S445)-S446+S447+S448</f>
        <v>117196257.73143774</v>
      </c>
      <c r="T438" s="47">
        <f t="shared" si="461"/>
        <v>283445022.19390601</v>
      </c>
      <c r="U438" s="47">
        <f t="shared" si="461"/>
        <v>590017464.71340942</v>
      </c>
      <c r="V438" s="47">
        <f t="shared" si="461"/>
        <v>281178436.67541039</v>
      </c>
      <c r="W438" s="47">
        <f t="shared" si="461"/>
        <v>280377928.30483186</v>
      </c>
      <c r="X438" s="47">
        <f t="shared" si="461"/>
        <v>376707899.3678183</v>
      </c>
    </row>
    <row r="439" spans="2:24" ht="15" customHeight="1">
      <c r="B439" s="980" t="s">
        <v>378</v>
      </c>
      <c r="C439" s="980" t="s">
        <v>415</v>
      </c>
      <c r="E439" s="468" t="s">
        <v>434</v>
      </c>
      <c r="F439" s="230" t="s">
        <v>424</v>
      </c>
      <c r="G439" s="980" t="str">
        <f>B439&amp;"_"&amp;C439&amp;"_"&amp;D439&amp;"_"&amp;E439&amp;"_"&amp;F439</f>
        <v>card_credit__ZALO_annual_fee</v>
      </c>
      <c r="I439" s="1061" t="s">
        <v>425</v>
      </c>
      <c r="J439" s="7">
        <f t="shared" si="439"/>
        <v>902241240</v>
      </c>
      <c r="K439" s="7">
        <v>-42656709</v>
      </c>
      <c r="L439" s="7">
        <v>-19217592</v>
      </c>
      <c r="M439" s="7">
        <v>59021879</v>
      </c>
      <c r="N439" s="7">
        <v>23102508</v>
      </c>
      <c r="O439" s="7">
        <v>13689685</v>
      </c>
      <c r="P439" s="7">
        <v>9884820</v>
      </c>
      <c r="Q439" s="34">
        <v>11097684</v>
      </c>
      <c r="R439" s="89">
        <v>1305676</v>
      </c>
      <c r="S439" s="89">
        <v>-1508441</v>
      </c>
      <c r="T439" s="89">
        <v>79151460</v>
      </c>
      <c r="U439" s="89">
        <v>396261129</v>
      </c>
      <c r="V439" s="89">
        <v>78159593</v>
      </c>
      <c r="W439" s="89">
        <v>47634355</v>
      </c>
      <c r="X439" s="7">
        <v>184440892</v>
      </c>
    </row>
    <row r="440" spans="2:24" ht="15" customHeight="1">
      <c r="B440" s="980" t="s">
        <v>378</v>
      </c>
      <c r="C440" s="980" t="s">
        <v>415</v>
      </c>
      <c r="E440" s="468" t="s">
        <v>434</v>
      </c>
      <c r="F440" s="230" t="s">
        <v>391</v>
      </c>
      <c r="G440" s="980" t="str">
        <f t="shared" si="453"/>
        <v>card_credit__ZALO_interchange_fee</v>
      </c>
      <c r="I440" s="1061" t="s">
        <v>21</v>
      </c>
      <c r="J440" s="7">
        <f t="shared" si="439"/>
        <v>630114710.13307858</v>
      </c>
      <c r="K440" s="7">
        <v>29265601.719924666</v>
      </c>
      <c r="L440" s="7">
        <v>50251806.430214748</v>
      </c>
      <c r="M440" s="7">
        <f t="shared" ref="M440:R440" si="462">M416/M106*M134</f>
        <v>46803512.783377834</v>
      </c>
      <c r="N440" s="7">
        <f t="shared" si="462"/>
        <v>47065690.364472166</v>
      </c>
      <c r="O440" s="7">
        <f t="shared" si="462"/>
        <v>63439320.920920983</v>
      </c>
      <c r="P440" s="7">
        <f t="shared" si="462"/>
        <v>47640972.736008219</v>
      </c>
      <c r="Q440" s="7">
        <f t="shared" si="462"/>
        <v>53376730.075345173</v>
      </c>
      <c r="R440" s="7">
        <f t="shared" si="462"/>
        <v>45555704.266140558</v>
      </c>
      <c r="S440" s="7">
        <f t="shared" ref="S440:X440" si="463">S416/S106*S134</f>
        <v>51200555.73143775</v>
      </c>
      <c r="T440" s="7">
        <f t="shared" si="463"/>
        <v>41086982.193906017</v>
      </c>
      <c r="U440" s="7">
        <f t="shared" si="463"/>
        <v>51991170.713409424</v>
      </c>
      <c r="V440" s="7">
        <f t="shared" si="463"/>
        <v>60578225.675410397</v>
      </c>
      <c r="W440" s="7">
        <f t="shared" si="463"/>
        <v>51977992.304831833</v>
      </c>
      <c r="X440" s="7">
        <f t="shared" si="463"/>
        <v>69397852.367818281</v>
      </c>
    </row>
    <row r="441" spans="2:24" ht="15" customHeight="1">
      <c r="B441" s="980" t="s">
        <v>378</v>
      </c>
      <c r="C441" s="980" t="s">
        <v>415</v>
      </c>
      <c r="E441" s="468" t="s">
        <v>434</v>
      </c>
      <c r="F441" s="230" t="s">
        <v>407</v>
      </c>
      <c r="G441" s="980" t="str">
        <f t="shared" si="453"/>
        <v>card_credit__ZALO_cash_advance_fee</v>
      </c>
      <c r="I441" s="1061" t="s">
        <v>408</v>
      </c>
      <c r="J441" s="7">
        <f t="shared" si="439"/>
        <v>301482526</v>
      </c>
      <c r="K441" s="7">
        <v>35775339</v>
      </c>
      <c r="L441" s="7">
        <v>54322580</v>
      </c>
      <c r="M441" s="7">
        <v>34427158</v>
      </c>
      <c r="N441" s="7">
        <v>22956795</v>
      </c>
      <c r="O441" s="7">
        <v>26974018</v>
      </c>
      <c r="P441" s="7">
        <v>24513375</v>
      </c>
      <c r="Q441" s="34">
        <v>23219626</v>
      </c>
      <c r="R441" s="89">
        <v>20942074</v>
      </c>
      <c r="S441" s="89">
        <v>12461558</v>
      </c>
      <c r="T441" s="89">
        <v>18059828</v>
      </c>
      <c r="U441" s="89">
        <v>24630873</v>
      </c>
      <c r="V441" s="89">
        <v>26203287</v>
      </c>
      <c r="W441" s="89">
        <v>35449573</v>
      </c>
      <c r="X441" s="7">
        <v>31644361</v>
      </c>
    </row>
    <row r="442" spans="2:24" ht="15" customHeight="1">
      <c r="B442" s="980" t="s">
        <v>378</v>
      </c>
      <c r="C442" s="980" t="s">
        <v>415</v>
      </c>
      <c r="E442" s="468" t="s">
        <v>434</v>
      </c>
      <c r="F442" s="230" t="s">
        <v>393</v>
      </c>
      <c r="G442" s="980" t="str">
        <f t="shared" si="453"/>
        <v>card_credit__ZALO_fx_fee</v>
      </c>
      <c r="I442" s="1061" t="s">
        <v>426</v>
      </c>
      <c r="J442" s="7">
        <f t="shared" si="439"/>
        <v>44151350</v>
      </c>
      <c r="K442" s="7">
        <v>1544620</v>
      </c>
      <c r="L442" s="7">
        <v>2735956</v>
      </c>
      <c r="M442" s="7">
        <v>3587533</v>
      </c>
      <c r="N442" s="7">
        <v>4649859</v>
      </c>
      <c r="O442" s="7">
        <v>5917242</v>
      </c>
      <c r="P442" s="7">
        <v>5049112</v>
      </c>
      <c r="Q442" s="34">
        <v>4078948</v>
      </c>
      <c r="R442" s="89">
        <v>3175316</v>
      </c>
      <c r="S442" s="89">
        <v>2929875</v>
      </c>
      <c r="T442" s="89">
        <v>2914516</v>
      </c>
      <c r="U442" s="89">
        <v>3013331</v>
      </c>
      <c r="V442" s="89">
        <v>3331522</v>
      </c>
      <c r="W442" s="89">
        <v>2573793</v>
      </c>
      <c r="X442" s="7">
        <v>2930303</v>
      </c>
    </row>
    <row r="443" spans="2:24" ht="15" customHeight="1">
      <c r="B443" s="980" t="s">
        <v>378</v>
      </c>
      <c r="C443" s="980" t="s">
        <v>415</v>
      </c>
      <c r="E443" s="468" t="s">
        <v>434</v>
      </c>
      <c r="F443" s="230" t="s">
        <v>395</v>
      </c>
      <c r="G443" s="980" t="str">
        <f t="shared" si="453"/>
        <v>card_credit__ZALO_reissue_fee</v>
      </c>
      <c r="I443" s="1061" t="s">
        <v>396</v>
      </c>
      <c r="J443" s="7">
        <f t="shared" si="439"/>
        <v>20037392</v>
      </c>
      <c r="K443" s="7">
        <v>105000</v>
      </c>
      <c r="L443" s="7">
        <v>1272755</v>
      </c>
      <c r="M443" s="7">
        <v>-51750</v>
      </c>
      <c r="N443" s="7">
        <v>465000</v>
      </c>
      <c r="O443" s="7">
        <v>-439682</v>
      </c>
      <c r="P443" s="7">
        <v>-122176</v>
      </c>
      <c r="R443" s="89">
        <v>1009000</v>
      </c>
      <c r="T443" s="89">
        <v>4412000</v>
      </c>
      <c r="U443" s="89">
        <v>3565000</v>
      </c>
      <c r="V443" s="89">
        <v>2985000</v>
      </c>
      <c r="W443" s="89">
        <v>4712000</v>
      </c>
      <c r="X443" s="7">
        <v>3503000</v>
      </c>
    </row>
    <row r="444" spans="2:24" ht="15" customHeight="1">
      <c r="B444" s="980" t="s">
        <v>378</v>
      </c>
      <c r="C444" s="980" t="s">
        <v>415</v>
      </c>
      <c r="E444" s="468" t="s">
        <v>434</v>
      </c>
      <c r="F444" s="230" t="s">
        <v>262</v>
      </c>
      <c r="G444" s="980" t="str">
        <f t="shared" ref="G444:G453" si="464">B444&amp;"_"&amp;C444&amp;"_"&amp;D444&amp;"_"&amp;E444&amp;"_"&amp;F444</f>
        <v>card_credit__ZALO_late_payment_fee</v>
      </c>
      <c r="I444" s="1061" t="s">
        <v>427</v>
      </c>
      <c r="J444" s="7">
        <f t="shared" si="439"/>
        <v>1067027899</v>
      </c>
      <c r="K444" s="7">
        <v>27269194</v>
      </c>
      <c r="L444" s="7">
        <v>26667145</v>
      </c>
      <c r="M444" s="7">
        <v>52121285</v>
      </c>
      <c r="N444" s="7">
        <v>44753965</v>
      </c>
      <c r="O444" s="7">
        <v>32632555</v>
      </c>
      <c r="P444" s="7">
        <v>106562703</v>
      </c>
      <c r="Q444" s="34">
        <v>106177188</v>
      </c>
      <c r="R444" s="89">
        <v>97358251</v>
      </c>
      <c r="S444" s="89">
        <v>105888404</v>
      </c>
      <c r="T444" s="89">
        <v>120396147</v>
      </c>
      <c r="U444" s="89">
        <v>124559965</v>
      </c>
      <c r="V444" s="89">
        <v>59494470</v>
      </c>
      <c r="W444" s="89">
        <v>111793215</v>
      </c>
      <c r="X444" s="7">
        <v>105289751</v>
      </c>
    </row>
    <row r="445" spans="2:24" ht="15" customHeight="1">
      <c r="B445" s="980" t="s">
        <v>378</v>
      </c>
      <c r="C445" s="980" t="s">
        <v>415</v>
      </c>
      <c r="E445" s="468" t="s">
        <v>434</v>
      </c>
      <c r="F445" s="230" t="s">
        <v>264</v>
      </c>
      <c r="G445" s="980" t="str">
        <f t="shared" si="464"/>
        <v>card_credit__ZALO_installment_fee</v>
      </c>
      <c r="I445" s="1061" t="s">
        <v>224</v>
      </c>
      <c r="J445" s="7">
        <f t="shared" si="439"/>
        <v>148644092</v>
      </c>
      <c r="K445" s="7"/>
      <c r="L445" s="7"/>
      <c r="M445" s="7"/>
      <c r="N445" s="7"/>
      <c r="O445" s="7"/>
      <c r="Q445" s="34"/>
      <c r="S445" s="7">
        <v>0</v>
      </c>
      <c r="T445" s="89">
        <v>37556686</v>
      </c>
      <c r="U445" s="89">
        <v>37282769</v>
      </c>
      <c r="V445" s="89">
        <v>14888791</v>
      </c>
      <c r="W445" s="89">
        <v>17766510</v>
      </c>
      <c r="X445" s="7">
        <v>41149336</v>
      </c>
    </row>
    <row r="446" spans="2:24" ht="15" customHeight="1">
      <c r="B446" s="980" t="s">
        <v>378</v>
      </c>
      <c r="C446" s="980" t="s">
        <v>415</v>
      </c>
      <c r="E446" s="468" t="s">
        <v>434</v>
      </c>
      <c r="F446" s="126" t="s">
        <v>267</v>
      </c>
      <c r="G446" s="980" t="str">
        <f t="shared" si="464"/>
        <v>card_credit__ZALO_adjust_minus_fee</v>
      </c>
      <c r="I446" s="1061" t="s">
        <v>227</v>
      </c>
      <c r="J446" s="7">
        <f t="shared" si="439"/>
        <v>1427091182</v>
      </c>
      <c r="K446" s="7">
        <v>19931683</v>
      </c>
      <c r="L446" s="7">
        <f>25854116+6873749</f>
        <v>32727865</v>
      </c>
      <c r="M446" s="7">
        <v>33076186</v>
      </c>
      <c r="N446" s="7">
        <v>34499926</v>
      </c>
      <c r="O446" s="7">
        <v>33942769</v>
      </c>
      <c r="P446" s="7">
        <v>130625295</v>
      </c>
      <c r="Q446" s="7">
        <v>77300864</v>
      </c>
      <c r="R446" s="7">
        <v>78726847</v>
      </c>
      <c r="S446" s="7">
        <v>132502541</v>
      </c>
      <c r="T446" s="7">
        <v>152635138</v>
      </c>
      <c r="U446" s="7">
        <v>203921911</v>
      </c>
      <c r="V446" s="7">
        <v>168384363</v>
      </c>
      <c r="W446" s="7">
        <v>159913873</v>
      </c>
      <c r="X446" s="7">
        <v>221561469</v>
      </c>
    </row>
    <row r="447" spans="2:24" ht="15" customHeight="1">
      <c r="B447" s="980" t="s">
        <v>378</v>
      </c>
      <c r="C447" s="980" t="s">
        <v>415</v>
      </c>
      <c r="E447" s="468" t="s">
        <v>434</v>
      </c>
      <c r="F447" s="126" t="s">
        <v>268</v>
      </c>
      <c r="G447" s="980" t="str">
        <f t="shared" si="464"/>
        <v>card_credit__ZALO_adjust_bonus_fee</v>
      </c>
      <c r="I447" s="1061" t="s">
        <v>228</v>
      </c>
      <c r="J447" s="7">
        <f t="shared" si="439"/>
        <v>1238257578</v>
      </c>
      <c r="K447" s="7">
        <v>4620858</v>
      </c>
      <c r="L447" s="7">
        <v>19931683</v>
      </c>
      <c r="M447" s="7">
        <f>25854116+6873749</f>
        <v>32727865</v>
      </c>
      <c r="N447" s="7">
        <v>33076186</v>
      </c>
      <c r="O447" s="7">
        <v>34499926</v>
      </c>
      <c r="P447" s="7">
        <v>33942769</v>
      </c>
      <c r="Q447" s="7">
        <v>130625295</v>
      </c>
      <c r="R447" s="7">
        <v>77300864</v>
      </c>
      <c r="S447" s="7">
        <v>78726847</v>
      </c>
      <c r="T447" s="7">
        <v>132502541</v>
      </c>
      <c r="U447" s="7">
        <v>152635138</v>
      </c>
      <c r="V447" s="7">
        <v>203921911</v>
      </c>
      <c r="W447" s="7">
        <v>168384363</v>
      </c>
      <c r="X447" s="7">
        <v>159913873</v>
      </c>
    </row>
    <row r="448" spans="2:24" ht="15" customHeight="1">
      <c r="B448" s="980" t="s">
        <v>378</v>
      </c>
      <c r="C448" s="980" t="s">
        <v>415</v>
      </c>
      <c r="E448" s="468" t="s">
        <v>434</v>
      </c>
      <c r="F448" s="230" t="s">
        <v>361</v>
      </c>
      <c r="G448" s="980" t="str">
        <f t="shared" si="464"/>
        <v>card_credit__ZALO_other_income_fee</v>
      </c>
      <c r="I448" s="1061" t="s">
        <v>226</v>
      </c>
      <c r="J448" s="7">
        <f t="shared" si="439"/>
        <v>0</v>
      </c>
      <c r="K448" s="7"/>
      <c r="L448" s="7"/>
      <c r="M448" s="7"/>
      <c r="N448" s="7"/>
      <c r="O448" s="7"/>
    </row>
    <row r="449" spans="2:24" ht="15" customHeight="1">
      <c r="B449" s="980" t="s">
        <v>378</v>
      </c>
      <c r="C449" s="980" t="s">
        <v>415</v>
      </c>
      <c r="E449" s="468" t="s">
        <v>434</v>
      </c>
      <c r="F449" s="230" t="s">
        <v>362</v>
      </c>
      <c r="G449" s="980" t="str">
        <f t="shared" si="464"/>
        <v>card_credit__ZALO_fee_expenses</v>
      </c>
      <c r="I449" s="1075" t="s">
        <v>295</v>
      </c>
      <c r="J449" s="7">
        <f t="shared" si="439"/>
        <v>631833139.82382917</v>
      </c>
      <c r="K449" s="47">
        <f t="shared" ref="K449:R449" si="465">SUM(K450:K453)</f>
        <v>24347616.79897942</v>
      </c>
      <c r="L449" s="47">
        <f t="shared" si="465"/>
        <v>37021326.093634605</v>
      </c>
      <c r="M449" s="47">
        <f t="shared" si="465"/>
        <v>58321082.625424609</v>
      </c>
      <c r="N449" s="47">
        <f t="shared" si="465"/>
        <v>60414856.485748336</v>
      </c>
      <c r="O449" s="47">
        <f t="shared" si="465"/>
        <v>69288996.866202652</v>
      </c>
      <c r="P449" s="47">
        <f t="shared" si="465"/>
        <v>63702829.353575639</v>
      </c>
      <c r="Q449" s="47">
        <f t="shared" si="465"/>
        <v>48384347.509520635</v>
      </c>
      <c r="R449" s="47">
        <f t="shared" si="465"/>
        <v>13543579.310275378</v>
      </c>
      <c r="S449" s="47">
        <f t="shared" ref="S449:X449" si="466">SUM(S450:S453)</f>
        <v>44783979.514089689</v>
      </c>
      <c r="T449" s="47">
        <f t="shared" si="466"/>
        <v>46742255.769286647</v>
      </c>
      <c r="U449" s="47">
        <f t="shared" si="466"/>
        <v>52099327.868211836</v>
      </c>
      <c r="V449" s="47">
        <f t="shared" si="466"/>
        <v>55351686.013275132</v>
      </c>
      <c r="W449" s="47">
        <f t="shared" si="466"/>
        <v>59376758.684947595</v>
      </c>
      <c r="X449" s="47">
        <f t="shared" si="466"/>
        <v>59823439.823271021</v>
      </c>
    </row>
    <row r="450" spans="2:24" ht="15" customHeight="1">
      <c r="B450" s="980" t="s">
        <v>378</v>
      </c>
      <c r="C450" s="980" t="s">
        <v>415</v>
      </c>
      <c r="E450" s="468" t="s">
        <v>434</v>
      </c>
      <c r="F450" s="230" t="s">
        <v>410</v>
      </c>
      <c r="G450" s="980" t="str">
        <f t="shared" si="464"/>
        <v>card_credit__ZALO_BPC_fee</v>
      </c>
      <c r="I450" s="1061" t="s">
        <v>411</v>
      </c>
      <c r="J450" s="7">
        <f t="shared" si="439"/>
        <v>70772341.827887714</v>
      </c>
      <c r="K450" s="283">
        <v>7195474.3329892913</v>
      </c>
      <c r="L450" s="283">
        <v>11095917.531344447</v>
      </c>
      <c r="M450" s="283">
        <f t="shared" ref="M450:R450" si="467">M416/M106*M144</f>
        <v>12434075.5413357</v>
      </c>
      <c r="N450" s="283">
        <f t="shared" si="467"/>
        <v>15245820.170032997</v>
      </c>
      <c r="O450" s="283">
        <f t="shared" si="467"/>
        <v>15626317.302085664</v>
      </c>
      <c r="P450" s="283">
        <f t="shared" si="467"/>
        <v>8462438.6656443421</v>
      </c>
      <c r="Q450" s="283">
        <f t="shared" si="467"/>
        <v>1235098.4163859282</v>
      </c>
      <c r="R450" s="283">
        <f t="shared" si="467"/>
        <v>1098793.9952194111</v>
      </c>
      <c r="S450" s="7">
        <f>S416/S106*S144</f>
        <v>1061156.5490532026</v>
      </c>
      <c r="T450" s="7">
        <f t="shared" ref="T450:V450" si="468">T416/T106*T144</f>
        <v>4146975.8923356258</v>
      </c>
      <c r="U450" s="7">
        <f t="shared" si="468"/>
        <v>4861294.8023942662</v>
      </c>
      <c r="V450" s="7">
        <f t="shared" si="468"/>
        <v>4730015.6831465205</v>
      </c>
      <c r="W450" s="7">
        <f t="shared" ref="W450:X450" si="469">W416/W106*W144</f>
        <v>1870354.8102540651</v>
      </c>
      <c r="X450" s="7">
        <f t="shared" si="469"/>
        <v>0</v>
      </c>
    </row>
    <row r="451" spans="2:24" ht="15" customHeight="1">
      <c r="B451" s="980" t="s">
        <v>378</v>
      </c>
      <c r="C451" s="980" t="s">
        <v>415</v>
      </c>
      <c r="D451" s="230"/>
      <c r="E451" s="468" t="s">
        <v>434</v>
      </c>
      <c r="F451" s="230" t="s">
        <v>412</v>
      </c>
      <c r="G451" s="980" t="str">
        <f t="shared" si="464"/>
        <v>card_credit__ZALO_visa_fee</v>
      </c>
      <c r="I451" s="1061" t="s">
        <v>413</v>
      </c>
      <c r="J451" s="7">
        <f t="shared" si="439"/>
        <v>191443054.19594157</v>
      </c>
      <c r="K451" s="7">
        <v>3496308.0659902291</v>
      </c>
      <c r="L451" s="7">
        <v>7804607.7622902598</v>
      </c>
      <c r="M451" s="7">
        <f t="shared" ref="M451:R451" si="470">M416/M106*M145</f>
        <v>14044830.684088908</v>
      </c>
      <c r="N451" s="7">
        <f t="shared" si="470"/>
        <v>18925701.11571534</v>
      </c>
      <c r="O451" s="7">
        <f t="shared" si="470"/>
        <v>21138981.964117084</v>
      </c>
      <c r="P451" s="7">
        <f t="shared" si="470"/>
        <v>15211666.8879313</v>
      </c>
      <c r="Q451" s="7">
        <f t="shared" si="470"/>
        <v>13862139.093134703</v>
      </c>
      <c r="R451" s="7">
        <f t="shared" si="470"/>
        <v>12444785.315055966</v>
      </c>
      <c r="S451" s="7">
        <f t="shared" ref="S451:X451" si="471">S416/S106*S145</f>
        <v>13473822.565036485</v>
      </c>
      <c r="T451" s="7">
        <f t="shared" si="471"/>
        <v>12346279.476951024</v>
      </c>
      <c r="U451" s="7">
        <f t="shared" si="471"/>
        <v>14674061.865817569</v>
      </c>
      <c r="V451" s="7">
        <f t="shared" si="471"/>
        <v>14937554.93012861</v>
      </c>
      <c r="W451" s="7">
        <f t="shared" si="471"/>
        <v>19191736.874693532</v>
      </c>
      <c r="X451" s="7">
        <f t="shared" si="471"/>
        <v>21191493.423271023</v>
      </c>
    </row>
    <row r="452" spans="2:24" ht="15" customHeight="1">
      <c r="B452" s="980" t="s">
        <v>378</v>
      </c>
      <c r="C452" s="980" t="s">
        <v>415</v>
      </c>
      <c r="D452" s="230"/>
      <c r="E452" s="468" t="s">
        <v>434</v>
      </c>
      <c r="F452" s="230" t="s">
        <v>414</v>
      </c>
      <c r="G452" s="980" t="str">
        <f t="shared" si="464"/>
        <v>card_credit__ZALO_cashback_fee</v>
      </c>
      <c r="I452" s="1061" t="s">
        <v>332</v>
      </c>
      <c r="J452" s="7">
        <f t="shared" si="439"/>
        <v>369617743.79999983</v>
      </c>
      <c r="K452" s="7">
        <v>13655834.3999999</v>
      </c>
      <c r="L452" s="7">
        <v>18120800.7999999</v>
      </c>
      <c r="M452" s="7">
        <v>31842176.399999999</v>
      </c>
      <c r="N452" s="7">
        <v>26243335.199999999</v>
      </c>
      <c r="O452" s="7">
        <v>32523697.599999901</v>
      </c>
      <c r="P452" s="7">
        <v>40028723.799999997</v>
      </c>
      <c r="Q452" s="7">
        <v>33287110</v>
      </c>
      <c r="R452" s="7"/>
      <c r="S452" s="7">
        <v>30249000.399999999</v>
      </c>
      <c r="T452" s="7">
        <v>30249000.399999999</v>
      </c>
      <c r="U452" s="7">
        <v>32563971.199999999</v>
      </c>
      <c r="V452" s="7">
        <v>35684115.399999999</v>
      </c>
      <c r="W452" s="7">
        <v>38314667</v>
      </c>
      <c r="X452" s="7">
        <v>38631946.399999999</v>
      </c>
    </row>
    <row r="453" spans="2:24" ht="15" customHeight="1">
      <c r="B453" s="980" t="s">
        <v>378</v>
      </c>
      <c r="C453" s="980" t="s">
        <v>415</v>
      </c>
      <c r="E453" s="468" t="s">
        <v>434</v>
      </c>
      <c r="F453" s="230" t="s">
        <v>372</v>
      </c>
      <c r="G453" s="980" t="str">
        <f t="shared" si="464"/>
        <v>card_credit__ZALO_other_expense_fee</v>
      </c>
      <c r="I453" s="1061" t="s">
        <v>373</v>
      </c>
      <c r="J453" s="7">
        <f t="shared" si="439"/>
        <v>0</v>
      </c>
      <c r="K453" s="7"/>
      <c r="L453" s="7"/>
      <c r="M453" s="7"/>
      <c r="N453" s="7"/>
      <c r="O453" s="7"/>
      <c r="Q453" s="7"/>
    </row>
    <row r="454" spans="2:24" ht="15" customHeight="1">
      <c r="B454" s="980" t="s">
        <v>378</v>
      </c>
      <c r="C454" s="980" t="s">
        <v>415</v>
      </c>
      <c r="E454" s="468" t="s">
        <v>434</v>
      </c>
      <c r="F454" s="717" t="s">
        <v>269</v>
      </c>
      <c r="G454" s="980" t="str">
        <f t="shared" ref="G454:G463" si="472">B454&amp;"_"&amp;C454&amp;"_"&amp;D454&amp;"_"&amp;E454&amp;"_"&amp;F454</f>
        <v>card_credit__ZALO_other_TOI</v>
      </c>
      <c r="I454" s="1074" t="s">
        <v>89</v>
      </c>
      <c r="J454" s="7">
        <f t="shared" si="439"/>
        <v>40135452</v>
      </c>
      <c r="K454" s="7"/>
      <c r="L454" s="7"/>
      <c r="M454" s="7"/>
      <c r="N454" s="7"/>
      <c r="O454" s="7"/>
      <c r="P454" s="86">
        <v>5589799</v>
      </c>
      <c r="S454" s="4">
        <v>0</v>
      </c>
      <c r="T454" s="47">
        <v>1000000</v>
      </c>
      <c r="U454" s="89">
        <v>8731103</v>
      </c>
      <c r="V454" s="89">
        <v>14239362</v>
      </c>
      <c r="W454" s="89">
        <v>1105998</v>
      </c>
      <c r="X454" s="89">
        <v>9469190</v>
      </c>
    </row>
    <row r="455" spans="2:24" ht="15" customHeight="1">
      <c r="B455" s="980" t="s">
        <v>378</v>
      </c>
      <c r="C455" s="980" t="s">
        <v>415</v>
      </c>
      <c r="E455" s="468" t="s">
        <v>434</v>
      </c>
      <c r="F455" s="126" t="s">
        <v>270</v>
      </c>
      <c r="G455" s="980" t="str">
        <f t="shared" si="472"/>
        <v>card_credit__ZALO_provision</v>
      </c>
      <c r="I455" s="47" t="s">
        <v>136</v>
      </c>
      <c r="J455" s="7">
        <f t="shared" si="439"/>
        <v>5713712186</v>
      </c>
      <c r="K455" s="47">
        <v>61788219</v>
      </c>
      <c r="L455" s="47">
        <f>59805026+26577828</f>
        <v>86382854</v>
      </c>
      <c r="M455" s="47">
        <v>77791789</v>
      </c>
      <c r="N455" s="47">
        <v>136329410</v>
      </c>
      <c r="O455" s="47">
        <f>215052875+95658845</f>
        <v>310711720</v>
      </c>
      <c r="P455" s="81">
        <v>281474448</v>
      </c>
      <c r="Q455" s="47">
        <v>307486054</v>
      </c>
      <c r="R455" s="47">
        <f>617189303+132876849</f>
        <v>750066152</v>
      </c>
      <c r="S455" s="47">
        <v>366074861</v>
      </c>
      <c r="T455" s="47">
        <v>693527289</v>
      </c>
      <c r="U455" s="7">
        <f>640269327+151808121</f>
        <v>792077448</v>
      </c>
      <c r="V455" s="7">
        <v>532606949</v>
      </c>
      <c r="W455" s="7">
        <v>802867563</v>
      </c>
      <c r="X455" s="7">
        <f>576307833+86390670</f>
        <v>662698503</v>
      </c>
    </row>
    <row r="456" spans="2:24" ht="15" customHeight="1">
      <c r="B456" s="980" t="s">
        <v>378</v>
      </c>
      <c r="C456" s="980" t="s">
        <v>415</v>
      </c>
      <c r="E456" s="468" t="s">
        <v>434</v>
      </c>
      <c r="F456" s="126" t="s">
        <v>271</v>
      </c>
      <c r="G456" s="980" t="str">
        <f t="shared" si="472"/>
        <v>card_credit__ZALO_variable_cost</v>
      </c>
      <c r="I456" s="85" t="s">
        <v>229</v>
      </c>
      <c r="J456" s="7">
        <f t="shared" si="439"/>
        <v>1387265929.0008941</v>
      </c>
      <c r="K456" s="47">
        <f t="shared" ref="K456:R456" si="473">SUM(K457:K466)</f>
        <v>29985743.839714713</v>
      </c>
      <c r="L456" s="47">
        <f t="shared" si="473"/>
        <v>389677745.80196095</v>
      </c>
      <c r="M456" s="47">
        <f t="shared" si="473"/>
        <v>223346237.89582151</v>
      </c>
      <c r="N456" s="47">
        <f t="shared" si="473"/>
        <v>225295595.95675659</v>
      </c>
      <c r="O456" s="47">
        <f t="shared" si="473"/>
        <v>196656196.81587911</v>
      </c>
      <c r="P456" s="47">
        <f t="shared" si="473"/>
        <v>86441202.363239914</v>
      </c>
      <c r="Q456" s="47">
        <f t="shared" si="473"/>
        <v>54944916.741882525</v>
      </c>
      <c r="R456" s="47">
        <f t="shared" si="473"/>
        <v>34836056.344231211</v>
      </c>
      <c r="S456" s="47">
        <f t="shared" ref="S456:X456" si="474">SUM(S457:S466)</f>
        <v>45389070.612118125</v>
      </c>
      <c r="T456" s="47">
        <f t="shared" si="474"/>
        <v>95842418.954497591</v>
      </c>
      <c r="U456" s="47">
        <f t="shared" si="474"/>
        <v>109551201.33967686</v>
      </c>
      <c r="V456" s="47">
        <f t="shared" si="474"/>
        <v>93488168.938078791</v>
      </c>
      <c r="W456" s="47">
        <f t="shared" si="474"/>
        <v>126117590.90124327</v>
      </c>
      <c r="X456" s="47">
        <f t="shared" si="474"/>
        <v>95357272.137468606</v>
      </c>
    </row>
    <row r="457" spans="2:24" ht="15" customHeight="1">
      <c r="B457" s="980" t="s">
        <v>378</v>
      </c>
      <c r="C457" s="980" t="s">
        <v>415</v>
      </c>
      <c r="E457" s="468" t="s">
        <v>434</v>
      </c>
      <c r="F457" s="126" t="s">
        <v>272</v>
      </c>
      <c r="G457" s="980" t="str">
        <f t="shared" si="472"/>
        <v>card_credit__ZALO_marketing_acquisition_cost</v>
      </c>
      <c r="I457" s="563" t="s">
        <v>230</v>
      </c>
      <c r="J457" s="7">
        <f t="shared" si="439"/>
        <v>264700000</v>
      </c>
      <c r="K457" s="7">
        <v>1100000</v>
      </c>
      <c r="L457" s="7">
        <v>100000000</v>
      </c>
      <c r="M457" s="7">
        <v>35000000</v>
      </c>
      <c r="N457" s="7">
        <v>48200000</v>
      </c>
      <c r="O457" s="7">
        <v>28000000</v>
      </c>
      <c r="P457" s="7">
        <v>15000000</v>
      </c>
      <c r="Q457" s="7">
        <v>9000000</v>
      </c>
      <c r="R457" s="7">
        <v>0</v>
      </c>
      <c r="S457" s="7">
        <v>750000</v>
      </c>
      <c r="T457" s="7">
        <v>20000000</v>
      </c>
      <c r="U457" s="7">
        <v>23750000</v>
      </c>
      <c r="V457" s="7">
        <v>22500000</v>
      </c>
      <c r="W457" s="7">
        <v>37500000</v>
      </c>
      <c r="X457" s="7">
        <v>25000000</v>
      </c>
    </row>
    <row r="458" spans="2:24" ht="15" customHeight="1">
      <c r="B458" s="980" t="s">
        <v>378</v>
      </c>
      <c r="C458" s="980" t="s">
        <v>415</v>
      </c>
      <c r="E458" s="468" t="s">
        <v>434</v>
      </c>
      <c r="F458" s="126" t="s">
        <v>273</v>
      </c>
      <c r="G458" s="980" t="str">
        <f t="shared" si="472"/>
        <v>card_credit__ZALO_partner_acquisition_cost</v>
      </c>
      <c r="I458" s="563" t="s">
        <v>231</v>
      </c>
      <c r="J458" s="7">
        <f t="shared" si="439"/>
        <v>0</v>
      </c>
      <c r="K458" s="7"/>
      <c r="L458" s="7"/>
      <c r="M458" s="7"/>
      <c r="N458" s="7"/>
      <c r="O458" s="7"/>
      <c r="Q458" s="7"/>
    </row>
    <row r="459" spans="2:24" ht="15" customHeight="1">
      <c r="B459" s="980" t="s">
        <v>378</v>
      </c>
      <c r="C459" s="980" t="s">
        <v>415</v>
      </c>
      <c r="E459" s="468" t="s">
        <v>434</v>
      </c>
      <c r="F459" s="126" t="s">
        <v>274</v>
      </c>
      <c r="G459" s="980" t="str">
        <f t="shared" si="472"/>
        <v>card_credit__ZALO_underwritting</v>
      </c>
      <c r="I459" s="563" t="s">
        <v>232</v>
      </c>
      <c r="J459" s="7">
        <f t="shared" si="439"/>
        <v>447791805.81945741</v>
      </c>
      <c r="K459" s="7">
        <v>7133076.6300388435</v>
      </c>
      <c r="L459" s="7">
        <v>136586644.04084817</v>
      </c>
      <c r="M459" s="7">
        <v>81503554.646836743</v>
      </c>
      <c r="N459" s="7">
        <v>86831051.936747938</v>
      </c>
      <c r="O459" s="7">
        <v>81842063.174570426</v>
      </c>
      <c r="P459" s="7">
        <v>23334209.531314176</v>
      </c>
      <c r="Q459" s="7">
        <v>99103.472317828695</v>
      </c>
      <c r="R459" s="7">
        <v>0</v>
      </c>
      <c r="S459">
        <v>0</v>
      </c>
      <c r="T459" s="7">
        <v>29095845.848613553</v>
      </c>
      <c r="U459" s="7">
        <v>41148781.882181756</v>
      </c>
      <c r="V459" s="7">
        <v>29058542.367455035</v>
      </c>
      <c r="W459" s="7">
        <v>43289086.863693476</v>
      </c>
      <c r="X459" s="7">
        <v>31589566.095726497</v>
      </c>
    </row>
    <row r="460" spans="2:24" ht="15" customHeight="1">
      <c r="B460" s="980" t="s">
        <v>378</v>
      </c>
      <c r="C460" s="980" t="s">
        <v>415</v>
      </c>
      <c r="E460" s="468" t="s">
        <v>434</v>
      </c>
      <c r="F460" s="126" t="s">
        <v>275</v>
      </c>
      <c r="G460" s="980" t="str">
        <f t="shared" si="472"/>
        <v>card_credit__ZALO_e_contract</v>
      </c>
      <c r="I460" s="563" t="s">
        <v>233</v>
      </c>
      <c r="J460" s="7">
        <f t="shared" si="439"/>
        <v>718966.54046140087</v>
      </c>
      <c r="K460" s="7">
        <v>12906.860215053763</v>
      </c>
      <c r="L460" s="7">
        <v>298893.12916453101</v>
      </c>
      <c r="M460" s="7">
        <v>111827.48969072165</v>
      </c>
      <c r="N460" s="7">
        <v>128330.32989690722</v>
      </c>
      <c r="O460" s="7">
        <v>105853.5155144257</v>
      </c>
      <c r="P460" s="7">
        <v>27512.288571428573</v>
      </c>
      <c r="Q460" s="7" t="s">
        <v>433</v>
      </c>
      <c r="T460" s="7">
        <v>60292.60838996953</v>
      </c>
      <c r="U460" s="7">
        <v>70553.162951575709</v>
      </c>
      <c r="V460" s="7">
        <v>62215.184893784419</v>
      </c>
      <c r="W460" s="7">
        <v>77178.261137162946</v>
      </c>
      <c r="X460" s="7">
        <v>75203.699415425232</v>
      </c>
    </row>
    <row r="461" spans="2:24" ht="15" customHeight="1">
      <c r="B461" s="980" t="s">
        <v>378</v>
      </c>
      <c r="C461" s="980" t="s">
        <v>415</v>
      </c>
      <c r="E461" s="468" t="s">
        <v>434</v>
      </c>
      <c r="F461" s="126" t="s">
        <v>276</v>
      </c>
      <c r="G461" s="980" t="str">
        <f t="shared" si="472"/>
        <v>card_credit__ZALO_nfc</v>
      </c>
      <c r="I461" s="563" t="s">
        <v>152</v>
      </c>
      <c r="J461" s="7">
        <f>SUM(M461:X461)</f>
        <v>8786608.6504121907</v>
      </c>
      <c r="K461" s="7"/>
      <c r="L461" s="7"/>
      <c r="M461" s="7">
        <v>1545669.2783505155</v>
      </c>
      <c r="N461" s="7">
        <v>1493455.9407216494</v>
      </c>
      <c r="O461" s="7">
        <v>1126287.7299945564</v>
      </c>
      <c r="P461" s="7">
        <v>283574.05714285717</v>
      </c>
      <c r="Q461" s="7"/>
      <c r="T461" s="7">
        <v>732158.05015233182</v>
      </c>
      <c r="U461" s="7">
        <v>937928.2090699462</v>
      </c>
      <c r="V461" s="7">
        <v>974238.74114870175</v>
      </c>
      <c r="W461" s="7">
        <v>660265.84994138335</v>
      </c>
      <c r="X461" s="7">
        <v>1033030.7938902507</v>
      </c>
    </row>
    <row r="462" spans="2:24" ht="15" customHeight="1">
      <c r="B462" s="980" t="s">
        <v>378</v>
      </c>
      <c r="C462" s="980" t="s">
        <v>415</v>
      </c>
      <c r="E462" s="468" t="s">
        <v>434</v>
      </c>
      <c r="F462" s="126" t="s">
        <v>387</v>
      </c>
      <c r="G462" s="980" t="str">
        <f t="shared" si="472"/>
        <v>card_credit__ZALO_mk</v>
      </c>
      <c r="I462" s="563" t="s">
        <v>388</v>
      </c>
      <c r="J462" s="7">
        <f t="shared" si="439"/>
        <v>47567119.104937762</v>
      </c>
      <c r="K462" s="7">
        <v>640014.54545454553</v>
      </c>
      <c r="L462" s="7">
        <v>20028970.369041517</v>
      </c>
      <c r="M462" s="7">
        <f t="shared" ref="M462:R462" si="475">M410/M100*M156</f>
        <v>6881752.5057825744</v>
      </c>
      <c r="N462" s="7">
        <f t="shared" si="475"/>
        <v>9207045.5090206191</v>
      </c>
      <c r="O462" s="7">
        <f t="shared" si="475"/>
        <v>4965637.0206409562</v>
      </c>
      <c r="P462" s="7">
        <f t="shared" si="475"/>
        <v>1765690.3409090908</v>
      </c>
      <c r="Q462" s="7">
        <f t="shared" si="475"/>
        <v>0</v>
      </c>
      <c r="R462" s="7">
        <f t="shared" si="475"/>
        <v>0</v>
      </c>
      <c r="S462" s="7">
        <f t="shared" ref="S462:X462" si="476">S410/S100*S156</f>
        <v>0</v>
      </c>
      <c r="T462" s="7">
        <f t="shared" si="476"/>
        <v>4404088.3584905658</v>
      </c>
      <c r="U462" s="7">
        <f t="shared" si="476"/>
        <v>5646214.7630028185</v>
      </c>
      <c r="V462" s="7">
        <f t="shared" si="476"/>
        <v>4930533.4382376084</v>
      </c>
      <c r="W462" s="7">
        <f t="shared" si="476"/>
        <v>5402823.7104337635</v>
      </c>
      <c r="X462" s="7">
        <f t="shared" si="476"/>
        <v>4363333.4584197626</v>
      </c>
    </row>
    <row r="463" spans="2:24" ht="15" customHeight="1">
      <c r="B463" s="980" t="s">
        <v>378</v>
      </c>
      <c r="C463" s="980" t="s">
        <v>415</v>
      </c>
      <c r="E463" s="468" t="s">
        <v>434</v>
      </c>
      <c r="F463" s="126" t="s">
        <v>385</v>
      </c>
      <c r="G463" s="980" t="str">
        <f t="shared" si="472"/>
        <v>card_credit__ZALO_ems</v>
      </c>
      <c r="I463" s="563" t="s">
        <v>386</v>
      </c>
      <c r="J463" s="7">
        <f t="shared" si="439"/>
        <v>13809312.424479084</v>
      </c>
      <c r="K463" s="7">
        <v>188780.3541818182</v>
      </c>
      <c r="L463" s="7">
        <v>6134528.6073808307</v>
      </c>
      <c r="M463" s="7">
        <f t="shared" ref="M463:R463" si="477">M410/M100*M157</f>
        <v>1919663.5235158056</v>
      </c>
      <c r="N463" s="7">
        <f t="shared" si="477"/>
        <v>2830390.6268613976</v>
      </c>
      <c r="O463" s="7">
        <f t="shared" si="477"/>
        <v>1225262.1338946226</v>
      </c>
      <c r="P463" s="7">
        <f t="shared" si="477"/>
        <v>514265.01278409088</v>
      </c>
      <c r="Q463" s="7">
        <f t="shared" si="477"/>
        <v>0</v>
      </c>
      <c r="R463" s="7">
        <f t="shared" si="477"/>
        <v>0</v>
      </c>
      <c r="S463" s="7">
        <f t="shared" ref="S463:X463" si="478">S410/S100*S157</f>
        <v>0</v>
      </c>
      <c r="T463" s="7">
        <f t="shared" si="478"/>
        <v>1201359.9811320754</v>
      </c>
      <c r="U463" s="7">
        <f t="shared" si="478"/>
        <v>1606949.924417115</v>
      </c>
      <c r="V463" s="7">
        <f t="shared" si="478"/>
        <v>1544998.6719118804</v>
      </c>
      <c r="W463" s="7">
        <f t="shared" si="478"/>
        <v>1529499.2672919109</v>
      </c>
      <c r="X463" s="7">
        <f t="shared" si="478"/>
        <v>1436923.2826701868</v>
      </c>
    </row>
    <row r="464" spans="2:24" ht="15" customHeight="1">
      <c r="B464" s="980" t="s">
        <v>378</v>
      </c>
      <c r="C464" s="980" t="s">
        <v>415</v>
      </c>
      <c r="E464" s="468" t="s">
        <v>434</v>
      </c>
      <c r="F464" s="126" t="s">
        <v>277</v>
      </c>
      <c r="G464" s="980" t="str">
        <f t="shared" si="453"/>
        <v>card_credit__ZALO_collection</v>
      </c>
      <c r="I464" s="563" t="s">
        <v>234</v>
      </c>
      <c r="J464" s="7">
        <f t="shared" si="439"/>
        <v>104446229.00789692</v>
      </c>
      <c r="K464" s="7">
        <v>6999170.4594889311</v>
      </c>
      <c r="L464" s="7">
        <v>9209484.0819210429</v>
      </c>
      <c r="M464" s="7">
        <v>10619923.476429667</v>
      </c>
      <c r="N464" s="7">
        <v>11337702.697747713</v>
      </c>
      <c r="O464" s="7">
        <v>14028411.346842417</v>
      </c>
      <c r="P464" s="7">
        <v>14787944.738781089</v>
      </c>
      <c r="Q464" s="7">
        <v>14137866.727027882</v>
      </c>
      <c r="R464" s="7">
        <v>5298574.3325002827</v>
      </c>
      <c r="S464" s="7">
        <v>7784301.7943541631</v>
      </c>
      <c r="T464">
        <v>7656380.9106783438</v>
      </c>
      <c r="U464" s="7">
        <v>9079729.5100730918</v>
      </c>
      <c r="V464" s="7">
        <v>2970340.8854985405</v>
      </c>
      <c r="W464" s="7">
        <v>3605937.6900084871</v>
      </c>
      <c r="X464" s="7">
        <v>3139114.8979552579</v>
      </c>
    </row>
    <row r="465" spans="1:24" ht="15" customHeight="1">
      <c r="B465" s="980" t="s">
        <v>378</v>
      </c>
      <c r="C465" s="980" t="s">
        <v>415</v>
      </c>
      <c r="E465" s="468" t="s">
        <v>434</v>
      </c>
      <c r="F465" s="126" t="s">
        <v>278</v>
      </c>
      <c r="G465" s="980" t="str">
        <f t="shared" si="453"/>
        <v>card_credit__ZALO_promotion</v>
      </c>
      <c r="I465" s="563" t="s">
        <v>235</v>
      </c>
      <c r="J465" s="7">
        <f t="shared" si="439"/>
        <v>28762499.362356886</v>
      </c>
      <c r="K465" s="7">
        <v>3671426.1857870417</v>
      </c>
      <c r="L465" s="7">
        <v>280817.61840889399</v>
      </c>
      <c r="M465" s="7">
        <v>2620924.8148563039</v>
      </c>
      <c r="N465" s="7">
        <v>1269537.664867894</v>
      </c>
      <c r="O465" s="7">
        <v>5072139.1969181634</v>
      </c>
      <c r="P465" s="7">
        <v>155450.53631297199</v>
      </c>
      <c r="Q465" s="7">
        <v>1270240.7869298842</v>
      </c>
      <c r="R465" s="7">
        <v>206154.62254445822</v>
      </c>
      <c r="S465" s="7">
        <v>290933.90478398866</v>
      </c>
      <c r="T465" s="7">
        <v>2427519.793997291</v>
      </c>
      <c r="U465" s="7">
        <v>439930.53047606826</v>
      </c>
      <c r="V465" s="7">
        <v>7496440.4123597108</v>
      </c>
      <c r="W465" s="7">
        <v>1363128.7848149561</v>
      </c>
      <c r="X465" s="7">
        <v>6150098.3134951917</v>
      </c>
    </row>
    <row r="466" spans="1:24" ht="15" customHeight="1">
      <c r="B466" s="980" t="s">
        <v>378</v>
      </c>
      <c r="C466" s="980" t="s">
        <v>415</v>
      </c>
      <c r="E466" s="468" t="s">
        <v>434</v>
      </c>
      <c r="F466" s="126" t="s">
        <v>279</v>
      </c>
      <c r="G466" s="980" t="str">
        <f t="shared" si="453"/>
        <v>card_credit__ZALO_sms</v>
      </c>
      <c r="I466" s="563" t="s">
        <v>163</v>
      </c>
      <c r="J466" s="7">
        <f t="shared" si="439"/>
        <v>470683388.09089231</v>
      </c>
      <c r="K466" s="7">
        <v>10240368.80454848</v>
      </c>
      <c r="L466" s="7">
        <v>117138407.95519592</v>
      </c>
      <c r="M466" s="7">
        <v>83142922.160359204</v>
      </c>
      <c r="N466" s="7">
        <v>63998081.250892453</v>
      </c>
      <c r="O466" s="7">
        <v>60290542.697503529</v>
      </c>
      <c r="P466" s="7">
        <v>30572555.857424196</v>
      </c>
      <c r="Q466" s="7">
        <v>30437705.755606934</v>
      </c>
      <c r="R466" s="7">
        <v>29331327.389186472</v>
      </c>
      <c r="S466" s="7">
        <v>36563834.912979975</v>
      </c>
      <c r="T466" s="7">
        <v>30264773.403043471</v>
      </c>
      <c r="U466" s="7">
        <v>26871113.357504498</v>
      </c>
      <c r="V466" s="7">
        <v>23950859.236573525</v>
      </c>
      <c r="W466" s="7">
        <v>32689670.473922133</v>
      </c>
      <c r="X466" s="7">
        <v>22570001.595896032</v>
      </c>
    </row>
    <row r="467" spans="1:24" ht="15" customHeight="1">
      <c r="B467" s="980" t="s">
        <v>378</v>
      </c>
      <c r="C467" s="980" t="s">
        <v>415</v>
      </c>
      <c r="E467" s="468" t="s">
        <v>434</v>
      </c>
      <c r="F467" s="126" t="s">
        <v>280</v>
      </c>
      <c r="G467" s="980" t="str">
        <f t="shared" si="453"/>
        <v>card_credit__ZALO_profit_before_overhead</v>
      </c>
      <c r="I467" s="47" t="s">
        <v>236</v>
      </c>
      <c r="J467" s="7">
        <f t="shared" si="439"/>
        <v>-1388622389.3719661</v>
      </c>
      <c r="K467" s="47">
        <f t="shared" ref="K467:R467" si="479">K430-K455-K456</f>
        <v>95803725.781935841</v>
      </c>
      <c r="L467" s="47">
        <f t="shared" si="479"/>
        <v>-279102616.8858887</v>
      </c>
      <c r="M467" s="47">
        <f t="shared" si="479"/>
        <v>-3626346.1448703408</v>
      </c>
      <c r="N467" s="47">
        <f t="shared" si="479"/>
        <v>-74229085.549794376</v>
      </c>
      <c r="O467" s="47">
        <f t="shared" si="479"/>
        <v>-254048277.48215491</v>
      </c>
      <c r="P467" s="47">
        <f t="shared" si="479"/>
        <v>-19217842.759428412</v>
      </c>
      <c r="Q467" s="47">
        <f t="shared" si="479"/>
        <v>126210812.91876236</v>
      </c>
      <c r="R467" s="47">
        <f t="shared" si="479"/>
        <v>-294073541.91360408</v>
      </c>
      <c r="S467" s="47">
        <f t="shared" ref="S467:X467" si="480">S430-S455-S456</f>
        <v>-49772271.414915264</v>
      </c>
      <c r="T467" s="47">
        <f t="shared" si="480"/>
        <v>-211306845.30638719</v>
      </c>
      <c r="U467" s="47">
        <f t="shared" si="480"/>
        <v>-55862350.755192876</v>
      </c>
      <c r="V467" s="47">
        <f t="shared" si="480"/>
        <v>-79942457.076365381</v>
      </c>
      <c r="W467" s="47">
        <f t="shared" si="480"/>
        <v>-371022654.68692869</v>
      </c>
      <c r="X467" s="47">
        <f t="shared" si="480"/>
        <v>-101731529.20108691</v>
      </c>
    </row>
    <row r="468" spans="1:24" ht="15" customHeight="1">
      <c r="E468" s="468"/>
      <c r="F468" s="886"/>
      <c r="I468" s="47"/>
      <c r="J468" s="34"/>
      <c r="K468" s="86"/>
      <c r="L468" s="86"/>
      <c r="M468" s="86"/>
      <c r="N468" s="86"/>
      <c r="O468" s="86"/>
      <c r="P468" s="86"/>
      <c r="Q468" s="86"/>
    </row>
    <row r="469" spans="1:24" ht="15" customHeight="1">
      <c r="B469" s="980" t="s">
        <v>378</v>
      </c>
      <c r="C469" s="980" t="s">
        <v>415</v>
      </c>
      <c r="E469" s="468"/>
      <c r="I469" s="82" t="s">
        <v>436</v>
      </c>
      <c r="K469" s="7"/>
      <c r="N469" s="7"/>
    </row>
    <row r="470" spans="1:24" ht="15" customHeight="1">
      <c r="B470" s="980" t="s">
        <v>378</v>
      </c>
      <c r="C470" s="980" t="s">
        <v>415</v>
      </c>
      <c r="E470" s="468" t="s">
        <v>51</v>
      </c>
      <c r="F470" s="126" t="s">
        <v>217</v>
      </c>
      <c r="G470" s="980" t="str">
        <f t="shared" si="453"/>
        <v>card_credit__Others_TOI</v>
      </c>
      <c r="I470" s="4" t="s">
        <v>217</v>
      </c>
      <c r="K470" s="7"/>
      <c r="L470" s="47">
        <v>3073704440</v>
      </c>
      <c r="N470" s="7"/>
      <c r="Q470" s="7">
        <v>2346291757.0139894</v>
      </c>
      <c r="U470" s="7">
        <v>3699849999.9999995</v>
      </c>
      <c r="X470" s="7">
        <v>2559110307</v>
      </c>
    </row>
    <row r="471" spans="1:24" ht="15" customHeight="1">
      <c r="B471" s="980" t="s">
        <v>378</v>
      </c>
      <c r="C471" s="980" t="s">
        <v>415</v>
      </c>
      <c r="E471" s="468" t="s">
        <v>51</v>
      </c>
      <c r="F471" s="717" t="s">
        <v>269</v>
      </c>
      <c r="G471" s="980" t="str">
        <f t="shared" si="453"/>
        <v>card_credit__Others_other_TOI</v>
      </c>
      <c r="I471" t="s">
        <v>89</v>
      </c>
      <c r="K471" s="7"/>
      <c r="L471" s="7">
        <v>3073704440</v>
      </c>
      <c r="Q471" s="86">
        <v>2346291757.0139894</v>
      </c>
      <c r="T471" s="7"/>
      <c r="U471" s="7">
        <v>3699849999.9999995</v>
      </c>
      <c r="X471" s="7">
        <v>2559110307</v>
      </c>
    </row>
    <row r="472" spans="1:24" ht="15" customHeight="1">
      <c r="B472" s="980" t="s">
        <v>378</v>
      </c>
      <c r="C472" s="980" t="s">
        <v>415</v>
      </c>
      <c r="E472" s="468" t="s">
        <v>51</v>
      </c>
      <c r="F472" s="126" t="s">
        <v>280</v>
      </c>
      <c r="G472" s="980" t="str">
        <f t="shared" si="453"/>
        <v>card_credit__Others_profit_before_overhead</v>
      </c>
      <c r="I472" s="4" t="s">
        <v>236</v>
      </c>
      <c r="K472" s="7"/>
      <c r="L472" s="47">
        <v>3073704440</v>
      </c>
      <c r="Q472" s="7">
        <v>2346291757.0139894</v>
      </c>
      <c r="U472" s="7">
        <v>3699849999.9999995</v>
      </c>
      <c r="X472" s="7">
        <v>2559110307</v>
      </c>
    </row>
    <row r="473" spans="1:24" ht="14.5" customHeight="1" thickBot="1">
      <c r="A473" s="1097"/>
      <c r="B473" s="1231"/>
      <c r="C473" s="1231"/>
      <c r="D473" s="1231"/>
      <c r="E473" s="1233"/>
      <c r="F473" s="1231"/>
      <c r="G473" s="1231"/>
      <c r="H473" s="1097"/>
      <c r="I473" s="1097"/>
      <c r="J473" s="1097"/>
      <c r="K473" s="1094"/>
      <c r="L473" s="1097"/>
      <c r="M473" s="1097"/>
      <c r="N473" s="1097"/>
      <c r="O473" s="1097"/>
      <c r="P473" s="1094"/>
      <c r="Q473" s="1097"/>
      <c r="R473" s="1097"/>
      <c r="S473" s="1097"/>
      <c r="T473" s="1097"/>
      <c r="U473" s="1097"/>
      <c r="V473" s="1097"/>
      <c r="W473" s="1097"/>
      <c r="X473" s="1097"/>
    </row>
    <row r="474" spans="1:24" ht="14.5" customHeight="1" thickTop="1">
      <c r="E474" s="468"/>
      <c r="K474" s="7"/>
    </row>
    <row r="475" spans="1:24" ht="14.5" customHeight="1">
      <c r="E475" s="468" t="s">
        <v>437</v>
      </c>
      <c r="F475" s="756"/>
      <c r="I475" s="82" t="s">
        <v>438</v>
      </c>
      <c r="K475" s="7"/>
    </row>
    <row r="476" spans="1:24" ht="14.5" customHeight="1">
      <c r="E476" s="468" t="s">
        <v>437</v>
      </c>
      <c r="F476" s="756"/>
      <c r="I476" s="1052" t="s">
        <v>193</v>
      </c>
      <c r="K476" s="7"/>
    </row>
    <row r="477" spans="1:24" ht="14.5" customHeight="1">
      <c r="E477" s="468" t="s">
        <v>437</v>
      </c>
      <c r="F477" s="756"/>
      <c r="I477" s="1052" t="s">
        <v>382</v>
      </c>
      <c r="K477" s="7"/>
      <c r="M477" s="7">
        <v>68173</v>
      </c>
      <c r="N477" s="7">
        <v>70307</v>
      </c>
      <c r="O477" s="7">
        <v>72073</v>
      </c>
      <c r="P477" s="7">
        <v>62781</v>
      </c>
      <c r="Q477" s="7">
        <v>65463</v>
      </c>
      <c r="R477" s="7">
        <v>67637</v>
      </c>
      <c r="S477" s="7">
        <v>68204</v>
      </c>
      <c r="T477" s="7">
        <v>72520</v>
      </c>
      <c r="U477" s="7">
        <v>72240</v>
      </c>
      <c r="V477" s="7">
        <v>76570</v>
      </c>
      <c r="W477" s="7">
        <v>71128</v>
      </c>
      <c r="X477">
        <v>85506</v>
      </c>
    </row>
    <row r="478" spans="1:24" ht="14.5" customHeight="1">
      <c r="E478" s="468" t="s">
        <v>437</v>
      </c>
      <c r="F478" s="756"/>
      <c r="I478" s="1052" t="s">
        <v>195</v>
      </c>
      <c r="M478" s="7">
        <v>42850</v>
      </c>
      <c r="N478" s="7">
        <v>42056</v>
      </c>
      <c r="O478" s="7">
        <v>42520</v>
      </c>
      <c r="P478" s="7">
        <v>43945</v>
      </c>
      <c r="Q478" s="7">
        <v>45381</v>
      </c>
      <c r="R478" s="7">
        <v>46137</v>
      </c>
      <c r="S478" s="7">
        <v>45567</v>
      </c>
      <c r="T478" s="7">
        <v>49180</v>
      </c>
      <c r="U478" s="7">
        <v>48505</v>
      </c>
      <c r="V478" s="7">
        <v>47442</v>
      </c>
      <c r="W478" s="7">
        <v>50594</v>
      </c>
      <c r="X478">
        <v>57048</v>
      </c>
    </row>
    <row r="479" spans="1:24" ht="14.5" customHeight="1">
      <c r="E479" s="468" t="s">
        <v>437</v>
      </c>
      <c r="F479" s="756"/>
      <c r="I479" s="1052" t="s">
        <v>196</v>
      </c>
      <c r="M479" s="42">
        <f t="shared" ref="M479:X479" si="481">M478/M102</f>
        <v>0.41380176143386899</v>
      </c>
      <c r="N479" s="42">
        <f t="shared" si="481"/>
        <v>0.43895209268343599</v>
      </c>
      <c r="O479" s="42">
        <f t="shared" si="481"/>
        <v>0.44608105414450422</v>
      </c>
      <c r="P479" s="42">
        <f t="shared" si="481"/>
        <v>0.48305541204533214</v>
      </c>
      <c r="Q479" s="42">
        <f t="shared" si="481"/>
        <v>0.52116541871468602</v>
      </c>
      <c r="R479" s="42">
        <f t="shared" si="481"/>
        <v>0.59168205601723611</v>
      </c>
      <c r="S479" s="42">
        <f t="shared" si="481"/>
        <v>0.66038173359806385</v>
      </c>
      <c r="T479" s="42">
        <f t="shared" si="481"/>
        <v>0.70635547576301616</v>
      </c>
      <c r="U479" s="42">
        <f t="shared" si="481"/>
        <v>0.69157506023924609</v>
      </c>
      <c r="V479" s="42">
        <f t="shared" si="481"/>
        <v>0.67398778235544821</v>
      </c>
      <c r="W479" s="42">
        <f t="shared" si="481"/>
        <v>0.68940426227721152</v>
      </c>
      <c r="X479" s="42">
        <f t="shared" si="481"/>
        <v>0.74948762415260917</v>
      </c>
    </row>
    <row r="480" spans="1:24" ht="14.5" customHeight="1">
      <c r="E480" s="468" t="s">
        <v>437</v>
      </c>
      <c r="I480" s="1052" t="s">
        <v>197</v>
      </c>
    </row>
    <row r="481" spans="5:24" ht="14.5" customHeight="1">
      <c r="E481" s="468" t="s">
        <v>437</v>
      </c>
      <c r="I481" s="1053" t="s">
        <v>198</v>
      </c>
      <c r="M481" s="5">
        <f>M482/M477</f>
        <v>6759728.8770187609</v>
      </c>
      <c r="N481" s="5">
        <f t="shared" ref="N481:R481" si="482">N482/N477</f>
        <v>4957387.6271210546</v>
      </c>
      <c r="O481" s="5">
        <f t="shared" si="482"/>
        <v>6946374.5032258965</v>
      </c>
      <c r="P481" s="7">
        <f t="shared" si="482"/>
        <v>8259502.6546248058</v>
      </c>
      <c r="Q481" s="7">
        <f t="shared" si="482"/>
        <v>7958521.8483723635</v>
      </c>
      <c r="R481" s="7">
        <f t="shared" si="482"/>
        <v>7820340.7883702703</v>
      </c>
      <c r="S481" s="7">
        <f t="shared" ref="S481:X481" si="483">S482/S477</f>
        <v>8734814.739399448</v>
      </c>
      <c r="T481" s="7">
        <f t="shared" si="483"/>
        <v>9479090.7194291223</v>
      </c>
      <c r="U481" s="7">
        <f t="shared" si="483"/>
        <v>8013985.5904485071</v>
      </c>
      <c r="V481" s="7">
        <f t="shared" si="483"/>
        <v>10119908.114196159</v>
      </c>
      <c r="W481" s="7">
        <f t="shared" si="483"/>
        <v>6020989.9446771881</v>
      </c>
      <c r="X481" s="7">
        <f t="shared" si="483"/>
        <v>12051015.060522068</v>
      </c>
    </row>
    <row r="482" spans="5:24" ht="14.5" customHeight="1">
      <c r="E482" s="468" t="s">
        <v>437</v>
      </c>
      <c r="I482" s="1052" t="s">
        <v>199</v>
      </c>
      <c r="M482" s="7">
        <v>460830996733</v>
      </c>
      <c r="N482" s="7">
        <v>348539051900</v>
      </c>
      <c r="O482" s="7">
        <v>500646049571.00006</v>
      </c>
      <c r="P482" s="7">
        <v>518539836159.99994</v>
      </c>
      <c r="Q482" s="7">
        <v>520988715760.00006</v>
      </c>
      <c r="R482" s="7">
        <v>528944389903</v>
      </c>
      <c r="S482" s="7">
        <v>595749304486</v>
      </c>
      <c r="T482" s="7">
        <v>687423658973</v>
      </c>
      <c r="U482" s="7">
        <v>578930319054.00012</v>
      </c>
      <c r="V482" s="7">
        <v>774881364303.99988</v>
      </c>
      <c r="W482" s="7">
        <v>428260972784.99902</v>
      </c>
      <c r="X482" s="7">
        <v>1030434093765</v>
      </c>
    </row>
    <row r="483" spans="5:24" ht="14.5" customHeight="1">
      <c r="E483" s="468" t="s">
        <v>437</v>
      </c>
      <c r="I483" s="226" t="s">
        <v>439</v>
      </c>
      <c r="M483" s="42">
        <f>M482/M106</f>
        <v>0.89105208896840427</v>
      </c>
      <c r="N483" s="42">
        <f t="shared" ref="N483:R483" si="484">N482/N106</f>
        <v>0.87528259359396587</v>
      </c>
      <c r="O483" s="42">
        <f t="shared" si="484"/>
        <v>0.86991620163472605</v>
      </c>
      <c r="P483" s="42">
        <f t="shared" si="484"/>
        <v>0.86281417209320477</v>
      </c>
      <c r="Q483" s="42">
        <f t="shared" si="484"/>
        <v>0.86864984090310049</v>
      </c>
      <c r="R483" s="42">
        <f t="shared" si="484"/>
        <v>0.86875746330658377</v>
      </c>
      <c r="S483" s="42">
        <f t="shared" ref="S483:X483" si="485">S482/S106</f>
        <v>0.8171077330946046</v>
      </c>
      <c r="T483" s="42">
        <f t="shared" si="485"/>
        <v>0.87261976141250419</v>
      </c>
      <c r="U483" s="42">
        <f t="shared" si="485"/>
        <v>0.83130767746388146</v>
      </c>
      <c r="V483" s="42">
        <f t="shared" si="485"/>
        <v>0.91145407803784317</v>
      </c>
      <c r="W483" s="42">
        <f t="shared" si="485"/>
        <v>0.51206426455773069</v>
      </c>
      <c r="X483" s="42">
        <f t="shared" si="485"/>
        <v>0.89632576381762885</v>
      </c>
    </row>
    <row r="484" spans="5:24" ht="14.5" customHeight="1">
      <c r="E484" s="468" t="s">
        <v>437</v>
      </c>
      <c r="I484" s="1052" t="s">
        <v>200</v>
      </c>
      <c r="M484" s="86">
        <v>437728591755</v>
      </c>
      <c r="N484" s="86">
        <v>443549553929.00006</v>
      </c>
      <c r="O484" s="86">
        <v>457088971283</v>
      </c>
      <c r="P484" s="86">
        <v>493111195166</v>
      </c>
      <c r="Q484" s="86">
        <v>526335153839.00006</v>
      </c>
      <c r="R484" s="86">
        <v>538666573607.99994</v>
      </c>
      <c r="S484" s="7">
        <v>561602825768</v>
      </c>
      <c r="T484" s="7">
        <v>680251447280</v>
      </c>
      <c r="U484" s="7">
        <v>689999355290</v>
      </c>
      <c r="V484" s="7">
        <v>730588788532.99988</v>
      </c>
      <c r="W484" s="7">
        <v>727505874228</v>
      </c>
      <c r="X484" s="7">
        <v>930548603447</v>
      </c>
    </row>
    <row r="485" spans="5:24" ht="14.5" customHeight="1">
      <c r="E485" s="468" t="s">
        <v>437</v>
      </c>
      <c r="I485" s="1052" t="s">
        <v>201</v>
      </c>
    </row>
    <row r="486" spans="5:24" ht="14.5" customHeight="1">
      <c r="E486" s="468" t="s">
        <v>437</v>
      </c>
      <c r="I486" s="1052" t="s">
        <v>202</v>
      </c>
    </row>
    <row r="487" spans="5:24" ht="14.5" customHeight="1">
      <c r="E487" s="468" t="s">
        <v>437</v>
      </c>
      <c r="I487" s="1052" t="s">
        <v>203</v>
      </c>
      <c r="M487" s="7">
        <v>80414298965</v>
      </c>
      <c r="N487" s="7">
        <v>87946760778</v>
      </c>
      <c r="O487" s="7">
        <v>88143750704</v>
      </c>
      <c r="P487" s="7">
        <v>57135326706</v>
      </c>
      <c r="Q487" s="7">
        <v>66545236708.999992</v>
      </c>
      <c r="R487" s="7">
        <v>68830773803</v>
      </c>
      <c r="S487" s="7">
        <v>73234968694</v>
      </c>
      <c r="T487" s="7">
        <v>105619192366</v>
      </c>
      <c r="U487" s="7">
        <v>95933519429</v>
      </c>
      <c r="V487" s="7">
        <v>42545074807</v>
      </c>
      <c r="W487" s="7">
        <v>316094966484.00006</v>
      </c>
      <c r="X487" s="7">
        <v>132935632439.00002</v>
      </c>
    </row>
    <row r="488" spans="5:24" ht="14.5" customHeight="1">
      <c r="E488" s="468" t="s">
        <v>437</v>
      </c>
      <c r="I488" s="1052" t="s">
        <v>204</v>
      </c>
    </row>
    <row r="489" spans="5:24" ht="14.5" customHeight="1">
      <c r="E489" s="468" t="s">
        <v>437</v>
      </c>
      <c r="I489" s="1052" t="s">
        <v>205</v>
      </c>
    </row>
    <row r="490" spans="5:24" ht="14.5" customHeight="1">
      <c r="E490" s="468" t="s">
        <v>437</v>
      </c>
      <c r="I490" s="1052" t="s">
        <v>206</v>
      </c>
    </row>
    <row r="491" spans="5:24" ht="14.5" customHeight="1">
      <c r="E491" s="468" t="s">
        <v>437</v>
      </c>
      <c r="I491" s="226" t="s">
        <v>423</v>
      </c>
    </row>
    <row r="492" spans="5:24" ht="14.5" customHeight="1">
      <c r="E492" s="468" t="s">
        <v>437</v>
      </c>
      <c r="I492" s="1052" t="s">
        <v>208</v>
      </c>
    </row>
    <row r="493" spans="5:24" ht="14.5" customHeight="1">
      <c r="E493" s="468" t="s">
        <v>437</v>
      </c>
      <c r="I493" s="1052" t="s">
        <v>209</v>
      </c>
    </row>
    <row r="494" spans="5:24" ht="14.5" customHeight="1">
      <c r="E494" s="468" t="s">
        <v>437</v>
      </c>
      <c r="I494" s="1052" t="s">
        <v>210</v>
      </c>
    </row>
    <row r="495" spans="5:24" ht="14.5" customHeight="1">
      <c r="E495" s="468" t="s">
        <v>437</v>
      </c>
      <c r="I495" s="85" t="s">
        <v>215</v>
      </c>
      <c r="J495" s="34">
        <f>SUM(M495:X495)</f>
        <v>124063998731.51442</v>
      </c>
      <c r="M495" s="34">
        <f>M498+M505+M521</f>
        <v>6674503587.8257113</v>
      </c>
      <c r="N495" s="34">
        <f t="shared" ref="N495:O495" si="486">N498+N505+N521</f>
        <v>7144258518.7102785</v>
      </c>
      <c r="O495" s="34">
        <f t="shared" si="486"/>
        <v>6830330539.0579424</v>
      </c>
      <c r="P495" s="34">
        <f t="shared" ref="P495:R495" si="487">P498+P505+P521</f>
        <v>6598930210.0022726</v>
      </c>
      <c r="Q495" s="34">
        <f t="shared" si="487"/>
        <v>8503945167.8610907</v>
      </c>
      <c r="R495" s="34">
        <f t="shared" si="487"/>
        <v>11542598354.161154</v>
      </c>
      <c r="S495" s="7">
        <f t="shared" ref="S495:X495" si="488">S498+S505+S521</f>
        <v>12305606067.461885</v>
      </c>
      <c r="T495" s="7">
        <f t="shared" si="488"/>
        <v>12419282535.897907</v>
      </c>
      <c r="U495" s="7">
        <f t="shared" si="488"/>
        <v>15183058263.236855</v>
      </c>
      <c r="V495" s="7">
        <f t="shared" si="488"/>
        <v>10341720430.393715</v>
      </c>
      <c r="W495" s="7">
        <f t="shared" si="488"/>
        <v>10732065488.235765</v>
      </c>
      <c r="X495" s="7">
        <f t="shared" si="488"/>
        <v>15787699568.669867</v>
      </c>
    </row>
    <row r="496" spans="5:24" ht="14.5" customHeight="1">
      <c r="E496" s="468" t="s">
        <v>437</v>
      </c>
      <c r="I496" s="47" t="s">
        <v>216</v>
      </c>
      <c r="J496" s="34">
        <f t="shared" ref="J496:J534" si="489">SUM(M496:X496)</f>
        <v>71337204822.288162</v>
      </c>
      <c r="M496" s="34">
        <f>M516+M503</f>
        <v>5279726951.9036551</v>
      </c>
      <c r="N496" s="34">
        <f t="shared" ref="N496:O496" si="490">N516+N503</f>
        <v>4907588993.3895569</v>
      </c>
      <c r="O496" s="34">
        <f t="shared" si="490"/>
        <v>5491747866.3902645</v>
      </c>
      <c r="P496" s="34">
        <f t="shared" ref="P496:Q496" si="491">P516+P503</f>
        <v>5385584484.9997406</v>
      </c>
      <c r="Q496" s="34">
        <f t="shared" si="491"/>
        <v>5082419917.218154</v>
      </c>
      <c r="R496" s="34">
        <f t="shared" ref="R496" si="492">R516+R503</f>
        <v>5602528200.9124546</v>
      </c>
      <c r="S496" s="7">
        <f t="shared" ref="S496:X496" si="493">S516+S503</f>
        <v>5976830890.7851906</v>
      </c>
      <c r="T496" s="7">
        <f t="shared" si="493"/>
        <v>7215668762.0353394</v>
      </c>
      <c r="U496" s="7">
        <f t="shared" si="493"/>
        <v>7221857247.9877949</v>
      </c>
      <c r="V496" s="7">
        <f t="shared" si="493"/>
        <v>7635008032.4117908</v>
      </c>
      <c r="W496" s="7">
        <f t="shared" si="493"/>
        <v>5157028776.0435925</v>
      </c>
      <c r="X496" s="7">
        <f t="shared" si="493"/>
        <v>6381214698.2106361</v>
      </c>
    </row>
    <row r="497" spans="5:24" ht="14.5" customHeight="1">
      <c r="E497" s="468" t="s">
        <v>437</v>
      </c>
      <c r="I497" s="226" t="s">
        <v>217</v>
      </c>
      <c r="J497" s="34">
        <f t="shared" si="489"/>
        <v>81406226654.802948</v>
      </c>
      <c r="M497" s="7">
        <f>M498+M504+M521</f>
        <v>2679671152.8450861</v>
      </c>
      <c r="N497" s="7">
        <f t="shared" ref="N497:O497" si="494">N498+N504+N521</f>
        <v>3456127514.4210815</v>
      </c>
      <c r="O497" s="7">
        <f t="shared" si="494"/>
        <v>2772560255.6676779</v>
      </c>
      <c r="P497" s="7">
        <f t="shared" ref="P497:Q497" si="495">P498+P504+P521</f>
        <v>2647323308.002532</v>
      </c>
      <c r="Q497" s="7">
        <f t="shared" si="495"/>
        <v>4855502833.6429367</v>
      </c>
      <c r="R497" s="7">
        <f t="shared" ref="R497" si="496">R498+R504+R521</f>
        <v>7981474527.0859108</v>
      </c>
      <c r="S497" s="7">
        <f t="shared" ref="S497:X497" si="497">S498+S504+S521</f>
        <v>8651366378.9117718</v>
      </c>
      <c r="T497" s="7">
        <f t="shared" si="497"/>
        <v>8178511860.9111977</v>
      </c>
      <c r="U497" s="7">
        <f t="shared" si="497"/>
        <v>10958799947.860544</v>
      </c>
      <c r="V497" s="7">
        <f t="shared" si="497"/>
        <v>6106552308.065588</v>
      </c>
      <c r="W497" s="7">
        <f t="shared" si="497"/>
        <v>8692954683.3984051</v>
      </c>
      <c r="X497" s="7">
        <f t="shared" si="497"/>
        <v>14425381883.990211</v>
      </c>
    </row>
    <row r="498" spans="5:24" ht="14.5" customHeight="1">
      <c r="E498" s="468" t="s">
        <v>437</v>
      </c>
      <c r="I498" s="1055" t="s">
        <v>218</v>
      </c>
      <c r="J498" s="34">
        <f t="shared" si="489"/>
        <v>25351133828.423325</v>
      </c>
      <c r="M498" s="7">
        <f t="shared" ref="M498:O498" si="498">M499-M503</f>
        <v>1265182956.0769701</v>
      </c>
      <c r="N498" s="7">
        <f t="shared" si="498"/>
        <v>2203762260.8996401</v>
      </c>
      <c r="O498" s="7">
        <f t="shared" si="498"/>
        <v>1570122402</v>
      </c>
      <c r="P498" s="7">
        <f t="shared" ref="P498:Q498" si="499">P499-P503</f>
        <v>1860716679</v>
      </c>
      <c r="Q498" s="7">
        <f t="shared" si="499"/>
        <v>2258509862</v>
      </c>
      <c r="R498" s="7">
        <f t="shared" ref="R498" si="500">R499-R503</f>
        <v>1619585050.1627879</v>
      </c>
      <c r="S498" s="7">
        <f t="shared" ref="S498:X498" si="501">S499-S503</f>
        <v>2591500111.7649226</v>
      </c>
      <c r="T498" s="7">
        <f t="shared" si="501"/>
        <v>2165704014.9513693</v>
      </c>
      <c r="U498" s="7">
        <f t="shared" si="501"/>
        <v>2431415037.3885155</v>
      </c>
      <c r="V498" s="7">
        <f t="shared" si="501"/>
        <v>-782768129.08366346</v>
      </c>
      <c r="W498" s="7">
        <f t="shared" si="501"/>
        <v>7539060924.7937679</v>
      </c>
      <c r="X498" s="7">
        <f t="shared" si="501"/>
        <v>628342658.46901894</v>
      </c>
    </row>
    <row r="499" spans="5:24" ht="14.5" customHeight="1">
      <c r="E499" s="468" t="s">
        <v>437</v>
      </c>
      <c r="I499" s="1076" t="s">
        <v>20</v>
      </c>
      <c r="J499" s="34">
        <f t="shared" si="489"/>
        <v>54030566574</v>
      </c>
      <c r="M499" s="86">
        <f>M500-M501+M502</f>
        <v>2550077473</v>
      </c>
      <c r="N499" s="86">
        <f>N500-N501+N502</f>
        <v>3423220250</v>
      </c>
      <c r="O499" s="86">
        <f t="shared" ref="O499:Q499" si="502">O500-O501+O502</f>
        <v>3004099985</v>
      </c>
      <c r="P499" s="86">
        <f t="shared" si="502"/>
        <v>3294694262</v>
      </c>
      <c r="Q499" s="86">
        <f t="shared" si="502"/>
        <v>3692487445</v>
      </c>
      <c r="R499" s="86">
        <f>R500-R501+R502</f>
        <v>3660989424</v>
      </c>
      <c r="S499" s="7">
        <v>4914091314</v>
      </c>
      <c r="T499" s="7">
        <f>T500-T501+T502</f>
        <v>5140602102</v>
      </c>
      <c r="U499" s="7">
        <f>U500-U501+U502</f>
        <v>5429013970</v>
      </c>
      <c r="V499" s="7">
        <f>V500-V501+V502</f>
        <v>2617071781</v>
      </c>
      <c r="W499" s="7">
        <f>W500-W501+W502</f>
        <v>10656978896</v>
      </c>
      <c r="X499" s="7">
        <f>X500-X501+X502</f>
        <v>5647239672</v>
      </c>
    </row>
    <row r="500" spans="5:24" ht="14.5" customHeight="1">
      <c r="E500" s="468" t="s">
        <v>437</v>
      </c>
      <c r="I500" s="1061" t="s">
        <v>256</v>
      </c>
      <c r="J500" s="34">
        <f t="shared" si="489"/>
        <v>54553868374</v>
      </c>
      <c r="M500" s="7">
        <v>3065630929</v>
      </c>
      <c r="N500" s="7">
        <v>3552574052</v>
      </c>
      <c r="O500" s="7">
        <v>3047287854</v>
      </c>
      <c r="P500" s="7">
        <v>3049610050</v>
      </c>
      <c r="Q500" s="7">
        <v>3692487445</v>
      </c>
      <c r="R500" s="7">
        <v>3660061732</v>
      </c>
      <c r="S500" s="7">
        <v>3747537517</v>
      </c>
      <c r="T500" s="7">
        <v>5107347029</v>
      </c>
      <c r="U500" s="7">
        <v>5280945061</v>
      </c>
      <c r="V500" s="7">
        <v>2481368631</v>
      </c>
      <c r="W500" s="7">
        <v>12212056768</v>
      </c>
      <c r="X500" s="7">
        <v>5656961306</v>
      </c>
    </row>
    <row r="501" spans="5:24" ht="14.5" customHeight="1">
      <c r="E501" s="468" t="s">
        <v>437</v>
      </c>
      <c r="I501" s="1061" t="s">
        <v>259</v>
      </c>
      <c r="J501" s="34">
        <f t="shared" si="489"/>
        <v>7576756766</v>
      </c>
      <c r="M501" s="86">
        <v>515553456</v>
      </c>
      <c r="N501" s="86">
        <v>644907258</v>
      </c>
      <c r="O501" s="86">
        <v>688095127</v>
      </c>
      <c r="P501" s="86">
        <v>443010915</v>
      </c>
      <c r="Q501" s="86">
        <v>519647177</v>
      </c>
      <c r="R501" s="86">
        <v>518719485</v>
      </c>
      <c r="S501" s="86">
        <v>609009194</v>
      </c>
      <c r="T501" s="86">
        <v>575754121</v>
      </c>
      <c r="U501" s="7">
        <v>427685212</v>
      </c>
      <c r="V501" s="7">
        <v>291982062</v>
      </c>
      <c r="W501" s="7">
        <v>1847059934</v>
      </c>
      <c r="X501" s="7">
        <v>495332825</v>
      </c>
    </row>
    <row r="502" spans="5:24" ht="14.5" customHeight="1">
      <c r="E502" s="468" t="s">
        <v>437</v>
      </c>
      <c r="I502" s="1061" t="s">
        <v>228</v>
      </c>
      <c r="J502" s="34">
        <f t="shared" si="489"/>
        <v>5796611460</v>
      </c>
      <c r="N502" s="86">
        <v>515553456</v>
      </c>
      <c r="O502" s="86">
        <v>644907258</v>
      </c>
      <c r="P502" s="86">
        <v>688095127</v>
      </c>
      <c r="Q502" s="86">
        <v>519647177</v>
      </c>
      <c r="R502" s="86">
        <v>519647177</v>
      </c>
      <c r="S502" s="86">
        <v>518719485</v>
      </c>
      <c r="T502" s="86">
        <v>609009194</v>
      </c>
      <c r="U502" s="7">
        <v>575754121</v>
      </c>
      <c r="V502" s="7">
        <v>427685212</v>
      </c>
      <c r="W502" s="7">
        <v>291982062</v>
      </c>
      <c r="X502" s="7">
        <v>485611191</v>
      </c>
    </row>
    <row r="503" spans="5:24" ht="14.5" customHeight="1">
      <c r="E503" s="468" t="s">
        <v>437</v>
      </c>
      <c r="I503" s="1060" t="s">
        <v>219</v>
      </c>
      <c r="J503" s="34">
        <f t="shared" si="489"/>
        <v>28679432745.576668</v>
      </c>
      <c r="M503" s="86">
        <v>1284894516.9230299</v>
      </c>
      <c r="N503" s="86">
        <v>1219457989.1003599</v>
      </c>
      <c r="O503" s="86">
        <v>1433977583</v>
      </c>
      <c r="P503" s="86">
        <v>1433977583</v>
      </c>
      <c r="Q503" s="86">
        <v>1433977583</v>
      </c>
      <c r="R503" s="86">
        <f t="shared" ref="R503:X503" si="503">R484/R107*R130</f>
        <v>2041404373.8372121</v>
      </c>
      <c r="S503" s="7">
        <f t="shared" si="503"/>
        <v>2322591202.2350774</v>
      </c>
      <c r="T503" s="7">
        <f t="shared" si="503"/>
        <v>2974898087.0486307</v>
      </c>
      <c r="U503" s="7">
        <f t="shared" si="503"/>
        <v>2997598932.6114845</v>
      </c>
      <c r="V503" s="7">
        <f t="shared" si="503"/>
        <v>3399839910.0836635</v>
      </c>
      <c r="W503" s="7">
        <f t="shared" si="503"/>
        <v>3117917971.2062316</v>
      </c>
      <c r="X503" s="7">
        <f t="shared" si="503"/>
        <v>5018897013.5309811</v>
      </c>
    </row>
    <row r="504" spans="5:24" ht="14.5" customHeight="1">
      <c r="E504" s="468" t="s">
        <v>437</v>
      </c>
      <c r="I504" s="1055" t="s">
        <v>220</v>
      </c>
      <c r="J504" s="34">
        <f t="shared" si="489"/>
        <v>55585396506.379616</v>
      </c>
      <c r="M504" s="34">
        <f>M505-M516</f>
        <v>1408016830.768116</v>
      </c>
      <c r="N504" s="34">
        <f t="shared" ref="N504:O504" si="504">N505-N516</f>
        <v>1159590181.5214415</v>
      </c>
      <c r="O504" s="34">
        <f t="shared" si="504"/>
        <v>1189868776.6676779</v>
      </c>
      <c r="P504" s="34">
        <f t="shared" ref="P504:Q504" si="505">P505-P516</f>
        <v>688773013.00253201</v>
      </c>
      <c r="Q504" s="86">
        <f t="shared" si="505"/>
        <v>2587554218.6429367</v>
      </c>
      <c r="R504" s="86">
        <f t="shared" ref="R504" si="506">R505-R516</f>
        <v>6211346864.9231234</v>
      </c>
      <c r="S504" s="7">
        <f t="shared" ref="S504:X504" si="507">S505-S516</f>
        <v>6059702820.1468487</v>
      </c>
      <c r="T504" s="7">
        <f t="shared" si="507"/>
        <v>6012757845.9598284</v>
      </c>
      <c r="U504" s="7">
        <f t="shared" si="507"/>
        <v>8510342023.4720287</v>
      </c>
      <c r="V504" s="7">
        <f t="shared" si="507"/>
        <v>6810217288.149251</v>
      </c>
      <c r="W504" s="7">
        <f t="shared" si="507"/>
        <v>1150704517.6046369</v>
      </c>
      <c r="X504" s="7">
        <f t="shared" si="507"/>
        <v>13796522125.521193</v>
      </c>
    </row>
    <row r="505" spans="5:24" ht="14.5" customHeight="1">
      <c r="E505" s="468" t="s">
        <v>437</v>
      </c>
      <c r="I505" s="1075" t="s">
        <v>22</v>
      </c>
      <c r="J505" s="34">
        <f t="shared" si="489"/>
        <v>98243168583.091125</v>
      </c>
      <c r="M505" s="34">
        <f t="shared" ref="M505:X505" si="508">SUM(M506:M512)-M513+M514+M515</f>
        <v>5402849265.7487411</v>
      </c>
      <c r="N505" s="34">
        <f t="shared" si="508"/>
        <v>4847721185.8106384</v>
      </c>
      <c r="O505" s="34">
        <f t="shared" si="508"/>
        <v>5247639060.0579424</v>
      </c>
      <c r="P505" s="34">
        <f t="shared" si="508"/>
        <v>4640379915.0022726</v>
      </c>
      <c r="Q505" s="34">
        <f t="shared" si="508"/>
        <v>6235996552.8610907</v>
      </c>
      <c r="R505" s="34">
        <f t="shared" si="508"/>
        <v>9772470691.9983654</v>
      </c>
      <c r="S505" s="34">
        <f t="shared" si="508"/>
        <v>9713942508.6969624</v>
      </c>
      <c r="T505" s="34">
        <f t="shared" si="508"/>
        <v>10253528520.946537</v>
      </c>
      <c r="U505" s="34">
        <f t="shared" si="508"/>
        <v>12734600338.848339</v>
      </c>
      <c r="V505" s="34">
        <f t="shared" si="508"/>
        <v>11045385410.477379</v>
      </c>
      <c r="W505" s="34">
        <f t="shared" si="508"/>
        <v>3189815322.4419975</v>
      </c>
      <c r="X505" s="34">
        <f t="shared" si="508"/>
        <v>15158839810.200848</v>
      </c>
    </row>
    <row r="506" spans="5:24" ht="14.5" customHeight="1">
      <c r="E506" s="468" t="s">
        <v>437</v>
      </c>
      <c r="I506" s="1061" t="s">
        <v>425</v>
      </c>
      <c r="J506" s="34">
        <f t="shared" si="489"/>
        <v>35520738240</v>
      </c>
      <c r="M506" s="86">
        <v>1269629560</v>
      </c>
      <c r="N506" s="86">
        <v>1381382851</v>
      </c>
      <c r="O506" s="86">
        <v>961100867</v>
      </c>
      <c r="P506" s="86">
        <v>414731367</v>
      </c>
      <c r="Q506" s="86">
        <v>1483421262</v>
      </c>
      <c r="R506" s="86">
        <v>4904689700</v>
      </c>
      <c r="S506" s="7">
        <v>4834177487</v>
      </c>
      <c r="T506" s="7">
        <v>3275658480</v>
      </c>
      <c r="U506" s="7">
        <v>3068573460</v>
      </c>
      <c r="V506" s="7">
        <v>4036759329</v>
      </c>
      <c r="W506" s="7">
        <v>4202782496</v>
      </c>
      <c r="X506" s="7">
        <v>5687831381</v>
      </c>
    </row>
    <row r="507" spans="5:24" ht="14.5" customHeight="1">
      <c r="E507" s="468" t="s">
        <v>437</v>
      </c>
      <c r="I507" s="1061" t="s">
        <v>21</v>
      </c>
      <c r="J507" s="34">
        <f t="shared" si="489"/>
        <v>35212710752.878288</v>
      </c>
      <c r="M507" s="86">
        <f t="shared" ref="M507:S507" si="509">M483*M134</f>
        <v>2813618049.7487416</v>
      </c>
      <c r="N507" s="86">
        <f t="shared" si="509"/>
        <v>1979448171.8106389</v>
      </c>
      <c r="O507" s="86">
        <f t="shared" si="509"/>
        <v>2784395332.0579424</v>
      </c>
      <c r="P507" s="86">
        <f t="shared" si="509"/>
        <v>2431575716.0022726</v>
      </c>
      <c r="Q507" s="86">
        <f t="shared" si="509"/>
        <v>2965177961.8610907</v>
      </c>
      <c r="R507" s="86">
        <f t="shared" si="509"/>
        <v>2844989417.9983654</v>
      </c>
      <c r="S507" s="7">
        <f t="shared" si="509"/>
        <v>3114082801.6969619</v>
      </c>
      <c r="T507" s="7">
        <f>T483*'slide card'!AR5</f>
        <v>3310688662.946538</v>
      </c>
      <c r="U507" s="7">
        <f>U483*'slide card'!AR6</f>
        <v>2876821424.1542349</v>
      </c>
      <c r="V507" s="7">
        <f>V483*'slide card'!AR7</f>
        <v>3804467884.4773793</v>
      </c>
      <c r="W507" s="7">
        <f>W483*'slide card'!AR8</f>
        <v>2115815194.441998</v>
      </c>
      <c r="X507" s="7">
        <f>X483*'slide card'!AR9</f>
        <v>4171630135.6821275</v>
      </c>
    </row>
    <row r="508" spans="5:24" ht="14.5" customHeight="1">
      <c r="E508" s="468" t="s">
        <v>437</v>
      </c>
      <c r="I508" s="1061" t="s">
        <v>408</v>
      </c>
      <c r="J508" s="34">
        <f t="shared" si="489"/>
        <v>5191783566</v>
      </c>
      <c r="M508" s="89">
        <v>528680628</v>
      </c>
      <c r="N508" s="89">
        <v>269504193</v>
      </c>
      <c r="O508" s="89">
        <v>189522989</v>
      </c>
      <c r="P508" s="86">
        <v>414200737</v>
      </c>
      <c r="Q508" s="86">
        <v>442507801</v>
      </c>
      <c r="R508" s="86">
        <v>396500367</v>
      </c>
      <c r="S508" s="7">
        <v>403228492</v>
      </c>
      <c r="T508" s="7">
        <v>530809734</v>
      </c>
      <c r="U508" s="7">
        <v>563599251</v>
      </c>
      <c r="V508" s="7">
        <v>309734496</v>
      </c>
      <c r="W508" s="7">
        <v>386789326</v>
      </c>
      <c r="X508" s="7">
        <v>756705552</v>
      </c>
    </row>
    <row r="509" spans="5:24" ht="14.5" customHeight="1">
      <c r="E509" s="468" t="s">
        <v>437</v>
      </c>
      <c r="I509" s="1061" t="s">
        <v>426</v>
      </c>
      <c r="J509" s="34">
        <f t="shared" si="489"/>
        <v>2390269771</v>
      </c>
      <c r="M509" s="89">
        <v>149702008</v>
      </c>
      <c r="N509" s="89">
        <v>155198476</v>
      </c>
      <c r="O509" s="89">
        <v>190535776</v>
      </c>
      <c r="P509" s="86">
        <v>217306927</v>
      </c>
      <c r="Q509" s="86">
        <v>224328254</v>
      </c>
      <c r="R509" s="86">
        <v>205882538</v>
      </c>
      <c r="S509" s="7">
        <v>197435785</v>
      </c>
      <c r="T509" s="7">
        <v>204793299</v>
      </c>
      <c r="U509" s="7">
        <v>199847928</v>
      </c>
      <c r="V509" s="7">
        <v>217018681</v>
      </c>
      <c r="W509" s="7">
        <v>152694871</v>
      </c>
      <c r="X509" s="7">
        <v>275525228</v>
      </c>
    </row>
    <row r="510" spans="5:24" ht="14.5" customHeight="1">
      <c r="E510" s="468" t="s">
        <v>437</v>
      </c>
      <c r="I510" s="1061" t="s">
        <v>396</v>
      </c>
      <c r="J510" s="34">
        <f t="shared" si="489"/>
        <v>1374791089</v>
      </c>
      <c r="M510" s="89">
        <v>11099139</v>
      </c>
      <c r="N510" s="89">
        <v>13236466</v>
      </c>
      <c r="O510" s="89">
        <v>121290</v>
      </c>
      <c r="P510" s="86">
        <v>448912</v>
      </c>
      <c r="Q510" s="86">
        <v>357294</v>
      </c>
      <c r="R510" s="86">
        <v>55576742</v>
      </c>
      <c r="S510" s="7">
        <v>206355797</v>
      </c>
      <c r="T510" s="7">
        <v>146341023</v>
      </c>
      <c r="U510" s="7">
        <v>157353000</v>
      </c>
      <c r="V510" s="7">
        <v>216330500</v>
      </c>
      <c r="W510" s="7">
        <v>281013492</v>
      </c>
      <c r="X510" s="7">
        <v>286557434</v>
      </c>
    </row>
    <row r="511" spans="5:24" ht="14.5" customHeight="1">
      <c r="E511" s="468" t="s">
        <v>437</v>
      </c>
      <c r="I511" s="1061" t="s">
        <v>427</v>
      </c>
      <c r="J511" s="34">
        <f t="shared" si="489"/>
        <v>17426796175</v>
      </c>
      <c r="M511" s="89">
        <v>1099684373</v>
      </c>
      <c r="N511" s="89">
        <v>1134429586</v>
      </c>
      <c r="O511" s="89">
        <v>1080538598</v>
      </c>
      <c r="P511" s="86">
        <v>1236714544</v>
      </c>
      <c r="Q511" s="89">
        <v>1215987559</v>
      </c>
      <c r="R511" s="86">
        <v>1489501238</v>
      </c>
      <c r="S511" s="7">
        <v>1501617354</v>
      </c>
      <c r="T511" s="7">
        <v>1341635504</v>
      </c>
      <c r="U511" s="7">
        <v>1878329880</v>
      </c>
      <c r="V511" s="7">
        <v>1099908952</v>
      </c>
      <c r="W511" s="7">
        <v>3490506482</v>
      </c>
      <c r="X511" s="7">
        <v>857942105</v>
      </c>
    </row>
    <row r="512" spans="5:24" ht="14.5" customHeight="1">
      <c r="E512" s="468" t="s">
        <v>437</v>
      </c>
      <c r="I512" s="1061" t="s">
        <v>224</v>
      </c>
      <c r="J512" s="34">
        <f t="shared" si="489"/>
        <v>6913475808</v>
      </c>
      <c r="P512" s="86">
        <v>0</v>
      </c>
      <c r="Q512" s="89">
        <f>1907622+4862606</f>
        <v>6770228</v>
      </c>
      <c r="R512" s="89">
        <v>623096</v>
      </c>
      <c r="S512" s="70">
        <v>14052240</v>
      </c>
      <c r="T512" s="7">
        <v>1325828128</v>
      </c>
      <c r="U512" s="7">
        <v>1827193081</v>
      </c>
      <c r="V512" s="7">
        <v>1161103783</v>
      </c>
      <c r="W512" s="7">
        <v>792016982</v>
      </c>
      <c r="X512" s="7">
        <v>1785888270</v>
      </c>
    </row>
    <row r="513" spans="5:24" ht="14.5" customHeight="1">
      <c r="E513" s="468" t="s">
        <v>437</v>
      </c>
      <c r="I513" s="1061" t="s">
        <v>227</v>
      </c>
      <c r="J513" s="34">
        <f t="shared" si="489"/>
        <v>18188010549</v>
      </c>
      <c r="M513" s="86">
        <v>469564492</v>
      </c>
      <c r="N513" s="86">
        <v>555043050</v>
      </c>
      <c r="O513" s="86">
        <v>513618842</v>
      </c>
      <c r="P513" s="34">
        <v>588217130</v>
      </c>
      <c r="Q513" s="34">
        <v>690770937</v>
      </c>
      <c r="R513" s="86">
        <v>816063344</v>
      </c>
      <c r="S513" s="7">
        <v>1373070792</v>
      </c>
      <c r="T513" s="86">
        <v>1255297102</v>
      </c>
      <c r="U513" s="7">
        <v>894919372</v>
      </c>
      <c r="V513" s="7">
        <v>694857587</v>
      </c>
      <c r="W513" s="7">
        <v>8926661108</v>
      </c>
      <c r="X513" s="7">
        <v>1409926793</v>
      </c>
    </row>
    <row r="514" spans="5:24" ht="14.5" customHeight="1">
      <c r="E514" s="468" t="s">
        <v>437</v>
      </c>
      <c r="I514" s="1061" t="s">
        <v>228</v>
      </c>
      <c r="J514" s="34">
        <f t="shared" si="489"/>
        <v>9351353720</v>
      </c>
      <c r="M514" s="34"/>
      <c r="N514" s="86">
        <v>469564492</v>
      </c>
      <c r="O514" s="86">
        <v>555043050</v>
      </c>
      <c r="P514" s="86">
        <v>513618842</v>
      </c>
      <c r="Q514" s="34">
        <v>588217130</v>
      </c>
      <c r="R514" s="34">
        <v>690770937</v>
      </c>
      <c r="S514" s="86">
        <v>816063344</v>
      </c>
      <c r="T514" s="7">
        <v>1373070792</v>
      </c>
      <c r="U514" s="7">
        <v>1255297102</v>
      </c>
      <c r="V514" s="7">
        <v>894919372</v>
      </c>
      <c r="W514" s="7">
        <v>694857587</v>
      </c>
      <c r="X514" s="7">
        <v>1499931072</v>
      </c>
    </row>
    <row r="515" spans="5:24" ht="14.5" customHeight="1">
      <c r="E515" s="468" t="s">
        <v>437</v>
      </c>
      <c r="I515" s="1061" t="s">
        <v>226</v>
      </c>
      <c r="J515" s="34">
        <f t="shared" si="489"/>
        <v>3049260010.2128229</v>
      </c>
      <c r="M515" s="7">
        <f t="shared" ref="M515:X515" si="510">$M$477/$M$101*M142</f>
        <v>0</v>
      </c>
      <c r="N515" s="7">
        <f t="shared" si="510"/>
        <v>0</v>
      </c>
      <c r="O515" s="7">
        <f t="shared" si="510"/>
        <v>0</v>
      </c>
      <c r="P515" s="7">
        <f t="shared" si="510"/>
        <v>0</v>
      </c>
      <c r="Q515" s="7">
        <f t="shared" si="510"/>
        <v>0</v>
      </c>
      <c r="R515" s="7">
        <f t="shared" si="510"/>
        <v>0</v>
      </c>
      <c r="S515" s="7">
        <f t="shared" si="510"/>
        <v>0</v>
      </c>
      <c r="T515" s="7">
        <f t="shared" si="510"/>
        <v>0</v>
      </c>
      <c r="U515" s="7">
        <f t="shared" si="510"/>
        <v>1802504584.6941032</v>
      </c>
      <c r="V515" s="7">
        <f t="shared" si="510"/>
        <v>0</v>
      </c>
      <c r="W515" s="7">
        <f t="shared" si="510"/>
        <v>0</v>
      </c>
      <c r="X515" s="7">
        <f t="shared" si="510"/>
        <v>1246755425.5187197</v>
      </c>
    </row>
    <row r="516" spans="5:24" ht="14.5" customHeight="1">
      <c r="E516" s="468" t="s">
        <v>437</v>
      </c>
      <c r="I516" s="1075" t="s">
        <v>295</v>
      </c>
      <c r="J516" s="34">
        <f t="shared" si="489"/>
        <v>42657772076.711502</v>
      </c>
      <c r="M516" s="34">
        <f>SUM(M517:M520)</f>
        <v>3994832434.9806252</v>
      </c>
      <c r="N516" s="34">
        <f t="shared" ref="N516:O516" si="511">SUM(N517:N520)</f>
        <v>3688131004.289197</v>
      </c>
      <c r="O516" s="34">
        <f t="shared" si="511"/>
        <v>4057770283.3902645</v>
      </c>
      <c r="P516" s="34">
        <f t="shared" ref="P516:Q516" si="512">SUM(P517:P520)</f>
        <v>3951606901.9997406</v>
      </c>
      <c r="Q516" s="34">
        <f t="shared" si="512"/>
        <v>3648442334.218154</v>
      </c>
      <c r="R516" s="34">
        <f t="shared" ref="R516" si="513">SUM(R517:R520)</f>
        <v>3561123827.075242</v>
      </c>
      <c r="S516" s="34">
        <f t="shared" ref="S516:X516" si="514">SUM(S517:S520)</f>
        <v>3654239688.5501132</v>
      </c>
      <c r="T516" s="34">
        <f t="shared" si="514"/>
        <v>4240770674.9867086</v>
      </c>
      <c r="U516" s="34">
        <f t="shared" si="514"/>
        <v>4224258315.3763103</v>
      </c>
      <c r="V516" s="34">
        <f t="shared" si="514"/>
        <v>4235168122.3281279</v>
      </c>
      <c r="W516" s="34">
        <f t="shared" si="514"/>
        <v>2039110804.8373606</v>
      </c>
      <c r="X516" s="34">
        <f t="shared" si="514"/>
        <v>1362317684.6796548</v>
      </c>
    </row>
    <row r="517" spans="5:24" ht="14.5" customHeight="1">
      <c r="E517" s="468" t="s">
        <v>437</v>
      </c>
      <c r="I517" s="1061" t="s">
        <v>411</v>
      </c>
      <c r="J517" s="34">
        <f t="shared" si="489"/>
        <v>3674356780.8052897</v>
      </c>
      <c r="M517" s="86">
        <f t="shared" ref="M517:N517" si="515">M483*M144</f>
        <v>747481060.59821725</v>
      </c>
      <c r="N517" s="86">
        <f t="shared" si="515"/>
        <v>641195542.43500197</v>
      </c>
      <c r="O517" s="86">
        <f>O483*O144</f>
        <v>685849790.34406614</v>
      </c>
      <c r="P517" s="86">
        <f t="shared" ref="P517:Q517" si="516">P483*P144</f>
        <v>431919399.95773453</v>
      </c>
      <c r="Q517" s="86">
        <f t="shared" si="516"/>
        <v>68612044.983413205</v>
      </c>
      <c r="R517" s="86">
        <f t="shared" ref="R517" si="517">R483*R144</f>
        <v>68620545.754197136</v>
      </c>
      <c r="S517" s="7">
        <f t="shared" ref="S517:X517" si="518">S483*S144</f>
        <v>64540888.513943531</v>
      </c>
      <c r="T517" s="7">
        <f t="shared" si="518"/>
        <v>298677674.07698768</v>
      </c>
      <c r="U517" s="7">
        <f t="shared" si="518"/>
        <v>284537497.91930497</v>
      </c>
      <c r="V517" s="7">
        <f t="shared" si="518"/>
        <v>311969767.46855885</v>
      </c>
      <c r="W517" s="7">
        <f t="shared" si="518"/>
        <v>70952568.753864422</v>
      </c>
      <c r="X517" s="7">
        <f t="shared" si="518"/>
        <v>0</v>
      </c>
    </row>
    <row r="518" spans="5:24" ht="14.5" customHeight="1">
      <c r="E518" s="468" t="s">
        <v>437</v>
      </c>
      <c r="I518" s="1061" t="s">
        <v>413</v>
      </c>
      <c r="J518" s="34">
        <f t="shared" si="489"/>
        <v>10534905752.188202</v>
      </c>
      <c r="M518" s="86">
        <f t="shared" ref="M518:O518" si="519">M483*M145</f>
        <v>844312462.21441364</v>
      </c>
      <c r="N518" s="86">
        <f t="shared" si="519"/>
        <v>795960798.27219641</v>
      </c>
      <c r="O518" s="86">
        <f t="shared" si="519"/>
        <v>927804425.56619585</v>
      </c>
      <c r="P518" s="86">
        <f t="shared" ref="P518:Q518" si="520">P483*P145</f>
        <v>776397241.29001534</v>
      </c>
      <c r="Q518" s="86">
        <f t="shared" si="520"/>
        <v>770067954.42874074</v>
      </c>
      <c r="R518" s="86">
        <f t="shared" ref="R518" si="521">R483*R145</f>
        <v>777186591.6890409</v>
      </c>
      <c r="S518" s="7">
        <f t="shared" ref="S518:X518" si="522">S483*S145</f>
        <v>819494994.2141639</v>
      </c>
      <c r="T518" s="7">
        <f t="shared" si="522"/>
        <v>889216174.24771285</v>
      </c>
      <c r="U518" s="7">
        <f t="shared" si="522"/>
        <v>858890690.10100055</v>
      </c>
      <c r="V518" s="7">
        <f t="shared" si="522"/>
        <v>985211434.85956883</v>
      </c>
      <c r="W518" s="7">
        <f t="shared" si="522"/>
        <v>728045300.62549841</v>
      </c>
      <c r="X518" s="7">
        <f t="shared" si="522"/>
        <v>1362317684.6796548</v>
      </c>
    </row>
    <row r="519" spans="5:24" ht="14.5" customHeight="1">
      <c r="E519" s="468" t="s">
        <v>437</v>
      </c>
      <c r="I519" s="1061" t="s">
        <v>332</v>
      </c>
      <c r="J519" s="34">
        <f t="shared" si="489"/>
        <v>28448509543.718006</v>
      </c>
      <c r="M519" s="86">
        <v>2403038912.1679945</v>
      </c>
      <c r="N519" s="86">
        <v>2250974663.5819988</v>
      </c>
      <c r="O519" s="86">
        <v>2444116067.4800024</v>
      </c>
      <c r="P519" s="86">
        <v>2743290260.7519908</v>
      </c>
      <c r="Q519" s="86">
        <v>2809762334.8060002</v>
      </c>
      <c r="R519" s="86">
        <v>2715316689.6320043</v>
      </c>
      <c r="S519" s="86">
        <v>2770203805.8220057</v>
      </c>
      <c r="T519" s="86">
        <v>3052876826.6620083</v>
      </c>
      <c r="U519" s="7">
        <v>3080830127.3560047</v>
      </c>
      <c r="V519" s="7">
        <v>2937986920</v>
      </c>
      <c r="W519" s="7">
        <v>1240112935.4579978</v>
      </c>
      <c r="X519" s="7"/>
    </row>
    <row r="520" spans="5:24" ht="14.5" customHeight="1">
      <c r="E520" s="468" t="s">
        <v>437</v>
      </c>
      <c r="I520" s="1061" t="s">
        <v>373</v>
      </c>
      <c r="J520" s="34">
        <f t="shared" si="489"/>
        <v>0</v>
      </c>
      <c r="M520" s="86">
        <v>0</v>
      </c>
      <c r="N520" s="86">
        <v>0</v>
      </c>
      <c r="O520" s="86">
        <v>0</v>
      </c>
      <c r="P520" s="86"/>
    </row>
    <row r="521" spans="5:24" ht="14.5" customHeight="1">
      <c r="E521" s="468" t="s">
        <v>437</v>
      </c>
      <c r="I521" s="1074" t="s">
        <v>89</v>
      </c>
      <c r="J521" s="34">
        <f t="shared" si="489"/>
        <v>469696320</v>
      </c>
      <c r="M521" s="86">
        <v>6471366</v>
      </c>
      <c r="N521" s="86">
        <v>92775072</v>
      </c>
      <c r="O521" s="86">
        <v>12569077</v>
      </c>
      <c r="P521" s="86">
        <v>97833616</v>
      </c>
      <c r="Q521" s="89">
        <v>9438753</v>
      </c>
      <c r="R521" s="86">
        <v>150542612</v>
      </c>
      <c r="S521" s="89">
        <v>163447</v>
      </c>
      <c r="T521" s="7">
        <v>50000</v>
      </c>
      <c r="U521" s="89">
        <v>17042887</v>
      </c>
      <c r="V521" s="89">
        <v>79103149</v>
      </c>
      <c r="W521" s="89">
        <v>3189241</v>
      </c>
      <c r="X521" s="89">
        <v>517100</v>
      </c>
    </row>
    <row r="522" spans="5:24" ht="14.5" customHeight="1">
      <c r="E522" s="468" t="s">
        <v>437</v>
      </c>
      <c r="I522" s="47" t="s">
        <v>136</v>
      </c>
      <c r="J522" s="34">
        <f t="shared" si="489"/>
        <v>13713315051</v>
      </c>
      <c r="M522" s="86">
        <v>862762290</v>
      </c>
      <c r="N522" s="86">
        <v>454911170</v>
      </c>
      <c r="O522" s="86">
        <f>523389725+488393369</f>
        <v>1011783094</v>
      </c>
      <c r="P522" s="86">
        <v>117089614</v>
      </c>
      <c r="Q522" s="86">
        <v>157065073</v>
      </c>
      <c r="R522" s="86">
        <f>660764298+468548146</f>
        <v>1129312444</v>
      </c>
      <c r="S522" s="86">
        <v>1351302594</v>
      </c>
      <c r="T522" s="86">
        <v>1551340186</v>
      </c>
      <c r="U522" s="7">
        <f>1188042936+515514555</f>
        <v>1703557491</v>
      </c>
      <c r="V522" s="7">
        <v>676388894</v>
      </c>
      <c r="W522" s="7">
        <v>2037071656</v>
      </c>
      <c r="X522" s="7">
        <f>1707752400+952978145</f>
        <v>2660730545</v>
      </c>
    </row>
    <row r="523" spans="5:24" ht="14.5" customHeight="1">
      <c r="E523" s="468" t="s">
        <v>437</v>
      </c>
      <c r="I523" s="85" t="s">
        <v>229</v>
      </c>
      <c r="J523" s="34">
        <f t="shared" si="489"/>
        <v>16381495698.218918</v>
      </c>
      <c r="M523" s="86">
        <f>SUM(M524:M533)</f>
        <v>1303581646.2534323</v>
      </c>
      <c r="N523" s="86">
        <f t="shared" ref="N523:R523" si="523">SUM(N524:N533)</f>
        <v>1219708354.4448335</v>
      </c>
      <c r="O523" s="86">
        <f t="shared" si="523"/>
        <v>1441444722.193393</v>
      </c>
      <c r="P523" s="86">
        <f t="shared" si="523"/>
        <v>1334264945.0800982</v>
      </c>
      <c r="Q523" s="86">
        <f t="shared" si="523"/>
        <v>1408016454.7853849</v>
      </c>
      <c r="R523" s="86">
        <f t="shared" si="523"/>
        <v>1110919166.3357863</v>
      </c>
      <c r="S523" s="7">
        <f t="shared" ref="S523:X523" si="524">SUM(S524:S533)</f>
        <v>1221018923.2596719</v>
      </c>
      <c r="T523" s="7">
        <f t="shared" si="524"/>
        <v>1416242858.1131141</v>
      </c>
      <c r="U523" s="7">
        <f t="shared" si="524"/>
        <v>1363943211.9126296</v>
      </c>
      <c r="V523" s="7">
        <f t="shared" si="524"/>
        <v>1349671741.6886518</v>
      </c>
      <c r="W523" s="7">
        <f t="shared" si="524"/>
        <v>1679339268.0546608</v>
      </c>
      <c r="X523" s="7">
        <f t="shared" si="524"/>
        <v>1533344406.0972605</v>
      </c>
    </row>
    <row r="524" spans="5:24" ht="14.5" customHeight="1">
      <c r="E524" s="468" t="s">
        <v>437</v>
      </c>
      <c r="I524" s="563" t="s">
        <v>230</v>
      </c>
      <c r="J524" s="34">
        <f t="shared" si="489"/>
        <v>4400039646.5960417</v>
      </c>
      <c r="M524" s="86">
        <f>$M$477/$M$101*M151</f>
        <v>269503292.24422401</v>
      </c>
      <c r="N524" s="86">
        <f t="shared" ref="N524:O524" si="525">$M$477/$M$101*N151</f>
        <v>237314108.51648289</v>
      </c>
      <c r="O524" s="86">
        <f t="shared" si="525"/>
        <v>269994445.45166612</v>
      </c>
      <c r="P524" s="86">
        <f t="shared" ref="P524:R524" si="526">$M$477/$M$101*P151</f>
        <v>289628150.57897705</v>
      </c>
      <c r="Q524" s="86">
        <f t="shared" si="526"/>
        <v>302990375.24802583</v>
      </c>
      <c r="R524" s="86">
        <f t="shared" si="526"/>
        <v>301580175.87079531</v>
      </c>
      <c r="S524" s="7">
        <f t="shared" ref="S524:V525" si="527">$M$477/$M$101*S151</f>
        <v>298966754.44251889</v>
      </c>
      <c r="T524" s="7">
        <f t="shared" si="527"/>
        <v>436536706.62386286</v>
      </c>
      <c r="U524" s="7">
        <f t="shared" si="527"/>
        <v>349972194.78947067</v>
      </c>
      <c r="V524" s="7">
        <f t="shared" si="527"/>
        <v>390363372.394889</v>
      </c>
      <c r="W524" s="7">
        <f t="shared" ref="W524:X524" si="528">$M$477/$M$101*W151</f>
        <v>710274287.41215432</v>
      </c>
      <c r="X524" s="7">
        <f t="shared" si="528"/>
        <v>542915783.02297521</v>
      </c>
    </row>
    <row r="525" spans="5:24" ht="14.5" customHeight="1">
      <c r="E525" s="468" t="s">
        <v>437</v>
      </c>
      <c r="I525" s="563" t="s">
        <v>231</v>
      </c>
      <c r="J525" s="34">
        <f t="shared" si="489"/>
        <v>1222127270.718894</v>
      </c>
      <c r="M525" s="7">
        <f>$M$477/$M$101*M152</f>
        <v>0</v>
      </c>
      <c r="N525" s="7">
        <f t="shared" ref="N525:O525" si="529">$M$477/$M$101*N152</f>
        <v>0</v>
      </c>
      <c r="O525" s="7">
        <f t="shared" si="529"/>
        <v>60048058.52245003</v>
      </c>
      <c r="P525" s="7">
        <f t="shared" ref="P525:R525" si="530">$M$477/$M$101*P152</f>
        <v>128995104.614319</v>
      </c>
      <c r="Q525" s="7">
        <f t="shared" si="530"/>
        <v>137188146.98876247</v>
      </c>
      <c r="R525" s="7">
        <f t="shared" si="530"/>
        <v>138636975.60529324</v>
      </c>
      <c r="S525" s="7">
        <f t="shared" si="527"/>
        <v>159671646.28396446</v>
      </c>
      <c r="T525" s="7">
        <f t="shared" si="527"/>
        <v>92819332.577590704</v>
      </c>
      <c r="U525" s="7">
        <f t="shared" si="527"/>
        <v>139673599.774928</v>
      </c>
      <c r="V525" s="7">
        <f t="shared" si="527"/>
        <v>100841316.42168395</v>
      </c>
      <c r="W525" s="7">
        <f t="shared" ref="W525:X525" si="531">$M$477/$M$101*W152</f>
        <v>145745788.22122729</v>
      </c>
      <c r="X525" s="7">
        <f t="shared" si="531"/>
        <v>118507301.70867486</v>
      </c>
    </row>
    <row r="526" spans="5:24" ht="14.5" customHeight="1">
      <c r="E526" s="468" t="s">
        <v>437</v>
      </c>
      <c r="I526" s="563" t="s">
        <v>232</v>
      </c>
      <c r="J526" s="34">
        <f t="shared" si="489"/>
        <v>3793016237.436244</v>
      </c>
      <c r="M526" s="7">
        <f>$M$477/$M$101*M153</f>
        <v>303477903.81281757</v>
      </c>
      <c r="N526" s="7">
        <f t="shared" ref="N526:O526" si="532">$M$477/$M$101*N153</f>
        <v>266628417.64407966</v>
      </c>
      <c r="O526" s="7">
        <f t="shared" si="532"/>
        <v>329313931.31405741</v>
      </c>
      <c r="P526" s="7">
        <f t="shared" ref="P526:R526" si="533">$M$477/$M$101*P153</f>
        <v>301321845.05574811</v>
      </c>
      <c r="Q526" s="7">
        <f t="shared" si="533"/>
        <v>315626786.17520529</v>
      </c>
      <c r="R526" s="7">
        <f t="shared" si="533"/>
        <v>312383461.7778151</v>
      </c>
      <c r="S526" s="7">
        <f t="shared" ref="S526:S533" si="534">$M$477/$M$101*S153</f>
        <v>308551070.59028965</v>
      </c>
      <c r="T526" s="7">
        <f t="shared" ref="T526:U533" si="535">$M$477/$M$101*T153</f>
        <v>354909528.57080168</v>
      </c>
      <c r="U526" s="7">
        <f t="shared" si="535"/>
        <v>359011812.8911193</v>
      </c>
      <c r="V526" s="7">
        <f t="shared" ref="V526:V533" si="536">$M$477/$M$101*V153</f>
        <v>306119048.88553798</v>
      </c>
      <c r="W526" s="7">
        <f t="shared" ref="W526:X533" si="537">$M$477/$M$101*W153</f>
        <v>331386074.23475522</v>
      </c>
      <c r="X526" s="7">
        <f t="shared" si="537"/>
        <v>304286356.48401731</v>
      </c>
    </row>
    <row r="527" spans="5:24" ht="14.5" customHeight="1">
      <c r="E527" s="468" t="s">
        <v>437</v>
      </c>
      <c r="I527" s="563" t="s">
        <v>233</v>
      </c>
      <c r="J527" s="34">
        <f t="shared" si="489"/>
        <v>19678167.410489302</v>
      </c>
      <c r="M527" s="7">
        <f>$M$477/$M$101*M154</f>
        <v>1509887.2809630325</v>
      </c>
      <c r="N527" s="7">
        <f t="shared" ref="N527:O527" si="538">$M$477/$M$101*N154</f>
        <v>1121752.848463193</v>
      </c>
      <c r="O527" s="7">
        <f t="shared" si="538"/>
        <v>1821811.1658222149</v>
      </c>
      <c r="P527" s="7">
        <f t="shared" ref="P527:R527" si="539">$M$477/$M$101*P154</f>
        <v>1563744.4040433636</v>
      </c>
      <c r="Q527" s="7">
        <f t="shared" si="539"/>
        <v>1600490.1932782116</v>
      </c>
      <c r="R527" s="7">
        <f t="shared" si="539"/>
        <v>1605719.6172311034</v>
      </c>
      <c r="S527" s="7">
        <f t="shared" si="534"/>
        <v>1581512.9479608098</v>
      </c>
      <c r="T527" s="7">
        <f t="shared" si="535"/>
        <v>1566711.3494386598</v>
      </c>
      <c r="U527" s="7">
        <f>$M$477/$M$101*U154</f>
        <v>1412159.3150507743</v>
      </c>
      <c r="V527" s="7">
        <f t="shared" si="536"/>
        <v>1375866.1189640756</v>
      </c>
      <c r="W527" s="7">
        <f t="shared" si="537"/>
        <v>2515510.2814990035</v>
      </c>
      <c r="X527" s="7">
        <f t="shared" si="537"/>
        <v>2003001.8877748635</v>
      </c>
    </row>
    <row r="528" spans="5:24" ht="14.5" customHeight="1">
      <c r="E528" s="468" t="s">
        <v>437</v>
      </c>
      <c r="I528" s="563" t="s">
        <v>152</v>
      </c>
      <c r="J528" s="34">
        <f t="shared" si="489"/>
        <v>231268599.68113315</v>
      </c>
      <c r="M528" s="7">
        <f t="shared" ref="M528:O533" si="540">$M$477/$M$101*M155</f>
        <v>20869523.141503435</v>
      </c>
      <c r="N528" s="7">
        <f t="shared" si="540"/>
        <v>13054501.277325576</v>
      </c>
      <c r="O528" s="7">
        <f t="shared" si="540"/>
        <v>19384179.660551835</v>
      </c>
      <c r="P528" s="7">
        <f t="shared" ref="P528:R528" si="541">$M$477/$M$101*P155</f>
        <v>16117792.012748959</v>
      </c>
      <c r="Q528" s="7">
        <f t="shared" si="541"/>
        <v>16144626.060757648</v>
      </c>
      <c r="R528" s="7">
        <f t="shared" si="541"/>
        <v>17502639.353118993</v>
      </c>
      <c r="S528" s="7">
        <f t="shared" si="534"/>
        <v>19817558.305188913</v>
      </c>
      <c r="T528" s="7">
        <f t="shared" si="535"/>
        <v>19025223.114204653</v>
      </c>
      <c r="U528" s="7">
        <f>$M$477/$M$101*U155</f>
        <v>18773135.064066373</v>
      </c>
      <c r="V528" s="7">
        <f t="shared" si="536"/>
        <v>21544934.376022812</v>
      </c>
      <c r="W528" s="7">
        <f>$M$477/$M$101*W155</f>
        <v>21520380.345165186</v>
      </c>
      <c r="X528" s="7">
        <f>$M$477/$M$101*X155</f>
        <v>27514106.970478728</v>
      </c>
    </row>
    <row r="529" spans="5:25" ht="14.5" customHeight="1">
      <c r="E529" s="468" t="s">
        <v>437</v>
      </c>
      <c r="I529" s="563" t="s">
        <v>388</v>
      </c>
      <c r="J529" s="34">
        <f t="shared" si="489"/>
        <v>1313323240.8285894</v>
      </c>
      <c r="M529" s="7">
        <f t="shared" si="540"/>
        <v>94530826.477671459</v>
      </c>
      <c r="N529" s="7">
        <f t="shared" si="540"/>
        <v>80480035.654634714</v>
      </c>
      <c r="O529" s="7">
        <f t="shared" si="540"/>
        <v>88192091.359650686</v>
      </c>
      <c r="P529" s="7">
        <f t="shared" ref="P529:R529" si="542">$M$477/$M$101*P156</f>
        <v>86513009.754668295</v>
      </c>
      <c r="Q529" s="7">
        <f t="shared" si="542"/>
        <v>111097733.15086505</v>
      </c>
      <c r="R529" s="7">
        <f t="shared" si="542"/>
        <v>109696837.99747021</v>
      </c>
      <c r="S529" s="7">
        <f t="shared" si="534"/>
        <v>114735529.74637862</v>
      </c>
      <c r="T529" s="7">
        <f t="shared" si="535"/>
        <v>113716675.33861919</v>
      </c>
      <c r="U529" s="7">
        <f>$M$477/$M$101*U156</f>
        <v>113012010.21737546</v>
      </c>
      <c r="V529" s="7">
        <f t="shared" si="536"/>
        <v>109036948.41817155</v>
      </c>
      <c r="W529" s="7">
        <f t="shared" si="537"/>
        <v>176096978.50757149</v>
      </c>
      <c r="X529" s="7">
        <f t="shared" si="537"/>
        <v>116214564.20551263</v>
      </c>
    </row>
    <row r="530" spans="5:25" ht="14.5" customHeight="1">
      <c r="E530" s="468" t="s">
        <v>437</v>
      </c>
      <c r="I530" s="563" t="s">
        <v>386</v>
      </c>
      <c r="J530" s="34">
        <f t="shared" si="489"/>
        <v>376561399.10736006</v>
      </c>
      <c r="M530" s="7">
        <f t="shared" si="540"/>
        <v>26369355.666962046</v>
      </c>
      <c r="N530" s="7">
        <f t="shared" si="540"/>
        <v>24740829.003524702</v>
      </c>
      <c r="O530" s="7">
        <f t="shared" si="540"/>
        <v>21761242.233933382</v>
      </c>
      <c r="P530" s="7">
        <f t="shared" ref="P530:R530" si="543">$M$477/$M$101*P157</f>
        <v>25197291.41439832</v>
      </c>
      <c r="Q530" s="7">
        <f t="shared" si="543"/>
        <v>30922154.324919783</v>
      </c>
      <c r="R530" s="7">
        <f t="shared" si="543"/>
        <v>30368854.57306711</v>
      </c>
      <c r="S530" s="7">
        <f t="shared" si="534"/>
        <v>31727394.023232546</v>
      </c>
      <c r="T530" s="7">
        <f t="shared" si="535"/>
        <v>31019964.137601566</v>
      </c>
      <c r="U530" s="7">
        <f>$M$477/$M$101*U157</f>
        <v>32163962.743148506</v>
      </c>
      <c r="V530" s="7">
        <f t="shared" si="536"/>
        <v>34167082.042062983</v>
      </c>
      <c r="W530" s="7">
        <f t="shared" si="537"/>
        <v>49851746.79668127</v>
      </c>
      <c r="X530" s="7">
        <f t="shared" si="537"/>
        <v>38271522.147827886</v>
      </c>
    </row>
    <row r="531" spans="5:25" ht="14.5" customHeight="1">
      <c r="E531" s="468" t="s">
        <v>437</v>
      </c>
      <c r="I531" s="563" t="s">
        <v>234</v>
      </c>
      <c r="J531" s="34">
        <f t="shared" si="489"/>
        <v>3260093051.7280078</v>
      </c>
      <c r="M531" s="7">
        <f t="shared" si="540"/>
        <v>353189401.94738591</v>
      </c>
      <c r="N531" s="7">
        <f t="shared" si="540"/>
        <v>466546027.07667542</v>
      </c>
      <c r="O531" s="7">
        <f t="shared" si="540"/>
        <v>401440326.42442435</v>
      </c>
      <c r="P531" s="7">
        <f t="shared" ref="P531:R531" si="544">$M$477/$M$101*P158</f>
        <v>414103890.3397665</v>
      </c>
      <c r="Q531" s="7">
        <f t="shared" si="544"/>
        <v>404719120.79746795</v>
      </c>
      <c r="R531" s="7">
        <f t="shared" si="544"/>
        <v>151316543.86844003</v>
      </c>
      <c r="S531" s="7">
        <f t="shared" si="534"/>
        <v>225661426.1953941</v>
      </c>
      <c r="T531" s="7">
        <f t="shared" si="535"/>
        <v>240900764.05847752</v>
      </c>
      <c r="U531" s="7">
        <f t="shared" si="535"/>
        <v>291609919.51729786</v>
      </c>
      <c r="V531" s="7">
        <f t="shared" si="536"/>
        <v>95030213.908592716</v>
      </c>
      <c r="W531" s="7">
        <f>$M$477/$M$101*W158</f>
        <v>114814676.50108078</v>
      </c>
      <c r="X531" s="7">
        <f>$M$477/$M$101*X158</f>
        <v>100760741.09300479</v>
      </c>
    </row>
    <row r="532" spans="5:25" ht="14.5" customHeight="1">
      <c r="E532" s="468" t="s">
        <v>437</v>
      </c>
      <c r="I532" s="563" t="s">
        <v>235</v>
      </c>
      <c r="J532" s="34">
        <f t="shared" si="489"/>
        <v>1030007383.0148786</v>
      </c>
      <c r="M532" s="7">
        <f t="shared" si="540"/>
        <v>106459327.64381525</v>
      </c>
      <c r="N532" s="7">
        <f t="shared" si="540"/>
        <v>35603131.844518445</v>
      </c>
      <c r="O532" s="7">
        <f t="shared" si="540"/>
        <v>152951999.71085447</v>
      </c>
      <c r="P532" s="7">
        <f t="shared" ref="P532:R532" si="545">$M$477/$M$101*P159</f>
        <v>4677289.5431385022</v>
      </c>
      <c r="Q532" s="7">
        <f t="shared" si="545"/>
        <v>40106286.539293803</v>
      </c>
      <c r="R532" s="7">
        <f t="shared" si="545"/>
        <v>7394160.9034466492</v>
      </c>
      <c r="S532" s="7">
        <f t="shared" si="534"/>
        <v>9898856.6933389548</v>
      </c>
      <c r="T532" s="7">
        <f t="shared" si="535"/>
        <v>84984558.846883863</v>
      </c>
      <c r="U532" s="7">
        <f t="shared" si="535"/>
        <v>14679916.735023189</v>
      </c>
      <c r="V532" s="7">
        <f t="shared" si="536"/>
        <v>247901733.05763471</v>
      </c>
      <c r="W532" s="7">
        <f t="shared" si="537"/>
        <v>83536310.952670202</v>
      </c>
      <c r="X532" s="7">
        <f t="shared" si="537"/>
        <v>241813810.54426047</v>
      </c>
    </row>
    <row r="533" spans="5:25" ht="14.5" customHeight="1">
      <c r="E533" s="468" t="s">
        <v>437</v>
      </c>
      <c r="I533" s="563" t="s">
        <v>163</v>
      </c>
      <c r="J533" s="34">
        <f t="shared" si="489"/>
        <v>735380701.69727802</v>
      </c>
      <c r="M533" s="7">
        <f t="shared" si="540"/>
        <v>127672128.03808944</v>
      </c>
      <c r="N533" s="7">
        <f t="shared" si="540"/>
        <v>94219550.579129264</v>
      </c>
      <c r="O533" s="7">
        <f t="shared" si="540"/>
        <v>96536636.3499825</v>
      </c>
      <c r="P533" s="7">
        <f t="shared" ref="P533:R533" si="546">$M$477/$M$101*P160</f>
        <v>66146827.362289861</v>
      </c>
      <c r="Q533" s="7">
        <f t="shared" si="546"/>
        <v>47620735.30680906</v>
      </c>
      <c r="R533" s="7">
        <f t="shared" si="546"/>
        <v>40433796.769108593</v>
      </c>
      <c r="S533" s="7">
        <f t="shared" si="534"/>
        <v>50407174.031405069</v>
      </c>
      <c r="T533" s="7">
        <f t="shared" si="535"/>
        <v>40763393.495633386</v>
      </c>
      <c r="U533" s="7">
        <f>$M$477/$M$101*U160</f>
        <v>43634500.865149297</v>
      </c>
      <c r="V533" s="7">
        <f t="shared" si="536"/>
        <v>43291226.065091908</v>
      </c>
      <c r="W533" s="7">
        <f t="shared" si="537"/>
        <v>43597514.801856183</v>
      </c>
      <c r="X533" s="7">
        <f t="shared" si="537"/>
        <v>41057218.032733619</v>
      </c>
    </row>
    <row r="534" spans="5:25" ht="14.5" customHeight="1">
      <c r="E534" s="468" t="s">
        <v>437</v>
      </c>
      <c r="I534" s="85" t="s">
        <v>236</v>
      </c>
      <c r="J534" s="34">
        <f t="shared" si="489"/>
        <v>51311415905.584023</v>
      </c>
      <c r="M534" s="34">
        <f>M497-M522-M523</f>
        <v>513327216.59165382</v>
      </c>
      <c r="N534" s="34">
        <f t="shared" ref="N534:R534" si="547">N497-N522-N523</f>
        <v>1781507989.976248</v>
      </c>
      <c r="O534" s="34">
        <f t="shared" si="547"/>
        <v>319332439.47428489</v>
      </c>
      <c r="P534" s="34">
        <f t="shared" si="547"/>
        <v>1195968748.9224339</v>
      </c>
      <c r="Q534" s="34">
        <f t="shared" si="547"/>
        <v>3290421305.8575516</v>
      </c>
      <c r="R534" s="34">
        <f t="shared" si="547"/>
        <v>5741242916.750124</v>
      </c>
      <c r="S534" s="34">
        <f t="shared" ref="S534:X534" si="548">S497-S522-S523</f>
        <v>6079044861.6520996</v>
      </c>
      <c r="T534" s="34">
        <f t="shared" si="548"/>
        <v>5210928816.7980833</v>
      </c>
      <c r="U534" s="34">
        <f t="shared" si="548"/>
        <v>7891299244.9479141</v>
      </c>
      <c r="V534" s="34">
        <f t="shared" si="548"/>
        <v>4080491672.376936</v>
      </c>
      <c r="W534" s="34">
        <f t="shared" si="548"/>
        <v>4976543759.3437443</v>
      </c>
      <c r="X534" s="34">
        <f t="shared" si="548"/>
        <v>10231306932.892952</v>
      </c>
    </row>
    <row r="535" spans="5:25" ht="14.5" customHeight="1">
      <c r="E535" s="468"/>
    </row>
    <row r="536" spans="5:25" ht="14.5" customHeight="1">
      <c r="E536" s="468" t="s">
        <v>440</v>
      </c>
      <c r="I536" s="82" t="s">
        <v>441</v>
      </c>
    </row>
    <row r="537" spans="5:25" ht="14.5" customHeight="1">
      <c r="E537" s="468" t="s">
        <v>440</v>
      </c>
      <c r="I537" s="1052" t="s">
        <v>193</v>
      </c>
    </row>
    <row r="538" spans="5:25" ht="14.5" customHeight="1">
      <c r="E538" s="468" t="s">
        <v>440</v>
      </c>
      <c r="I538" s="1052" t="s">
        <v>382</v>
      </c>
      <c r="M538" s="7">
        <v>42354</v>
      </c>
      <c r="N538" s="7">
        <v>42694</v>
      </c>
      <c r="O538" s="7">
        <v>43387</v>
      </c>
      <c r="P538" s="7">
        <v>41678</v>
      </c>
      <c r="Q538" s="7">
        <v>41847</v>
      </c>
      <c r="R538" s="7">
        <v>42380</v>
      </c>
      <c r="S538" s="7">
        <v>43893</v>
      </c>
      <c r="T538" s="7">
        <v>43817</v>
      </c>
      <c r="U538" s="7">
        <v>42151</v>
      </c>
      <c r="V538" s="7">
        <v>42670</v>
      </c>
      <c r="W538" s="7">
        <v>54937</v>
      </c>
      <c r="X538">
        <v>43945</v>
      </c>
      <c r="Y538" s="34"/>
    </row>
    <row r="539" spans="5:25" ht="14.5" customHeight="1">
      <c r="E539" s="468" t="s">
        <v>440</v>
      </c>
      <c r="I539" s="1052" t="s">
        <v>195</v>
      </c>
      <c r="O539" s="7">
        <v>22062</v>
      </c>
      <c r="P539" s="7">
        <v>20471</v>
      </c>
      <c r="Q539" s="7">
        <v>21366</v>
      </c>
      <c r="R539" s="7">
        <v>22299</v>
      </c>
      <c r="S539" s="7">
        <v>22333</v>
      </c>
      <c r="T539" s="7">
        <v>21876</v>
      </c>
      <c r="U539" s="7">
        <v>22238</v>
      </c>
      <c r="V539" s="7">
        <v>20343</v>
      </c>
      <c r="W539" s="7">
        <v>20450</v>
      </c>
      <c r="X539" s="7">
        <v>18978</v>
      </c>
    </row>
    <row r="540" spans="5:25" ht="14.5" customHeight="1">
      <c r="E540" s="468" t="s">
        <v>440</v>
      </c>
      <c r="I540" s="1052" t="s">
        <v>196</v>
      </c>
      <c r="O540" s="42">
        <f t="shared" ref="O540:X540" si="549">O539/O102</f>
        <v>0.23145437950461084</v>
      </c>
      <c r="P540" s="42">
        <f t="shared" si="549"/>
        <v>0.22502280896529739</v>
      </c>
      <c r="Q540" s="42">
        <f t="shared" si="549"/>
        <v>0.24537185906564379</v>
      </c>
      <c r="R540" s="42">
        <f t="shared" si="549"/>
        <v>0.28597260695598647</v>
      </c>
      <c r="S540" s="42">
        <f t="shared" si="549"/>
        <v>0.32366197591339257</v>
      </c>
      <c r="T540" s="42">
        <f t="shared" si="549"/>
        <v>0.31419748653500895</v>
      </c>
      <c r="U540" s="42">
        <f t="shared" si="549"/>
        <v>0.31706517244820853</v>
      </c>
      <c r="V540" s="42">
        <f t="shared" si="549"/>
        <v>0.28900411990339536</v>
      </c>
      <c r="W540" s="42">
        <f t="shared" si="549"/>
        <v>0.27865591104812776</v>
      </c>
      <c r="X540" s="42">
        <f t="shared" si="549"/>
        <v>0.24932997004571969</v>
      </c>
    </row>
    <row r="541" spans="5:25" ht="14.5" customHeight="1">
      <c r="E541" s="468" t="s">
        <v>440</v>
      </c>
      <c r="I541" s="1052" t="s">
        <v>197</v>
      </c>
      <c r="M541" s="7">
        <f>M543/M538</f>
        <v>1330341.2752514521</v>
      </c>
      <c r="N541" s="7">
        <f t="shared" ref="N541:Q541" si="550">N543/N538</f>
        <v>1163224.0656532533</v>
      </c>
      <c r="O541" s="7">
        <f t="shared" si="550"/>
        <v>1725507.9398206822</v>
      </c>
      <c r="P541" s="7">
        <f t="shared" si="550"/>
        <v>1978186.5029991593</v>
      </c>
      <c r="Q541" s="7">
        <f t="shared" si="550"/>
        <v>1882564.4210576611</v>
      </c>
      <c r="R541" s="7">
        <f t="shared" ref="R541" si="551">R543/R538</f>
        <v>1885493.8939830109</v>
      </c>
      <c r="S541" s="7">
        <f t="shared" ref="S541:X541" si="552">S543/S538</f>
        <v>3037975.7383637484</v>
      </c>
      <c r="T541" s="7">
        <f t="shared" si="552"/>
        <v>2290123.2175411149</v>
      </c>
      <c r="U541" s="7">
        <f t="shared" si="552"/>
        <v>2787096.066143149</v>
      </c>
      <c r="V541" s="7">
        <f t="shared" si="552"/>
        <v>1764194.0189125878</v>
      </c>
      <c r="W541" s="7">
        <f t="shared" si="552"/>
        <v>7428167.9879862564</v>
      </c>
      <c r="X541" s="7">
        <f t="shared" si="552"/>
        <v>2712162.5531914895</v>
      </c>
    </row>
    <row r="542" spans="5:25" ht="14.5" customHeight="1">
      <c r="E542" s="468" t="s">
        <v>440</v>
      </c>
      <c r="I542" s="1053" t="s">
        <v>198</v>
      </c>
    </row>
    <row r="543" spans="5:25" ht="14.5" customHeight="1">
      <c r="E543" s="468" t="s">
        <v>440</v>
      </c>
      <c r="I543" s="1052" t="s">
        <v>199</v>
      </c>
      <c r="M543" s="34">
        <f>M106-M482</f>
        <v>56345274372</v>
      </c>
      <c r="N543" s="34">
        <f t="shared" ref="N543:O543" si="553">N106-N482</f>
        <v>49662688259</v>
      </c>
      <c r="O543" s="34">
        <f t="shared" si="553"/>
        <v>74864612984.999939</v>
      </c>
      <c r="P543" s="34">
        <f t="shared" ref="P543:Q543" si="554">P106-P482</f>
        <v>82446857071.998962</v>
      </c>
      <c r="Q543" s="34">
        <f t="shared" si="554"/>
        <v>78779673327.999939</v>
      </c>
      <c r="R543" s="34">
        <f t="shared" ref="R543" si="555">R106-R482</f>
        <v>79907231227</v>
      </c>
      <c r="S543" s="34">
        <f t="shared" ref="S543:X543" si="556">S106-S482</f>
        <v>133345869084</v>
      </c>
      <c r="T543" s="34">
        <f t="shared" si="556"/>
        <v>100346329022.99902</v>
      </c>
      <c r="U543" s="34">
        <f t="shared" si="556"/>
        <v>117478886283.99988</v>
      </c>
      <c r="V543" s="34">
        <f t="shared" si="556"/>
        <v>75278158787.000122</v>
      </c>
      <c r="W543" s="34">
        <f t="shared" si="556"/>
        <v>408081264756.00098</v>
      </c>
      <c r="X543" s="34">
        <f t="shared" si="556"/>
        <v>119185983400</v>
      </c>
    </row>
    <row r="544" spans="5:25" ht="14.5" customHeight="1">
      <c r="E544" s="468" t="s">
        <v>440</v>
      </c>
      <c r="I544" s="1052" t="s">
        <v>200</v>
      </c>
      <c r="M544" s="34">
        <f>M107-M484</f>
        <v>441845314797</v>
      </c>
      <c r="N544" s="34">
        <f t="shared" ref="N544:O544" si="557">N107-N484</f>
        <v>421799736285.99994</v>
      </c>
      <c r="O544" s="34">
        <f t="shared" si="557"/>
        <v>441318198840</v>
      </c>
      <c r="P544" s="34">
        <f t="shared" ref="P544:Q544" si="558">P107-P484</f>
        <v>466557149467</v>
      </c>
      <c r="Q544" s="34">
        <f t="shared" si="558"/>
        <v>482727363387.99994</v>
      </c>
      <c r="R544" s="34">
        <f t="shared" ref="R544" si="559">R107-R484</f>
        <v>510661243447.00006</v>
      </c>
      <c r="S544" s="34">
        <f t="shared" ref="S544:X544" si="560">S107-S484</f>
        <v>576355075413</v>
      </c>
      <c r="T544" s="34">
        <f t="shared" si="560"/>
        <v>542621294393</v>
      </c>
      <c r="U544" s="34">
        <f t="shared" si="560"/>
        <v>598686576548</v>
      </c>
      <c r="V544" s="34">
        <f t="shared" si="560"/>
        <v>614809255021.00012</v>
      </c>
      <c r="W544" s="34">
        <f t="shared" si="560"/>
        <v>735283122230</v>
      </c>
      <c r="X544" s="34">
        <f t="shared" si="560"/>
        <v>596168614576</v>
      </c>
    </row>
    <row r="545" spans="5:24" ht="14.5" customHeight="1">
      <c r="E545" s="468" t="s">
        <v>440</v>
      </c>
      <c r="I545" s="1052" t="s">
        <v>201</v>
      </c>
    </row>
    <row r="546" spans="5:24" ht="14.5" customHeight="1">
      <c r="E546" s="468" t="s">
        <v>440</v>
      </c>
      <c r="I546" s="1052" t="s">
        <v>202</v>
      </c>
    </row>
    <row r="547" spans="5:24" ht="14.5" customHeight="1">
      <c r="E547" s="468" t="s">
        <v>440</v>
      </c>
      <c r="I547" s="1052" t="s">
        <v>203</v>
      </c>
      <c r="M547" s="7">
        <v>413900139080.00006</v>
      </c>
      <c r="N547" s="7">
        <v>396949058003</v>
      </c>
      <c r="O547" s="7">
        <v>402418024737</v>
      </c>
      <c r="P547" s="7">
        <v>404733676740.99994</v>
      </c>
      <c r="Q547" s="7">
        <v>474647907075</v>
      </c>
      <c r="R547" s="7">
        <v>506791648325.00006</v>
      </c>
      <c r="S547" s="7">
        <v>537499267181.99988</v>
      </c>
      <c r="T547" s="7">
        <v>530673379448</v>
      </c>
      <c r="U547" s="7">
        <v>547837407738.99994</v>
      </c>
      <c r="V547" s="7">
        <v>623966996231</v>
      </c>
      <c r="W547" s="7">
        <v>378501812532</v>
      </c>
      <c r="X547" s="7">
        <v>575629715805</v>
      </c>
    </row>
    <row r="548" spans="5:24" ht="14.5" customHeight="1">
      <c r="E548" s="468" t="s">
        <v>440</v>
      </c>
      <c r="I548" s="1052" t="s">
        <v>204</v>
      </c>
    </row>
    <row r="549" spans="5:24" ht="14.5" customHeight="1">
      <c r="E549" s="468" t="s">
        <v>440</v>
      </c>
      <c r="I549" s="1052" t="s">
        <v>205</v>
      </c>
    </row>
    <row r="550" spans="5:24" ht="14.5" customHeight="1">
      <c r="E550" s="468" t="s">
        <v>440</v>
      </c>
      <c r="I550" s="1052" t="s">
        <v>206</v>
      </c>
      <c r="T550" s="34"/>
    </row>
    <row r="551" spans="5:24" ht="14.5" customHeight="1">
      <c r="E551" s="468" t="s">
        <v>440</v>
      </c>
      <c r="I551" s="226" t="s">
        <v>423</v>
      </c>
    </row>
    <row r="552" spans="5:24" ht="14.5" customHeight="1">
      <c r="E552" s="468" t="s">
        <v>440</v>
      </c>
      <c r="I552" s="1052" t="s">
        <v>208</v>
      </c>
    </row>
    <row r="553" spans="5:24" ht="14.5" customHeight="1">
      <c r="E553" s="468" t="s">
        <v>440</v>
      </c>
      <c r="I553" s="1052" t="s">
        <v>209</v>
      </c>
    </row>
    <row r="554" spans="5:24" ht="14.5" customHeight="1">
      <c r="E554" s="468" t="s">
        <v>440</v>
      </c>
      <c r="I554" s="1052" t="s">
        <v>210</v>
      </c>
    </row>
    <row r="555" spans="5:24" ht="14.5" customHeight="1">
      <c r="E555" s="468" t="s">
        <v>440</v>
      </c>
      <c r="I555" s="85" t="s">
        <v>215</v>
      </c>
      <c r="J555" s="34">
        <f t="shared" ref="J555:J594" si="561">SUM(M555:X555)</f>
        <v>254445918929.90891</v>
      </c>
      <c r="M555" s="34">
        <f>M559+M565+M581</f>
        <v>14496178104.251259</v>
      </c>
      <c r="N555" s="34">
        <f t="shared" ref="N555:O555" si="562">N559+N565+N581</f>
        <v>11985830625.189362</v>
      </c>
      <c r="O555" s="34">
        <f t="shared" si="562"/>
        <v>13136944517.942059</v>
      </c>
      <c r="P555" s="34">
        <f t="shared" ref="P555:Q555" si="563">P559+P565+P581</f>
        <v>17025058238.997726</v>
      </c>
      <c r="Q555" s="34">
        <f t="shared" si="563"/>
        <v>21114272033.138908</v>
      </c>
      <c r="R555" s="34">
        <f t="shared" ref="R555" si="564">R559+R565+R581</f>
        <v>21119800186.001633</v>
      </c>
      <c r="S555" s="34">
        <f t="shared" ref="S555:X555" si="565">S559+S565+S581</f>
        <v>15091760918.303038</v>
      </c>
      <c r="T555" s="34">
        <f t="shared" si="565"/>
        <v>25031809951.053463</v>
      </c>
      <c r="U555" s="34">
        <f t="shared" si="565"/>
        <v>27080398823.151661</v>
      </c>
      <c r="V555" s="34">
        <f t="shared" si="565"/>
        <v>29177164110.522621</v>
      </c>
      <c r="W555" s="34">
        <f t="shared" si="565"/>
        <v>31390101323.558002</v>
      </c>
      <c r="X555" s="34">
        <f t="shared" si="565"/>
        <v>27796600097.799152</v>
      </c>
    </row>
    <row r="556" spans="5:24" ht="14.5" customHeight="1">
      <c r="E556" s="468" t="s">
        <v>440</v>
      </c>
      <c r="I556" s="47" t="s">
        <v>216</v>
      </c>
      <c r="J556" s="34">
        <f t="shared" si="561"/>
        <v>34387956653.746529</v>
      </c>
      <c r="M556" s="34">
        <f>M563+M576</f>
        <v>2264639143.7058592</v>
      </c>
      <c r="N556" s="34">
        <f t="shared" ref="N556:O556" si="566">N563+N576</f>
        <v>2122568447.2079372</v>
      </c>
      <c r="O556" s="34">
        <f t="shared" si="566"/>
        <v>2298160498.7091303</v>
      </c>
      <c r="P556" s="34">
        <f t="shared" ref="P556:Q556" si="567">P563+P576</f>
        <v>2217640427.4483433</v>
      </c>
      <c r="Q556" s="34">
        <f t="shared" si="567"/>
        <v>2628552800.3203669</v>
      </c>
      <c r="R556" s="34">
        <f t="shared" ref="R556" si="568">R563+R576</f>
        <v>2181951625.600668</v>
      </c>
      <c r="S556" s="34">
        <f t="shared" ref="S556:X556" si="569">S563+S576</f>
        <v>2678154206.2286959</v>
      </c>
      <c r="T556" s="34">
        <f t="shared" si="569"/>
        <v>2680316627.4081836</v>
      </c>
      <c r="U556" s="34">
        <f t="shared" si="569"/>
        <v>2972545700.051538</v>
      </c>
      <c r="V556" s="34">
        <f t="shared" si="569"/>
        <v>3124345785.0930314</v>
      </c>
      <c r="W556" s="34">
        <f t="shared" si="569"/>
        <v>5846083218.8003807</v>
      </c>
      <c r="X556" s="34">
        <f t="shared" si="569"/>
        <v>3372998173.1723919</v>
      </c>
    </row>
    <row r="557" spans="5:24" ht="14.5" customHeight="1">
      <c r="E557" s="468" t="s">
        <v>440</v>
      </c>
      <c r="I557" s="226" t="s">
        <v>217</v>
      </c>
      <c r="J557" s="34">
        <f t="shared" si="561"/>
        <v>220057962276.16238</v>
      </c>
      <c r="M557" s="7">
        <f>M558+M564+M581</f>
        <v>12231538960.545399</v>
      </c>
      <c r="N557" s="7">
        <f t="shared" ref="N557:O557" si="570">N558+N564+N581</f>
        <v>9863262177.9814243</v>
      </c>
      <c r="O557" s="7">
        <f t="shared" si="570"/>
        <v>10838784019.232927</v>
      </c>
      <c r="P557" s="7">
        <f t="shared" ref="P557:Q557" si="571">P558+P564+P581</f>
        <v>14807417811.549385</v>
      </c>
      <c r="Q557" s="7">
        <f t="shared" si="571"/>
        <v>18485719232.818542</v>
      </c>
      <c r="R557" s="7">
        <f t="shared" ref="R557" si="572">R558+R564+R581</f>
        <v>18937848560.400967</v>
      </c>
      <c r="S557" s="7">
        <f t="shared" ref="S557:X557" si="573">S558+S564+S581</f>
        <v>12413606712.074343</v>
      </c>
      <c r="T557" s="7">
        <f t="shared" si="573"/>
        <v>22351493323.645279</v>
      </c>
      <c r="U557" s="7">
        <f t="shared" si="573"/>
        <v>24107853123.100121</v>
      </c>
      <c r="V557" s="7">
        <f t="shared" si="573"/>
        <v>26052818325.429588</v>
      </c>
      <c r="W557" s="7">
        <f t="shared" si="573"/>
        <v>25544018104.757622</v>
      </c>
      <c r="X557" s="7">
        <f t="shared" si="573"/>
        <v>24423601924.626762</v>
      </c>
    </row>
    <row r="558" spans="5:24" ht="14.5" customHeight="1">
      <c r="E558" s="468" t="s">
        <v>440</v>
      </c>
      <c r="I558" s="1055" t="s">
        <v>218</v>
      </c>
      <c r="J558" s="34">
        <f t="shared" si="561"/>
        <v>132457264316.74683</v>
      </c>
      <c r="M558" s="7">
        <f>M125-M498</f>
        <v>8242607135.9230299</v>
      </c>
      <c r="N558" s="7">
        <f t="shared" ref="N558:O558" si="574">N125-N498</f>
        <v>7464006788.1003599</v>
      </c>
      <c r="O558" s="7">
        <f t="shared" si="574"/>
        <v>6946710035.7765875</v>
      </c>
      <c r="P558" s="7">
        <f t="shared" ref="P558:Q558" si="575">P559-P563</f>
        <v>9884660580.409771</v>
      </c>
      <c r="Q558" s="7">
        <f t="shared" si="575"/>
        <v>9489822773.4614792</v>
      </c>
      <c r="R558" s="7">
        <f t="shared" ref="R558" si="576">R559-R563</f>
        <v>12051480529.990757</v>
      </c>
      <c r="S558" s="7">
        <f t="shared" ref="S558:X558" si="577">S559-S563</f>
        <v>10372137545.557194</v>
      </c>
      <c r="T558" s="7">
        <f t="shared" si="577"/>
        <v>13938067650.275116</v>
      </c>
      <c r="U558" s="7">
        <f t="shared" si="577"/>
        <v>13668809848.611485</v>
      </c>
      <c r="V558" s="7">
        <f t="shared" si="577"/>
        <v>16885502251.706841</v>
      </c>
      <c r="W558" s="7">
        <f t="shared" si="577"/>
        <v>8978033084.7862606</v>
      </c>
      <c r="X558" s="7">
        <f t="shared" si="577"/>
        <v>14535426092.147953</v>
      </c>
    </row>
    <row r="559" spans="5:24" ht="14.5" customHeight="1">
      <c r="E559" s="468" t="s">
        <v>440</v>
      </c>
      <c r="I559" s="1076" t="s">
        <v>20</v>
      </c>
      <c r="J559" s="34">
        <f t="shared" si="561"/>
        <v>160950870047</v>
      </c>
      <c r="M559" s="86">
        <f>M126-M499</f>
        <v>10186247793</v>
      </c>
      <c r="N559" s="86">
        <f>N126-N499</f>
        <v>9288572822</v>
      </c>
      <c r="O559" s="86">
        <f>O126-O499</f>
        <v>8901328063</v>
      </c>
      <c r="P559" s="86">
        <f t="shared" ref="P559:Q559" si="578">P126-P499</f>
        <v>11754085728</v>
      </c>
      <c r="Q559" s="86">
        <f t="shared" si="578"/>
        <v>11870665446</v>
      </c>
      <c r="R559" s="86">
        <f t="shared" ref="R559:W559" si="579">R126-R499</f>
        <v>13986752082</v>
      </c>
      <c r="S559" s="7">
        <f t="shared" si="579"/>
        <v>12755738849</v>
      </c>
      <c r="T559" s="7">
        <f t="shared" si="579"/>
        <v>16311077009</v>
      </c>
      <c r="U559" s="7">
        <f t="shared" si="579"/>
        <v>16269714080</v>
      </c>
      <c r="V559" s="7">
        <f t="shared" si="579"/>
        <v>19746554974</v>
      </c>
      <c r="W559" s="7">
        <f t="shared" si="579"/>
        <v>12129282500</v>
      </c>
      <c r="X559" s="7">
        <f t="shared" ref="X559" si="580">X126-X499</f>
        <v>17750850701</v>
      </c>
    </row>
    <row r="560" spans="5:24" ht="14.5" customHeight="1">
      <c r="E560" s="468" t="s">
        <v>440</v>
      </c>
      <c r="I560" s="1057" t="s">
        <v>256</v>
      </c>
      <c r="J560" s="34">
        <f t="shared" si="561"/>
        <v>158951437579</v>
      </c>
      <c r="M560" s="34">
        <f t="shared" ref="M560:O560" si="581">M127-M500</f>
        <v>9393380222</v>
      </c>
      <c r="N560" s="34">
        <f t="shared" si="581"/>
        <v>9910121674</v>
      </c>
      <c r="O560" s="34">
        <f t="shared" si="581"/>
        <v>8829835365</v>
      </c>
      <c r="P560" s="34">
        <f t="shared" ref="P560:Q560" si="582">P127-P500</f>
        <v>9966547341</v>
      </c>
      <c r="Q560" s="34">
        <f t="shared" si="582"/>
        <v>11981873667</v>
      </c>
      <c r="R560" s="34">
        <f t="shared" ref="R560:W560" si="583">R126-R500</f>
        <v>13987679774</v>
      </c>
      <c r="S560" s="34">
        <f t="shared" si="583"/>
        <v>13922292646</v>
      </c>
      <c r="T560" s="34">
        <f t="shared" si="583"/>
        <v>16344332082</v>
      </c>
      <c r="U560" s="34">
        <f t="shared" si="583"/>
        <v>16417782989</v>
      </c>
      <c r="V560" s="34">
        <f t="shared" si="583"/>
        <v>19882258124</v>
      </c>
      <c r="W560" s="34">
        <f t="shared" si="583"/>
        <v>10574204628</v>
      </c>
      <c r="X560" s="34">
        <f t="shared" ref="X560" si="584">X126-X500</f>
        <v>17741129067</v>
      </c>
    </row>
    <row r="561" spans="5:24" ht="14.5" customHeight="1">
      <c r="E561" s="468" t="s">
        <v>440</v>
      </c>
      <c r="I561" s="1057" t="s">
        <v>259</v>
      </c>
      <c r="J561" s="34">
        <f t="shared" si="561"/>
        <v>0</v>
      </c>
      <c r="M561" s="34"/>
      <c r="P561"/>
    </row>
    <row r="562" spans="5:24" ht="14.5" customHeight="1">
      <c r="E562" s="468" t="s">
        <v>440</v>
      </c>
      <c r="I562" s="1057" t="s">
        <v>228</v>
      </c>
      <c r="J562" s="34">
        <f t="shared" si="561"/>
        <v>0</v>
      </c>
      <c r="M562" s="34"/>
      <c r="P562"/>
    </row>
    <row r="563" spans="5:24" ht="14.5" customHeight="1">
      <c r="E563" s="468" t="s">
        <v>440</v>
      </c>
      <c r="I563" s="1076" t="s">
        <v>219</v>
      </c>
      <c r="J563" s="34">
        <f t="shared" si="561"/>
        <v>28493605730.253166</v>
      </c>
      <c r="M563" s="34">
        <f>M130-M503</f>
        <v>1943640657.0769701</v>
      </c>
      <c r="N563" s="34">
        <f t="shared" ref="N563:O563" si="585">N130-N503</f>
        <v>1824566033.8996401</v>
      </c>
      <c r="O563" s="34">
        <f t="shared" si="585"/>
        <v>1954618027.2234125</v>
      </c>
      <c r="P563" s="34">
        <f t="shared" ref="P563:Q563" si="586">P130-P503</f>
        <v>1869425147.59023</v>
      </c>
      <c r="Q563" s="34">
        <f t="shared" si="586"/>
        <v>2380842672.5385213</v>
      </c>
      <c r="R563" s="34">
        <f t="shared" ref="R563" si="587">R130-R503</f>
        <v>1935271552.0092435</v>
      </c>
      <c r="S563" s="34">
        <f t="shared" ref="S563:X563" si="588">S130-S503</f>
        <v>2383601303.4428067</v>
      </c>
      <c r="T563" s="34">
        <f t="shared" si="588"/>
        <v>2373009358.724885</v>
      </c>
      <c r="U563" s="34">
        <f t="shared" si="588"/>
        <v>2600904231.3885155</v>
      </c>
      <c r="V563" s="34">
        <f t="shared" si="588"/>
        <v>2861052722.29316</v>
      </c>
      <c r="W563" s="34">
        <f t="shared" si="588"/>
        <v>3151249415.2137389</v>
      </c>
      <c r="X563" s="34">
        <f t="shared" si="588"/>
        <v>3215424608.852047</v>
      </c>
    </row>
    <row r="564" spans="5:24" ht="14.5" customHeight="1">
      <c r="E564" s="468" t="s">
        <v>440</v>
      </c>
      <c r="I564" s="1055" t="s">
        <v>220</v>
      </c>
      <c r="J564" s="34">
        <f t="shared" si="561"/>
        <v>73600724121.415527</v>
      </c>
      <c r="M564" s="34">
        <f>M565-M576</f>
        <v>3699993408.6223693</v>
      </c>
      <c r="N564" s="34">
        <f t="shared" ref="N564:O564" si="589">N565-N576</f>
        <v>2084280191.8810639</v>
      </c>
      <c r="O564" s="34">
        <f t="shared" si="589"/>
        <v>2934122582.4563398</v>
      </c>
      <c r="P564" s="34">
        <f t="shared" ref="P564:Q564" si="590">P565-P576</f>
        <v>3544207045.1396141</v>
      </c>
      <c r="Q564" s="34">
        <f t="shared" si="590"/>
        <v>5658092399.3570633</v>
      </c>
      <c r="R564" s="34">
        <f t="shared" ref="R564" si="591">R565-R576</f>
        <v>6241348984.4102106</v>
      </c>
      <c r="S564" s="34">
        <f t="shared" ref="S564:X564" si="592">S565-S576</f>
        <v>1126414689.5171485</v>
      </c>
      <c r="T564" s="34">
        <f t="shared" si="592"/>
        <v>7336256539.3701639</v>
      </c>
      <c r="U564" s="34">
        <f t="shared" si="592"/>
        <v>9195607689.4886379</v>
      </c>
      <c r="V564" s="34">
        <f t="shared" si="592"/>
        <v>7864504891.7227497</v>
      </c>
      <c r="W564" s="34">
        <f t="shared" si="592"/>
        <v>15497363815.971361</v>
      </c>
      <c r="X564" s="34">
        <f t="shared" si="592"/>
        <v>8418531883.4788084</v>
      </c>
    </row>
    <row r="565" spans="5:24" ht="14.5" customHeight="1">
      <c r="E565" s="468" t="s">
        <v>440</v>
      </c>
      <c r="I565" s="1073" t="s">
        <v>22</v>
      </c>
      <c r="J565" s="34">
        <f t="shared" si="561"/>
        <v>79495075044.90889</v>
      </c>
      <c r="M565" s="34">
        <f t="shared" ref="M565:X565" si="593">SUM(M566:M572)-M573+M574+M575</f>
        <v>4020991895.2512584</v>
      </c>
      <c r="N565" s="34">
        <f t="shared" si="593"/>
        <v>2382282605.1893611</v>
      </c>
      <c r="O565" s="34">
        <f t="shared" si="593"/>
        <v>3277665053.9420576</v>
      </c>
      <c r="P565" s="34">
        <f t="shared" si="593"/>
        <v>3892422324.9977274</v>
      </c>
      <c r="Q565" s="34">
        <f t="shared" si="593"/>
        <v>5905802527.1389093</v>
      </c>
      <c r="R565" s="34">
        <f t="shared" si="593"/>
        <v>6488029058.0016346</v>
      </c>
      <c r="S565" s="34">
        <f t="shared" si="593"/>
        <v>1420967592.3030376</v>
      </c>
      <c r="T565" s="34">
        <f t="shared" si="593"/>
        <v>7643563808.053462</v>
      </c>
      <c r="U565" s="34">
        <f t="shared" si="593"/>
        <v>9567249158.1516609</v>
      </c>
      <c r="V565" s="34">
        <f t="shared" si="593"/>
        <v>8127797954.5226212</v>
      </c>
      <c r="W565" s="34">
        <f t="shared" si="593"/>
        <v>18192197619.558002</v>
      </c>
      <c r="X565" s="34">
        <f t="shared" si="593"/>
        <v>8576105447.7991533</v>
      </c>
    </row>
    <row r="566" spans="5:24" ht="14.5" customHeight="1">
      <c r="E566" s="468" t="s">
        <v>440</v>
      </c>
      <c r="I566" s="1057" t="s">
        <v>425</v>
      </c>
      <c r="J566" s="34">
        <f t="shared" si="561"/>
        <v>13297109724</v>
      </c>
      <c r="M566" s="34">
        <f t="shared" ref="M566:O575" si="594">M133-M506</f>
        <v>295772812</v>
      </c>
      <c r="N566" s="34">
        <f t="shared" si="594"/>
        <v>356784260</v>
      </c>
      <c r="O566" s="34">
        <f t="shared" si="594"/>
        <v>284173175</v>
      </c>
      <c r="P566" s="34">
        <f t="shared" ref="P566:Q566" si="595">P133-P506</f>
        <v>156634251</v>
      </c>
      <c r="Q566" s="34">
        <f t="shared" si="595"/>
        <v>451890396</v>
      </c>
      <c r="R566" s="34">
        <f t="shared" ref="R566" si="596">R133-R506</f>
        <v>2072839773</v>
      </c>
      <c r="S566" s="34">
        <f t="shared" ref="S566:U571" si="597">S133-S506</f>
        <v>1017750575</v>
      </c>
      <c r="T566" s="34">
        <f t="shared" si="597"/>
        <v>1168519421</v>
      </c>
      <c r="U566" s="34">
        <f t="shared" si="597"/>
        <v>1975451996</v>
      </c>
      <c r="V566" s="34">
        <f>V133-V506</f>
        <v>1250874461</v>
      </c>
      <c r="W566" s="34">
        <f>W133-W506</f>
        <v>2457149426</v>
      </c>
      <c r="X566" s="34">
        <f>X133-X506</f>
        <v>1809269178</v>
      </c>
    </row>
    <row r="567" spans="5:24" ht="14.5" customHeight="1">
      <c r="E567" s="468" t="s">
        <v>440</v>
      </c>
      <c r="I567" s="1057" t="s">
        <v>21</v>
      </c>
      <c r="J567" s="34">
        <f t="shared" si="561"/>
        <v>6939512522.1217098</v>
      </c>
      <c r="M567" s="34">
        <f t="shared" si="594"/>
        <v>344017833.25125837</v>
      </c>
      <c r="N567" s="34">
        <f t="shared" si="594"/>
        <v>282047928.1893611</v>
      </c>
      <c r="O567" s="34">
        <f t="shared" si="594"/>
        <v>416367369.94205761</v>
      </c>
      <c r="P567" s="34">
        <f t="shared" ref="P567:Q567" si="598">P134-P507</f>
        <v>386615957.99772739</v>
      </c>
      <c r="Q567" s="34">
        <f t="shared" si="598"/>
        <v>448370078.13890934</v>
      </c>
      <c r="R567" s="34">
        <f t="shared" ref="R567" si="599">R134-R507</f>
        <v>429790412.0016346</v>
      </c>
      <c r="S567" s="34">
        <f t="shared" si="597"/>
        <v>697021506.30303812</v>
      </c>
      <c r="T567" s="34">
        <f>'slide card'!AR5-Card!T507</f>
        <v>483276142.05346203</v>
      </c>
      <c r="U567" s="34">
        <f>'slide card'!AR6-Card!U507</f>
        <v>583776260.84576511</v>
      </c>
      <c r="V567" s="34">
        <f>'slide card'!AR7-Card!V507</f>
        <v>369596367.52262068</v>
      </c>
      <c r="W567" s="34">
        <f>'slide card'!AR8-Card!W507</f>
        <v>2016117730.558002</v>
      </c>
      <c r="X567" s="34">
        <f>'slide card'!AR9-Card!X507</f>
        <v>482514935.31787252</v>
      </c>
    </row>
    <row r="568" spans="5:24" ht="14.5" customHeight="1">
      <c r="E568" s="468" t="s">
        <v>440</v>
      </c>
      <c r="I568" s="1057" t="s">
        <v>408</v>
      </c>
      <c r="J568" s="34">
        <f t="shared" si="561"/>
        <v>7166583117</v>
      </c>
      <c r="M568" s="34">
        <f t="shared" si="594"/>
        <v>443741586</v>
      </c>
      <c r="N568" s="34">
        <f t="shared" si="594"/>
        <v>173160465</v>
      </c>
      <c r="O568" s="34">
        <f t="shared" si="594"/>
        <v>350725927</v>
      </c>
      <c r="P568" s="34">
        <f t="shared" ref="P568:Q568" si="600">P135-P508</f>
        <v>541538975</v>
      </c>
      <c r="Q568" s="34">
        <f t="shared" si="600"/>
        <v>589114222</v>
      </c>
      <c r="R568" s="34">
        <f t="shared" ref="R568" si="601">R135-R508</f>
        <v>620385806</v>
      </c>
      <c r="S568" s="34">
        <f t="shared" si="597"/>
        <v>702649912</v>
      </c>
      <c r="T568" s="34">
        <f t="shared" si="597"/>
        <v>651712006</v>
      </c>
      <c r="U568" s="34">
        <f t="shared" ref="U568" si="602">U135-U508</f>
        <v>478296462</v>
      </c>
      <c r="V568" s="34">
        <f t="shared" ref="V568:X574" si="603">V135-V508</f>
        <v>784368128</v>
      </c>
      <c r="W568" s="34">
        <f t="shared" si="603"/>
        <v>1018292035</v>
      </c>
      <c r="X568" s="34">
        <f t="shared" ref="X568" si="604">X135-X508</f>
        <v>812597593</v>
      </c>
    </row>
    <row r="569" spans="5:24" ht="14.5" customHeight="1">
      <c r="E569" s="468" t="s">
        <v>440</v>
      </c>
      <c r="I569" s="1057" t="s">
        <v>426</v>
      </c>
      <c r="J569" s="34">
        <f t="shared" si="561"/>
        <v>888979427</v>
      </c>
      <c r="M569" s="34">
        <f t="shared" si="594"/>
        <v>39186806</v>
      </c>
      <c r="N569" s="34">
        <f t="shared" si="594"/>
        <v>31552829</v>
      </c>
      <c r="O569" s="34">
        <f t="shared" si="594"/>
        <v>57663894</v>
      </c>
      <c r="P569" s="34">
        <f t="shared" ref="P569:Q569" si="605">P136-P509</f>
        <v>58726207</v>
      </c>
      <c r="Q569" s="34">
        <f t="shared" si="605"/>
        <v>64961983</v>
      </c>
      <c r="R569" s="34">
        <f t="shared" ref="R569" si="606">R136-R509</f>
        <v>59208551</v>
      </c>
      <c r="S569" s="34">
        <f t="shared" si="597"/>
        <v>86982143</v>
      </c>
      <c r="T569" s="34">
        <f t="shared" si="597"/>
        <v>76843165</v>
      </c>
      <c r="U569" s="34">
        <f t="shared" ref="U569" si="607">U136-U509</f>
        <v>73567221</v>
      </c>
      <c r="V569" s="34">
        <f t="shared" si="603"/>
        <v>75017159</v>
      </c>
      <c r="W569" s="34">
        <f t="shared" si="603"/>
        <v>171994719</v>
      </c>
      <c r="X569" s="34">
        <f t="shared" ref="X569" si="608">X136-X509</f>
        <v>93274750</v>
      </c>
    </row>
    <row r="570" spans="5:24" ht="14.5" customHeight="1">
      <c r="E570" s="468" t="s">
        <v>440</v>
      </c>
      <c r="I570" s="1057" t="s">
        <v>396</v>
      </c>
      <c r="J570" s="34">
        <f t="shared" si="561"/>
        <v>812767340</v>
      </c>
      <c r="M570" s="34">
        <f t="shared" si="594"/>
        <v>207102</v>
      </c>
      <c r="N570" s="34">
        <f t="shared" si="594"/>
        <v>1433622</v>
      </c>
      <c r="O570" s="34">
        <f t="shared" si="594"/>
        <v>-5933115</v>
      </c>
      <c r="P570" s="34">
        <f t="shared" ref="P570:Q570" si="609">P137-P510</f>
        <v>-1361209</v>
      </c>
      <c r="Q570" s="34">
        <f t="shared" si="609"/>
        <v>-1298752</v>
      </c>
      <c r="R570" s="34">
        <f t="shared" ref="R570" si="610">R137-R510</f>
        <v>21966434</v>
      </c>
      <c r="S570" s="34">
        <f t="shared" si="597"/>
        <v>77415126</v>
      </c>
      <c r="T570" s="34">
        <f t="shared" si="597"/>
        <v>127193663</v>
      </c>
      <c r="U570" s="34">
        <f t="shared" ref="U570" si="611">U137-U510</f>
        <v>161603887</v>
      </c>
      <c r="V570" s="34">
        <f t="shared" si="603"/>
        <v>127307427</v>
      </c>
      <c r="W570" s="34">
        <f t="shared" si="603"/>
        <v>196025778</v>
      </c>
      <c r="X570" s="34">
        <f t="shared" ref="X570" si="612">X137-X510</f>
        <v>108207377</v>
      </c>
    </row>
    <row r="571" spans="5:24" ht="14.5" customHeight="1">
      <c r="E571" s="468" t="s">
        <v>440</v>
      </c>
      <c r="I571" s="1057" t="s">
        <v>427</v>
      </c>
      <c r="J571" s="34">
        <f t="shared" si="561"/>
        <v>45181183354</v>
      </c>
      <c r="M571" s="34">
        <f t="shared" si="594"/>
        <v>2373388522</v>
      </c>
      <c r="N571" s="34">
        <f t="shared" si="594"/>
        <v>2073254557</v>
      </c>
      <c r="O571" s="34">
        <f t="shared" si="594"/>
        <v>2090063406</v>
      </c>
      <c r="P571" s="34">
        <f t="shared" ref="P571:Q571" si="613">P138-P511</f>
        <v>7187836717</v>
      </c>
      <c r="Q571" s="34">
        <f t="shared" si="613"/>
        <v>592923628</v>
      </c>
      <c r="R571" s="34">
        <f t="shared" ref="R571" si="614">R138-R511</f>
        <v>4038939694</v>
      </c>
      <c r="S571" s="34">
        <f t="shared" si="597"/>
        <v>3911280038</v>
      </c>
      <c r="T571" s="34">
        <f t="shared" si="597"/>
        <v>5273194980</v>
      </c>
      <c r="U571" s="34">
        <f t="shared" ref="U571" si="615">U138-U511</f>
        <v>4633184035</v>
      </c>
      <c r="V571" s="34">
        <f t="shared" si="603"/>
        <v>4731456434</v>
      </c>
      <c r="W571" s="34">
        <f t="shared" si="603"/>
        <v>4446841721</v>
      </c>
      <c r="X571" s="34">
        <f t="shared" ref="X571" si="616">X138-X511</f>
        <v>3828819622</v>
      </c>
    </row>
    <row r="572" spans="5:24" ht="14.5" customHeight="1">
      <c r="E572" s="468" t="s">
        <v>440</v>
      </c>
      <c r="I572" s="1057" t="s">
        <v>224</v>
      </c>
      <c r="J572" s="34">
        <f t="shared" si="561"/>
        <v>406731660</v>
      </c>
      <c r="M572" s="34">
        <f t="shared" si="594"/>
        <v>0</v>
      </c>
      <c r="N572" s="34">
        <f t="shared" si="594"/>
        <v>0</v>
      </c>
      <c r="O572" s="34">
        <f t="shared" si="594"/>
        <v>0</v>
      </c>
      <c r="P572" s="34">
        <f t="shared" ref="P572:Q572" si="617">P139-P512</f>
        <v>0</v>
      </c>
      <c r="Q572" s="34">
        <f t="shared" si="617"/>
        <v>-6770228</v>
      </c>
      <c r="R572" s="34">
        <f t="shared" ref="R572" si="618">R139-R512</f>
        <v>-623096</v>
      </c>
      <c r="S572" s="34">
        <f t="shared" ref="S572:T574" si="619">S139-S512</f>
        <v>-3625793</v>
      </c>
      <c r="T572" s="34">
        <f t="shared" si="619"/>
        <v>3442847</v>
      </c>
      <c r="U572" s="34">
        <f t="shared" ref="U572" si="620">U139-U512</f>
        <v>-3653499</v>
      </c>
      <c r="V572" s="34">
        <f t="shared" si="603"/>
        <v>78707663</v>
      </c>
      <c r="W572" s="34">
        <f t="shared" si="603"/>
        <v>280353230</v>
      </c>
      <c r="X572" s="34">
        <f t="shared" ref="X572" si="621">X139-X512</f>
        <v>58900536</v>
      </c>
    </row>
    <row r="573" spans="5:24" ht="14.5" customHeight="1">
      <c r="E573" s="468" t="s">
        <v>440</v>
      </c>
      <c r="I573" s="1057" t="s">
        <v>227</v>
      </c>
      <c r="J573" s="34">
        <f t="shared" si="561"/>
        <v>91084677430</v>
      </c>
      <c r="M573" s="34">
        <f t="shared" si="594"/>
        <v>4074246500</v>
      </c>
      <c r="N573" s="34">
        <f t="shared" si="594"/>
        <v>4610197556</v>
      </c>
      <c r="O573" s="34">
        <f t="shared" si="594"/>
        <v>4525593159</v>
      </c>
      <c r="P573" s="34">
        <f t="shared" ref="P573:Q575" si="622">P140-P513</f>
        <v>8963161733</v>
      </c>
      <c r="Q573" s="34">
        <f t="shared" si="622"/>
        <v>5196550533</v>
      </c>
      <c r="R573" s="34">
        <f t="shared" ref="R573" si="623">R140-R513</f>
        <v>5951029049</v>
      </c>
      <c r="S573" s="34">
        <f t="shared" si="619"/>
        <v>11019534964</v>
      </c>
      <c r="T573" s="34">
        <f t="shared" si="619"/>
        <v>11160153380</v>
      </c>
      <c r="U573" s="34">
        <f t="shared" ref="U573" si="624">U140-U513</f>
        <v>11392476000</v>
      </c>
      <c r="V573" s="34">
        <f t="shared" si="603"/>
        <v>10682005685</v>
      </c>
      <c r="W573" s="34">
        <f t="shared" si="603"/>
        <v>3076582705</v>
      </c>
      <c r="X573" s="7">
        <v>10433146166</v>
      </c>
    </row>
    <row r="574" spans="5:24" ht="14.5" customHeight="1">
      <c r="E574" s="468" t="s">
        <v>440</v>
      </c>
      <c r="I574" s="1057" t="s">
        <v>228</v>
      </c>
      <c r="J574" s="34">
        <f t="shared" si="561"/>
        <v>92677185034</v>
      </c>
      <c r="M574" s="34">
        <f t="shared" si="594"/>
        <v>4598923734</v>
      </c>
      <c r="N574" s="34">
        <f t="shared" si="594"/>
        <v>4074246500</v>
      </c>
      <c r="O574" s="34">
        <f t="shared" si="594"/>
        <v>4610197556</v>
      </c>
      <c r="P574" s="34">
        <f t="shared" si="622"/>
        <v>4525593159</v>
      </c>
      <c r="Q574" s="34">
        <f t="shared" si="622"/>
        <v>8963161733</v>
      </c>
      <c r="R574" s="34">
        <f t="shared" ref="R574" si="625">R141-R514</f>
        <v>5196550533</v>
      </c>
      <c r="S574" s="34">
        <f t="shared" si="619"/>
        <v>5951029049</v>
      </c>
      <c r="T574" s="34">
        <f t="shared" si="619"/>
        <v>11019534964</v>
      </c>
      <c r="U574" s="34">
        <f t="shared" ref="U574" si="626">U141-U514</f>
        <v>11160153380</v>
      </c>
      <c r="V574" s="34">
        <f t="shared" si="603"/>
        <v>11392476000</v>
      </c>
      <c r="W574" s="34">
        <f t="shared" si="603"/>
        <v>10682005685</v>
      </c>
      <c r="X574" s="34">
        <f t="shared" si="603"/>
        <v>10503312741</v>
      </c>
    </row>
    <row r="575" spans="5:24" ht="14.5" customHeight="1">
      <c r="E575" s="468" t="s">
        <v>440</v>
      </c>
      <c r="I575" s="1057" t="s">
        <v>226</v>
      </c>
      <c r="J575" s="34">
        <f t="shared" si="561"/>
        <v>3209700296.7871766</v>
      </c>
      <c r="M575" s="34">
        <f t="shared" si="594"/>
        <v>0</v>
      </c>
      <c r="N575" s="34">
        <f>N142-N515</f>
        <v>0</v>
      </c>
      <c r="O575" s="34">
        <f>O142-O515</f>
        <v>0</v>
      </c>
      <c r="P575" s="34">
        <f t="shared" si="622"/>
        <v>0</v>
      </c>
      <c r="Q575" s="34">
        <f t="shared" si="622"/>
        <v>0</v>
      </c>
      <c r="R575" s="34">
        <f t="shared" ref="R575:X575" si="627">R142-R515</f>
        <v>0</v>
      </c>
      <c r="S575" s="34">
        <f t="shared" si="627"/>
        <v>0</v>
      </c>
      <c r="T575" s="34">
        <f t="shared" si="627"/>
        <v>0</v>
      </c>
      <c r="U575" s="34">
        <f t="shared" si="627"/>
        <v>1897345415.3058963</v>
      </c>
      <c r="V575" s="34">
        <f t="shared" si="627"/>
        <v>0</v>
      </c>
      <c r="W575" s="34">
        <f t="shared" si="627"/>
        <v>0</v>
      </c>
      <c r="X575" s="34">
        <f t="shared" si="627"/>
        <v>1312354881.4812803</v>
      </c>
    </row>
    <row r="576" spans="5:24" ht="14.5" customHeight="1">
      <c r="E576" s="468" t="s">
        <v>440</v>
      </c>
      <c r="I576" s="1075" t="s">
        <v>295</v>
      </c>
      <c r="J576" s="34">
        <f t="shared" si="561"/>
        <v>5894350923.4933558</v>
      </c>
      <c r="M576" s="34">
        <f>SUM(M577:M579)</f>
        <v>320998486.62888908</v>
      </c>
      <c r="N576" s="34">
        <f t="shared" ref="N576:O576" si="628">SUM(N577:N579)</f>
        <v>298002413.30829728</v>
      </c>
      <c r="O576" s="34">
        <f t="shared" si="628"/>
        <v>343542471.48571789</v>
      </c>
      <c r="P576" s="34">
        <f t="shared" ref="P576:Q576" si="629">SUM(P577:P579)</f>
        <v>348215279.85811305</v>
      </c>
      <c r="Q576" s="34">
        <f t="shared" si="629"/>
        <v>247710127.78184581</v>
      </c>
      <c r="R576" s="34">
        <f t="shared" ref="R576" si="630">SUM(R577:R579)</f>
        <v>246680073.59142435</v>
      </c>
      <c r="S576" s="34">
        <f t="shared" ref="S576:X576" si="631">SUM(S577:S579)</f>
        <v>294552902.78588915</v>
      </c>
      <c r="T576" s="34">
        <f t="shared" si="631"/>
        <v>307307268.68329841</v>
      </c>
      <c r="U576" s="34">
        <f t="shared" si="631"/>
        <v>371641468.66302264</v>
      </c>
      <c r="V576" s="34">
        <f t="shared" si="631"/>
        <v>263293062.79987162</v>
      </c>
      <c r="W576" s="34">
        <f t="shared" si="631"/>
        <v>2694833803.5866418</v>
      </c>
      <c r="X576" s="34">
        <f t="shared" si="631"/>
        <v>157573564.32034516</v>
      </c>
    </row>
    <row r="577" spans="5:24" ht="14.5" customHeight="1">
      <c r="E577" s="468" t="s">
        <v>440</v>
      </c>
      <c r="I577" s="1061" t="s">
        <v>411</v>
      </c>
      <c r="J577" s="34">
        <f t="shared" si="561"/>
        <v>588432889.15555549</v>
      </c>
      <c r="M577" s="34">
        <f t="shared" ref="M577:O577" si="632">M144-M517</f>
        <v>91393647.011297226</v>
      </c>
      <c r="N577" s="34">
        <f t="shared" si="632"/>
        <v>91362773.162492514</v>
      </c>
      <c r="O577" s="34">
        <f t="shared" si="632"/>
        <v>102559241.53191614</v>
      </c>
      <c r="P577" s="34">
        <f t="shared" ref="P577:Q577" si="633">P144-P517</f>
        <v>68674370.900119185</v>
      </c>
      <c r="Q577" s="34">
        <f t="shared" si="633"/>
        <v>10374955.016586795</v>
      </c>
      <c r="R577" s="34">
        <f t="shared" ref="R577" si="634">R144-R517</f>
        <v>10366454.245802864</v>
      </c>
      <c r="S577" s="34">
        <f t="shared" ref="S577:X577" si="635">S144-S517</f>
        <v>14446111.486056469</v>
      </c>
      <c r="T577" s="34">
        <f t="shared" si="635"/>
        <v>43599325.923012316</v>
      </c>
      <c r="U577" s="34">
        <f t="shared" si="635"/>
        <v>57739502.080695033</v>
      </c>
      <c r="V577" s="34">
        <f t="shared" si="635"/>
        <v>30307232.531441152</v>
      </c>
      <c r="W577" s="34">
        <f t="shared" si="635"/>
        <v>67609275.266135827</v>
      </c>
      <c r="X577" s="34">
        <f t="shared" si="635"/>
        <v>0</v>
      </c>
    </row>
    <row r="578" spans="5:24" ht="14.5" customHeight="1">
      <c r="E578" s="468" t="s">
        <v>440</v>
      </c>
      <c r="I578" s="1061" t="s">
        <v>413</v>
      </c>
      <c r="J578" s="34">
        <f t="shared" si="561"/>
        <v>2147230033.7917974</v>
      </c>
      <c r="M578" s="34">
        <f t="shared" ref="M578:O578" si="636">M145-M518</f>
        <v>103233110.78558636</v>
      </c>
      <c r="N578" s="34">
        <f t="shared" si="636"/>
        <v>113414989.72780359</v>
      </c>
      <c r="O578" s="34">
        <f t="shared" si="636"/>
        <v>138740172.43380415</v>
      </c>
      <c r="P578" s="34">
        <f t="shared" ref="P578:Q578" si="637">P145-P518</f>
        <v>123445698.70998466</v>
      </c>
      <c r="Q578" s="34">
        <f t="shared" si="637"/>
        <v>116443408.57125926</v>
      </c>
      <c r="R578" s="34">
        <f t="shared" ref="R578" si="638">R145-R518</f>
        <v>117408993.97762573</v>
      </c>
      <c r="S578" s="34">
        <f t="shared" ref="S578:U582" si="639">S145-S518</f>
        <v>183426604.76583612</v>
      </c>
      <c r="T578" s="34">
        <f t="shared" ref="T578:U578" si="640">T145-T518</f>
        <v>129802891.75228715</v>
      </c>
      <c r="U578" s="34">
        <f t="shared" si="640"/>
        <v>174289579.23233247</v>
      </c>
      <c r="V578" s="34">
        <f>V145-V518</f>
        <v>95711300.140431166</v>
      </c>
      <c r="W578" s="34">
        <f>W145-W518</f>
        <v>693739719.37450159</v>
      </c>
      <c r="X578" s="34">
        <f>X145-X518</f>
        <v>157573564.32034516</v>
      </c>
    </row>
    <row r="579" spans="5:24" ht="14.5" customHeight="1">
      <c r="E579" s="468" t="s">
        <v>440</v>
      </c>
      <c r="I579" s="1061" t="s">
        <v>332</v>
      </c>
      <c r="J579" s="34">
        <f t="shared" si="561"/>
        <v>3158688000.5460033</v>
      </c>
      <c r="M579" s="34">
        <f t="shared" ref="M579:O579" si="641">M146-M519</f>
        <v>126371728.8320055</v>
      </c>
      <c r="N579" s="34">
        <f t="shared" si="641"/>
        <v>93224650.418001175</v>
      </c>
      <c r="O579" s="34">
        <f t="shared" si="641"/>
        <v>102243057.5199976</v>
      </c>
      <c r="P579" s="34">
        <f t="shared" ref="P579:Q579" si="642">P146-P519</f>
        <v>156095210.2480092</v>
      </c>
      <c r="Q579" s="34">
        <f t="shared" si="642"/>
        <v>120891764.19399977</v>
      </c>
      <c r="R579" s="34">
        <f>S146-R519+R146</f>
        <v>118904625.36799574</v>
      </c>
      <c r="S579" s="34">
        <f>'slide card'!AQ4-Card!S519</f>
        <v>96680186.533996582</v>
      </c>
      <c r="T579" s="34">
        <f>'slide card'!AQ5-Card!T519</f>
        <v>133905051.00799894</v>
      </c>
      <c r="U579" s="34">
        <f>'slide card'!AQ6-Card!U519</f>
        <v>139612387.34999514</v>
      </c>
      <c r="V579" s="34">
        <f>'slide card'!AQ7-Card!V519</f>
        <v>137274530.12799931</v>
      </c>
      <c r="W579" s="34">
        <f>'slide card'!AQ8-Card!W519</f>
        <v>1933484808.9460044</v>
      </c>
      <c r="X579" s="34"/>
    </row>
    <row r="580" spans="5:24" ht="14.5" customHeight="1">
      <c r="E580" s="468" t="s">
        <v>440</v>
      </c>
      <c r="I580" s="1061" t="s">
        <v>373</v>
      </c>
      <c r="J580" s="34">
        <f t="shared" si="561"/>
        <v>0</v>
      </c>
      <c r="M580" s="34">
        <f t="shared" ref="M580:O582" si="643">M147-M520</f>
        <v>0</v>
      </c>
      <c r="N580" s="34">
        <f t="shared" si="643"/>
        <v>0</v>
      </c>
      <c r="O580" s="34">
        <f t="shared" si="643"/>
        <v>0</v>
      </c>
      <c r="P580" s="34">
        <f t="shared" ref="P580:Q580" si="644">P147-P520</f>
        <v>0</v>
      </c>
      <c r="Q580" s="34">
        <f t="shared" si="644"/>
        <v>0</v>
      </c>
      <c r="R580" s="34">
        <f t="shared" ref="R580" si="645">R147-R520</f>
        <v>0</v>
      </c>
      <c r="S580" s="34">
        <f t="shared" si="639"/>
        <v>0</v>
      </c>
    </row>
    <row r="581" spans="5:24" ht="14.5" customHeight="1">
      <c r="E581" s="468" t="s">
        <v>440</v>
      </c>
      <c r="I581" s="1074" t="s">
        <v>89</v>
      </c>
      <c r="J581" s="34">
        <f t="shared" si="561"/>
        <v>13999973838</v>
      </c>
      <c r="M581" s="34">
        <f t="shared" si="643"/>
        <v>288938416</v>
      </c>
      <c r="N581" s="34">
        <f t="shared" si="643"/>
        <v>314975198</v>
      </c>
      <c r="O581" s="34">
        <f t="shared" si="643"/>
        <v>957951401</v>
      </c>
      <c r="P581" s="34">
        <f t="shared" ref="P581:Q581" si="646">P148-P521</f>
        <v>1378550186</v>
      </c>
      <c r="Q581" s="34">
        <f t="shared" si="646"/>
        <v>3337804060</v>
      </c>
      <c r="R581" s="34">
        <f t="shared" ref="R581" si="647">R148-R521</f>
        <v>645019046</v>
      </c>
      <c r="S581" s="34">
        <f t="shared" si="639"/>
        <v>915054477</v>
      </c>
      <c r="T581" s="7">
        <f t="shared" si="639"/>
        <v>1077169134</v>
      </c>
      <c r="U581" s="7">
        <f t="shared" si="639"/>
        <v>1243435585</v>
      </c>
      <c r="V581" s="7">
        <f t="shared" ref="V581:X582" si="648">V148-V521</f>
        <v>1302811182</v>
      </c>
      <c r="W581" s="7">
        <f t="shared" si="648"/>
        <v>1068621204</v>
      </c>
      <c r="X581" s="7">
        <f t="shared" si="648"/>
        <v>1469643949</v>
      </c>
    </row>
    <row r="582" spans="5:24" ht="14.5" customHeight="1">
      <c r="E582" s="468" t="s">
        <v>440</v>
      </c>
      <c r="I582" s="47" t="s">
        <v>136</v>
      </c>
      <c r="J582" s="34">
        <f t="shared" si="561"/>
        <v>222270227885</v>
      </c>
      <c r="M582" s="34">
        <f t="shared" si="643"/>
        <v>24401667533</v>
      </c>
      <c r="N582" s="34">
        <f t="shared" si="643"/>
        <v>12609832519</v>
      </c>
      <c r="O582" s="34">
        <f t="shared" si="643"/>
        <v>15538587236</v>
      </c>
      <c r="P582" s="34">
        <f t="shared" ref="P582:Q582" si="649">P149-P522</f>
        <v>11065461837</v>
      </c>
      <c r="Q582" s="34">
        <f t="shared" si="649"/>
        <v>9260919553</v>
      </c>
      <c r="R582" s="34">
        <f t="shared" ref="R582" si="650">R149-R522</f>
        <v>18921808071</v>
      </c>
      <c r="S582" s="34">
        <f t="shared" si="639"/>
        <v>11599257520</v>
      </c>
      <c r="T582" s="34">
        <f t="shared" si="639"/>
        <v>25072919824</v>
      </c>
      <c r="U582" s="34">
        <f t="shared" si="639"/>
        <v>23395229249</v>
      </c>
      <c r="V582" s="34">
        <f t="shared" si="648"/>
        <v>21113034442</v>
      </c>
      <c r="W582" s="7">
        <f t="shared" si="648"/>
        <v>22789613883</v>
      </c>
      <c r="X582" s="7">
        <f t="shared" si="648"/>
        <v>26501896218</v>
      </c>
    </row>
    <row r="583" spans="5:24" ht="14.5" customHeight="1">
      <c r="E583" s="468" t="s">
        <v>440</v>
      </c>
      <c r="I583" s="85" t="s">
        <v>229</v>
      </c>
      <c r="J583" s="34">
        <f t="shared" si="561"/>
        <v>17243426742.320118</v>
      </c>
      <c r="M583" s="34">
        <f>SUM(M584:M593)</f>
        <v>1372171078.5082994</v>
      </c>
      <c r="N583" s="34">
        <f t="shared" ref="N583:O583" si="651">SUM(N584:N593)</f>
        <v>1283884697.9737034</v>
      </c>
      <c r="O583" s="34">
        <f t="shared" si="651"/>
        <v>1517287977.1258106</v>
      </c>
      <c r="P583" s="34">
        <f t="shared" ref="P583:Q583" si="652">SUM(P584:P593)</f>
        <v>1404468814.031183</v>
      </c>
      <c r="Q583" s="34">
        <f t="shared" si="652"/>
        <v>1482100843.3749321</v>
      </c>
      <c r="R583" s="34">
        <f t="shared" ref="R583" si="653">SUM(R584:R593)</f>
        <v>1169371442.8917024</v>
      </c>
      <c r="S583" s="34">
        <f t="shared" ref="S583:X583" si="654">SUM(S584:S593)</f>
        <v>1285264223.8586254</v>
      </c>
      <c r="T583" s="34">
        <f t="shared" si="654"/>
        <v>1490760088.2783074</v>
      </c>
      <c r="U583" s="34">
        <f t="shared" si="654"/>
        <v>1435708636.6574786</v>
      </c>
      <c r="V583" s="34">
        <f t="shared" si="654"/>
        <v>1420686256.7816827</v>
      </c>
      <c r="W583" s="34">
        <f t="shared" si="654"/>
        <v>1767699615.325752</v>
      </c>
      <c r="X583" s="34">
        <f t="shared" si="654"/>
        <v>1614023067.5126431</v>
      </c>
    </row>
    <row r="584" spans="5:24" ht="14.5" customHeight="1">
      <c r="E584" s="468" t="s">
        <v>440</v>
      </c>
      <c r="I584" s="563" t="s">
        <v>230</v>
      </c>
      <c r="J584" s="34">
        <f t="shared" si="561"/>
        <v>4631552741.4039583</v>
      </c>
      <c r="M584" s="34">
        <f t="shared" ref="M584:O584" si="655">M151-M524</f>
        <v>283683514.75577599</v>
      </c>
      <c r="N584" s="34">
        <f t="shared" si="655"/>
        <v>249800660.48351711</v>
      </c>
      <c r="O584" s="34">
        <f t="shared" si="655"/>
        <v>284200510.54833388</v>
      </c>
      <c r="P584" s="34">
        <f t="shared" ref="P584:Q584" si="656">P151-P524</f>
        <v>304867265.42102295</v>
      </c>
      <c r="Q584" s="34">
        <f t="shared" si="656"/>
        <v>318932558.75197417</v>
      </c>
      <c r="R584" s="34">
        <f t="shared" ref="R584" si="657">R151-R524</f>
        <v>317448160.12920469</v>
      </c>
      <c r="S584" s="34">
        <f t="shared" ref="S584:T593" si="658">S151-S524</f>
        <v>314697230.55748111</v>
      </c>
      <c r="T584" s="34">
        <f t="shared" si="658"/>
        <v>459505582.37613714</v>
      </c>
      <c r="U584" s="34">
        <f t="shared" ref="U584" si="659">U151-U524</f>
        <v>368386380.21052933</v>
      </c>
      <c r="V584" s="34">
        <f t="shared" ref="V584:X593" si="660">V151-V524</f>
        <v>410902785.605111</v>
      </c>
      <c r="W584" s="34">
        <f t="shared" si="660"/>
        <v>747646177.58784568</v>
      </c>
      <c r="X584" s="34">
        <f t="shared" si="660"/>
        <v>571481914.97702479</v>
      </c>
    </row>
    <row r="585" spans="5:24" ht="14.5" customHeight="1">
      <c r="E585" s="468" t="s">
        <v>440</v>
      </c>
      <c r="I585" s="563" t="s">
        <v>231</v>
      </c>
      <c r="J585" s="34">
        <f t="shared" si="561"/>
        <v>1286430888.281106</v>
      </c>
      <c r="M585" s="34">
        <f t="shared" ref="M585:O585" si="661">M152-M525</f>
        <v>0</v>
      </c>
      <c r="N585" s="34">
        <f t="shared" si="661"/>
        <v>0</v>
      </c>
      <c r="O585" s="34">
        <f t="shared" si="661"/>
        <v>63207555.47754997</v>
      </c>
      <c r="P585" s="34">
        <f t="shared" ref="P585:Q585" si="662">P152-P525</f>
        <v>135782328.885681</v>
      </c>
      <c r="Q585" s="34">
        <f t="shared" si="662"/>
        <v>144406457.51123753</v>
      </c>
      <c r="R585" s="34">
        <f t="shared" ref="R585" si="663">R152-R525</f>
        <v>145931517.89470676</v>
      </c>
      <c r="S585" s="34">
        <f t="shared" si="658"/>
        <v>168072951.71603554</v>
      </c>
      <c r="T585" s="34">
        <f t="shared" si="658"/>
        <v>97703127.422409296</v>
      </c>
      <c r="U585" s="34">
        <f t="shared" ref="U585" si="664">U152-U525</f>
        <v>147022685.225072</v>
      </c>
      <c r="V585" s="34">
        <f t="shared" si="660"/>
        <v>106147197.07831605</v>
      </c>
      <c r="W585" s="34">
        <f t="shared" si="660"/>
        <v>153414368.77877271</v>
      </c>
      <c r="X585" s="34">
        <f t="shared" si="660"/>
        <v>124742698.29132514</v>
      </c>
    </row>
    <row r="586" spans="5:24" ht="14.5" customHeight="1">
      <c r="E586" s="468" t="s">
        <v>440</v>
      </c>
      <c r="I586" s="563" t="s">
        <v>232</v>
      </c>
      <c r="J586" s="34">
        <f t="shared" si="561"/>
        <v>3992590104.5637555</v>
      </c>
      <c r="M586" s="34">
        <f t="shared" ref="M586:O586" si="665">M153-M526</f>
        <v>319445739.18718243</v>
      </c>
      <c r="N586" s="34">
        <f t="shared" si="665"/>
        <v>280657375.35592031</v>
      </c>
      <c r="O586" s="34">
        <f t="shared" si="665"/>
        <v>346641158.68594259</v>
      </c>
      <c r="P586" s="34">
        <f t="shared" ref="P586:Q586" si="666">P153-P526</f>
        <v>317176236.94425189</v>
      </c>
      <c r="Q586" s="34">
        <f t="shared" si="666"/>
        <v>332233848.82479471</v>
      </c>
      <c r="R586" s="34">
        <f t="shared" ref="R586" si="667">R153-R526</f>
        <v>328819873.2221849</v>
      </c>
      <c r="S586" s="34">
        <f t="shared" si="658"/>
        <v>324785836.40971035</v>
      </c>
      <c r="T586" s="34">
        <f t="shared" si="658"/>
        <v>373583497.42919821</v>
      </c>
      <c r="U586" s="34">
        <f t="shared" ref="U586" si="668">U153-U526</f>
        <v>377901628.1088807</v>
      </c>
      <c r="V586" s="34">
        <f t="shared" si="660"/>
        <v>322225851.1144619</v>
      </c>
      <c r="W586" s="7">
        <f t="shared" ref="W586:X588" si="669">W153-W526</f>
        <v>348822329.76524478</v>
      </c>
      <c r="X586" s="7">
        <f t="shared" si="669"/>
        <v>320296729.51598269</v>
      </c>
    </row>
    <row r="587" spans="5:24" ht="14.5" customHeight="1">
      <c r="E587" s="468" t="s">
        <v>440</v>
      </c>
      <c r="I587" s="563" t="s">
        <v>233</v>
      </c>
      <c r="J587" s="34">
        <f t="shared" si="561"/>
        <v>20713556.589510698</v>
      </c>
      <c r="M587" s="34">
        <f t="shared" ref="M587:O587" si="670">M154-M527</f>
        <v>1589331.719036968</v>
      </c>
      <c r="N587" s="34">
        <f t="shared" si="670"/>
        <v>1180775.151536807</v>
      </c>
      <c r="O587" s="34">
        <f t="shared" si="670"/>
        <v>1917667.8341777851</v>
      </c>
      <c r="P587" s="34">
        <f t="shared" ref="P587:Q587" si="671">P154-P527</f>
        <v>1646022.5959566364</v>
      </c>
      <c r="Q587" s="34">
        <f t="shared" si="671"/>
        <v>1684701.8067217884</v>
      </c>
      <c r="R587" s="34">
        <f t="shared" ref="R587" si="672">R154-R527</f>
        <v>1690206.3827688966</v>
      </c>
      <c r="S587" s="34">
        <f t="shared" si="658"/>
        <v>1664726.0520391902</v>
      </c>
      <c r="T587" s="34">
        <f t="shared" si="658"/>
        <v>1649145.6505613402</v>
      </c>
      <c r="U587" s="34">
        <f t="shared" ref="U587" si="673">U154-U527</f>
        <v>1486461.6849492257</v>
      </c>
      <c r="V587" s="34">
        <f t="shared" si="660"/>
        <v>1448258.8810359244</v>
      </c>
      <c r="W587" s="7">
        <f t="shared" si="669"/>
        <v>2647866.7185009974</v>
      </c>
      <c r="X587" s="7">
        <f t="shared" si="669"/>
        <v>2108392.1122251367</v>
      </c>
    </row>
    <row r="588" spans="5:24" ht="14.5" customHeight="1">
      <c r="E588" s="468" t="s">
        <v>440</v>
      </c>
      <c r="I588" s="563" t="s">
        <v>152</v>
      </c>
      <c r="J588" s="34">
        <f t="shared" si="561"/>
        <v>243437060.31886685</v>
      </c>
      <c r="M588" s="34">
        <f t="shared" ref="M588:O588" si="674">M155-M528</f>
        <v>21967596.858496565</v>
      </c>
      <c r="N588" s="34">
        <f t="shared" si="674"/>
        <v>13741378.722674424</v>
      </c>
      <c r="O588" s="34">
        <f t="shared" si="674"/>
        <v>20404100.339448165</v>
      </c>
      <c r="P588" s="34">
        <f t="shared" ref="P588:Q588" si="675">P155-P528</f>
        <v>16965847.987251043</v>
      </c>
      <c r="Q588" s="34">
        <f t="shared" si="675"/>
        <v>16994093.939242352</v>
      </c>
      <c r="R588" s="34">
        <f t="shared" ref="R588" si="676">R155-R528</f>
        <v>18423560.646881007</v>
      </c>
      <c r="S588" s="34">
        <f t="shared" si="658"/>
        <v>20860281.694811087</v>
      </c>
      <c r="T588" s="34">
        <f t="shared" si="658"/>
        <v>20026256.885795347</v>
      </c>
      <c r="U588" s="34">
        <f t="shared" ref="U588" si="677">U155-U528</f>
        <v>19760904.935933627</v>
      </c>
      <c r="V588" s="7">
        <f t="shared" si="660"/>
        <v>22678545.623977188</v>
      </c>
      <c r="W588" s="7">
        <f t="shared" si="669"/>
        <v>22652699.654834814</v>
      </c>
      <c r="X588" s="7">
        <f t="shared" si="669"/>
        <v>28961793.029521272</v>
      </c>
    </row>
    <row r="589" spans="5:24" ht="14.5" customHeight="1">
      <c r="E589" s="468" t="s">
        <v>440</v>
      </c>
      <c r="I589" s="563" t="s">
        <v>388</v>
      </c>
      <c r="J589" s="34">
        <f t="shared" si="561"/>
        <v>1382425238.1714106</v>
      </c>
      <c r="M589" s="34">
        <f t="shared" ref="M589:O589" si="678">M156-M529</f>
        <v>99504673.522328541</v>
      </c>
      <c r="N589" s="34">
        <f t="shared" si="678"/>
        <v>84714584.345365286</v>
      </c>
      <c r="O589" s="34">
        <f t="shared" si="678"/>
        <v>92832418.640349314</v>
      </c>
      <c r="P589" s="34">
        <f t="shared" ref="P589:Q589" si="679">P156-P529</f>
        <v>91064990.245331705</v>
      </c>
      <c r="Q589" s="34">
        <f t="shared" si="679"/>
        <v>116943266.84913495</v>
      </c>
      <c r="R589" s="34">
        <f t="shared" ref="R589" si="680">R156-R529</f>
        <v>115468662.00252979</v>
      </c>
      <c r="S589" s="34">
        <f t="shared" si="658"/>
        <v>120772470.25362138</v>
      </c>
      <c r="T589" s="34">
        <f t="shared" si="658"/>
        <v>119700007.66138081</v>
      </c>
      <c r="U589" s="34">
        <f t="shared" ref="U589" si="681">U156-U529</f>
        <v>118958265.78262454</v>
      </c>
      <c r="V589" s="34">
        <f t="shared" si="660"/>
        <v>114774051.58182845</v>
      </c>
      <c r="W589" s="34">
        <f t="shared" ref="W589:X589" si="682">W156-W529</f>
        <v>185362521.49242851</v>
      </c>
      <c r="X589" s="34">
        <f t="shared" si="682"/>
        <v>122329325.79448737</v>
      </c>
    </row>
    <row r="590" spans="5:24" ht="14.5" customHeight="1">
      <c r="E590" s="468" t="s">
        <v>440</v>
      </c>
      <c r="I590" s="563" t="s">
        <v>386</v>
      </c>
      <c r="J590" s="34">
        <f t="shared" si="561"/>
        <v>396374605.78152883</v>
      </c>
      <c r="M590" s="34">
        <f t="shared" ref="M590:O590" si="683">M157-M530</f>
        <v>27756809.333037954</v>
      </c>
      <c r="N590" s="34">
        <f t="shared" si="683"/>
        <v>26042595.885364186</v>
      </c>
      <c r="O590" s="34">
        <f t="shared" si="683"/>
        <v>22906234.766066618</v>
      </c>
      <c r="P590" s="34">
        <f t="shared" ref="P590:Q590" si="684">P157-P530</f>
        <v>26523075.58560168</v>
      </c>
      <c r="Q590" s="34">
        <f t="shared" si="684"/>
        <v>32549158.675080217</v>
      </c>
      <c r="R590" s="34">
        <f t="shared" ref="R590" si="685">R157-R530</f>
        <v>31966746.42693289</v>
      </c>
      <c r="S590" s="34">
        <f t="shared" si="658"/>
        <v>33396766.976767454</v>
      </c>
      <c r="T590" s="34">
        <f t="shared" si="658"/>
        <v>32652114.862398434</v>
      </c>
      <c r="U590" s="34">
        <f t="shared" ref="U590" si="686">U157-U530</f>
        <v>33856306.256851494</v>
      </c>
      <c r="V590" s="34">
        <f t="shared" si="660"/>
        <v>35964821.957937017</v>
      </c>
      <c r="W590" s="34">
        <f t="shared" ref="W590:X590" si="687">W157-W530</f>
        <v>52474753.20331873</v>
      </c>
      <c r="X590" s="34">
        <f t="shared" si="687"/>
        <v>40285221.852172114</v>
      </c>
    </row>
    <row r="591" spans="5:24" ht="14.5" customHeight="1">
      <c r="E591" s="468" t="s">
        <v>440</v>
      </c>
      <c r="I591" s="563" t="s">
        <v>234</v>
      </c>
      <c r="J591" s="34">
        <f t="shared" si="561"/>
        <v>3431626558.784297</v>
      </c>
      <c r="M591" s="34">
        <f t="shared" ref="M591:O591" si="688">M158-M531</f>
        <v>371772864.3853786</v>
      </c>
      <c r="N591" s="34">
        <f t="shared" si="688"/>
        <v>491093877.38580132</v>
      </c>
      <c r="O591" s="34">
        <f t="shared" si="688"/>
        <v>422562566.18040413</v>
      </c>
      <c r="P591" s="34">
        <f t="shared" ref="P591:Q591" si="689">P158-P531</f>
        <v>435892437.92676938</v>
      </c>
      <c r="Q591" s="34">
        <f t="shared" si="689"/>
        <v>426013878.05181384</v>
      </c>
      <c r="R591" s="34">
        <f t="shared" ref="R591" si="690">R158-R531</f>
        <v>159278236.0758549</v>
      </c>
      <c r="S591" s="34">
        <f t="shared" si="658"/>
        <v>237534859.01722795</v>
      </c>
      <c r="T591" s="34">
        <f t="shared" si="658"/>
        <v>253576031.98973709</v>
      </c>
      <c r="U591" s="34">
        <f t="shared" ref="U591" si="691">U158-U531</f>
        <v>306953307.38798785</v>
      </c>
      <c r="V591" s="34">
        <f t="shared" si="660"/>
        <v>100030336.79140736</v>
      </c>
      <c r="W591" s="7">
        <f t="shared" ref="W591:X593" si="692">W158-W531</f>
        <v>120855781.40491921</v>
      </c>
      <c r="X591" s="7">
        <f t="shared" si="692"/>
        <v>106062382.18699521</v>
      </c>
    </row>
    <row r="592" spans="5:24" ht="14.5" customHeight="1">
      <c r="E592" s="468" t="s">
        <v>440</v>
      </c>
      <c r="I592" s="563" t="s">
        <v>235</v>
      </c>
      <c r="J592" s="34">
        <f t="shared" si="561"/>
        <v>1084202393.9851215</v>
      </c>
      <c r="M592" s="34">
        <f t="shared" ref="M592:O592" si="693">M159-M532</f>
        <v>112060806.35618475</v>
      </c>
      <c r="N592" s="34">
        <f t="shared" si="693"/>
        <v>37476431.155481555</v>
      </c>
      <c r="O592" s="34">
        <f t="shared" si="693"/>
        <v>160999743.28914553</v>
      </c>
      <c r="P592" s="34">
        <f t="shared" ref="P592:Q592" si="694">P159-P532</f>
        <v>4923390.4568614978</v>
      </c>
      <c r="Q592" s="34">
        <f t="shared" si="694"/>
        <v>42216524.460706197</v>
      </c>
      <c r="R592" s="34">
        <f t="shared" ref="R592" si="695">R159-R532</f>
        <v>7783213.0965533508</v>
      </c>
      <c r="S592" s="34">
        <f t="shared" si="658"/>
        <v>10419696.306661045</v>
      </c>
      <c r="T592" s="34">
        <f t="shared" si="658"/>
        <v>89456118.153116137</v>
      </c>
      <c r="U592" s="34">
        <f t="shared" ref="U592" si="696">U159-U532</f>
        <v>15452317.264976811</v>
      </c>
      <c r="V592" s="34">
        <f t="shared" si="660"/>
        <v>260945364.94236529</v>
      </c>
      <c r="W592" s="34">
        <f t="shared" si="692"/>
        <v>87931669.047329798</v>
      </c>
      <c r="X592" s="34">
        <f t="shared" si="692"/>
        <v>254537119.45573953</v>
      </c>
    </row>
    <row r="593" spans="5:24" ht="14.5" customHeight="1">
      <c r="E593" s="468" t="s">
        <v>440</v>
      </c>
      <c r="I593" s="563" t="s">
        <v>163</v>
      </c>
      <c r="J593" s="34">
        <f t="shared" si="561"/>
        <v>774073594.44056582</v>
      </c>
      <c r="M593" s="34">
        <f t="shared" ref="M593:O593" si="697">M160-M533</f>
        <v>134389742.3908776</v>
      </c>
      <c r="N593" s="34">
        <f t="shared" si="697"/>
        <v>99177019.488042429</v>
      </c>
      <c r="O593" s="34">
        <f t="shared" si="697"/>
        <v>101616021.36439273</v>
      </c>
      <c r="P593" s="34">
        <f t="shared" ref="P593:Q593" si="698">P160-P533</f>
        <v>69627217.982455239</v>
      </c>
      <c r="Q593" s="34">
        <f t="shared" si="698"/>
        <v>50126354.50422629</v>
      </c>
      <c r="R593" s="34">
        <f t="shared" ref="R593" si="699">R160-R533</f>
        <v>42561267.014085233</v>
      </c>
      <c r="S593" s="34">
        <f t="shared" si="658"/>
        <v>53059404.874270283</v>
      </c>
      <c r="T593" s="34">
        <f t="shared" si="658"/>
        <v>42908205.847573854</v>
      </c>
      <c r="U593" s="34">
        <f t="shared" ref="U593" si="700">U160-U533</f>
        <v>45930379.799673088</v>
      </c>
      <c r="V593" s="34">
        <f t="shared" si="660"/>
        <v>45569043.205242485</v>
      </c>
      <c r="W593" s="34">
        <f t="shared" si="692"/>
        <v>45891447.672556587</v>
      </c>
      <c r="X593" s="34">
        <f t="shared" si="692"/>
        <v>43217490.297169924</v>
      </c>
    </row>
    <row r="594" spans="5:24" ht="14.5" customHeight="1">
      <c r="E594" s="468" t="s">
        <v>440</v>
      </c>
      <c r="I594" s="85" t="s">
        <v>236</v>
      </c>
      <c r="J594" s="34">
        <f t="shared" si="561"/>
        <v>-19455692351.157757</v>
      </c>
      <c r="M594" s="34">
        <f>M557-M582-M583</f>
        <v>-13542299650.9629</v>
      </c>
      <c r="N594" s="34">
        <f t="shared" ref="N594:O594" si="701">N557-N582-N583</f>
        <v>-4030455038.9922791</v>
      </c>
      <c r="O594" s="34">
        <f t="shared" si="701"/>
        <v>-6217091193.8928833</v>
      </c>
      <c r="P594" s="34">
        <f t="shared" ref="P594:Q594" si="702">P557-P582-P583</f>
        <v>2337487160.5182018</v>
      </c>
      <c r="Q594" s="34">
        <f t="shared" si="702"/>
        <v>7742698836.4436102</v>
      </c>
      <c r="R594" s="34">
        <f t="shared" ref="R594" si="703">R557-R582-R583</f>
        <v>-1153330953.4907358</v>
      </c>
      <c r="S594" s="34">
        <f t="shared" ref="S594:X594" si="704">S557-S582-S583</f>
        <v>-470915031.78428268</v>
      </c>
      <c r="T594" s="34">
        <f t="shared" si="704"/>
        <v>-4212186588.6330285</v>
      </c>
      <c r="U594" s="34">
        <f t="shared" si="704"/>
        <v>-723084762.55735803</v>
      </c>
      <c r="V594" s="34">
        <f t="shared" si="704"/>
        <v>3519097626.6479053</v>
      </c>
      <c r="W594" s="34">
        <f t="shared" si="704"/>
        <v>986704606.43186975</v>
      </c>
      <c r="X594" s="34">
        <f t="shared" si="704"/>
        <v>-3692317360.8858805</v>
      </c>
    </row>
    <row r="595" spans="5:24" ht="14.5" customHeight="1">
      <c r="M595" s="34">
        <f t="shared" ref="M595:S595" si="705">M132-M505-M565</f>
        <v>0</v>
      </c>
      <c r="N595" s="34">
        <f t="shared" si="705"/>
        <v>0</v>
      </c>
      <c r="O595" s="34">
        <f t="shared" si="705"/>
        <v>0</v>
      </c>
      <c r="P595" s="34">
        <f t="shared" si="705"/>
        <v>0</v>
      </c>
      <c r="Q595" s="34">
        <f t="shared" si="705"/>
        <v>0</v>
      </c>
      <c r="R595" s="34">
        <f t="shared" si="705"/>
        <v>0</v>
      </c>
      <c r="S595" s="34">
        <f t="shared" si="705"/>
        <v>0</v>
      </c>
      <c r="T595" s="34"/>
      <c r="U595" s="34"/>
      <c r="V595" s="34"/>
      <c r="W595" s="34"/>
      <c r="X595" s="34"/>
    </row>
    <row r="596" spans="5:24" ht="14.5" customHeight="1">
      <c r="S596" s="1295"/>
    </row>
    <row r="598" spans="5:24" ht="14.5" customHeight="1">
      <c r="P598" s="1312"/>
    </row>
  </sheetData>
  <autoFilter ref="E99:X594" xr:uid="{CA3B0FC1-DB43-4EFC-826E-EFCBF525044C}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8781-F21D-4A8F-971B-15E1E5238C96}">
  <dimension ref="A1:AS30"/>
  <sheetViews>
    <sheetView zoomScale="85" zoomScaleNormal="85" workbookViewId="0">
      <pane xSplit="1" ySplit="2" topLeftCell="K3" activePane="bottomRight" state="frozen"/>
      <selection pane="topRight" activeCell="B1" sqref="B1"/>
      <selection pane="bottomLeft" activeCell="A3" sqref="A3"/>
      <selection pane="bottomRight" activeCell="AQ19" sqref="AQ19"/>
    </sheetView>
  </sheetViews>
  <sheetFormatPr baseColWidth="10" defaultColWidth="8.83203125" defaultRowHeight="15"/>
  <cols>
    <col min="1" max="1" width="31.6640625" customWidth="1"/>
    <col min="2" max="2" width="11.6640625" hidden="1" customWidth="1"/>
    <col min="3" max="3" width="10.5" hidden="1" customWidth="1"/>
    <col min="4" max="4" width="10.6640625" hidden="1" customWidth="1"/>
    <col min="5" max="5" width="12.33203125" hidden="1" customWidth="1"/>
    <col min="6" max="6" width="13" hidden="1" customWidth="1"/>
    <col min="7" max="7" width="10.6640625" hidden="1" customWidth="1"/>
    <col min="8" max="8" width="12.5" hidden="1" customWidth="1"/>
    <col min="9" max="10" width="12.33203125" hidden="1" customWidth="1"/>
    <col min="11" max="11" width="12.5" customWidth="1"/>
    <col min="12" max="13" width="12" customWidth="1"/>
    <col min="14" max="14" width="12.83203125" customWidth="1"/>
    <col min="15" max="23" width="12.83203125" hidden="1" customWidth="1"/>
    <col min="24" max="27" width="12.83203125" customWidth="1"/>
    <col min="28" max="36" width="12.83203125" hidden="1" customWidth="1"/>
    <col min="37" max="37" width="12.83203125" customWidth="1"/>
    <col min="38" max="39" width="13" customWidth="1"/>
    <col min="40" max="40" width="13.5" customWidth="1"/>
    <col min="41" max="41" width="9.5" bestFit="1" customWidth="1"/>
    <col min="42" max="42" width="22.6640625" customWidth="1"/>
    <col min="43" max="43" width="18" customWidth="1"/>
    <col min="44" max="44" width="17.5" customWidth="1"/>
    <col min="45" max="45" width="19.6640625" customWidth="1"/>
  </cols>
  <sheetData>
    <row r="1" spans="1:45">
      <c r="A1" s="1119"/>
      <c r="B1" s="1412" t="s">
        <v>442</v>
      </c>
      <c r="C1" s="1412"/>
      <c r="D1" s="1412"/>
      <c r="E1" s="1412"/>
      <c r="F1" s="1412"/>
      <c r="G1" s="1412"/>
      <c r="H1" s="1412"/>
      <c r="I1" s="1412"/>
      <c r="J1" s="1412"/>
      <c r="K1" s="1412"/>
      <c r="L1" s="1412"/>
      <c r="M1" s="1412"/>
      <c r="N1" s="1413"/>
      <c r="O1" s="1411" t="s">
        <v>440</v>
      </c>
      <c r="P1" s="1412"/>
      <c r="Q1" s="1412"/>
      <c r="R1" s="1412"/>
      <c r="S1" s="1412"/>
      <c r="T1" s="1412"/>
      <c r="U1" s="1412"/>
      <c r="V1" s="1412"/>
      <c r="W1" s="1412"/>
      <c r="X1" s="1412"/>
      <c r="Y1" s="1412"/>
      <c r="Z1" s="1412"/>
      <c r="AA1" s="1413"/>
      <c r="AB1" s="1414" t="s">
        <v>443</v>
      </c>
      <c r="AC1" s="1415"/>
      <c r="AD1" s="1415"/>
      <c r="AE1" s="1415"/>
      <c r="AF1" s="1415"/>
      <c r="AG1" s="1415"/>
      <c r="AH1" s="1415"/>
      <c r="AI1" s="1415"/>
      <c r="AJ1" s="1415"/>
      <c r="AK1" s="1415"/>
      <c r="AL1" s="1415"/>
      <c r="AM1" s="1415"/>
      <c r="AN1" s="1415"/>
    </row>
    <row r="2" spans="1:45">
      <c r="A2" s="90"/>
      <c r="B2" s="1114">
        <v>45658</v>
      </c>
      <c r="C2" s="1114">
        <v>45689</v>
      </c>
      <c r="D2" s="1114">
        <v>45717</v>
      </c>
      <c r="E2" s="1114">
        <v>45748</v>
      </c>
      <c r="F2" s="1114">
        <v>45778</v>
      </c>
      <c r="G2" s="1114">
        <v>45809</v>
      </c>
      <c r="H2" s="1114">
        <v>45839</v>
      </c>
      <c r="I2" s="1114">
        <v>45870</v>
      </c>
      <c r="J2" s="1119">
        <v>45901</v>
      </c>
      <c r="K2" s="1119">
        <v>45931</v>
      </c>
      <c r="L2" s="1119">
        <v>45962</v>
      </c>
      <c r="M2" s="1119">
        <v>45992</v>
      </c>
      <c r="N2" s="1317" t="s">
        <v>8</v>
      </c>
      <c r="O2" s="90">
        <v>45658</v>
      </c>
      <c r="P2" s="90">
        <v>45689</v>
      </c>
      <c r="Q2" s="90">
        <v>45717</v>
      </c>
      <c r="R2" s="90">
        <v>45748</v>
      </c>
      <c r="S2" s="90">
        <v>45778</v>
      </c>
      <c r="T2" s="90">
        <v>45809</v>
      </c>
      <c r="U2" s="90">
        <v>45839</v>
      </c>
      <c r="V2" s="90">
        <v>45870</v>
      </c>
      <c r="W2" s="1119">
        <v>45901</v>
      </c>
      <c r="X2" s="1119">
        <v>45931</v>
      </c>
      <c r="Y2" s="1119">
        <v>45962</v>
      </c>
      <c r="Z2" s="1119">
        <v>45992</v>
      </c>
      <c r="AA2" s="1317" t="s">
        <v>8</v>
      </c>
      <c r="AB2" s="1318">
        <v>45658</v>
      </c>
      <c r="AC2" s="1318">
        <v>45689</v>
      </c>
      <c r="AD2" s="1318">
        <v>45717</v>
      </c>
      <c r="AE2" s="1318">
        <v>45748</v>
      </c>
      <c r="AF2" s="1318">
        <v>45778</v>
      </c>
      <c r="AG2" s="1318">
        <v>45809</v>
      </c>
      <c r="AH2" s="1318">
        <v>45839</v>
      </c>
      <c r="AI2" s="1318">
        <v>45870</v>
      </c>
      <c r="AJ2" s="1318">
        <v>45901</v>
      </c>
      <c r="AK2" s="1318">
        <v>45931</v>
      </c>
      <c r="AL2" s="1318">
        <v>45962</v>
      </c>
      <c r="AM2" s="1318">
        <v>45992</v>
      </c>
      <c r="AN2" s="1318" t="s">
        <v>8</v>
      </c>
    </row>
    <row r="3" spans="1:45" ht="15" customHeight="1">
      <c r="A3" s="1120" t="s">
        <v>444</v>
      </c>
      <c r="B3" s="1115">
        <f>Card!M477</f>
        <v>68173</v>
      </c>
      <c r="C3" s="1115">
        <f>Card!N477</f>
        <v>70307</v>
      </c>
      <c r="D3" s="1115">
        <f>Card!O477</f>
        <v>72073</v>
      </c>
      <c r="E3" s="1182">
        <f>Card!P477</f>
        <v>62781</v>
      </c>
      <c r="F3" s="1182">
        <f>Card!Q477</f>
        <v>65463</v>
      </c>
      <c r="G3" s="1182">
        <f>Card!R477</f>
        <v>67637</v>
      </c>
      <c r="H3" s="1182">
        <f>Card!S477</f>
        <v>68204</v>
      </c>
      <c r="I3" s="1182">
        <f>Card!T477</f>
        <v>72520</v>
      </c>
      <c r="J3" s="1182">
        <f>Card!U477</f>
        <v>72240</v>
      </c>
      <c r="K3" s="1182">
        <f>Card!V477</f>
        <v>76570</v>
      </c>
      <c r="L3" s="1182">
        <f>Card!W477</f>
        <v>71128</v>
      </c>
      <c r="M3" s="1182">
        <f>Card!X477</f>
        <v>85506</v>
      </c>
      <c r="N3" s="1183">
        <f>M3</f>
        <v>85506</v>
      </c>
      <c r="O3" s="1184">
        <f>Card!M538</f>
        <v>42354</v>
      </c>
      <c r="P3" s="1184">
        <f>Card!N538</f>
        <v>42694</v>
      </c>
      <c r="Q3" s="1184">
        <f>Card!O538</f>
        <v>43387</v>
      </c>
      <c r="R3" s="1190">
        <f>Card!P538</f>
        <v>41678</v>
      </c>
      <c r="S3" s="1184">
        <f>Card!Q538</f>
        <v>41847</v>
      </c>
      <c r="T3" s="1184">
        <f>Card!R538</f>
        <v>42380</v>
      </c>
      <c r="U3" s="1184">
        <f>Card!S538</f>
        <v>43893</v>
      </c>
      <c r="V3" s="1184">
        <f>Card!T538</f>
        <v>43817</v>
      </c>
      <c r="W3" s="1184">
        <f>Card!U538</f>
        <v>42151</v>
      </c>
      <c r="X3" s="1184">
        <f>Card!V538</f>
        <v>42670</v>
      </c>
      <c r="Y3" s="1184">
        <f>Card!W538</f>
        <v>54937</v>
      </c>
      <c r="Z3" s="1184">
        <f>Card!X538</f>
        <v>43945</v>
      </c>
      <c r="AA3" s="1185">
        <f>Z3</f>
        <v>43945</v>
      </c>
      <c r="AB3" s="1186">
        <f>Card!M101</f>
        <v>139933</v>
      </c>
      <c r="AC3" s="1186">
        <f>Card!N101</f>
        <v>138047</v>
      </c>
      <c r="AD3" s="1186">
        <f>Card!O101</f>
        <v>140299</v>
      </c>
      <c r="AE3" s="1186">
        <f>Card!P101</f>
        <v>142551</v>
      </c>
      <c r="AF3" s="1186">
        <f>Card!Q101</f>
        <v>145452</v>
      </c>
      <c r="AG3" s="1186">
        <f>Card!R101</f>
        <v>149614</v>
      </c>
      <c r="AH3" s="1186">
        <f>Card!S101</f>
        <v>153934</v>
      </c>
      <c r="AI3" s="1186">
        <f>Card!T101</f>
        <v>158174</v>
      </c>
      <c r="AJ3" s="1186">
        <f>Card!U101</f>
        <v>162077</v>
      </c>
      <c r="AK3" s="1186">
        <f>Card!V101</f>
        <v>165890</v>
      </c>
      <c r="AL3" s="1186">
        <f>Card!W101</f>
        <v>172714</v>
      </c>
      <c r="AM3" s="1186">
        <f>Card!X101</f>
        <v>178017</v>
      </c>
      <c r="AN3" s="1182">
        <f>AM3</f>
        <v>178017</v>
      </c>
      <c r="AO3" s="74"/>
      <c r="AQ3" t="s">
        <v>445</v>
      </c>
      <c r="AR3" t="s">
        <v>446</v>
      </c>
      <c r="AS3" t="s">
        <v>447</v>
      </c>
    </row>
    <row r="4" spans="1:45" ht="15" customHeight="1">
      <c r="A4" s="1120" t="s">
        <v>199</v>
      </c>
      <c r="B4" s="1115">
        <f>Card!M482/10^9</f>
        <v>460.83099673300001</v>
      </c>
      <c r="C4" s="1115">
        <f>Card!N482/10^9</f>
        <v>348.5390519</v>
      </c>
      <c r="D4" s="1115">
        <f>Card!O482/10^9</f>
        <v>500.64604957100005</v>
      </c>
      <c r="E4" s="1182">
        <f>Card!P482/10^9</f>
        <v>518.53983615999994</v>
      </c>
      <c r="F4" s="1182">
        <f>Card!Q482/10^9</f>
        <v>520.9887157600001</v>
      </c>
      <c r="G4" s="1182">
        <f>Card!R482/10^9</f>
        <v>528.944389903</v>
      </c>
      <c r="H4" s="1182">
        <f>Card!S482/10^9</f>
        <v>595.74930448600003</v>
      </c>
      <c r="I4" s="1182">
        <f>Card!T482/10^9</f>
        <v>687.42365897299999</v>
      </c>
      <c r="J4" s="1182">
        <f>Card!U482/10^9</f>
        <v>578.93031905400017</v>
      </c>
      <c r="K4" s="1182">
        <f>Card!V482/10^9</f>
        <v>774.88136430399993</v>
      </c>
      <c r="L4" s="1182">
        <f>Card!W482/10^9</f>
        <v>428.26097278499901</v>
      </c>
      <c r="M4" s="1182">
        <f>Card!X482/10^9</f>
        <v>1030.4340937649999</v>
      </c>
      <c r="N4" s="1183">
        <f>SUM(B4:M4)</f>
        <v>6974.1687533940003</v>
      </c>
      <c r="O4" s="1182">
        <f>Card!M543/10^9</f>
        <v>56.345274371999999</v>
      </c>
      <c r="P4" s="1182">
        <f>Card!N543/10^9</f>
        <v>49.662688258999999</v>
      </c>
      <c r="Q4" s="1182">
        <f>Card!O543/10^9</f>
        <v>74.864612984999937</v>
      </c>
      <c r="R4" s="1182">
        <f>Card!P543/10^9</f>
        <v>82.446857071998963</v>
      </c>
      <c r="S4" s="1182">
        <f>Card!Q543/10^9</f>
        <v>78.779673327999944</v>
      </c>
      <c r="T4" s="1182">
        <f>Card!R543/10^9</f>
        <v>79.907231226999997</v>
      </c>
      <c r="U4" s="1182">
        <f>Card!S543/10^9</f>
        <v>133.34586908399999</v>
      </c>
      <c r="V4" s="1182">
        <f>Card!T543/10^9</f>
        <v>100.34632902299903</v>
      </c>
      <c r="W4" s="1182">
        <f>Card!U543/10^9</f>
        <v>117.47888628399988</v>
      </c>
      <c r="X4" s="1182">
        <f>Card!V543/10^9</f>
        <v>75.278158787000123</v>
      </c>
      <c r="Y4" s="1182">
        <f>Card!W543/10^9</f>
        <v>408.08126475600096</v>
      </c>
      <c r="Z4" s="1182">
        <f>Card!X543/10^9</f>
        <v>119.1859834</v>
      </c>
      <c r="AA4" s="1183">
        <f>SUM(O4:Z4)</f>
        <v>1375.7228285769988</v>
      </c>
      <c r="AB4" s="1186">
        <f>Card!M106/10^9</f>
        <v>517.17627110499996</v>
      </c>
      <c r="AC4" s="1186">
        <f>Card!N106/10^9</f>
        <v>398.201740159</v>
      </c>
      <c r="AD4" s="1186">
        <f>Card!O106/10^9</f>
        <v>575.51066255600006</v>
      </c>
      <c r="AE4" s="1203">
        <f>Card!P106/10^9</f>
        <v>600.98669323199886</v>
      </c>
      <c r="AF4" s="1186">
        <f>Card!Q106/10^9</f>
        <v>599.76838908800005</v>
      </c>
      <c r="AG4" s="1186">
        <f>Card!R106/10^9</f>
        <v>608.85162113000001</v>
      </c>
      <c r="AH4" s="1186">
        <f>Card!S106/10^9</f>
        <v>729.09517357000004</v>
      </c>
      <c r="AI4" s="1186">
        <f>Card!T106/10^9</f>
        <v>787.76998799599903</v>
      </c>
      <c r="AJ4" s="1186">
        <f>Card!U106/10^9</f>
        <v>696.40920533799999</v>
      </c>
      <c r="AK4" s="1186">
        <f>Card!V106/10^9</f>
        <v>850.15952309099998</v>
      </c>
      <c r="AL4" s="1186">
        <f>Card!W106/10^9</f>
        <v>836.34223754100003</v>
      </c>
      <c r="AM4" s="1186">
        <f>Card!X106/10^9</f>
        <v>1149.6200771650001</v>
      </c>
      <c r="AN4" s="1182">
        <f>SUM(AB4:AM4)</f>
        <v>8349.8915819709982</v>
      </c>
      <c r="AO4" s="74"/>
      <c r="AP4" t="s">
        <v>448</v>
      </c>
      <c r="AQ4" s="7">
        <v>2866883992.3560023</v>
      </c>
    </row>
    <row r="5" spans="1:45" ht="15" customHeight="1">
      <c r="A5" s="1120" t="s">
        <v>449</v>
      </c>
      <c r="B5" s="349">
        <f>Card!M481/10^6</f>
        <v>6.7597288770187607</v>
      </c>
      <c r="C5" s="349">
        <f>Card!N481/10^6</f>
        <v>4.9573876271210544</v>
      </c>
      <c r="D5" s="349">
        <f>Card!O481/10^6</f>
        <v>6.9463745032258961</v>
      </c>
      <c r="E5" s="986">
        <f>Card!P481/10^6</f>
        <v>8.2595026546248054</v>
      </c>
      <c r="F5" s="986">
        <f>Card!Q481/10^6</f>
        <v>7.9585218483723636</v>
      </c>
      <c r="G5" s="986">
        <f>Card!R481/10^6</f>
        <v>7.8203407883702702</v>
      </c>
      <c r="H5" s="986">
        <f>Card!S481/10^6</f>
        <v>8.7348147393994484</v>
      </c>
      <c r="I5" s="986">
        <f>Card!T481/10^6</f>
        <v>9.4790907194291218</v>
      </c>
      <c r="J5" s="986">
        <f>Card!U481/10^6</f>
        <v>8.0139855904485078</v>
      </c>
      <c r="K5" s="986">
        <f>Card!V481/10^6</f>
        <v>10.119908114196159</v>
      </c>
      <c r="L5" s="986">
        <f>Card!W481/10^6</f>
        <v>6.0209899446771882</v>
      </c>
      <c r="M5" s="986">
        <f>Card!X481/10^6</f>
        <v>12.051015060522069</v>
      </c>
      <c r="N5" s="1187">
        <f>AVERAGE(B5:M5)</f>
        <v>8.0934717056171355</v>
      </c>
      <c r="O5" s="986">
        <f>Card!M541/10^6</f>
        <v>1.3303412752514521</v>
      </c>
      <c r="P5" s="986">
        <f>Card!N541/10^6</f>
        <v>1.1632240656532533</v>
      </c>
      <c r="Q5" s="986">
        <f>Card!O541/10^6</f>
        <v>1.7255079398206821</v>
      </c>
      <c r="R5" s="986">
        <f>Card!P541/10^6</f>
        <v>1.9781865029991592</v>
      </c>
      <c r="S5" s="986">
        <f>Card!Q541/10^6</f>
        <v>1.8825644210576611</v>
      </c>
      <c r="T5" s="986">
        <f>Card!R541/10^6</f>
        <v>1.8854938939830108</v>
      </c>
      <c r="U5" s="986">
        <f>Card!S541/10^6</f>
        <v>3.0379757383637482</v>
      </c>
      <c r="V5" s="986">
        <f>Card!T541/10^6</f>
        <v>2.2901232175411148</v>
      </c>
      <c r="W5" s="986">
        <f>Card!U541/10^6</f>
        <v>2.7870960661431492</v>
      </c>
      <c r="X5" s="986">
        <f>Card!V541/10^6</f>
        <v>1.7641940189125878</v>
      </c>
      <c r="Y5" s="986">
        <f>Card!W541/10^6</f>
        <v>7.4281679879862565</v>
      </c>
      <c r="Z5" s="986">
        <f>Card!X541/10^6</f>
        <v>2.7121625531914897</v>
      </c>
      <c r="AA5" s="1187">
        <f>AVERAGE(O5:Z5)</f>
        <v>2.4987531400752974</v>
      </c>
      <c r="AB5" s="986">
        <f>Card!M104/10^6</f>
        <v>3.6958849671271254</v>
      </c>
      <c r="AC5" s="986">
        <f>Card!N104/10^6</f>
        <v>2.8845374412989782</v>
      </c>
      <c r="AD5" s="986">
        <f>Card!O104/10^6</f>
        <v>4.1020296834332388</v>
      </c>
      <c r="AE5" s="986">
        <f>Card!P104/10^6</f>
        <v>4.2159416155060212</v>
      </c>
      <c r="AF5" s="986">
        <f>Card!Q104/10^6</f>
        <v>4.1234798358771281</v>
      </c>
      <c r="AG5" s="986">
        <f>Card!R104/10^6</f>
        <v>4.0694829436416375</v>
      </c>
      <c r="AH5" s="986">
        <f>Card!S104/10^6</f>
        <v>4.7364141357334963</v>
      </c>
      <c r="AI5" s="986">
        <f>Card!T104/10^6</f>
        <v>4.9804012542895739</v>
      </c>
      <c r="AJ5" s="986">
        <f>Card!U104/10^6</f>
        <v>4.2967799585258861</v>
      </c>
      <c r="AK5" s="986">
        <f>Card!V104/10^6</f>
        <v>5.1248388877629756</v>
      </c>
      <c r="AL5" s="986">
        <f>Card!W104/10^6</f>
        <v>4.8423534718725758</v>
      </c>
      <c r="AM5" s="986">
        <f>Card!X104/10^6</f>
        <v>6.4579229914277851</v>
      </c>
      <c r="AN5" s="986">
        <f>AVERAGE(AB5:AM5)</f>
        <v>4.460838932208036</v>
      </c>
      <c r="AO5" s="74"/>
      <c r="AP5" t="s">
        <v>450</v>
      </c>
      <c r="AQ5" s="7">
        <v>3186781877.6700072</v>
      </c>
      <c r="AR5" s="89">
        <v>3793964805</v>
      </c>
      <c r="AS5" s="7">
        <v>775570000000</v>
      </c>
    </row>
    <row r="6" spans="1:45" ht="14.25" customHeight="1">
      <c r="A6" s="1120" t="s">
        <v>451</v>
      </c>
      <c r="B6" s="1118">
        <f>B16/B4</f>
        <v>6.1055312461520865E-3</v>
      </c>
      <c r="C6" s="1118">
        <f t="shared" ref="C6:G6" si="0">C16/C4</f>
        <v>5.679272268114639E-3</v>
      </c>
      <c r="D6" s="1118">
        <f t="shared" si="0"/>
        <v>5.5616045196878522E-3</v>
      </c>
      <c r="E6" s="1201">
        <f t="shared" si="0"/>
        <v>4.6892746640433405E-3</v>
      </c>
      <c r="F6" s="1201">
        <f t="shared" si="0"/>
        <v>5.6914437341230948E-3</v>
      </c>
      <c r="G6" s="1201">
        <f t="shared" si="0"/>
        <v>5.3786172465504194E-3</v>
      </c>
      <c r="H6" s="1201">
        <f t="shared" ref="H6:I6" si="1">H16/H4</f>
        <v>5.2271698485384334E-3</v>
      </c>
      <c r="I6" s="1201">
        <f t="shared" si="1"/>
        <v>4.8160819310360285E-3</v>
      </c>
      <c r="J6" s="1366">
        <f t="shared" ref="J6" si="2">J16/J4</f>
        <v>4.9692015247277061E-3</v>
      </c>
      <c r="K6" s="1366">
        <f>K16/K4</f>
        <v>4.909742393785093E-3</v>
      </c>
      <c r="L6" s="1366">
        <f>L16/L4</f>
        <v>4.9404809891565966E-3</v>
      </c>
      <c r="M6" s="1366">
        <f>AQ11</f>
        <v>5.1439001315658735E-3</v>
      </c>
      <c r="N6" s="1202">
        <f>AVERAGE(B6:M6)</f>
        <v>5.2593600414567628E-3</v>
      </c>
      <c r="O6" s="1201">
        <f>O16/O4</f>
        <v>6.1055312461520865E-3</v>
      </c>
      <c r="P6" s="1201">
        <f>P16/P4</f>
        <v>5.6792722681146372E-3</v>
      </c>
      <c r="Q6" s="1201">
        <f>Q16/Q4</f>
        <v>5.561604519687853E-3</v>
      </c>
      <c r="R6" s="1201">
        <f t="shared" ref="R6:T6" si="3">R16/R4</f>
        <v>4.6892746640433422E-3</v>
      </c>
      <c r="S6" s="1188">
        <f t="shared" si="3"/>
        <v>5.6914437341230913E-3</v>
      </c>
      <c r="T6" s="1188">
        <f t="shared" si="3"/>
        <v>5.378617246550422E-3</v>
      </c>
      <c r="U6" s="1188">
        <f t="shared" ref="U6" si="4">U16/U4</f>
        <v>5.2271698485384351E-3</v>
      </c>
      <c r="V6" s="1188">
        <f>V16/V4</f>
        <v>4.8160819310360302E-3</v>
      </c>
      <c r="W6" s="1367">
        <f t="shared" ref="W6" si="5">W16/W4</f>
        <v>4.9692015247277061E-3</v>
      </c>
      <c r="X6" s="1367">
        <f>X16/X4</f>
        <v>4.9097423937850982E-3</v>
      </c>
      <c r="Y6" s="1367">
        <f>Y16/Y4</f>
        <v>4.9404809891565949E-3</v>
      </c>
      <c r="Z6" s="1188">
        <f>AQ11</f>
        <v>5.1439001315658735E-3</v>
      </c>
      <c r="AA6" s="1189">
        <f>AVERAGE(O6:Z6)</f>
        <v>5.2593600414567636E-3</v>
      </c>
      <c r="AB6" s="1188">
        <f>AB16/AB4</f>
        <v>6.1055312461520874E-3</v>
      </c>
      <c r="AC6" s="1188">
        <f t="shared" ref="AC6:AG6" si="6">AC16/AC4</f>
        <v>5.679272268114639E-3</v>
      </c>
      <c r="AD6" s="1188">
        <f t="shared" si="6"/>
        <v>5.5616045196878522E-3</v>
      </c>
      <c r="AE6" s="1201">
        <f t="shared" si="6"/>
        <v>4.6892746640433414E-3</v>
      </c>
      <c r="AF6" s="1188">
        <f t="shared" si="6"/>
        <v>5.6914437341230939E-3</v>
      </c>
      <c r="AG6" s="1188">
        <f t="shared" si="6"/>
        <v>5.3786172465504194E-3</v>
      </c>
      <c r="AH6" s="1188">
        <f t="shared" ref="AH6" si="7">AH16/AH4</f>
        <v>5.2271698485384334E-3</v>
      </c>
      <c r="AI6" s="1188">
        <f t="shared" ref="AI6:AJ6" si="8">AI16/AI4</f>
        <v>4.8160819310360285E-3</v>
      </c>
      <c r="AJ6" s="1188">
        <f t="shared" si="8"/>
        <v>4.9692015247277069E-3</v>
      </c>
      <c r="AK6" s="1188">
        <f>AK16/AK4</f>
        <v>4.9097423937850939E-3</v>
      </c>
      <c r="AL6" s="1188">
        <f>AL16/AL4</f>
        <v>4.9404809891565957E-3</v>
      </c>
      <c r="AM6" s="1188">
        <f>AQ11</f>
        <v>5.1439001315658735E-3</v>
      </c>
      <c r="AN6" s="1188">
        <f>AVERAGE(AB6:AM6)</f>
        <v>5.2593600414567628E-3</v>
      </c>
      <c r="AO6" s="74"/>
      <c r="AP6" t="s">
        <v>452</v>
      </c>
      <c r="AQ6" s="7">
        <v>3220442514.7059999</v>
      </c>
      <c r="AR6" s="89">
        <v>3460597685</v>
      </c>
      <c r="AS6" s="7">
        <v>689274711775</v>
      </c>
    </row>
    <row r="7" spans="1:45" ht="15" hidden="1" customHeight="1">
      <c r="A7" s="1121" t="s">
        <v>453</v>
      </c>
      <c r="B7" s="1118">
        <f t="shared" ref="B7:H7" si="9">B24/B4</f>
        <v>5.2145774247045421E-3</v>
      </c>
      <c r="C7" s="1118">
        <f t="shared" si="9"/>
        <v>6.4583140721569138E-3</v>
      </c>
      <c r="D7" s="1118">
        <f t="shared" si="9"/>
        <v>4.8819242048835651E-3</v>
      </c>
      <c r="E7" s="1201">
        <f t="shared" si="9"/>
        <v>5.2904137145319049E-3</v>
      </c>
      <c r="F7" s="1201">
        <f t="shared" si="9"/>
        <v>5.3931347259742806E-3</v>
      </c>
      <c r="G7" s="1201">
        <f t="shared" si="9"/>
        <v>5.1334634442950621E-3</v>
      </c>
      <c r="H7" s="1201">
        <f t="shared" si="9"/>
        <v>4.6499488710474938E-3</v>
      </c>
      <c r="I7" s="1201">
        <f t="shared" ref="I7:J7" si="10">I24/I4</f>
        <v>4.4410412513630352E-3</v>
      </c>
      <c r="J7" s="1366">
        <f t="shared" si="10"/>
        <v>5.3215905713665653E-3</v>
      </c>
      <c r="K7" s="1366">
        <f>K24/K4</f>
        <v>3.7915312657427324E-3</v>
      </c>
      <c r="L7" s="1366">
        <f>L24/L4</f>
        <v>2.8956944813193965E-3</v>
      </c>
      <c r="M7" s="1366">
        <f>M24/M4</f>
        <v>0</v>
      </c>
      <c r="N7" s="1202">
        <f>AVERAGE(B7:M7)</f>
        <v>4.4559695022821245E-3</v>
      </c>
      <c r="O7" s="1201">
        <f t="shared" ref="O7:T7" si="11">O24/O4</f>
        <v>2.2428097163513711E-3</v>
      </c>
      <c r="P7" s="1201">
        <f t="shared" si="11"/>
        <v>1.8771567485798913E-3</v>
      </c>
      <c r="Q7" s="1201">
        <f t="shared" si="11"/>
        <v>1.365706085203209E-3</v>
      </c>
      <c r="R7" s="1201">
        <f t="shared" si="11"/>
        <v>1.8932827252795678E-3</v>
      </c>
      <c r="S7" s="1188">
        <f t="shared" si="11"/>
        <v>1.534555286751009E-3</v>
      </c>
      <c r="T7" s="1188">
        <f t="shared" si="11"/>
        <v>1.4880333549564767E-3</v>
      </c>
      <c r="U7" s="1188">
        <f t="shared" ref="U7" si="12">U24/U4</f>
        <v>7.250332327362447E-4</v>
      </c>
      <c r="V7" s="1188">
        <f>V24/V4</f>
        <v>1.3344289951783724E-3</v>
      </c>
      <c r="W7" s="1367">
        <f t="shared" ref="W7" si="13">W24/W4</f>
        <v>1.1884040763928297E-3</v>
      </c>
      <c r="X7" s="1367">
        <f>X24/X4</f>
        <v>1.823563864206857E-3</v>
      </c>
      <c r="Y7" s="1367">
        <f>Y24/Y4</f>
        <v>4.7379896504243322E-3</v>
      </c>
      <c r="Z7" s="1367">
        <f>Z24/Z4</f>
        <v>0</v>
      </c>
      <c r="AA7" s="1189">
        <f>AVERAGE(O7:Z7)</f>
        <v>1.6842469780050135E-3</v>
      </c>
      <c r="AB7" s="1188">
        <f t="shared" ref="AB7:AG7" si="14">AB24/AB4</f>
        <v>4.8908095408083125E-3</v>
      </c>
      <c r="AC7" s="1188">
        <f t="shared" si="14"/>
        <v>5.886964012422378E-3</v>
      </c>
      <c r="AD7" s="1188">
        <f t="shared" si="14"/>
        <v>4.424521195994742E-3</v>
      </c>
      <c r="AE7" s="1201">
        <f t="shared" si="14"/>
        <v>4.8243754872634931E-3</v>
      </c>
      <c r="AF7" s="1188">
        <f t="shared" si="14"/>
        <v>4.8863097027442778E-3</v>
      </c>
      <c r="AG7" s="1188">
        <f t="shared" si="14"/>
        <v>4.6515579965833703E-3</v>
      </c>
      <c r="AH7" s="1188">
        <f t="shared" ref="AH7" si="15">AH24/AH4</f>
        <v>3.9321121525443129E-3</v>
      </c>
      <c r="AI7" s="1188">
        <f t="shared" ref="AI7:AJ7" si="16">AI24/AI4</f>
        <v>4.0453202409713946E-3</v>
      </c>
      <c r="AJ7" s="1188">
        <f t="shared" si="16"/>
        <v>4.6243537420545275E-3</v>
      </c>
      <c r="AK7" s="1188">
        <f>AK24/AK4</f>
        <v>3.6172757777822679E-3</v>
      </c>
      <c r="AL7" s="1188">
        <f>AL24/AL4</f>
        <v>3.7946161295583525E-3</v>
      </c>
      <c r="AM7" s="1188">
        <f>AM24/AM4</f>
        <v>0</v>
      </c>
      <c r="AN7" s="1188">
        <f>AVERAGE(AB7:AM7)</f>
        <v>4.131517998227285E-3</v>
      </c>
      <c r="AO7" s="74"/>
      <c r="AP7" t="s">
        <v>454</v>
      </c>
      <c r="AQ7" s="7">
        <v>3075261450.1279993</v>
      </c>
      <c r="AR7" s="89">
        <v>4174064252</v>
      </c>
      <c r="AS7" s="7">
        <f>828500*10^6</f>
        <v>828500000000</v>
      </c>
    </row>
    <row r="8" spans="1:45">
      <c r="A8" s="1122" t="s">
        <v>243</v>
      </c>
      <c r="B8" s="1115">
        <f>Card!M484/10^9</f>
        <v>437.72859175500002</v>
      </c>
      <c r="C8" s="1115">
        <f>Card!N484/10^9</f>
        <v>443.54955392900007</v>
      </c>
      <c r="D8" s="1115">
        <f>Card!O484/10^9</f>
        <v>457.08897128299998</v>
      </c>
      <c r="E8" s="1115">
        <f>Card!P484/10^9</f>
        <v>493.11119516600002</v>
      </c>
      <c r="F8" s="1115">
        <f>Card!Q484/10^9</f>
        <v>526.3351538390001</v>
      </c>
      <c r="G8" s="1115">
        <f>Card!R484/10^9</f>
        <v>538.66657360799991</v>
      </c>
      <c r="H8" s="1115">
        <f>Card!S484/10^9</f>
        <v>561.602825768</v>
      </c>
      <c r="I8" s="1115">
        <f>Card!T484/10^9</f>
        <v>680.25144727999998</v>
      </c>
      <c r="J8" s="1115">
        <f>Card!U484/10^9</f>
        <v>689.99935529000004</v>
      </c>
      <c r="K8" s="1115">
        <f>Card!V484/10^9</f>
        <v>730.58878853299984</v>
      </c>
      <c r="L8" s="1115">
        <f>Card!W484/10^9</f>
        <v>727.50587422800004</v>
      </c>
      <c r="M8" s="1115">
        <f>Card!X484/10^9</f>
        <v>930.548603447</v>
      </c>
      <c r="N8" s="1116">
        <f>M8</f>
        <v>930.548603447</v>
      </c>
      <c r="O8" s="1115">
        <f>Card!M544/10^9</f>
        <v>441.84531479700001</v>
      </c>
      <c r="P8" s="1115">
        <f>Card!N544/10^9</f>
        <v>421.79973628599993</v>
      </c>
      <c r="Q8" s="1115">
        <f>Card!O544/10^9</f>
        <v>441.31819883999998</v>
      </c>
      <c r="R8" s="1115">
        <f>Card!P544/10^9</f>
        <v>466.55714946699999</v>
      </c>
      <c r="S8" s="1115">
        <f>Card!Q544/10^9</f>
        <v>482.72736338799996</v>
      </c>
      <c r="T8" s="1115">
        <f>Card!R544/10^9</f>
        <v>510.66124344700006</v>
      </c>
      <c r="U8" s="1115">
        <f>Card!S544/10^9</f>
        <v>576.35507541300001</v>
      </c>
      <c r="V8" s="1115">
        <f>Card!T544/10^9</f>
        <v>542.62129439299997</v>
      </c>
      <c r="W8" s="1115">
        <f>Card!U544/10^9</f>
        <v>598.68657654799995</v>
      </c>
      <c r="X8" s="1115">
        <f>Card!V544/10^9</f>
        <v>614.80925502100013</v>
      </c>
      <c r="Y8" s="1115">
        <f>Card!W544/10^9</f>
        <v>735.28312223</v>
      </c>
      <c r="Z8" s="1115">
        <f>Card!X544/10^9</f>
        <v>596.16861457599998</v>
      </c>
      <c r="AA8" s="1116">
        <f>Z8</f>
        <v>596.16861457599998</v>
      </c>
      <c r="AB8" s="349">
        <f>Card!M107/10^9</f>
        <v>879.57390655200004</v>
      </c>
      <c r="AC8" s="349">
        <f>Card!N107/10^9</f>
        <v>865.349290215</v>
      </c>
      <c r="AD8" s="1115">
        <f>Card!O107/10^9</f>
        <v>898.40717012300001</v>
      </c>
      <c r="AE8" s="1115">
        <f>Card!P107/10^9</f>
        <v>959.66834463299995</v>
      </c>
      <c r="AF8" s="1115">
        <f>Card!Q107/10^9</f>
        <v>1009.0625172269999</v>
      </c>
      <c r="AG8" s="1115">
        <f>Card!R107/10^9</f>
        <v>1049.327817055</v>
      </c>
      <c r="AH8" s="1115">
        <f>Card!S107/10^9</f>
        <v>1137.9579011809999</v>
      </c>
      <c r="AI8" s="1115">
        <f>Card!T107/10^9</f>
        <v>1222.8727416730001</v>
      </c>
      <c r="AJ8" s="1115">
        <f>Card!U107/10^9</f>
        <v>1288.685931838</v>
      </c>
      <c r="AK8" s="1115">
        <f>Card!V107/10^9</f>
        <v>1345.398043554</v>
      </c>
      <c r="AL8" s="1115">
        <f>Card!W107/10^9</f>
        <v>1462.7889964579999</v>
      </c>
      <c r="AM8" s="1115">
        <f>Card!X107/10^9</f>
        <v>1526.717218023</v>
      </c>
      <c r="AN8" s="1115">
        <f>AM8</f>
        <v>1526.717218023</v>
      </c>
      <c r="AO8" s="74"/>
      <c r="AP8" t="s">
        <v>455</v>
      </c>
      <c r="AQ8" s="7">
        <v>3173597744.4040022</v>
      </c>
      <c r="AR8" s="89">
        <v>4131932925</v>
      </c>
      <c r="AS8" s="7">
        <v>826843478571.99902</v>
      </c>
    </row>
    <row r="9" spans="1:45" ht="15" customHeight="1">
      <c r="A9" s="1122" t="s">
        <v>456</v>
      </c>
      <c r="B9" s="1115">
        <f>Card!M487/10^9</f>
        <v>80.414298965</v>
      </c>
      <c r="C9" s="1115">
        <f>Card!N487/10^9</f>
        <v>87.946760777999998</v>
      </c>
      <c r="D9" s="1115">
        <f>Card!O487/10^9</f>
        <v>88.143750703999999</v>
      </c>
      <c r="E9" s="1115">
        <f>Card!P487/10^9</f>
        <v>57.135326706000001</v>
      </c>
      <c r="F9" s="1115">
        <f>Card!Q487/10^9</f>
        <v>66.545236708999994</v>
      </c>
      <c r="G9" s="1115">
        <f>Card!R487/10^9</f>
        <v>68.830773803</v>
      </c>
      <c r="H9" s="1115">
        <f>Card!S487/10^9</f>
        <v>73.234968694000003</v>
      </c>
      <c r="I9" s="1115">
        <f>Card!T487/10^9</f>
        <v>105.61919236599999</v>
      </c>
      <c r="J9" s="1115">
        <f>Card!U487/10^9</f>
        <v>95.933519429</v>
      </c>
      <c r="K9" s="1115">
        <f>Card!V487/10^9</f>
        <v>42.545074806999999</v>
      </c>
      <c r="L9" s="1115">
        <f>Card!W487/10^9</f>
        <v>316.09496648400005</v>
      </c>
      <c r="M9" s="1115">
        <f>Card!X487/10^9</f>
        <v>132.93563243900002</v>
      </c>
      <c r="N9" s="1116">
        <f>M9</f>
        <v>132.93563243900002</v>
      </c>
      <c r="O9" s="349">
        <f>Card!M547/10^9</f>
        <v>413.90013908000009</v>
      </c>
      <c r="P9" s="349">
        <f>Card!N547/10^9</f>
        <v>396.949058003</v>
      </c>
      <c r="Q9" s="349">
        <f>Card!O547/10^9</f>
        <v>402.418024737</v>
      </c>
      <c r="R9" s="1115">
        <f>Card!P547/10^9</f>
        <v>404.73367674099995</v>
      </c>
      <c r="S9" s="1115">
        <f>Card!Q547/10^9</f>
        <v>474.64790707499998</v>
      </c>
      <c r="T9" s="1115">
        <f>Card!R547/10^9</f>
        <v>506.79164832500004</v>
      </c>
      <c r="U9" s="1115">
        <f>Card!S547/10^9</f>
        <v>537.49926718199993</v>
      </c>
      <c r="V9" s="1115">
        <f>Card!T547/10^9</f>
        <v>530.67337944799999</v>
      </c>
      <c r="W9" s="1115">
        <f>Card!U547/10^9</f>
        <v>547.8374077389999</v>
      </c>
      <c r="X9" s="1115">
        <f>Card!V547/10^9</f>
        <v>623.96699623100005</v>
      </c>
      <c r="Y9" s="1115">
        <f>Card!W547/10^9</f>
        <v>378.50181253199997</v>
      </c>
      <c r="Z9" s="1115">
        <f>Card!X547/10^9</f>
        <v>575.62971580500005</v>
      </c>
      <c r="AA9" s="1116">
        <f>Z9</f>
        <v>575.62971580500005</v>
      </c>
      <c r="AB9" s="1115">
        <f>Card!M110/10^9</f>
        <v>494.31299999999999</v>
      </c>
      <c r="AC9" s="1115">
        <f>Card!N110/10^9</f>
        <v>484.89699999999999</v>
      </c>
      <c r="AD9" s="1115">
        <f>Card!O110/10^9</f>
        <v>490.56177544100001</v>
      </c>
      <c r="AE9" s="1115">
        <f>Card!P110/10^9</f>
        <v>491.442208908</v>
      </c>
      <c r="AF9" s="1115">
        <f>Card!Q110/10^9</f>
        <v>541.19314378399997</v>
      </c>
      <c r="AG9" s="1115">
        <f>Card!R110/10^9</f>
        <v>575.62242212800004</v>
      </c>
      <c r="AH9" s="1115">
        <f>Card!S110/10^9</f>
        <v>610.73423587599996</v>
      </c>
      <c r="AI9" s="1115">
        <f>Card!T110/10^9</f>
        <v>636.29257181399998</v>
      </c>
      <c r="AJ9" s="1115">
        <f>Card!U110/10^9</f>
        <v>644.32297550400017</v>
      </c>
      <c r="AK9" s="1115">
        <f>Card!V110/10^9</f>
        <v>666.51207103800016</v>
      </c>
      <c r="AL9" s="1115">
        <f>Card!W110/10^9</f>
        <v>694.59677901600014</v>
      </c>
      <c r="AM9" s="1115">
        <f>Card!X110/10^9</f>
        <v>708.56534824400012</v>
      </c>
      <c r="AN9" s="1115">
        <f>AM9</f>
        <v>708.56534824400012</v>
      </c>
      <c r="AO9" s="74"/>
      <c r="AP9" t="s">
        <v>457</v>
      </c>
      <c r="AR9" s="89">
        <v>4654145071</v>
      </c>
      <c r="AS9" s="7">
        <v>904789158412.99878</v>
      </c>
    </row>
    <row r="10" spans="1:45" ht="15" customHeight="1">
      <c r="A10" s="1122" t="s">
        <v>217</v>
      </c>
      <c r="B10" s="349">
        <f t="shared" ref="B10:L10" si="17">B11+B14+B25</f>
        <v>2.6796711528450854</v>
      </c>
      <c r="C10" s="349">
        <f t="shared" si="17"/>
        <v>3.4561275144210826</v>
      </c>
      <c r="D10" s="349">
        <f t="shared" si="17"/>
        <v>2.7725602556676785</v>
      </c>
      <c r="E10" s="349">
        <f t="shared" si="17"/>
        <v>2.647323308002532</v>
      </c>
      <c r="F10" s="349">
        <f t="shared" si="17"/>
        <v>4.8487326056429367</v>
      </c>
      <c r="G10" s="349">
        <f t="shared" si="17"/>
        <v>7.9808514310859096</v>
      </c>
      <c r="H10" s="349">
        <f t="shared" si="17"/>
        <v>8.6513663789117707</v>
      </c>
      <c r="I10" s="349">
        <f t="shared" si="17"/>
        <v>8.1785118609111986</v>
      </c>
      <c r="J10" s="349">
        <f t="shared" si="17"/>
        <v>10.958799947860543</v>
      </c>
      <c r="K10" s="349">
        <f t="shared" si="17"/>
        <v>6.1065523080655879</v>
      </c>
      <c r="L10" s="349">
        <f t="shared" si="17"/>
        <v>8.6929546833984048</v>
      </c>
      <c r="M10" s="349">
        <f t="shared" ref="M10" si="18">M11+M14+M25</f>
        <v>14.425381883990212</v>
      </c>
      <c r="N10" s="1117">
        <f t="shared" ref="N10:N18" si="19">SUM(B10:M10)</f>
        <v>81.398833330802944</v>
      </c>
      <c r="O10" s="349">
        <f t="shared" ref="O10:T10" si="20">O11+O14+O25</f>
        <v>12.231538960545398</v>
      </c>
      <c r="P10" s="349">
        <f t="shared" si="20"/>
        <v>9.8632621779814258</v>
      </c>
      <c r="Q10" s="349">
        <f t="shared" si="20"/>
        <v>10.838784019232927</v>
      </c>
      <c r="R10" s="349">
        <f t="shared" si="20"/>
        <v>14.807417811549383</v>
      </c>
      <c r="S10" s="349">
        <f t="shared" si="20"/>
        <v>18.485719232818543</v>
      </c>
      <c r="T10" s="349">
        <f t="shared" si="20"/>
        <v>18.937848560400969</v>
      </c>
      <c r="U10" s="349">
        <f t="shared" ref="U10" si="21">U11+U14+U25</f>
        <v>12.413606712074342</v>
      </c>
      <c r="V10" s="349">
        <f>V11+V14+V25</f>
        <v>22.351493323645279</v>
      </c>
      <c r="W10" s="349">
        <f t="shared" ref="W10" si="22">W11+W14+W25</f>
        <v>24.107853123100121</v>
      </c>
      <c r="X10" s="349">
        <f>X11+X14+X25</f>
        <v>26.052818325429588</v>
      </c>
      <c r="Y10" s="349">
        <f>Y11+Y14+Y25</f>
        <v>25.544018104757622</v>
      </c>
      <c r="Z10" s="349">
        <f>Z11+Z14+Z25</f>
        <v>24.423601924626766</v>
      </c>
      <c r="AA10" s="1117">
        <f t="shared" ref="AA10:AA18" si="23">SUM(O10:Z10)</f>
        <v>220.05796227616236</v>
      </c>
      <c r="AB10" s="349">
        <f t="shared" ref="AB10:AG10" si="24">AB11+AB14+AB25</f>
        <v>14.911210113390485</v>
      </c>
      <c r="AC10" s="349">
        <f t="shared" si="24"/>
        <v>13.319389692402504</v>
      </c>
      <c r="AD10" s="349">
        <f t="shared" si="24"/>
        <v>13.611344274900603</v>
      </c>
      <c r="AE10" s="349">
        <f t="shared" si="24"/>
        <v>17.454741119551915</v>
      </c>
      <c r="AF10" s="349">
        <f t="shared" si="24"/>
        <v>23.34122206646148</v>
      </c>
      <c r="AG10" s="349">
        <f t="shared" si="24"/>
        <v>26.921435775486881</v>
      </c>
      <c r="AH10" s="349">
        <f t="shared" ref="AH10:AI10" si="25">AH11+AH14+AH25</f>
        <v>21.064973090986115</v>
      </c>
      <c r="AI10" s="349">
        <f t="shared" si="25"/>
        <v>30.530005184556476</v>
      </c>
      <c r="AJ10" s="349">
        <f t="shared" ref="AJ10" si="26">AJ11+AJ14+AJ25</f>
        <v>35.066653070960669</v>
      </c>
      <c r="AK10" s="349">
        <f>AK11+AK14+AK25</f>
        <v>32.159370633495172</v>
      </c>
      <c r="AL10" s="349">
        <f>AL11+AL14+AL25</f>
        <v>34.236972788156024</v>
      </c>
      <c r="AM10" s="349">
        <f>AM11+AM14+AM25</f>
        <v>38.848983808616964</v>
      </c>
      <c r="AN10" s="349">
        <f t="shared" ref="AN10:AN27" si="27">SUM(AB10:AM10)</f>
        <v>301.4663016189653</v>
      </c>
      <c r="AO10" s="74">
        <f>Y10-Z10</f>
        <v>1.1204161801308565</v>
      </c>
      <c r="AS10" s="7">
        <v>940988033222.99878</v>
      </c>
    </row>
    <row r="11" spans="1:45" ht="15" customHeight="1">
      <c r="A11" s="1122" t="s">
        <v>254</v>
      </c>
      <c r="B11" s="349">
        <f>B12-B13</f>
        <v>1.2651829560769701</v>
      </c>
      <c r="C11" s="349">
        <f t="shared" ref="C11:G11" si="28">C12-C13</f>
        <v>2.2037622608996399</v>
      </c>
      <c r="D11" s="349">
        <f t="shared" si="28"/>
        <v>1.570122402</v>
      </c>
      <c r="E11" s="349">
        <f t="shared" si="28"/>
        <v>1.8607166790000003</v>
      </c>
      <c r="F11" s="349">
        <f t="shared" si="28"/>
        <v>2.2585098619999999</v>
      </c>
      <c r="G11" s="349">
        <f t="shared" si="28"/>
        <v>1.6195850501627875</v>
      </c>
      <c r="H11" s="349">
        <f t="shared" ref="H11:I11" si="29">H12-H13</f>
        <v>2.591500111764923</v>
      </c>
      <c r="I11" s="349">
        <f t="shared" si="29"/>
        <v>2.1657040149513693</v>
      </c>
      <c r="J11" s="349">
        <f t="shared" ref="J11" si="30">J12-J13</f>
        <v>2.4314150373885153</v>
      </c>
      <c r="K11" s="349">
        <f>K12-K13</f>
        <v>-0.78276812908366367</v>
      </c>
      <c r="L11" s="349">
        <f>L12-L13</f>
        <v>7.5390609247937679</v>
      </c>
      <c r="M11" s="349">
        <f>M12-M13</f>
        <v>0.62834265846901971</v>
      </c>
      <c r="N11" s="1117">
        <f t="shared" si="19"/>
        <v>25.351133828423325</v>
      </c>
      <c r="O11" s="349">
        <f>O12-O13</f>
        <v>8.2426071359230288</v>
      </c>
      <c r="P11" s="349">
        <f>P12-P13</f>
        <v>7.4640067881003604</v>
      </c>
      <c r="Q11" s="349">
        <f>Q12-Q13</f>
        <v>6.9467100357765865</v>
      </c>
      <c r="R11" s="349">
        <f t="shared" ref="R11:T11" si="31">R12-R13</f>
        <v>9.8846605804097702</v>
      </c>
      <c r="S11" s="349">
        <f t="shared" si="31"/>
        <v>9.48982277346148</v>
      </c>
      <c r="T11" s="349">
        <f t="shared" si="31"/>
        <v>12.051480529990757</v>
      </c>
      <c r="U11" s="349">
        <f t="shared" ref="U11" si="32">U12-U13</f>
        <v>10.372137545557194</v>
      </c>
      <c r="V11" s="349">
        <f>V12-V13</f>
        <v>13.938067650275116</v>
      </c>
      <c r="W11" s="349">
        <f t="shared" ref="W11" si="33">W12-W13</f>
        <v>13.668809848611485</v>
      </c>
      <c r="X11" s="349">
        <f>X12-X13</f>
        <v>16.885502251706839</v>
      </c>
      <c r="Y11" s="349">
        <f>Y12-Y13</f>
        <v>8.9780330847862615</v>
      </c>
      <c r="Z11" s="349">
        <f>Z12-Z13</f>
        <v>14.535426092147954</v>
      </c>
      <c r="AA11" s="1117">
        <f t="shared" si="23"/>
        <v>132.45726431674683</v>
      </c>
      <c r="AB11" s="349">
        <f>AB12-AB13</f>
        <v>9.5077900920000005</v>
      </c>
      <c r="AC11" s="349">
        <f t="shared" ref="AC11:AG11" si="34">AC12-AC13</f>
        <v>9.6677690490000003</v>
      </c>
      <c r="AD11" s="349">
        <f t="shared" si="34"/>
        <v>8.5168324377765856</v>
      </c>
      <c r="AE11" s="349">
        <f t="shared" si="34"/>
        <v>11.74537725940977</v>
      </c>
      <c r="AF11" s="349">
        <f t="shared" si="34"/>
        <v>11.748332635461479</v>
      </c>
      <c r="AG11" s="349">
        <f t="shared" si="34"/>
        <v>13.671065580153543</v>
      </c>
      <c r="AH11" s="349">
        <f t="shared" ref="AH11" si="35">AH12-AH13</f>
        <v>12.963637657322117</v>
      </c>
      <c r="AI11" s="349">
        <f t="shared" ref="AI11:AJ11" si="36">AI12-AI13</f>
        <v>16.103771665226486</v>
      </c>
      <c r="AJ11" s="349">
        <f t="shared" si="36"/>
        <v>16.100224885999999</v>
      </c>
      <c r="AK11" s="349">
        <f>AK12-AK13</f>
        <v>16.102734122623175</v>
      </c>
      <c r="AL11" s="349">
        <f>AL12-AL13</f>
        <v>16.517094009580031</v>
      </c>
      <c r="AM11" s="349">
        <f>AM12-AM13</f>
        <v>15.16376875061697</v>
      </c>
      <c r="AN11" s="349">
        <f t="shared" si="27"/>
        <v>157.80839814517014</v>
      </c>
      <c r="AO11" s="74"/>
      <c r="AP11" s="1180" t="s">
        <v>446</v>
      </c>
      <c r="AQ11" s="345">
        <f>AR9/AS9</f>
        <v>5.1439001315658735E-3</v>
      </c>
    </row>
    <row r="12" spans="1:45" ht="15" customHeight="1">
      <c r="A12" s="1181" t="s">
        <v>255</v>
      </c>
      <c r="B12" s="986">
        <f>Card!M499/10^9</f>
        <v>2.550077473</v>
      </c>
      <c r="C12" s="986">
        <f>Card!N499/10^9</f>
        <v>3.42322025</v>
      </c>
      <c r="D12" s="986">
        <f>Card!O499/10^9</f>
        <v>3.0040999849999999</v>
      </c>
      <c r="E12" s="986">
        <f>Card!P499/10^9</f>
        <v>3.2946942620000002</v>
      </c>
      <c r="F12" s="986">
        <f>Card!Q499/10^9</f>
        <v>3.6924874449999998</v>
      </c>
      <c r="G12" s="986">
        <f>Card!R499/10^9</f>
        <v>3.6609894239999998</v>
      </c>
      <c r="H12" s="986">
        <f>Card!S499/10^9</f>
        <v>4.9140913140000002</v>
      </c>
      <c r="I12" s="986">
        <f>Card!T499/10^9</f>
        <v>5.1406021019999999</v>
      </c>
      <c r="J12" s="986">
        <f>Card!U499/10^9</f>
        <v>5.4290139699999997</v>
      </c>
      <c r="K12" s="986">
        <f>Card!V499/10^9</f>
        <v>2.6170717809999999</v>
      </c>
      <c r="L12" s="986">
        <f>Card!W499/10^9</f>
        <v>10.656978896</v>
      </c>
      <c r="M12" s="986">
        <f>Card!X499/10^9</f>
        <v>5.6472396720000004</v>
      </c>
      <c r="N12" s="1117">
        <f t="shared" si="19"/>
        <v>54.030566573999998</v>
      </c>
      <c r="O12" s="986">
        <f>Card!M559/10^9</f>
        <v>10.186247793</v>
      </c>
      <c r="P12" s="986">
        <f>Card!N559/10^9</f>
        <v>9.2885728220000008</v>
      </c>
      <c r="Q12" s="986">
        <f>Card!O559/10^9</f>
        <v>8.9013280629999993</v>
      </c>
      <c r="R12" s="986">
        <f>Card!P559/10^9</f>
        <v>11.754085728</v>
      </c>
      <c r="S12" s="986">
        <f>Card!Q559/10^9</f>
        <v>11.870665446</v>
      </c>
      <c r="T12" s="986">
        <f>Card!R559/10^9</f>
        <v>13.986752082000001</v>
      </c>
      <c r="U12" s="986">
        <f>Card!S559/10^9</f>
        <v>12.755738849</v>
      </c>
      <c r="V12" s="986">
        <f>Card!T559/10^9</f>
        <v>16.311077009000002</v>
      </c>
      <c r="W12" s="986">
        <f>Card!U559/10^9</f>
        <v>16.26971408</v>
      </c>
      <c r="X12" s="986">
        <f>Card!V559/10^9</f>
        <v>19.746554973999999</v>
      </c>
      <c r="Y12" s="986">
        <f>Card!W559/10^9</f>
        <v>12.1292825</v>
      </c>
      <c r="Z12" s="986">
        <f>Card!X559/10^9</f>
        <v>17.750850701000001</v>
      </c>
      <c r="AA12" s="1117">
        <f t="shared" si="23"/>
        <v>160.95087004699997</v>
      </c>
      <c r="AB12" s="986">
        <f>Card!M126/10^9</f>
        <v>12.736325266</v>
      </c>
      <c r="AC12" s="986">
        <f>Card!N126/10^9</f>
        <v>12.711793072000001</v>
      </c>
      <c r="AD12" s="986">
        <f>Card!O126/10^9</f>
        <v>11.905428047999999</v>
      </c>
      <c r="AE12" s="986">
        <f>Card!P126/10^9</f>
        <v>15.04877999</v>
      </c>
      <c r="AF12" s="986">
        <f>Card!Q126/10^9</f>
        <v>15.563152891</v>
      </c>
      <c r="AG12" s="986">
        <f>Card!R126/10^9</f>
        <v>17.647741505999999</v>
      </c>
      <c r="AH12" s="986">
        <f>Card!S126/10^9</f>
        <v>17.669830163</v>
      </c>
      <c r="AI12" s="986">
        <f>Card!T126/10^9</f>
        <v>21.451679111000001</v>
      </c>
      <c r="AJ12" s="986">
        <f>Card!U126/10^9</f>
        <v>21.69872805</v>
      </c>
      <c r="AK12" s="986">
        <f>Card!V126/10^9</f>
        <v>22.363626754999999</v>
      </c>
      <c r="AL12" s="986">
        <f>Card!W126/10^9</f>
        <v>22.786261396</v>
      </c>
      <c r="AM12" s="986">
        <f>Card!X126/10^9</f>
        <v>23.398090372999999</v>
      </c>
      <c r="AN12" s="349">
        <f t="shared" si="27"/>
        <v>214.981436621</v>
      </c>
      <c r="AO12" s="74"/>
      <c r="AP12" s="1180" t="s">
        <v>458</v>
      </c>
      <c r="AQ12" s="345">
        <f>AQ8/AS8</f>
        <v>3.8382085928584304E-3</v>
      </c>
      <c r="AS12" s="1392"/>
    </row>
    <row r="13" spans="1:45" ht="15" customHeight="1">
      <c r="A13" s="1120" t="s">
        <v>459</v>
      </c>
      <c r="B13" s="986">
        <f>Card!M503/10^9</f>
        <v>1.2848945169230299</v>
      </c>
      <c r="C13" s="986">
        <f>Card!N503/10^9</f>
        <v>1.2194579891003599</v>
      </c>
      <c r="D13" s="986">
        <f>Card!O503/10^9</f>
        <v>1.4339775829999999</v>
      </c>
      <c r="E13" s="986">
        <f>Card!P503/10^9</f>
        <v>1.4339775829999999</v>
      </c>
      <c r="F13" s="986">
        <f>Card!Q503/10^9</f>
        <v>1.4339775829999999</v>
      </c>
      <c r="G13" s="986">
        <f>Card!R503/10^9</f>
        <v>2.0414043738372123</v>
      </c>
      <c r="H13" s="986">
        <f>Card!S503/10^9</f>
        <v>2.3225912022350772</v>
      </c>
      <c r="I13" s="986">
        <f>Card!T503/10^9</f>
        <v>2.9748980870486306</v>
      </c>
      <c r="J13" s="986">
        <f>Card!U503/10^9</f>
        <v>2.9975989326114845</v>
      </c>
      <c r="K13" s="986">
        <f>Card!V503/10^9</f>
        <v>3.3998399100836636</v>
      </c>
      <c r="L13" s="986">
        <f>Card!W503/10^9</f>
        <v>3.1179179712062317</v>
      </c>
      <c r="M13" s="986">
        <f>Card!X503/10^9</f>
        <v>5.0188970135309807</v>
      </c>
      <c r="N13" s="1117">
        <f t="shared" si="19"/>
        <v>28.679432745576673</v>
      </c>
      <c r="O13" s="986">
        <f>Card!M563/10^9</f>
        <v>1.9436406570769702</v>
      </c>
      <c r="P13" s="986">
        <f>Card!N563/10^9</f>
        <v>1.8245660338996401</v>
      </c>
      <c r="Q13" s="986">
        <f>Card!O563/10^9</f>
        <v>1.9546180272234126</v>
      </c>
      <c r="R13" s="986">
        <f>Card!P563/10^9</f>
        <v>1.8694251475902299</v>
      </c>
      <c r="S13" s="986">
        <f>Card!Q563/10^9</f>
        <v>2.3808426725385212</v>
      </c>
      <c r="T13" s="986">
        <f>Card!R563/10^9</f>
        <v>1.9352715520092434</v>
      </c>
      <c r="U13" s="986">
        <f>Card!S563/10^9</f>
        <v>2.3836013034428065</v>
      </c>
      <c r="V13" s="986">
        <f>Card!T563/10^9</f>
        <v>2.3730093587248851</v>
      </c>
      <c r="W13" s="986">
        <f>Card!U563/10^9</f>
        <v>2.6009042313885153</v>
      </c>
      <c r="X13" s="986">
        <f>Card!V563/10^9</f>
        <v>2.8610527222931599</v>
      </c>
      <c r="Y13" s="986">
        <f>Card!W563/10^9</f>
        <v>3.1512494152137389</v>
      </c>
      <c r="Z13" s="986">
        <f>Card!X563/10^9</f>
        <v>3.2154246088520471</v>
      </c>
      <c r="AA13" s="1117">
        <f t="shared" si="23"/>
        <v>28.493605730253172</v>
      </c>
      <c r="AB13" s="986">
        <f>Card!M130/10^9</f>
        <v>3.2285351740000001</v>
      </c>
      <c r="AC13" s="986">
        <f>Card!N130/10^9</f>
        <v>3.044024023</v>
      </c>
      <c r="AD13" s="986">
        <f>Card!O130/10^9</f>
        <v>3.3885956102234127</v>
      </c>
      <c r="AE13" s="986">
        <f>Card!P130/10^9</f>
        <v>3.3034027305902298</v>
      </c>
      <c r="AF13" s="986">
        <f>Card!Q130/10^9</f>
        <v>3.8148202555385211</v>
      </c>
      <c r="AG13" s="986">
        <f>Card!R130/10^9</f>
        <v>3.9766759258464557</v>
      </c>
      <c r="AH13" s="986">
        <f>Card!S130/10^9</f>
        <v>4.7061925056778842</v>
      </c>
      <c r="AI13" s="986">
        <f>Card!T130/10^9</f>
        <v>5.3479074457735161</v>
      </c>
      <c r="AJ13" s="986">
        <f>Card!U130/10^9</f>
        <v>5.5985031640000003</v>
      </c>
      <c r="AK13" s="986">
        <f>Card!V130/10^9</f>
        <v>6.260892632376823</v>
      </c>
      <c r="AL13" s="986">
        <f>Card!W130/10^9</f>
        <v>6.2691673864199702</v>
      </c>
      <c r="AM13" s="986">
        <f>Card!X130/10^9</f>
        <v>8.2343216223830282</v>
      </c>
      <c r="AN13" s="349">
        <f t="shared" si="27"/>
        <v>57.173038475829841</v>
      </c>
      <c r="AO13" s="74"/>
      <c r="AP13" s="1180"/>
    </row>
    <row r="14" spans="1:45" ht="15" customHeight="1">
      <c r="A14" s="1122" t="s">
        <v>260</v>
      </c>
      <c r="B14" s="349">
        <f>SUM(B16:B20)-B22-B23-B24</f>
        <v>1.4080168307681151</v>
      </c>
      <c r="C14" s="349">
        <f>SUM(C16:C20)-C22-C23-C24</f>
        <v>1.1595901815214429</v>
      </c>
      <c r="D14" s="349">
        <f>SUM(D16:D20)-D22-D23-D24</f>
        <v>1.1898687766676783</v>
      </c>
      <c r="E14" s="349">
        <f t="shared" ref="E14:J14" si="37">E15-E21</f>
        <v>0.6887730130025318</v>
      </c>
      <c r="F14" s="349">
        <f t="shared" si="37"/>
        <v>2.5807839906429364</v>
      </c>
      <c r="G14" s="349">
        <f t="shared" si="37"/>
        <v>6.2107237689231223</v>
      </c>
      <c r="H14" s="349">
        <f t="shared" si="37"/>
        <v>6.0597028201468479</v>
      </c>
      <c r="I14" s="349">
        <f t="shared" si="37"/>
        <v>6.0127578459598299</v>
      </c>
      <c r="J14" s="349">
        <f t="shared" si="37"/>
        <v>8.5103420234720275</v>
      </c>
      <c r="K14" s="349">
        <f>K15-K21</f>
        <v>6.8102172881492518</v>
      </c>
      <c r="L14" s="349">
        <f>L15-L21</f>
        <v>1.1507045176046371</v>
      </c>
      <c r="M14" s="349">
        <f>M15-M21</f>
        <v>13.796522125521193</v>
      </c>
      <c r="N14" s="1117">
        <f t="shared" si="19"/>
        <v>55.578003182379611</v>
      </c>
      <c r="O14" s="349">
        <f>SUM(O16:O20)-O22-O23-O24</f>
        <v>3.6999934086223694</v>
      </c>
      <c r="P14" s="349">
        <f>SUM(P16:P20)-P22-P23-P24</f>
        <v>2.0842801918810641</v>
      </c>
      <c r="Q14" s="349">
        <f>SUM(Q16:Q20)-Q22-Q23-Q24</f>
        <v>2.9341225824563399</v>
      </c>
      <c r="R14" s="349">
        <f t="shared" ref="R14:W14" si="38">R15-R21</f>
        <v>3.5442070451396139</v>
      </c>
      <c r="S14" s="349">
        <f t="shared" si="38"/>
        <v>5.6580923993570629</v>
      </c>
      <c r="T14" s="349">
        <f t="shared" si="38"/>
        <v>6.2413489844102115</v>
      </c>
      <c r="U14" s="349">
        <f t="shared" si="38"/>
        <v>1.1264146895171487</v>
      </c>
      <c r="V14" s="349">
        <f>V15-V21</f>
        <v>7.3362565393701633</v>
      </c>
      <c r="W14" s="349">
        <f t="shared" si="38"/>
        <v>9.1956076894886376</v>
      </c>
      <c r="X14" s="349">
        <f>X15-X21</f>
        <v>7.8645048917227482</v>
      </c>
      <c r="Y14" s="349">
        <f>Y15-Y21</f>
        <v>15.49736381597136</v>
      </c>
      <c r="Z14" s="349">
        <f>Z15-Z21</f>
        <v>8.4185318834788099</v>
      </c>
      <c r="AA14" s="1117">
        <f t="shared" si="23"/>
        <v>73.600724121415524</v>
      </c>
      <c r="AB14" s="349">
        <f>SUM(AB16:AB20)-AB22-AB23-AB24</f>
        <v>5.1080102393904854</v>
      </c>
      <c r="AC14" s="349">
        <f>SUM(AC16:AC20)-AC22-AC23-AC24</f>
        <v>3.2438703734025047</v>
      </c>
      <c r="AD14" s="349">
        <f>SUM(AD16:AD20)-AD22-AD23-AD24</f>
        <v>4.1239913591240178</v>
      </c>
      <c r="AE14" s="349">
        <f t="shared" ref="AE14:AI14" si="39">AE15-AE21</f>
        <v>4.2329800581421466</v>
      </c>
      <c r="AF14" s="349">
        <f t="shared" si="39"/>
        <v>8.2456466180000003</v>
      </c>
      <c r="AG14" s="349">
        <f t="shared" si="39"/>
        <v>12.454808537333335</v>
      </c>
      <c r="AH14" s="349">
        <f t="shared" si="39"/>
        <v>7.1861175096639984</v>
      </c>
      <c r="AI14" s="349">
        <f t="shared" si="39"/>
        <v>13.349014385329992</v>
      </c>
      <c r="AJ14" s="349">
        <f t="shared" ref="AJ14" si="40">AJ15-AJ21</f>
        <v>17.705949712960667</v>
      </c>
      <c r="AK14" s="349">
        <f>AK15-AK21</f>
        <v>14.674722179872001</v>
      </c>
      <c r="AL14" s="349">
        <f>AL15-AL21</f>
        <v>16.648068333575992</v>
      </c>
      <c r="AM14" s="349">
        <f>AM15-AM21</f>
        <v>22.215054008999999</v>
      </c>
      <c r="AN14" s="349">
        <f t="shared" si="27"/>
        <v>129.18823331579517</v>
      </c>
      <c r="AO14" s="74"/>
      <c r="AP14" s="1180"/>
      <c r="AQ14" s="345">
        <f>AR9/AS10</f>
        <v>4.946019403731401E-3</v>
      </c>
    </row>
    <row r="15" spans="1:45" ht="15" customHeight="1">
      <c r="A15" s="1122" t="s">
        <v>22</v>
      </c>
      <c r="B15" s="349">
        <f t="shared" ref="B15:J15" si="41">SUM(B16:B20)</f>
        <v>5.402849265748741</v>
      </c>
      <c r="C15" s="349">
        <f t="shared" si="41"/>
        <v>4.8477211858106397</v>
      </c>
      <c r="D15" s="349">
        <f t="shared" si="41"/>
        <v>5.2476390600579421</v>
      </c>
      <c r="E15" s="349">
        <f t="shared" si="41"/>
        <v>4.6403799150022724</v>
      </c>
      <c r="F15" s="349">
        <f t="shared" si="41"/>
        <v>6.2292263248610906</v>
      </c>
      <c r="G15" s="349">
        <f t="shared" si="41"/>
        <v>9.7718475959983646</v>
      </c>
      <c r="H15" s="349">
        <f t="shared" si="41"/>
        <v>9.7139425086969613</v>
      </c>
      <c r="I15" s="349">
        <f t="shared" si="41"/>
        <v>10.253528520946539</v>
      </c>
      <c r="J15" s="349">
        <f t="shared" si="41"/>
        <v>12.734600338848338</v>
      </c>
      <c r="K15" s="349">
        <f>SUM(K16:K20)</f>
        <v>11.04538541047738</v>
      </c>
      <c r="L15" s="349">
        <f>SUM(L16:L20)</f>
        <v>3.1898153224419978</v>
      </c>
      <c r="M15" s="349">
        <f>SUM(M16:M20)</f>
        <v>15.158839810200847</v>
      </c>
      <c r="N15" s="1117">
        <f t="shared" si="19"/>
        <v>98.235775259091113</v>
      </c>
      <c r="O15" s="349">
        <f t="shared" ref="O15:W15" si="42">SUM(O16:O20)</f>
        <v>4.0209918952512584</v>
      </c>
      <c r="P15" s="349">
        <f t="shared" si="42"/>
        <v>2.3822826051893609</v>
      </c>
      <c r="Q15" s="349">
        <f t="shared" si="42"/>
        <v>3.2776650539420578</v>
      </c>
      <c r="R15" s="349">
        <f t="shared" si="42"/>
        <v>3.8924223249977272</v>
      </c>
      <c r="S15" s="349">
        <f t="shared" si="42"/>
        <v>5.905802527138909</v>
      </c>
      <c r="T15" s="349">
        <f t="shared" si="42"/>
        <v>6.4880290580016355</v>
      </c>
      <c r="U15" s="349">
        <f t="shared" si="42"/>
        <v>1.4209675923030378</v>
      </c>
      <c r="V15" s="349">
        <f t="shared" si="42"/>
        <v>7.6435638080534618</v>
      </c>
      <c r="W15" s="349">
        <f t="shared" si="42"/>
        <v>9.567249158151661</v>
      </c>
      <c r="X15" s="349">
        <f>SUM(X16:X20)</f>
        <v>8.1277979545226202</v>
      </c>
      <c r="Y15" s="349">
        <f>SUM(Y16:Y20)</f>
        <v>18.192197619558002</v>
      </c>
      <c r="Z15" s="349">
        <f>SUM(Z16:Z20)</f>
        <v>8.5761054477991543</v>
      </c>
      <c r="AA15" s="1117">
        <f t="shared" si="23"/>
        <v>79.495075044908887</v>
      </c>
      <c r="AB15" s="349">
        <f t="shared" ref="AB15:AJ15" si="43">SUM(AB16:AB20)</f>
        <v>9.4238411610000004</v>
      </c>
      <c r="AC15" s="349">
        <f t="shared" si="43"/>
        <v>7.2300037909999997</v>
      </c>
      <c r="AD15" s="349">
        <f t="shared" si="43"/>
        <v>8.5253041140000008</v>
      </c>
      <c r="AE15" s="349">
        <f t="shared" si="43"/>
        <v>8.5328022400000005</v>
      </c>
      <c r="AF15" s="349">
        <f t="shared" si="43"/>
        <v>12.14179908</v>
      </c>
      <c r="AG15" s="349">
        <f t="shared" si="43"/>
        <v>16.260499750000001</v>
      </c>
      <c r="AH15" s="349">
        <f t="shared" si="43"/>
        <v>11.134910101000001</v>
      </c>
      <c r="AI15" s="349">
        <f t="shared" si="43"/>
        <v>17.897092328999999</v>
      </c>
      <c r="AJ15" s="349">
        <f t="shared" si="43"/>
        <v>22.301849496999999</v>
      </c>
      <c r="AK15" s="349">
        <f>SUM(AK16:AK20)</f>
        <v>19.173183365</v>
      </c>
      <c r="AL15" s="349">
        <f>SUM(AL16:AL20)</f>
        <v>21.382012941999996</v>
      </c>
      <c r="AM15" s="349">
        <f>SUM(AM16:AM20)</f>
        <v>23.734945258</v>
      </c>
      <c r="AN15" s="349">
        <f t="shared" si="27"/>
        <v>177.73824362799999</v>
      </c>
      <c r="AO15" s="74"/>
      <c r="AP15" s="1180"/>
    </row>
    <row r="16" spans="1:45" ht="15" customHeight="1">
      <c r="A16" s="1120" t="s">
        <v>460</v>
      </c>
      <c r="B16" s="986">
        <f>Card!M507/10^9</f>
        <v>2.8136180497487415</v>
      </c>
      <c r="C16" s="986">
        <f>Card!N507/10^9</f>
        <v>1.9794481718106389</v>
      </c>
      <c r="D16" s="986">
        <f>Card!O507/10^9</f>
        <v>2.7843953320579424</v>
      </c>
      <c r="E16" s="986">
        <f>Card!P507/10^9</f>
        <v>2.4315757160022726</v>
      </c>
      <c r="F16" s="986">
        <f>Card!Q507/10^9</f>
        <v>2.9651779618610905</v>
      </c>
      <c r="G16" s="986">
        <f>Card!R507/10^9</f>
        <v>2.8449894179983652</v>
      </c>
      <c r="H16" s="986">
        <f>Card!S507/10^9</f>
        <v>3.1140828016969619</v>
      </c>
      <c r="I16" s="986">
        <f>Card!T507/10^9</f>
        <v>3.310688662946538</v>
      </c>
      <c r="J16" s="986">
        <f>Card!U507/10^9</f>
        <v>2.8768214241542349</v>
      </c>
      <c r="K16" s="986">
        <f>Card!V507/10^9</f>
        <v>3.8044678844773792</v>
      </c>
      <c r="L16" s="986">
        <f>Card!W507/10^9</f>
        <v>2.1158151944419981</v>
      </c>
      <c r="M16" s="986">
        <f>Card!X507/10^9</f>
        <v>4.1716301356821273</v>
      </c>
      <c r="N16" s="1117">
        <f t="shared" si="19"/>
        <v>35.212710752878294</v>
      </c>
      <c r="O16" s="986">
        <f>Card!M567/10^9</f>
        <v>0.3440178332512584</v>
      </c>
      <c r="P16" s="986">
        <f>Card!N567/10^9</f>
        <v>0.28204792818936109</v>
      </c>
      <c r="Q16" s="986">
        <f>Card!O567/10^9</f>
        <v>0.41636736994205759</v>
      </c>
      <c r="R16" s="986">
        <f>Card!P567/10^9</f>
        <v>0.38661595799772741</v>
      </c>
      <c r="S16" s="986">
        <f>Card!Q567/10^9</f>
        <v>0.44837007813890933</v>
      </c>
      <c r="T16" s="986">
        <f>Card!R567/10^9</f>
        <v>0.42979041200163459</v>
      </c>
      <c r="U16" s="986">
        <f>Card!S567/10^9</f>
        <v>0.69702150630303816</v>
      </c>
      <c r="V16" s="986">
        <f>Card!T567/10^9</f>
        <v>0.48327614205346203</v>
      </c>
      <c r="W16" s="986">
        <f>Card!U567/10^9</f>
        <v>0.58377626084576506</v>
      </c>
      <c r="X16" s="986">
        <f>Card!V567/10^9</f>
        <v>0.36959636752262071</v>
      </c>
      <c r="Y16" s="986">
        <f>Card!W567/10^9</f>
        <v>2.016117730558002</v>
      </c>
      <c r="Z16" s="986">
        <f>Card!X567/10^9</f>
        <v>0.48251493531787254</v>
      </c>
      <c r="AA16" s="1117">
        <f t="shared" si="23"/>
        <v>6.9395125221217082</v>
      </c>
      <c r="AB16" s="986">
        <f>Card!M134/10^9</f>
        <v>3.1576358830000002</v>
      </c>
      <c r="AC16" s="986">
        <f>Card!N134/10^9</f>
        <v>2.2614961</v>
      </c>
      <c r="AD16" s="986">
        <f>Card!O134/10^9</f>
        <v>3.200762702</v>
      </c>
      <c r="AE16" s="986">
        <f>Card!P134/10^9</f>
        <v>2.8181916739999999</v>
      </c>
      <c r="AF16" s="986">
        <f>Card!Q134/10^9</f>
        <v>3.4135480399999998</v>
      </c>
      <c r="AG16" s="986">
        <f>Card!R134/10^9</f>
        <v>3.2747798299999999</v>
      </c>
      <c r="AH16" s="986">
        <f>Card!S134/10^9</f>
        <v>3.811104308</v>
      </c>
      <c r="AI16" s="986">
        <f>AR5/10^9</f>
        <v>3.7939648049999999</v>
      </c>
      <c r="AJ16" s="986">
        <f>AR6/10^9</f>
        <v>3.4605976850000002</v>
      </c>
      <c r="AK16" s="986">
        <f>AR7/10^9</f>
        <v>4.174064252</v>
      </c>
      <c r="AL16" s="986">
        <f>AR8/10^9</f>
        <v>4.1319329250000001</v>
      </c>
      <c r="AM16" s="986">
        <f>AR9/10^9</f>
        <v>4.6541450710000003</v>
      </c>
      <c r="AN16" s="349">
        <f t="shared" si="27"/>
        <v>42.152223274999997</v>
      </c>
      <c r="AO16" s="74"/>
      <c r="AP16" s="1365"/>
    </row>
    <row r="17" spans="1:43" ht="15" customHeight="1">
      <c r="A17" s="1120" t="s">
        <v>461</v>
      </c>
      <c r="B17" s="986">
        <f>Card!M506/10^9</f>
        <v>1.26962956</v>
      </c>
      <c r="C17" s="986">
        <f>Card!N506/10^9</f>
        <v>1.3813828509999999</v>
      </c>
      <c r="D17" s="986">
        <f>Card!O506/10^9</f>
        <v>0.96110086699999997</v>
      </c>
      <c r="E17" s="986">
        <f>Card!P506/10^9</f>
        <v>0.41473136700000002</v>
      </c>
      <c r="F17" s="986">
        <f>Card!Q506/10^9</f>
        <v>1.483421262</v>
      </c>
      <c r="G17" s="986">
        <f>Card!R506/10^9</f>
        <v>4.9046896999999996</v>
      </c>
      <c r="H17" s="986">
        <f>Card!S506/10^9</f>
        <v>4.8341774869999998</v>
      </c>
      <c r="I17" s="986">
        <f>Card!T506/10^9</f>
        <v>3.2756584800000002</v>
      </c>
      <c r="J17" s="986">
        <f>Card!U506/10^9</f>
        <v>3.0685734600000001</v>
      </c>
      <c r="K17" s="986">
        <f>Card!V506/10^9</f>
        <v>4.0367593289999997</v>
      </c>
      <c r="L17" s="986">
        <f>Card!W506/10^9</f>
        <v>4.2027824960000002</v>
      </c>
      <c r="M17" s="986">
        <f>Card!X506/10^9</f>
        <v>5.6878313809999996</v>
      </c>
      <c r="N17" s="1117">
        <f t="shared" si="19"/>
        <v>35.52073824</v>
      </c>
      <c r="O17" s="986">
        <f>Card!M566/10^9</f>
        <v>0.295772812</v>
      </c>
      <c r="P17" s="986">
        <f>Card!N566/10^9</f>
        <v>0.35678426000000002</v>
      </c>
      <c r="Q17" s="986">
        <f>Card!O566/10^9</f>
        <v>0.284173175</v>
      </c>
      <c r="R17" s="986">
        <f>Card!P566/10^9</f>
        <v>0.156634251</v>
      </c>
      <c r="S17" s="986">
        <f>Card!Q566/10^9</f>
        <v>0.45189039600000003</v>
      </c>
      <c r="T17" s="986">
        <f>Card!R566/10^9</f>
        <v>2.0728397730000001</v>
      </c>
      <c r="U17" s="986">
        <f>Card!S566/10^9</f>
        <v>1.017750575</v>
      </c>
      <c r="V17" s="986">
        <f>Card!T566/10^9</f>
        <v>1.1685194210000001</v>
      </c>
      <c r="W17" s="986">
        <f>Card!U566/10^9</f>
        <v>1.9754519960000001</v>
      </c>
      <c r="X17" s="986">
        <f>Card!V566/10^9</f>
        <v>1.250874461</v>
      </c>
      <c r="Y17" s="986">
        <f>Card!W566/10^9</f>
        <v>2.457149426</v>
      </c>
      <c r="Z17" s="986">
        <f>Card!X566/10^9</f>
        <v>1.8092691780000001</v>
      </c>
      <c r="AA17" s="1117">
        <f t="shared" si="23"/>
        <v>13.297109724000002</v>
      </c>
      <c r="AB17" s="986">
        <f>Card!M133/10^9</f>
        <v>1.5654023720000001</v>
      </c>
      <c r="AC17" s="986">
        <f>Card!N133/10^9</f>
        <v>1.7381671110000001</v>
      </c>
      <c r="AD17" s="986">
        <f>Card!O133/10^9</f>
        <v>1.2452740419999999</v>
      </c>
      <c r="AE17" s="986">
        <f>Card!P133/10^9</f>
        <v>0.57136561799999996</v>
      </c>
      <c r="AF17" s="986">
        <f>Card!Q133/10^9</f>
        <v>1.935311658</v>
      </c>
      <c r="AG17" s="986">
        <f>Card!R133/10^9</f>
        <v>6.9775294729999997</v>
      </c>
      <c r="AH17" s="986">
        <f>Card!S133/10^9</f>
        <v>5.8519280619999998</v>
      </c>
      <c r="AI17" s="986">
        <f>Card!T133/10^9</f>
        <v>4.4441779009999998</v>
      </c>
      <c r="AJ17" s="986">
        <f>Card!U133/10^9</f>
        <v>5.044025456</v>
      </c>
      <c r="AK17" s="986">
        <f>Card!V133/10^9</f>
        <v>5.2876337900000001</v>
      </c>
      <c r="AL17" s="986">
        <f>Card!W133/10^9</f>
        <v>6.6599319220000002</v>
      </c>
      <c r="AM17" s="986">
        <f>Card!X133/10^9</f>
        <v>7.4971005589999997</v>
      </c>
      <c r="AN17" s="349">
        <f t="shared" si="27"/>
        <v>48.817847963999995</v>
      </c>
      <c r="AO17" s="74"/>
      <c r="AP17" s="1365"/>
    </row>
    <row r="18" spans="1:43" ht="15" customHeight="1">
      <c r="A18" s="1120" t="s">
        <v>462</v>
      </c>
      <c r="B18" s="986">
        <f>Card!M511/10^9</f>
        <v>1.0996843730000001</v>
      </c>
      <c r="C18" s="986">
        <f>Card!N511/10^9</f>
        <v>1.134429586</v>
      </c>
      <c r="D18" s="986">
        <f>Card!O511/10^9</f>
        <v>1.080538598</v>
      </c>
      <c r="E18" s="986">
        <f>Card!P511/10^9</f>
        <v>1.236714544</v>
      </c>
      <c r="F18" s="986">
        <f>Card!Q511/10^9</f>
        <v>1.215987559</v>
      </c>
      <c r="G18" s="986">
        <f>Card!R511/10^9</f>
        <v>1.4895012379999999</v>
      </c>
      <c r="H18" s="986">
        <f>Card!S511/10^9</f>
        <v>1.501617354</v>
      </c>
      <c r="I18" s="986">
        <f>Card!T511/10^9</f>
        <v>1.3416355040000001</v>
      </c>
      <c r="J18" s="986">
        <f>Card!U511/10^9</f>
        <v>1.8783298799999999</v>
      </c>
      <c r="K18" s="986">
        <f>Card!V511/10^9</f>
        <v>1.0999089520000001</v>
      </c>
      <c r="L18" s="986">
        <f>Card!W511/10^9</f>
        <v>3.4905064819999998</v>
      </c>
      <c r="M18" s="986">
        <f>Card!X511/10^9</f>
        <v>0.85794210500000001</v>
      </c>
      <c r="N18" s="1117">
        <f t="shared" si="19"/>
        <v>17.426796175</v>
      </c>
      <c r="O18" s="986">
        <f>Card!M571/10^9</f>
        <v>2.3733885219999999</v>
      </c>
      <c r="P18" s="986">
        <f>Card!N571/10^9</f>
        <v>2.0732545569999998</v>
      </c>
      <c r="Q18" s="986">
        <f>Card!O571/10^9</f>
        <v>2.0900634060000001</v>
      </c>
      <c r="R18" s="986">
        <f>Card!P571/10^9</f>
        <v>7.1878367169999997</v>
      </c>
      <c r="S18" s="986">
        <f>Card!Q571/10^9</f>
        <v>0.59292362799999998</v>
      </c>
      <c r="T18" s="986">
        <f>Card!R571/10^9</f>
        <v>4.0389396939999997</v>
      </c>
      <c r="U18" s="986">
        <f>Card!S571/10^9</f>
        <v>3.9112800380000001</v>
      </c>
      <c r="V18" s="986">
        <f>Card!T571/10^9</f>
        <v>5.2731949800000004</v>
      </c>
      <c r="W18" s="986">
        <f>Card!U571/10^9</f>
        <v>4.6331840350000002</v>
      </c>
      <c r="X18" s="986">
        <f>Card!V571/10^9</f>
        <v>4.731456434</v>
      </c>
      <c r="Y18" s="986">
        <f>Card!W571/10^9</f>
        <v>4.4468417210000002</v>
      </c>
      <c r="Z18" s="986">
        <f>Card!X571/10^9</f>
        <v>3.8288196220000001</v>
      </c>
      <c r="AA18" s="1117">
        <f t="shared" si="23"/>
        <v>45.181183353999998</v>
      </c>
      <c r="AB18" s="986">
        <f>Card!M138/10^9</f>
        <v>3.473072895</v>
      </c>
      <c r="AC18" s="986">
        <f>Card!N138/10^9</f>
        <v>3.2076841429999998</v>
      </c>
      <c r="AD18" s="986">
        <f>Card!O138/10^9</f>
        <v>3.170602004</v>
      </c>
      <c r="AE18" s="986">
        <f>Card!P138/10^9</f>
        <v>8.4245512609999995</v>
      </c>
      <c r="AF18" s="986">
        <f>Card!Q138/10^9</f>
        <v>1.8089111870000001</v>
      </c>
      <c r="AG18" s="986">
        <f>Card!R138/10^9</f>
        <v>5.5284409319999996</v>
      </c>
      <c r="AH18" s="986">
        <f>Card!S138/10^9</f>
        <v>5.4128973919999996</v>
      </c>
      <c r="AI18" s="986">
        <f>Card!T138/10^9</f>
        <v>6.6148304839999996</v>
      </c>
      <c r="AJ18" s="986">
        <f>Card!U138/10^9</f>
        <v>6.5115139150000001</v>
      </c>
      <c r="AK18" s="986">
        <f>Card!V138/10^9</f>
        <v>5.8313653859999999</v>
      </c>
      <c r="AL18" s="986">
        <f>Card!W138/10^9</f>
        <v>7.937348203</v>
      </c>
      <c r="AM18" s="986">
        <f>Card!X138/10^9</f>
        <v>4.6867617270000004</v>
      </c>
      <c r="AN18" s="349">
        <f t="shared" si="27"/>
        <v>62.607979529000005</v>
      </c>
      <c r="AO18" s="74"/>
      <c r="AP18" s="1180"/>
    </row>
    <row r="19" spans="1:43" ht="15" customHeight="1">
      <c r="A19" s="1120" t="s">
        <v>463</v>
      </c>
      <c r="B19" s="986"/>
      <c r="C19" s="986"/>
      <c r="D19" s="986"/>
      <c r="E19" s="986"/>
      <c r="F19" s="986"/>
      <c r="G19" s="986"/>
      <c r="H19" s="986">
        <f>Card!S512/10^9</f>
        <v>1.4052240000000001E-2</v>
      </c>
      <c r="I19" s="986">
        <f>Card!T512/10^9</f>
        <v>1.3258281279999999</v>
      </c>
      <c r="J19" s="986">
        <f>Card!U512/10^9</f>
        <v>1.8271930810000001</v>
      </c>
      <c r="K19" s="986">
        <f>Card!V512/10^9</f>
        <v>1.1611037829999999</v>
      </c>
      <c r="L19" s="986">
        <f>Card!W512/10^9</f>
        <v>0.79201698200000004</v>
      </c>
      <c r="M19" s="986">
        <f>Card!X512/10^9</f>
        <v>1.7858882700000001</v>
      </c>
      <c r="N19" s="1117">
        <f>Card!J512/10^9</f>
        <v>6.9134758080000003</v>
      </c>
      <c r="O19" s="1137">
        <f>Card!M572/10^9</f>
        <v>0</v>
      </c>
      <c r="P19" s="1137">
        <f>Card!N572/10^9</f>
        <v>0</v>
      </c>
      <c r="Q19" s="1137">
        <f>Card!O572/10^9</f>
        <v>0</v>
      </c>
      <c r="R19" s="1137">
        <f>Card!P572/10^9</f>
        <v>0</v>
      </c>
      <c r="S19" s="1137">
        <f>Card!Q572/10^9</f>
        <v>-6.7702279999999997E-3</v>
      </c>
      <c r="T19" s="1137">
        <f>Card!R572/10^9</f>
        <v>-6.2309599999999996E-4</v>
      </c>
      <c r="U19" s="1137">
        <f>Card!S572/10^9</f>
        <v>-3.625793E-3</v>
      </c>
      <c r="V19" s="1137">
        <f>Card!T572/10^9</f>
        <v>3.4428470000000002E-3</v>
      </c>
      <c r="W19" s="1137">
        <f>Card!U572/10^9</f>
        <v>-3.6534990000000002E-3</v>
      </c>
      <c r="X19" s="1137">
        <f>Card!V572/10^9</f>
        <v>7.8707662999999997E-2</v>
      </c>
      <c r="Y19" s="1137">
        <f>Card!W572/10^9</f>
        <v>0.28035323000000001</v>
      </c>
      <c r="Z19" s="1137">
        <f>Card!X572/10^9</f>
        <v>5.8900536000000003E-2</v>
      </c>
      <c r="AA19" s="1117">
        <f>Card!J572/10^9</f>
        <v>0.40673165999999999</v>
      </c>
      <c r="AB19" s="986"/>
      <c r="AC19" s="986"/>
      <c r="AD19" s="986"/>
      <c r="AE19" s="986"/>
      <c r="AF19" s="986"/>
      <c r="AG19" s="986"/>
      <c r="AH19" s="986">
        <f>Card!S139/10^9</f>
        <v>1.0426447E-2</v>
      </c>
      <c r="AI19" s="986">
        <f>Card!T139/10^9</f>
        <v>1.329270975</v>
      </c>
      <c r="AJ19" s="986">
        <f>Card!U139/10^9</f>
        <v>1.823539582</v>
      </c>
      <c r="AK19" s="986">
        <f>Card!V139/10^9</f>
        <v>1.239811446</v>
      </c>
      <c r="AL19" s="986">
        <f>Card!W139/10^9</f>
        <v>1.072370212</v>
      </c>
      <c r="AM19" s="986">
        <f>Card!X139/10^9</f>
        <v>1.8447888059999999</v>
      </c>
      <c r="AN19" s="349">
        <f t="shared" si="27"/>
        <v>7.3202074679999996</v>
      </c>
      <c r="AO19" s="74"/>
      <c r="AP19" s="1180"/>
    </row>
    <row r="20" spans="1:43" ht="15" customHeight="1">
      <c r="A20" s="1120" t="s">
        <v>464</v>
      </c>
      <c r="B20" s="986">
        <f>(SUM(Card!M508:M510)+Card!M514-Card!M513+Card!M515)/10^9</f>
        <v>0.21991728299999999</v>
      </c>
      <c r="C20" s="986">
        <f>(SUM(Card!N508:N510)+Card!N514-Card!N513+Card!N515)/10^9</f>
        <v>0.352460577</v>
      </c>
      <c r="D20" s="986">
        <f>(SUM(Card!O508:O510)+Card!O514-Card!O513+Card!O515)/10^9</f>
        <v>0.42160426299999998</v>
      </c>
      <c r="E20" s="986">
        <f>(SUM(Card!P508:P510)+Card!P514-Card!P513+Card!P515)/10^9</f>
        <v>0.55735828799999998</v>
      </c>
      <c r="F20" s="986">
        <f>(SUM(Card!Q508:Q510)+Card!Q514-Card!Q513+Card!Q515)/10^9</f>
        <v>0.56463954199999999</v>
      </c>
      <c r="G20" s="986">
        <f>(SUM(Card!R508:R510)+Card!R514-Card!R513+Card!R515)/10^9</f>
        <v>0.53266723999999999</v>
      </c>
      <c r="H20" s="986">
        <f>(SUM(Card!S508:S510)+Card!S514-Card!S513+Card!S515)/10^9</f>
        <v>0.25001262600000002</v>
      </c>
      <c r="I20" s="986">
        <f>(SUM(Card!T508:T510)+Card!T514-Card!T513+Card!T515)/10^9</f>
        <v>0.99971774599999996</v>
      </c>
      <c r="J20" s="986">
        <f>(SUM(Card!U508:U510)+Card!U514-Card!U513+Card!U515)/10^9</f>
        <v>3.0836824936941034</v>
      </c>
      <c r="K20" s="986">
        <f>(SUM(Card!V508:V510)+Card!V514-Card!V513+Card!V515)/10^9</f>
        <v>0.94314546200000005</v>
      </c>
      <c r="L20" s="986">
        <f>(SUM(Card!W508:W510)+Card!W514-Card!W513+Card!W515)/10^9</f>
        <v>-7.411305832</v>
      </c>
      <c r="M20" s="986">
        <f>(SUM(Card!X508:X510)+Card!X514-Card!X513+Card!X515)/10^9</f>
        <v>2.6555479185187196</v>
      </c>
      <c r="N20" s="1117">
        <f t="shared" ref="N20:N27" si="44">SUM(B20:M20)</f>
        <v>3.1694476072128235</v>
      </c>
      <c r="O20" s="986">
        <f>SUM(Card!M568:M570)/10^9-Card!M573/10^9+Card!M574/10^9+Card!M575/10^9</f>
        <v>1.0078127280000002</v>
      </c>
      <c r="P20" s="986">
        <f>SUM(Card!N568:N570)/10^9-Card!N573/10^9+Card!N574/10^9+Card!N575/10^9</f>
        <v>-0.32980414000000025</v>
      </c>
      <c r="Q20" s="986">
        <f>SUM(Card!O568:O570)/10^9-Card!O573/10^9+Card!O574/10^9+Card!O575/10^9</f>
        <v>0.48706110300000027</v>
      </c>
      <c r="R20" s="986">
        <f>SUM(Card!P568:P570)/10^9-Card!P573/10^9+Card!P574/10^9+Card!P575/10^9</f>
        <v>-3.8386646009999996</v>
      </c>
      <c r="S20" s="986">
        <f>SUM(Card!Q568:Q570)/10^9-Card!Q573/10^9+Card!Q574/10^9+Card!Q575/10^9</f>
        <v>4.4193886529999995</v>
      </c>
      <c r="T20" s="986">
        <f>SUM(Card!R568:R570)/10^9-Card!R573/10^9+Card!R574/10^9+Card!R575/10^9</f>
        <v>-5.2917724999999471E-2</v>
      </c>
      <c r="U20" s="986">
        <f>SUM(Card!S568:S570)/10^9-Card!S573/10^9+Card!S574/10^9+Card!S575/10^9</f>
        <v>-4.201458734</v>
      </c>
      <c r="V20" s="986">
        <f>SUM(Card!T568:T570)/10^9-Card!T573/10^9+Card!T574/10^9+Card!T575/10^9</f>
        <v>0.71513041799999932</v>
      </c>
      <c r="W20" s="986">
        <f>SUM(Card!U568:U570)/10^9-Card!U573/10^9+Card!U574/10^9+Card!U575/10^9</f>
        <v>2.3784903653058969</v>
      </c>
      <c r="X20" s="986">
        <f>SUM(Card!V568:V570)/10^9-Card!V573/10^9+Card!V574/10^9+Card!V575/10^9</f>
        <v>1.6971630290000004</v>
      </c>
      <c r="Y20" s="986">
        <f>SUM(Card!W568:W570)/10^9-Card!W573/10^9+Card!W574/10^9+Card!W575/10^9</f>
        <v>8.991735512</v>
      </c>
      <c r="Z20" s="986">
        <f>SUM(Card!X568:X570)/10^9-Card!X573/10^9+Card!X574/10^9+Card!X575/10^9</f>
        <v>2.3966011764812802</v>
      </c>
      <c r="AA20" s="1117">
        <f t="shared" ref="AA20:AA27" si="45">SUM(O20:Z20)</f>
        <v>13.670537784787177</v>
      </c>
      <c r="AB20" s="986">
        <f>SUM(Card!M135:M137)/10^9+Card!M141/10^9-Card!M140/10^9</f>
        <v>1.2277300110000002</v>
      </c>
      <c r="AC20" s="986">
        <f>SUM(Card!N135:N137)/10^9+Card!N141/10^9-Card!N140/10^9</f>
        <v>2.2656437000000196E-2</v>
      </c>
      <c r="AD20" s="986">
        <f>SUM(Card!O135:O137)/10^9+Card!O141/10^9-Card!O140/10^9</f>
        <v>0.90866536600000014</v>
      </c>
      <c r="AE20" s="986">
        <f>SUM(Card!P135:P137)/10^9+Card!P141/10^9-Card!P140/10^9</f>
        <v>-3.281306313</v>
      </c>
      <c r="AF20" s="986">
        <f>SUM(Card!Q135:Q137)/10^9+Card!Q141/10^9-Card!Q140/10^9</f>
        <v>4.9840281950000005</v>
      </c>
      <c r="AG20" s="986">
        <f>SUM(Card!R135:R137)/10^9+Card!R141/10^9-Card!R140/10^9</f>
        <v>0.47974951499999996</v>
      </c>
      <c r="AH20" s="986">
        <f>SUM(Card!S135:S137)/10^9+Card!S141/10^9-Card!S140/10^9</f>
        <v>-3.951446107999999</v>
      </c>
      <c r="AI20" s="986">
        <f>SUM(Card!T135:T137)/10^9+Card!T141/10^9-Card!T140/10^9</f>
        <v>1.7148481639999993</v>
      </c>
      <c r="AJ20" s="986">
        <f>SUM(Card!U135:U137)/10^9+Card!U141/10^9-Card!U140/10^9+Card!U142/10^9</f>
        <v>5.4621728589999989</v>
      </c>
      <c r="AK20" s="986">
        <f>SUM(Card!V135:V137)/10^9+Card!V141/10^9-Card!V140/10^9+Card!V142/10^9</f>
        <v>2.6403084910000008</v>
      </c>
      <c r="AL20" s="986">
        <f>SUM(Card!W135:W137)/10^9+Card!W141/10^9-Card!W140/10^9+Card!W142/10^9</f>
        <v>1.5804296799999999</v>
      </c>
      <c r="AM20" s="986">
        <f>SUM(Card!X135:X137)/10^9+Card!X141/10^9-Card!X140/10^9+Card!X142/10^9</f>
        <v>5.0521490949999981</v>
      </c>
      <c r="AN20" s="349">
        <f t="shared" si="27"/>
        <v>16.839985391999999</v>
      </c>
      <c r="AO20" s="74"/>
      <c r="AP20" s="1180"/>
    </row>
    <row r="21" spans="1:43" ht="15" customHeight="1">
      <c r="A21" s="1122" t="s">
        <v>295</v>
      </c>
      <c r="B21" s="349">
        <f t="shared" ref="B21:H21" si="46">SUM(B22:B24)</f>
        <v>3.9948324349806255</v>
      </c>
      <c r="C21" s="349">
        <f t="shared" si="46"/>
        <v>3.6881310042891973</v>
      </c>
      <c r="D21" s="349">
        <f t="shared" si="46"/>
        <v>4.0577702833902638</v>
      </c>
      <c r="E21" s="349">
        <f t="shared" si="46"/>
        <v>3.9516069019997406</v>
      </c>
      <c r="F21" s="349">
        <f t="shared" si="46"/>
        <v>3.6484423342181542</v>
      </c>
      <c r="G21" s="349">
        <f t="shared" si="46"/>
        <v>3.5611238270752423</v>
      </c>
      <c r="H21" s="349">
        <f t="shared" si="46"/>
        <v>3.6542396885501129</v>
      </c>
      <c r="I21" s="349">
        <f>SUM(I22:I24)</f>
        <v>4.2407706749867087</v>
      </c>
      <c r="J21" s="349">
        <f>SUM(J22:J24)</f>
        <v>4.2242583153763098</v>
      </c>
      <c r="K21" s="349">
        <f>SUM(K22:K24)</f>
        <v>4.2351681223281279</v>
      </c>
      <c r="L21" s="349">
        <f>SUM(L22:L24)</f>
        <v>2.0391108048373607</v>
      </c>
      <c r="M21" s="349">
        <f>SUM(M22:M24)</f>
        <v>1.3623176846796548</v>
      </c>
      <c r="N21" s="1117">
        <f t="shared" si="44"/>
        <v>42.657772076711495</v>
      </c>
      <c r="O21" s="349">
        <f t="shared" ref="O21:W21" si="47">SUM(O22:O24)</f>
        <v>0.32099848662888908</v>
      </c>
      <c r="P21" s="349">
        <f t="shared" si="47"/>
        <v>0.29800241330829724</v>
      </c>
      <c r="Q21" s="349">
        <f t="shared" si="47"/>
        <v>0.34354247148571793</v>
      </c>
      <c r="R21" s="349">
        <f t="shared" si="47"/>
        <v>0.34821527985811307</v>
      </c>
      <c r="S21" s="349">
        <f t="shared" si="47"/>
        <v>0.24771012778184584</v>
      </c>
      <c r="T21" s="349">
        <f t="shared" si="47"/>
        <v>0.24668007359142435</v>
      </c>
      <c r="U21" s="349">
        <f t="shared" si="47"/>
        <v>0.29455290278588914</v>
      </c>
      <c r="V21" s="349">
        <f t="shared" si="47"/>
        <v>0.30730726868329838</v>
      </c>
      <c r="W21" s="349">
        <f t="shared" si="47"/>
        <v>0.37164146866302261</v>
      </c>
      <c r="X21" s="349">
        <f>SUM(X22:X24)</f>
        <v>0.26329306279987164</v>
      </c>
      <c r="Y21" s="349">
        <f>SUM(Y22:Y24)</f>
        <v>2.6948338035866417</v>
      </c>
      <c r="Z21" s="349">
        <f>SUM(Z22:Z24)</f>
        <v>0.15757356432034517</v>
      </c>
      <c r="AA21" s="1117">
        <f t="shared" si="45"/>
        <v>5.8943509234933567</v>
      </c>
      <c r="AB21" s="349">
        <f t="shared" ref="AB21:AJ21" si="48">SUM(AB22:AB24)</f>
        <v>4.3158309216095141</v>
      </c>
      <c r="AC21" s="349">
        <f t="shared" si="48"/>
        <v>3.9861334175974945</v>
      </c>
      <c r="AD21" s="349">
        <f t="shared" si="48"/>
        <v>4.4013127548759821</v>
      </c>
      <c r="AE21" s="349">
        <f t="shared" si="48"/>
        <v>4.2998221818578539</v>
      </c>
      <c r="AF21" s="349">
        <f t="shared" si="48"/>
        <v>3.8961524619999999</v>
      </c>
      <c r="AG21" s="349">
        <f t="shared" si="48"/>
        <v>3.8056912126666669</v>
      </c>
      <c r="AH21" s="1136">
        <f t="shared" si="48"/>
        <v>3.9487925913360025</v>
      </c>
      <c r="AI21" s="349">
        <f t="shared" si="48"/>
        <v>4.5480779436700072</v>
      </c>
      <c r="AJ21" s="349">
        <f t="shared" si="48"/>
        <v>4.5958997840393323</v>
      </c>
      <c r="AK21" s="349">
        <f>SUM(AK22:AK24)</f>
        <v>4.498461185127999</v>
      </c>
      <c r="AL21" s="349">
        <f>SUM(AL22:AL24)</f>
        <v>4.733944608424002</v>
      </c>
      <c r="AM21" s="349">
        <f>SUM(AM22:AM24)</f>
        <v>1.5198912490000001</v>
      </c>
      <c r="AN21" s="349">
        <f t="shared" si="27"/>
        <v>48.550010312204854</v>
      </c>
      <c r="AO21" s="74"/>
      <c r="AP21" s="1180"/>
    </row>
    <row r="22" spans="1:43" ht="15" customHeight="1">
      <c r="A22" s="1120" t="s">
        <v>465</v>
      </c>
      <c r="B22" s="986">
        <f>Card!M517/10^9</f>
        <v>0.74748106059821728</v>
      </c>
      <c r="C22" s="986">
        <f>Card!N517/10^9</f>
        <v>0.64119554243500199</v>
      </c>
      <c r="D22" s="986">
        <f>Card!O517/10^9</f>
        <v>0.68584979034406612</v>
      </c>
      <c r="E22" s="986">
        <f>Card!P517/10^9</f>
        <v>0.43191939995773454</v>
      </c>
      <c r="F22" s="986">
        <f>Card!Q517/10^9</f>
        <v>6.8612044983413209E-2</v>
      </c>
      <c r="G22" s="986">
        <f>Card!R517/10^9</f>
        <v>6.862054575419714E-2</v>
      </c>
      <c r="H22" s="986">
        <f>Card!S517/10^9</f>
        <v>6.4540888513943531E-2</v>
      </c>
      <c r="I22" s="986">
        <f>Card!T517/10^9</f>
        <v>0.2986776740769877</v>
      </c>
      <c r="J22" s="986">
        <f>Card!U517/10^9</f>
        <v>0.28453749791930499</v>
      </c>
      <c r="K22" s="986">
        <f>Card!V517/10^9</f>
        <v>0.31196976746855887</v>
      </c>
      <c r="L22" s="986">
        <f>Card!W517/10^9</f>
        <v>7.0952568753864423E-2</v>
      </c>
      <c r="M22" s="986">
        <f>Card!X517/10^9</f>
        <v>0</v>
      </c>
      <c r="N22" s="1117">
        <f t="shared" si="44"/>
        <v>3.6743567808052897</v>
      </c>
      <c r="O22" s="986">
        <f>Card!M577/10^9</f>
        <v>9.1393647011297222E-2</v>
      </c>
      <c r="P22" s="986">
        <f>Card!N577/10^9</f>
        <v>9.1362773162492514E-2</v>
      </c>
      <c r="Q22" s="986">
        <f>Card!O577/10^9</f>
        <v>0.10255924153191615</v>
      </c>
      <c r="R22" s="986">
        <f>Card!P577/10^9</f>
        <v>6.8674370900119186E-2</v>
      </c>
      <c r="S22" s="986">
        <f>Card!Q577/10^9</f>
        <v>1.0374955016586796E-2</v>
      </c>
      <c r="T22" s="986">
        <f>Card!R577/10^9</f>
        <v>1.0366454245802865E-2</v>
      </c>
      <c r="U22" s="986">
        <f>Card!S577/10^9</f>
        <v>1.4446111486056469E-2</v>
      </c>
      <c r="V22" s="986">
        <f>Card!T577/10^9</f>
        <v>4.3599325923012314E-2</v>
      </c>
      <c r="W22" s="986">
        <f>Card!U577/10^9</f>
        <v>5.7739502080695032E-2</v>
      </c>
      <c r="X22" s="986">
        <f>Card!V577/10^9</f>
        <v>3.0307232531441151E-2</v>
      </c>
      <c r="Y22" s="986">
        <f>Card!W577/10^9</f>
        <v>6.7609275266135832E-2</v>
      </c>
      <c r="Z22" s="986">
        <f>Card!X577/10^9</f>
        <v>0</v>
      </c>
      <c r="AA22" s="1117">
        <f t="shared" si="45"/>
        <v>0.58843288915555547</v>
      </c>
      <c r="AB22" s="986">
        <f>Card!M144/10^9</f>
        <v>0.83887470760951444</v>
      </c>
      <c r="AC22" s="986">
        <f>Card!N144/10^9</f>
        <v>0.73255831559749451</v>
      </c>
      <c r="AD22" s="986">
        <f>Card!O144/10^9</f>
        <v>0.78840903187598232</v>
      </c>
      <c r="AE22" s="986">
        <f>Card!P144/10^9</f>
        <v>0.50059377085785373</v>
      </c>
      <c r="AF22" s="986">
        <f>Card!Q144/10^9</f>
        <v>7.8987000000000002E-2</v>
      </c>
      <c r="AG22" s="986">
        <f>Card!R144/10^9</f>
        <v>7.8987000000000002E-2</v>
      </c>
      <c r="AH22" s="986">
        <f>Card!S144/10^9</f>
        <v>7.8987000000000002E-2</v>
      </c>
      <c r="AI22" s="986">
        <f>Card!T144/10^9</f>
        <v>0.342277</v>
      </c>
      <c r="AJ22" s="986">
        <f>Card!U144/10^9</f>
        <v>0.342277</v>
      </c>
      <c r="AK22" s="986">
        <f>Card!V144/10^9</f>
        <v>0.342277</v>
      </c>
      <c r="AL22" s="986">
        <f>Card!W144/10^9</f>
        <v>0.13856184402000024</v>
      </c>
      <c r="AM22" s="986">
        <f>Card!X144/10^9</f>
        <v>0</v>
      </c>
      <c r="AN22" s="349">
        <f t="shared" si="27"/>
        <v>4.2627896699608456</v>
      </c>
      <c r="AO22" s="74"/>
      <c r="AP22" s="1180"/>
    </row>
    <row r="23" spans="1:43" ht="15" customHeight="1">
      <c r="A23" s="1120" t="s">
        <v>466</v>
      </c>
      <c r="B23" s="986">
        <f>Card!M518/10^9</f>
        <v>0.84431246221441369</v>
      </c>
      <c r="C23" s="986">
        <f>Card!N518/10^9</f>
        <v>0.79596079827219646</v>
      </c>
      <c r="D23" s="986">
        <f>Card!O518/10^9</f>
        <v>0.9278044255661958</v>
      </c>
      <c r="E23" s="986">
        <f>Card!P518/10^9</f>
        <v>0.77639724129001531</v>
      </c>
      <c r="F23" s="986">
        <f>Card!Q518/10^9</f>
        <v>0.77006795442874076</v>
      </c>
      <c r="G23" s="986">
        <f>Card!R518/10^9</f>
        <v>0.77718659168904092</v>
      </c>
      <c r="H23" s="986">
        <f>Card!S518/10^9</f>
        <v>0.81949499421416394</v>
      </c>
      <c r="I23" s="986">
        <f>Card!T518/10^9</f>
        <v>0.88921617424771282</v>
      </c>
      <c r="J23" s="986">
        <f>Card!U518/10^9</f>
        <v>0.8588906901010005</v>
      </c>
      <c r="K23" s="986">
        <f>Card!V518/10^9</f>
        <v>0.98521143485956886</v>
      </c>
      <c r="L23" s="986">
        <f>Card!W518/10^9</f>
        <v>0.72804530062549844</v>
      </c>
      <c r="M23" s="986">
        <f>Card!X518/10^9</f>
        <v>1.3623176846796548</v>
      </c>
      <c r="N23" s="1117">
        <f t="shared" si="44"/>
        <v>10.5349057521882</v>
      </c>
      <c r="O23" s="986">
        <f>Card!M578/10^9</f>
        <v>0.10323311078558636</v>
      </c>
      <c r="P23" s="986">
        <f>Card!N578/10^9</f>
        <v>0.11341498972780359</v>
      </c>
      <c r="Q23" s="986">
        <f>Card!O578/10^9</f>
        <v>0.13874017243380415</v>
      </c>
      <c r="R23" s="986">
        <f>Card!P578/10^9</f>
        <v>0.12344569870998466</v>
      </c>
      <c r="S23" s="986">
        <f>Card!Q578/10^9</f>
        <v>0.11644340857125926</v>
      </c>
      <c r="T23" s="986">
        <f>Card!R578/10^9</f>
        <v>0.11740899397762573</v>
      </c>
      <c r="U23" s="986">
        <f>Card!S578/10^9</f>
        <v>0.18342660476583611</v>
      </c>
      <c r="V23" s="986">
        <f>Card!T578/10^9</f>
        <v>0.12980289175228715</v>
      </c>
      <c r="W23" s="986">
        <f>Card!U578/10^9</f>
        <v>0.17428957923233246</v>
      </c>
      <c r="X23" s="986">
        <f>Card!V578/10^9</f>
        <v>9.5711300140431166E-2</v>
      </c>
      <c r="Y23" s="986">
        <f>Card!W578/10^9</f>
        <v>0.69373971937450163</v>
      </c>
      <c r="Z23" s="986">
        <f>Card!X578/10^9</f>
        <v>0.15757356432034517</v>
      </c>
      <c r="AA23" s="1117">
        <f t="shared" si="45"/>
        <v>2.1472300337917973</v>
      </c>
      <c r="AB23" s="986">
        <f>Card!M145/10^9</f>
        <v>0.94754557299999997</v>
      </c>
      <c r="AC23" s="986">
        <f>Card!N145/10^9</f>
        <v>0.90937578799999996</v>
      </c>
      <c r="AD23" s="986">
        <f>Card!O145/10^9</f>
        <v>1.0665445979999999</v>
      </c>
      <c r="AE23" s="986">
        <f>Card!P145/10^9</f>
        <v>0.89984293999999998</v>
      </c>
      <c r="AF23" s="986">
        <f>Card!Q145/10^9</f>
        <v>0.886511363</v>
      </c>
      <c r="AG23" s="986">
        <f>Card!R145/10^9</f>
        <v>0.89459558566666664</v>
      </c>
      <c r="AH23" s="986">
        <f>Card!S145/10^9</f>
        <v>1.00292159898</v>
      </c>
      <c r="AI23" s="986">
        <f>Card!T145/10^9</f>
        <v>1.019019066</v>
      </c>
      <c r="AJ23" s="986">
        <f>Card!U145/10^9</f>
        <v>1.033180269333333</v>
      </c>
      <c r="AK23" s="986">
        <f>Card!V145/10^9</f>
        <v>1.0809227349999999</v>
      </c>
      <c r="AL23" s="986">
        <f>Card!W145/10^9</f>
        <v>1.42178502</v>
      </c>
      <c r="AM23" s="986">
        <f>Card!X145/10^9</f>
        <v>1.5198912490000001</v>
      </c>
      <c r="AN23" s="349">
        <f t="shared" si="27"/>
        <v>12.68213578598</v>
      </c>
      <c r="AO23" s="74"/>
      <c r="AP23" s="1180"/>
    </row>
    <row r="24" spans="1:43" ht="15" customHeight="1">
      <c r="A24" s="1120" t="s">
        <v>467</v>
      </c>
      <c r="B24" s="986">
        <f>Card!M519/10^9</f>
        <v>2.4030389121679945</v>
      </c>
      <c r="C24" s="986">
        <f>Card!N519/10^9</f>
        <v>2.2509746635819989</v>
      </c>
      <c r="D24" s="986">
        <f>Card!O519/10^9</f>
        <v>2.4441160674800022</v>
      </c>
      <c r="E24" s="986">
        <f>Card!P519/10^9</f>
        <v>2.7432902607519907</v>
      </c>
      <c r="F24" s="986">
        <f>Card!Q519/10^9</f>
        <v>2.8097623348060004</v>
      </c>
      <c r="G24" s="986">
        <f>Card!R519/10^9</f>
        <v>2.7153166896320045</v>
      </c>
      <c r="H24" s="986">
        <f>Card!S519/10^9</f>
        <v>2.7702038058220055</v>
      </c>
      <c r="I24" s="986">
        <f>Card!T519/10^9</f>
        <v>3.0528768266620081</v>
      </c>
      <c r="J24" s="986">
        <f>Card!U519/10^9</f>
        <v>3.0808301273560046</v>
      </c>
      <c r="K24" s="986">
        <f>Card!V519/10^9</f>
        <v>2.9379869200000002</v>
      </c>
      <c r="L24" s="986">
        <f>Card!W519/10^9</f>
        <v>1.2401129354579978</v>
      </c>
      <c r="M24" s="986">
        <f>Card!X519/10^9</f>
        <v>0</v>
      </c>
      <c r="N24" s="1117">
        <f t="shared" si="44"/>
        <v>28.448509543718007</v>
      </c>
      <c r="O24" s="986">
        <f>Card!M579/10^9</f>
        <v>0.12637172883200551</v>
      </c>
      <c r="P24" s="986">
        <f>Card!N579/10^9</f>
        <v>9.3224650418001181E-2</v>
      </c>
      <c r="Q24" s="986">
        <f>Card!O579/10^9</f>
        <v>0.1022430575199976</v>
      </c>
      <c r="R24" s="986">
        <f>Card!P579/10^9</f>
        <v>0.15609521024800921</v>
      </c>
      <c r="S24" s="986">
        <f>Card!Q579/10^9</f>
        <v>0.12089176419399977</v>
      </c>
      <c r="T24" s="986">
        <f>Card!R579/10^9</f>
        <v>0.11890462536799574</v>
      </c>
      <c r="U24" s="986">
        <f>Card!S579/10^9</f>
        <v>9.6680186533996584E-2</v>
      </c>
      <c r="V24" s="986">
        <f>Card!T579/10^9</f>
        <v>0.13390505100799893</v>
      </c>
      <c r="W24" s="986">
        <f>Card!U579/10^9</f>
        <v>0.13961238734999515</v>
      </c>
      <c r="X24" s="986">
        <f>Card!V579/10^9</f>
        <v>0.13727453012799931</v>
      </c>
      <c r="Y24" s="986">
        <f>Card!W579/10^9</f>
        <v>1.9334848089460044</v>
      </c>
      <c r="Z24" s="986">
        <f>Card!X579/10^9</f>
        <v>0</v>
      </c>
      <c r="AA24" s="1117">
        <f t="shared" si="45"/>
        <v>3.1586880005460034</v>
      </c>
      <c r="AB24" s="986">
        <f>Card!M146/10^9</f>
        <v>2.5294106410000001</v>
      </c>
      <c r="AC24" s="986">
        <f>Card!N146/10^9</f>
        <v>2.3441993139999999</v>
      </c>
      <c r="AD24" s="986">
        <f>Card!O146/10^9</f>
        <v>2.5463591249999999</v>
      </c>
      <c r="AE24" s="986">
        <f>Card!P146/10^9</f>
        <v>2.899385471</v>
      </c>
      <c r="AF24" s="986">
        <f>Card!Q146/10^9</f>
        <v>2.9306540989999998</v>
      </c>
      <c r="AG24" s="986">
        <f>Card!S146/10^9</f>
        <v>2.8321086270000002</v>
      </c>
      <c r="AH24" s="986">
        <f>AQ4/10^9</f>
        <v>2.8668839923560023</v>
      </c>
      <c r="AI24" s="986">
        <f>AQ5/10^9</f>
        <v>3.1867818776700072</v>
      </c>
      <c r="AJ24" s="986">
        <f>AQ6/10^9</f>
        <v>3.2204425147059998</v>
      </c>
      <c r="AK24" s="986">
        <f>AQ7/10^9</f>
        <v>3.0752614501279991</v>
      </c>
      <c r="AL24" s="986">
        <f>AQ8/10^9</f>
        <v>3.173597744404002</v>
      </c>
      <c r="AM24" s="986">
        <f>AQ9/10^9</f>
        <v>0</v>
      </c>
      <c r="AN24" s="349">
        <f t="shared" si="27"/>
        <v>31.605084856264014</v>
      </c>
      <c r="AO24" s="74"/>
      <c r="AP24" s="1180"/>
    </row>
    <row r="25" spans="1:43" ht="15" customHeight="1">
      <c r="A25" s="1122" t="s">
        <v>89</v>
      </c>
      <c r="B25" s="986">
        <f>Card!M521/10^9</f>
        <v>6.4713660000000001E-3</v>
      </c>
      <c r="C25" s="986">
        <f>Card!N521/10^9</f>
        <v>9.2775072E-2</v>
      </c>
      <c r="D25" s="986">
        <f>Card!O521/10^9</f>
        <v>1.2569077E-2</v>
      </c>
      <c r="E25" s="986">
        <f>Card!P521/10^9</f>
        <v>9.7833615999999998E-2</v>
      </c>
      <c r="F25" s="986">
        <f>Card!Q521/10^9</f>
        <v>9.4387529999999994E-3</v>
      </c>
      <c r="G25" s="986">
        <f>Card!R521/10^9</f>
        <v>0.15054261199999999</v>
      </c>
      <c r="H25" s="986">
        <f>Card!S521/10^9</f>
        <v>1.63447E-4</v>
      </c>
      <c r="I25" s="986">
        <f>Card!T521/10^9</f>
        <v>5.0000000000000002E-5</v>
      </c>
      <c r="J25" s="986">
        <f>Card!U521/10^9</f>
        <v>1.7042887E-2</v>
      </c>
      <c r="K25" s="986">
        <f>Card!V521/10^9</f>
        <v>7.9103148999999998E-2</v>
      </c>
      <c r="L25" s="986">
        <f>Card!W521/10^9</f>
        <v>3.1892410000000002E-3</v>
      </c>
      <c r="M25" s="986">
        <f>Card!X521/10^9</f>
        <v>5.1710000000000005E-4</v>
      </c>
      <c r="N25" s="1117">
        <f t="shared" si="44"/>
        <v>0.46969631999999994</v>
      </c>
      <c r="O25" s="349">
        <f>Card!M581/10^9</f>
        <v>0.28893841599999998</v>
      </c>
      <c r="P25" s="349">
        <f>Card!N581/10^9</f>
        <v>0.31497519800000001</v>
      </c>
      <c r="Q25" s="349">
        <f>Card!O581/10^9</f>
        <v>0.95795140099999998</v>
      </c>
      <c r="R25" s="986">
        <f>Card!P581/10^9</f>
        <v>1.378550186</v>
      </c>
      <c r="S25" s="986">
        <f>Card!Q581/10^9</f>
        <v>3.3378040599999999</v>
      </c>
      <c r="T25" s="986">
        <f>Card!R581/10^9</f>
        <v>0.64501904600000004</v>
      </c>
      <c r="U25" s="986">
        <f>Card!S581/10^9</f>
        <v>0.91505447699999998</v>
      </c>
      <c r="V25" s="986">
        <f>Card!T581/10^9</f>
        <v>1.077169134</v>
      </c>
      <c r="W25" s="986">
        <f>Card!U581/10^9</f>
        <v>1.2434355850000001</v>
      </c>
      <c r="X25" s="986">
        <f>Card!V581/10^9</f>
        <v>1.3028111819999999</v>
      </c>
      <c r="Y25" s="986">
        <f>Card!W581/10^9</f>
        <v>1.068621204</v>
      </c>
      <c r="Z25" s="986">
        <f>Card!X581/10^9</f>
        <v>1.4696439489999999</v>
      </c>
      <c r="AA25" s="1117">
        <f t="shared" si="45"/>
        <v>13.999973837999999</v>
      </c>
      <c r="AB25" s="986">
        <f>Card!M148/10^9</f>
        <v>0.29540978200000001</v>
      </c>
      <c r="AC25" s="986">
        <f>Card!N148/10^9</f>
        <v>0.40775027000000003</v>
      </c>
      <c r="AD25" s="986">
        <f>Card!O148/10^9</f>
        <v>0.97052047799999996</v>
      </c>
      <c r="AE25" s="986">
        <f>Card!P148/10^9</f>
        <v>1.476383802</v>
      </c>
      <c r="AF25" s="986">
        <f>Card!Q148/10^9</f>
        <v>3.3472428129999998</v>
      </c>
      <c r="AG25" s="986">
        <f>Card!R148/10^9</f>
        <v>0.795561658</v>
      </c>
      <c r="AH25" s="986">
        <f>Card!S148/10^9</f>
        <v>0.91521792400000002</v>
      </c>
      <c r="AI25" s="986">
        <f>Card!T148/10^9</f>
        <v>1.0772191339999999</v>
      </c>
      <c r="AJ25" s="986">
        <f>Card!U148/10^9</f>
        <v>1.260478472</v>
      </c>
      <c r="AK25" s="986">
        <f>Card!V148/10^9</f>
        <v>1.3819143309999999</v>
      </c>
      <c r="AL25" s="986">
        <f>Card!W148/10^9</f>
        <v>1.0718104449999999</v>
      </c>
      <c r="AM25" s="986">
        <f>Card!X148/10^9</f>
        <v>1.4701610490000001</v>
      </c>
      <c r="AN25" s="349">
        <f t="shared" si="27"/>
        <v>14.469670158000001</v>
      </c>
      <c r="AO25" s="74"/>
      <c r="AP25" s="1180"/>
    </row>
    <row r="26" spans="1:43" ht="15" customHeight="1">
      <c r="A26" s="1122" t="s">
        <v>468</v>
      </c>
      <c r="B26" s="349">
        <f>Card!M522/10^9</f>
        <v>0.86276229000000004</v>
      </c>
      <c r="C26" s="349">
        <f>Card!N522/10^9</f>
        <v>0.45491116999999998</v>
      </c>
      <c r="D26" s="349">
        <f>Card!O522/10^9</f>
        <v>1.0117830940000001</v>
      </c>
      <c r="E26" s="349">
        <f>Card!P522/10^9</f>
        <v>0.11708961399999999</v>
      </c>
      <c r="F26" s="349">
        <f>Card!Q522/10^9</f>
        <v>0.157065073</v>
      </c>
      <c r="G26" s="349">
        <f>Card!R522/10^9</f>
        <v>1.129312444</v>
      </c>
      <c r="H26" s="349">
        <f>Card!S522/10^9</f>
        <v>1.3513025940000001</v>
      </c>
      <c r="I26" s="349">
        <f>Card!T522/10^9</f>
        <v>1.551340186</v>
      </c>
      <c r="J26" s="349">
        <f>Card!U522/10^9</f>
        <v>1.703557491</v>
      </c>
      <c r="K26" s="349">
        <f>Card!V522/10^9</f>
        <v>0.67638889400000002</v>
      </c>
      <c r="L26" s="349">
        <f>Card!W522/10^9</f>
        <v>2.0370716560000002</v>
      </c>
      <c r="M26" s="349">
        <f>Card!X522/10^9</f>
        <v>2.6607305449999998</v>
      </c>
      <c r="N26" s="1117">
        <f t="shared" si="44"/>
        <v>13.713315051</v>
      </c>
      <c r="O26" s="349">
        <f>Card!M582/10^9</f>
        <v>24.401667533000001</v>
      </c>
      <c r="P26" s="349">
        <f>Card!N582/10^9</f>
        <v>12.609832518999999</v>
      </c>
      <c r="Q26" s="349">
        <f>Card!O582/10^9</f>
        <v>15.538587236</v>
      </c>
      <c r="R26" s="349">
        <f>Card!P582/10^9</f>
        <v>11.065461837000001</v>
      </c>
      <c r="S26" s="349">
        <f>Card!Q582/10^9</f>
        <v>9.2609195530000008</v>
      </c>
      <c r="T26" s="349">
        <f>Card!R582/10^9</f>
        <v>18.921808071000001</v>
      </c>
      <c r="U26" s="349">
        <f>Card!S582/10^9</f>
        <v>11.59925752</v>
      </c>
      <c r="V26" s="349">
        <f>Card!T582/10^9</f>
        <v>25.072919824</v>
      </c>
      <c r="W26" s="349">
        <f>Card!U582/10^9</f>
        <v>23.395229249</v>
      </c>
      <c r="X26" s="349">
        <f>Card!V582/10^9</f>
        <v>21.113034442</v>
      </c>
      <c r="Y26" s="349">
        <f>Card!W582/10^9</f>
        <v>22.789613883000001</v>
      </c>
      <c r="Z26" s="349">
        <f>Card!X582/10^9</f>
        <v>26.501896217999999</v>
      </c>
      <c r="AA26" s="1117">
        <f t="shared" si="45"/>
        <v>222.27022788500005</v>
      </c>
      <c r="AB26" s="349">
        <f>Card!M149/10^9</f>
        <v>25.264429823</v>
      </c>
      <c r="AC26" s="349">
        <f>Card!N149/10^9</f>
        <v>13.064743689</v>
      </c>
      <c r="AD26" s="349">
        <f>Card!O149/10^9</f>
        <v>16.55037033</v>
      </c>
      <c r="AE26" s="349">
        <f>Card!P149/10^9</f>
        <v>11.182551451</v>
      </c>
      <c r="AF26" s="349">
        <f>Card!Q149/10^9</f>
        <v>9.4179846260000009</v>
      </c>
      <c r="AG26" s="349">
        <f>Card!R149/10^9</f>
        <v>20.051120515000001</v>
      </c>
      <c r="AH26" s="349">
        <f>Card!S149/10^9</f>
        <v>12.950560114</v>
      </c>
      <c r="AI26" s="349">
        <f>Card!T149/10^9</f>
        <v>26.62426001</v>
      </c>
      <c r="AJ26" s="349">
        <f>Card!U149/10^9</f>
        <v>25.098786740000001</v>
      </c>
      <c r="AK26" s="349">
        <f>Card!V149/10^9</f>
        <v>21.789423335999999</v>
      </c>
      <c r="AL26" s="349">
        <f>Card!W149/10^9</f>
        <v>24.826685539</v>
      </c>
      <c r="AM26" s="349">
        <f>Card!X149/10^9</f>
        <v>29.162626762999999</v>
      </c>
      <c r="AN26" s="349">
        <f t="shared" si="27"/>
        <v>235.98354293600002</v>
      </c>
      <c r="AO26" s="74"/>
      <c r="AP26" s="1180"/>
    </row>
    <row r="27" spans="1:43" ht="15" customHeight="1" thickBot="1">
      <c r="A27" s="1316" t="s">
        <v>145</v>
      </c>
      <c r="B27" s="1124">
        <f>Card!M523/10^9</f>
        <v>1.3035816462534322</v>
      </c>
      <c r="C27" s="1124">
        <f>Card!N523/10^9</f>
        <v>1.2197083544448335</v>
      </c>
      <c r="D27" s="1124">
        <f>Card!O523/10^9</f>
        <v>1.441444722193393</v>
      </c>
      <c r="E27" s="1124">
        <f>Card!P523/10^9</f>
        <v>1.3342649450800981</v>
      </c>
      <c r="F27" s="1124">
        <f>Card!Q523/10^9</f>
        <v>1.4080164547853848</v>
      </c>
      <c r="G27" s="1124">
        <f>Card!R523/10^9</f>
        <v>1.1109191663357862</v>
      </c>
      <c r="H27" s="1124">
        <f>Card!S523/10^9</f>
        <v>1.221018923259672</v>
      </c>
      <c r="I27" s="1124">
        <f>Card!T523/10^9</f>
        <v>1.4162428581131141</v>
      </c>
      <c r="J27" s="1124">
        <f>Card!U523/10^9</f>
        <v>1.3639432119126296</v>
      </c>
      <c r="K27" s="1124">
        <f>Card!V523/10^9</f>
        <v>1.3496717416886519</v>
      </c>
      <c r="L27" s="1124">
        <f>Card!W523/10^9</f>
        <v>1.6793392680546608</v>
      </c>
      <c r="M27" s="1124">
        <f>Card!X523/10^9</f>
        <v>1.5333444060972605</v>
      </c>
      <c r="N27" s="1123">
        <f t="shared" si="44"/>
        <v>16.381495698218917</v>
      </c>
      <c r="O27" s="1124">
        <f>Card!M583/10^9</f>
        <v>1.3721710785082994</v>
      </c>
      <c r="P27" s="1124">
        <f>Card!N583/10^9</f>
        <v>1.2838846979737033</v>
      </c>
      <c r="Q27" s="1124">
        <f>Card!O583/10^9</f>
        <v>1.5172879771258105</v>
      </c>
      <c r="R27" s="1124">
        <f>Card!P583/10^9</f>
        <v>1.404468814031183</v>
      </c>
      <c r="S27" s="1124">
        <f>Card!Q583/10^9</f>
        <v>1.4821008433749321</v>
      </c>
      <c r="T27" s="1124">
        <f>Card!R583/10^9</f>
        <v>1.1693714428917024</v>
      </c>
      <c r="U27" s="1124">
        <f>Card!S583/10^9</f>
        <v>1.2852642238586254</v>
      </c>
      <c r="V27" s="1124">
        <f>Card!T583/10^9</f>
        <v>1.4907600882783074</v>
      </c>
      <c r="W27" s="1124">
        <f>Card!U583/10^9</f>
        <v>1.4357086366574785</v>
      </c>
      <c r="X27" s="1124">
        <f>Card!V583/10^9</f>
        <v>1.4206862567816827</v>
      </c>
      <c r="Y27" s="1124">
        <f>Card!W583/10^9</f>
        <v>1.767699615325752</v>
      </c>
      <c r="Z27" s="1124">
        <f>Card!X583/10^9</f>
        <v>1.614023067512643</v>
      </c>
      <c r="AA27" s="1123">
        <f t="shared" si="45"/>
        <v>17.243426742320118</v>
      </c>
      <c r="AB27" s="1124">
        <f>Card!M150/10^9</f>
        <v>2.6757527247617316</v>
      </c>
      <c r="AC27" s="1124">
        <f>Card!N150/10^9</f>
        <v>2.503593052418537</v>
      </c>
      <c r="AD27" s="1124">
        <f>Card!O150/10^9</f>
        <v>2.9587326993192034</v>
      </c>
      <c r="AE27" s="1124">
        <f>Card!P150/10^9</f>
        <v>2.7387337591112808</v>
      </c>
      <c r="AF27" s="1124">
        <f>Card!Q150/10^9</f>
        <v>2.8901172981603169</v>
      </c>
      <c r="AG27" s="1124">
        <f>Card!R150/10^9</f>
        <v>2.2802906092274884</v>
      </c>
      <c r="AH27" s="1124">
        <f>Card!S150/10^9</f>
        <v>2.5062831471182974</v>
      </c>
      <c r="AI27" s="1124">
        <f>Card!T150/10^9</f>
        <v>2.907002946391422</v>
      </c>
      <c r="AJ27" s="1124">
        <f>Card!U150/10^9</f>
        <v>2.7996518485701083</v>
      </c>
      <c r="AK27" s="1124">
        <f>Card!V150/10^9</f>
        <v>2.7703579984703346</v>
      </c>
      <c r="AL27" s="1124">
        <f>Card!W150/10^9</f>
        <v>3.4470388833804129</v>
      </c>
      <c r="AM27" s="1124">
        <f>Card!X150/10^9</f>
        <v>3.1473674736099038</v>
      </c>
      <c r="AN27" s="1368">
        <f t="shared" si="27"/>
        <v>33.624922440539031</v>
      </c>
      <c r="AO27" s="74"/>
    </row>
    <row r="28" spans="1:43" ht="15" customHeight="1" thickTop="1">
      <c r="A28" s="549" t="s">
        <v>469</v>
      </c>
      <c r="B28" s="349">
        <f t="shared" ref="B28:G28" si="49">B10-B26-B27</f>
        <v>0.51332721659165315</v>
      </c>
      <c r="C28" s="349">
        <f t="shared" si="49"/>
        <v>1.7815079899762492</v>
      </c>
      <c r="D28" s="349">
        <f t="shared" si="49"/>
        <v>0.31933243947428536</v>
      </c>
      <c r="E28" s="349">
        <f t="shared" si="49"/>
        <v>1.1959687489224338</v>
      </c>
      <c r="F28" s="349">
        <f t="shared" si="49"/>
        <v>3.2836510778575518</v>
      </c>
      <c r="G28" s="349">
        <f t="shared" si="49"/>
        <v>5.7406198207501236</v>
      </c>
      <c r="H28" s="349">
        <f t="shared" ref="H28:I28" si="50">H10-H26-H27</f>
        <v>6.0790448616520987</v>
      </c>
      <c r="I28" s="349">
        <f t="shared" si="50"/>
        <v>5.2109288167980843</v>
      </c>
      <c r="J28" s="349">
        <f t="shared" ref="J28" si="51">J10-J26-J27</f>
        <v>7.8912992449479136</v>
      </c>
      <c r="K28" s="349">
        <f>K10-K26-K27</f>
        <v>4.0804916723769358</v>
      </c>
      <c r="L28" s="349">
        <f>L10-L26-L27</f>
        <v>4.9765437593437438</v>
      </c>
      <c r="M28" s="349">
        <f>M10-M26-M27</f>
        <v>10.231306932892952</v>
      </c>
      <c r="N28" s="349">
        <f>N10-N26-N27</f>
        <v>51.304022581584036</v>
      </c>
      <c r="O28" s="349">
        <f t="shared" ref="O28:T28" si="52">O10-O26-O27</f>
        <v>-13.542299650962903</v>
      </c>
      <c r="P28" s="349">
        <f t="shared" si="52"/>
        <v>-4.0304550389922769</v>
      </c>
      <c r="Q28" s="349">
        <f t="shared" si="52"/>
        <v>-6.2170911938928839</v>
      </c>
      <c r="R28" s="349">
        <f t="shared" si="52"/>
        <v>2.3374871605181995</v>
      </c>
      <c r="S28" s="349">
        <f t="shared" si="52"/>
        <v>7.7426988364436102</v>
      </c>
      <c r="T28" s="349">
        <f t="shared" si="52"/>
        <v>-1.1533309534907343</v>
      </c>
      <c r="U28" s="349">
        <f t="shared" ref="U28" si="53">U10-U26-U27</f>
        <v>-0.47091503178428318</v>
      </c>
      <c r="V28" s="349">
        <f>V10-V26-V27</f>
        <v>-4.2121865886330276</v>
      </c>
      <c r="W28" s="349">
        <f t="shared" ref="W28" si="54">W10-W26-W27</f>
        <v>-0.72308476255735754</v>
      </c>
      <c r="X28" s="349">
        <f>X10-X26-X27</f>
        <v>3.5190976266479046</v>
      </c>
      <c r="Y28" s="349">
        <f>Y10-Y26-Y27</f>
        <v>0.98670460643186919</v>
      </c>
      <c r="Z28" s="349">
        <f>Z10-Z26-Z27</f>
        <v>-3.6923173608858759</v>
      </c>
      <c r="AA28" s="349">
        <f>AA10-AA26-AA27</f>
        <v>-19.455692351157815</v>
      </c>
      <c r="AB28" s="349">
        <f t="shared" ref="AB28:AG28" si="55">AB10-AB26-AB27</f>
        <v>-13.028972434371248</v>
      </c>
      <c r="AC28" s="349">
        <f t="shared" si="55"/>
        <v>-2.2489470490160328</v>
      </c>
      <c r="AD28" s="349">
        <f t="shared" si="55"/>
        <v>-5.8977587544186001</v>
      </c>
      <c r="AE28" s="349">
        <f t="shared" si="55"/>
        <v>3.5334559094406344</v>
      </c>
      <c r="AF28" s="349">
        <f t="shared" si="55"/>
        <v>11.033120142301161</v>
      </c>
      <c r="AG28" s="349">
        <f t="shared" si="55"/>
        <v>4.590024651259391</v>
      </c>
      <c r="AH28" s="349">
        <f t="shared" ref="AH28" si="56">AH10-AH26-AH27</f>
        <v>5.6081298298678171</v>
      </c>
      <c r="AI28" s="349">
        <f t="shared" ref="AI28:AJ28" si="57">AI10-AI26-AI27</f>
        <v>0.99874222816505354</v>
      </c>
      <c r="AJ28" s="349">
        <f t="shared" si="57"/>
        <v>7.1682144823905594</v>
      </c>
      <c r="AK28" s="349">
        <f>AK10-AK26-AK27</f>
        <v>7.5995892990248386</v>
      </c>
      <c r="AL28" s="349">
        <f>AL10-AL26-AL27</f>
        <v>5.9632483657756108</v>
      </c>
      <c r="AM28" s="349">
        <f>AM10-AM26-AM27</f>
        <v>6.5389895720070612</v>
      </c>
      <c r="AN28" s="349">
        <f>AN10-AN26-AN27</f>
        <v>31.857836242426252</v>
      </c>
      <c r="AO28" s="74"/>
      <c r="AP28" s="1180"/>
      <c r="AQ28" s="5"/>
    </row>
    <row r="29" spans="1:43">
      <c r="AO29" s="34"/>
    </row>
    <row r="30" spans="1:43">
      <c r="X30" s="5"/>
      <c r="Y30" s="5"/>
      <c r="Z30" s="5"/>
    </row>
  </sheetData>
  <mergeCells count="3">
    <mergeCell ref="O1:AA1"/>
    <mergeCell ref="AB1:AN1"/>
    <mergeCell ref="B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55D6-7541-4F60-A373-C5FAD84F19A7}">
  <sheetPr>
    <tabColor theme="8" tint="0.59999389629810485"/>
  </sheetPr>
  <dimension ref="B2:AC25"/>
  <sheetViews>
    <sheetView zoomScaleNormal="100" workbookViewId="0">
      <pane xSplit="2" ySplit="2" topLeftCell="C3" activePane="bottomRight" state="frozen"/>
      <selection pane="topRight"/>
      <selection pane="bottomLeft"/>
      <selection pane="bottomRight" activeCell="AA12" sqref="AA12"/>
    </sheetView>
  </sheetViews>
  <sheetFormatPr baseColWidth="10" defaultColWidth="8.83203125" defaultRowHeight="15" outlineLevelCol="1"/>
  <cols>
    <col min="2" max="2" width="17.1640625" customWidth="1"/>
    <col min="3" max="3" width="18.5" bestFit="1" customWidth="1"/>
    <col min="4" max="7" width="8.6640625" hidden="1" customWidth="1" outlineLevel="1"/>
    <col min="8" max="10" width="14.1640625" hidden="1" customWidth="1" outlineLevel="1"/>
    <col min="11" max="11" width="14.83203125" hidden="1" customWidth="1" outlineLevel="1"/>
    <col min="12" max="13" width="14.1640625" hidden="1" customWidth="1" outlineLevel="1"/>
    <col min="14" max="14" width="13.83203125" hidden="1" customWidth="1" outlineLevel="1"/>
    <col min="15" max="15" width="14.83203125" hidden="1" customWidth="1" outlineLevel="1"/>
    <col min="16" max="16" width="14.83203125" bestFit="1" customWidth="1" collapsed="1"/>
    <col min="17" max="17" width="14.83203125" bestFit="1" customWidth="1"/>
    <col min="18" max="18" width="16.1640625" bestFit="1" customWidth="1"/>
    <col min="19" max="19" width="16.1640625" customWidth="1"/>
    <col min="20" max="20" width="14.5" customWidth="1"/>
    <col min="21" max="22" width="16.1640625" bestFit="1" customWidth="1"/>
    <col min="23" max="23" width="18" customWidth="1"/>
    <col min="24" max="24" width="14.83203125" customWidth="1"/>
    <col min="25" max="25" width="16.33203125" customWidth="1"/>
    <col min="26" max="26" width="18.5" customWidth="1"/>
    <col min="27" max="27" width="17.5" customWidth="1"/>
    <col min="28" max="28" width="15.6640625" customWidth="1"/>
  </cols>
  <sheetData>
    <row r="2" spans="2:29">
      <c r="B2" s="82" t="s">
        <v>185</v>
      </c>
      <c r="C2" s="83" t="s">
        <v>75</v>
      </c>
      <c r="D2" s="83">
        <v>45292</v>
      </c>
      <c r="E2" s="83">
        <v>45323</v>
      </c>
      <c r="F2" s="83">
        <v>45352</v>
      </c>
      <c r="G2" s="83">
        <v>45383</v>
      </c>
      <c r="H2" s="83">
        <v>45413</v>
      </c>
      <c r="I2" s="83">
        <v>45444</v>
      </c>
      <c r="J2" s="83">
        <v>45474</v>
      </c>
      <c r="K2" s="83">
        <v>45505</v>
      </c>
      <c r="L2" s="83">
        <v>45536</v>
      </c>
      <c r="M2" s="83">
        <v>45566</v>
      </c>
      <c r="N2" s="83">
        <v>45597</v>
      </c>
      <c r="O2" s="83">
        <v>45627</v>
      </c>
      <c r="P2" s="83" t="s">
        <v>76</v>
      </c>
      <c r="Q2" s="83">
        <v>45658</v>
      </c>
      <c r="R2" s="83">
        <v>45689</v>
      </c>
      <c r="S2" s="83">
        <v>45717</v>
      </c>
      <c r="T2" s="83">
        <v>45748</v>
      </c>
      <c r="U2" s="83">
        <v>45778</v>
      </c>
      <c r="V2" s="83">
        <v>45809</v>
      </c>
      <c r="W2" s="83">
        <v>45839</v>
      </c>
      <c r="X2" s="83">
        <v>45870</v>
      </c>
      <c r="Y2" s="83">
        <v>45901</v>
      </c>
      <c r="Z2" s="83">
        <v>45931</v>
      </c>
      <c r="AA2" s="83">
        <v>45962</v>
      </c>
      <c r="AB2" s="83">
        <v>45992</v>
      </c>
    </row>
    <row r="3" spans="2:29">
      <c r="P3">
        <f>SUM(Q3:AB3)</f>
        <v>0</v>
      </c>
    </row>
    <row r="4" spans="2:29">
      <c r="B4" s="4" t="s">
        <v>215</v>
      </c>
      <c r="C4" s="47">
        <f>SUM(D4:O4)</f>
        <v>37303072000</v>
      </c>
      <c r="D4" s="47">
        <f t="shared" ref="D4:N4" si="0">SUM(D5:D7)</f>
        <v>0</v>
      </c>
      <c r="E4" s="47">
        <f t="shared" si="0"/>
        <v>0</v>
      </c>
      <c r="F4" s="47">
        <f t="shared" si="0"/>
        <v>0</v>
      </c>
      <c r="G4" s="47">
        <f t="shared" si="0"/>
        <v>0</v>
      </c>
      <c r="H4" s="47">
        <f t="shared" si="0"/>
        <v>0</v>
      </c>
      <c r="I4" s="47">
        <f t="shared" si="0"/>
        <v>0</v>
      </c>
      <c r="J4" s="47">
        <f t="shared" si="0"/>
        <v>0</v>
      </c>
      <c r="K4" s="47">
        <f t="shared" si="0"/>
        <v>18720000000</v>
      </c>
      <c r="L4" s="47">
        <f t="shared" si="0"/>
        <v>0</v>
      </c>
      <c r="M4" s="47">
        <f t="shared" si="0"/>
        <v>0</v>
      </c>
      <c r="N4" s="47">
        <f t="shared" si="0"/>
        <v>2060000000</v>
      </c>
      <c r="O4" s="47">
        <f>SUM(O5:O7)</f>
        <v>16523072000</v>
      </c>
      <c r="P4" s="47">
        <f>SUM(P5:P7)</f>
        <v>40295403000</v>
      </c>
      <c r="Q4" s="47">
        <f t="shared" ref="Q4:AB4" si="1">SUM(Q5:Q7)</f>
        <v>420000000</v>
      </c>
      <c r="R4" s="47">
        <f t="shared" si="1"/>
        <v>420000000</v>
      </c>
      <c r="S4" s="47">
        <f>SUM(S5:S7)</f>
        <v>420000000</v>
      </c>
      <c r="T4" s="47">
        <f t="shared" si="1"/>
        <v>420000000</v>
      </c>
      <c r="U4" s="47">
        <f t="shared" si="1"/>
        <v>1337748000</v>
      </c>
      <c r="V4" s="47">
        <f t="shared" si="1"/>
        <v>420000000</v>
      </c>
      <c r="W4" s="47">
        <f t="shared" si="1"/>
        <v>430000000</v>
      </c>
      <c r="X4" s="47">
        <f t="shared" si="1"/>
        <v>430000000</v>
      </c>
      <c r="Y4" s="47">
        <f t="shared" si="1"/>
        <v>430000000</v>
      </c>
      <c r="Z4" s="47">
        <f t="shared" si="1"/>
        <v>20320000000</v>
      </c>
      <c r="AA4" s="47">
        <f t="shared" si="1"/>
        <v>440000000</v>
      </c>
      <c r="AB4" s="47">
        <f t="shared" si="1"/>
        <v>14807655000</v>
      </c>
      <c r="AC4" s="47"/>
    </row>
    <row r="5" spans="2:29">
      <c r="B5" s="324" t="s">
        <v>470</v>
      </c>
      <c r="C5" s="563">
        <f t="shared" ref="C5:C11" si="2">SUM(D5:O5)</f>
        <v>2800000000</v>
      </c>
      <c r="D5" s="7"/>
      <c r="E5" s="7"/>
      <c r="F5" s="7"/>
      <c r="G5" s="7"/>
      <c r="H5" s="7"/>
      <c r="I5" s="7"/>
      <c r="J5" s="7"/>
      <c r="K5" s="7"/>
      <c r="L5" s="7"/>
      <c r="M5" s="7"/>
      <c r="N5" s="7">
        <v>400000000</v>
      </c>
      <c r="O5" s="7">
        <v>2400000000</v>
      </c>
      <c r="P5" s="7">
        <f t="shared" ref="P5:P8" si="3">SUM(Q5:AB5)</f>
        <v>5650000000</v>
      </c>
      <c r="Q5" s="7">
        <v>400000000</v>
      </c>
      <c r="R5" s="7">
        <v>400000000</v>
      </c>
      <c r="S5" s="7">
        <v>400000000</v>
      </c>
      <c r="T5" s="7">
        <v>400000000</v>
      </c>
      <c r="U5" s="7">
        <v>400000000</v>
      </c>
      <c r="V5" s="7">
        <v>400000000</v>
      </c>
      <c r="W5" s="7">
        <v>400000000</v>
      </c>
      <c r="X5" s="7">
        <v>400000000</v>
      </c>
      <c r="Y5">
        <v>400000000</v>
      </c>
      <c r="Z5" s="7">
        <v>400000000</v>
      </c>
      <c r="AA5" s="7">
        <v>400000000</v>
      </c>
      <c r="AB5" s="7">
        <v>1250000000</v>
      </c>
    </row>
    <row r="6" spans="2:29">
      <c r="B6" s="324" t="s">
        <v>52</v>
      </c>
      <c r="C6" s="563">
        <f t="shared" si="2"/>
        <v>21972500000</v>
      </c>
      <c r="D6" s="7"/>
      <c r="E6" s="7"/>
      <c r="F6" s="7"/>
      <c r="G6" s="7"/>
      <c r="H6" s="7"/>
      <c r="I6" s="7"/>
      <c r="J6" s="7"/>
      <c r="K6" s="7">
        <v>18720000000</v>
      </c>
      <c r="L6" s="7"/>
      <c r="M6" s="7"/>
      <c r="N6" s="7">
        <v>1660000000</v>
      </c>
      <c r="O6" s="7">
        <f>1407500000+185000000</f>
        <v>1592500000</v>
      </c>
      <c r="P6" s="7">
        <f t="shared" si="3"/>
        <v>23595248000</v>
      </c>
      <c r="Q6" s="7">
        <v>20000000</v>
      </c>
      <c r="R6" s="7">
        <v>20000000</v>
      </c>
      <c r="S6" s="7">
        <v>20000000</v>
      </c>
      <c r="T6" s="7">
        <v>20000000</v>
      </c>
      <c r="U6" s="7">
        <f>20000000+917748000</f>
        <v>937748000</v>
      </c>
      <c r="V6" s="7">
        <v>20000000</v>
      </c>
      <c r="W6" s="7">
        <v>30000000</v>
      </c>
      <c r="X6" s="7">
        <v>30000000</v>
      </c>
      <c r="Y6">
        <v>30000000</v>
      </c>
      <c r="Z6" s="7">
        <f>30000000+19890000000</f>
        <v>19920000000</v>
      </c>
      <c r="AA6" s="7">
        <v>40000000</v>
      </c>
      <c r="AB6" s="7">
        <v>2507500000</v>
      </c>
    </row>
    <row r="7" spans="2:29">
      <c r="B7" s="324" t="s">
        <v>471</v>
      </c>
      <c r="C7" s="563">
        <f t="shared" si="2"/>
        <v>12530572000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>
        <v>12530572000</v>
      </c>
      <c r="P7" s="7">
        <f t="shared" si="3"/>
        <v>11050155000</v>
      </c>
      <c r="Q7" s="7"/>
      <c r="Z7" s="7"/>
      <c r="AB7" s="7">
        <v>11050155000</v>
      </c>
    </row>
    <row r="8" spans="2:29">
      <c r="B8" s="4" t="s">
        <v>472</v>
      </c>
      <c r="C8" s="564">
        <f>SUM(D8:O8)</f>
        <v>195147250</v>
      </c>
      <c r="D8" s="47"/>
      <c r="E8" s="47"/>
      <c r="F8" s="47"/>
      <c r="G8" s="47"/>
      <c r="H8" s="47"/>
      <c r="I8" s="47">
        <v>143892250</v>
      </c>
      <c r="J8" s="47">
        <v>44812000</v>
      </c>
      <c r="K8" s="47">
        <v>3667750</v>
      </c>
      <c r="L8" s="47"/>
      <c r="M8" s="47"/>
      <c r="N8" s="47">
        <v>2775250</v>
      </c>
      <c r="O8" s="47"/>
      <c r="P8" s="7">
        <f t="shared" si="3"/>
        <v>0</v>
      </c>
      <c r="Q8" s="7"/>
      <c r="Z8" s="7"/>
    </row>
    <row r="9" spans="2:29">
      <c r="B9" s="4" t="s">
        <v>217</v>
      </c>
      <c r="C9" s="81">
        <f>C4-C8</f>
        <v>37107924750</v>
      </c>
      <c r="D9" s="81">
        <f t="shared" ref="D9:AB9" si="4">D4-D8</f>
        <v>0</v>
      </c>
      <c r="E9" s="81">
        <f t="shared" si="4"/>
        <v>0</v>
      </c>
      <c r="F9" s="81">
        <f t="shared" si="4"/>
        <v>0</v>
      </c>
      <c r="G9" s="81">
        <f t="shared" si="4"/>
        <v>0</v>
      </c>
      <c r="H9" s="81">
        <f t="shared" si="4"/>
        <v>0</v>
      </c>
      <c r="I9" s="81">
        <f t="shared" si="4"/>
        <v>-143892250</v>
      </c>
      <c r="J9" s="81">
        <f t="shared" si="4"/>
        <v>-44812000</v>
      </c>
      <c r="K9" s="81">
        <f t="shared" si="4"/>
        <v>18716332250</v>
      </c>
      <c r="L9" s="81">
        <f t="shared" si="4"/>
        <v>0</v>
      </c>
      <c r="M9" s="81">
        <f t="shared" si="4"/>
        <v>0</v>
      </c>
      <c r="N9" s="81">
        <f t="shared" si="4"/>
        <v>2057224750</v>
      </c>
      <c r="O9" s="81">
        <f t="shared" si="4"/>
        <v>16523072000</v>
      </c>
      <c r="P9" s="47">
        <f t="shared" si="4"/>
        <v>40295403000</v>
      </c>
      <c r="Q9" s="47">
        <f>Q4-Q8</f>
        <v>420000000</v>
      </c>
      <c r="R9" s="81">
        <f t="shared" si="4"/>
        <v>420000000</v>
      </c>
      <c r="S9" s="81">
        <f t="shared" si="4"/>
        <v>420000000</v>
      </c>
      <c r="T9" s="81">
        <f t="shared" si="4"/>
        <v>420000000</v>
      </c>
      <c r="U9" s="81">
        <f t="shared" si="4"/>
        <v>1337748000</v>
      </c>
      <c r="V9" s="81">
        <f t="shared" si="4"/>
        <v>420000000</v>
      </c>
      <c r="W9" s="81">
        <f t="shared" si="4"/>
        <v>430000000</v>
      </c>
      <c r="X9" s="81">
        <f t="shared" si="4"/>
        <v>430000000</v>
      </c>
      <c r="Y9" s="81">
        <f t="shared" si="4"/>
        <v>430000000</v>
      </c>
      <c r="Z9" s="47">
        <f t="shared" si="4"/>
        <v>20320000000</v>
      </c>
      <c r="AA9" s="81">
        <f t="shared" si="4"/>
        <v>440000000</v>
      </c>
      <c r="AB9" s="81">
        <f t="shared" si="4"/>
        <v>14807655000</v>
      </c>
    </row>
    <row r="10" spans="2:29">
      <c r="B10" s="4" t="s">
        <v>145</v>
      </c>
      <c r="C10" s="47">
        <f>SUM(D10:O10)</f>
        <v>11364016785</v>
      </c>
      <c r="D10" s="7">
        <f t="shared" ref="D10:O10" si="5">SUM(D11:D11)</f>
        <v>0</v>
      </c>
      <c r="E10" s="7">
        <f t="shared" si="5"/>
        <v>0</v>
      </c>
      <c r="F10" s="7">
        <f t="shared" si="5"/>
        <v>0</v>
      </c>
      <c r="G10" s="7">
        <f t="shared" si="5"/>
        <v>0</v>
      </c>
      <c r="H10" s="7">
        <f t="shared" si="5"/>
        <v>1054698077</v>
      </c>
      <c r="I10" s="7">
        <f t="shared" si="5"/>
        <v>1050731598</v>
      </c>
      <c r="J10" s="7">
        <f t="shared" si="5"/>
        <v>1074587425</v>
      </c>
      <c r="K10" s="7">
        <f t="shared" si="5"/>
        <v>1434526591</v>
      </c>
      <c r="L10" s="7">
        <f t="shared" si="5"/>
        <v>1364513398</v>
      </c>
      <c r="M10" s="7">
        <f t="shared" si="5"/>
        <v>2103988373</v>
      </c>
      <c r="N10" s="7">
        <f t="shared" si="5"/>
        <v>1638726168</v>
      </c>
      <c r="O10" s="7">
        <f t="shared" si="5"/>
        <v>1642245155</v>
      </c>
      <c r="P10" s="47">
        <f>SUM(Q10:AB10)</f>
        <v>19229345215.153004</v>
      </c>
      <c r="Q10" s="47">
        <f t="shared" ref="Q10:AA10" si="6">Q11</f>
        <v>1353613061.25</v>
      </c>
      <c r="R10" s="47">
        <f t="shared" si="6"/>
        <v>1300660594.836452</v>
      </c>
      <c r="S10" s="47">
        <f t="shared" si="6"/>
        <v>1406677060.72</v>
      </c>
      <c r="T10" s="47">
        <f t="shared" si="6"/>
        <v>1365823622.6599998</v>
      </c>
      <c r="U10" s="47">
        <f t="shared" si="6"/>
        <v>1444695044.9000001</v>
      </c>
      <c r="V10" s="47">
        <f t="shared" si="6"/>
        <v>1630495630.0572228</v>
      </c>
      <c r="W10" s="47">
        <f t="shared" si="6"/>
        <v>1635233228.1863637</v>
      </c>
      <c r="X10" s="47">
        <f t="shared" si="6"/>
        <v>1899768758.9836404</v>
      </c>
      <c r="Y10" s="47">
        <f t="shared" si="6"/>
        <v>1747596361.4557037</v>
      </c>
      <c r="Z10" s="47">
        <f t="shared" si="6"/>
        <v>1768994820.0071428</v>
      </c>
      <c r="AA10" s="47">
        <f t="shared" si="6"/>
        <v>1802019371.1799803</v>
      </c>
      <c r="AB10" s="47">
        <f>AB11</f>
        <v>1873767660.9165006</v>
      </c>
    </row>
    <row r="11" spans="2:29">
      <c r="B11" s="324" t="s">
        <v>473</v>
      </c>
      <c r="C11" s="563">
        <f t="shared" si="2"/>
        <v>11364016785</v>
      </c>
      <c r="D11" s="7"/>
      <c r="E11" s="7"/>
      <c r="F11" s="7"/>
      <c r="G11" s="7"/>
      <c r="H11" s="7">
        <v>1054698077</v>
      </c>
      <c r="I11" s="7">
        <v>1050731598</v>
      </c>
      <c r="J11" s="7">
        <v>1074587425</v>
      </c>
      <c r="K11" s="7">
        <v>1434526591</v>
      </c>
      <c r="L11" s="7">
        <v>1364513398</v>
      </c>
      <c r="M11" s="7">
        <v>2103988373</v>
      </c>
      <c r="N11" s="7">
        <v>1638726168</v>
      </c>
      <c r="O11" s="7">
        <v>1642245155</v>
      </c>
      <c r="P11" s="7">
        <f t="shared" ref="P11" si="7">SUM(Q11:AB11)</f>
        <v>19229345215.153004</v>
      </c>
      <c r="Q11" s="7">
        <v>1353613061.25</v>
      </c>
      <c r="R11" s="7">
        <v>1300660594.836452</v>
      </c>
      <c r="S11" s="7">
        <v>1406677060.72</v>
      </c>
      <c r="T11" s="7">
        <v>1365823622.6599998</v>
      </c>
      <c r="U11" s="7">
        <v>1444695044.9000001</v>
      </c>
      <c r="V11" s="7">
        <v>1630495630.0572228</v>
      </c>
      <c r="W11" s="7">
        <v>1635233228.1863637</v>
      </c>
      <c r="X11" s="7">
        <v>1899768758.9836404</v>
      </c>
      <c r="Y11">
        <v>1747596361.4557037</v>
      </c>
      <c r="Z11" s="7">
        <v>1768994820.0071428</v>
      </c>
      <c r="AA11">
        <v>1802019371.1799803</v>
      </c>
      <c r="AB11" s="7">
        <v>1873767660.9165006</v>
      </c>
    </row>
    <row r="12" spans="2:29">
      <c r="B12" s="4" t="s">
        <v>474</v>
      </c>
      <c r="C12" s="47">
        <f>SUM(D12:O12)</f>
        <v>25743907965</v>
      </c>
      <c r="D12" s="7">
        <f>D9-D10</f>
        <v>0</v>
      </c>
      <c r="E12" s="7">
        <f t="shared" ref="E12:O12" si="8">E9-E10</f>
        <v>0</v>
      </c>
      <c r="F12" s="7">
        <f t="shared" si="8"/>
        <v>0</v>
      </c>
      <c r="G12" s="7">
        <f t="shared" si="8"/>
        <v>0</v>
      </c>
      <c r="H12" s="7">
        <f t="shared" si="8"/>
        <v>-1054698077</v>
      </c>
      <c r="I12" s="7">
        <f t="shared" si="8"/>
        <v>-1194623848</v>
      </c>
      <c r="J12" s="7">
        <f t="shared" si="8"/>
        <v>-1119399425</v>
      </c>
      <c r="K12" s="7">
        <f t="shared" si="8"/>
        <v>17281805659</v>
      </c>
      <c r="L12" s="7">
        <f t="shared" si="8"/>
        <v>-1364513398</v>
      </c>
      <c r="M12" s="7">
        <f t="shared" si="8"/>
        <v>-2103988373</v>
      </c>
      <c r="N12" s="7">
        <f t="shared" si="8"/>
        <v>418498582</v>
      </c>
      <c r="O12" s="7">
        <f t="shared" si="8"/>
        <v>14880826845</v>
      </c>
      <c r="P12" s="47">
        <f>SUM(Q12:AB12)</f>
        <v>21066057784.846996</v>
      </c>
      <c r="Q12" s="47">
        <f t="shared" ref="Q12:AA12" si="9">Q9-Q10</f>
        <v>-933613061.25</v>
      </c>
      <c r="R12" s="47">
        <f t="shared" si="9"/>
        <v>-880660594.83645201</v>
      </c>
      <c r="S12" s="47">
        <f t="shared" si="9"/>
        <v>-986677060.72000003</v>
      </c>
      <c r="T12" s="47">
        <f t="shared" si="9"/>
        <v>-945823622.65999985</v>
      </c>
      <c r="U12" s="47">
        <f t="shared" si="9"/>
        <v>-106947044.9000001</v>
      </c>
      <c r="V12" s="47">
        <f t="shared" si="9"/>
        <v>-1210495630.0572228</v>
      </c>
      <c r="W12" s="47">
        <f t="shared" si="9"/>
        <v>-1205233228.1863637</v>
      </c>
      <c r="X12" s="47">
        <f t="shared" si="9"/>
        <v>-1469768758.9836404</v>
      </c>
      <c r="Y12" s="47">
        <f t="shared" si="9"/>
        <v>-1317596361.4557037</v>
      </c>
      <c r="Z12" s="47">
        <f t="shared" si="9"/>
        <v>18551005179.992859</v>
      </c>
      <c r="AA12" s="47">
        <f t="shared" si="9"/>
        <v>-1362019371.1799803</v>
      </c>
      <c r="AB12" s="47">
        <f>AB9-AB10</f>
        <v>12933887339.0835</v>
      </c>
    </row>
    <row r="13" spans="2:29"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Z13" s="7"/>
    </row>
    <row r="20" spans="20:26" ht="16">
      <c r="T20" s="1384">
        <v>5</v>
      </c>
      <c r="U20" s="1384" t="s">
        <v>475</v>
      </c>
      <c r="V20" s="1384" t="s">
        <v>476</v>
      </c>
      <c r="W20" s="1384" t="s">
        <v>477</v>
      </c>
      <c r="X20" s="1384" t="s">
        <v>478</v>
      </c>
      <c r="Y20" s="1384">
        <v>1</v>
      </c>
      <c r="Z20" s="1385">
        <v>1159982600</v>
      </c>
    </row>
    <row r="21" spans="20:26" ht="16">
      <c r="T21" s="1384">
        <v>6</v>
      </c>
      <c r="U21" s="1384" t="s">
        <v>479</v>
      </c>
      <c r="V21" s="1384" t="s">
        <v>476</v>
      </c>
      <c r="W21" s="1384" t="s">
        <v>477</v>
      </c>
      <c r="X21" s="1384" t="s">
        <v>478</v>
      </c>
      <c r="Y21" s="1384">
        <v>1</v>
      </c>
      <c r="Z21" s="1385">
        <v>700000000</v>
      </c>
    </row>
    <row r="22" spans="20:26" ht="16">
      <c r="T22" s="1384">
        <v>7</v>
      </c>
      <c r="U22" s="1384" t="s">
        <v>480</v>
      </c>
      <c r="V22" s="1384" t="s">
        <v>476</v>
      </c>
      <c r="W22" s="1384" t="s">
        <v>477</v>
      </c>
      <c r="X22" s="1384" t="s">
        <v>478</v>
      </c>
      <c r="Y22" s="1384">
        <v>1</v>
      </c>
      <c r="Z22" s="1385">
        <v>1087500000</v>
      </c>
    </row>
    <row r="23" spans="20:26" ht="16">
      <c r="T23" s="1384">
        <v>8</v>
      </c>
      <c r="U23" s="1384" t="s">
        <v>481</v>
      </c>
      <c r="V23" s="1384" t="s">
        <v>476</v>
      </c>
      <c r="W23" s="1384" t="s">
        <v>477</v>
      </c>
      <c r="X23" s="1384" t="s">
        <v>478</v>
      </c>
      <c r="Y23" s="1384">
        <v>1</v>
      </c>
      <c r="Z23" s="1385">
        <v>2110000000</v>
      </c>
    </row>
    <row r="24" spans="20:26">
      <c r="Z24" s="34">
        <f>SUM(Z20:Z23)</f>
        <v>5057482600</v>
      </c>
    </row>
    <row r="25" spans="20:26">
      <c r="Z25" s="34">
        <f>Z24+P4</f>
        <v>45352885600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A1D30-8451-4D74-A641-98FA00EB273C}">
  <sheetPr>
    <tabColor theme="8" tint="0.59999389629810485"/>
  </sheetPr>
  <dimension ref="B2:AC31"/>
  <sheetViews>
    <sheetView zoomScale="8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Y30" sqref="Y30"/>
    </sheetView>
  </sheetViews>
  <sheetFormatPr baseColWidth="10" defaultColWidth="8.83203125" defaultRowHeight="15" outlineLevelCol="1"/>
  <cols>
    <col min="2" max="2" width="19.6640625" customWidth="1"/>
    <col min="3" max="3" width="14.83203125" customWidth="1" outlineLevel="1"/>
    <col min="4" max="4" width="16.1640625" customWidth="1" outlineLevel="1"/>
    <col min="5" max="6" width="14.5" customWidth="1" outlineLevel="1"/>
    <col min="7" max="7" width="14.33203125" customWidth="1" outlineLevel="1"/>
    <col min="8" max="8" width="15.6640625" customWidth="1" outlineLevel="1"/>
    <col min="9" max="9" width="14.5" customWidth="1" outlineLevel="1"/>
    <col min="10" max="10" width="18.33203125" customWidth="1" outlineLevel="1"/>
    <col min="11" max="11" width="17.1640625" customWidth="1" outlineLevel="1"/>
    <col min="12" max="12" width="14.83203125" customWidth="1" outlineLevel="1"/>
    <col min="13" max="13" width="16.1640625" customWidth="1" outlineLevel="1"/>
    <col min="14" max="14" width="16.83203125" customWidth="1" outlineLevel="1"/>
    <col min="15" max="15" width="20.33203125" customWidth="1" outlineLevel="1"/>
    <col min="16" max="17" width="17.1640625" bestFit="1" customWidth="1"/>
    <col min="18" max="18" width="14.5" bestFit="1" customWidth="1"/>
    <col min="19" max="19" width="14.83203125" customWidth="1"/>
    <col min="20" max="20" width="13.5" customWidth="1"/>
    <col min="21" max="21" width="15.83203125" bestFit="1" customWidth="1"/>
    <col min="22" max="22" width="14.83203125" bestFit="1" customWidth="1"/>
    <col min="23" max="23" width="16.33203125" customWidth="1"/>
    <col min="24" max="24" width="14.83203125" bestFit="1" customWidth="1"/>
    <col min="25" max="25" width="19.5" customWidth="1"/>
    <col min="26" max="26" width="16.33203125" customWidth="1"/>
    <col min="27" max="27" width="18.1640625" customWidth="1"/>
    <col min="28" max="28" width="16.5" customWidth="1"/>
    <col min="29" max="29" width="16.83203125" customWidth="1"/>
  </cols>
  <sheetData>
    <row r="2" spans="2:29">
      <c r="B2" s="82" t="s">
        <v>185</v>
      </c>
      <c r="C2" s="83" t="s">
        <v>75</v>
      </c>
      <c r="D2" s="83">
        <v>45292</v>
      </c>
      <c r="E2" s="83">
        <v>45323</v>
      </c>
      <c r="F2" s="83">
        <v>45352</v>
      </c>
      <c r="G2" s="83">
        <v>45383</v>
      </c>
      <c r="H2" s="83">
        <v>45413</v>
      </c>
      <c r="I2" s="83">
        <v>45444</v>
      </c>
      <c r="J2" s="83">
        <v>45474</v>
      </c>
      <c r="K2" s="83">
        <v>45505</v>
      </c>
      <c r="L2" s="83">
        <v>45536</v>
      </c>
      <c r="M2" s="83">
        <v>45566</v>
      </c>
      <c r="N2" s="83">
        <v>45597</v>
      </c>
      <c r="O2" s="83">
        <v>45627</v>
      </c>
      <c r="P2" s="83" t="s">
        <v>76</v>
      </c>
      <c r="Q2" s="83">
        <v>45658</v>
      </c>
      <c r="R2" s="83">
        <v>45689</v>
      </c>
      <c r="S2" s="83">
        <v>45717</v>
      </c>
      <c r="T2" s="83">
        <v>45748</v>
      </c>
      <c r="U2" s="83">
        <v>45778</v>
      </c>
      <c r="V2" s="83">
        <v>45809</v>
      </c>
      <c r="W2" s="83">
        <v>45839</v>
      </c>
      <c r="X2" s="83">
        <v>45870</v>
      </c>
      <c r="Y2" s="83">
        <v>45901</v>
      </c>
      <c r="Z2" s="83">
        <v>45931</v>
      </c>
      <c r="AA2" s="83">
        <v>45962</v>
      </c>
      <c r="AB2" s="83">
        <v>45992</v>
      </c>
    </row>
    <row r="3" spans="2:29">
      <c r="B3" s="82" t="s">
        <v>482</v>
      </c>
      <c r="L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2:29">
      <c r="B4" s="4" t="s">
        <v>483</v>
      </c>
      <c r="C4" s="47">
        <f>SUM(D4:O4)</f>
        <v>70770710678</v>
      </c>
      <c r="G4" s="7">
        <v>7247809524</v>
      </c>
      <c r="H4" s="7">
        <v>4339143342</v>
      </c>
      <c r="I4" s="7">
        <v>18489808487</v>
      </c>
      <c r="J4" s="7">
        <v>914653716</v>
      </c>
      <c r="K4" s="7">
        <v>12273431811</v>
      </c>
      <c r="L4" s="7">
        <v>274295301</v>
      </c>
      <c r="M4" s="7">
        <v>4643869355</v>
      </c>
      <c r="N4" s="7">
        <v>7073582637</v>
      </c>
      <c r="O4" s="7">
        <v>15514116505</v>
      </c>
      <c r="P4" s="7">
        <f>SUM(Q4:AB4)</f>
        <v>315726182597</v>
      </c>
      <c r="Q4" s="7">
        <v>19337893513</v>
      </c>
      <c r="R4" s="7">
        <v>10703445448</v>
      </c>
      <c r="S4" s="7">
        <v>8377521187</v>
      </c>
      <c r="T4" s="7">
        <v>8721606130</v>
      </c>
      <c r="U4" s="7">
        <v>122620269250</v>
      </c>
      <c r="V4" s="7">
        <f>10758858479-474271476</f>
        <v>10284587003</v>
      </c>
      <c r="W4" s="7">
        <f>14768255065-888736281</f>
        <v>13879518784</v>
      </c>
      <c r="X4" s="7">
        <v>20972602507</v>
      </c>
      <c r="Y4" s="7">
        <f>11128707182-416388289</f>
        <v>10712318893</v>
      </c>
      <c r="Z4" s="7">
        <v>37114948667</v>
      </c>
      <c r="AA4" s="7">
        <v>11444037913</v>
      </c>
      <c r="AB4" s="7">
        <f>51674565139-10117131837</f>
        <v>41557433302</v>
      </c>
    </row>
    <row r="5" spans="2:29">
      <c r="B5" s="4" t="s">
        <v>484</v>
      </c>
      <c r="C5" s="47">
        <f>SUM(D5:O5)</f>
        <v>2404811416</v>
      </c>
      <c r="D5" s="47"/>
      <c r="E5" s="47"/>
      <c r="F5" s="47"/>
      <c r="G5" s="47">
        <v>152204000</v>
      </c>
      <c r="H5" s="47">
        <v>253911111</v>
      </c>
      <c r="I5" s="47">
        <v>722806224</v>
      </c>
      <c r="J5" s="47">
        <v>8087426</v>
      </c>
      <c r="K5" s="47">
        <v>1596608</v>
      </c>
      <c r="L5" s="47">
        <v>19458359</v>
      </c>
      <c r="M5" s="47">
        <v>213890542</v>
      </c>
      <c r="N5" s="47">
        <v>308324182</v>
      </c>
      <c r="O5" s="47">
        <v>724532964</v>
      </c>
      <c r="P5" s="7">
        <f>SUM(Q5:AB5)</f>
        <v>16307689002</v>
      </c>
      <c r="Q5" s="7">
        <v>49937736</v>
      </c>
      <c r="R5" s="7">
        <v>339982699</v>
      </c>
      <c r="S5" s="7">
        <v>9905866</v>
      </c>
      <c r="T5" s="7">
        <v>497005399</v>
      </c>
      <c r="U5" s="7">
        <f>4208156786-2500000000</f>
        <v>1708156786</v>
      </c>
      <c r="V5" s="7">
        <f>474271476-16955671</f>
        <v>457315805</v>
      </c>
      <c r="W5" s="7">
        <f>888736281+704209959</f>
        <v>1592946240</v>
      </c>
      <c r="X5" s="7">
        <f>633540441-22707300</f>
        <v>610833141</v>
      </c>
      <c r="Y5" s="7">
        <f>416388289-21275534-50000000-27001800</f>
        <v>318110955</v>
      </c>
      <c r="Z5" s="7">
        <f>1814258383-876000000</f>
        <v>938258383</v>
      </c>
      <c r="AA5" s="7">
        <f>298485942-267809009</f>
        <v>30676933</v>
      </c>
      <c r="AB5" s="7">
        <f>29725585259-19584034510-386991690</f>
        <v>9754559059</v>
      </c>
      <c r="AC5" s="7"/>
    </row>
    <row r="6" spans="2:29">
      <c r="B6" s="4" t="s">
        <v>145</v>
      </c>
      <c r="C6" s="47">
        <f t="shared" ref="C6:C12" si="0">SUM(D6:O6)</f>
        <v>4076558738</v>
      </c>
      <c r="D6" s="47">
        <f>SUM(D7:D9)</f>
        <v>0</v>
      </c>
      <c r="E6" s="47">
        <f t="shared" ref="E6" si="1">SUM(E7:E9)</f>
        <v>0</v>
      </c>
      <c r="F6" s="47">
        <f t="shared" ref="F6" si="2">SUM(F7:F9)</f>
        <v>0</v>
      </c>
      <c r="G6" s="47">
        <f>SUM(G7:G11)</f>
        <v>56553144</v>
      </c>
      <c r="H6" s="47">
        <f>SUM(H7:H11)</f>
        <v>302702922</v>
      </c>
      <c r="I6" s="47">
        <f t="shared" ref="I6:O6" si="3">SUM(I7:I11)</f>
        <v>224845773</v>
      </c>
      <c r="J6" s="47">
        <f t="shared" si="3"/>
        <v>463338222</v>
      </c>
      <c r="K6" s="47">
        <f t="shared" si="3"/>
        <v>615704386</v>
      </c>
      <c r="L6" s="47">
        <f t="shared" si="3"/>
        <v>704146419</v>
      </c>
      <c r="M6" s="47">
        <f t="shared" si="3"/>
        <v>569487902</v>
      </c>
      <c r="N6" s="47">
        <f t="shared" si="3"/>
        <v>611855369</v>
      </c>
      <c r="O6" s="47">
        <f t="shared" si="3"/>
        <v>527924601</v>
      </c>
      <c r="P6" s="47">
        <f>SUM(Q6:AB6)</f>
        <v>6337700890.941947</v>
      </c>
      <c r="Q6" s="47">
        <f t="shared" ref="Q6:Y6" si="4">Q7+Q8+Q9+Q10+Q11</f>
        <v>356306816.39999998</v>
      </c>
      <c r="R6" s="47">
        <f t="shared" si="4"/>
        <v>433448266.95725811</v>
      </c>
      <c r="S6" s="47">
        <f t="shared" si="4"/>
        <v>383522761.35000002</v>
      </c>
      <c r="T6" s="47">
        <f t="shared" si="4"/>
        <v>575423476.60000002</v>
      </c>
      <c r="U6" s="47">
        <f t="shared" si="4"/>
        <v>1309082703.5</v>
      </c>
      <c r="V6" s="47">
        <f t="shared" si="4"/>
        <v>451744520.59817672</v>
      </c>
      <c r="W6" s="47">
        <f t="shared" si="4"/>
        <v>388010179.04545456</v>
      </c>
      <c r="X6" s="47">
        <f t="shared" si="4"/>
        <v>497683267.7571429</v>
      </c>
      <c r="Y6" s="47">
        <f t="shared" si="4"/>
        <v>517599297.85809183</v>
      </c>
      <c r="Z6" s="47">
        <v>474959866.95860803</v>
      </c>
      <c r="AA6" s="47">
        <v>474959866.95860803</v>
      </c>
      <c r="AB6" s="47">
        <v>474959866.95860803</v>
      </c>
      <c r="AC6">
        <v>-386991690</v>
      </c>
    </row>
    <row r="7" spans="2:29">
      <c r="B7" s="324" t="s">
        <v>473</v>
      </c>
      <c r="C7" s="7">
        <f t="shared" si="0"/>
        <v>2965929795</v>
      </c>
      <c r="D7" s="7"/>
      <c r="E7" s="7"/>
      <c r="F7" s="7"/>
      <c r="G7" s="7"/>
      <c r="H7" s="7"/>
      <c r="I7" s="7">
        <f>359116955-190161593</f>
        <v>168955362</v>
      </c>
      <c r="J7" s="7">
        <v>385871974</v>
      </c>
      <c r="K7" s="7">
        <v>481259942</v>
      </c>
      <c r="L7" s="7">
        <v>498129722</v>
      </c>
      <c r="M7" s="7">
        <v>470639831</v>
      </c>
      <c r="N7" s="7">
        <v>475042649</v>
      </c>
      <c r="O7" s="7">
        <v>486030315</v>
      </c>
      <c r="P7" s="7">
        <f t="shared" ref="P7:P29" si="5">SUM(Q7:AB7)</f>
        <v>5271934429.5118542</v>
      </c>
      <c r="Q7" s="7">
        <v>329995705.39999998</v>
      </c>
      <c r="R7" s="7">
        <v>327811636.95725811</v>
      </c>
      <c r="S7" s="7">
        <v>360411650.35000002</v>
      </c>
      <c r="T7" s="7">
        <v>346665481.60000002</v>
      </c>
      <c r="U7" s="7">
        <v>763131592.5</v>
      </c>
      <c r="V7" s="7">
        <v>369993284.59817672</v>
      </c>
      <c r="W7" s="7">
        <v>366899068.04545456</v>
      </c>
      <c r="X7" s="7">
        <v>448948998.7571429</v>
      </c>
      <c r="Y7" s="7">
        <v>492992096.85809183</v>
      </c>
      <c r="Z7" s="7">
        <v>474959866.95860803</v>
      </c>
      <c r="AA7" s="7">
        <v>492417712.11530304</v>
      </c>
      <c r="AB7" s="7">
        <v>497707335.37181818</v>
      </c>
    </row>
    <row r="8" spans="2:29">
      <c r="B8" s="324" t="s">
        <v>485</v>
      </c>
      <c r="C8" s="7">
        <f t="shared" si="0"/>
        <v>484278096</v>
      </c>
      <c r="D8" s="7"/>
      <c r="E8" s="7"/>
      <c r="F8" s="7"/>
      <c r="G8" s="7"/>
      <c r="H8" s="7">
        <v>277729186</v>
      </c>
      <c r="J8" s="7">
        <v>35000000</v>
      </c>
      <c r="K8" s="7">
        <v>50000000</v>
      </c>
      <c r="L8" s="7"/>
      <c r="M8" s="7">
        <v>8036021</v>
      </c>
      <c r="N8" s="7">
        <v>108532889</v>
      </c>
      <c r="O8" s="7">
        <v>4980000</v>
      </c>
      <c r="P8" s="7">
        <f t="shared" si="5"/>
        <v>44301852</v>
      </c>
      <c r="Q8" s="7"/>
      <c r="R8" s="7"/>
      <c r="S8" s="7"/>
      <c r="T8" s="7"/>
      <c r="U8" s="7"/>
      <c r="V8" s="7"/>
      <c r="W8" s="7"/>
      <c r="X8" s="7"/>
      <c r="Y8" s="7"/>
      <c r="Z8" s="7">
        <v>44301852</v>
      </c>
      <c r="AA8" s="7"/>
      <c r="AB8" s="7"/>
    </row>
    <row r="9" spans="2:29">
      <c r="B9" s="324" t="s">
        <v>486</v>
      </c>
      <c r="C9" s="7">
        <f t="shared" si="0"/>
        <v>533695311</v>
      </c>
      <c r="D9" s="7"/>
      <c r="E9" s="7"/>
      <c r="F9" s="7"/>
      <c r="G9" s="7"/>
      <c r="H9" s="7">
        <v>938056</v>
      </c>
      <c r="I9" s="7">
        <v>55890411</v>
      </c>
      <c r="J9" s="7">
        <v>33972603</v>
      </c>
      <c r="K9" s="7">
        <v>84444444</v>
      </c>
      <c r="L9" s="7">
        <v>205717636</v>
      </c>
      <c r="M9" s="7">
        <v>90812050</v>
      </c>
      <c r="N9" s="7">
        <f>21111111+5809000</f>
        <v>26920111</v>
      </c>
      <c r="O9" s="7">
        <v>35000000</v>
      </c>
      <c r="P9" s="7">
        <f t="shared" si="5"/>
        <v>575820341</v>
      </c>
      <c r="Q9" s="7">
        <f>21111111+5200000</f>
        <v>26311111</v>
      </c>
      <c r="R9" s="7">
        <f>47000000+21111111</f>
        <v>68111111</v>
      </c>
      <c r="S9" s="7">
        <v>23111111</v>
      </c>
      <c r="T9" s="7">
        <f>207646884+21111111</f>
        <v>228757995</v>
      </c>
      <c r="U9" s="7">
        <v>21111111</v>
      </c>
      <c r="V9" s="7">
        <f>21111111+60640125</f>
        <v>81751236</v>
      </c>
      <c r="W9" s="7">
        <v>21111111</v>
      </c>
      <c r="X9" s="7">
        <v>21111111</v>
      </c>
      <c r="Y9" s="7">
        <v>21111111</v>
      </c>
      <c r="Z9" s="7">
        <v>21111111</v>
      </c>
      <c r="AA9" s="7">
        <v>21111111</v>
      </c>
      <c r="AB9" s="7">
        <v>21111111</v>
      </c>
    </row>
    <row r="10" spans="2:29">
      <c r="B10" s="324" t="s">
        <v>487</v>
      </c>
      <c r="C10" s="7">
        <f>SUM(D10:O10)</f>
        <v>45825000</v>
      </c>
      <c r="D10" s="7"/>
      <c r="E10" s="7"/>
      <c r="F10" s="7"/>
      <c r="G10" s="7">
        <v>45825000</v>
      </c>
      <c r="H10" s="7"/>
      <c r="J10" s="7"/>
      <c r="L10" s="7"/>
      <c r="N10" s="7"/>
      <c r="O10" s="7"/>
      <c r="P10" s="7">
        <f t="shared" si="5"/>
        <v>0</v>
      </c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2:29">
      <c r="B11" s="324" t="s">
        <v>488</v>
      </c>
      <c r="C11" s="7">
        <f>SUM(D11:O11)</f>
        <v>46830536</v>
      </c>
      <c r="D11" s="7"/>
      <c r="E11" s="7"/>
      <c r="F11" s="7"/>
      <c r="G11" s="7">
        <v>10728144</v>
      </c>
      <c r="H11" s="7">
        <v>24035680</v>
      </c>
      <c r="J11" s="7">
        <v>8493645</v>
      </c>
      <c r="L11" s="7">
        <v>299061</v>
      </c>
      <c r="N11" s="7">
        <v>1359720</v>
      </c>
      <c r="O11" s="7">
        <v>1914286</v>
      </c>
      <c r="P11" s="7">
        <f t="shared" si="5"/>
        <v>609129280</v>
      </c>
      <c r="Q11" s="7"/>
      <c r="R11" s="7">
        <v>37525519</v>
      </c>
      <c r="S11" s="7"/>
      <c r="T11" s="7"/>
      <c r="U11" s="7">
        <v>524840000</v>
      </c>
      <c r="V11" s="7"/>
      <c r="W11" s="7"/>
      <c r="X11" s="7">
        <v>27623158</v>
      </c>
      <c r="Y11" s="7">
        <v>3496090</v>
      </c>
      <c r="Z11" s="7">
        <v>15644513</v>
      </c>
      <c r="AA11" s="7"/>
      <c r="AB11" s="7"/>
    </row>
    <row r="12" spans="2:29">
      <c r="B12" s="4" t="s">
        <v>489</v>
      </c>
      <c r="C12" s="47">
        <f t="shared" si="0"/>
        <v>-1671747322</v>
      </c>
      <c r="D12" s="47">
        <f>D5-D6</f>
        <v>0</v>
      </c>
      <c r="E12" s="47">
        <f>E5-E6</f>
        <v>0</v>
      </c>
      <c r="F12" s="47">
        <f>F5-F6</f>
        <v>0</v>
      </c>
      <c r="G12" s="47">
        <f>G5-G6</f>
        <v>95650856</v>
      </c>
      <c r="H12" s="47">
        <f>H5-H6</f>
        <v>-48791811</v>
      </c>
      <c r="I12" s="47">
        <f t="shared" ref="I12:O12" si="6">I5-I6</f>
        <v>497960451</v>
      </c>
      <c r="J12" s="47">
        <f t="shared" si="6"/>
        <v>-455250796</v>
      </c>
      <c r="K12" s="47">
        <f t="shared" si="6"/>
        <v>-614107778</v>
      </c>
      <c r="L12" s="47">
        <f t="shared" si="6"/>
        <v>-684688060</v>
      </c>
      <c r="M12" s="47">
        <f t="shared" si="6"/>
        <v>-355597360</v>
      </c>
      <c r="N12" s="47">
        <f t="shared" si="6"/>
        <v>-303531187</v>
      </c>
      <c r="O12" s="47">
        <f t="shared" si="6"/>
        <v>196608363</v>
      </c>
      <c r="P12" s="47">
        <f>SUM(Q12:AB12)</f>
        <v>9969988111.0580521</v>
      </c>
      <c r="Q12" s="47">
        <f t="shared" ref="Q12:AB12" si="7">Q5-Q6</f>
        <v>-306369080.39999998</v>
      </c>
      <c r="R12" s="47">
        <f t="shared" si="7"/>
        <v>-93465567.957258105</v>
      </c>
      <c r="S12" s="47">
        <f t="shared" si="7"/>
        <v>-373616895.35000002</v>
      </c>
      <c r="T12" s="47">
        <f t="shared" si="7"/>
        <v>-78418077.600000024</v>
      </c>
      <c r="U12" s="47">
        <f t="shared" si="7"/>
        <v>399074082.5</v>
      </c>
      <c r="V12" s="47">
        <f t="shared" si="7"/>
        <v>5571284.4018232822</v>
      </c>
      <c r="W12" s="47">
        <f t="shared" si="7"/>
        <v>1204936060.9545455</v>
      </c>
      <c r="X12" s="47">
        <f t="shared" si="7"/>
        <v>113149873.2428571</v>
      </c>
      <c r="Y12" s="47">
        <f t="shared" si="7"/>
        <v>-199488342.85809183</v>
      </c>
      <c r="Z12" s="47">
        <f t="shared" si="7"/>
        <v>463298516.04139197</v>
      </c>
      <c r="AA12" s="47">
        <f t="shared" si="7"/>
        <v>-444282933.95860803</v>
      </c>
      <c r="AB12" s="47">
        <f t="shared" si="7"/>
        <v>9279599192.0413914</v>
      </c>
    </row>
    <row r="13" spans="2:29" hidden="1">
      <c r="B13" s="82" t="s">
        <v>490</v>
      </c>
      <c r="H13" s="7"/>
      <c r="L13" s="7"/>
      <c r="O13" s="7"/>
      <c r="P13" s="7">
        <f t="shared" si="5"/>
        <v>0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2:29" hidden="1">
      <c r="B14" s="4" t="s">
        <v>215</v>
      </c>
      <c r="C14" s="47">
        <f>SUM(D14:O14)</f>
        <v>152204000</v>
      </c>
      <c r="D14" s="47"/>
      <c r="E14" s="47"/>
      <c r="F14" s="47"/>
      <c r="G14" s="47">
        <v>152204000</v>
      </c>
      <c r="H14" s="47"/>
      <c r="I14" s="47"/>
      <c r="J14" s="47"/>
      <c r="K14" s="47"/>
      <c r="L14" s="47"/>
      <c r="M14" s="47"/>
      <c r="N14" s="47"/>
      <c r="O14" s="47"/>
      <c r="P14" s="7">
        <f t="shared" si="5"/>
        <v>0</v>
      </c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2:29" hidden="1">
      <c r="B15" s="4" t="s">
        <v>145</v>
      </c>
      <c r="C15" s="47">
        <f t="shared" ref="C15:C19" si="8">SUM(D15:O15)</f>
        <v>56553144</v>
      </c>
      <c r="D15" s="47">
        <f>SUM(D16:D18)</f>
        <v>0</v>
      </c>
      <c r="E15" s="47">
        <f t="shared" ref="E15:O15" si="9">SUM(E16:E18)</f>
        <v>0</v>
      </c>
      <c r="F15" s="47">
        <f t="shared" si="9"/>
        <v>0</v>
      </c>
      <c r="G15" s="47">
        <f t="shared" si="9"/>
        <v>56553144</v>
      </c>
      <c r="H15" s="47">
        <f t="shared" si="9"/>
        <v>0</v>
      </c>
      <c r="I15" s="47">
        <f t="shared" si="9"/>
        <v>0</v>
      </c>
      <c r="J15" s="47">
        <f t="shared" si="9"/>
        <v>0</v>
      </c>
      <c r="K15" s="47">
        <f t="shared" si="9"/>
        <v>0</v>
      </c>
      <c r="L15" s="47">
        <f t="shared" si="9"/>
        <v>0</v>
      </c>
      <c r="M15" s="47">
        <f t="shared" si="9"/>
        <v>0</v>
      </c>
      <c r="N15" s="47">
        <f t="shared" si="9"/>
        <v>0</v>
      </c>
      <c r="O15" s="47">
        <f t="shared" si="9"/>
        <v>0</v>
      </c>
      <c r="P15" s="7">
        <f t="shared" si="5"/>
        <v>0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2:29" hidden="1">
      <c r="B16" s="324" t="s">
        <v>473</v>
      </c>
      <c r="C16" s="7">
        <f t="shared" si="8"/>
        <v>45825000</v>
      </c>
      <c r="D16" s="7"/>
      <c r="E16" s="7"/>
      <c r="F16" s="7"/>
      <c r="G16" s="7">
        <v>45825000</v>
      </c>
      <c r="H16" s="7"/>
      <c r="I16" s="7"/>
      <c r="J16" s="7"/>
      <c r="K16" s="7"/>
      <c r="L16" s="7"/>
      <c r="M16" s="7"/>
      <c r="N16" s="7"/>
      <c r="O16" s="7"/>
      <c r="P16" s="7">
        <f t="shared" si="5"/>
        <v>0</v>
      </c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2:28" hidden="1">
      <c r="B17" s="324" t="s">
        <v>485</v>
      </c>
      <c r="C17" s="7">
        <f t="shared" si="8"/>
        <v>10728144</v>
      </c>
      <c r="D17" s="7"/>
      <c r="E17" s="7"/>
      <c r="F17" s="7"/>
      <c r="G17" s="7">
        <v>10728144</v>
      </c>
      <c r="H17" s="7"/>
      <c r="I17" s="7"/>
      <c r="J17" s="7"/>
      <c r="K17" s="7"/>
      <c r="L17" s="7"/>
      <c r="M17" s="7"/>
      <c r="N17" s="7"/>
      <c r="O17" s="7"/>
      <c r="P17" s="7">
        <f t="shared" si="5"/>
        <v>0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2:28" hidden="1">
      <c r="B18" s="324" t="s">
        <v>486</v>
      </c>
      <c r="C18" s="7">
        <f t="shared" si="8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>
        <f t="shared" si="5"/>
        <v>0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2:28" hidden="1">
      <c r="B19" s="4" t="s">
        <v>474</v>
      </c>
      <c r="C19" s="47">
        <f t="shared" si="8"/>
        <v>95650856</v>
      </c>
      <c r="D19" s="47">
        <f t="shared" ref="D19:O19" si="10">D14-D15</f>
        <v>0</v>
      </c>
      <c r="E19" s="47">
        <f t="shared" si="10"/>
        <v>0</v>
      </c>
      <c r="F19" s="47">
        <f t="shared" si="10"/>
        <v>0</v>
      </c>
      <c r="G19" s="47">
        <f t="shared" si="10"/>
        <v>95650856</v>
      </c>
      <c r="H19" s="47">
        <f t="shared" si="10"/>
        <v>0</v>
      </c>
      <c r="I19" s="47">
        <f t="shared" si="10"/>
        <v>0</v>
      </c>
      <c r="J19" s="47">
        <f t="shared" si="10"/>
        <v>0</v>
      </c>
      <c r="K19" s="47">
        <f t="shared" si="10"/>
        <v>0</v>
      </c>
      <c r="L19" s="47">
        <f t="shared" si="10"/>
        <v>0</v>
      </c>
      <c r="M19" s="47">
        <f t="shared" si="10"/>
        <v>0</v>
      </c>
      <c r="N19" s="47">
        <f t="shared" si="10"/>
        <v>0</v>
      </c>
      <c r="O19" s="47">
        <f t="shared" si="10"/>
        <v>0</v>
      </c>
      <c r="P19" s="7">
        <f t="shared" si="5"/>
        <v>0</v>
      </c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2:28" hidden="1">
      <c r="B20" s="82" t="s">
        <v>491</v>
      </c>
      <c r="H20" s="7"/>
      <c r="L20" s="7"/>
      <c r="O20" s="7"/>
      <c r="P20" s="7">
        <f t="shared" si="5"/>
        <v>0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2:28" hidden="1">
      <c r="B21" s="4" t="s">
        <v>215</v>
      </c>
      <c r="C21" s="47">
        <f>SUM(D21:O21)</f>
        <v>253911111</v>
      </c>
      <c r="D21" s="47"/>
      <c r="E21" s="47"/>
      <c r="F21" s="47"/>
      <c r="G21" s="47"/>
      <c r="H21" s="47">
        <v>253911111</v>
      </c>
      <c r="I21" s="4"/>
      <c r="J21" s="4"/>
      <c r="K21" s="4"/>
      <c r="L21" s="47"/>
      <c r="M21" s="4"/>
      <c r="N21" s="4"/>
      <c r="O21" s="47"/>
      <c r="P21" s="7">
        <f t="shared" si="5"/>
        <v>0</v>
      </c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2:28" hidden="1">
      <c r="B22" s="4" t="s">
        <v>145</v>
      </c>
      <c r="C22" s="47">
        <f t="shared" ref="C22:C26" si="11">SUM(D22:O22)</f>
        <v>277729186</v>
      </c>
      <c r="D22" s="47">
        <f>SUM(D23:D25)</f>
        <v>0</v>
      </c>
      <c r="E22" s="47">
        <f t="shared" ref="E22" si="12">SUM(E23:E25)</f>
        <v>0</v>
      </c>
      <c r="F22" s="47">
        <f t="shared" ref="F22" si="13">SUM(F23:F25)</f>
        <v>0</v>
      </c>
      <c r="G22" s="47"/>
      <c r="H22" s="47">
        <f t="shared" ref="H22" si="14">SUM(H23:H25)</f>
        <v>277729186</v>
      </c>
      <c r="I22" s="4"/>
      <c r="J22" s="4"/>
      <c r="K22" s="4"/>
      <c r="L22" s="47"/>
      <c r="M22" s="4"/>
      <c r="N22" s="4"/>
      <c r="O22" s="47"/>
      <c r="P22" s="7">
        <f t="shared" si="5"/>
        <v>0</v>
      </c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2:28" hidden="1">
      <c r="B23" s="324" t="s">
        <v>473</v>
      </c>
      <c r="C23" s="7">
        <f t="shared" si="11"/>
        <v>0</v>
      </c>
      <c r="D23" s="7"/>
      <c r="E23" s="7"/>
      <c r="F23" s="7"/>
      <c r="G23" s="7"/>
      <c r="H23" s="7"/>
      <c r="L23" s="7"/>
      <c r="O23" s="7"/>
      <c r="P23" s="7">
        <f t="shared" si="5"/>
        <v>0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2:28" hidden="1">
      <c r="B24" s="324" t="s">
        <v>485</v>
      </c>
      <c r="C24" s="7">
        <f t="shared" si="11"/>
        <v>277729186</v>
      </c>
      <c r="D24" s="7"/>
      <c r="E24" s="7"/>
      <c r="F24" s="7"/>
      <c r="G24" s="7"/>
      <c r="H24" s="7">
        <v>277729186</v>
      </c>
      <c r="L24" s="7"/>
      <c r="O24" s="7"/>
      <c r="P24" s="7">
        <f t="shared" si="5"/>
        <v>0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2:28" hidden="1">
      <c r="B25" s="324" t="s">
        <v>486</v>
      </c>
      <c r="C25" s="7">
        <f t="shared" si="11"/>
        <v>0</v>
      </c>
      <c r="D25" s="7"/>
      <c r="E25" s="7"/>
      <c r="F25" s="7"/>
      <c r="G25" s="7"/>
      <c r="H25" s="7"/>
      <c r="L25" s="7"/>
      <c r="O25" s="7"/>
      <c r="P25" s="7">
        <f t="shared" si="5"/>
        <v>0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2:28" hidden="1">
      <c r="B26" s="4" t="s">
        <v>474</v>
      </c>
      <c r="C26" s="47">
        <f t="shared" si="11"/>
        <v>-23818075</v>
      </c>
      <c r="D26" s="47">
        <f>D21-D22</f>
        <v>0</v>
      </c>
      <c r="E26" s="47">
        <f>E21-E22</f>
        <v>0</v>
      </c>
      <c r="F26" s="47">
        <f>F21-F22</f>
        <v>0</v>
      </c>
      <c r="G26" s="47"/>
      <c r="H26" s="47">
        <f>H21-H22</f>
        <v>-23818075</v>
      </c>
      <c r="I26" s="4"/>
      <c r="J26" s="4"/>
      <c r="K26" s="4"/>
      <c r="L26" s="47"/>
      <c r="M26" s="4"/>
      <c r="N26" s="4"/>
      <c r="O26" s="47"/>
      <c r="P26" s="7">
        <f t="shared" si="5"/>
        <v>0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2:28">
      <c r="L27" s="7"/>
      <c r="O27" s="7"/>
      <c r="P27" s="7">
        <f t="shared" si="5"/>
        <v>0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2:28">
      <c r="L28" s="7"/>
      <c r="O28" s="7"/>
      <c r="P28" s="7">
        <f t="shared" si="5"/>
        <v>0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2:28">
      <c r="B29" s="4" t="s">
        <v>492</v>
      </c>
      <c r="D29" s="85">
        <f>0.042951221*10^9</f>
        <v>42951221</v>
      </c>
      <c r="E29" s="85">
        <f>30.737917*10^6</f>
        <v>30737917</v>
      </c>
      <c r="F29" s="85">
        <v>42224850</v>
      </c>
      <c r="G29" s="85">
        <v>39244066</v>
      </c>
      <c r="H29" s="85">
        <v>39244067</v>
      </c>
      <c r="I29" s="85"/>
      <c r="J29" s="85">
        <v>1826166419</v>
      </c>
      <c r="K29" s="85">
        <v>16844423638</v>
      </c>
      <c r="L29" s="85">
        <v>82719083</v>
      </c>
      <c r="M29" s="85">
        <v>78830421</v>
      </c>
      <c r="O29" s="7">
        <v>15862884657</v>
      </c>
      <c r="P29" s="7">
        <f t="shared" si="5"/>
        <v>0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1" spans="2:28">
      <c r="F31" s="7"/>
      <c r="G31" s="7"/>
      <c r="H31" s="7"/>
      <c r="I31" s="7"/>
      <c r="J31" s="7"/>
      <c r="K31" s="7"/>
      <c r="L31" s="7"/>
      <c r="M31" s="7"/>
      <c r="N31" s="7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5A80-4031-4B71-908B-6D52BC79D69C}">
  <dimension ref="A1:N47"/>
  <sheetViews>
    <sheetView showGridLines="0" topLeftCell="A14" zoomScale="58" zoomScaleNormal="70" workbookViewId="0">
      <selection activeCell="C1" sqref="C1"/>
    </sheetView>
  </sheetViews>
  <sheetFormatPr baseColWidth="10" defaultColWidth="8.83203125" defaultRowHeight="15"/>
  <cols>
    <col min="2" max="2" width="31.6640625" customWidth="1"/>
    <col min="3" max="3" width="27.5" customWidth="1"/>
    <col min="4" max="4" width="20" customWidth="1"/>
    <col min="5" max="5" width="19.6640625" bestFit="1" customWidth="1"/>
    <col min="6" max="6" width="19.83203125" customWidth="1"/>
    <col min="7" max="7" width="15.5" bestFit="1" customWidth="1"/>
    <col min="8" max="9" width="8.6640625" customWidth="1"/>
    <col min="10" max="10" width="19.83203125" customWidth="1"/>
    <col min="11" max="12" width="18.1640625" customWidth="1"/>
    <col min="13" max="13" width="18.33203125" bestFit="1" customWidth="1"/>
    <col min="14" max="14" width="15.33203125" bestFit="1" customWidth="1"/>
  </cols>
  <sheetData>
    <row r="1" spans="1:14">
      <c r="A1" s="1403" t="s">
        <v>493</v>
      </c>
      <c r="D1" t="s">
        <v>186</v>
      </c>
      <c r="F1" s="7"/>
      <c r="G1" s="7"/>
      <c r="J1" s="4" t="s">
        <v>494</v>
      </c>
    </row>
    <row r="2" spans="1:14">
      <c r="C2" s="4" t="s">
        <v>199</v>
      </c>
      <c r="D2" s="4" t="s">
        <v>70</v>
      </c>
      <c r="E2" s="4" t="s">
        <v>495</v>
      </c>
      <c r="F2" s="4" t="s">
        <v>192</v>
      </c>
      <c r="J2" s="4" t="s">
        <v>70</v>
      </c>
      <c r="K2" s="1404" t="s">
        <v>496</v>
      </c>
      <c r="L2" s="1404"/>
      <c r="M2" s="4" t="s">
        <v>497</v>
      </c>
      <c r="N2" s="1404" t="s">
        <v>496</v>
      </c>
    </row>
    <row r="3" spans="1:14">
      <c r="C3" s="4" t="s">
        <v>80</v>
      </c>
      <c r="D3" s="81">
        <f>SUM(D4:D13)</f>
        <v>14621515936862</v>
      </c>
      <c r="E3" s="81">
        <f>SUM(E4:E13)</f>
        <v>540092879414</v>
      </c>
      <c r="F3" s="47">
        <f>SUM(D3:E3)</f>
        <v>15161608816276</v>
      </c>
      <c r="G3" s="7"/>
      <c r="J3" s="47">
        <f>[1]Lending!AA7</f>
        <v>14621515936862</v>
      </c>
      <c r="K3" s="7">
        <f>J3-D3</f>
        <v>0</v>
      </c>
      <c r="L3" s="7"/>
      <c r="M3" s="7">
        <f>Paylater!AB9</f>
        <v>540092879414</v>
      </c>
      <c r="N3" s="34">
        <f>E3-M3</f>
        <v>0</v>
      </c>
    </row>
    <row r="4" spans="1:14">
      <c r="A4" t="str">
        <f>$C$2&amp;C4</f>
        <v>SpendingVDS</v>
      </c>
      <c r="B4" t="str">
        <f t="shared" ref="B4:B13" si="0">$C$3&amp;C4</f>
        <v>DisbursementVDS</v>
      </c>
      <c r="C4" s="324" t="s">
        <v>237</v>
      </c>
      <c r="D4" s="285">
        <f>SUMIFS(Lending!$AC:$AC,Lending!$H:$H,'Summary Lending + PL Partner'!$B4)</f>
        <v>6507998972000</v>
      </c>
      <c r="E4" s="7">
        <f>SUMIFS(Paylater!$AB:$AB,Paylater!$H:$H,'Summary Lending + PL Partner'!$A4)</f>
        <v>132170239226</v>
      </c>
      <c r="F4" s="7">
        <f t="shared" ref="F4:F35" si="1">SUM(D4:E4)</f>
        <v>6640169211226</v>
      </c>
      <c r="M4" s="74"/>
    </row>
    <row r="5" spans="1:14">
      <c r="A5" t="str">
        <f t="shared" ref="A5:A13" si="2">$C$2&amp;C5</f>
        <v>SpendingBEG</v>
      </c>
      <c r="B5" t="str">
        <f t="shared" si="0"/>
        <v>DisbursementBEG</v>
      </c>
      <c r="C5" s="324" t="s">
        <v>282</v>
      </c>
      <c r="D5" s="285">
        <f>SUMIFS(Lending!$AC:$AC,Lending!$H:$H,'Summary Lending + PL Partner'!$B5)</f>
        <v>13310250000</v>
      </c>
      <c r="E5" s="7">
        <f>SUMIFS(Paylater!$AB:$AB,Paylater!$H:$H,'Summary Lending + PL Partner'!$A5)</f>
        <v>91529515150</v>
      </c>
      <c r="F5" s="7">
        <f t="shared" si="1"/>
        <v>104839765150</v>
      </c>
    </row>
    <row r="6" spans="1:14">
      <c r="A6" t="str">
        <f t="shared" si="2"/>
        <v>SpendingNGS</v>
      </c>
      <c r="B6" t="str">
        <f t="shared" si="0"/>
        <v>DisbursementNGS</v>
      </c>
      <c r="C6" s="324" t="s">
        <v>498</v>
      </c>
      <c r="D6" s="285">
        <f>SUMIFS(Lending!$AC:$AC,Lending!$H:$H,'Summary Lending + PL Partner'!$B6)</f>
        <v>0</v>
      </c>
      <c r="E6" s="7">
        <f>SUMIFS(Paylater!$AB:$AB,Paylater!$H:$H,'Summary Lending + PL Partner'!$A6)</f>
        <v>0</v>
      </c>
      <c r="F6" s="7">
        <f t="shared" si="1"/>
        <v>0</v>
      </c>
    </row>
    <row r="7" spans="1:14">
      <c r="A7" t="str">
        <f t="shared" si="2"/>
        <v>SpendingCAKE</v>
      </c>
      <c r="B7" t="str">
        <f t="shared" si="0"/>
        <v>DisbursementCAKE</v>
      </c>
      <c r="C7" s="324" t="s">
        <v>310</v>
      </c>
      <c r="D7" s="285">
        <f>SUMIFS(Lending!$AC:$AC,Lending!$H:$H,'Summary Lending + PL Partner'!$B7)</f>
        <v>6481218186862</v>
      </c>
      <c r="E7" s="7">
        <f>SUMIFS(Paylater!$AB:$AB,Paylater!$H:$H,'Summary Lending + PL Partner'!$A7)</f>
        <v>0</v>
      </c>
      <c r="F7" s="7">
        <f t="shared" si="1"/>
        <v>6481218186862</v>
      </c>
    </row>
    <row r="8" spans="1:14">
      <c r="A8" t="str">
        <f t="shared" si="2"/>
        <v>SpendingMWG</v>
      </c>
      <c r="B8" t="str">
        <f t="shared" si="0"/>
        <v>DisbursementMWG</v>
      </c>
      <c r="C8" s="324" t="s">
        <v>290</v>
      </c>
      <c r="D8" s="285">
        <f>SUMIFS(Lending!$AC:$AC,Lending!$H:$H,'Summary Lending + PL Partner'!$B8)</f>
        <v>691874860000</v>
      </c>
      <c r="E8" s="7">
        <f>SUMIFS(Paylater!$AB:$AB,Paylater!$H:$H,'Summary Lending + PL Partner'!$A8)</f>
        <v>128222219001</v>
      </c>
      <c r="F8" s="7">
        <f t="shared" si="1"/>
        <v>820097079001</v>
      </c>
    </row>
    <row r="9" spans="1:14">
      <c r="A9" t="str">
        <f t="shared" si="2"/>
        <v>SpendingVNPAY</v>
      </c>
      <c r="B9" t="str">
        <f t="shared" si="0"/>
        <v>DisbursementVNPAY</v>
      </c>
      <c r="C9" s="324" t="s">
        <v>285</v>
      </c>
      <c r="D9" s="285">
        <f>SUMIFS(Lending!$AC:$AC,Lending!$H:$H,'Summary Lending + PL Partner'!$B9)</f>
        <v>214287738000</v>
      </c>
      <c r="E9" s="7">
        <f>SUMIFS(Paylater!$AB:$AB,Paylater!$H:$H,'Summary Lending + PL Partner'!$A9)</f>
        <v>178088000765</v>
      </c>
      <c r="F9" s="7">
        <f t="shared" si="1"/>
        <v>392375738765</v>
      </c>
    </row>
    <row r="10" spans="1:14">
      <c r="A10" t="str">
        <f t="shared" si="2"/>
        <v>SpendingZALOPAY</v>
      </c>
      <c r="B10" t="str">
        <f t="shared" si="0"/>
        <v>DisbursementZALOPAY</v>
      </c>
      <c r="C10" s="324" t="s">
        <v>329</v>
      </c>
      <c r="D10" s="285">
        <f>SUMIFS(Lending!$AC:$AC,Lending!$H:$H,'Summary Lending + PL Partner'!$B10)</f>
        <v>674249430000</v>
      </c>
      <c r="E10" s="7">
        <f>SUMIFS(Paylater!$AB:$AB,Paylater!$H:$H,'Summary Lending + PL Partner'!$A10)</f>
        <v>0</v>
      </c>
      <c r="F10" s="7">
        <f t="shared" si="1"/>
        <v>674249430000</v>
      </c>
    </row>
    <row r="11" spans="1:14">
      <c r="A11" t="str">
        <f t="shared" si="2"/>
        <v>SpendingVNPOST</v>
      </c>
      <c r="B11" t="str">
        <f t="shared" si="0"/>
        <v>DisbursementVNPOST</v>
      </c>
      <c r="C11" s="324" t="s">
        <v>312</v>
      </c>
      <c r="D11" s="285">
        <f>SUMIFS(Lending!$AC:$AC,Lending!$H:$H,'Summary Lending + PL Partner'!$B11)</f>
        <v>37936500000</v>
      </c>
      <c r="E11" s="7">
        <f>SUMIFS(Paylater!$AB:$AB,Paylater!$H:$H,'Summary Lending + PL Partner'!$A11)</f>
        <v>0</v>
      </c>
      <c r="F11" s="7">
        <f t="shared" si="1"/>
        <v>37936500000</v>
      </c>
    </row>
    <row r="12" spans="1:14">
      <c r="A12" t="str">
        <f t="shared" si="2"/>
        <v>SpendingMISA</v>
      </c>
      <c r="B12" t="str">
        <f t="shared" si="0"/>
        <v>DisbursementMISA</v>
      </c>
      <c r="C12" s="324" t="s">
        <v>499</v>
      </c>
      <c r="D12" s="285">
        <f>SUMIFS(Lending!$AC:$AC,Lending!$H:$H,'Summary Lending + PL Partner'!$B12)</f>
        <v>640000000</v>
      </c>
      <c r="E12" s="7">
        <f>SUMIFS(Paylater!$AB:$AB,Paylater!$H:$H,'Summary Lending + PL Partner'!$A12)</f>
        <v>0</v>
      </c>
      <c r="F12" s="7">
        <f t="shared" si="1"/>
        <v>640000000</v>
      </c>
    </row>
    <row r="13" spans="1:14">
      <c r="A13" t="str">
        <f t="shared" si="2"/>
        <v>SpendingFPT</v>
      </c>
      <c r="B13" t="str">
        <f t="shared" si="0"/>
        <v>DisbursementFPT</v>
      </c>
      <c r="C13" s="324" t="s">
        <v>288</v>
      </c>
      <c r="D13" s="285">
        <f>SUMIFS(Lending!$AC:$AC,Lending!$H:$H,'Summary Lending + PL Partner'!$B13)</f>
        <v>0</v>
      </c>
      <c r="E13" s="7">
        <f>SUMIFS(Paylater!$AB:$AB,Paylater!$H:$H,'Summary Lending + PL Partner'!$A13)</f>
        <v>10082905272</v>
      </c>
      <c r="F13" s="7">
        <f t="shared" si="1"/>
        <v>10082905272</v>
      </c>
    </row>
    <row r="14" spans="1:14">
      <c r="C14" s="4" t="s">
        <v>217</v>
      </c>
      <c r="D14" s="81">
        <f>SUM(D15:D24)</f>
        <v>2104221502560.1006</v>
      </c>
      <c r="E14" s="81">
        <f t="shared" ref="E14" si="3">SUM(E15:E24)</f>
        <v>26264320587.623661</v>
      </c>
      <c r="F14" s="47">
        <f t="shared" si="1"/>
        <v>2130485823147.7244</v>
      </c>
      <c r="J14" s="47">
        <f>Lending!AC19</f>
        <v>2104221502560.1006</v>
      </c>
      <c r="K14" s="1405">
        <f>J14-D14</f>
        <v>0</v>
      </c>
      <c r="L14" s="1405"/>
      <c r="M14" s="7">
        <f>Paylater!AB26</f>
        <v>26264320587.623661</v>
      </c>
      <c r="N14" s="34">
        <f>E14-M14</f>
        <v>0</v>
      </c>
    </row>
    <row r="15" spans="1:14">
      <c r="A15" t="str">
        <f>B15</f>
        <v>TOIVDS</v>
      </c>
      <c r="B15" t="str">
        <f t="shared" ref="B15:B24" si="4">$C$14&amp;C15</f>
        <v>TOIVDS</v>
      </c>
      <c r="C15" s="324" t="s">
        <v>237</v>
      </c>
      <c r="D15" s="285">
        <f>SUMIFS(Lending!$AC:$AC,Lending!$H:$H,'Summary Lending + PL Partner'!$B15)</f>
        <v>1022462016636.9692</v>
      </c>
      <c r="E15" s="7">
        <f>SUMIFS(Paylater!$AB:$AB,Paylater!$H:$H,'Summary Lending + PL Partner'!$A15)</f>
        <v>8231168271.3641319</v>
      </c>
      <c r="F15" s="7">
        <f t="shared" si="1"/>
        <v>1030693184908.3334</v>
      </c>
    </row>
    <row r="16" spans="1:14">
      <c r="A16" t="str">
        <f t="shared" ref="A16:A35" si="5">B16</f>
        <v>TOIBEG</v>
      </c>
      <c r="B16" t="str">
        <f t="shared" si="4"/>
        <v>TOIBEG</v>
      </c>
      <c r="C16" s="324" t="s">
        <v>282</v>
      </c>
      <c r="D16" s="285">
        <f>SUMIFS(Lending!$AC:$AC,Lending!$H:$H,'Summary Lending + PL Partner'!$B16)</f>
        <v>3966603001.9565001</v>
      </c>
      <c r="E16" s="7">
        <f>SUMIFS(Paylater!$AB:$AB,Paylater!$H:$H,'Summary Lending + PL Partner'!$A16)</f>
        <v>4985869496.9515781</v>
      </c>
      <c r="F16" s="7">
        <f t="shared" si="1"/>
        <v>8952472498.9080772</v>
      </c>
    </row>
    <row r="17" spans="1:14">
      <c r="A17" t="str">
        <f t="shared" si="5"/>
        <v>TOINGS</v>
      </c>
      <c r="B17" t="str">
        <f t="shared" si="4"/>
        <v>TOINGS</v>
      </c>
      <c r="C17" s="324" t="s">
        <v>498</v>
      </c>
      <c r="D17" s="285">
        <f>SUMIFS(Lending!$AC:$AC,Lending!$H:$H,'Summary Lending + PL Partner'!$B17)</f>
        <v>7467673857.7375011</v>
      </c>
      <c r="E17" s="7">
        <f>SUMIFS(Paylater!$AB:$AB,Paylater!$H:$H,'Summary Lending + PL Partner'!$A17)</f>
        <v>0</v>
      </c>
      <c r="F17" s="7">
        <f t="shared" si="1"/>
        <v>7467673857.7375011</v>
      </c>
    </row>
    <row r="18" spans="1:14">
      <c r="A18" t="str">
        <f t="shared" si="5"/>
        <v>TOICAKE</v>
      </c>
      <c r="B18" t="str">
        <f t="shared" si="4"/>
        <v>TOICAKE</v>
      </c>
      <c r="C18" s="324" t="s">
        <v>310</v>
      </c>
      <c r="D18" s="285">
        <v>852172253170.31665</v>
      </c>
      <c r="E18" s="7">
        <f>SUMIFS(Paylater!$AB:$AB,Paylater!$H:$H,'Summary Lending + PL Partner'!$A18)</f>
        <v>0</v>
      </c>
      <c r="F18" s="7">
        <f t="shared" si="1"/>
        <v>852172253170.31665</v>
      </c>
    </row>
    <row r="19" spans="1:14">
      <c r="A19" t="str">
        <f t="shared" si="5"/>
        <v>TOIMWG</v>
      </c>
      <c r="B19" t="str">
        <f t="shared" si="4"/>
        <v>TOIMWG</v>
      </c>
      <c r="C19" s="324" t="s">
        <v>290</v>
      </c>
      <c r="D19" s="285">
        <f>SUMIFS(Lending!$AC:$AC,Lending!$H:$H,'Summary Lending + PL Partner'!$B19)</f>
        <v>98237098296.314804</v>
      </c>
      <c r="E19" s="7">
        <f>SUMIFS(Paylater!$AB:$AB,Paylater!$H:$H,'Summary Lending + PL Partner'!$A19)</f>
        <v>6913533322.9561672</v>
      </c>
      <c r="F19" s="7">
        <f t="shared" si="1"/>
        <v>105150631619.27097</v>
      </c>
    </row>
    <row r="20" spans="1:14">
      <c r="A20" t="str">
        <f t="shared" si="5"/>
        <v>TOIVNPAY</v>
      </c>
      <c r="B20" t="str">
        <f t="shared" si="4"/>
        <v>TOIVNPAY</v>
      </c>
      <c r="C20" s="324" t="s">
        <v>285</v>
      </c>
      <c r="D20" s="285">
        <f>SUMIFS(Lending!$AC:$AC,Lending!$H:$H,'Summary Lending + PL Partner'!$B20)</f>
        <v>33183999564.806</v>
      </c>
      <c r="E20" s="7">
        <f>SUMIFS(Paylater!$AB:$AB,Paylater!$H:$H,'Summary Lending + PL Partner'!$A20)</f>
        <v>6119154471.8365402</v>
      </c>
      <c r="F20" s="7">
        <f t="shared" si="1"/>
        <v>39303154036.64254</v>
      </c>
    </row>
    <row r="21" spans="1:14">
      <c r="A21" t="str">
        <f t="shared" si="5"/>
        <v>TOIZALOPAY</v>
      </c>
      <c r="B21" t="str">
        <f t="shared" si="4"/>
        <v>TOIZALOPAY</v>
      </c>
      <c r="C21" s="324" t="s">
        <v>329</v>
      </c>
      <c r="D21" s="285">
        <f>SUMIFS(Lending!$AC:$AC,Lending!$H:$H,'Summary Lending + PL Partner'!$B21)</f>
        <v>83848023356</v>
      </c>
      <c r="E21" s="7">
        <f>SUMIFS(Paylater!$AB:$AB,Paylater!$H:$H,'Summary Lending + PL Partner'!$A21)</f>
        <v>0</v>
      </c>
      <c r="F21" s="7">
        <f t="shared" si="1"/>
        <v>83848023356</v>
      </c>
    </row>
    <row r="22" spans="1:14">
      <c r="A22" t="str">
        <f t="shared" si="5"/>
        <v>TOIVNPOST</v>
      </c>
      <c r="B22" t="str">
        <f t="shared" si="4"/>
        <v>TOIVNPOST</v>
      </c>
      <c r="C22" s="324" t="s">
        <v>312</v>
      </c>
      <c r="D22" s="285">
        <f>SUMIFS(Lending!$AC:$AC,Lending!$H:$H,'Summary Lending + PL Partner'!$B22)</f>
        <v>2879621141</v>
      </c>
      <c r="E22" s="7">
        <f>SUMIFS(Paylater!$AB:$AB,Paylater!$H:$H,'Summary Lending + PL Partner'!$A22)</f>
        <v>0</v>
      </c>
      <c r="F22" s="7">
        <f t="shared" si="1"/>
        <v>2879621141</v>
      </c>
    </row>
    <row r="23" spans="1:14">
      <c r="A23" t="str">
        <f t="shared" si="5"/>
        <v>TOIMISA</v>
      </c>
      <c r="B23" t="str">
        <f t="shared" si="4"/>
        <v>TOIMISA</v>
      </c>
      <c r="C23" s="324" t="s">
        <v>499</v>
      </c>
      <c r="D23" s="285">
        <f>SUMIFS(Lending!$AC:$AC,Lending!$H:$H,'Summary Lending + PL Partner'!$B23)</f>
        <v>4213535</v>
      </c>
      <c r="E23" s="7">
        <f>SUMIFS(Paylater!$AB:$AB,Paylater!$H:$H,'Summary Lending + PL Partner'!$A23)</f>
        <v>0</v>
      </c>
      <c r="F23" s="7">
        <f t="shared" si="1"/>
        <v>4213535</v>
      </c>
    </row>
    <row r="24" spans="1:14">
      <c r="A24" t="str">
        <f t="shared" si="5"/>
        <v>TOIFPT</v>
      </c>
      <c r="B24" t="str">
        <f t="shared" si="4"/>
        <v>TOIFPT</v>
      </c>
      <c r="C24" s="324" t="s">
        <v>288</v>
      </c>
      <c r="D24" s="285">
        <f>SUMIFS(Lending!$AC:$AC,Lending!$H:$H,'Summary Lending + PL Partner'!$B24)</f>
        <v>0</v>
      </c>
      <c r="E24" s="7">
        <f>SUMIFS(Paylater!$AB:$AB,Paylater!$H:$H,'Summary Lending + PL Partner'!$A24)</f>
        <v>14595024.515243847</v>
      </c>
      <c r="F24" s="7">
        <f t="shared" si="1"/>
        <v>14595024.515243847</v>
      </c>
      <c r="M24" s="4" t="s">
        <v>497</v>
      </c>
      <c r="N24" s="1404" t="s">
        <v>496</v>
      </c>
    </row>
    <row r="25" spans="1:14">
      <c r="C25" s="4" t="s">
        <v>236</v>
      </c>
      <c r="D25" s="81">
        <f>SUM(D26:D35)</f>
        <v>702961691748.26538</v>
      </c>
      <c r="E25" s="81">
        <f t="shared" ref="E25" si="6">SUM(E26:E35)</f>
        <v>-24434726284.981548</v>
      </c>
      <c r="F25" s="47">
        <f t="shared" si="1"/>
        <v>678526965463.28381</v>
      </c>
      <c r="J25" s="47">
        <f>Lending!AC46</f>
        <v>702961691748.26538</v>
      </c>
      <c r="K25" s="1405">
        <f>J25-D25</f>
        <v>0</v>
      </c>
      <c r="L25" s="1405"/>
      <c r="M25" s="7">
        <f>Paylater!AB50</f>
        <v>-24434726284.981544</v>
      </c>
      <c r="N25" s="1406">
        <f>E25-M25</f>
        <v>0</v>
      </c>
    </row>
    <row r="26" spans="1:14">
      <c r="A26" t="str">
        <f t="shared" si="5"/>
        <v>Profit before allocation costVDS</v>
      </c>
      <c r="B26" t="str">
        <f>$C$25&amp;C26</f>
        <v>Profit before allocation costVDS</v>
      </c>
      <c r="C26" s="324" t="s">
        <v>237</v>
      </c>
      <c r="D26" s="285">
        <f>SUMIFS(Lending!$AC:$AC,Lending!$H:$H,'Summary Lending + PL Partner'!$B26)</f>
        <v>203186183259.19333</v>
      </c>
      <c r="E26" s="7">
        <f>SUMIFS(Paylater!$AB:$AB,Paylater!$H:$H,'Summary Lending + PL Partner'!$A26)</f>
        <v>-9174703205.8246231</v>
      </c>
      <c r="F26" s="7">
        <f t="shared" si="1"/>
        <v>194011480053.36871</v>
      </c>
    </row>
    <row r="27" spans="1:14">
      <c r="A27" t="str">
        <f t="shared" si="5"/>
        <v>Profit before allocation costBEG</v>
      </c>
      <c r="B27" t="str">
        <f t="shared" ref="B27:B35" si="7">$C$25&amp;C27</f>
        <v>Profit before allocation costBEG</v>
      </c>
      <c r="C27" s="324" t="s">
        <v>282</v>
      </c>
      <c r="D27" s="285">
        <f>SUMIFS(Lending!$AC:$AC,Lending!$H:$H,'Summary Lending + PL Partner'!$B27)</f>
        <v>-4933060460.6952362</v>
      </c>
      <c r="E27" s="7">
        <f>SUMIFS(Paylater!$AB:$AB,Paylater!$H:$H,'Summary Lending + PL Partner'!$A27)</f>
        <v>-2663456224.1278934</v>
      </c>
      <c r="F27" s="7">
        <f t="shared" si="1"/>
        <v>-7596516684.8231297</v>
      </c>
    </row>
    <row r="28" spans="1:14">
      <c r="A28" t="str">
        <f t="shared" si="5"/>
        <v>Profit before allocation costNGS</v>
      </c>
      <c r="B28" t="str">
        <f t="shared" si="7"/>
        <v>Profit before allocation costNGS</v>
      </c>
      <c r="C28" s="324" t="s">
        <v>498</v>
      </c>
      <c r="D28" s="285">
        <f>SUMIFS(Lending!$AC:$AC,Lending!$H:$H,'Summary Lending + PL Partner'!$B28)</f>
        <v>-29545647899.429356</v>
      </c>
      <c r="E28" s="7">
        <f>SUMIFS(Paylater!$AB:$AB,Paylater!$H:$H,'Summary Lending + PL Partner'!$A28)</f>
        <v>0</v>
      </c>
      <c r="F28" s="7">
        <f t="shared" si="1"/>
        <v>-29545647899.429356</v>
      </c>
    </row>
    <row r="29" spans="1:14">
      <c r="A29" t="str">
        <f t="shared" si="5"/>
        <v>Profit before allocation costCAKE</v>
      </c>
      <c r="B29" t="str">
        <f t="shared" si="7"/>
        <v>Profit before allocation costCAKE</v>
      </c>
      <c r="C29" s="324" t="s">
        <v>310</v>
      </c>
      <c r="D29" s="285">
        <v>421036533098.40363</v>
      </c>
      <c r="E29" s="7">
        <f>SUMIFS(Paylater!$AB:$AB,Paylater!$H:$H,'Summary Lending + PL Partner'!$A29)</f>
        <v>0</v>
      </c>
      <c r="F29" s="7">
        <f t="shared" si="1"/>
        <v>421036533098.40363</v>
      </c>
    </row>
    <row r="30" spans="1:14">
      <c r="A30" t="str">
        <f t="shared" si="5"/>
        <v>Profit before allocation costMWG</v>
      </c>
      <c r="B30" t="str">
        <f t="shared" si="7"/>
        <v>Profit before allocation costMWG</v>
      </c>
      <c r="C30" s="324" t="s">
        <v>290</v>
      </c>
      <c r="D30" s="285">
        <f>SUMIFS(Lending!$AC:$AC,Lending!$H:$H,'Summary Lending + PL Partner'!$B30)</f>
        <v>42481144615.568504</v>
      </c>
      <c r="E30" s="7">
        <v>-6229776924.0797997</v>
      </c>
      <c r="F30" s="7">
        <f t="shared" si="1"/>
        <v>36251367691.488708</v>
      </c>
      <c r="G30" s="7"/>
    </row>
    <row r="31" spans="1:14">
      <c r="A31" t="str">
        <f t="shared" si="5"/>
        <v>Profit before allocation costVNPAY</v>
      </c>
      <c r="B31" t="str">
        <f t="shared" si="7"/>
        <v>Profit before allocation costVNPAY</v>
      </c>
      <c r="C31" s="324" t="s">
        <v>285</v>
      </c>
      <c r="D31" s="285">
        <f>SUMIFS(Lending!$AC:$AC,Lending!$H:$H,'Summary Lending + PL Partner'!$B31)</f>
        <v>17358318456.41246</v>
      </c>
      <c r="E31" s="7">
        <f>SUMIFS(Paylater!$AB:$AB,Paylater!$H:$H,'Summary Lending + PL Partner'!$A31)</f>
        <v>-5517124991.7795353</v>
      </c>
      <c r="F31" s="7">
        <f t="shared" si="1"/>
        <v>11841193464.632925</v>
      </c>
    </row>
    <row r="32" spans="1:14">
      <c r="A32" t="str">
        <f t="shared" si="5"/>
        <v>Profit before allocation costZALOPAY</v>
      </c>
      <c r="B32" t="str">
        <f t="shared" si="7"/>
        <v>Profit before allocation costZALOPAY</v>
      </c>
      <c r="C32" s="324" t="s">
        <v>329</v>
      </c>
      <c r="D32" s="285">
        <f>SUMIFS(Lending!$AC:$AC,Lending!$H:$H,'Summary Lending + PL Partner'!$B32)</f>
        <v>52251998523.594101</v>
      </c>
      <c r="E32" s="7">
        <f>SUMIFS(Paylater!$AB:$AB,Paylater!$H:$H,'Summary Lending + PL Partner'!$A32)</f>
        <v>0</v>
      </c>
      <c r="F32" s="7">
        <f t="shared" si="1"/>
        <v>52251998523.594101</v>
      </c>
    </row>
    <row r="33" spans="1:6">
      <c r="A33" t="str">
        <f t="shared" si="5"/>
        <v>Profit before allocation costVNPOST</v>
      </c>
      <c r="B33" t="str">
        <f t="shared" si="7"/>
        <v>Profit before allocation costVNPOST</v>
      </c>
      <c r="C33" s="324" t="s">
        <v>312</v>
      </c>
      <c r="D33" s="285">
        <f>SUMIFS(Lending!$AC:$AC,Lending!$H:$H,'Summary Lending + PL Partner'!$B33)</f>
        <v>1146612035.1788588</v>
      </c>
      <c r="E33" s="7">
        <f>SUMIFS(Paylater!$AB:$AB,Paylater!$H:$H,'Summary Lending + PL Partner'!$A33)</f>
        <v>0</v>
      </c>
      <c r="F33" s="7">
        <f t="shared" si="1"/>
        <v>1146612035.1788588</v>
      </c>
    </row>
    <row r="34" spans="1:6">
      <c r="A34" t="str">
        <f t="shared" si="5"/>
        <v>Profit before allocation costMISA</v>
      </c>
      <c r="B34" t="str">
        <f t="shared" si="7"/>
        <v>Profit before allocation costMISA</v>
      </c>
      <c r="C34" s="324" t="s">
        <v>499</v>
      </c>
      <c r="D34" s="285">
        <f>SUMIFS(Lending!$AC:$AC,Lending!$H:$H,'Summary Lending + PL Partner'!$B34)</f>
        <v>-20389879.960934918</v>
      </c>
      <c r="E34" s="7">
        <f>SUMIFS(Paylater!$AB:$AB,Paylater!$H:$H,'Summary Lending + PL Partner'!$A34)</f>
        <v>0</v>
      </c>
      <c r="F34" s="7">
        <f t="shared" si="1"/>
        <v>-20389879.960934918</v>
      </c>
    </row>
    <row r="35" spans="1:6">
      <c r="A35" t="str">
        <f t="shared" si="5"/>
        <v>Profit before allocation costFPT</v>
      </c>
      <c r="B35" t="str">
        <f t="shared" si="7"/>
        <v>Profit before allocation costFPT</v>
      </c>
      <c r="C35" s="324" t="s">
        <v>288</v>
      </c>
      <c r="D35" s="285">
        <f>SUMIFS(Lending!$AC:$AC,Lending!$H:$H,'Summary Lending + PL Partner'!$B35)</f>
        <v>0</v>
      </c>
      <c r="E35" s="7">
        <f>SUMIFS(Paylater!$AB:$AB,Paylater!$H:$H,'Summary Lending + PL Partner'!$A35)</f>
        <v>-849664939.16969657</v>
      </c>
      <c r="F35" s="7">
        <f t="shared" si="1"/>
        <v>-849664939.16969657</v>
      </c>
    </row>
    <row r="37" spans="1:6">
      <c r="C37" s="4"/>
    </row>
    <row r="38" spans="1:6">
      <c r="C38" s="324"/>
    </row>
    <row r="39" spans="1:6">
      <c r="C39" s="324"/>
    </row>
    <row r="40" spans="1:6">
      <c r="C40" s="324"/>
    </row>
    <row r="41" spans="1:6">
      <c r="C41" s="324"/>
    </row>
    <row r="42" spans="1:6">
      <c r="C42" s="324"/>
    </row>
    <row r="43" spans="1:6">
      <c r="C43" s="324"/>
    </row>
    <row r="44" spans="1:6">
      <c r="C44" s="324"/>
    </row>
    <row r="45" spans="1:6">
      <c r="C45" s="324"/>
    </row>
    <row r="46" spans="1:6">
      <c r="C46" s="324"/>
    </row>
    <row r="47" spans="1:6">
      <c r="C47" s="32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501A0-1D5A-4159-9BEE-096080AB5896}">
  <dimension ref="A1:O75"/>
  <sheetViews>
    <sheetView showGridLines="0" topLeftCell="C1" zoomScale="58" zoomScaleNormal="70" workbookViewId="0">
      <selection activeCell="K8" sqref="K8"/>
    </sheetView>
  </sheetViews>
  <sheetFormatPr baseColWidth="10" defaultColWidth="8.83203125" defaultRowHeight="15"/>
  <cols>
    <col min="1" max="1" width="37.1640625" bestFit="1" customWidth="1"/>
    <col min="2" max="3" width="41.1640625" customWidth="1"/>
    <col min="4" max="4" width="27.5" customWidth="1"/>
    <col min="5" max="5" width="20" customWidth="1"/>
    <col min="6" max="6" width="19.6640625" bestFit="1" customWidth="1"/>
    <col min="7" max="7" width="19.83203125" customWidth="1"/>
    <col min="8" max="8" width="15.5" bestFit="1" customWidth="1"/>
    <col min="9" max="9" width="8.6640625" customWidth="1"/>
    <col min="10" max="10" width="17" bestFit="1" customWidth="1"/>
    <col min="11" max="11" width="19.83203125" customWidth="1"/>
    <col min="12" max="13" width="18.1640625" customWidth="1"/>
    <col min="14" max="14" width="18.33203125" bestFit="1" customWidth="1"/>
    <col min="15" max="15" width="15.33203125" bestFit="1" customWidth="1"/>
  </cols>
  <sheetData>
    <row r="1" spans="1:15">
      <c r="A1" s="1403" t="s">
        <v>493</v>
      </c>
      <c r="E1" t="s">
        <v>186</v>
      </c>
      <c r="G1" s="7"/>
      <c r="H1" s="7"/>
      <c r="K1" s="4" t="s">
        <v>494</v>
      </c>
    </row>
    <row r="2" spans="1:15">
      <c r="D2" s="4" t="s">
        <v>199</v>
      </c>
      <c r="E2" s="4" t="s">
        <v>70</v>
      </c>
      <c r="F2" s="4" t="s">
        <v>495</v>
      </c>
      <c r="G2" s="4" t="s">
        <v>192</v>
      </c>
      <c r="K2" s="4" t="s">
        <v>70</v>
      </c>
      <c r="L2" s="1404" t="s">
        <v>496</v>
      </c>
      <c r="M2" s="1404"/>
      <c r="N2" s="4" t="s">
        <v>497</v>
      </c>
      <c r="O2" s="1404" t="s">
        <v>496</v>
      </c>
    </row>
    <row r="3" spans="1:15">
      <c r="C3" s="4" t="s">
        <v>500</v>
      </c>
      <c r="D3" s="4" t="s">
        <v>80</v>
      </c>
      <c r="E3" s="81">
        <f>SUM(E4:E20)</f>
        <v>14621515936862</v>
      </c>
      <c r="F3" s="81">
        <f>SUM(F4:F25)</f>
        <v>540092879414</v>
      </c>
      <c r="G3" s="47">
        <f>SUM(E3:F3)</f>
        <v>15161608816276</v>
      </c>
      <c r="H3" s="7"/>
      <c r="J3" s="7"/>
      <c r="K3" s="47">
        <f>Lending!AC7</f>
        <v>14621515936862</v>
      </c>
      <c r="L3" s="7">
        <f>K3-E3</f>
        <v>0</v>
      </c>
      <c r="M3" s="7"/>
      <c r="N3" s="7">
        <f>Paylater!AB9</f>
        <v>540092879414</v>
      </c>
      <c r="O3" s="34">
        <f>F3-N3</f>
        <v>0</v>
      </c>
    </row>
    <row r="4" spans="1:15">
      <c r="A4" t="str">
        <f>$D$2&amp;D4</f>
        <v>SpendingVDSCL</v>
      </c>
      <c r="B4" t="str">
        <f t="shared" ref="B4:B13" si="0">$D$3&amp;D4</f>
        <v>DisbursementVDSCL</v>
      </c>
      <c r="C4" t="s">
        <v>237</v>
      </c>
      <c r="D4" s="324" t="s">
        <v>501</v>
      </c>
      <c r="E4" s="285">
        <f>SUMIFS(Lending!$AC:$AC,Lending!$G:$G,'Summary Lending + PL Productdet'!$B4)</f>
        <v>4004483580000</v>
      </c>
      <c r="F4" s="7"/>
      <c r="G4" s="7">
        <f t="shared" ref="G4:G63" si="1">SUM(E4:F4)</f>
        <v>4004483580000</v>
      </c>
      <c r="N4" s="74"/>
    </row>
    <row r="5" spans="1:15">
      <c r="A5" t="str">
        <f t="shared" ref="A5:A13" si="2">$D$2&amp;D5</f>
        <v>SpendingVDSPD</v>
      </c>
      <c r="B5" t="str">
        <f t="shared" si="0"/>
        <v>DisbursementVDSPD</v>
      </c>
      <c r="C5" t="s">
        <v>237</v>
      </c>
      <c r="D5" s="324" t="s">
        <v>502</v>
      </c>
      <c r="E5" s="285">
        <f>SUMIFS(Lending!$AC:$AC,Lending!$G:$G,'Summary Lending + PL Productdet'!$B5)</f>
        <v>2477760392000</v>
      </c>
      <c r="F5" s="7"/>
      <c r="G5" s="7">
        <f t="shared" si="1"/>
        <v>2477760392000</v>
      </c>
    </row>
    <row r="6" spans="1:15">
      <c r="A6" t="str">
        <f t="shared" si="2"/>
        <v>SpendingVDSPRCL</v>
      </c>
      <c r="B6" t="str">
        <f t="shared" si="0"/>
        <v>DisbursementVDSPRCL</v>
      </c>
      <c r="C6" t="s">
        <v>237</v>
      </c>
      <c r="D6" s="324" t="s">
        <v>503</v>
      </c>
      <c r="E6" s="285">
        <f>SUMIFS(Lending!$AC:$AC,Lending!$G:$G,'Summary Lending + PL Productdet'!$B6)</f>
        <v>11871000000</v>
      </c>
      <c r="F6" s="7"/>
      <c r="G6" s="7">
        <f t="shared" si="1"/>
        <v>11871000000</v>
      </c>
    </row>
    <row r="7" spans="1:15">
      <c r="A7" t="str">
        <f t="shared" si="2"/>
        <v>SpendingVDSPRPD</v>
      </c>
      <c r="B7" t="str">
        <f t="shared" si="0"/>
        <v>DisbursementVDSPRPD</v>
      </c>
      <c r="C7" t="s">
        <v>237</v>
      </c>
      <c r="D7" s="324" t="s">
        <v>504</v>
      </c>
      <c r="E7" s="285">
        <f>SUMIFS(Lending!$AC:$AC,Lending!$G:$G,'Summary Lending + PL Productdet'!$B7)</f>
        <v>13884000000</v>
      </c>
      <c r="F7" s="7"/>
      <c r="G7" s="7">
        <f t="shared" si="1"/>
        <v>13884000000</v>
      </c>
    </row>
    <row r="8" spans="1:15">
      <c r="A8" t="str">
        <f t="shared" si="2"/>
        <v>SpendingBEGCL</v>
      </c>
      <c r="B8" t="str">
        <f t="shared" si="0"/>
        <v>DisbursementBEGCL</v>
      </c>
      <c r="C8" t="s">
        <v>282</v>
      </c>
      <c r="D8" s="324" t="s">
        <v>505</v>
      </c>
      <c r="E8" s="285">
        <f>SUMIFS(Lending!$AC:$AC,Lending!$G:$G,'Summary Lending + PL Productdet'!$B8)</f>
        <v>13310250000</v>
      </c>
      <c r="F8" s="7"/>
      <c r="G8" s="7">
        <f t="shared" si="1"/>
        <v>13310250000</v>
      </c>
    </row>
    <row r="9" spans="1:15">
      <c r="A9" t="str">
        <f t="shared" si="2"/>
        <v>SpendingNGSCL</v>
      </c>
      <c r="B9" t="str">
        <f t="shared" si="0"/>
        <v>DisbursementNGSCL</v>
      </c>
      <c r="C9" t="s">
        <v>498</v>
      </c>
      <c r="D9" s="324" t="s">
        <v>506</v>
      </c>
      <c r="E9" s="285">
        <f>SUMIFS(Lending!$AC:$AC,Lending!$G:$G,'Summary Lending + PL Productdet'!$B9)</f>
        <v>0</v>
      </c>
      <c r="F9" s="7"/>
      <c r="G9" s="7">
        <f t="shared" si="1"/>
        <v>0</v>
      </c>
    </row>
    <row r="10" spans="1:15">
      <c r="A10" t="str">
        <f t="shared" si="2"/>
        <v>SpendingCAKECL</v>
      </c>
      <c r="B10" t="str">
        <f t="shared" si="0"/>
        <v>DisbursementCAKECL</v>
      </c>
      <c r="C10" t="s">
        <v>310</v>
      </c>
      <c r="D10" s="324" t="s">
        <v>507</v>
      </c>
      <c r="E10" s="285">
        <f>SUMIFS(Lending!$AC:$AC,Lending!$G:$G,'Summary Lending + PL Productdet'!$B10)</f>
        <v>3983527400000</v>
      </c>
      <c r="F10" s="7"/>
      <c r="G10" s="7">
        <f t="shared" si="1"/>
        <v>3983527400000</v>
      </c>
    </row>
    <row r="11" spans="1:15">
      <c r="A11" t="str">
        <f t="shared" si="2"/>
        <v>SpendingCAKEPD</v>
      </c>
      <c r="B11" t="str">
        <f t="shared" si="0"/>
        <v>DisbursementCAKEPD</v>
      </c>
      <c r="C11" t="s">
        <v>310</v>
      </c>
      <c r="D11" s="324" t="s">
        <v>508</v>
      </c>
      <c r="E11" s="285">
        <f>SUMIFS(Lending!$AC:$AC,Lending!$G:$G,'Summary Lending + PL Productdet'!$B11)</f>
        <v>1298555716000</v>
      </c>
      <c r="F11" s="7"/>
      <c r="G11" s="7">
        <f t="shared" si="1"/>
        <v>1298555716000</v>
      </c>
    </row>
    <row r="12" spans="1:15">
      <c r="A12" t="str">
        <f t="shared" si="2"/>
        <v>SpendingCAKEOD</v>
      </c>
      <c r="B12" t="str">
        <f t="shared" si="0"/>
        <v>DisbursementCAKEOD</v>
      </c>
      <c r="C12" t="s">
        <v>310</v>
      </c>
      <c r="D12" s="324" t="s">
        <v>509</v>
      </c>
      <c r="E12" s="285">
        <f>SUMIFS(Lending!$AC:$AC,Lending!$G:$G,'Summary Lending + PL Productdet'!$B12)</f>
        <v>1199135070862</v>
      </c>
      <c r="F12" s="7"/>
      <c r="G12" s="7">
        <f t="shared" si="1"/>
        <v>1199135070862</v>
      </c>
    </row>
    <row r="13" spans="1:15">
      <c r="A13" t="str">
        <f t="shared" si="2"/>
        <v>SpendingMWGCL</v>
      </c>
      <c r="B13" t="str">
        <f t="shared" si="0"/>
        <v>DisbursementMWGCL</v>
      </c>
      <c r="C13" t="s">
        <v>290</v>
      </c>
      <c r="D13" s="324" t="s">
        <v>510</v>
      </c>
      <c r="E13" s="285">
        <f>SUMIFS(Lending!$AC:$AC,Lending!$G:$G,'Summary Lending + PL Productdet'!$B13)</f>
        <v>691874860000</v>
      </c>
      <c r="F13" s="7"/>
      <c r="G13" s="7">
        <f t="shared" si="1"/>
        <v>691874860000</v>
      </c>
    </row>
    <row r="14" spans="1:15">
      <c r="A14" t="str">
        <f t="shared" ref="A14:A20" si="3">$D$2&amp;D14</f>
        <v>SpendingVNPAYCL</v>
      </c>
      <c r="B14" t="str">
        <f t="shared" ref="B14:B25" si="4">$D$3&amp;D14</f>
        <v>DisbursementVNPAYCL</v>
      </c>
      <c r="C14" t="s">
        <v>285</v>
      </c>
      <c r="D14" s="324" t="s">
        <v>511</v>
      </c>
      <c r="E14" s="285">
        <f>SUMIFS(Lending!$AC:$AC,Lending!$G:$G,'Summary Lending + PL Productdet'!$B14)</f>
        <v>191538510000</v>
      </c>
      <c r="F14" s="7"/>
      <c r="G14" s="7"/>
    </row>
    <row r="15" spans="1:15">
      <c r="A15" t="str">
        <f t="shared" si="3"/>
        <v>SpendingVNPAYPD</v>
      </c>
      <c r="B15" t="str">
        <f t="shared" si="4"/>
        <v>DisbursementVNPAYPD</v>
      </c>
      <c r="C15" t="s">
        <v>285</v>
      </c>
      <c r="D15" s="324" t="s">
        <v>512</v>
      </c>
      <c r="E15" s="285">
        <f>SUMIFS(Lending!$AC:$AC,Lending!$G:$G,'Summary Lending + PL Productdet'!$B15)</f>
        <v>22749228000</v>
      </c>
      <c r="F15" s="7"/>
      <c r="G15" s="7"/>
    </row>
    <row r="16" spans="1:15">
      <c r="A16" t="str">
        <f t="shared" si="3"/>
        <v>SpendingZALOPAYCL</v>
      </c>
      <c r="B16" t="str">
        <f t="shared" si="4"/>
        <v>DisbursementZALOPAYCL</v>
      </c>
      <c r="C16" t="s">
        <v>329</v>
      </c>
      <c r="D16" s="324" t="s">
        <v>513</v>
      </c>
      <c r="E16" s="285">
        <f>SUMIFS(Lending!$AC:$AC,Lending!$G:$G,'Summary Lending + PL Productdet'!$B16)</f>
        <v>674238630000</v>
      </c>
      <c r="F16" s="7"/>
      <c r="G16" s="7"/>
    </row>
    <row r="17" spans="1:15">
      <c r="A17" t="str">
        <f t="shared" si="3"/>
        <v>SpendingZALOPAYPD</v>
      </c>
      <c r="B17" t="str">
        <f t="shared" si="4"/>
        <v>DisbursementZALOPAYPD</v>
      </c>
      <c r="C17" t="s">
        <v>329</v>
      </c>
      <c r="D17" s="324" t="s">
        <v>514</v>
      </c>
      <c r="E17" s="285">
        <f>SUMIFS(Lending!$AC:$AC,Lending!$G:$G,'Summary Lending + PL Productdet'!$B17)</f>
        <v>10800000</v>
      </c>
      <c r="F17" s="7"/>
      <c r="G17" s="7"/>
    </row>
    <row r="18" spans="1:15">
      <c r="A18" t="str">
        <f t="shared" si="3"/>
        <v>SpendingVNPOSTCL</v>
      </c>
      <c r="B18" t="str">
        <f t="shared" si="4"/>
        <v>DisbursementVNPOSTCL</v>
      </c>
      <c r="C18" t="s">
        <v>312</v>
      </c>
      <c r="D18" s="324" t="s">
        <v>515</v>
      </c>
      <c r="E18" s="285">
        <f>SUMIFS(Lending!$AC:$AC,Lending!$G:$G,'Summary Lending + PL Productdet'!$B18)</f>
        <v>37864400000</v>
      </c>
      <c r="F18" s="7"/>
      <c r="G18" s="7"/>
    </row>
    <row r="19" spans="1:15">
      <c r="A19" t="str">
        <f t="shared" si="3"/>
        <v>SpendingVNPOSTPRCL</v>
      </c>
      <c r="B19" t="str">
        <f t="shared" si="4"/>
        <v>DisbursementVNPOSTPRCL</v>
      </c>
      <c r="C19" t="s">
        <v>312</v>
      </c>
      <c r="D19" s="324" t="s">
        <v>516</v>
      </c>
      <c r="E19" s="285">
        <f>SUMIFS(Lending!$AC:$AC,Lending!$G:$G,'Summary Lending + PL Productdet'!$B19)</f>
        <v>72100000</v>
      </c>
      <c r="F19" s="7"/>
      <c r="G19" s="7"/>
    </row>
    <row r="20" spans="1:15">
      <c r="A20" t="str">
        <f t="shared" si="3"/>
        <v>SpendingMISACL</v>
      </c>
      <c r="B20" t="str">
        <f t="shared" si="4"/>
        <v>DisbursementMISACL</v>
      </c>
      <c r="C20" t="s">
        <v>499</v>
      </c>
      <c r="D20" s="324" t="s">
        <v>517</v>
      </c>
      <c r="E20" s="285">
        <f>SUMIFS(Lending!$AC:$AC,Lending!$G:$G,'Summary Lending + PL Productdet'!$B20)</f>
        <v>640000000</v>
      </c>
      <c r="F20" s="7"/>
      <c r="G20" s="7"/>
    </row>
    <row r="21" spans="1:15">
      <c r="A21" t="str">
        <f t="shared" ref="A21:A25" si="5">$D$2&amp;D21</f>
        <v>SpendingVDSPL</v>
      </c>
      <c r="B21" t="str">
        <f t="shared" si="4"/>
        <v>DisbursementVDSPL</v>
      </c>
      <c r="C21" t="s">
        <v>237</v>
      </c>
      <c r="D21" s="324" t="s">
        <v>518</v>
      </c>
      <c r="E21" s="285"/>
      <c r="F21" s="7">
        <f>SUMIFS(Paylater!$AB:$AB,Paylater!$G:$G,'Summary Lending + PL Productdet'!$A21)</f>
        <v>132170239226</v>
      </c>
      <c r="G21" s="7"/>
    </row>
    <row r="22" spans="1:15">
      <c r="A22" t="str">
        <f t="shared" si="5"/>
        <v>SpendingBEGPL</v>
      </c>
      <c r="B22" t="str">
        <f t="shared" si="4"/>
        <v>DisbursementBEGPL</v>
      </c>
      <c r="C22" t="s">
        <v>282</v>
      </c>
      <c r="D22" s="324" t="s">
        <v>519</v>
      </c>
      <c r="E22" s="285"/>
      <c r="F22" s="7">
        <f>SUMIFS(Paylater!$AB:$AB,Paylater!$G:$G,'Summary Lending + PL Productdet'!$A22)</f>
        <v>91529515150</v>
      </c>
      <c r="G22" s="7"/>
    </row>
    <row r="23" spans="1:15">
      <c r="A23" t="str">
        <f t="shared" si="5"/>
        <v>SpendingVNPAYPL</v>
      </c>
      <c r="B23" t="str">
        <f t="shared" si="4"/>
        <v>DisbursementVNPAYPL</v>
      </c>
      <c r="C23" t="s">
        <v>285</v>
      </c>
      <c r="D23" s="324" t="s">
        <v>520</v>
      </c>
      <c r="E23" s="285"/>
      <c r="F23" s="7">
        <f>SUMIFS(Paylater!$AB:$AB,Paylater!$G:$G,'Summary Lending + PL Productdet'!$A23)</f>
        <v>178088000765</v>
      </c>
      <c r="G23" s="7"/>
    </row>
    <row r="24" spans="1:15">
      <c r="A24" t="str">
        <f t="shared" si="5"/>
        <v>SpendingFPTPL</v>
      </c>
      <c r="B24" t="str">
        <f t="shared" si="4"/>
        <v>DisbursementFPTPL</v>
      </c>
      <c r="C24" t="s">
        <v>288</v>
      </c>
      <c r="D24" s="324" t="s">
        <v>521</v>
      </c>
      <c r="E24" s="285"/>
      <c r="F24" s="7">
        <f>SUMIFS(Paylater!$AB:$AB,Paylater!$G:$G,'Summary Lending + PL Productdet'!$A24)</f>
        <v>10082905272</v>
      </c>
      <c r="G24" s="7"/>
    </row>
    <row r="25" spans="1:15">
      <c r="A25" t="str">
        <f t="shared" si="5"/>
        <v>SpendingMWGPL</v>
      </c>
      <c r="B25" t="str">
        <f t="shared" si="4"/>
        <v>DisbursementMWGPL</v>
      </c>
      <c r="C25" t="s">
        <v>290</v>
      </c>
      <c r="D25" s="324" t="s">
        <v>522</v>
      </c>
      <c r="E25" s="285"/>
      <c r="F25" s="7">
        <f>SUMIFS(Paylater!$AB:$AB,Paylater!$G:$G,'Summary Lending + PL Productdet'!$A25)</f>
        <v>128222219001</v>
      </c>
      <c r="G25" s="7"/>
    </row>
    <row r="26" spans="1:15">
      <c r="D26" s="324"/>
      <c r="E26" s="285"/>
      <c r="F26" s="7"/>
      <c r="G26" s="7"/>
    </row>
    <row r="27" spans="1:15">
      <c r="D27" s="324"/>
      <c r="E27" s="285"/>
      <c r="F27" s="7"/>
      <c r="G27" s="7"/>
    </row>
    <row r="28" spans="1:15">
      <c r="D28" s="324"/>
      <c r="E28" s="285"/>
      <c r="F28" s="7"/>
      <c r="G28" s="7"/>
    </row>
    <row r="29" spans="1:15">
      <c r="D29" s="4" t="s">
        <v>217</v>
      </c>
      <c r="E29" s="81">
        <f>SUM(E30:E46)</f>
        <v>2104221502560.1006</v>
      </c>
      <c r="F29" s="81">
        <f>SUM(F30:F51)</f>
        <v>26264320587.623665</v>
      </c>
      <c r="G29" s="47">
        <f t="shared" si="1"/>
        <v>2130485823147.7244</v>
      </c>
      <c r="K29" s="47">
        <f>Lending!AC19</f>
        <v>2104221502560.1006</v>
      </c>
      <c r="L29" s="1405">
        <f>K29-E29</f>
        <v>0</v>
      </c>
      <c r="M29" s="1405"/>
      <c r="N29" s="7">
        <f>Paylater!AB26</f>
        <v>26264320587.623661</v>
      </c>
      <c r="O29" s="34">
        <f>F29-N29</f>
        <v>0</v>
      </c>
    </row>
    <row r="30" spans="1:15">
      <c r="A30" t="str">
        <f>B30</f>
        <v>TOIVDSCL</v>
      </c>
      <c r="B30" t="str">
        <f t="shared" ref="B30:B39" si="6">$D$29&amp;D30</f>
        <v>TOIVDSCL</v>
      </c>
      <c r="C30" t="s">
        <v>237</v>
      </c>
      <c r="D30" s="324" t="s">
        <v>501</v>
      </c>
      <c r="E30" s="285">
        <f>SUMIFS(Lending!$AC:$AC,Lending!$G:$G,'Summary Lending + PL Productdet'!$B30)</f>
        <v>778189988131.92017</v>
      </c>
      <c r="F30" s="7"/>
      <c r="G30" s="7">
        <f t="shared" si="1"/>
        <v>778189988131.92017</v>
      </c>
    </row>
    <row r="31" spans="1:15">
      <c r="A31" t="str">
        <f t="shared" ref="A31:A75" si="7">B31</f>
        <v>TOIVDSPD</v>
      </c>
      <c r="B31" t="str">
        <f t="shared" si="6"/>
        <v>TOIVDSPD</v>
      </c>
      <c r="C31" t="s">
        <v>237</v>
      </c>
      <c r="D31" s="324" t="s">
        <v>502</v>
      </c>
      <c r="E31" s="285">
        <f>SUMIFS(Lending!$AC:$AC,Lending!$G:$G,'Summary Lending + PL Productdet'!$B31)</f>
        <v>241484453791.94275</v>
      </c>
      <c r="F31" s="7"/>
      <c r="G31" s="7">
        <f t="shared" si="1"/>
        <v>241484453791.94275</v>
      </c>
    </row>
    <row r="32" spans="1:15">
      <c r="A32" t="str">
        <f t="shared" si="7"/>
        <v>TOIVDSPRCL</v>
      </c>
      <c r="B32" t="str">
        <f t="shared" si="6"/>
        <v>TOIVDSPRCL</v>
      </c>
      <c r="C32" t="s">
        <v>237</v>
      </c>
      <c r="D32" s="324" t="s">
        <v>503</v>
      </c>
      <c r="E32" s="285">
        <f>SUMIFS(Lending!$AC:$AC,Lending!$G:$G,'Summary Lending + PL Productdet'!$B32)</f>
        <v>2430194854.2073002</v>
      </c>
      <c r="F32" s="7"/>
      <c r="G32" s="7">
        <f t="shared" si="1"/>
        <v>2430194854.2073002</v>
      </c>
    </row>
    <row r="33" spans="1:15">
      <c r="A33" t="str">
        <f t="shared" si="7"/>
        <v>TOIVDSPRPD</v>
      </c>
      <c r="B33" t="str">
        <f t="shared" si="6"/>
        <v>TOIVDSPRPD</v>
      </c>
      <c r="C33" t="s">
        <v>237</v>
      </c>
      <c r="D33" s="324" t="s">
        <v>504</v>
      </c>
      <c r="E33" s="285">
        <f>SUMIFS(Lending!$AC:$AC,Lending!$G:$G,'Summary Lending + PL Productdet'!$B33)</f>
        <v>357379858.89899999</v>
      </c>
      <c r="F33" s="7"/>
      <c r="G33" s="7">
        <f t="shared" si="1"/>
        <v>357379858.89899999</v>
      </c>
    </row>
    <row r="34" spans="1:15">
      <c r="A34" t="str">
        <f t="shared" si="7"/>
        <v>TOIBEGCL</v>
      </c>
      <c r="B34" t="str">
        <f t="shared" si="6"/>
        <v>TOIBEGCL</v>
      </c>
      <c r="C34" t="s">
        <v>282</v>
      </c>
      <c r="D34" s="324" t="s">
        <v>505</v>
      </c>
      <c r="E34" s="285">
        <f>SUMIFS(Lending!$AC:$AC,Lending!$G:$G,'Summary Lending + PL Productdet'!$B34)</f>
        <v>3966603001.9565001</v>
      </c>
      <c r="F34" s="7"/>
      <c r="G34" s="7">
        <f t="shared" si="1"/>
        <v>3966603001.9565001</v>
      </c>
    </row>
    <row r="35" spans="1:15">
      <c r="A35" t="str">
        <f t="shared" si="7"/>
        <v>TOINGSCL</v>
      </c>
      <c r="B35" t="str">
        <f t="shared" si="6"/>
        <v>TOINGSCL</v>
      </c>
      <c r="C35" t="s">
        <v>498</v>
      </c>
      <c r="D35" s="324" t="s">
        <v>506</v>
      </c>
      <c r="E35" s="285">
        <f>SUMIFS(Lending!$AC:$AC,Lending!$G:$G,'Summary Lending + PL Productdet'!$B35)</f>
        <v>7467673857.7375011</v>
      </c>
      <c r="F35" s="7"/>
      <c r="G35" s="7">
        <f t="shared" si="1"/>
        <v>7467673857.7375011</v>
      </c>
    </row>
    <row r="36" spans="1:15">
      <c r="A36" t="str">
        <f t="shared" si="7"/>
        <v>TOICAKECL</v>
      </c>
      <c r="B36" t="str">
        <f t="shared" si="6"/>
        <v>TOICAKECL</v>
      </c>
      <c r="C36" t="s">
        <v>310</v>
      </c>
      <c r="D36" s="324" t="s">
        <v>507</v>
      </c>
      <c r="E36" s="285">
        <f>SUMIFS(Lending!$AC:$AC,Lending!$G:$G,'Summary Lending + PL Productdet'!$B36)</f>
        <v>670225021704.73047</v>
      </c>
      <c r="F36" s="7"/>
      <c r="G36" s="7">
        <f t="shared" si="1"/>
        <v>670225021704.73047</v>
      </c>
    </row>
    <row r="37" spans="1:15">
      <c r="A37" t="str">
        <f t="shared" si="7"/>
        <v>TOICAKEPD</v>
      </c>
      <c r="B37" t="str">
        <f t="shared" si="6"/>
        <v>TOICAKEPD</v>
      </c>
      <c r="C37" t="s">
        <v>310</v>
      </c>
      <c r="D37" s="324" t="s">
        <v>508</v>
      </c>
      <c r="E37" s="285">
        <f>SUMIFS(Lending!$AC:$AC,Lending!$G:$G,'Summary Lending + PL Productdet'!$B37)</f>
        <v>113395085076</v>
      </c>
      <c r="F37" s="7"/>
      <c r="G37" s="7">
        <f t="shared" si="1"/>
        <v>113395085076</v>
      </c>
    </row>
    <row r="38" spans="1:15">
      <c r="A38" t="str">
        <f t="shared" si="7"/>
        <v>TOICAKEOD</v>
      </c>
      <c r="B38" t="str">
        <f t="shared" si="6"/>
        <v>TOICAKEOD</v>
      </c>
      <c r="C38" t="s">
        <v>310</v>
      </c>
      <c r="D38" s="324" t="s">
        <v>509</v>
      </c>
      <c r="E38" s="285">
        <v>68552146389.586136</v>
      </c>
      <c r="F38" s="7"/>
      <c r="G38" s="7">
        <f t="shared" si="1"/>
        <v>68552146389.586136</v>
      </c>
      <c r="H38" s="34"/>
    </row>
    <row r="39" spans="1:15">
      <c r="A39" t="str">
        <f t="shared" si="7"/>
        <v>TOIMWGCL</v>
      </c>
      <c r="B39" t="str">
        <f t="shared" si="6"/>
        <v>TOIMWGCL</v>
      </c>
      <c r="C39" t="s">
        <v>290</v>
      </c>
      <c r="D39" s="324" t="s">
        <v>510</v>
      </c>
      <c r="E39" s="285">
        <f>SUMIFS(Lending!$AC:$AC,Lending!$G:$G,'Summary Lending + PL Productdet'!$B39)</f>
        <v>98237098296.314804</v>
      </c>
      <c r="F39" s="7"/>
      <c r="G39" s="7">
        <f t="shared" si="1"/>
        <v>98237098296.314804</v>
      </c>
      <c r="N39" s="4" t="s">
        <v>497</v>
      </c>
      <c r="O39" s="1404" t="s">
        <v>496</v>
      </c>
    </row>
    <row r="40" spans="1:15">
      <c r="A40" t="str">
        <f t="shared" si="7"/>
        <v>TOIVNPAYCL</v>
      </c>
      <c r="B40" t="str">
        <f t="shared" ref="B40:B51" si="8">$D$29&amp;D40</f>
        <v>TOIVNPAYCL</v>
      </c>
      <c r="C40" t="s">
        <v>285</v>
      </c>
      <c r="D40" s="324" t="s">
        <v>511</v>
      </c>
      <c r="E40" s="285">
        <f>SUMIFS(Lending!$AC:$AC,Lending!$G:$G,'Summary Lending + PL Productdet'!$B40)</f>
        <v>31212438521.806</v>
      </c>
      <c r="F40" s="7"/>
      <c r="G40" s="7"/>
      <c r="N40" s="4"/>
      <c r="O40" s="1404"/>
    </row>
    <row r="41" spans="1:15">
      <c r="A41" t="str">
        <f t="shared" si="7"/>
        <v>TOIVNPAYPD</v>
      </c>
      <c r="B41" t="str">
        <f t="shared" si="8"/>
        <v>TOIVNPAYPD</v>
      </c>
      <c r="C41" t="s">
        <v>285</v>
      </c>
      <c r="D41" s="324" t="s">
        <v>512</v>
      </c>
      <c r="E41" s="285">
        <f>SUMIFS(Lending!$AC:$AC,Lending!$G:$G,'Summary Lending + PL Productdet'!$B41)</f>
        <v>1971561043</v>
      </c>
      <c r="F41" s="7"/>
      <c r="G41" s="7"/>
      <c r="N41" s="4"/>
      <c r="O41" s="1404"/>
    </row>
    <row r="42" spans="1:15">
      <c r="A42" t="str">
        <f t="shared" si="7"/>
        <v>TOIZALOPAYCL</v>
      </c>
      <c r="B42" t="str">
        <f t="shared" si="8"/>
        <v>TOIZALOPAYCL</v>
      </c>
      <c r="C42" t="s">
        <v>329</v>
      </c>
      <c r="D42" s="324" t="s">
        <v>513</v>
      </c>
      <c r="E42" s="285">
        <f>SUMIFS(Lending!$AC:$AC,Lending!$G:$G,'Summary Lending + PL Productdet'!$B42)</f>
        <v>83847094493</v>
      </c>
      <c r="F42" s="7"/>
      <c r="G42" s="7"/>
      <c r="N42" s="4"/>
      <c r="O42" s="1404"/>
    </row>
    <row r="43" spans="1:15">
      <c r="A43" t="str">
        <f t="shared" si="7"/>
        <v>TOIZALOPAYPD</v>
      </c>
      <c r="B43" t="str">
        <f t="shared" si="8"/>
        <v>TOIZALOPAYPD</v>
      </c>
      <c r="C43" t="s">
        <v>329</v>
      </c>
      <c r="D43" s="324" t="s">
        <v>514</v>
      </c>
      <c r="E43" s="285">
        <f>SUMIFS(Lending!$AC:$AC,Lending!$G:$G,'Summary Lending + PL Productdet'!$B43)</f>
        <v>928863</v>
      </c>
      <c r="F43" s="7"/>
      <c r="G43" s="7"/>
      <c r="N43" s="4"/>
      <c r="O43" s="1404"/>
    </row>
    <row r="44" spans="1:15">
      <c r="A44" t="str">
        <f t="shared" si="7"/>
        <v>TOIVNPOSTCL</v>
      </c>
      <c r="B44" t="str">
        <f t="shared" si="8"/>
        <v>TOIVNPOSTCL</v>
      </c>
      <c r="C44" t="s">
        <v>312</v>
      </c>
      <c r="D44" s="324" t="s">
        <v>515</v>
      </c>
      <c r="E44" s="285">
        <f>SUMIFS(Lending!$AC:$AC,Lending!$G:$G,'Summary Lending + PL Productdet'!$B44)</f>
        <v>2877741197</v>
      </c>
      <c r="F44" s="7"/>
      <c r="G44" s="7"/>
      <c r="N44" s="4"/>
      <c r="O44" s="1404"/>
    </row>
    <row r="45" spans="1:15">
      <c r="A45" t="str">
        <f t="shared" si="7"/>
        <v>TOIVNPOSTPRCL</v>
      </c>
      <c r="B45" t="str">
        <f t="shared" si="8"/>
        <v>TOIVNPOSTPRCL</v>
      </c>
      <c r="C45" t="s">
        <v>312</v>
      </c>
      <c r="D45" s="324" t="s">
        <v>516</v>
      </c>
      <c r="E45" s="285">
        <f>SUMIFS(Lending!$AC:$AC,Lending!$G:$G,'Summary Lending + PL Productdet'!$B45)</f>
        <v>1879944</v>
      </c>
      <c r="F45" s="7"/>
      <c r="G45" s="7"/>
      <c r="N45" s="4"/>
      <c r="O45" s="1404"/>
    </row>
    <row r="46" spans="1:15">
      <c r="A46" t="str">
        <f t="shared" si="7"/>
        <v>TOIMISACL</v>
      </c>
      <c r="B46" t="str">
        <f t="shared" si="8"/>
        <v>TOIMISACL</v>
      </c>
      <c r="C46" t="s">
        <v>499</v>
      </c>
      <c r="D46" s="324" t="s">
        <v>517</v>
      </c>
      <c r="E46" s="285">
        <f>SUMIFS(Lending!$AC:$AC,Lending!$G:$G,'Summary Lending + PL Productdet'!$B46)</f>
        <v>4213535</v>
      </c>
      <c r="F46" s="7"/>
      <c r="G46" s="7"/>
      <c r="N46" s="4"/>
      <c r="O46" s="1404"/>
    </row>
    <row r="47" spans="1:15">
      <c r="A47" t="str">
        <f t="shared" si="7"/>
        <v>TOIVDSPL</v>
      </c>
      <c r="B47" t="str">
        <f t="shared" si="8"/>
        <v>TOIVDSPL</v>
      </c>
      <c r="C47" t="s">
        <v>237</v>
      </c>
      <c r="D47" s="324" t="s">
        <v>518</v>
      </c>
      <c r="E47" s="285"/>
      <c r="F47" s="7">
        <f>SUMIFS(Paylater!$AB:$AB,Paylater!$G:$G,'Summary Lending + PL Productdet'!$A47)</f>
        <v>8231168271.3641319</v>
      </c>
      <c r="G47" s="7"/>
      <c r="N47" s="4"/>
      <c r="O47" s="1404"/>
    </row>
    <row r="48" spans="1:15">
      <c r="A48" t="str">
        <f t="shared" si="7"/>
        <v>TOIBEGPL</v>
      </c>
      <c r="B48" t="str">
        <f t="shared" si="8"/>
        <v>TOIBEGPL</v>
      </c>
      <c r="C48" t="s">
        <v>282</v>
      </c>
      <c r="D48" s="324" t="s">
        <v>519</v>
      </c>
      <c r="E48" s="285"/>
      <c r="F48" s="7">
        <f>SUMIFS(Paylater!$AB:$AB,Paylater!$G:$G,'Summary Lending + PL Productdet'!$A48)</f>
        <v>4985869496.9515781</v>
      </c>
      <c r="G48" s="7"/>
      <c r="N48" s="4"/>
      <c r="O48" s="1404"/>
    </row>
    <row r="49" spans="1:15">
      <c r="A49" t="str">
        <f t="shared" si="7"/>
        <v>TOIVNPAYPL</v>
      </c>
      <c r="B49" t="str">
        <f t="shared" si="8"/>
        <v>TOIVNPAYPL</v>
      </c>
      <c r="C49" t="s">
        <v>285</v>
      </c>
      <c r="D49" s="324" t="s">
        <v>520</v>
      </c>
      <c r="E49" s="285"/>
      <c r="F49" s="7">
        <f>SUMIFS(Paylater!$AB:$AB,Paylater!$G:$G,'Summary Lending + PL Productdet'!$A49)</f>
        <v>6119154471.8365402</v>
      </c>
      <c r="G49" s="7"/>
      <c r="N49" s="4"/>
      <c r="O49" s="1404"/>
    </row>
    <row r="50" spans="1:15">
      <c r="A50" t="str">
        <f t="shared" si="7"/>
        <v>TOIFPTPL</v>
      </c>
      <c r="B50" t="str">
        <f t="shared" si="8"/>
        <v>TOIFPTPL</v>
      </c>
      <c r="C50" t="s">
        <v>288</v>
      </c>
      <c r="D50" s="324" t="s">
        <v>521</v>
      </c>
      <c r="E50" s="285"/>
      <c r="F50" s="7">
        <f>SUMIFS(Paylater!$AB:$AB,Paylater!$G:$G,'Summary Lending + PL Productdet'!$A50)</f>
        <v>14595024.515243847</v>
      </c>
      <c r="G50" s="7"/>
      <c r="N50" s="4"/>
      <c r="O50" s="1404"/>
    </row>
    <row r="51" spans="1:15">
      <c r="A51" t="str">
        <f t="shared" si="7"/>
        <v>TOIMWGPL</v>
      </c>
      <c r="B51" t="str">
        <f t="shared" si="8"/>
        <v>TOIMWGPL</v>
      </c>
      <c r="C51" t="s">
        <v>290</v>
      </c>
      <c r="D51" s="324" t="s">
        <v>522</v>
      </c>
      <c r="E51" s="285"/>
      <c r="F51" s="7">
        <f>SUMIFS(Paylater!$AB:$AB,Paylater!$G:$G,'Summary Lending + PL Productdet'!$A51)</f>
        <v>6913533322.9561672</v>
      </c>
      <c r="G51" s="7"/>
      <c r="N51" s="4"/>
      <c r="O51" s="1404"/>
    </row>
    <row r="52" spans="1:15">
      <c r="D52" s="324"/>
      <c r="E52" s="285"/>
      <c r="F52" s="7"/>
      <c r="G52" s="7"/>
      <c r="N52" s="4"/>
      <c r="O52" s="1404"/>
    </row>
    <row r="53" spans="1:15">
      <c r="D53" s="4" t="s">
        <v>236</v>
      </c>
      <c r="E53" s="81">
        <f>SUM(E54:E70)</f>
        <v>702961691748.26538</v>
      </c>
      <c r="F53" s="81">
        <f>SUM(F54:F75)</f>
        <v>-24434726284.981544</v>
      </c>
      <c r="G53" s="47">
        <f t="shared" si="1"/>
        <v>678526965463.28381</v>
      </c>
      <c r="K53" s="47">
        <f>Lending!AC46</f>
        <v>702961691748.26538</v>
      </c>
      <c r="L53" s="1405">
        <f>K53-E53</f>
        <v>0</v>
      </c>
      <c r="M53" s="1405"/>
      <c r="N53" s="7">
        <f>Paylater!AB50</f>
        <v>-24434726284.981544</v>
      </c>
      <c r="O53" s="1406">
        <f>F53-N53</f>
        <v>0</v>
      </c>
    </row>
    <row r="54" spans="1:15">
      <c r="A54" t="str">
        <f t="shared" si="7"/>
        <v>Profit before allocation costVDSCL</v>
      </c>
      <c r="B54" t="str">
        <f>$D$53&amp;D54</f>
        <v>Profit before allocation costVDSCL</v>
      </c>
      <c r="C54" t="s">
        <v>237</v>
      </c>
      <c r="D54" s="324" t="s">
        <v>501</v>
      </c>
      <c r="E54" s="285">
        <f>SUMIFS(Lending!$AC:$AC,Lending!$G:$G,'Summary Lending + PL Productdet'!$B54)</f>
        <v>131343606181.56259</v>
      </c>
      <c r="F54" s="7"/>
      <c r="G54" s="7">
        <f t="shared" si="1"/>
        <v>131343606181.56259</v>
      </c>
    </row>
    <row r="55" spans="1:15">
      <c r="A55" t="str">
        <f t="shared" si="7"/>
        <v>Profit before allocation costVDSPD</v>
      </c>
      <c r="B55" t="str">
        <f t="shared" ref="B55:B75" si="9">$D$53&amp;D55</f>
        <v>Profit before allocation costVDSPD</v>
      </c>
      <c r="C55" t="s">
        <v>237</v>
      </c>
      <c r="D55" s="324" t="s">
        <v>502</v>
      </c>
      <c r="E55" s="285">
        <f>SUMIFS(Lending!$AC:$AC,Lending!$G:$G,'Summary Lending + PL Productdet'!$B55)</f>
        <v>71276521653.999313</v>
      </c>
      <c r="F55" s="7"/>
      <c r="G55" s="7">
        <f t="shared" si="1"/>
        <v>71276521653.999313</v>
      </c>
    </row>
    <row r="56" spans="1:15">
      <c r="A56" t="str">
        <f t="shared" si="7"/>
        <v>Profit before allocation costVDSPRCL</v>
      </c>
      <c r="B56" t="str">
        <f t="shared" si="9"/>
        <v>Profit before allocation costVDSPRCL</v>
      </c>
      <c r="C56" t="s">
        <v>237</v>
      </c>
      <c r="D56" s="324" t="s">
        <v>503</v>
      </c>
      <c r="E56" s="285">
        <f>SUMIFS(Lending!$AC:$AC,Lending!$G:$G,'Summary Lending + PL Productdet'!$B56)</f>
        <v>465255991.54889858</v>
      </c>
      <c r="F56" s="7"/>
      <c r="G56" s="7">
        <f t="shared" si="1"/>
        <v>465255991.54889858</v>
      </c>
    </row>
    <row r="57" spans="1:15">
      <c r="A57" t="str">
        <f t="shared" si="7"/>
        <v>Profit before allocation costVDSPRPD</v>
      </c>
      <c r="B57" t="str">
        <f t="shared" si="9"/>
        <v>Profit before allocation costVDSPRPD</v>
      </c>
      <c r="C57" t="s">
        <v>237</v>
      </c>
      <c r="D57" s="324" t="s">
        <v>504</v>
      </c>
      <c r="E57" s="285">
        <f>SUMIFS(Lending!$AC:$AC,Lending!$G:$G,'Summary Lending + PL Productdet'!$B57)</f>
        <v>100799432.08252552</v>
      </c>
      <c r="F57" s="7"/>
      <c r="G57" s="7">
        <f t="shared" si="1"/>
        <v>100799432.08252552</v>
      </c>
    </row>
    <row r="58" spans="1:15">
      <c r="A58" t="str">
        <f t="shared" si="7"/>
        <v>Profit before allocation costBEGCL</v>
      </c>
      <c r="B58" t="str">
        <f t="shared" si="9"/>
        <v>Profit before allocation costBEGCL</v>
      </c>
      <c r="C58" t="s">
        <v>282</v>
      </c>
      <c r="D58" s="324" t="s">
        <v>505</v>
      </c>
      <c r="E58" s="285">
        <f>SUMIFS(Lending!$AC:$AC,Lending!$G:$G,'Summary Lending + PL Productdet'!$B58)</f>
        <v>-4933060460.6952362</v>
      </c>
      <c r="F58" s="7"/>
      <c r="G58" s="7">
        <f t="shared" si="1"/>
        <v>-4933060460.6952362</v>
      </c>
      <c r="H58" s="7"/>
    </row>
    <row r="59" spans="1:15">
      <c r="A59" t="str">
        <f t="shared" si="7"/>
        <v>Profit before allocation costNGSCL</v>
      </c>
      <c r="B59" t="str">
        <f t="shared" si="9"/>
        <v>Profit before allocation costNGSCL</v>
      </c>
      <c r="C59" t="s">
        <v>498</v>
      </c>
      <c r="D59" s="324" t="s">
        <v>506</v>
      </c>
      <c r="E59" s="285">
        <f>SUMIFS(Lending!$AC:$AC,Lending!$G:$G,'Summary Lending + PL Productdet'!$B59)</f>
        <v>-29545647899.429356</v>
      </c>
      <c r="F59" s="7"/>
      <c r="G59" s="7">
        <f t="shared" si="1"/>
        <v>-29545647899.429356</v>
      </c>
    </row>
    <row r="60" spans="1:15">
      <c r="A60" t="str">
        <f t="shared" si="7"/>
        <v>Profit before allocation costCAKECL</v>
      </c>
      <c r="B60" t="str">
        <f t="shared" si="9"/>
        <v>Profit before allocation costCAKECL</v>
      </c>
      <c r="C60" t="s">
        <v>310</v>
      </c>
      <c r="D60" s="324" t="s">
        <v>507</v>
      </c>
      <c r="E60" s="285">
        <f>SUMIFS(Lending!$AC:$AC,Lending!$G:$G,'Summary Lending + PL Productdet'!$B60)</f>
        <v>337072313361.10321</v>
      </c>
      <c r="F60" s="7"/>
      <c r="G60" s="7">
        <f t="shared" si="1"/>
        <v>337072313361.10321</v>
      </c>
    </row>
    <row r="61" spans="1:15">
      <c r="A61" t="str">
        <f t="shared" si="7"/>
        <v>Profit before allocation costCAKEPD</v>
      </c>
      <c r="B61" t="str">
        <f t="shared" si="9"/>
        <v>Profit before allocation costCAKEPD</v>
      </c>
      <c r="C61" t="s">
        <v>310</v>
      </c>
      <c r="D61" s="324" t="s">
        <v>508</v>
      </c>
      <c r="E61" s="285">
        <f>SUMIFS(Lending!$AC:$AC,Lending!$G:$G,'Summary Lending + PL Productdet'!$B61)</f>
        <v>95406403183.296036</v>
      </c>
      <c r="F61" s="7"/>
      <c r="G61" s="7">
        <f t="shared" si="1"/>
        <v>95406403183.296036</v>
      </c>
    </row>
    <row r="62" spans="1:15">
      <c r="A62" t="str">
        <f t="shared" si="7"/>
        <v>Profit before allocation costCAKEOD</v>
      </c>
      <c r="B62" t="str">
        <f t="shared" si="9"/>
        <v>Profit before allocation costCAKEOD</v>
      </c>
      <c r="C62" t="s">
        <v>310</v>
      </c>
      <c r="D62" s="324" t="s">
        <v>509</v>
      </c>
      <c r="E62" s="285">
        <v>-11442183445.995461</v>
      </c>
      <c r="F62" s="7"/>
      <c r="G62" s="7">
        <f t="shared" si="1"/>
        <v>-11442183445.995461</v>
      </c>
      <c r="I62" s="34"/>
    </row>
    <row r="63" spans="1:15">
      <c r="A63" t="str">
        <f t="shared" si="7"/>
        <v>Profit before allocation costMWGCL</v>
      </c>
      <c r="B63" t="str">
        <f t="shared" si="9"/>
        <v>Profit before allocation costMWGCL</v>
      </c>
      <c r="C63" t="s">
        <v>290</v>
      </c>
      <c r="D63" s="324" t="s">
        <v>510</v>
      </c>
      <c r="E63" s="285">
        <f>SUMIFS(Lending!$AC:$AC,Lending!$G:$G,'Summary Lending + PL Productdet'!$B63)</f>
        <v>42481144615.568504</v>
      </c>
      <c r="F63" s="7"/>
      <c r="G63" s="7">
        <f t="shared" si="1"/>
        <v>42481144615.568504</v>
      </c>
    </row>
    <row r="64" spans="1:15">
      <c r="A64" t="str">
        <f t="shared" si="7"/>
        <v>Profit before allocation costVNPAYCL</v>
      </c>
      <c r="B64" t="str">
        <f t="shared" si="9"/>
        <v>Profit before allocation costVNPAYCL</v>
      </c>
      <c r="C64" t="s">
        <v>285</v>
      </c>
      <c r="D64" s="324" t="s">
        <v>511</v>
      </c>
      <c r="E64" s="285">
        <f>SUMIFS(Lending!$AC:$AC,Lending!$G:$G,'Summary Lending + PL Productdet'!$B64)</f>
        <v>15803765714.875381</v>
      </c>
    </row>
    <row r="65" spans="1:7">
      <c r="A65" t="str">
        <f t="shared" si="7"/>
        <v>Profit before allocation costVNPAYPD</v>
      </c>
      <c r="B65" t="str">
        <f t="shared" si="9"/>
        <v>Profit before allocation costVNPAYPD</v>
      </c>
      <c r="C65" t="s">
        <v>285</v>
      </c>
      <c r="D65" s="324" t="s">
        <v>512</v>
      </c>
      <c r="E65" s="285">
        <f>SUMIFS(Lending!$AC:$AC,Lending!$G:$G,'Summary Lending + PL Productdet'!$B65)</f>
        <v>1554552741.5370803</v>
      </c>
    </row>
    <row r="66" spans="1:7">
      <c r="A66" t="str">
        <f t="shared" si="7"/>
        <v>Profit before allocation costZALOPAYCL</v>
      </c>
      <c r="B66" t="str">
        <f t="shared" si="9"/>
        <v>Profit before allocation costZALOPAYCL</v>
      </c>
      <c r="C66" t="s">
        <v>329</v>
      </c>
      <c r="D66" s="324" t="s">
        <v>513</v>
      </c>
      <c r="E66" s="285">
        <f>SUMIFS(Lending!$AC:$AC,Lending!$G:$G,'Summary Lending + PL Productdet'!$B66)</f>
        <v>52251178127.709862</v>
      </c>
    </row>
    <row r="67" spans="1:7">
      <c r="A67" t="str">
        <f t="shared" si="7"/>
        <v>Profit before allocation costZALOPAYPD</v>
      </c>
      <c r="B67" t="str">
        <f t="shared" si="9"/>
        <v>Profit before allocation costZALOPAYPD</v>
      </c>
      <c r="C67" t="s">
        <v>329</v>
      </c>
      <c r="D67" s="324" t="s">
        <v>514</v>
      </c>
      <c r="E67" s="285">
        <f>SUMIFS(Lending!$AC:$AC,Lending!$G:$G,'Summary Lending + PL Productdet'!$B67)</f>
        <v>820395.88424229727</v>
      </c>
    </row>
    <row r="68" spans="1:7">
      <c r="A68" t="str">
        <f t="shared" si="7"/>
        <v>Profit before allocation costVNPOSTCL</v>
      </c>
      <c r="B68" t="str">
        <f t="shared" si="9"/>
        <v>Profit before allocation costVNPOSTCL</v>
      </c>
      <c r="C68" t="s">
        <v>312</v>
      </c>
      <c r="D68" s="324" t="s">
        <v>515</v>
      </c>
      <c r="E68" s="285">
        <f>SUMIFS(Lending!$AC:$AC,Lending!$G:$G,'Summary Lending + PL Productdet'!$B68)</f>
        <v>1147739111.6273646</v>
      </c>
    </row>
    <row r="69" spans="1:7">
      <c r="A69" t="str">
        <f t="shared" si="7"/>
        <v>Profit before allocation costVNPOSTPRCL</v>
      </c>
      <c r="B69" t="str">
        <f t="shared" si="9"/>
        <v>Profit before allocation costVNPOSTPRCL</v>
      </c>
      <c r="C69" t="s">
        <v>312</v>
      </c>
      <c r="D69" s="324" t="s">
        <v>516</v>
      </c>
      <c r="E69" s="285">
        <f>SUMIFS(Lending!$AC:$AC,Lending!$G:$G,'Summary Lending + PL Productdet'!$B69)</f>
        <v>-1127076.4485057883</v>
      </c>
    </row>
    <row r="70" spans="1:7">
      <c r="A70" t="str">
        <f t="shared" si="7"/>
        <v>Profit before allocation costMISACL</v>
      </c>
      <c r="B70" t="str">
        <f t="shared" si="9"/>
        <v>Profit before allocation costMISACL</v>
      </c>
      <c r="C70" t="s">
        <v>499</v>
      </c>
      <c r="D70" s="324" t="s">
        <v>517</v>
      </c>
      <c r="E70" s="285">
        <f>SUMIFS(Lending!$AC:$AC,Lending!$G:$G,'Summary Lending + PL Productdet'!$B70)</f>
        <v>-20389879.960934918</v>
      </c>
    </row>
    <row r="71" spans="1:7">
      <c r="A71" t="str">
        <f t="shared" si="7"/>
        <v>Profit before allocation costVDSPL</v>
      </c>
      <c r="B71" t="str">
        <f t="shared" si="9"/>
        <v>Profit before allocation costVDSPL</v>
      </c>
      <c r="C71" t="s">
        <v>237</v>
      </c>
      <c r="D71" s="324" t="s">
        <v>518</v>
      </c>
      <c r="F71" s="7">
        <f>SUMIFS(Paylater!$AB:$AB,Paylater!$G:$G,'Summary Lending + PL Productdet'!$A71)</f>
        <v>-9174703205.8246231</v>
      </c>
    </row>
    <row r="72" spans="1:7">
      <c r="A72" t="str">
        <f t="shared" si="7"/>
        <v>Profit before allocation costBEGPL</v>
      </c>
      <c r="B72" t="str">
        <f t="shared" si="9"/>
        <v>Profit before allocation costBEGPL</v>
      </c>
      <c r="C72" t="s">
        <v>282</v>
      </c>
      <c r="D72" s="324" t="s">
        <v>519</v>
      </c>
      <c r="F72" s="7">
        <f>SUMIFS(Paylater!$AB:$AB,Paylater!$G:$G,'Summary Lending + PL Productdet'!$A72)</f>
        <v>-2663456224.1278934</v>
      </c>
    </row>
    <row r="73" spans="1:7">
      <c r="A73" t="str">
        <f t="shared" si="7"/>
        <v>Profit before allocation costVNPAYPL</v>
      </c>
      <c r="B73" t="str">
        <f t="shared" si="9"/>
        <v>Profit before allocation costVNPAYPL</v>
      </c>
      <c r="C73" t="s">
        <v>285</v>
      </c>
      <c r="D73" s="324" t="s">
        <v>520</v>
      </c>
      <c r="F73" s="7">
        <f>SUMIFS(Paylater!$AB:$AB,Paylater!$G:$G,'Summary Lending + PL Productdet'!$A73)</f>
        <v>-5517124991.7795353</v>
      </c>
    </row>
    <row r="74" spans="1:7">
      <c r="A74" t="str">
        <f t="shared" si="7"/>
        <v>Profit before allocation costFPTPL</v>
      </c>
      <c r="B74" t="str">
        <f t="shared" si="9"/>
        <v>Profit before allocation costFPTPL</v>
      </c>
      <c r="C74" t="s">
        <v>288</v>
      </c>
      <c r="D74" s="324" t="s">
        <v>521</v>
      </c>
      <c r="F74" s="7">
        <f>SUMIFS(Paylater!$AB:$AB,Paylater!$G:$G,'Summary Lending + PL Productdet'!$A74)</f>
        <v>-849664939.16969657</v>
      </c>
    </row>
    <row r="75" spans="1:7">
      <c r="A75" t="str">
        <f t="shared" si="7"/>
        <v>Profit before allocation costMWGPL</v>
      </c>
      <c r="B75" t="str">
        <f t="shared" si="9"/>
        <v>Profit before allocation costMWGPL</v>
      </c>
      <c r="C75" t="s">
        <v>290</v>
      </c>
      <c r="D75" s="324" t="s">
        <v>522</v>
      </c>
      <c r="F75" s="7">
        <v>-6229776924.0797958</v>
      </c>
      <c r="G75" s="3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58310-DABE-41C6-9706-B993F23809A9}">
  <sheetPr>
    <tabColor theme="8" tint="0.59999389629810485"/>
  </sheetPr>
  <dimension ref="A1:AK716"/>
  <sheetViews>
    <sheetView tabSelected="1" zoomScale="55" zoomScaleNormal="55" workbookViewId="0">
      <pane ySplit="2" topLeftCell="A3" activePane="bottomLeft" state="frozen"/>
      <selection activeCell="U25" sqref="U25"/>
      <selection pane="bottomLeft" activeCell="G2" sqref="G2"/>
    </sheetView>
  </sheetViews>
  <sheetFormatPr baseColWidth="10" defaultColWidth="8.83203125" defaultRowHeight="15" customHeight="1"/>
  <cols>
    <col min="1" max="1" width="3.6640625" customWidth="1"/>
    <col min="2" max="5" width="10.6640625" style="454" customWidth="1"/>
    <col min="6" max="7" width="28.6640625" style="454" customWidth="1"/>
    <col min="8" max="8" width="36.33203125" style="980" bestFit="1" customWidth="1"/>
    <col min="9" max="9" width="9.1640625" style="454" customWidth="1"/>
    <col min="10" max="10" width="10.6640625" style="454" customWidth="1"/>
    <col min="11" max="11" width="9.1640625" customWidth="1"/>
    <col min="12" max="12" width="27.1640625" customWidth="1"/>
    <col min="13" max="13" width="18" bestFit="1" customWidth="1"/>
    <col min="14" max="14" width="20" hidden="1" customWidth="1"/>
    <col min="15" max="15" width="20.5" hidden="1" customWidth="1"/>
    <col min="16" max="16" width="18" customWidth="1"/>
    <col min="17" max="17" width="20" bestFit="1" customWidth="1"/>
    <col min="18" max="18" width="20" customWidth="1"/>
    <col min="19" max="19" width="18.6640625" customWidth="1"/>
    <col min="20" max="20" width="18.1640625" customWidth="1"/>
    <col min="21" max="21" width="19.6640625" customWidth="1"/>
    <col min="22" max="22" width="20.1640625" customWidth="1"/>
    <col min="23" max="23" width="19.6640625" customWidth="1"/>
    <col min="24" max="24" width="19.5" bestFit="1" customWidth="1"/>
    <col min="25" max="25" width="19.6640625" customWidth="1"/>
    <col min="26" max="26" width="20.5" customWidth="1"/>
    <col min="27" max="27" width="18.5" customWidth="1"/>
    <col min="28" max="28" width="19.5" customWidth="1"/>
    <col min="29" max="29" width="19.33203125" customWidth="1"/>
    <col min="30" max="30" width="16.1640625" bestFit="1" customWidth="1"/>
    <col min="31" max="32" width="8.83203125" bestFit="1" customWidth="1"/>
    <col min="34" max="37" width="8.83203125" bestFit="1" customWidth="1"/>
  </cols>
  <sheetData>
    <row r="1" spans="2:29">
      <c r="L1" s="34"/>
      <c r="M1" s="34"/>
      <c r="O1" s="74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2:29">
      <c r="B2" s="1155" t="s">
        <v>177</v>
      </c>
      <c r="C2" s="1156" t="s">
        <v>178</v>
      </c>
      <c r="D2" s="1156" t="s">
        <v>523</v>
      </c>
      <c r="E2" s="1156" t="s">
        <v>292</v>
      </c>
      <c r="F2" s="1156" t="s">
        <v>181</v>
      </c>
      <c r="G2" s="1407" t="s">
        <v>182</v>
      </c>
      <c r="H2" s="1407" t="s">
        <v>524</v>
      </c>
      <c r="I2" s="1156" t="s">
        <v>525</v>
      </c>
      <c r="J2" s="1156" t="s">
        <v>184</v>
      </c>
      <c r="K2" s="1157"/>
      <c r="L2" s="1145" t="s">
        <v>185</v>
      </c>
      <c r="M2" s="1145"/>
      <c r="N2" s="1049">
        <v>45597</v>
      </c>
      <c r="O2" s="1049">
        <v>45627</v>
      </c>
      <c r="P2" s="1049">
        <v>45658</v>
      </c>
      <c r="Q2" s="1049">
        <v>45689</v>
      </c>
      <c r="R2" s="1049">
        <v>45717</v>
      </c>
      <c r="S2" s="1049">
        <v>45748</v>
      </c>
      <c r="T2" s="1049">
        <v>45778</v>
      </c>
      <c r="U2" s="1049">
        <v>45809</v>
      </c>
      <c r="V2" s="1049">
        <v>45839</v>
      </c>
      <c r="W2" s="1049">
        <v>45870</v>
      </c>
      <c r="X2" s="1049">
        <v>45901</v>
      </c>
      <c r="Y2" s="1049">
        <v>45931</v>
      </c>
      <c r="Z2" s="1049">
        <v>45962</v>
      </c>
      <c r="AA2" s="1049">
        <v>45992</v>
      </c>
      <c r="AC2" t="s">
        <v>186</v>
      </c>
    </row>
    <row r="3" spans="2:29">
      <c r="B3" s="1158"/>
      <c r="C3" s="1159"/>
      <c r="D3" s="1159"/>
      <c r="E3" s="1159"/>
      <c r="F3" s="1159"/>
      <c r="G3" s="1159"/>
      <c r="H3" s="1159"/>
      <c r="I3" s="1159"/>
      <c r="J3" s="1159"/>
      <c r="K3" s="1147"/>
      <c r="L3" s="1146" t="s">
        <v>526</v>
      </c>
      <c r="M3" s="1146"/>
      <c r="N3" s="1146"/>
      <c r="O3" s="1146"/>
      <c r="P3" s="1146"/>
      <c r="Q3" s="1146"/>
      <c r="R3" s="1146"/>
      <c r="S3" s="1146"/>
      <c r="T3" s="1146"/>
      <c r="U3" s="1146"/>
      <c r="V3" s="1146"/>
      <c r="W3" s="1146"/>
      <c r="X3" s="1146"/>
      <c r="Y3" s="1146"/>
      <c r="Z3" s="1146"/>
      <c r="AA3" s="1146"/>
    </row>
    <row r="4" spans="2:29">
      <c r="B4" s="1158" t="s">
        <v>189</v>
      </c>
      <c r="C4" s="1159"/>
      <c r="D4" s="1159" t="s">
        <v>191</v>
      </c>
      <c r="E4" s="1159"/>
      <c r="F4" s="1159"/>
      <c r="G4" s="1159"/>
      <c r="H4" s="1159"/>
      <c r="I4" s="1160"/>
      <c r="J4" s="1159" t="str">
        <f t="shared" ref="J4:J45" si="0">B4&amp;"_"&amp;C4&amp;"_"&amp;D4&amp;"_"&amp;E4&amp;"_"&amp;I4</f>
        <v>lending__all__</v>
      </c>
      <c r="K4" s="1149"/>
      <c r="L4" s="1148" t="s">
        <v>193</v>
      </c>
      <c r="M4" s="1149">
        <f>SUM(P4:AA4)</f>
        <v>1710749</v>
      </c>
      <c r="N4" s="1169">
        <f t="shared" ref="N4:Y4" si="1">SUMIFS(N$48:N$3038,$L$48:$L$3038,"New account")</f>
        <v>69275</v>
      </c>
      <c r="O4" s="1169">
        <f t="shared" si="1"/>
        <v>83163</v>
      </c>
      <c r="P4" s="1169">
        <f t="shared" si="1"/>
        <v>72675</v>
      </c>
      <c r="Q4" s="1169">
        <f t="shared" si="1"/>
        <v>62148</v>
      </c>
      <c r="R4" s="1169">
        <f t="shared" si="1"/>
        <v>83436</v>
      </c>
      <c r="S4" s="1169">
        <f t="shared" si="1"/>
        <v>82811</v>
      </c>
      <c r="T4" s="1169">
        <f t="shared" si="1"/>
        <v>83424</v>
      </c>
      <c r="U4" s="1169">
        <f t="shared" si="1"/>
        <v>86016</v>
      </c>
      <c r="V4" s="1169">
        <f t="shared" si="1"/>
        <v>126963</v>
      </c>
      <c r="W4" s="1169">
        <f t="shared" si="1"/>
        <v>148017</v>
      </c>
      <c r="X4" s="1169">
        <f t="shared" si="1"/>
        <v>202873</v>
      </c>
      <c r="Y4" s="1169">
        <f t="shared" si="1"/>
        <v>242972</v>
      </c>
      <c r="Z4" s="1169">
        <f>SUMIFS($Z$48:$Z$3038,$L$48:$L$3038,"New account")</f>
        <v>248246</v>
      </c>
      <c r="AA4" s="1169">
        <f>SUMIFS(AA$48:AA$3038,$L$48:$L$3038,"New account")</f>
        <v>271168</v>
      </c>
      <c r="AB4" s="34">
        <f t="shared" ref="AB4" si="2">AA4-Z4</f>
        <v>22922</v>
      </c>
    </row>
    <row r="5" spans="2:29">
      <c r="B5" s="1158" t="s">
        <v>189</v>
      </c>
      <c r="C5" s="1159"/>
      <c r="D5" s="1159" t="s">
        <v>191</v>
      </c>
      <c r="E5" s="1159"/>
      <c r="F5" s="1159"/>
      <c r="G5" s="1159"/>
      <c r="H5" s="1159"/>
      <c r="I5" s="1160"/>
      <c r="J5" s="1159" t="str">
        <f t="shared" si="0"/>
        <v>lending__all__</v>
      </c>
      <c r="K5" s="1149"/>
      <c r="L5" s="1148" t="s">
        <v>527</v>
      </c>
      <c r="M5" s="1149">
        <f>SUM(P5:AA5)</f>
        <v>977652</v>
      </c>
      <c r="N5" s="1169">
        <f t="shared" ref="N5:AA5" si="3">SUMIFS(N$48:N$3038,$L$48:$L$3038,"Repeat account")</f>
        <v>31467</v>
      </c>
      <c r="O5" s="1169">
        <f t="shared" si="3"/>
        <v>41624</v>
      </c>
      <c r="P5" s="1169">
        <f t="shared" si="3"/>
        <v>36793</v>
      </c>
      <c r="Q5" s="1169">
        <f t="shared" si="3"/>
        <v>35375</v>
      </c>
      <c r="R5" s="1169">
        <f t="shared" si="3"/>
        <v>45120</v>
      </c>
      <c r="S5" s="1169">
        <f t="shared" si="3"/>
        <v>44837</v>
      </c>
      <c r="T5" s="1169">
        <f t="shared" si="3"/>
        <v>44599</v>
      </c>
      <c r="U5" s="1169">
        <f t="shared" si="3"/>
        <v>45859</v>
      </c>
      <c r="V5" s="1169">
        <f t="shared" si="3"/>
        <v>51585</v>
      </c>
      <c r="W5" s="1169">
        <f t="shared" si="3"/>
        <v>72863</v>
      </c>
      <c r="X5" s="1169">
        <f t="shared" si="3"/>
        <v>114006</v>
      </c>
      <c r="Y5" s="1169">
        <f t="shared" si="3"/>
        <v>152349</v>
      </c>
      <c r="Z5" s="1169">
        <f t="shared" si="3"/>
        <v>157809</v>
      </c>
      <c r="AA5" s="1169">
        <f t="shared" si="3"/>
        <v>176457</v>
      </c>
      <c r="AB5" s="34">
        <f t="shared" ref="AB5:AB68" si="4">AA5-Z5</f>
        <v>18648</v>
      </c>
    </row>
    <row r="6" spans="2:29">
      <c r="B6" s="1158" t="s">
        <v>189</v>
      </c>
      <c r="C6" s="1159"/>
      <c r="D6" s="1159" t="s">
        <v>191</v>
      </c>
      <c r="E6" s="1159"/>
      <c r="F6" s="1159"/>
      <c r="G6" s="1159"/>
      <c r="H6" s="1159"/>
      <c r="I6" s="1160"/>
      <c r="J6" s="1159" t="str">
        <f t="shared" si="0"/>
        <v>lending__all__</v>
      </c>
      <c r="K6" s="1149"/>
      <c r="L6" s="1148" t="s">
        <v>194</v>
      </c>
      <c r="M6" s="1149">
        <f>Z6</f>
        <v>596972</v>
      </c>
      <c r="N6" s="1169">
        <f t="shared" ref="N6:AA6" si="5">SUMIFS(N$48:N$3038,$L$48:$L$3038,"Accumulated account")</f>
        <v>263026</v>
      </c>
      <c r="O6" s="1169">
        <f t="shared" si="5"/>
        <v>289241</v>
      </c>
      <c r="P6" s="1169">
        <f t="shared" si="5"/>
        <v>293226</v>
      </c>
      <c r="Q6" s="1169">
        <f t="shared" si="5"/>
        <v>286953</v>
      </c>
      <c r="R6" s="1169">
        <f t="shared" si="5"/>
        <v>302253</v>
      </c>
      <c r="S6" s="1169">
        <f t="shared" si="5"/>
        <v>315835</v>
      </c>
      <c r="T6" s="1169">
        <f t="shared" si="5"/>
        <v>335201</v>
      </c>
      <c r="U6" s="1169">
        <f t="shared" si="5"/>
        <v>346940</v>
      </c>
      <c r="V6" s="1169">
        <f t="shared" si="5"/>
        <v>379027</v>
      </c>
      <c r="W6" s="1169">
        <f t="shared" si="5"/>
        <v>436054</v>
      </c>
      <c r="X6" s="1169">
        <f t="shared" si="5"/>
        <v>502587</v>
      </c>
      <c r="Y6" s="1169">
        <f t="shared" si="5"/>
        <v>551606</v>
      </c>
      <c r="Z6" s="1169">
        <f t="shared" si="5"/>
        <v>596972</v>
      </c>
      <c r="AA6" s="1169">
        <f t="shared" si="5"/>
        <v>641252</v>
      </c>
      <c r="AB6" s="34">
        <f t="shared" si="4"/>
        <v>44280</v>
      </c>
    </row>
    <row r="7" spans="2:29">
      <c r="B7" s="1158" t="s">
        <v>189</v>
      </c>
      <c r="C7" s="1159"/>
      <c r="D7" s="1159" t="s">
        <v>191</v>
      </c>
      <c r="E7" s="1159"/>
      <c r="F7" s="1159"/>
      <c r="G7" s="1159"/>
      <c r="H7" s="1159"/>
      <c r="I7" s="1160"/>
      <c r="J7" s="1159" t="str">
        <f t="shared" si="0"/>
        <v>lending__all__</v>
      </c>
      <c r="K7" s="1149"/>
      <c r="L7" s="1169" t="s">
        <v>80</v>
      </c>
      <c r="M7" s="1149">
        <f>SUM(P7:AA7)</f>
        <v>14621515936862</v>
      </c>
      <c r="N7" s="1169">
        <f t="shared" ref="N7:AA7" si="6">SUMIFS(N$48:N$3038,$L$48:$L$3038,"Disbursement")</f>
        <v>565385177155</v>
      </c>
      <c r="O7" s="1169">
        <f t="shared" si="6"/>
        <v>648539970448</v>
      </c>
      <c r="P7" s="1169">
        <f t="shared" si="6"/>
        <v>607486373275</v>
      </c>
      <c r="Q7" s="1169">
        <f t="shared" si="6"/>
        <v>495446382206</v>
      </c>
      <c r="R7" s="1169">
        <f t="shared" si="6"/>
        <v>683532749818</v>
      </c>
      <c r="S7" s="1169">
        <f t="shared" si="6"/>
        <v>798190174129</v>
      </c>
      <c r="T7" s="1169">
        <f t="shared" si="6"/>
        <v>840951063659</v>
      </c>
      <c r="U7" s="1169">
        <f t="shared" si="6"/>
        <v>923959113319</v>
      </c>
      <c r="V7" s="1169">
        <f t="shared" si="6"/>
        <v>1268523513257</v>
      </c>
      <c r="W7" s="1169">
        <f t="shared" si="6"/>
        <v>1258758785148</v>
      </c>
      <c r="X7" s="1169">
        <f t="shared" si="6"/>
        <v>1714453459136</v>
      </c>
      <c r="Y7" s="1169">
        <f t="shared" si="6"/>
        <v>1916166104747</v>
      </c>
      <c r="Z7" s="1169">
        <f t="shared" si="6"/>
        <v>1979098724767</v>
      </c>
      <c r="AA7" s="1169">
        <f t="shared" si="6"/>
        <v>2134949493401</v>
      </c>
      <c r="AB7" s="34">
        <f t="shared" si="4"/>
        <v>155850768634</v>
      </c>
      <c r="AC7" s="286">
        <f>SUM(P7:AA7)</f>
        <v>14621515936862</v>
      </c>
    </row>
    <row r="8" spans="2:29">
      <c r="B8" s="1158" t="s">
        <v>189</v>
      </c>
      <c r="C8" s="1159"/>
      <c r="D8" s="1159" t="s">
        <v>191</v>
      </c>
      <c r="E8" s="1159"/>
      <c r="F8" s="1159"/>
      <c r="G8" s="1159"/>
      <c r="H8" s="1159"/>
      <c r="I8" s="1160"/>
      <c r="J8" s="1159" t="str">
        <f t="shared" si="0"/>
        <v>lending__all__</v>
      </c>
      <c r="K8" s="1149"/>
      <c r="L8" s="1169" t="s">
        <v>528</v>
      </c>
      <c r="M8" s="1169"/>
      <c r="N8" s="1169">
        <f t="shared" ref="N8:AA8" si="7">SUMIFS(N$48:N$3038,$L$48:$L$3038,"Disbursement w insurance")</f>
        <v>415183060000</v>
      </c>
      <c r="O8" s="1169">
        <f t="shared" si="7"/>
        <v>482160430000</v>
      </c>
      <c r="P8" s="1169">
        <f t="shared" si="7"/>
        <v>444116950000</v>
      </c>
      <c r="Q8" s="1169">
        <f t="shared" si="7"/>
        <v>350181210000</v>
      </c>
      <c r="R8" s="1169">
        <f t="shared" si="7"/>
        <v>496968420000</v>
      </c>
      <c r="S8" s="1169">
        <f t="shared" si="7"/>
        <v>588092938000</v>
      </c>
      <c r="T8" s="1169">
        <f t="shared" si="7"/>
        <v>593910462000</v>
      </c>
      <c r="U8" s="1169">
        <f t="shared" si="7"/>
        <v>669560212000</v>
      </c>
      <c r="V8" s="1169">
        <f t="shared" si="7"/>
        <v>960086540000</v>
      </c>
      <c r="W8" s="1169">
        <f t="shared" si="7"/>
        <v>979409516000</v>
      </c>
      <c r="X8" s="1169">
        <f t="shared" si="7"/>
        <v>1394415296000</v>
      </c>
      <c r="Y8" s="1169">
        <f t="shared" si="7"/>
        <v>1541906630000</v>
      </c>
      <c r="Z8" s="1169">
        <f t="shared" si="7"/>
        <v>1655146876000</v>
      </c>
      <c r="AA8" s="1169">
        <f t="shared" si="7"/>
        <v>1785933196000</v>
      </c>
      <c r="AB8" s="34">
        <f t="shared" si="4"/>
        <v>130786320000</v>
      </c>
    </row>
    <row r="9" spans="2:29">
      <c r="B9" s="1158" t="s">
        <v>189</v>
      </c>
      <c r="C9" s="1159"/>
      <c r="D9" s="1159" t="s">
        <v>191</v>
      </c>
      <c r="E9" s="1159"/>
      <c r="F9" s="1159"/>
      <c r="G9" s="1159"/>
      <c r="H9" s="1159"/>
      <c r="I9" s="1160"/>
      <c r="J9" s="1159" t="str">
        <f t="shared" si="0"/>
        <v>lending__all__</v>
      </c>
      <c r="K9" s="1149"/>
      <c r="L9" s="1169" t="s">
        <v>529</v>
      </c>
      <c r="M9" s="1149"/>
      <c r="N9" s="1169">
        <f t="shared" ref="N9:AA9" si="8">SUMIFS(N$48:N$3038,$L$48:$L$3038,"Disbursement w/o insurance")</f>
        <v>44524560000</v>
      </c>
      <c r="O9" s="1169">
        <f t="shared" si="8"/>
        <v>52877400000</v>
      </c>
      <c r="P9" s="1169">
        <f t="shared" si="8"/>
        <v>54308000000</v>
      </c>
      <c r="Q9" s="1169">
        <f t="shared" si="8"/>
        <v>50012000000</v>
      </c>
      <c r="R9" s="1169">
        <f t="shared" si="8"/>
        <v>74491000000</v>
      </c>
      <c r="S9" s="1169">
        <f t="shared" si="8"/>
        <v>95609900000</v>
      </c>
      <c r="T9" s="1169">
        <f t="shared" si="8"/>
        <v>127503000000</v>
      </c>
      <c r="U9" s="1169">
        <f t="shared" si="8"/>
        <v>135639400000</v>
      </c>
      <c r="V9" s="1169">
        <f t="shared" si="8"/>
        <v>190356260000</v>
      </c>
      <c r="W9" s="1169">
        <f t="shared" si="8"/>
        <v>182045000000</v>
      </c>
      <c r="X9" s="1169">
        <f t="shared" si="8"/>
        <v>233779000000</v>
      </c>
      <c r="Y9" s="1169">
        <f t="shared" si="8"/>
        <v>290020060000</v>
      </c>
      <c r="Z9" s="1169">
        <f t="shared" si="8"/>
        <v>250877000000</v>
      </c>
      <c r="AA9" s="1169">
        <f t="shared" si="8"/>
        <v>278008000000</v>
      </c>
      <c r="AB9" s="34">
        <f t="shared" si="4"/>
        <v>27131000000</v>
      </c>
    </row>
    <row r="10" spans="2:29">
      <c r="B10" s="1158" t="s">
        <v>189</v>
      </c>
      <c r="C10" s="1159"/>
      <c r="D10" s="1159" t="s">
        <v>191</v>
      </c>
      <c r="E10" s="1159"/>
      <c r="F10" s="1159"/>
      <c r="G10" s="1159"/>
      <c r="H10" s="1159"/>
      <c r="I10" s="1160"/>
      <c r="J10" s="1159" t="str">
        <f t="shared" si="0"/>
        <v>lending__all__</v>
      </c>
      <c r="K10" s="1149"/>
      <c r="L10" s="1169" t="s">
        <v>530</v>
      </c>
      <c r="M10" s="1149">
        <f>AA10</f>
        <v>6617059046336</v>
      </c>
      <c r="N10" s="1169">
        <f t="shared" ref="N10:AA10" si="9">SUMIFS(N$48:N$3038,$L$48:$L$3038,"Balance ENR")</f>
        <v>2052438476066</v>
      </c>
      <c r="O10" s="1169">
        <f t="shared" si="9"/>
        <v>2208691233824</v>
      </c>
      <c r="P10" s="1169">
        <f t="shared" si="9"/>
        <v>2353465097862</v>
      </c>
      <c r="Q10" s="1169">
        <f t="shared" si="9"/>
        <v>2269348501981</v>
      </c>
      <c r="R10" s="1169">
        <f t="shared" si="9"/>
        <v>2381914281455</v>
      </c>
      <c r="S10" s="1169">
        <f t="shared" si="9"/>
        <v>2586626572528</v>
      </c>
      <c r="T10" s="1169">
        <f t="shared" si="9"/>
        <v>2809564235670</v>
      </c>
      <c r="U10" s="1169">
        <f t="shared" si="9"/>
        <v>3047094181089</v>
      </c>
      <c r="V10" s="1169">
        <f t="shared" si="9"/>
        <v>3581571539212</v>
      </c>
      <c r="W10" s="1169">
        <f t="shared" si="9"/>
        <v>3982639212969</v>
      </c>
      <c r="X10" s="1169">
        <f t="shared" si="9"/>
        <v>4698643910641</v>
      </c>
      <c r="Y10" s="1169">
        <f t="shared" si="9"/>
        <v>5341105587162</v>
      </c>
      <c r="Z10" s="1169">
        <f t="shared" si="9"/>
        <v>5989360520352</v>
      </c>
      <c r="AA10" s="1169">
        <f t="shared" si="9"/>
        <v>6617059046336</v>
      </c>
      <c r="AB10" s="34">
        <f t="shared" si="4"/>
        <v>627698525984</v>
      </c>
    </row>
    <row r="11" spans="2:29">
      <c r="B11" s="1158" t="s">
        <v>189</v>
      </c>
      <c r="C11" s="1159"/>
      <c r="D11" s="1159" t="s">
        <v>191</v>
      </c>
      <c r="E11" s="1159"/>
      <c r="F11" s="1159"/>
      <c r="G11" s="1159"/>
      <c r="H11" s="1159"/>
      <c r="I11" s="1160"/>
      <c r="J11" s="1159" t="str">
        <f t="shared" si="0"/>
        <v>lending__all__</v>
      </c>
      <c r="K11" s="1149"/>
      <c r="L11" s="1235" t="s">
        <v>531</v>
      </c>
      <c r="M11" s="1236"/>
      <c r="N11" s="1169">
        <f t="shared" ref="N11:AA11" si="10">SUMIFS(N$48:N$3038,$L$48:$L$3038,"Indue balance")</f>
        <v>1861677245641</v>
      </c>
      <c r="O11" s="1169">
        <f t="shared" si="10"/>
        <v>2017439375775</v>
      </c>
      <c r="P11" s="1169">
        <f t="shared" si="10"/>
        <v>2146462749230</v>
      </c>
      <c r="Q11" s="1169">
        <f t="shared" si="10"/>
        <v>2109310363676</v>
      </c>
      <c r="R11" s="1169">
        <f t="shared" si="10"/>
        <v>2212171474295</v>
      </c>
      <c r="S11" s="1169">
        <f t="shared" si="10"/>
        <v>2407668341994</v>
      </c>
      <c r="T11" s="1169">
        <f t="shared" si="10"/>
        <v>2623647731424</v>
      </c>
      <c r="U11" s="1169">
        <f t="shared" si="10"/>
        <v>2862461599102</v>
      </c>
      <c r="V11" s="1169">
        <f t="shared" si="10"/>
        <v>3381041159622</v>
      </c>
      <c r="W11" s="1169">
        <f t="shared" si="10"/>
        <v>3776096718873</v>
      </c>
      <c r="X11" s="1169">
        <f t="shared" si="10"/>
        <v>4483304548936</v>
      </c>
      <c r="Y11" s="1169">
        <f t="shared" si="10"/>
        <v>5096619403628</v>
      </c>
      <c r="Z11" s="1169">
        <f t="shared" si="10"/>
        <v>5712030372324</v>
      </c>
      <c r="AA11" s="1169">
        <f t="shared" si="10"/>
        <v>6319462955843</v>
      </c>
      <c r="AB11" s="34">
        <f t="shared" si="4"/>
        <v>607432583519</v>
      </c>
    </row>
    <row r="12" spans="2:29">
      <c r="B12" s="1158" t="s">
        <v>189</v>
      </c>
      <c r="C12" s="1159"/>
      <c r="D12" s="1159" t="s">
        <v>191</v>
      </c>
      <c r="E12" s="1159"/>
      <c r="F12" s="1159"/>
      <c r="G12" s="1159"/>
      <c r="H12" s="1159"/>
      <c r="I12" s="1160"/>
      <c r="J12" s="1159" t="str">
        <f t="shared" si="0"/>
        <v>lending__all__</v>
      </c>
      <c r="K12" s="1149"/>
      <c r="L12" s="1235" t="s">
        <v>532</v>
      </c>
      <c r="M12" s="1236"/>
      <c r="N12" s="1169">
        <f t="shared" ref="N12:AA12" si="11">SUMIFS(N$48:N$3038,$L$48:$L$3038,"Overdue balance (dpd &gt;0)")</f>
        <v>190761230425</v>
      </c>
      <c r="O12" s="1169">
        <f t="shared" si="11"/>
        <v>191251858049</v>
      </c>
      <c r="P12" s="1169">
        <f t="shared" si="11"/>
        <v>207002348632</v>
      </c>
      <c r="Q12" s="1169">
        <f t="shared" si="11"/>
        <v>160038138305</v>
      </c>
      <c r="R12" s="1169">
        <f t="shared" si="11"/>
        <v>169742807160</v>
      </c>
      <c r="S12" s="1169">
        <f t="shared" si="11"/>
        <v>178958230534</v>
      </c>
      <c r="T12" s="1169">
        <f t="shared" si="11"/>
        <v>185916504246</v>
      </c>
      <c r="U12" s="1169">
        <f t="shared" si="11"/>
        <v>184632581987</v>
      </c>
      <c r="V12" s="1169">
        <f t="shared" si="11"/>
        <v>200530379590</v>
      </c>
      <c r="W12" s="1169">
        <f t="shared" si="11"/>
        <v>206542494096</v>
      </c>
      <c r="X12" s="1169">
        <f t="shared" si="11"/>
        <v>215339361705</v>
      </c>
      <c r="Y12" s="1169">
        <f t="shared" si="11"/>
        <v>244486183534</v>
      </c>
      <c r="Z12" s="1169">
        <f t="shared" si="11"/>
        <v>277330148028</v>
      </c>
      <c r="AA12" s="1169">
        <f t="shared" si="11"/>
        <v>297596090493</v>
      </c>
      <c r="AB12" s="34">
        <f t="shared" si="4"/>
        <v>20265942465</v>
      </c>
    </row>
    <row r="13" spans="2:29">
      <c r="B13" s="1158" t="s">
        <v>189</v>
      </c>
      <c r="C13" s="1159"/>
      <c r="D13" s="1159" t="s">
        <v>191</v>
      </c>
      <c r="E13" s="1159"/>
      <c r="F13" s="1159"/>
      <c r="G13" s="1159"/>
      <c r="H13" s="1159"/>
      <c r="I13" s="1160"/>
      <c r="J13" s="1159" t="str">
        <f t="shared" si="0"/>
        <v>lending__all__</v>
      </c>
      <c r="K13" s="1149"/>
      <c r="L13" s="1148" t="s">
        <v>533</v>
      </c>
      <c r="M13" s="1236"/>
      <c r="N13" s="1169">
        <f t="shared" ref="N13:AA13" si="12">SUMIFS(N$48:N$3038,$L$48:$L$3038,"Overdue balance (90d+)- CAKE")</f>
        <v>209084219244</v>
      </c>
      <c r="O13" s="1169">
        <f t="shared" si="12"/>
        <v>218890134025</v>
      </c>
      <c r="P13" s="1169">
        <f t="shared" si="12"/>
        <v>251298767400</v>
      </c>
      <c r="Q13" s="1169">
        <f t="shared" si="12"/>
        <v>189681407635</v>
      </c>
      <c r="R13" s="1169">
        <f t="shared" si="12"/>
        <v>197886173133</v>
      </c>
      <c r="S13" s="1169">
        <f t="shared" si="12"/>
        <v>205873544624</v>
      </c>
      <c r="T13" s="1169">
        <f t="shared" si="12"/>
        <v>223901043135</v>
      </c>
      <c r="U13" s="1169">
        <f t="shared" si="12"/>
        <v>210075662340</v>
      </c>
      <c r="V13" s="1169">
        <f t="shared" si="12"/>
        <v>225269731132</v>
      </c>
      <c r="W13" s="1169">
        <f t="shared" si="12"/>
        <v>221629358673</v>
      </c>
      <c r="X13" s="1169">
        <f t="shared" si="12"/>
        <v>221184750579</v>
      </c>
      <c r="Y13" s="1169">
        <f t="shared" si="12"/>
        <v>224149325644</v>
      </c>
      <c r="Z13" s="1169">
        <f t="shared" si="12"/>
        <v>235937958533</v>
      </c>
      <c r="AA13" s="1169">
        <f t="shared" si="12"/>
        <v>246201433440</v>
      </c>
      <c r="AB13" s="34">
        <f t="shared" si="4"/>
        <v>10263474907</v>
      </c>
    </row>
    <row r="14" spans="2:29">
      <c r="B14" s="1158" t="s">
        <v>189</v>
      </c>
      <c r="C14" s="1159"/>
      <c r="D14" s="1159" t="s">
        <v>191</v>
      </c>
      <c r="E14" s="1159"/>
      <c r="F14" s="1159"/>
      <c r="G14" s="1159"/>
      <c r="H14" s="1159"/>
      <c r="I14" s="1160"/>
      <c r="J14" s="1159" t="str">
        <f t="shared" si="0"/>
        <v>lending__all__</v>
      </c>
      <c r="K14" s="1149"/>
      <c r="L14" s="1169" t="s">
        <v>534</v>
      </c>
      <c r="M14" s="1236"/>
      <c r="N14" s="1169">
        <f t="shared" ref="N14:AA14" si="13">SUMIFS(N$48:N$3038,$L$48:$L$3038,"Overdue balance (10d+)")</f>
        <v>425943553591</v>
      </c>
      <c r="O14" s="1169">
        <f t="shared" si="13"/>
        <v>470976426376</v>
      </c>
      <c r="P14" s="1169">
        <f t="shared" si="13"/>
        <v>495636150490</v>
      </c>
      <c r="Q14" s="1169">
        <f t="shared" si="13"/>
        <v>446334022206</v>
      </c>
      <c r="R14" s="1169">
        <f t="shared" si="13"/>
        <v>482513889165</v>
      </c>
      <c r="S14" s="1169">
        <f t="shared" si="13"/>
        <v>467190144812</v>
      </c>
      <c r="T14" s="1169">
        <f t="shared" si="13"/>
        <v>488876105575</v>
      </c>
      <c r="U14" s="1169">
        <f t="shared" si="13"/>
        <v>535617603799</v>
      </c>
      <c r="V14" s="1169">
        <f t="shared" si="13"/>
        <v>575022333189</v>
      </c>
      <c r="W14" s="1169">
        <f t="shared" si="13"/>
        <v>612353661156</v>
      </c>
      <c r="X14" s="1169">
        <f t="shared" si="13"/>
        <v>736214783991</v>
      </c>
      <c r="Y14" s="1169">
        <f t="shared" si="13"/>
        <v>771531556627</v>
      </c>
      <c r="Z14" s="1169">
        <f t="shared" si="13"/>
        <v>882816124425</v>
      </c>
      <c r="AA14" s="1169">
        <f t="shared" si="13"/>
        <v>1063837986466</v>
      </c>
      <c r="AB14" s="34">
        <f t="shared" si="4"/>
        <v>181021862041</v>
      </c>
    </row>
    <row r="15" spans="2:29">
      <c r="B15" s="1158" t="s">
        <v>189</v>
      </c>
      <c r="C15" s="1159"/>
      <c r="D15" s="1159" t="s">
        <v>191</v>
      </c>
      <c r="E15" s="1159"/>
      <c r="F15" s="1159"/>
      <c r="G15" s="1159"/>
      <c r="H15" s="1159"/>
      <c r="I15" s="1160"/>
      <c r="J15" s="1159" t="str">
        <f t="shared" si="0"/>
        <v>lending__all__</v>
      </c>
      <c r="K15" s="1149"/>
      <c r="L15" s="1169" t="s">
        <v>535</v>
      </c>
      <c r="M15" s="1149"/>
      <c r="N15" s="1169">
        <f t="shared" ref="N15:AA15" si="14">SUMIFS(N$48:N$3038,$L$48:$L$3038,"Overdue balance (90+)")</f>
        <v>229333356425</v>
      </c>
      <c r="O15" s="1169">
        <f t="shared" si="14"/>
        <v>246335530146</v>
      </c>
      <c r="P15" s="1169">
        <f t="shared" si="14"/>
        <v>273128559163</v>
      </c>
      <c r="Q15" s="1169">
        <f t="shared" si="14"/>
        <v>216556182793</v>
      </c>
      <c r="R15" s="1169">
        <f t="shared" si="14"/>
        <v>241525121033</v>
      </c>
      <c r="S15" s="1169">
        <f t="shared" si="14"/>
        <v>239203735205</v>
      </c>
      <c r="T15" s="1169">
        <f t="shared" si="14"/>
        <v>257266404757</v>
      </c>
      <c r="U15" s="1169">
        <f t="shared" si="14"/>
        <v>264987269863</v>
      </c>
      <c r="V15" s="1169">
        <f t="shared" si="14"/>
        <v>264525009447</v>
      </c>
      <c r="W15" s="1169">
        <f t="shared" si="14"/>
        <v>263125382149</v>
      </c>
      <c r="X15" s="1169">
        <f t="shared" si="14"/>
        <v>288767284768</v>
      </c>
      <c r="Y15" s="1169">
        <f t="shared" si="14"/>
        <v>264094061116</v>
      </c>
      <c r="Z15" s="1169">
        <f t="shared" si="14"/>
        <v>288216101887</v>
      </c>
      <c r="AA15" s="1169">
        <f t="shared" si="14"/>
        <v>345094861626</v>
      </c>
      <c r="AB15" s="34">
        <f t="shared" si="4"/>
        <v>56878759739</v>
      </c>
    </row>
    <row r="16" spans="2:29">
      <c r="B16" s="1158" t="s">
        <v>189</v>
      </c>
      <c r="C16" s="1159"/>
      <c r="D16" s="1159" t="s">
        <v>191</v>
      </c>
      <c r="E16" s="1159"/>
      <c r="F16" s="1159"/>
      <c r="G16" s="1159"/>
      <c r="H16" s="1159"/>
      <c r="I16" s="1160"/>
      <c r="J16" s="1159" t="str">
        <f t="shared" si="0"/>
        <v>lending__all__</v>
      </c>
      <c r="K16" s="1149"/>
      <c r="L16" s="1169" t="s">
        <v>536</v>
      </c>
      <c r="M16" s="1236"/>
      <c r="N16" s="1169">
        <f t="shared" ref="N16:AA16" si="15">SUMIFS(N$48:N$3038,$L$48:$L$3038,"Overdue balance (11-90d)")</f>
        <v>196610197166</v>
      </c>
      <c r="O16" s="1169">
        <f t="shared" si="15"/>
        <v>224392444824</v>
      </c>
      <c r="P16" s="1169">
        <f t="shared" si="15"/>
        <v>222507591327</v>
      </c>
      <c r="Q16" s="1169">
        <f t="shared" si="15"/>
        <v>229777839413</v>
      </c>
      <c r="R16" s="1169">
        <f t="shared" si="15"/>
        <v>240988768132</v>
      </c>
      <c r="S16" s="1169">
        <f t="shared" si="15"/>
        <v>227986409607</v>
      </c>
      <c r="T16" s="1169">
        <f t="shared" si="15"/>
        <v>231609700818</v>
      </c>
      <c r="U16" s="1169">
        <f t="shared" si="15"/>
        <v>270630333936</v>
      </c>
      <c r="V16" s="1169">
        <f t="shared" si="15"/>
        <v>310497323742</v>
      </c>
      <c r="W16" s="1169">
        <f t="shared" si="15"/>
        <v>349228279007</v>
      </c>
      <c r="X16" s="1169">
        <f t="shared" si="15"/>
        <v>447438859223</v>
      </c>
      <c r="Y16" s="1169">
        <f t="shared" si="15"/>
        <v>507219433659</v>
      </c>
      <c r="Z16" s="1169">
        <f t="shared" si="15"/>
        <v>593736182398</v>
      </c>
      <c r="AA16" s="1169">
        <f t="shared" si="15"/>
        <v>716054248833</v>
      </c>
      <c r="AB16" s="34">
        <f t="shared" si="4"/>
        <v>122318066435</v>
      </c>
    </row>
    <row r="17" spans="2:37">
      <c r="B17" s="1158" t="s">
        <v>189</v>
      </c>
      <c r="C17" s="1159"/>
      <c r="D17" s="1159" t="s">
        <v>191</v>
      </c>
      <c r="E17" s="1159"/>
      <c r="F17" s="1159"/>
      <c r="G17" s="1159"/>
      <c r="H17" s="1159"/>
      <c r="I17" s="1160"/>
      <c r="J17" s="1159" t="str">
        <f t="shared" si="0"/>
        <v>lending__all__</v>
      </c>
      <c r="K17" s="1149"/>
      <c r="L17" s="1169" t="s">
        <v>537</v>
      </c>
      <c r="M17" s="1149"/>
      <c r="N17" s="1237">
        <f t="shared" ref="N17:AA17" si="16">N13/N10</f>
        <v>0.10187112631252217</v>
      </c>
      <c r="O17" s="1237">
        <f t="shared" si="16"/>
        <v>9.9103999089101419E-2</v>
      </c>
      <c r="P17" s="1237">
        <f t="shared" si="16"/>
        <v>0.10677820020712939</v>
      </c>
      <c r="Q17" s="1237">
        <f t="shared" si="16"/>
        <v>8.358408039550555E-2</v>
      </c>
      <c r="R17" s="1237">
        <f t="shared" si="16"/>
        <v>8.3078629098323642E-2</v>
      </c>
      <c r="S17" s="1237">
        <f t="shared" si="16"/>
        <v>7.9591521563467368E-2</v>
      </c>
      <c r="T17" s="1237">
        <f t="shared" si="16"/>
        <v>7.9692444932338791E-2</v>
      </c>
      <c r="U17" s="1237">
        <f t="shared" si="16"/>
        <v>6.8942950186371046E-2</v>
      </c>
      <c r="V17" s="1237">
        <f t="shared" si="16"/>
        <v>6.2896895584993048E-2</v>
      </c>
      <c r="W17" s="1237">
        <f t="shared" si="16"/>
        <v>5.5648866699069766E-2</v>
      </c>
      <c r="X17" s="1237">
        <f>X13/X10</f>
        <v>4.7074167522693895E-2</v>
      </c>
      <c r="Y17" s="1237">
        <f t="shared" si="16"/>
        <v>4.1966840382779605E-2</v>
      </c>
      <c r="Z17" s="1237">
        <f t="shared" si="16"/>
        <v>3.9392846319949652E-2</v>
      </c>
      <c r="AA17" s="1237">
        <f t="shared" si="16"/>
        <v>3.7207078207398908E-2</v>
      </c>
      <c r="AB17" s="34">
        <f t="shared" si="4"/>
        <v>-2.1857681125507442E-3</v>
      </c>
    </row>
    <row r="18" spans="2:37">
      <c r="B18" s="1158" t="s">
        <v>189</v>
      </c>
      <c r="C18" s="1159"/>
      <c r="D18" s="1159" t="s">
        <v>191</v>
      </c>
      <c r="E18" s="1159"/>
      <c r="F18" s="1159"/>
      <c r="G18" s="1159"/>
      <c r="H18" s="1159"/>
      <c r="I18" s="1162" t="s">
        <v>213</v>
      </c>
      <c r="J18" s="1159" t="str">
        <f t="shared" si="0"/>
        <v>lending__all__npl</v>
      </c>
      <c r="K18" s="1149"/>
      <c r="L18" s="1169" t="s">
        <v>538</v>
      </c>
      <c r="M18" s="1149"/>
      <c r="N18" s="1237">
        <f t="shared" ref="N18:AA18" si="17">N15/N10</f>
        <v>0.11173701872154211</v>
      </c>
      <c r="O18" s="1237">
        <f t="shared" si="17"/>
        <v>0.11153008911956831</v>
      </c>
      <c r="P18" s="1237">
        <f t="shared" si="17"/>
        <v>0.11605379634103051</v>
      </c>
      <c r="Q18" s="1237">
        <f t="shared" si="17"/>
        <v>9.5426587235922525E-2</v>
      </c>
      <c r="R18" s="1237">
        <f t="shared" si="17"/>
        <v>0.10139958558267832</v>
      </c>
      <c r="S18" s="1237">
        <f t="shared" si="17"/>
        <v>9.2477104250582989E-2</v>
      </c>
      <c r="T18" s="1237">
        <f t="shared" si="17"/>
        <v>9.1568080733220675E-2</v>
      </c>
      <c r="U18" s="1237">
        <f t="shared" si="17"/>
        <v>8.6963925010121054E-2</v>
      </c>
      <c r="V18" s="1237">
        <f t="shared" si="17"/>
        <v>7.3857245779097164E-2</v>
      </c>
      <c r="W18" s="1237">
        <f t="shared" si="17"/>
        <v>6.6068094064901203E-2</v>
      </c>
      <c r="X18" s="1237">
        <f>X15/X10</f>
        <v>6.145758015712361E-2</v>
      </c>
      <c r="Y18" s="1237">
        <f t="shared" si="17"/>
        <v>4.9445579535215022E-2</v>
      </c>
      <c r="Z18" s="1237">
        <f t="shared" si="17"/>
        <v>4.8121347998276998E-2</v>
      </c>
      <c r="AA18" s="1237">
        <f t="shared" si="17"/>
        <v>5.2152301983323851E-2</v>
      </c>
      <c r="AB18" s="34">
        <f t="shared" si="4"/>
        <v>4.0309539850468534E-3</v>
      </c>
    </row>
    <row r="19" spans="2:37">
      <c r="B19" s="1158" t="s">
        <v>189</v>
      </c>
      <c r="C19" s="1159"/>
      <c r="D19" s="1159" t="s">
        <v>191</v>
      </c>
      <c r="E19" s="1159"/>
      <c r="F19" s="1159"/>
      <c r="G19" s="1159"/>
      <c r="H19" s="1159"/>
      <c r="I19" s="1160"/>
      <c r="J19" s="1159" t="str">
        <f t="shared" si="0"/>
        <v>lending__all__</v>
      </c>
      <c r="K19" s="1149"/>
      <c r="L19" s="1238" t="s">
        <v>217</v>
      </c>
      <c r="M19" s="1150">
        <f t="shared" ref="M19:AA19" si="18">M20+M25+M29</f>
        <v>2104221502560.1006</v>
      </c>
      <c r="N19" s="1150">
        <f t="shared" si="18"/>
        <v>79814464956</v>
      </c>
      <c r="O19" s="1150">
        <f t="shared" si="18"/>
        <v>90589203057.205383</v>
      </c>
      <c r="P19" s="1150">
        <f t="shared" si="18"/>
        <v>93976364502</v>
      </c>
      <c r="Q19" s="1150">
        <f t="shared" si="18"/>
        <v>83352868197</v>
      </c>
      <c r="R19" s="1150">
        <f t="shared" si="18"/>
        <v>102719149823.10056</v>
      </c>
      <c r="S19" s="1150">
        <f t="shared" si="18"/>
        <v>111585837773</v>
      </c>
      <c r="T19" s="1150">
        <f t="shared" si="18"/>
        <v>120805173410</v>
      </c>
      <c r="U19" s="1150">
        <f t="shared" si="18"/>
        <v>134001760270</v>
      </c>
      <c r="V19" s="1150">
        <f t="shared" si="18"/>
        <v>166643200482</v>
      </c>
      <c r="W19" s="1150">
        <f t="shared" si="18"/>
        <v>188368001928</v>
      </c>
      <c r="X19" s="1150">
        <f t="shared" si="18"/>
        <v>228207818774</v>
      </c>
      <c r="Y19" s="1150">
        <f>Y20+Y25+Y29</f>
        <v>270089230602</v>
      </c>
      <c r="Z19" s="1150">
        <f>Z20+Z25+Z29</f>
        <v>284024566303</v>
      </c>
      <c r="AA19" s="1150">
        <f t="shared" si="18"/>
        <v>320447530496</v>
      </c>
      <c r="AB19" s="34">
        <f t="shared" si="4"/>
        <v>36422964193</v>
      </c>
      <c r="AC19" s="286">
        <f>SUM(P19:AA19)</f>
        <v>2104221502560.1006</v>
      </c>
    </row>
    <row r="20" spans="2:37">
      <c r="B20" s="1158" t="s">
        <v>189</v>
      </c>
      <c r="C20" s="1159"/>
      <c r="D20" s="1159" t="s">
        <v>191</v>
      </c>
      <c r="E20" s="1159"/>
      <c r="F20" s="1159"/>
      <c r="G20" s="1159"/>
      <c r="H20" s="1159"/>
      <c r="I20" s="1160"/>
      <c r="J20" s="1159" t="str">
        <f t="shared" si="0"/>
        <v>lending__all__</v>
      </c>
      <c r="K20" s="1149"/>
      <c r="L20" s="1239" t="s">
        <v>218</v>
      </c>
      <c r="M20" s="1150">
        <f t="shared" ref="M20:AA20" si="19">M21-M24</f>
        <v>1281411769374.1006</v>
      </c>
      <c r="N20" s="1150">
        <f t="shared" si="19"/>
        <v>52213603901</v>
      </c>
      <c r="O20" s="1150">
        <f t="shared" si="19"/>
        <v>58117593045</v>
      </c>
      <c r="P20" s="1150">
        <f t="shared" si="19"/>
        <v>64177638510</v>
      </c>
      <c r="Q20" s="1150">
        <f t="shared" si="19"/>
        <v>58823369739</v>
      </c>
      <c r="R20" s="1150">
        <f t="shared" si="19"/>
        <v>67391301479.100555</v>
      </c>
      <c r="S20" s="1150">
        <f t="shared" si="19"/>
        <v>71053250087</v>
      </c>
      <c r="T20" s="1150">
        <f t="shared" si="19"/>
        <v>79740766095</v>
      </c>
      <c r="U20" s="1150">
        <f t="shared" si="19"/>
        <v>85141834041</v>
      </c>
      <c r="V20" s="1150">
        <f t="shared" si="19"/>
        <v>100074891541</v>
      </c>
      <c r="W20" s="1150">
        <f t="shared" si="19"/>
        <v>116161678718</v>
      </c>
      <c r="X20" s="1150">
        <f t="shared" si="19"/>
        <v>128562251327</v>
      </c>
      <c r="Y20" s="1150">
        <f t="shared" si="19"/>
        <v>154618573145</v>
      </c>
      <c r="Z20" s="1150">
        <f>Z21-Z24</f>
        <v>165251262258</v>
      </c>
      <c r="AA20" s="1150">
        <f t="shared" si="19"/>
        <v>190414952434</v>
      </c>
      <c r="AB20" s="34">
        <f t="shared" si="4"/>
        <v>25163690176</v>
      </c>
    </row>
    <row r="21" spans="2:37">
      <c r="B21" s="1158" t="s">
        <v>189</v>
      </c>
      <c r="C21" s="1159"/>
      <c r="D21" s="1159" t="s">
        <v>191</v>
      </c>
      <c r="E21" s="1161"/>
      <c r="F21" s="1161"/>
      <c r="G21" s="1161"/>
      <c r="H21" s="1161"/>
      <c r="I21" s="1160"/>
      <c r="J21" s="1159" t="str">
        <f t="shared" si="0"/>
        <v>lending__all__</v>
      </c>
      <c r="K21" s="1149"/>
      <c r="L21" s="1240" t="s">
        <v>20</v>
      </c>
      <c r="M21" s="1149">
        <f>SUM(P21:AA21)</f>
        <v>1525705629347</v>
      </c>
      <c r="N21" s="1149">
        <v>62223552804</v>
      </c>
      <c r="O21" s="1149">
        <f t="shared" ref="O21:Y21" si="20">O22+N23-O23</f>
        <v>69272878417</v>
      </c>
      <c r="P21" s="1149">
        <f t="shared" si="20"/>
        <v>76219395758</v>
      </c>
      <c r="Q21" s="1149">
        <f t="shared" si="20"/>
        <v>69975903294</v>
      </c>
      <c r="R21" s="1149">
        <f t="shared" si="20"/>
        <v>79648572501</v>
      </c>
      <c r="S21" s="1149">
        <f t="shared" si="20"/>
        <v>83805884795</v>
      </c>
      <c r="T21" s="1149">
        <f t="shared" si="20"/>
        <v>94103072191</v>
      </c>
      <c r="U21" s="1149">
        <f t="shared" si="20"/>
        <v>100381074810</v>
      </c>
      <c r="V21" s="1149">
        <f t="shared" si="20"/>
        <v>118193939617</v>
      </c>
      <c r="W21" s="1149">
        <f t="shared" si="20"/>
        <v>137644451425</v>
      </c>
      <c r="X21" s="1149">
        <f t="shared" si="20"/>
        <v>152744132366</v>
      </c>
      <c r="Y21" s="1149">
        <f t="shared" si="20"/>
        <v>184653118039</v>
      </c>
      <c r="Z21" s="1149">
        <f>Z22+Y23-Z23</f>
        <v>198356701720</v>
      </c>
      <c r="AA21" s="1149">
        <f>AA22+Z23-AA23</f>
        <v>229979382831</v>
      </c>
      <c r="AB21" s="34">
        <f t="shared" si="4"/>
        <v>31622681111</v>
      </c>
      <c r="AC21" s="34"/>
    </row>
    <row r="22" spans="2:37">
      <c r="B22" s="1158" t="s">
        <v>189</v>
      </c>
      <c r="C22" s="1159"/>
      <c r="D22" s="1159" t="s">
        <v>191</v>
      </c>
      <c r="E22" s="1159"/>
      <c r="F22" s="1159"/>
      <c r="G22" s="1159"/>
      <c r="H22" s="1159"/>
      <c r="I22" s="1160"/>
      <c r="J22" s="1159" t="str">
        <f t="shared" si="0"/>
        <v>lending__all__</v>
      </c>
      <c r="K22" s="1149"/>
      <c r="L22" s="1241" t="s">
        <v>539</v>
      </c>
      <c r="M22" s="1151">
        <f>SUM(P22:AA22)</f>
        <v>1539717162560</v>
      </c>
      <c r="N22" s="1242">
        <f t="shared" ref="N22:AA22" si="21">SUMIFS(N$48:N$3038,$L$48:$L$3038,"Thu lãi vay")</f>
        <v>63214223471</v>
      </c>
      <c r="O22" s="1242">
        <f t="shared" si="21"/>
        <v>70990475112</v>
      </c>
      <c r="P22" s="1242">
        <f t="shared" si="21"/>
        <v>76707556347</v>
      </c>
      <c r="Q22" s="1242">
        <f t="shared" si="21"/>
        <v>69254610169</v>
      </c>
      <c r="R22" s="1242">
        <f t="shared" si="21"/>
        <v>79789204964</v>
      </c>
      <c r="S22" s="1242">
        <f t="shared" si="21"/>
        <v>84276037008</v>
      </c>
      <c r="T22" s="1242">
        <f t="shared" si="21"/>
        <v>94567752275</v>
      </c>
      <c r="U22" s="1242">
        <f t="shared" si="21"/>
        <v>100878684667</v>
      </c>
      <c r="V22" s="1242">
        <f t="shared" si="21"/>
        <v>120449665326</v>
      </c>
      <c r="W22" s="1242">
        <f t="shared" si="21"/>
        <v>138765434049</v>
      </c>
      <c r="X22" s="1242">
        <f t="shared" si="21"/>
        <v>154505148678</v>
      </c>
      <c r="Y22" s="1242">
        <f t="shared" si="21"/>
        <v>187226048479</v>
      </c>
      <c r="Z22" s="1242">
        <f t="shared" si="21"/>
        <v>200999807492</v>
      </c>
      <c r="AA22" s="1242">
        <f t="shared" si="21"/>
        <v>232297213106</v>
      </c>
      <c r="AB22" s="34">
        <f t="shared" si="4"/>
        <v>31297405614</v>
      </c>
      <c r="AD22" s="34"/>
    </row>
    <row r="23" spans="2:37">
      <c r="B23" s="1158" t="s">
        <v>189</v>
      </c>
      <c r="C23" s="1159"/>
      <c r="D23" s="1159" t="s">
        <v>191</v>
      </c>
      <c r="E23" s="1159"/>
      <c r="F23" s="1159"/>
      <c r="G23" s="1159"/>
      <c r="H23" s="1159"/>
      <c r="I23" s="1160"/>
      <c r="J23" s="1159" t="str">
        <f t="shared" si="0"/>
        <v>lending__all__</v>
      </c>
      <c r="K23" s="1149"/>
      <c r="L23" s="1241" t="s">
        <v>187</v>
      </c>
      <c r="M23" s="1151"/>
      <c r="N23" s="1242">
        <f t="shared" ref="N23:AA23" si="22">SUMIFS(N$48:N$3038,$L$48:$L$3038,"Thoái lãi")</f>
        <v>7999287750</v>
      </c>
      <c r="O23" s="1242">
        <f t="shared" si="22"/>
        <v>9716884445</v>
      </c>
      <c r="P23" s="1242">
        <f t="shared" si="22"/>
        <v>10205045034</v>
      </c>
      <c r="Q23" s="1242">
        <f t="shared" si="22"/>
        <v>9483751909</v>
      </c>
      <c r="R23" s="1242">
        <f t="shared" si="22"/>
        <v>9624384372</v>
      </c>
      <c r="S23" s="1242">
        <f t="shared" si="22"/>
        <v>10094536585</v>
      </c>
      <c r="T23" s="1242">
        <f t="shared" si="22"/>
        <v>10559216669</v>
      </c>
      <c r="U23" s="1242">
        <f t="shared" si="22"/>
        <v>11056826526</v>
      </c>
      <c r="V23" s="1242">
        <f t="shared" si="22"/>
        <v>13312552235</v>
      </c>
      <c r="W23" s="1242">
        <f t="shared" si="22"/>
        <v>14433534859</v>
      </c>
      <c r="X23" s="1242">
        <f t="shared" si="22"/>
        <v>16194551171</v>
      </c>
      <c r="Y23" s="1242">
        <f t="shared" si="22"/>
        <v>18767481611</v>
      </c>
      <c r="Z23" s="1242">
        <f t="shared" si="22"/>
        <v>21410587383</v>
      </c>
      <c r="AA23" s="1242">
        <f t="shared" si="22"/>
        <v>23728417658</v>
      </c>
      <c r="AB23" s="34">
        <f t="shared" si="4"/>
        <v>2317830275</v>
      </c>
      <c r="AC23" s="34"/>
      <c r="AD23" s="34"/>
    </row>
    <row r="24" spans="2:37">
      <c r="B24" s="1158" t="s">
        <v>189</v>
      </c>
      <c r="C24" s="1159"/>
      <c r="D24" s="1159" t="s">
        <v>191</v>
      </c>
      <c r="E24" s="1161"/>
      <c r="F24" s="1161"/>
      <c r="G24" s="1161"/>
      <c r="H24" s="1161"/>
      <c r="I24" s="1160"/>
      <c r="J24" s="1159" t="str">
        <f t="shared" si="0"/>
        <v>lending__all__</v>
      </c>
      <c r="K24" s="1149"/>
      <c r="L24" s="1240" t="s">
        <v>219</v>
      </c>
      <c r="M24" s="1149">
        <f>SUM(P24:AA24)</f>
        <v>244293859972.89944</v>
      </c>
      <c r="N24" s="1242">
        <f t="shared" ref="N24:AA24" si="23">SUMIFS(N$48:N$3038,$L$48:$L$3038,"COF")</f>
        <v>10009948903</v>
      </c>
      <c r="O24" s="1242">
        <f t="shared" si="23"/>
        <v>11155285372</v>
      </c>
      <c r="P24" s="1242">
        <f t="shared" si="23"/>
        <v>12041757248</v>
      </c>
      <c r="Q24" s="1242">
        <f t="shared" si="23"/>
        <v>11152533555</v>
      </c>
      <c r="R24" s="1242">
        <f t="shared" si="23"/>
        <v>12257271021.899446</v>
      </c>
      <c r="S24" s="1242">
        <f t="shared" si="23"/>
        <v>12752634708</v>
      </c>
      <c r="T24" s="1242">
        <f t="shared" si="23"/>
        <v>14362306096</v>
      </c>
      <c r="U24" s="1242">
        <f t="shared" si="23"/>
        <v>15239240769</v>
      </c>
      <c r="V24" s="1242">
        <f t="shared" si="23"/>
        <v>18119048076</v>
      </c>
      <c r="W24" s="1242">
        <f t="shared" si="23"/>
        <v>21482772707</v>
      </c>
      <c r="X24" s="1242">
        <f t="shared" si="23"/>
        <v>24181881039</v>
      </c>
      <c r="Y24" s="1242">
        <f t="shared" si="23"/>
        <v>30034544894</v>
      </c>
      <c r="Z24" s="1242">
        <f t="shared" si="23"/>
        <v>33105439462</v>
      </c>
      <c r="AA24" s="1242">
        <f t="shared" si="23"/>
        <v>39564430397</v>
      </c>
      <c r="AB24" s="34">
        <f t="shared" si="4"/>
        <v>6458990935</v>
      </c>
    </row>
    <row r="25" spans="2:37">
      <c r="B25" s="1158" t="s">
        <v>189</v>
      </c>
      <c r="C25" s="1159"/>
      <c r="D25" s="1159" t="s">
        <v>191</v>
      </c>
      <c r="E25" s="1163"/>
      <c r="F25" s="1163"/>
      <c r="G25" s="1163"/>
      <c r="H25" s="1163"/>
      <c r="I25" s="1160"/>
      <c r="J25" s="1159" t="str">
        <f t="shared" si="0"/>
        <v>lending__all__</v>
      </c>
      <c r="K25" s="1149"/>
      <c r="L25" s="1239" t="s">
        <v>220</v>
      </c>
      <c r="M25" s="1150">
        <f t="shared" ref="M25:AA25" si="24">SUM(M26:M28)</f>
        <v>803908966781</v>
      </c>
      <c r="N25" s="1150">
        <f t="shared" si="24"/>
        <v>27583083979</v>
      </c>
      <c r="O25" s="1150">
        <f t="shared" si="24"/>
        <v>32434754283.205387</v>
      </c>
      <c r="P25" s="1150">
        <f t="shared" si="24"/>
        <v>29756782715</v>
      </c>
      <c r="Q25" s="1150">
        <f t="shared" si="24"/>
        <v>24284197615</v>
      </c>
      <c r="R25" s="1150">
        <f t="shared" si="24"/>
        <v>34259497297</v>
      </c>
      <c r="S25" s="1150">
        <f t="shared" si="24"/>
        <v>39687689775</v>
      </c>
      <c r="T25" s="1150">
        <f t="shared" si="24"/>
        <v>39889216104</v>
      </c>
      <c r="U25" s="1150">
        <f t="shared" si="24"/>
        <v>47479338030</v>
      </c>
      <c r="V25" s="1150">
        <f t="shared" si="24"/>
        <v>64626464272</v>
      </c>
      <c r="W25" s="1150">
        <f t="shared" si="24"/>
        <v>70125355248</v>
      </c>
      <c r="X25" s="1150">
        <f t="shared" si="24"/>
        <v>97542640182</v>
      </c>
      <c r="Y25" s="1150">
        <f t="shared" si="24"/>
        <v>112945931129</v>
      </c>
      <c r="Z25" s="1150">
        <f>SUM(Z26:Z28)</f>
        <v>116400966592</v>
      </c>
      <c r="AA25" s="1150">
        <f t="shared" si="24"/>
        <v>126910887822</v>
      </c>
      <c r="AB25" s="34">
        <f t="shared" si="4"/>
        <v>10509921230</v>
      </c>
      <c r="AD25" s="34"/>
    </row>
    <row r="26" spans="2:37">
      <c r="B26" s="1158" t="s">
        <v>189</v>
      </c>
      <c r="C26" s="1159"/>
      <c r="D26" s="1159" t="s">
        <v>191</v>
      </c>
      <c r="E26" s="1161"/>
      <c r="F26" s="1161"/>
      <c r="G26" s="1161"/>
      <c r="H26" s="1161"/>
      <c r="I26" s="1160"/>
      <c r="J26" s="1159" t="str">
        <f t="shared" si="0"/>
        <v>lending__all__</v>
      </c>
      <c r="K26" s="1149"/>
      <c r="L26" s="1240" t="s">
        <v>540</v>
      </c>
      <c r="M26" s="1151">
        <f>SUM(P26:AA26)</f>
        <v>656687659991</v>
      </c>
      <c r="N26" s="1242">
        <f t="shared" ref="N26:AA26" si="25">SUMIFS(N$48:N$3038,$L$48:$L$3038,"Insurance fee")</f>
        <v>24710450873</v>
      </c>
      <c r="O26" s="1242">
        <f t="shared" si="25"/>
        <v>29076807559.205387</v>
      </c>
      <c r="P26" s="1242">
        <f t="shared" si="25"/>
        <v>26590524165</v>
      </c>
      <c r="Q26" s="1242">
        <f t="shared" si="25"/>
        <v>21215572578</v>
      </c>
      <c r="R26" s="1242">
        <f t="shared" si="25"/>
        <v>29713730593</v>
      </c>
      <c r="S26" s="1242">
        <f t="shared" si="25"/>
        <v>33878604810</v>
      </c>
      <c r="T26" s="1242">
        <f t="shared" si="25"/>
        <v>34268836103</v>
      </c>
      <c r="U26" s="1242">
        <f t="shared" si="25"/>
        <v>38448492066</v>
      </c>
      <c r="V26" s="1242">
        <f t="shared" si="25"/>
        <v>53805754691</v>
      </c>
      <c r="W26" s="1242">
        <f t="shared" si="25"/>
        <v>55430909434</v>
      </c>
      <c r="X26" s="1242">
        <f t="shared" si="25"/>
        <v>79058722002</v>
      </c>
      <c r="Y26" s="1242">
        <f t="shared" si="25"/>
        <v>90314973069</v>
      </c>
      <c r="Z26" s="1242">
        <f t="shared" si="25"/>
        <v>92997869257</v>
      </c>
      <c r="AA26" s="1242">
        <f t="shared" si="25"/>
        <v>100963671223</v>
      </c>
      <c r="AB26" s="34">
        <f t="shared" si="4"/>
        <v>7965801966</v>
      </c>
      <c r="AD26" s="34"/>
    </row>
    <row r="27" spans="2:37">
      <c r="B27" s="1158" t="s">
        <v>189</v>
      </c>
      <c r="C27" s="1159"/>
      <c r="D27" s="1159" t="s">
        <v>191</v>
      </c>
      <c r="E27" s="1161"/>
      <c r="F27" s="1161"/>
      <c r="G27" s="1161"/>
      <c r="H27" s="1161"/>
      <c r="I27" s="1160"/>
      <c r="J27" s="1159" t="str">
        <f t="shared" si="0"/>
        <v>lending__all__</v>
      </c>
      <c r="K27" s="1149"/>
      <c r="L27" s="1240" t="s">
        <v>541</v>
      </c>
      <c r="M27" s="1151">
        <f>SUM(P27:AA27)</f>
        <v>143290856790</v>
      </c>
      <c r="N27" s="1242">
        <f t="shared" ref="N27:AA27" si="26">SUMIFS(N$48:N$3038,$L$48:$L$3038,"Early repayment fee")</f>
        <v>2422383106</v>
      </c>
      <c r="O27" s="1242">
        <f t="shared" si="26"/>
        <v>2633346724</v>
      </c>
      <c r="P27" s="1242">
        <f t="shared" si="26"/>
        <v>2585208550</v>
      </c>
      <c r="Q27" s="1242">
        <f t="shared" si="26"/>
        <v>2640825037</v>
      </c>
      <c r="R27" s="1242">
        <f t="shared" si="26"/>
        <v>4033416704</v>
      </c>
      <c r="S27" s="1242">
        <f t="shared" si="26"/>
        <v>5294534965</v>
      </c>
      <c r="T27" s="1242">
        <f t="shared" si="26"/>
        <v>5102530001</v>
      </c>
      <c r="U27" s="1242">
        <f t="shared" si="26"/>
        <v>8503845964</v>
      </c>
      <c r="V27" s="1242">
        <f t="shared" si="26"/>
        <v>10395359581</v>
      </c>
      <c r="W27" s="1242">
        <f t="shared" si="26"/>
        <v>14616095814</v>
      </c>
      <c r="X27" s="1242">
        <f t="shared" si="26"/>
        <v>18397118180</v>
      </c>
      <c r="Y27" s="1242">
        <f t="shared" si="26"/>
        <v>22526658060</v>
      </c>
      <c r="Z27" s="1242">
        <f t="shared" si="26"/>
        <v>23317997335</v>
      </c>
      <c r="AA27" s="1242">
        <f t="shared" si="26"/>
        <v>25877266599</v>
      </c>
      <c r="AB27" s="34">
        <f t="shared" si="4"/>
        <v>2559269264</v>
      </c>
    </row>
    <row r="28" spans="2:37">
      <c r="B28" s="1158" t="s">
        <v>189</v>
      </c>
      <c r="C28" s="1159"/>
      <c r="D28" s="1159" t="s">
        <v>191</v>
      </c>
      <c r="E28" s="1161"/>
      <c r="F28" s="1161"/>
      <c r="G28" s="1161"/>
      <c r="H28" s="1161"/>
      <c r="I28" s="1160"/>
      <c r="J28" s="1159" t="str">
        <f t="shared" si="0"/>
        <v>lending__all__</v>
      </c>
      <c r="K28" s="1149"/>
      <c r="L28" s="1240" t="s">
        <v>542</v>
      </c>
      <c r="M28" s="1151">
        <f>SUM(P28:AA28)</f>
        <v>3930450000</v>
      </c>
      <c r="N28" s="1242">
        <f t="shared" ref="N28:AA28" si="27">SUMIFS(N$48:N$3038,$L$48:$L$3038,"Limit fee")</f>
        <v>450250000</v>
      </c>
      <c r="O28" s="1242">
        <f t="shared" si="27"/>
        <v>724600000</v>
      </c>
      <c r="P28" s="1242">
        <f t="shared" si="27"/>
        <v>581050000</v>
      </c>
      <c r="Q28" s="1242">
        <f t="shared" si="27"/>
        <v>427800000</v>
      </c>
      <c r="R28" s="1242">
        <f t="shared" si="27"/>
        <v>512350000</v>
      </c>
      <c r="S28" s="1242">
        <f t="shared" si="27"/>
        <v>514550000</v>
      </c>
      <c r="T28" s="1242">
        <f t="shared" si="27"/>
        <v>517850000</v>
      </c>
      <c r="U28" s="1242">
        <f t="shared" si="27"/>
        <v>527000000</v>
      </c>
      <c r="V28" s="1242">
        <f t="shared" si="27"/>
        <v>425350000</v>
      </c>
      <c r="W28" s="1242">
        <f t="shared" si="27"/>
        <v>78350000</v>
      </c>
      <c r="X28" s="1242">
        <f t="shared" si="27"/>
        <v>86800000</v>
      </c>
      <c r="Y28" s="1242">
        <f t="shared" si="27"/>
        <v>104300000</v>
      </c>
      <c r="Z28" s="1242">
        <f t="shared" si="27"/>
        <v>85100000</v>
      </c>
      <c r="AA28" s="1242">
        <f t="shared" si="27"/>
        <v>69950000</v>
      </c>
      <c r="AB28" s="34">
        <f t="shared" si="4"/>
        <v>-15150000</v>
      </c>
    </row>
    <row r="29" spans="2:37" s="4" customFormat="1">
      <c r="B29" s="1158" t="s">
        <v>189</v>
      </c>
      <c r="C29" s="1159"/>
      <c r="D29" s="1159" t="s">
        <v>191</v>
      </c>
      <c r="E29" s="1161"/>
      <c r="F29" s="1161"/>
      <c r="G29" s="1161"/>
      <c r="H29" s="1161"/>
      <c r="I29" s="1160"/>
      <c r="J29" s="1159" t="str">
        <f t="shared" si="0"/>
        <v>lending__all__</v>
      </c>
      <c r="K29" s="1149"/>
      <c r="L29" s="1239" t="s">
        <v>89</v>
      </c>
      <c r="M29" s="1152">
        <f>SUM(P29:AA29)</f>
        <v>18900766405</v>
      </c>
      <c r="N29" s="1152">
        <f t="shared" ref="N29:AA29" si="28">SUMIFS(N$48:N$3038,$L$48:$L$3038,"Other TOI")</f>
        <v>17777076</v>
      </c>
      <c r="O29" s="1152">
        <f t="shared" si="28"/>
        <v>36855729</v>
      </c>
      <c r="P29" s="1152">
        <f t="shared" si="28"/>
        <v>41943277</v>
      </c>
      <c r="Q29" s="1152">
        <f t="shared" si="28"/>
        <v>245300843</v>
      </c>
      <c r="R29" s="1152">
        <f t="shared" si="28"/>
        <v>1068351047</v>
      </c>
      <c r="S29" s="1152">
        <f t="shared" si="28"/>
        <v>844897911</v>
      </c>
      <c r="T29" s="1152">
        <f t="shared" si="28"/>
        <v>1175191211</v>
      </c>
      <c r="U29" s="1152">
        <f t="shared" si="28"/>
        <v>1380588199</v>
      </c>
      <c r="V29" s="1152">
        <f t="shared" si="28"/>
        <v>1941844669</v>
      </c>
      <c r="W29" s="1152">
        <f t="shared" si="28"/>
        <v>2080967962</v>
      </c>
      <c r="X29" s="1152">
        <f t="shared" si="28"/>
        <v>2102927265</v>
      </c>
      <c r="Y29" s="1152">
        <f t="shared" si="28"/>
        <v>2524726328</v>
      </c>
      <c r="Z29" s="1152">
        <f t="shared" si="28"/>
        <v>2372337453</v>
      </c>
      <c r="AA29" s="1152">
        <f t="shared" si="28"/>
        <v>3121690240</v>
      </c>
      <c r="AB29" s="34">
        <f t="shared" si="4"/>
        <v>749352787</v>
      </c>
    </row>
    <row r="30" spans="2:37">
      <c r="B30" s="1158" t="s">
        <v>189</v>
      </c>
      <c r="C30" s="1159"/>
      <c r="D30" s="1159" t="s">
        <v>191</v>
      </c>
      <c r="E30" s="1163"/>
      <c r="F30" s="1163"/>
      <c r="G30" s="1163"/>
      <c r="H30" s="1163"/>
      <c r="I30" s="1160"/>
      <c r="J30" s="1159" t="str">
        <f t="shared" si="0"/>
        <v>lending__all__</v>
      </c>
      <c r="K30" s="1149"/>
      <c r="L30" s="1245" t="s">
        <v>136</v>
      </c>
      <c r="M30" s="1150">
        <f>SUM(P30:AA30)</f>
        <v>924689686912</v>
      </c>
      <c r="N30" s="1150">
        <f t="shared" ref="N30:AA30" si="29">SUMIFS(N$48:N$3038,$L$48:$L$3038,"Provision expenses")</f>
        <v>21518247295</v>
      </c>
      <c r="O30" s="1150">
        <f t="shared" si="29"/>
        <v>31138146416</v>
      </c>
      <c r="P30" s="1150">
        <f t="shared" si="29"/>
        <v>73619871731</v>
      </c>
      <c r="Q30" s="1150">
        <f t="shared" si="29"/>
        <v>45681275021</v>
      </c>
      <c r="R30" s="1150">
        <f t="shared" si="29"/>
        <v>55722136445</v>
      </c>
      <c r="S30" s="1150">
        <f t="shared" si="29"/>
        <v>39812626019</v>
      </c>
      <c r="T30" s="1150">
        <f t="shared" si="29"/>
        <v>62627976854</v>
      </c>
      <c r="U30" s="1150">
        <f t="shared" si="29"/>
        <v>62111404665</v>
      </c>
      <c r="V30" s="1150">
        <f t="shared" si="29"/>
        <v>54290269578</v>
      </c>
      <c r="W30" s="1150">
        <f t="shared" si="29"/>
        <v>74096166881</v>
      </c>
      <c r="X30" s="1150">
        <f t="shared" si="29"/>
        <v>96789279416</v>
      </c>
      <c r="Y30" s="1150">
        <f t="shared" si="29"/>
        <v>89997365466</v>
      </c>
      <c r="Z30" s="1150">
        <f t="shared" si="29"/>
        <v>116243866061</v>
      </c>
      <c r="AA30" s="1150">
        <f t="shared" si="29"/>
        <v>153697448775</v>
      </c>
      <c r="AB30" s="34">
        <f t="shared" si="4"/>
        <v>37453582714</v>
      </c>
      <c r="AH30" s="345"/>
      <c r="AI30" s="345"/>
      <c r="AJ30" s="345"/>
      <c r="AK30" s="345"/>
    </row>
    <row r="31" spans="2:37">
      <c r="B31" s="1158" t="s">
        <v>189</v>
      </c>
      <c r="C31" s="1159"/>
      <c r="D31" s="1159" t="s">
        <v>191</v>
      </c>
      <c r="E31" s="1159"/>
      <c r="F31" s="1159"/>
      <c r="G31" s="1159"/>
      <c r="H31" s="1159"/>
      <c r="I31" s="1160"/>
      <c r="J31" s="1159" t="str">
        <f t="shared" si="0"/>
        <v>lending__all__</v>
      </c>
      <c r="K31" s="1149"/>
      <c r="L31" s="1245" t="s">
        <v>229</v>
      </c>
      <c r="M31" s="1150">
        <f t="shared" ref="M31:AA31" si="30">SUM(M32:M39)</f>
        <v>476570123899.83514</v>
      </c>
      <c r="N31" s="1150">
        <f t="shared" si="30"/>
        <v>20090911087.633446</v>
      </c>
      <c r="O31" s="1150">
        <f t="shared" si="30"/>
        <v>20567000625.683231</v>
      </c>
      <c r="P31" s="1150">
        <f t="shared" si="30"/>
        <v>19830157836.17775</v>
      </c>
      <c r="Q31" s="1150">
        <f t="shared" si="30"/>
        <v>19592649189.571465</v>
      </c>
      <c r="R31" s="1150">
        <f t="shared" si="30"/>
        <v>20036374262.062614</v>
      </c>
      <c r="S31" s="1150">
        <f t="shared" si="30"/>
        <v>29249124148.625126</v>
      </c>
      <c r="T31" s="1150">
        <f t="shared" si="30"/>
        <v>24248720567.516411</v>
      </c>
      <c r="U31" s="1150">
        <f t="shared" si="30"/>
        <v>31218335728.584656</v>
      </c>
      <c r="V31" s="1150">
        <f t="shared" si="30"/>
        <v>47806214356.441513</v>
      </c>
      <c r="W31" s="1150">
        <f t="shared" si="30"/>
        <v>39489225492.02523</v>
      </c>
      <c r="X31" s="1150">
        <f t="shared" si="30"/>
        <v>52201901557.296638</v>
      </c>
      <c r="Y31" s="1150">
        <f t="shared" si="30"/>
        <v>60604093279.752159</v>
      </c>
      <c r="Z31" s="1150">
        <f>SUM(Z32:Z39)</f>
        <v>63440026504.771477</v>
      </c>
      <c r="AA31" s="1150">
        <f t="shared" si="30"/>
        <v>68853300977.010132</v>
      </c>
      <c r="AB31" s="34">
        <f t="shared" si="4"/>
        <v>5413274472.2386551</v>
      </c>
    </row>
    <row r="32" spans="2:37">
      <c r="B32" s="1158" t="s">
        <v>189</v>
      </c>
      <c r="C32" s="1159"/>
      <c r="D32" s="1159" t="s">
        <v>191</v>
      </c>
      <c r="E32" s="1159"/>
      <c r="F32" s="1159"/>
      <c r="G32" s="1159"/>
      <c r="H32" s="1159"/>
      <c r="I32" s="1160"/>
      <c r="J32" s="1159" t="str">
        <f t="shared" si="0"/>
        <v>lending__all__</v>
      </c>
      <c r="K32" s="1149"/>
      <c r="L32" s="1246" t="s">
        <v>230</v>
      </c>
      <c r="M32" s="1149">
        <f t="shared" ref="M32:M37" si="31">SUM(P32:AA32)</f>
        <v>33561348302</v>
      </c>
      <c r="N32" s="1149">
        <f t="shared" ref="N32:AA32" si="32">SUMIFS(N$48:N$3038,$L$48:$L$3038,"Marketing acquisition cost")</f>
        <v>1057341055</v>
      </c>
      <c r="O32" s="1149">
        <f t="shared" si="32"/>
        <v>1358095141</v>
      </c>
      <c r="P32" s="1149">
        <f t="shared" si="32"/>
        <v>1181479170</v>
      </c>
      <c r="Q32" s="1149">
        <f t="shared" si="32"/>
        <v>885757119</v>
      </c>
      <c r="R32" s="1149">
        <f t="shared" si="32"/>
        <v>1503077794</v>
      </c>
      <c r="S32" s="1149">
        <f t="shared" si="32"/>
        <v>2078254342</v>
      </c>
      <c r="T32" s="1149">
        <f t="shared" si="32"/>
        <v>1414197238</v>
      </c>
      <c r="U32" s="1149">
        <f t="shared" si="32"/>
        <v>2978507515</v>
      </c>
      <c r="V32" s="1149">
        <f t="shared" si="32"/>
        <v>5244446655</v>
      </c>
      <c r="W32" s="1149">
        <f t="shared" si="32"/>
        <v>3848634384</v>
      </c>
      <c r="X32" s="1149">
        <f t="shared" si="32"/>
        <v>2654723478</v>
      </c>
      <c r="Y32" s="1149">
        <f t="shared" si="32"/>
        <v>3615381819</v>
      </c>
      <c r="Z32" s="1149">
        <f t="shared" si="32"/>
        <v>3698416181</v>
      </c>
      <c r="AA32" s="1149">
        <f t="shared" si="32"/>
        <v>4458472607</v>
      </c>
      <c r="AB32" s="34">
        <f t="shared" si="4"/>
        <v>760056426</v>
      </c>
    </row>
    <row r="33" spans="1:30">
      <c r="B33" s="1158" t="s">
        <v>189</v>
      </c>
      <c r="C33" s="1159"/>
      <c r="D33" s="1159" t="s">
        <v>191</v>
      </c>
      <c r="E33" s="1163"/>
      <c r="F33" s="1163"/>
      <c r="G33" s="1163"/>
      <c r="H33" s="1163"/>
      <c r="I33" s="1160"/>
      <c r="J33" s="1159" t="str">
        <f t="shared" si="0"/>
        <v>lending__all__</v>
      </c>
      <c r="K33" s="1149"/>
      <c r="L33" s="1246" t="s">
        <v>231</v>
      </c>
      <c r="M33" s="1149">
        <f t="shared" si="31"/>
        <v>366912192359</v>
      </c>
      <c r="N33" s="1149">
        <f t="shared" ref="N33:AA33" si="33">SUMIFS(N$48:N$3038,$L$48:$L$3038,"Partner acquisition cost")</f>
        <v>15057180956</v>
      </c>
      <c r="O33" s="1149">
        <f t="shared" si="33"/>
        <v>14005998385</v>
      </c>
      <c r="P33" s="1149">
        <f t="shared" si="33"/>
        <v>13808398735</v>
      </c>
      <c r="Q33" s="1149">
        <f t="shared" si="33"/>
        <v>13830372027</v>
      </c>
      <c r="R33" s="1149">
        <f t="shared" si="33"/>
        <v>14167313884</v>
      </c>
      <c r="S33" s="1149">
        <f t="shared" si="33"/>
        <v>22461128822</v>
      </c>
      <c r="T33" s="1149">
        <f t="shared" si="33"/>
        <v>17942605735</v>
      </c>
      <c r="U33" s="1149">
        <f t="shared" si="33"/>
        <v>24340890312</v>
      </c>
      <c r="V33" s="1149">
        <f t="shared" si="33"/>
        <v>37047193619</v>
      </c>
      <c r="W33" s="1149">
        <f t="shared" si="33"/>
        <v>28553318988</v>
      </c>
      <c r="X33" s="1149">
        <f t="shared" si="33"/>
        <v>41258229210</v>
      </c>
      <c r="Y33" s="1149">
        <f t="shared" si="33"/>
        <v>48326493514</v>
      </c>
      <c r="Z33" s="1149">
        <f t="shared" si="33"/>
        <v>50627733523</v>
      </c>
      <c r="AA33" s="1149">
        <f t="shared" si="33"/>
        <v>54548513990</v>
      </c>
      <c r="AB33" s="34">
        <f t="shared" si="4"/>
        <v>3920780467</v>
      </c>
    </row>
    <row r="34" spans="1:30">
      <c r="B34" s="1158" t="s">
        <v>189</v>
      </c>
      <c r="C34" s="1159"/>
      <c r="D34" s="1159" t="s">
        <v>191</v>
      </c>
      <c r="E34" s="1161"/>
      <c r="F34" s="1161"/>
      <c r="G34" s="1161"/>
      <c r="H34" s="1161"/>
      <c r="I34" s="1160"/>
      <c r="J34" s="1159" t="str">
        <f t="shared" si="0"/>
        <v>lending__all__</v>
      </c>
      <c r="K34" s="1149"/>
      <c r="L34" s="1246" t="s">
        <v>232</v>
      </c>
      <c r="M34" s="1149">
        <f t="shared" si="31"/>
        <v>48625010811</v>
      </c>
      <c r="N34" s="1149">
        <f t="shared" ref="N34:AA34" si="34">SUMIFS(N$48:N$3038,$L$48:$L$3038,"Underwritting")</f>
        <v>2351855110.9999957</v>
      </c>
      <c r="O34" s="1149">
        <f t="shared" si="34"/>
        <v>3005122609.7522507</v>
      </c>
      <c r="P34" s="1149">
        <f t="shared" si="34"/>
        <v>2481935995</v>
      </c>
      <c r="Q34" s="1149">
        <f t="shared" si="34"/>
        <v>1864713205</v>
      </c>
      <c r="R34" s="1149">
        <f t="shared" si="34"/>
        <v>2200530610</v>
      </c>
      <c r="S34" s="1149">
        <f t="shared" si="34"/>
        <v>2327024294</v>
      </c>
      <c r="T34" s="1149">
        <f t="shared" si="34"/>
        <v>2381411929</v>
      </c>
      <c r="U34" s="1149">
        <f t="shared" si="34"/>
        <v>2743575485.0000005</v>
      </c>
      <c r="V34" s="1149">
        <f t="shared" si="34"/>
        <v>3770873858</v>
      </c>
      <c r="W34" s="1149">
        <f t="shared" si="34"/>
        <v>5287839554</v>
      </c>
      <c r="X34" s="1149">
        <f t="shared" si="34"/>
        <v>6071656551.0000019</v>
      </c>
      <c r="Y34" s="1149">
        <f t="shared" si="34"/>
        <v>6388033229.999999</v>
      </c>
      <c r="Z34" s="1149">
        <f t="shared" si="34"/>
        <v>6171890160.000001</v>
      </c>
      <c r="AA34" s="1149">
        <f t="shared" si="34"/>
        <v>6935525939.9999981</v>
      </c>
      <c r="AB34" s="34">
        <f t="shared" si="4"/>
        <v>763635779.99999714</v>
      </c>
    </row>
    <row r="35" spans="1:30">
      <c r="B35" s="1158" t="s">
        <v>189</v>
      </c>
      <c r="C35" s="1159"/>
      <c r="D35" s="1159" t="s">
        <v>191</v>
      </c>
      <c r="E35" s="1159"/>
      <c r="F35" s="1159"/>
      <c r="G35" s="1159"/>
      <c r="H35" s="1159"/>
      <c r="I35" s="1160"/>
      <c r="J35" s="1159" t="str">
        <f t="shared" si="0"/>
        <v>lending__all__</v>
      </c>
      <c r="K35" s="1149"/>
      <c r="L35" s="1246" t="s">
        <v>233</v>
      </c>
      <c r="M35" s="1149">
        <f t="shared" si="31"/>
        <v>1519628255</v>
      </c>
      <c r="N35" s="1149">
        <f t="shared" ref="N35:AA35" si="35">SUMIFS(N$48:N$3038,$L$48:$L$3038,"E Contract")</f>
        <v>53857518</v>
      </c>
      <c r="O35" s="1149">
        <f t="shared" si="35"/>
        <v>65273472</v>
      </c>
      <c r="P35" s="1149">
        <f t="shared" si="35"/>
        <v>56495896</v>
      </c>
      <c r="Q35" s="1149">
        <f t="shared" si="35"/>
        <v>49048615</v>
      </c>
      <c r="R35" s="1149">
        <f t="shared" si="35"/>
        <v>67832022</v>
      </c>
      <c r="S35" s="1149">
        <f t="shared" si="35"/>
        <v>175886615</v>
      </c>
      <c r="T35" s="1149">
        <f t="shared" si="35"/>
        <v>68122992</v>
      </c>
      <c r="U35" s="1149">
        <f t="shared" si="35"/>
        <v>72317391</v>
      </c>
      <c r="V35" s="1149">
        <f t="shared" si="35"/>
        <v>106352277</v>
      </c>
      <c r="W35" s="1149">
        <f t="shared" si="35"/>
        <v>171978006</v>
      </c>
      <c r="X35" s="1149">
        <f t="shared" si="35"/>
        <v>162200423</v>
      </c>
      <c r="Y35" s="1149">
        <f t="shared" si="35"/>
        <v>185961492</v>
      </c>
      <c r="Z35" s="1149">
        <f t="shared" si="35"/>
        <v>189608291</v>
      </c>
      <c r="AA35" s="1149">
        <f t="shared" si="35"/>
        <v>213824235</v>
      </c>
      <c r="AB35" s="34">
        <f t="shared" si="4"/>
        <v>24215944</v>
      </c>
    </row>
    <row r="36" spans="1:30">
      <c r="B36" s="1158" t="s">
        <v>189</v>
      </c>
      <c r="C36" s="1159"/>
      <c r="D36" s="1159" t="s">
        <v>191</v>
      </c>
      <c r="E36" s="1159"/>
      <c r="F36" s="1159"/>
      <c r="G36" s="1159"/>
      <c r="H36" s="1159"/>
      <c r="I36" s="1160"/>
      <c r="J36" s="1159" t="str">
        <f t="shared" si="0"/>
        <v>lending__all__</v>
      </c>
      <c r="K36" s="1149"/>
      <c r="L36" s="1246" t="s">
        <v>152</v>
      </c>
      <c r="M36" s="1149">
        <f t="shared" si="31"/>
        <v>1879043237.5</v>
      </c>
      <c r="N36" s="1149">
        <f t="shared" ref="N36:AA36" si="36">SUMIFS(N$48:N$3038,$L$48:$L$3038,"NFC")</f>
        <v>0</v>
      </c>
      <c r="O36" s="1149">
        <f t="shared" si="36"/>
        <v>0</v>
      </c>
      <c r="P36" s="1149">
        <f t="shared" si="36"/>
        <v>169563600</v>
      </c>
      <c r="Q36" s="1149">
        <f t="shared" si="36"/>
        <v>106067025</v>
      </c>
      <c r="R36" s="1149">
        <f t="shared" si="36"/>
        <v>157495274.99999997</v>
      </c>
      <c r="S36" s="1149">
        <f t="shared" si="36"/>
        <v>130956075</v>
      </c>
      <c r="T36" s="1149">
        <f t="shared" si="36"/>
        <v>131174100.00000001</v>
      </c>
      <c r="U36" s="1149">
        <f t="shared" si="36"/>
        <v>142207875</v>
      </c>
      <c r="V36" s="1149">
        <f t="shared" si="36"/>
        <v>161016450</v>
      </c>
      <c r="W36" s="1149">
        <f t="shared" si="36"/>
        <v>154578775</v>
      </c>
      <c r="X36" s="1149">
        <f t="shared" si="36"/>
        <v>152530574.99999997</v>
      </c>
      <c r="Y36" s="1149">
        <f t="shared" si="36"/>
        <v>175051275</v>
      </c>
      <c r="Z36" s="1149">
        <f t="shared" si="36"/>
        <v>174851775</v>
      </c>
      <c r="AA36" s="1149">
        <f t="shared" si="36"/>
        <v>223550437.50000003</v>
      </c>
      <c r="AB36" s="34">
        <f t="shared" si="4"/>
        <v>48698662.50000003</v>
      </c>
    </row>
    <row r="37" spans="1:30">
      <c r="B37" s="1158" t="s">
        <v>189</v>
      </c>
      <c r="C37" s="1159"/>
      <c r="D37" s="1159" t="s">
        <v>191</v>
      </c>
      <c r="E37" s="1161"/>
      <c r="F37" s="1161"/>
      <c r="G37" s="1161"/>
      <c r="H37" s="1161"/>
      <c r="I37" s="1160"/>
      <c r="J37" s="1159" t="str">
        <f t="shared" si="0"/>
        <v>lending__all__</v>
      </c>
      <c r="K37" s="1149"/>
      <c r="L37" s="1246" t="s">
        <v>234</v>
      </c>
      <c r="M37" s="1149">
        <f t="shared" si="31"/>
        <v>21745284570.897236</v>
      </c>
      <c r="N37" s="1149">
        <f t="shared" ref="N37:AA37" si="37">SUMIFS(N$48:N$3038,$L$48:$L$3038,"Collection")</f>
        <v>1519395954.4466536</v>
      </c>
      <c r="O37" s="1149">
        <f t="shared" si="37"/>
        <v>2011608282.6213398</v>
      </c>
      <c r="P37" s="1149">
        <f t="shared" si="37"/>
        <v>1969724896.7522254</v>
      </c>
      <c r="Q37" s="1149">
        <f t="shared" si="37"/>
        <v>2764257139.481719</v>
      </c>
      <c r="R37" s="1149">
        <f t="shared" si="37"/>
        <v>1817438828.3436799</v>
      </c>
      <c r="S37" s="1149">
        <f t="shared" si="37"/>
        <v>1887866321.1861274</v>
      </c>
      <c r="T37" s="1149">
        <f t="shared" si="37"/>
        <v>2155209221.9244728</v>
      </c>
      <c r="U37" s="1149">
        <f t="shared" si="37"/>
        <v>798981001.7113533</v>
      </c>
      <c r="V37" s="1149">
        <f t="shared" si="37"/>
        <v>1274599610</v>
      </c>
      <c r="W37" s="1149">
        <f t="shared" si="37"/>
        <v>1342260856.7022572</v>
      </c>
      <c r="X37" s="1149">
        <f t="shared" si="37"/>
        <v>1660735858.1114016</v>
      </c>
      <c r="Y37" s="1149">
        <f t="shared" si="37"/>
        <v>1619002570.8100004</v>
      </c>
      <c r="Z37" s="1149">
        <f t="shared" si="37"/>
        <v>2283565471.4339995</v>
      </c>
      <c r="AA37" s="1149">
        <f t="shared" si="37"/>
        <v>2171642794.4399996</v>
      </c>
      <c r="AB37" s="34">
        <f t="shared" si="4"/>
        <v>-111922676.99399996</v>
      </c>
    </row>
    <row r="38" spans="1:30">
      <c r="B38" s="1158" t="s">
        <v>189</v>
      </c>
      <c r="C38" s="1159"/>
      <c r="D38" s="1159" t="s">
        <v>191</v>
      </c>
      <c r="E38" s="1159"/>
      <c r="F38" s="1159"/>
      <c r="G38" s="1159"/>
      <c r="H38" s="1159"/>
      <c r="I38" s="1160"/>
      <c r="J38" s="1159" t="str">
        <f t="shared" si="0"/>
        <v>lending__all__</v>
      </c>
      <c r="K38" s="1149"/>
      <c r="L38" s="1246" t="s">
        <v>235</v>
      </c>
      <c r="M38" s="1149"/>
      <c r="N38" s="1149">
        <f t="shared" ref="N38:AA38" si="38">SUMIFS(N$48:N$3038,$L$48:$L$3038,"Promotion")</f>
        <v>0</v>
      </c>
      <c r="O38" s="1149">
        <f t="shared" si="38"/>
        <v>0</v>
      </c>
      <c r="P38" s="1149">
        <f t="shared" si="38"/>
        <v>0</v>
      </c>
      <c r="Q38" s="1149">
        <f t="shared" si="38"/>
        <v>0</v>
      </c>
      <c r="R38" s="1149">
        <f t="shared" si="38"/>
        <v>0</v>
      </c>
      <c r="S38" s="1149">
        <f t="shared" si="38"/>
        <v>0</v>
      </c>
      <c r="T38" s="1149">
        <f t="shared" si="38"/>
        <v>0</v>
      </c>
      <c r="U38" s="1149">
        <f t="shared" si="38"/>
        <v>0</v>
      </c>
      <c r="V38" s="1149">
        <f t="shared" si="38"/>
        <v>0</v>
      </c>
      <c r="W38" s="1149">
        <f t="shared" si="38"/>
        <v>0</v>
      </c>
      <c r="X38" s="1149">
        <f t="shared" si="38"/>
        <v>0</v>
      </c>
      <c r="Y38" s="1149">
        <f t="shared" si="38"/>
        <v>0</v>
      </c>
      <c r="Z38" s="1149">
        <f t="shared" si="38"/>
        <v>0</v>
      </c>
      <c r="AA38" s="1149">
        <f t="shared" si="38"/>
        <v>0</v>
      </c>
      <c r="AB38" s="34">
        <f t="shared" si="4"/>
        <v>0</v>
      </c>
    </row>
    <row r="39" spans="1:30">
      <c r="B39" s="1158" t="s">
        <v>189</v>
      </c>
      <c r="C39" s="1159"/>
      <c r="D39" s="1159" t="s">
        <v>191</v>
      </c>
      <c r="E39" s="1159"/>
      <c r="F39" s="1159"/>
      <c r="G39" s="1159"/>
      <c r="H39" s="1159"/>
      <c r="I39" s="1160"/>
      <c r="J39" s="1159" t="str">
        <f t="shared" si="0"/>
        <v>lending__all__</v>
      </c>
      <c r="K39" s="1149"/>
      <c r="L39" s="1246" t="s">
        <v>163</v>
      </c>
      <c r="M39" s="1149">
        <f>SUM(P39:AA39)</f>
        <v>2327616364.437943</v>
      </c>
      <c r="N39" s="1149">
        <f t="shared" ref="N39:AA39" si="39">SUMIFS(N$48:N$3038,$L$48:$L$3038,"SMS")</f>
        <v>51280493.186793834</v>
      </c>
      <c r="O39" s="1149">
        <f t="shared" si="39"/>
        <v>120902735.30964354</v>
      </c>
      <c r="P39" s="1149">
        <f t="shared" si="39"/>
        <v>162559543.42552543</v>
      </c>
      <c r="Q39" s="1149">
        <f t="shared" si="39"/>
        <v>92434059.089743882</v>
      </c>
      <c r="R39" s="1149">
        <f t="shared" si="39"/>
        <v>122685848.7189346</v>
      </c>
      <c r="S39" s="1149">
        <f t="shared" si="39"/>
        <v>188007679.43899825</v>
      </c>
      <c r="T39" s="1149">
        <f t="shared" si="39"/>
        <v>155999351.59193617</v>
      </c>
      <c r="U39" s="1149">
        <f t="shared" si="39"/>
        <v>141856148.87330419</v>
      </c>
      <c r="V39" s="1149">
        <f t="shared" si="39"/>
        <v>201731887.44151092</v>
      </c>
      <c r="W39" s="1149">
        <f t="shared" si="39"/>
        <v>130614928.32297824</v>
      </c>
      <c r="X39" s="1149">
        <f t="shared" si="39"/>
        <v>241825462.18523499</v>
      </c>
      <c r="Y39" s="1149">
        <f t="shared" si="39"/>
        <v>294169378.94216394</v>
      </c>
      <c r="Z39" s="1149">
        <f t="shared" si="39"/>
        <v>293961103.33747584</v>
      </c>
      <c r="AA39" s="1149">
        <f t="shared" si="39"/>
        <v>301770973.07013655</v>
      </c>
      <c r="AB39" s="34">
        <f t="shared" si="4"/>
        <v>7809869.7326607108</v>
      </c>
    </row>
    <row r="40" spans="1:30">
      <c r="B40" s="1158" t="s">
        <v>189</v>
      </c>
      <c r="C40" s="1159"/>
      <c r="D40" s="1159" t="s">
        <v>191</v>
      </c>
      <c r="E40" s="1159"/>
      <c r="F40" s="1159"/>
      <c r="G40" s="1159"/>
      <c r="H40" s="1159"/>
      <c r="I40" s="1162" t="s">
        <v>298</v>
      </c>
      <c r="J40" s="1159" t="str">
        <f t="shared" si="0"/>
        <v>lending__all__overhead_cost</v>
      </c>
      <c r="K40" s="1149"/>
      <c r="L40" s="1245" t="s">
        <v>299</v>
      </c>
      <c r="M40" s="1150">
        <f>M41+M42+M43+M44</f>
        <v>260563391849.83716</v>
      </c>
      <c r="N40" s="1150">
        <f t="shared" ref="N40:AA40" si="40">SUM(N41:N44)</f>
        <v>13411705149</v>
      </c>
      <c r="O40" s="1150">
        <f t="shared" si="40"/>
        <v>34364413886.333183</v>
      </c>
      <c r="P40" s="1150">
        <f t="shared" si="40"/>
        <v>16575132462.98778</v>
      </c>
      <c r="Q40" s="1150">
        <f t="shared" si="40"/>
        <v>16692886490.629421</v>
      </c>
      <c r="R40" s="1150">
        <f t="shared" si="40"/>
        <v>15924716374.766579</v>
      </c>
      <c r="S40" s="1150">
        <f t="shared" si="40"/>
        <v>18131154977.044502</v>
      </c>
      <c r="T40" s="1150">
        <f t="shared" si="40"/>
        <v>16327544337.178886</v>
      </c>
      <c r="U40" s="1150">
        <f t="shared" si="40"/>
        <v>18135931693.865021</v>
      </c>
      <c r="V40" s="1150">
        <f t="shared" si="40"/>
        <v>29820416738.268654</v>
      </c>
      <c r="W40" s="1150">
        <f t="shared" si="40"/>
        <v>24187343854.897621</v>
      </c>
      <c r="X40" s="1150">
        <f t="shared" si="40"/>
        <v>23745538637.932678</v>
      </c>
      <c r="Y40" s="1150">
        <f t="shared" si="40"/>
        <v>44862702637.29319</v>
      </c>
      <c r="Z40" s="1150">
        <f>SUM(Z41:Z44)</f>
        <v>21238135554.757717</v>
      </c>
      <c r="AA40" s="1150">
        <f t="shared" si="40"/>
        <v>14921888090.215092</v>
      </c>
      <c r="AB40" s="34">
        <f t="shared" si="4"/>
        <v>-6316247464.5426254</v>
      </c>
    </row>
    <row r="41" spans="1:30">
      <c r="B41" s="1158" t="s">
        <v>189</v>
      </c>
      <c r="C41" s="1159"/>
      <c r="D41" s="1159" t="s">
        <v>191</v>
      </c>
      <c r="E41" s="1159"/>
      <c r="F41" s="1159"/>
      <c r="G41" s="1159"/>
      <c r="H41" s="1159"/>
      <c r="I41" s="1162" t="s">
        <v>300</v>
      </c>
      <c r="J41" s="1159" t="str">
        <f t="shared" si="0"/>
        <v>lending__all__direct_HR</v>
      </c>
      <c r="K41" s="1149"/>
      <c r="L41" s="1246" t="s">
        <v>301</v>
      </c>
      <c r="M41" s="1149">
        <f>SUM(P41:AA41)</f>
        <v>52992315544.9366</v>
      </c>
      <c r="N41" s="1247">
        <v>3773682025</v>
      </c>
      <c r="O41" s="1149">
        <v>3992626360</v>
      </c>
      <c r="P41" s="1247">
        <v>3968550598.0500002</v>
      </c>
      <c r="Q41" s="1247">
        <v>4085971098.2443533</v>
      </c>
      <c r="R41" s="1247">
        <v>4264275089.3357134</v>
      </c>
      <c r="S41" s="1247">
        <v>4171865029.4499998</v>
      </c>
      <c r="T41" s="1247">
        <v>4152461260.1999998</v>
      </c>
      <c r="U41" s="1247">
        <v>4141554811.6992984</v>
      </c>
      <c r="V41" s="1248">
        <v>4102129822</v>
      </c>
      <c r="W41" s="1247">
        <v>4957972351.1724033</v>
      </c>
      <c r="X41" s="1247">
        <v>4703302112.4346657</v>
      </c>
      <c r="Y41" s="1247">
        <v>4696522689.5982056</v>
      </c>
      <c r="Z41" s="1247">
        <v>4870545982.7898483</v>
      </c>
      <c r="AA41" s="1149">
        <v>4877164699.9621067</v>
      </c>
      <c r="AB41" s="34">
        <f t="shared" si="4"/>
        <v>6618717.1722583771</v>
      </c>
    </row>
    <row r="42" spans="1:30">
      <c r="B42" s="1158" t="s">
        <v>189</v>
      </c>
      <c r="C42" s="1159"/>
      <c r="D42" s="1159" t="s">
        <v>191</v>
      </c>
      <c r="E42" s="1159"/>
      <c r="F42" s="1159"/>
      <c r="G42" s="1159"/>
      <c r="H42" s="1159"/>
      <c r="I42" s="1162" t="s">
        <v>302</v>
      </c>
      <c r="J42" s="1159" t="str">
        <f t="shared" si="0"/>
        <v>lending__all__indirect_HR</v>
      </c>
      <c r="K42" s="1149"/>
      <c r="L42" s="1246" t="s">
        <v>303</v>
      </c>
      <c r="M42" s="1149">
        <f>SUM(P42:AA42)</f>
        <v>84030951110.077744</v>
      </c>
      <c r="N42" s="1247">
        <v>3138024865</v>
      </c>
      <c r="O42" s="1149">
        <v>3148726854</v>
      </c>
      <c r="P42" s="1247">
        <v>4112303261.8600001</v>
      </c>
      <c r="Q42" s="1247">
        <v>3865979691.8406277</v>
      </c>
      <c r="R42" s="1247">
        <v>3781296734.6086416</v>
      </c>
      <c r="S42" s="1247">
        <v>3754005156.7900004</v>
      </c>
      <c r="T42" s="1247">
        <v>3853413040.8900003</v>
      </c>
      <c r="U42" s="1248">
        <v>3969234500.6768327</v>
      </c>
      <c r="V42" s="1248">
        <f>4087561962.53592+11450450192.1994</f>
        <v>15538012154.735321</v>
      </c>
      <c r="W42" s="1247">
        <v>8552842242.6585484</v>
      </c>
      <c r="X42" s="1247">
        <f>4504719087.22856+1791388162</f>
        <v>6296107249.2285604</v>
      </c>
      <c r="Y42" s="1247">
        <f>4483394213.06167+ 18673900000</f>
        <v>23157294213.061668</v>
      </c>
      <c r="Z42" s="1247">
        <f>4610179776.01231+ 1861808833</f>
        <v>6471988609.01231</v>
      </c>
      <c r="AA42" s="1149">
        <v>678474254.71522045</v>
      </c>
      <c r="AB42" s="34">
        <f t="shared" si="4"/>
        <v>-5793514354.2970896</v>
      </c>
    </row>
    <row r="43" spans="1:30">
      <c r="B43" s="1158" t="s">
        <v>189</v>
      </c>
      <c r="C43" s="1159"/>
      <c r="D43" s="1159" t="s">
        <v>191</v>
      </c>
      <c r="E43" s="1159"/>
      <c r="F43" s="1159"/>
      <c r="G43" s="1159"/>
      <c r="H43" s="1159"/>
      <c r="I43" s="1162" t="s">
        <v>304</v>
      </c>
      <c r="J43" s="1159" t="str">
        <f t="shared" si="0"/>
        <v>lending__all__system_cost</v>
      </c>
      <c r="K43" s="1149"/>
      <c r="L43" s="1246" t="s">
        <v>305</v>
      </c>
      <c r="M43" s="1149">
        <f>SUM(P43:AA43)</f>
        <v>65185839414.65554</v>
      </c>
      <c r="N43" s="1247">
        <v>3267200000</v>
      </c>
      <c r="O43" s="1149">
        <v>5717209194.2399998</v>
      </c>
      <c r="P43" s="1247">
        <v>4364383094.3222227</v>
      </c>
      <c r="Q43" s="1247">
        <v>4746293046.6777773</v>
      </c>
      <c r="R43" s="1247">
        <v>4144575358.8555555</v>
      </c>
      <c r="S43" s="1247">
        <v>5140692281.8999996</v>
      </c>
      <c r="T43" s="1247">
        <v>5061100122.6333332</v>
      </c>
      <c r="U43" s="1247">
        <v>5475352897.1555548</v>
      </c>
      <c r="V43" s="1247">
        <v>5109167635.5999994</v>
      </c>
      <c r="W43" s="1247">
        <v>5310534531.166667</v>
      </c>
      <c r="X43" s="1247">
        <v>5729459022.6999998</v>
      </c>
      <c r="Y43" s="1247">
        <v>5968265329.1333332</v>
      </c>
      <c r="Z43" s="1247">
        <v>4988626870.1111107</v>
      </c>
      <c r="AA43" s="1247">
        <v>9147389224.3999996</v>
      </c>
      <c r="AB43" s="34">
        <f t="shared" si="4"/>
        <v>4158762354.2888889</v>
      </c>
    </row>
    <row r="44" spans="1:30">
      <c r="B44" s="1158" t="s">
        <v>189</v>
      </c>
      <c r="C44" s="1159"/>
      <c r="D44" s="1159" t="s">
        <v>191</v>
      </c>
      <c r="E44" s="1159"/>
      <c r="F44" s="1159"/>
      <c r="G44" s="1159"/>
      <c r="H44" s="1159"/>
      <c r="I44" s="1162" t="s">
        <v>306</v>
      </c>
      <c r="J44" s="1159" t="str">
        <f t="shared" si="0"/>
        <v>lending__all__other_support_cost</v>
      </c>
      <c r="K44" s="1149"/>
      <c r="L44" s="1249" t="s">
        <v>307</v>
      </c>
      <c r="M44" s="1149">
        <f>SUM(P44:AA44)</f>
        <v>58354285780.167267</v>
      </c>
      <c r="N44" s="1247">
        <v>3232798259</v>
      </c>
      <c r="O44" s="1247">
        <v>21505851478.093182</v>
      </c>
      <c r="P44" s="1247">
        <v>4129895508.7555561</v>
      </c>
      <c r="Q44" s="1247">
        <v>3994642653.8666635</v>
      </c>
      <c r="R44" s="1247">
        <v>3734569191.9666667</v>
      </c>
      <c r="S44" s="1247">
        <v>5064592508.9045019</v>
      </c>
      <c r="T44" s="1247">
        <v>3260569913.455554</v>
      </c>
      <c r="U44" s="1247">
        <v>4549789484.3333359</v>
      </c>
      <c r="V44" s="1247">
        <v>5071107125.9333324</v>
      </c>
      <c r="W44" s="1247">
        <v>5365994729.9000015</v>
      </c>
      <c r="X44" s="1247">
        <v>7016670253.5694504</v>
      </c>
      <c r="Y44" s="1247">
        <v>11040620405.499987</v>
      </c>
      <c r="Z44" s="1247">
        <v>4906974092.844449</v>
      </c>
      <c r="AA44" s="1247">
        <v>218859911.13776454</v>
      </c>
      <c r="AB44" s="34">
        <f t="shared" si="4"/>
        <v>-4688114181.7066841</v>
      </c>
    </row>
    <row r="45" spans="1:30">
      <c r="B45" s="1158" t="s">
        <v>189</v>
      </c>
      <c r="C45" s="1159"/>
      <c r="D45" s="1159" t="s">
        <v>191</v>
      </c>
      <c r="E45" s="1159"/>
      <c r="F45" s="1159"/>
      <c r="G45" s="1159"/>
      <c r="H45" s="1159"/>
      <c r="I45" s="1162" t="s">
        <v>308</v>
      </c>
      <c r="J45" s="1159" t="str">
        <f t="shared" si="0"/>
        <v>lending__all__profit_after_overhead</v>
      </c>
      <c r="K45" s="1149"/>
      <c r="L45" s="1359" t="s">
        <v>543</v>
      </c>
      <c r="M45" s="1359">
        <f t="shared" ref="M45:AA45" si="41">M19-M30-M31-M40</f>
        <v>442398299898.42822</v>
      </c>
      <c r="N45" s="1359">
        <f t="shared" si="41"/>
        <v>24793601424.366554</v>
      </c>
      <c r="O45" s="1359">
        <f t="shared" si="41"/>
        <v>4519642129.1889725</v>
      </c>
      <c r="P45" s="1359">
        <f t="shared" si="41"/>
        <v>-16048797528.165529</v>
      </c>
      <c r="Q45" s="1359">
        <f t="shared" si="41"/>
        <v>1386057495.7991142</v>
      </c>
      <c r="R45" s="1359">
        <f t="shared" si="41"/>
        <v>11035922741.271362</v>
      </c>
      <c r="S45" s="1359">
        <f t="shared" si="41"/>
        <v>24392932628.330376</v>
      </c>
      <c r="T45" s="1359">
        <f t="shared" si="41"/>
        <v>17600931651.304703</v>
      </c>
      <c r="U45" s="1359">
        <f t="shared" si="41"/>
        <v>22536088182.550323</v>
      </c>
      <c r="V45" s="1359">
        <f t="shared" si="41"/>
        <v>34726299809.289833</v>
      </c>
      <c r="W45" s="1359">
        <f t="shared" si="41"/>
        <v>50595265700.077141</v>
      </c>
      <c r="X45" s="1359">
        <f t="shared" si="41"/>
        <v>55471099162.770691</v>
      </c>
      <c r="Y45" s="1359">
        <f>Y19-Y30-Y31-Y40</f>
        <v>74625069218.954651</v>
      </c>
      <c r="Z45" s="1359">
        <f>Z19-Z30-Z31-Z40</f>
        <v>83102538182.470795</v>
      </c>
      <c r="AA45" s="1359">
        <f t="shared" si="41"/>
        <v>82974892653.77478</v>
      </c>
      <c r="AB45" s="34">
        <f t="shared" si="4"/>
        <v>-127645528.6960144</v>
      </c>
      <c r="AC45" s="34"/>
    </row>
    <row r="46" spans="1:30" s="286" customFormat="1">
      <c r="A46"/>
      <c r="B46" s="1158"/>
      <c r="C46" s="1159"/>
      <c r="D46" s="1159"/>
      <c r="E46" s="1159"/>
      <c r="F46" s="1159"/>
      <c r="G46" s="1159"/>
      <c r="H46" s="1159"/>
      <c r="I46" s="1162"/>
      <c r="J46" s="1159"/>
      <c r="K46" s="1149"/>
      <c r="L46" s="1250" t="s">
        <v>236</v>
      </c>
      <c r="M46" s="1250">
        <f>M19-M30-M31</f>
        <v>702961691748.26538</v>
      </c>
      <c r="N46" s="1250">
        <f t="shared" ref="N46:V46" si="42">N19-N30-N31</f>
        <v>38205306573.366554</v>
      </c>
      <c r="O46" s="1250">
        <f t="shared" si="42"/>
        <v>38884056015.522156</v>
      </c>
      <c r="P46" s="1250">
        <f t="shared" si="42"/>
        <v>526334934.82225037</v>
      </c>
      <c r="Q46" s="1250">
        <f t="shared" si="42"/>
        <v>18078943986.428535</v>
      </c>
      <c r="R46" s="1250">
        <f t="shared" si="42"/>
        <v>26960639116.037941</v>
      </c>
      <c r="S46" s="1250">
        <f t="shared" si="42"/>
        <v>42524087605.374878</v>
      </c>
      <c r="T46" s="1250">
        <f t="shared" si="42"/>
        <v>33928475988.483589</v>
      </c>
      <c r="U46" s="1250">
        <f t="shared" si="42"/>
        <v>40672019876.415344</v>
      </c>
      <c r="V46" s="1250">
        <f t="shared" si="42"/>
        <v>64546716547.558487</v>
      </c>
      <c r="W46" s="1250">
        <f>W45+W40</f>
        <v>74782609554.974762</v>
      </c>
      <c r="X46" s="1250">
        <f>X45+X40</f>
        <v>79216637800.703369</v>
      </c>
      <c r="Y46" s="1250">
        <f>Y45+Y40</f>
        <v>119487771856.24783</v>
      </c>
      <c r="Z46" s="1250">
        <f>Z45+Z40</f>
        <v>104340673737.22852</v>
      </c>
      <c r="AA46" s="1250">
        <f>AA45+AA40</f>
        <v>97896780743.989868</v>
      </c>
      <c r="AB46" s="34">
        <f t="shared" si="4"/>
        <v>-6443892993.2386475</v>
      </c>
      <c r="AC46" s="286">
        <f>SUM(P46:AA46)</f>
        <v>702961691748.26538</v>
      </c>
      <c r="AD46" s="7">
        <v>-24434726284.981544</v>
      </c>
    </row>
    <row r="47" spans="1:30">
      <c r="B47" s="1158"/>
      <c r="C47" s="1159"/>
      <c r="D47" s="1159"/>
      <c r="E47" s="1159"/>
      <c r="F47" s="1159"/>
      <c r="G47" s="1159"/>
      <c r="H47" s="1159"/>
      <c r="I47" s="1160"/>
      <c r="J47" s="1159"/>
      <c r="K47" s="1149"/>
      <c r="L47" s="1153"/>
      <c r="M47" s="1251"/>
      <c r="N47" s="1251"/>
      <c r="O47" s="1251"/>
      <c r="P47" s="1251"/>
      <c r="Q47" s="1251"/>
      <c r="R47" s="1251"/>
      <c r="S47" s="1251"/>
      <c r="T47" s="1251"/>
      <c r="U47" s="1251"/>
      <c r="V47" s="1304"/>
      <c r="W47" s="1251"/>
      <c r="X47" s="1251"/>
      <c r="Y47" s="1251"/>
      <c r="Z47" s="1251"/>
      <c r="AA47" s="1251"/>
      <c r="AB47" s="34">
        <f t="shared" si="4"/>
        <v>0</v>
      </c>
    </row>
    <row r="48" spans="1:30">
      <c r="B48" s="1158" t="s">
        <v>189</v>
      </c>
      <c r="C48" s="1159"/>
      <c r="D48" s="1159"/>
      <c r="E48" s="1159"/>
      <c r="F48" s="1159"/>
      <c r="G48" s="1159"/>
      <c r="H48" s="1159"/>
      <c r="I48" s="1159"/>
      <c r="J48" s="1159" t="str">
        <f t="shared" ref="J48:J82" si="43">B48&amp;"_"&amp;C48&amp;"_"&amp;D48&amp;"_"&amp;E48&amp;"_"&amp;I48</f>
        <v>lending____</v>
      </c>
      <c r="K48" s="1149"/>
      <c r="L48" s="1146" t="s">
        <v>544</v>
      </c>
      <c r="M48" s="1146"/>
      <c r="N48" s="1146"/>
      <c r="O48" s="1146"/>
      <c r="P48" s="1146"/>
      <c r="Q48" s="1146"/>
      <c r="R48" s="1146"/>
      <c r="S48" s="1146"/>
      <c r="T48" s="1146"/>
      <c r="U48" s="1146"/>
      <c r="V48" s="1146"/>
      <c r="W48" s="1146"/>
      <c r="X48" s="1146"/>
      <c r="Y48" s="1146"/>
      <c r="Z48" s="1146"/>
      <c r="AA48" s="1146"/>
      <c r="AB48" s="34">
        <f t="shared" si="4"/>
        <v>0</v>
      </c>
    </row>
    <row r="49" spans="2:29">
      <c r="B49" s="1158" t="s">
        <v>189</v>
      </c>
      <c r="C49" s="1159" t="s">
        <v>545</v>
      </c>
      <c r="D49" s="1159" t="s">
        <v>545</v>
      </c>
      <c r="E49" s="1159" t="s">
        <v>237</v>
      </c>
      <c r="F49" s="1159"/>
      <c r="G49" s="1159"/>
      <c r="H49" s="1159"/>
      <c r="I49" s="1162" t="s">
        <v>239</v>
      </c>
      <c r="J49" s="1159" t="str">
        <f t="shared" si="43"/>
        <v>lending_cashloan_cashloan_VDS_new_account</v>
      </c>
      <c r="K49" s="1149"/>
      <c r="L49" s="1148" t="s">
        <v>193</v>
      </c>
      <c r="M49" s="1149"/>
      <c r="N49" s="1169">
        <v>17956</v>
      </c>
      <c r="O49" s="1169">
        <v>15750</v>
      </c>
      <c r="P49" s="1169">
        <v>15082</v>
      </c>
      <c r="Q49" s="1169">
        <v>11820</v>
      </c>
      <c r="R49" s="1169">
        <v>18786</v>
      </c>
      <c r="S49" s="1169">
        <v>19997</v>
      </c>
      <c r="T49" s="1169">
        <v>16661</v>
      </c>
      <c r="U49" s="1169">
        <v>17951</v>
      </c>
      <c r="V49" s="1169">
        <v>25713</v>
      </c>
      <c r="W49" s="1169">
        <v>23272</v>
      </c>
      <c r="X49" s="1169">
        <v>26446</v>
      </c>
      <c r="Y49" s="1169">
        <v>27305</v>
      </c>
      <c r="Z49" s="1169">
        <v>29191</v>
      </c>
      <c r="AA49" s="1169">
        <v>32735</v>
      </c>
      <c r="AB49" s="34">
        <f t="shared" si="4"/>
        <v>3544</v>
      </c>
    </row>
    <row r="50" spans="2:29">
      <c r="B50" s="1158" t="s">
        <v>189</v>
      </c>
      <c r="C50" s="1159" t="s">
        <v>545</v>
      </c>
      <c r="D50" s="1159" t="s">
        <v>545</v>
      </c>
      <c r="E50" s="1159" t="s">
        <v>237</v>
      </c>
      <c r="F50" s="1159"/>
      <c r="G50" s="1159"/>
      <c r="H50" s="1159"/>
      <c r="I50" s="1148" t="s">
        <v>527</v>
      </c>
      <c r="J50" s="1159" t="str">
        <f t="shared" si="43"/>
        <v>lending_cashloan_cashloan_VDS_Repeat account</v>
      </c>
      <c r="K50" s="1149"/>
      <c r="L50" s="1148" t="s">
        <v>527</v>
      </c>
      <c r="M50" s="1149"/>
      <c r="N50" s="1169">
        <v>4682</v>
      </c>
      <c r="O50" s="1169">
        <v>5020</v>
      </c>
      <c r="P50" s="1169">
        <v>5125</v>
      </c>
      <c r="Q50" s="1169">
        <v>4599</v>
      </c>
      <c r="R50" s="1252">
        <v>7455</v>
      </c>
      <c r="S50" s="1169">
        <v>7849</v>
      </c>
      <c r="T50" s="1169">
        <v>6407</v>
      </c>
      <c r="U50" s="1169">
        <v>6743</v>
      </c>
      <c r="V50" s="1169">
        <v>9386</v>
      </c>
      <c r="W50" s="1169">
        <v>8830</v>
      </c>
      <c r="X50" s="1169">
        <v>12587</v>
      </c>
      <c r="Y50" s="1290">
        <v>14893</v>
      </c>
      <c r="Z50" s="1169">
        <v>15478</v>
      </c>
      <c r="AA50" s="1169">
        <v>16505</v>
      </c>
      <c r="AB50" s="34">
        <f t="shared" si="4"/>
        <v>1027</v>
      </c>
    </row>
    <row r="51" spans="2:29">
      <c r="B51" s="1158" t="s">
        <v>189</v>
      </c>
      <c r="C51" s="1159" t="s">
        <v>545</v>
      </c>
      <c r="D51" s="1159" t="s">
        <v>545</v>
      </c>
      <c r="E51" s="1159" t="s">
        <v>237</v>
      </c>
      <c r="F51" s="1159"/>
      <c r="G51" s="1159"/>
      <c r="H51" s="1159"/>
      <c r="I51" s="1162" t="s">
        <v>241</v>
      </c>
      <c r="J51" s="1159" t="str">
        <f t="shared" si="43"/>
        <v>lending_cashloan_cashloan_VDS_active_account</v>
      </c>
      <c r="K51" s="1149"/>
      <c r="L51" s="1148" t="s">
        <v>194</v>
      </c>
      <c r="M51" s="1149">
        <f>Z51</f>
        <v>163592</v>
      </c>
      <c r="N51" s="1169">
        <v>129097</v>
      </c>
      <c r="O51" s="1169">
        <v>132635</v>
      </c>
      <c r="P51" s="1169">
        <f>136327-4782</f>
        <v>131545</v>
      </c>
      <c r="Q51" s="1169">
        <f>136829-12268</f>
        <v>124561</v>
      </c>
      <c r="R51" s="1169">
        <f>141237-14332</f>
        <v>126905</v>
      </c>
      <c r="S51" s="1169">
        <f>146432-16309</f>
        <v>130123</v>
      </c>
      <c r="T51" s="1361">
        <v>131023</v>
      </c>
      <c r="U51" s="1361">
        <v>130324</v>
      </c>
      <c r="V51" s="1361">
        <v>138380</v>
      </c>
      <c r="W51" s="1169">
        <v>143825</v>
      </c>
      <c r="X51" s="1169">
        <v>150208</v>
      </c>
      <c r="Y51" s="1169">
        <v>155368</v>
      </c>
      <c r="Z51" s="1169">
        <v>163592</v>
      </c>
      <c r="AA51" s="1169">
        <v>173179</v>
      </c>
      <c r="AB51" s="34">
        <f t="shared" si="4"/>
        <v>9587</v>
      </c>
    </row>
    <row r="52" spans="2:29">
      <c r="B52" s="1158" t="s">
        <v>189</v>
      </c>
      <c r="C52" s="1159" t="s">
        <v>545</v>
      </c>
      <c r="D52" s="1159" t="s">
        <v>545</v>
      </c>
      <c r="E52" s="1159" t="s">
        <v>237</v>
      </c>
      <c r="F52" s="1159" t="str">
        <f>E52&amp;"CL"</f>
        <v>VDSCL</v>
      </c>
      <c r="G52" s="1159" t="str">
        <f>L52&amp;F52</f>
        <v>DisbursementVDSCL</v>
      </c>
      <c r="H52" s="1408" t="str">
        <f>L52&amp;E52</f>
        <v>DisbursementVDS</v>
      </c>
      <c r="I52" s="1162" t="s">
        <v>242</v>
      </c>
      <c r="J52" s="1159" t="str">
        <f t="shared" si="43"/>
        <v>lending_cashloan_cashloan_VDS_disburse/spend</v>
      </c>
      <c r="K52" s="1149"/>
      <c r="L52" s="1169" t="s">
        <v>80</v>
      </c>
      <c r="M52" s="1149">
        <f>SUM(P52:AA52)</f>
        <v>4004483580000</v>
      </c>
      <c r="N52" s="1149">
        <v>189961290000</v>
      </c>
      <c r="O52" s="1149">
        <f>182857630000+465120000+405530000+1832240000</f>
        <v>185560520000</v>
      </c>
      <c r="P52" s="1169">
        <f>180511400000+74900000+173890000+237950000</f>
        <v>180998140000</v>
      </c>
      <c r="Q52" s="1253">
        <v>131780450000</v>
      </c>
      <c r="R52" s="1169">
        <v>199492410000</v>
      </c>
      <c r="S52" s="1169">
        <v>249365790000</v>
      </c>
      <c r="T52" s="1169">
        <v>237678410000</v>
      </c>
      <c r="U52" s="1169">
        <v>261376050000</v>
      </c>
      <c r="V52" s="1290">
        <v>380965670000</v>
      </c>
      <c r="W52" s="1253">
        <v>346289200000</v>
      </c>
      <c r="X52" s="1253">
        <v>465278440000</v>
      </c>
      <c r="Y52" s="1169">
        <v>489924960000</v>
      </c>
      <c r="Z52" s="1169">
        <v>513252480000</v>
      </c>
      <c r="AA52" s="1149">
        <v>548081580000</v>
      </c>
      <c r="AB52" s="34">
        <f t="shared" si="4"/>
        <v>34829100000</v>
      </c>
      <c r="AC52" s="34">
        <f>SUM(P52:AA52)</f>
        <v>4004483580000</v>
      </c>
    </row>
    <row r="53" spans="2:29">
      <c r="B53" s="1158" t="s">
        <v>189</v>
      </c>
      <c r="C53" s="1159" t="s">
        <v>545</v>
      </c>
      <c r="D53" s="1159" t="s">
        <v>545</v>
      </c>
      <c r="E53" s="1159" t="s">
        <v>237</v>
      </c>
      <c r="F53" s="1159"/>
      <c r="G53" s="1159"/>
      <c r="H53" s="1159"/>
      <c r="I53" s="1162"/>
      <c r="J53" s="1159" t="str">
        <f t="shared" si="43"/>
        <v>lending_cashloan_cashloan_VDS_</v>
      </c>
      <c r="K53" s="1149"/>
      <c r="L53" s="1169" t="s">
        <v>528</v>
      </c>
      <c r="M53" s="1149">
        <f>SUM(P53:AA53)</f>
        <v>3354301180000</v>
      </c>
      <c r="N53" s="1149">
        <v>176386290000</v>
      </c>
      <c r="O53" s="1149">
        <v>171559520000</v>
      </c>
      <c r="P53" s="1169">
        <v>166922140000</v>
      </c>
      <c r="Q53" s="1169">
        <v>111638450000</v>
      </c>
      <c r="R53" s="1169">
        <v>167308410000</v>
      </c>
      <c r="S53" s="1169">
        <v>207148790000</v>
      </c>
      <c r="T53" s="1169">
        <v>196198410000</v>
      </c>
      <c r="U53" s="1169">
        <v>219451650000</v>
      </c>
      <c r="V53" s="1290">
        <v>322370670000</v>
      </c>
      <c r="W53" s="1169">
        <v>290750200000</v>
      </c>
      <c r="X53" s="1169">
        <v>388527440000</v>
      </c>
      <c r="Y53" s="1169">
        <v>407913960000</v>
      </c>
      <c r="Z53" s="1169">
        <v>422825480000</v>
      </c>
      <c r="AA53" s="1149">
        <v>453245580000</v>
      </c>
      <c r="AB53" s="34">
        <f t="shared" si="4"/>
        <v>30420100000</v>
      </c>
    </row>
    <row r="54" spans="2:29">
      <c r="B54" s="1158" t="s">
        <v>189</v>
      </c>
      <c r="C54" s="1159" t="s">
        <v>545</v>
      </c>
      <c r="D54" s="1159" t="s">
        <v>545</v>
      </c>
      <c r="E54" s="1159" t="s">
        <v>237</v>
      </c>
      <c r="F54" s="1159"/>
      <c r="G54" s="1159"/>
      <c r="H54" s="1159"/>
      <c r="I54" s="1162"/>
      <c r="J54" s="1159" t="str">
        <f t="shared" si="43"/>
        <v>lending_cashloan_cashloan_VDS_</v>
      </c>
      <c r="K54" s="1149"/>
      <c r="L54" s="1169" t="s">
        <v>529</v>
      </c>
      <c r="M54" s="1149">
        <f>SUM(P54:AA54)</f>
        <v>650182400000</v>
      </c>
      <c r="N54" s="1149">
        <f t="shared" ref="N54:AA54" si="44">N52-N53</f>
        <v>13575000000</v>
      </c>
      <c r="O54" s="1149">
        <f t="shared" si="44"/>
        <v>14001000000</v>
      </c>
      <c r="P54" s="1169">
        <f t="shared" si="44"/>
        <v>14076000000</v>
      </c>
      <c r="Q54" s="1169">
        <f t="shared" si="44"/>
        <v>20142000000</v>
      </c>
      <c r="R54" s="1169">
        <f t="shared" si="44"/>
        <v>32184000000</v>
      </c>
      <c r="S54" s="1169">
        <f t="shared" si="44"/>
        <v>42217000000</v>
      </c>
      <c r="T54" s="1169">
        <f t="shared" si="44"/>
        <v>41480000000</v>
      </c>
      <c r="U54" s="1169">
        <f t="shared" si="44"/>
        <v>41924400000</v>
      </c>
      <c r="V54" s="1169">
        <f t="shared" si="44"/>
        <v>58595000000</v>
      </c>
      <c r="W54" s="1169">
        <f t="shared" si="44"/>
        <v>55539000000</v>
      </c>
      <c r="X54" s="1169">
        <f t="shared" si="44"/>
        <v>76751000000</v>
      </c>
      <c r="Y54" s="1169">
        <f t="shared" si="44"/>
        <v>82011000000</v>
      </c>
      <c r="Z54" s="1169">
        <f t="shared" si="44"/>
        <v>90427000000</v>
      </c>
      <c r="AA54" s="1169">
        <f t="shared" si="44"/>
        <v>94836000000</v>
      </c>
      <c r="AB54" s="34">
        <f t="shared" si="4"/>
        <v>4409000000</v>
      </c>
    </row>
    <row r="55" spans="2:29">
      <c r="B55" s="1158" t="s">
        <v>189</v>
      </c>
      <c r="C55" s="1159" t="s">
        <v>545</v>
      </c>
      <c r="D55" s="1159" t="s">
        <v>545</v>
      </c>
      <c r="E55" s="1159" t="s">
        <v>237</v>
      </c>
      <c r="F55" s="1159"/>
      <c r="G55" s="1159"/>
      <c r="H55" s="1159"/>
      <c r="I55" s="1162" t="s">
        <v>243</v>
      </c>
      <c r="J55" s="1159" t="str">
        <f t="shared" si="43"/>
        <v>lending_cashloan_cashloan_VDS_ENR</v>
      </c>
      <c r="K55" s="1149"/>
      <c r="L55" s="1169" t="s">
        <v>530</v>
      </c>
      <c r="M55" s="1149">
        <f>AA55</f>
        <v>2269684868394</v>
      </c>
      <c r="N55" s="1169">
        <v>1096760883557</v>
      </c>
      <c r="O55" s="1248">
        <v>1105565326487</v>
      </c>
      <c r="P55" s="1248">
        <v>1147479030231</v>
      </c>
      <c r="Q55" s="1248">
        <v>1059836524693</v>
      </c>
      <c r="R55" s="1248">
        <v>1075941072798</v>
      </c>
      <c r="S55" s="1248">
        <v>1136717782140</v>
      </c>
      <c r="T55" s="1248">
        <v>1178814582203</v>
      </c>
      <c r="U55" s="1248">
        <v>1219457237377</v>
      </c>
      <c r="V55" s="1248">
        <v>1378305772338</v>
      </c>
      <c r="W55" s="1254">
        <v>1490245196812</v>
      </c>
      <c r="X55" s="1254">
        <v>1689128717794</v>
      </c>
      <c r="Y55" s="1169">
        <v>1873560534525</v>
      </c>
      <c r="Z55" s="1169">
        <v>2072466106173</v>
      </c>
      <c r="AA55" s="1248">
        <v>2269684868394</v>
      </c>
      <c r="AB55" s="34">
        <f t="shared" si="4"/>
        <v>197218762221</v>
      </c>
    </row>
    <row r="56" spans="2:29">
      <c r="B56" s="1158" t="s">
        <v>189</v>
      </c>
      <c r="C56" s="1159" t="s">
        <v>545</v>
      </c>
      <c r="D56" s="1159" t="s">
        <v>545</v>
      </c>
      <c r="E56" s="1159" t="s">
        <v>237</v>
      </c>
      <c r="F56" s="1159"/>
      <c r="G56" s="1159"/>
      <c r="H56" s="1159"/>
      <c r="I56" s="1162"/>
      <c r="J56" s="1159" t="str">
        <f t="shared" si="43"/>
        <v>lending_cashloan_cashloan_VDS_</v>
      </c>
      <c r="K56" s="1149"/>
      <c r="L56" s="1235" t="s">
        <v>531</v>
      </c>
      <c r="M56" s="1149">
        <f>Y55</f>
        <v>1873560534525</v>
      </c>
      <c r="N56" s="1255">
        <f t="shared" ref="N56:AA56" si="45">N55-N57</f>
        <v>1003932482028</v>
      </c>
      <c r="O56" s="1255">
        <f t="shared" si="45"/>
        <v>1022463924093</v>
      </c>
      <c r="P56" s="1255">
        <f t="shared" si="45"/>
        <v>1061249950213</v>
      </c>
      <c r="Q56" s="1255">
        <f t="shared" si="45"/>
        <v>1003227370358</v>
      </c>
      <c r="R56" s="1255">
        <f t="shared" si="45"/>
        <v>1013650376772</v>
      </c>
      <c r="S56" s="1256">
        <f t="shared" si="45"/>
        <v>1070490754302</v>
      </c>
      <c r="T56" s="1256">
        <f t="shared" si="45"/>
        <v>1112040908577</v>
      </c>
      <c r="U56" s="1256">
        <f t="shared" si="45"/>
        <v>1160661668614</v>
      </c>
      <c r="V56" s="1256">
        <f t="shared" si="45"/>
        <v>1318302573746</v>
      </c>
      <c r="W56" s="1256">
        <f t="shared" si="45"/>
        <v>1431948239882</v>
      </c>
      <c r="X56" s="1256">
        <f t="shared" si="45"/>
        <v>1631474887774</v>
      </c>
      <c r="Y56" s="1256">
        <f>Y55-Y57</f>
        <v>1817400572848</v>
      </c>
      <c r="Z56" s="1256">
        <f t="shared" si="45"/>
        <v>2016577411714</v>
      </c>
      <c r="AA56" s="1256">
        <f t="shared" si="45"/>
        <v>2214371972305</v>
      </c>
      <c r="AB56" s="34">
        <f t="shared" si="4"/>
        <v>197794560591</v>
      </c>
    </row>
    <row r="57" spans="2:29">
      <c r="B57" s="1158" t="s">
        <v>189</v>
      </c>
      <c r="C57" s="1159" t="s">
        <v>545</v>
      </c>
      <c r="D57" s="1159" t="s">
        <v>545</v>
      </c>
      <c r="E57" s="1159" t="s">
        <v>237</v>
      </c>
      <c r="F57" s="1159"/>
      <c r="G57" s="1159"/>
      <c r="H57" s="1159"/>
      <c r="I57" s="1162"/>
      <c r="J57" s="1159" t="str">
        <f t="shared" si="43"/>
        <v>lending_cashloan_cashloan_VDS_</v>
      </c>
      <c r="K57" s="1149"/>
      <c r="L57" s="1235" t="s">
        <v>532</v>
      </c>
      <c r="M57" s="1149">
        <f>AA57</f>
        <v>55312896089</v>
      </c>
      <c r="N57" s="1255">
        <v>92828401529</v>
      </c>
      <c r="O57" s="1255">
        <v>83101402394</v>
      </c>
      <c r="P57" s="1255">
        <v>86229080018</v>
      </c>
      <c r="Q57" s="1255">
        <v>56609154335</v>
      </c>
      <c r="R57" s="1255">
        <v>62290696026</v>
      </c>
      <c r="S57" s="1255">
        <v>66227027838</v>
      </c>
      <c r="T57" s="1255">
        <v>66773673626</v>
      </c>
      <c r="U57" s="1255">
        <v>58795568763</v>
      </c>
      <c r="V57" s="1256">
        <v>60003198592</v>
      </c>
      <c r="W57" s="1257">
        <v>58296956930</v>
      </c>
      <c r="X57" s="1255">
        <v>57653830020</v>
      </c>
      <c r="Y57" s="1255">
        <v>56159961677</v>
      </c>
      <c r="Z57" s="1255">
        <v>55888694459</v>
      </c>
      <c r="AA57" s="1255">
        <v>55312896089</v>
      </c>
      <c r="AB57" s="34">
        <f t="shared" si="4"/>
        <v>-575798370</v>
      </c>
    </row>
    <row r="58" spans="2:29">
      <c r="B58" s="1158" t="s">
        <v>189</v>
      </c>
      <c r="C58" s="1159" t="s">
        <v>545</v>
      </c>
      <c r="D58" s="1159" t="s">
        <v>545</v>
      </c>
      <c r="E58" s="1159" t="s">
        <v>237</v>
      </c>
      <c r="F58" s="1159"/>
      <c r="G58" s="1159"/>
      <c r="H58" s="1159"/>
      <c r="I58" s="1162"/>
      <c r="J58" s="1159" t="str">
        <f t="shared" si="43"/>
        <v>lending_cashloan_cashloan_VDS_</v>
      </c>
      <c r="K58" s="1149"/>
      <c r="L58" s="1148" t="s">
        <v>533</v>
      </c>
      <c r="M58" s="1149"/>
      <c r="N58" s="1169">
        <v>128266006630</v>
      </c>
      <c r="O58" s="1169">
        <v>115945446021</v>
      </c>
      <c r="P58" s="1255">
        <v>132900321522</v>
      </c>
      <c r="Q58" s="1255">
        <v>96174898054</v>
      </c>
      <c r="R58" s="1255">
        <v>104563918691</v>
      </c>
      <c r="S58" s="1255">
        <v>108253009276</v>
      </c>
      <c r="T58" s="1255">
        <v>113013683395</v>
      </c>
      <c r="U58" s="1255">
        <v>96321001040</v>
      </c>
      <c r="V58" s="1292">
        <v>97930342031</v>
      </c>
      <c r="W58" s="1255">
        <v>94382038235</v>
      </c>
      <c r="X58" s="1255">
        <v>90846402382</v>
      </c>
      <c r="Y58" s="1255">
        <v>87120064487</v>
      </c>
      <c r="Z58" s="1255">
        <v>87195482343</v>
      </c>
      <c r="AA58" s="1255">
        <v>87477919039</v>
      </c>
      <c r="AB58" s="34">
        <f t="shared" si="4"/>
        <v>282436696</v>
      </c>
    </row>
    <row r="59" spans="2:29">
      <c r="B59" s="1158" t="s">
        <v>189</v>
      </c>
      <c r="C59" s="1159" t="s">
        <v>545</v>
      </c>
      <c r="D59" s="1159" t="s">
        <v>545</v>
      </c>
      <c r="E59" s="1159" t="s">
        <v>237</v>
      </c>
      <c r="F59" s="1159"/>
      <c r="G59" s="1159"/>
      <c r="H59" s="1159"/>
      <c r="I59" s="1162" t="s">
        <v>247</v>
      </c>
      <c r="J59" s="1159" t="str">
        <f t="shared" si="43"/>
        <v>lending_cashloan_cashloan_VDS_overdue_balance_10d</v>
      </c>
      <c r="K59" s="1149"/>
      <c r="L59" s="1169" t="s">
        <v>534</v>
      </c>
      <c r="M59" s="1149"/>
      <c r="N59" s="1255">
        <v>242335512813</v>
      </c>
      <c r="O59" s="1255">
        <v>253215307338</v>
      </c>
      <c r="P59" s="1255">
        <v>257387831112</v>
      </c>
      <c r="Q59" s="1255">
        <v>216211035603</v>
      </c>
      <c r="R59" s="1255">
        <v>228003295831</v>
      </c>
      <c r="S59" s="1255">
        <v>219589836982</v>
      </c>
      <c r="T59" s="1258">
        <v>222121862595</v>
      </c>
      <c r="U59" s="1258">
        <v>222657233390</v>
      </c>
      <c r="V59" s="1258">
        <v>231139715652</v>
      </c>
      <c r="W59" s="1257">
        <v>240339626322</v>
      </c>
      <c r="X59" s="1255">
        <v>270521140060</v>
      </c>
      <c r="Y59" s="1255">
        <v>276093953608</v>
      </c>
      <c r="Z59" s="1255">
        <v>299632744083</v>
      </c>
      <c r="AA59" s="1255">
        <v>348778917609</v>
      </c>
      <c r="AB59" s="34">
        <f t="shared" si="4"/>
        <v>49146173526</v>
      </c>
    </row>
    <row r="60" spans="2:29">
      <c r="B60" s="1158" t="s">
        <v>189</v>
      </c>
      <c r="C60" s="1159" t="s">
        <v>545</v>
      </c>
      <c r="D60" s="1159" t="s">
        <v>545</v>
      </c>
      <c r="E60" s="1159" t="s">
        <v>237</v>
      </c>
      <c r="F60" s="1159"/>
      <c r="G60" s="1159"/>
      <c r="H60" s="1159"/>
      <c r="I60" s="1162" t="s">
        <v>248</v>
      </c>
      <c r="J60" s="1159" t="str">
        <f t="shared" si="43"/>
        <v>lending_cashloan_cashloan_VDS_overdue_balance_90d</v>
      </c>
      <c r="K60" s="1149"/>
      <c r="L60" s="1169" t="s">
        <v>535</v>
      </c>
      <c r="M60" s="1149"/>
      <c r="N60" s="1169">
        <v>137654955413</v>
      </c>
      <c r="O60" s="1169">
        <v>132330092600</v>
      </c>
      <c r="P60" s="1169">
        <v>144274036407</v>
      </c>
      <c r="Q60" s="1169">
        <v>108007211794</v>
      </c>
      <c r="R60" s="1169">
        <v>123200234353</v>
      </c>
      <c r="S60" s="1169">
        <v>121834681774</v>
      </c>
      <c r="T60" s="1149">
        <v>125809078154</v>
      </c>
      <c r="U60" s="1149">
        <v>117132587105</v>
      </c>
      <c r="V60" s="1258">
        <v>112198077246</v>
      </c>
      <c r="W60" s="1169">
        <v>109518480538</v>
      </c>
      <c r="X60" s="1169">
        <v>114038507340</v>
      </c>
      <c r="Y60" s="1169">
        <v>102390446994</v>
      </c>
      <c r="Z60" s="1169">
        <v>103829795891</v>
      </c>
      <c r="AA60" s="1169">
        <v>118076656653</v>
      </c>
      <c r="AB60" s="34">
        <f t="shared" si="4"/>
        <v>14246860762</v>
      </c>
    </row>
    <row r="61" spans="2:29">
      <c r="B61" s="1158" t="s">
        <v>189</v>
      </c>
      <c r="C61" s="1159" t="s">
        <v>545</v>
      </c>
      <c r="D61" s="1159" t="s">
        <v>545</v>
      </c>
      <c r="E61" s="1159" t="s">
        <v>237</v>
      </c>
      <c r="F61" s="1159"/>
      <c r="G61" s="1159"/>
      <c r="H61" s="1159"/>
      <c r="I61" s="1162"/>
      <c r="J61" s="1159" t="str">
        <f t="shared" si="43"/>
        <v>lending_cashloan_cashloan_VDS_</v>
      </c>
      <c r="K61" s="1149"/>
      <c r="L61" s="1169" t="s">
        <v>536</v>
      </c>
      <c r="M61" s="1149"/>
      <c r="N61" s="1255">
        <f t="shared" ref="N61:AA61" si="46">N59-N60</f>
        <v>104680557400</v>
      </c>
      <c r="O61" s="1255">
        <f t="shared" si="46"/>
        <v>120885214738</v>
      </c>
      <c r="P61" s="1255">
        <f t="shared" si="46"/>
        <v>113113794705</v>
      </c>
      <c r="Q61" s="1255">
        <f t="shared" si="46"/>
        <v>108203823809</v>
      </c>
      <c r="R61" s="1255">
        <f t="shared" si="46"/>
        <v>104803061478</v>
      </c>
      <c r="S61" s="1255">
        <f t="shared" si="46"/>
        <v>97755155208</v>
      </c>
      <c r="T61" s="1255">
        <f t="shared" si="46"/>
        <v>96312784441</v>
      </c>
      <c r="U61" s="1255">
        <f t="shared" si="46"/>
        <v>105524646285</v>
      </c>
      <c r="V61" s="1255">
        <f t="shared" si="46"/>
        <v>118941638406</v>
      </c>
      <c r="W61" s="1255">
        <f t="shared" si="46"/>
        <v>130821145784</v>
      </c>
      <c r="X61" s="1255">
        <f t="shared" si="46"/>
        <v>156482632720</v>
      </c>
      <c r="Y61" s="1255">
        <f t="shared" si="46"/>
        <v>173703506614</v>
      </c>
      <c r="Z61" s="1255">
        <f t="shared" si="46"/>
        <v>195802948192</v>
      </c>
      <c r="AA61" s="1255">
        <f t="shared" si="46"/>
        <v>230702260956</v>
      </c>
      <c r="AB61" s="34">
        <f t="shared" si="4"/>
        <v>34899312764</v>
      </c>
    </row>
    <row r="62" spans="2:29">
      <c r="B62" s="1158" t="s">
        <v>189</v>
      </c>
      <c r="C62" s="1159" t="s">
        <v>545</v>
      </c>
      <c r="D62" s="1159" t="s">
        <v>545</v>
      </c>
      <c r="E62" s="1159" t="s">
        <v>237</v>
      </c>
      <c r="F62" s="1159"/>
      <c r="G62" s="1159"/>
      <c r="H62" s="1159"/>
      <c r="I62" s="1162"/>
      <c r="J62" s="1159" t="str">
        <f t="shared" si="43"/>
        <v>lending_cashloan_cashloan_VDS_</v>
      </c>
      <c r="K62" s="1149"/>
      <c r="L62" s="1169" t="s">
        <v>537</v>
      </c>
      <c r="M62" s="1149"/>
      <c r="N62" s="1237">
        <f t="shared" ref="N62:AA62" si="47">N58/N55</f>
        <v>0.11694983706385427</v>
      </c>
      <c r="O62" s="1237">
        <f t="shared" si="47"/>
        <v>0.10487435092544337</v>
      </c>
      <c r="P62" s="1237">
        <f t="shared" si="47"/>
        <v>0.11581939017678233</v>
      </c>
      <c r="Q62" s="1237">
        <f t="shared" si="47"/>
        <v>9.0745030779023891E-2</v>
      </c>
      <c r="R62" s="1237">
        <f t="shared" si="47"/>
        <v>9.718368536585377E-2</v>
      </c>
      <c r="S62" s="1237">
        <f t="shared" si="47"/>
        <v>9.5232968971595958E-2</v>
      </c>
      <c r="T62" s="1237">
        <f t="shared" si="47"/>
        <v>9.587061875651133E-2</v>
      </c>
      <c r="U62" s="1237">
        <f t="shared" si="47"/>
        <v>7.8986780419772917E-2</v>
      </c>
      <c r="V62" s="1237">
        <f t="shared" si="47"/>
        <v>7.1051245664365312E-2</v>
      </c>
      <c r="W62" s="1237">
        <f t="shared" si="47"/>
        <v>6.3333227603689868E-2</v>
      </c>
      <c r="X62" s="1237">
        <f t="shared" si="47"/>
        <v>5.3782995591150261E-2</v>
      </c>
      <c r="Y62" s="1237">
        <f t="shared" si="47"/>
        <v>4.6499732931814433E-2</v>
      </c>
      <c r="Z62" s="1237">
        <f t="shared" si="47"/>
        <v>4.2073297161908482E-2</v>
      </c>
      <c r="AA62" s="1237">
        <f t="shared" si="47"/>
        <v>3.8541878767909425E-2</v>
      </c>
      <c r="AB62" s="34">
        <f t="shared" si="4"/>
        <v>-3.531418393999057E-3</v>
      </c>
    </row>
    <row r="63" spans="2:29">
      <c r="B63" s="1158" t="s">
        <v>189</v>
      </c>
      <c r="C63" s="1159" t="s">
        <v>545</v>
      </c>
      <c r="D63" s="1159" t="s">
        <v>545</v>
      </c>
      <c r="E63" s="1159" t="s">
        <v>237</v>
      </c>
      <c r="F63" s="1159"/>
      <c r="G63" s="1159"/>
      <c r="H63" s="1159"/>
      <c r="I63" s="1162" t="s">
        <v>213</v>
      </c>
      <c r="J63" s="1159" t="str">
        <f t="shared" si="43"/>
        <v>lending_cashloan_cashloan_VDS_npl</v>
      </c>
      <c r="K63" s="1149"/>
      <c r="L63" s="1169" t="s">
        <v>538</v>
      </c>
      <c r="M63" s="1149"/>
      <c r="N63" s="1237">
        <f t="shared" ref="N63:AA63" si="48">N60/N55</f>
        <v>0.1255104530775745</v>
      </c>
      <c r="O63" s="1237">
        <f t="shared" si="48"/>
        <v>0.11969450328230426</v>
      </c>
      <c r="P63" s="1237">
        <f t="shared" si="48"/>
        <v>0.12573130541475436</v>
      </c>
      <c r="Q63" s="1237">
        <f t="shared" si="48"/>
        <v>0.10190931268884713</v>
      </c>
      <c r="R63" s="1237">
        <f t="shared" si="48"/>
        <v>0.11450462991678163</v>
      </c>
      <c r="S63" s="1237">
        <f t="shared" si="48"/>
        <v>0.10718111714996875</v>
      </c>
      <c r="T63" s="1237">
        <f t="shared" si="48"/>
        <v>0.10672507793285409</v>
      </c>
      <c r="U63" s="1237">
        <f t="shared" si="48"/>
        <v>9.6053050090503508E-2</v>
      </c>
      <c r="V63" s="1237">
        <f t="shared" si="48"/>
        <v>8.1402892955806203E-2</v>
      </c>
      <c r="W63" s="1237">
        <f t="shared" si="48"/>
        <v>7.3490242258312188E-2</v>
      </c>
      <c r="X63" s="1237">
        <f t="shared" si="48"/>
        <v>6.7513213255253959E-2</v>
      </c>
      <c r="Y63" s="1237">
        <f t="shared" si="48"/>
        <v>5.4650194166242325E-2</v>
      </c>
      <c r="Z63" s="1237">
        <f t="shared" si="48"/>
        <v>5.0099635203555294E-2</v>
      </c>
      <c r="AA63" s="1237">
        <f t="shared" si="48"/>
        <v>5.2023370423467434E-2</v>
      </c>
      <c r="AB63" s="34">
        <f t="shared" si="4"/>
        <v>1.9237352199121399E-3</v>
      </c>
    </row>
    <row r="64" spans="2:29">
      <c r="B64" s="1158" t="s">
        <v>189</v>
      </c>
      <c r="C64" s="1159" t="s">
        <v>545</v>
      </c>
      <c r="D64" s="1159" t="s">
        <v>545</v>
      </c>
      <c r="E64" s="1159" t="s">
        <v>237</v>
      </c>
      <c r="F64" s="1159" t="str">
        <f>E64&amp;"CL"</f>
        <v>VDSCL</v>
      </c>
      <c r="G64" s="1159" t="str">
        <f>L64&amp;F64</f>
        <v>TOIVDSCL</v>
      </c>
      <c r="H64" s="1408" t="str">
        <f>L64&amp;E64</f>
        <v>TOIVDS</v>
      </c>
      <c r="I64" s="1162" t="s">
        <v>217</v>
      </c>
      <c r="J64" s="1159" t="str">
        <f t="shared" si="43"/>
        <v>lending_cashloan_cashloan_VDS_TOI</v>
      </c>
      <c r="K64" s="1149"/>
      <c r="L64" s="1238" t="s">
        <v>217</v>
      </c>
      <c r="M64" s="1150">
        <f t="shared" ref="M64:AA64" si="49">M65+M70+M74</f>
        <v>778189988131.92017</v>
      </c>
      <c r="N64" s="1150">
        <f t="shared" si="49"/>
        <v>39678475231</v>
      </c>
      <c r="O64" s="1150">
        <f t="shared" si="49"/>
        <v>40794534742</v>
      </c>
      <c r="P64" s="1150">
        <f t="shared" si="49"/>
        <v>42417349530</v>
      </c>
      <c r="Q64" s="1150">
        <f t="shared" si="49"/>
        <v>36081236115</v>
      </c>
      <c r="R64" s="1150">
        <f t="shared" si="49"/>
        <v>43326725324.920181</v>
      </c>
      <c r="S64" s="1150">
        <f t="shared" si="49"/>
        <v>46412665489</v>
      </c>
      <c r="T64" s="1150">
        <f t="shared" si="49"/>
        <v>48948107995</v>
      </c>
      <c r="U64" s="1150">
        <f t="shared" si="49"/>
        <v>53220556578</v>
      </c>
      <c r="V64" s="1150">
        <f t="shared" si="49"/>
        <v>64325595162</v>
      </c>
      <c r="W64" s="1150">
        <f t="shared" si="49"/>
        <v>69040355523</v>
      </c>
      <c r="X64" s="1150">
        <f t="shared" si="49"/>
        <v>79683280152</v>
      </c>
      <c r="Y64" s="1150">
        <f t="shared" si="49"/>
        <v>90328986632</v>
      </c>
      <c r="Z64" s="1150">
        <f t="shared" si="49"/>
        <v>95842691992</v>
      </c>
      <c r="AA64" s="1150">
        <f t="shared" si="49"/>
        <v>108562437639</v>
      </c>
      <c r="AB64" s="34">
        <f t="shared" si="4"/>
        <v>12719745647</v>
      </c>
      <c r="AC64" s="34">
        <f>SUM(P64:AA64)</f>
        <v>778189988131.92017</v>
      </c>
    </row>
    <row r="65" spans="2:30">
      <c r="B65" s="1158" t="s">
        <v>189</v>
      </c>
      <c r="C65" s="1159" t="s">
        <v>545</v>
      </c>
      <c r="D65" s="1159" t="s">
        <v>545</v>
      </c>
      <c r="E65" s="1159" t="s">
        <v>237</v>
      </c>
      <c r="F65" s="1159"/>
      <c r="G65" s="1159"/>
      <c r="H65" s="1159"/>
      <c r="I65" s="1162" t="s">
        <v>254</v>
      </c>
      <c r="J65" s="1159" t="str">
        <f t="shared" si="43"/>
        <v>lending_cashloan_cashloan_VDS_NII</v>
      </c>
      <c r="K65" s="1149"/>
      <c r="L65" s="1239" t="s">
        <v>218</v>
      </c>
      <c r="M65" s="1150">
        <f t="shared" ref="M65:AA65" si="50">M66-M69</f>
        <v>510561236128.92017</v>
      </c>
      <c r="N65" s="1150">
        <f t="shared" si="50"/>
        <v>28096935555</v>
      </c>
      <c r="O65" s="1150">
        <f t="shared" si="50"/>
        <v>29477909200</v>
      </c>
      <c r="P65" s="1150">
        <f t="shared" si="50"/>
        <v>31408352679</v>
      </c>
      <c r="Q65" s="1150">
        <f t="shared" si="50"/>
        <v>28082686231</v>
      </c>
      <c r="R65" s="1150">
        <f t="shared" si="50"/>
        <v>31161137799.920177</v>
      </c>
      <c r="S65" s="1150">
        <f t="shared" si="50"/>
        <v>31800150847</v>
      </c>
      <c r="T65" s="1150">
        <f t="shared" si="50"/>
        <v>34650462975</v>
      </c>
      <c r="U65" s="1150">
        <f t="shared" si="50"/>
        <v>35448283131</v>
      </c>
      <c r="V65" s="1150">
        <f t="shared" si="50"/>
        <v>40143536410</v>
      </c>
      <c r="W65" s="1150">
        <f t="shared" si="50"/>
        <v>44621501459</v>
      </c>
      <c r="X65" s="1150">
        <f t="shared" si="50"/>
        <v>48257650005</v>
      </c>
      <c r="Y65" s="1150">
        <f t="shared" si="50"/>
        <v>55814149445</v>
      </c>
      <c r="Z65" s="1150">
        <f t="shared" si="50"/>
        <v>60069893055</v>
      </c>
      <c r="AA65" s="1150">
        <f t="shared" si="50"/>
        <v>69103432092</v>
      </c>
      <c r="AB65" s="34">
        <f t="shared" si="4"/>
        <v>9033539037</v>
      </c>
    </row>
    <row r="66" spans="2:30">
      <c r="B66" s="1158" t="s">
        <v>189</v>
      </c>
      <c r="C66" s="1159" t="s">
        <v>545</v>
      </c>
      <c r="D66" s="1159" t="s">
        <v>545</v>
      </c>
      <c r="E66" s="1159" t="s">
        <v>237</v>
      </c>
      <c r="F66" s="1159"/>
      <c r="G66" s="1159"/>
      <c r="H66" s="1159"/>
      <c r="I66" s="1162" t="s">
        <v>255</v>
      </c>
      <c r="J66" s="1159" t="str">
        <f t="shared" si="43"/>
        <v>lending_cashloan_cashloan_VDS_CII</v>
      </c>
      <c r="K66" s="1149"/>
      <c r="L66" s="1240" t="s">
        <v>20</v>
      </c>
      <c r="M66" s="1149">
        <f>SUM(P66:AA66)</f>
        <v>609986674726</v>
      </c>
      <c r="N66" s="1149">
        <f>N67+4129655067-N68</f>
        <v>33954168405</v>
      </c>
      <c r="O66" s="1149">
        <f t="shared" ref="O66:Y66" si="51">O67+N68-O68</f>
        <v>35757060039</v>
      </c>
      <c r="P66" s="1149">
        <f t="shared" si="51"/>
        <v>37783907263</v>
      </c>
      <c r="Q66" s="1149">
        <f t="shared" si="51"/>
        <v>33812818355</v>
      </c>
      <c r="R66" s="1149">
        <f t="shared" si="51"/>
        <v>37182247404</v>
      </c>
      <c r="S66" s="1149">
        <f t="shared" si="51"/>
        <v>37849380586</v>
      </c>
      <c r="T66" s="1149">
        <f t="shared" si="51"/>
        <v>41245909958</v>
      </c>
      <c r="U66" s="1149">
        <f t="shared" si="51"/>
        <v>42103351990</v>
      </c>
      <c r="V66" s="1149">
        <f t="shared" si="51"/>
        <v>47626846642</v>
      </c>
      <c r="W66" s="1149">
        <f t="shared" si="51"/>
        <v>53052518536</v>
      </c>
      <c r="X66" s="1149">
        <f t="shared" si="51"/>
        <v>57457127524</v>
      </c>
      <c r="Y66" s="1149">
        <f t="shared" si="51"/>
        <v>66783017700</v>
      </c>
      <c r="Z66" s="1149">
        <f>Z67+Y68-Z68</f>
        <v>72050601901</v>
      </c>
      <c r="AA66" s="1149">
        <f>AA67+Z68-AA68</f>
        <v>83038946867</v>
      </c>
      <c r="AB66" s="34">
        <f t="shared" si="4"/>
        <v>10988344966</v>
      </c>
    </row>
    <row r="67" spans="2:30">
      <c r="B67" s="1158" t="s">
        <v>189</v>
      </c>
      <c r="C67" s="1159" t="s">
        <v>545</v>
      </c>
      <c r="D67" s="1159" t="s">
        <v>545</v>
      </c>
      <c r="E67" s="1159" t="s">
        <v>237</v>
      </c>
      <c r="F67" s="1159"/>
      <c r="G67" s="1159"/>
      <c r="H67" s="1159"/>
      <c r="I67" s="1162"/>
      <c r="J67" s="1159" t="str">
        <f t="shared" si="43"/>
        <v>lending_cashloan_cashloan_VDS_</v>
      </c>
      <c r="K67" s="1149"/>
      <c r="L67" s="1259" t="s">
        <v>539</v>
      </c>
      <c r="M67" s="1151">
        <f>SUM(P67:AA67)</f>
        <v>613885530839</v>
      </c>
      <c r="N67" s="1260">
        <v>34594747983</v>
      </c>
      <c r="O67" s="1260">
        <v>36499809681</v>
      </c>
      <c r="P67" s="1260">
        <v>38002137672</v>
      </c>
      <c r="Q67" s="1260">
        <v>33265599220</v>
      </c>
      <c r="R67" s="1151">
        <v>37097394365</v>
      </c>
      <c r="S67" s="1151">
        <v>38016634897</v>
      </c>
      <c r="T67" s="1151">
        <v>41300148104</v>
      </c>
      <c r="U67" s="1151">
        <v>42069348583</v>
      </c>
      <c r="V67" s="1151">
        <v>48463084122</v>
      </c>
      <c r="W67" s="1151">
        <v>53272770215</v>
      </c>
      <c r="X67" s="1151">
        <v>57987623749</v>
      </c>
      <c r="Y67" s="1151">
        <v>67607734919</v>
      </c>
      <c r="Z67" s="1149">
        <v>72936674388</v>
      </c>
      <c r="AA67" s="1260">
        <v>83866380605</v>
      </c>
      <c r="AB67" s="34">
        <f t="shared" si="4"/>
        <v>10929706217</v>
      </c>
    </row>
    <row r="68" spans="2:30">
      <c r="B68" s="1158" t="s">
        <v>189</v>
      </c>
      <c r="C68" s="1159" t="s">
        <v>545</v>
      </c>
      <c r="D68" s="1159" t="s">
        <v>545</v>
      </c>
      <c r="E68" s="1159" t="s">
        <v>237</v>
      </c>
      <c r="F68" s="1159"/>
      <c r="G68" s="1159"/>
      <c r="H68" s="1159"/>
      <c r="I68" s="1162"/>
      <c r="J68" s="1159" t="str">
        <f t="shared" si="43"/>
        <v>lending_cashloan_cashloan_VDS_</v>
      </c>
      <c r="K68" s="1149"/>
      <c r="L68" s="1259" t="s">
        <v>187</v>
      </c>
      <c r="M68" s="1151"/>
      <c r="N68" s="1242">
        <v>4770234645</v>
      </c>
      <c r="O68" s="1242">
        <f>5174464805+338519482</f>
        <v>5512984287</v>
      </c>
      <c r="P68" s="1151">
        <v>5731214696</v>
      </c>
      <c r="Q68" s="1242">
        <v>5183995561</v>
      </c>
      <c r="R68" s="1242">
        <v>5099142522</v>
      </c>
      <c r="S68" s="1242">
        <v>5266396833</v>
      </c>
      <c r="T68" s="1242">
        <v>5320634979</v>
      </c>
      <c r="U68" s="1242">
        <v>5286631572</v>
      </c>
      <c r="V68" s="1242">
        <v>6122869052</v>
      </c>
      <c r="W68" s="1242">
        <v>6343120731</v>
      </c>
      <c r="X68" s="1242">
        <v>6873616956</v>
      </c>
      <c r="Y68" s="1149">
        <v>7698334175</v>
      </c>
      <c r="Z68" s="1149">
        <v>8584406662</v>
      </c>
      <c r="AA68" s="1242">
        <v>9411840400</v>
      </c>
      <c r="AB68" s="34">
        <f t="shared" si="4"/>
        <v>827433738</v>
      </c>
      <c r="AC68" s="34"/>
      <c r="AD68" s="34"/>
    </row>
    <row r="69" spans="2:30">
      <c r="B69" s="1158" t="s">
        <v>189</v>
      </c>
      <c r="C69" s="1159" t="s">
        <v>545</v>
      </c>
      <c r="D69" s="1159" t="s">
        <v>545</v>
      </c>
      <c r="E69" s="1159" t="s">
        <v>237</v>
      </c>
      <c r="F69" s="1159"/>
      <c r="G69" s="1159"/>
      <c r="H69" s="1159"/>
      <c r="I69" s="1162" t="s">
        <v>219</v>
      </c>
      <c r="J69" s="1159" t="str">
        <f t="shared" si="43"/>
        <v>lending_cashloan_cashloan_VDS_COF</v>
      </c>
      <c r="K69" s="1149"/>
      <c r="L69" s="1240" t="s">
        <v>219</v>
      </c>
      <c r="M69" s="1149">
        <f>SUM(P69:AA69)</f>
        <v>99425438597.079819</v>
      </c>
      <c r="N69" s="1254">
        <v>5857232850</v>
      </c>
      <c r="O69" s="1254">
        <v>6279150839</v>
      </c>
      <c r="P69" s="1254">
        <v>6375554584</v>
      </c>
      <c r="Q69" s="1254">
        <v>5730132124</v>
      </c>
      <c r="R69" s="1149">
        <v>6021109604.0798235</v>
      </c>
      <c r="S69" s="1149">
        <v>6049229739</v>
      </c>
      <c r="T69" s="1169">
        <v>6595446983</v>
      </c>
      <c r="U69" s="1169">
        <v>6655068859</v>
      </c>
      <c r="V69" s="1290">
        <v>7483310232</v>
      </c>
      <c r="W69" s="1290">
        <v>8431017077</v>
      </c>
      <c r="X69" s="1290">
        <v>9199477519</v>
      </c>
      <c r="Y69" s="1149">
        <v>10968868255</v>
      </c>
      <c r="Z69" s="1254">
        <v>11980708846</v>
      </c>
      <c r="AA69" s="1254">
        <v>13935514775</v>
      </c>
      <c r="AB69" s="34">
        <f t="shared" ref="AB69:AB132" si="52">AA69-Z69</f>
        <v>1954805929</v>
      </c>
    </row>
    <row r="70" spans="2:30">
      <c r="B70" s="1158" t="s">
        <v>189</v>
      </c>
      <c r="C70" s="1159" t="s">
        <v>545</v>
      </c>
      <c r="D70" s="1159" t="s">
        <v>545</v>
      </c>
      <c r="E70" s="1159" t="s">
        <v>237</v>
      </c>
      <c r="F70" s="1159"/>
      <c r="G70" s="1159"/>
      <c r="H70" s="1159"/>
      <c r="I70" s="1162" t="s">
        <v>260</v>
      </c>
      <c r="J70" s="1159" t="str">
        <f t="shared" si="43"/>
        <v>lending_cashloan_cashloan_VDS_NFI</v>
      </c>
      <c r="K70" s="1149"/>
      <c r="L70" s="1239" t="s">
        <v>220</v>
      </c>
      <c r="M70" s="1150">
        <f t="shared" ref="M70:AA70" si="53">SUM(M71:M73)</f>
        <v>258847063309</v>
      </c>
      <c r="N70" s="1150">
        <f t="shared" si="53"/>
        <v>11581539676</v>
      </c>
      <c r="O70" s="1150">
        <f t="shared" si="53"/>
        <v>11310385070</v>
      </c>
      <c r="P70" s="1150">
        <f t="shared" si="53"/>
        <v>10991696913</v>
      </c>
      <c r="Q70" s="1150">
        <f t="shared" si="53"/>
        <v>7892325195</v>
      </c>
      <c r="R70" s="1150">
        <f t="shared" si="53"/>
        <v>11621648139</v>
      </c>
      <c r="S70" s="1150">
        <f t="shared" si="53"/>
        <v>14200870683</v>
      </c>
      <c r="T70" s="1150">
        <f t="shared" si="53"/>
        <v>13650928899</v>
      </c>
      <c r="U70" s="1150">
        <f t="shared" si="53"/>
        <v>16962778968</v>
      </c>
      <c r="V70" s="1150">
        <f t="shared" si="53"/>
        <v>23137721251</v>
      </c>
      <c r="W70" s="1150">
        <f t="shared" si="53"/>
        <v>23359503057</v>
      </c>
      <c r="X70" s="1150">
        <f t="shared" si="53"/>
        <v>30543676965</v>
      </c>
      <c r="Y70" s="1150">
        <f t="shared" si="53"/>
        <v>33530453955</v>
      </c>
      <c r="Z70" s="1150">
        <f t="shared" si="53"/>
        <v>34915981842</v>
      </c>
      <c r="AA70" s="1150">
        <f t="shared" si="53"/>
        <v>38039477442</v>
      </c>
      <c r="AB70" s="34">
        <f t="shared" si="52"/>
        <v>3123495600</v>
      </c>
    </row>
    <row r="71" spans="2:30">
      <c r="B71" s="1158" t="s">
        <v>189</v>
      </c>
      <c r="C71" s="1159" t="s">
        <v>545</v>
      </c>
      <c r="D71" s="1159" t="s">
        <v>545</v>
      </c>
      <c r="E71" s="1159" t="s">
        <v>237</v>
      </c>
      <c r="F71" s="1159"/>
      <c r="G71" s="1159"/>
      <c r="H71" s="1159"/>
      <c r="I71" s="1162" t="s">
        <v>546</v>
      </c>
      <c r="J71" s="1159" t="str">
        <f t="shared" si="43"/>
        <v>lending_cashloan_cashloan_VDS_insurance_fee</v>
      </c>
      <c r="K71" s="1149"/>
      <c r="L71" s="1240" t="s">
        <v>540</v>
      </c>
      <c r="M71" s="1151">
        <f>SUM(P71:AA71)</f>
        <v>185509077376</v>
      </c>
      <c r="N71" s="1151">
        <v>9880274232</v>
      </c>
      <c r="O71" s="1151">
        <v>9609902815</v>
      </c>
      <c r="P71" s="1151">
        <v>9350140074</v>
      </c>
      <c r="Q71" s="1248">
        <v>6253425370</v>
      </c>
      <c r="R71" s="1243">
        <v>9371776980</v>
      </c>
      <c r="S71" s="1243">
        <v>11603056744</v>
      </c>
      <c r="T71" s="1243">
        <v>10990049707</v>
      </c>
      <c r="U71" s="1243">
        <v>12292579444</v>
      </c>
      <c r="V71" s="1243">
        <v>17614586890</v>
      </c>
      <c r="W71" s="1302">
        <v>15879842307</v>
      </c>
      <c r="X71" s="1302">
        <v>21235065395</v>
      </c>
      <c r="Y71" s="1151">
        <v>22360422125</v>
      </c>
      <c r="Z71" s="1151">
        <v>23434158916</v>
      </c>
      <c r="AA71" s="1151">
        <v>25123973424</v>
      </c>
      <c r="AB71" s="34">
        <f t="shared" si="52"/>
        <v>1689814508</v>
      </c>
    </row>
    <row r="72" spans="2:30">
      <c r="B72" s="1158" t="s">
        <v>189</v>
      </c>
      <c r="C72" s="1159" t="s">
        <v>545</v>
      </c>
      <c r="D72" s="1159" t="s">
        <v>545</v>
      </c>
      <c r="E72" s="1159" t="s">
        <v>237</v>
      </c>
      <c r="F72" s="1159"/>
      <c r="G72" s="1159"/>
      <c r="H72" s="1159"/>
      <c r="I72" s="1162" t="s">
        <v>547</v>
      </c>
      <c r="J72" s="1159" t="str">
        <f t="shared" si="43"/>
        <v>lending_cashloan_cashloan_VDS_early_terminate_fee</v>
      </c>
      <c r="K72" s="1149"/>
      <c r="L72" s="1240" t="s">
        <v>541</v>
      </c>
      <c r="M72" s="1151">
        <f>SUM(P72:AA72)</f>
        <v>73337985933</v>
      </c>
      <c r="N72" s="1151">
        <v>1701265444</v>
      </c>
      <c r="O72" s="1151">
        <v>1700482255</v>
      </c>
      <c r="P72" s="1149">
        <v>1641556839</v>
      </c>
      <c r="Q72" s="1149">
        <v>1638899825</v>
      </c>
      <c r="R72" s="1243">
        <v>2249871159</v>
      </c>
      <c r="S72" s="1151">
        <v>2597813939</v>
      </c>
      <c r="T72" s="1151">
        <v>2660879192</v>
      </c>
      <c r="U72" s="1151">
        <v>4670199524</v>
      </c>
      <c r="V72" s="1151">
        <v>5523134361</v>
      </c>
      <c r="W72" s="1151">
        <v>7479660750</v>
      </c>
      <c r="X72" s="1151">
        <v>9308611570</v>
      </c>
      <c r="Y72" s="1151">
        <v>11170031830</v>
      </c>
      <c r="Z72" s="1151">
        <v>11481822926</v>
      </c>
      <c r="AA72" s="1151">
        <v>12915504018</v>
      </c>
      <c r="AB72" s="34">
        <f t="shared" si="52"/>
        <v>1433681092</v>
      </c>
    </row>
    <row r="73" spans="2:30">
      <c r="B73" s="1158" t="s">
        <v>189</v>
      </c>
      <c r="C73" s="1159" t="s">
        <v>545</v>
      </c>
      <c r="D73" s="1159" t="s">
        <v>545</v>
      </c>
      <c r="E73" s="1159" t="s">
        <v>237</v>
      </c>
      <c r="F73" s="1159"/>
      <c r="G73" s="1159"/>
      <c r="H73" s="1159"/>
      <c r="I73" s="1162" t="s">
        <v>548</v>
      </c>
      <c r="J73" s="1159" t="str">
        <f t="shared" si="43"/>
        <v>lending_cashloan_cashloan_VDS_loan_grant_fee</v>
      </c>
      <c r="K73" s="1149"/>
      <c r="L73" s="1240" t="s">
        <v>542</v>
      </c>
      <c r="M73" s="1151">
        <f>SUM(P73:AA73)</f>
        <v>0</v>
      </c>
      <c r="N73" s="1149"/>
      <c r="O73" s="1149"/>
      <c r="P73" s="1149"/>
      <c r="Q73" s="1243"/>
      <c r="R73" s="1243"/>
      <c r="S73" s="1243"/>
      <c r="T73" s="1243"/>
      <c r="U73" s="1151"/>
      <c r="V73" s="1261"/>
      <c r="W73" s="1151"/>
      <c r="X73" s="1151"/>
      <c r="Y73" s="1151"/>
      <c r="Z73" s="1151"/>
      <c r="AA73" s="1151"/>
      <c r="AB73" s="34">
        <f t="shared" si="52"/>
        <v>0</v>
      </c>
    </row>
    <row r="74" spans="2:30" s="4" customFormat="1">
      <c r="B74" s="1158" t="s">
        <v>189</v>
      </c>
      <c r="C74" s="1159" t="s">
        <v>545</v>
      </c>
      <c r="D74" s="1159" t="s">
        <v>545</v>
      </c>
      <c r="E74" s="1164" t="s">
        <v>237</v>
      </c>
      <c r="F74" s="1164"/>
      <c r="G74" s="1164"/>
      <c r="H74" s="1164"/>
      <c r="I74" s="1162" t="s">
        <v>269</v>
      </c>
      <c r="J74" s="1164" t="str">
        <f t="shared" si="43"/>
        <v>lending_cashloan_cashloan_VDS_other_TOI</v>
      </c>
      <c r="K74" s="1149"/>
      <c r="L74" s="1239" t="s">
        <v>89</v>
      </c>
      <c r="M74" s="1152">
        <f>SUM(P74:AA74)</f>
        <v>8781688694</v>
      </c>
      <c r="N74" s="1150"/>
      <c r="O74" s="1150">
        <v>6240472</v>
      </c>
      <c r="P74" s="1150">
        <v>17299938</v>
      </c>
      <c r="Q74" s="1244">
        <v>106224689</v>
      </c>
      <c r="R74" s="1244">
        <v>543939386</v>
      </c>
      <c r="S74" s="1244">
        <v>411643959</v>
      </c>
      <c r="T74" s="1244">
        <v>646716121</v>
      </c>
      <c r="U74" s="1244">
        <v>809494479</v>
      </c>
      <c r="V74" s="1244">
        <v>1044337501</v>
      </c>
      <c r="W74" s="1244">
        <v>1059351007</v>
      </c>
      <c r="X74" s="1244">
        <v>881953182</v>
      </c>
      <c r="Y74" s="1244">
        <v>984383232</v>
      </c>
      <c r="Z74" s="1244">
        <v>856817095</v>
      </c>
      <c r="AA74" s="1244">
        <v>1419528105</v>
      </c>
      <c r="AB74" s="34">
        <f t="shared" si="52"/>
        <v>562711010</v>
      </c>
    </row>
    <row r="75" spans="2:30">
      <c r="B75" s="1158" t="s">
        <v>189</v>
      </c>
      <c r="C75" s="1159" t="s">
        <v>545</v>
      </c>
      <c r="D75" s="1159" t="s">
        <v>545</v>
      </c>
      <c r="E75" s="1159" t="s">
        <v>237</v>
      </c>
      <c r="F75" s="1159"/>
      <c r="G75" s="1159"/>
      <c r="H75" s="1159"/>
      <c r="I75" s="1162" t="s">
        <v>270</v>
      </c>
      <c r="J75" s="1159" t="str">
        <f t="shared" si="43"/>
        <v>lending_cashloan_cashloan_VDS_provision</v>
      </c>
      <c r="K75" s="1149"/>
      <c r="L75" s="1245" t="s">
        <v>136</v>
      </c>
      <c r="M75" s="1150">
        <f>SUM(P75:AA75)</f>
        <v>388698601440</v>
      </c>
      <c r="N75" s="1150">
        <v>11931346505</v>
      </c>
      <c r="O75" s="1150">
        <v>17026123186</v>
      </c>
      <c r="P75" s="1245">
        <v>41826219082</v>
      </c>
      <c r="Q75" s="1245">
        <v>19959148404</v>
      </c>
      <c r="R75" s="1245">
        <f>21225687782+3947986996</f>
        <v>25173674778</v>
      </c>
      <c r="S75" s="1245">
        <v>19593311130</v>
      </c>
      <c r="T75" s="1245">
        <v>33241125666</v>
      </c>
      <c r="U75" s="1245">
        <f>24968728875+3743543011</f>
        <v>28712271886</v>
      </c>
      <c r="V75" s="1296">
        <v>22993577846</v>
      </c>
      <c r="W75" s="1262">
        <v>29817195991</v>
      </c>
      <c r="X75" s="1262">
        <f>34107002222+3560569609</f>
        <v>37667571831</v>
      </c>
      <c r="Y75" s="1262">
        <v>35542834791</v>
      </c>
      <c r="Z75" s="1262">
        <v>41845997466</v>
      </c>
      <c r="AA75" s="1399">
        <f>48136011554+4189661015</f>
        <v>52325672569</v>
      </c>
      <c r="AB75" s="34">
        <f t="shared" si="52"/>
        <v>10479675103</v>
      </c>
    </row>
    <row r="76" spans="2:30">
      <c r="B76" s="1158" t="s">
        <v>189</v>
      </c>
      <c r="C76" s="1159" t="s">
        <v>545</v>
      </c>
      <c r="D76" s="1159" t="s">
        <v>545</v>
      </c>
      <c r="E76" s="1159" t="s">
        <v>237</v>
      </c>
      <c r="F76" s="1159"/>
      <c r="G76" s="1159"/>
      <c r="H76" s="1159"/>
      <c r="I76" s="1162" t="s">
        <v>271</v>
      </c>
      <c r="J76" s="1159" t="str">
        <f t="shared" si="43"/>
        <v>lending_cashloan_cashloan_VDS_variable_cost</v>
      </c>
      <c r="K76" s="1149"/>
      <c r="L76" s="1245" t="s">
        <v>229</v>
      </c>
      <c r="M76" s="1150">
        <f t="shared" ref="M76:AA76" si="54">SUM(M77:M84)</f>
        <v>258147780510.3576</v>
      </c>
      <c r="N76" s="1150">
        <f t="shared" si="54"/>
        <v>12035103319.84664</v>
      </c>
      <c r="O76" s="1150">
        <f t="shared" si="54"/>
        <v>10389225991.019857</v>
      </c>
      <c r="P76" s="1150">
        <f t="shared" si="54"/>
        <v>8973575238.1327629</v>
      </c>
      <c r="Q76" s="1150">
        <f t="shared" si="54"/>
        <v>9499098269.2716084</v>
      </c>
      <c r="R76" s="1150">
        <f t="shared" si="54"/>
        <v>9101710845.9280491</v>
      </c>
      <c r="S76" s="1150">
        <f t="shared" si="54"/>
        <v>18195644212.803772</v>
      </c>
      <c r="T76" s="1150">
        <f t="shared" si="54"/>
        <v>12636588175.915159</v>
      </c>
      <c r="U76" s="1150">
        <f t="shared" si="54"/>
        <v>16998810809.512173</v>
      </c>
      <c r="V76" s="1150">
        <f t="shared" si="54"/>
        <v>28836568696.720398</v>
      </c>
      <c r="W76" s="1150">
        <f t="shared" si="54"/>
        <v>19573509394.413738</v>
      </c>
      <c r="X76" s="1150">
        <f t="shared" si="54"/>
        <v>29478115021.341995</v>
      </c>
      <c r="Y76" s="1150">
        <f t="shared" si="54"/>
        <v>31378128616.600018</v>
      </c>
      <c r="Z76" s="1150">
        <f t="shared" si="54"/>
        <v>35338788285.220505</v>
      </c>
      <c r="AA76" s="1150">
        <f t="shared" si="54"/>
        <v>38137242944.497406</v>
      </c>
      <c r="AB76" s="34">
        <f t="shared" si="52"/>
        <v>2798454659.2769012</v>
      </c>
    </row>
    <row r="77" spans="2:30">
      <c r="B77" s="1158" t="s">
        <v>189</v>
      </c>
      <c r="C77" s="1159" t="s">
        <v>545</v>
      </c>
      <c r="D77" s="1159" t="s">
        <v>545</v>
      </c>
      <c r="E77" s="1159" t="s">
        <v>237</v>
      </c>
      <c r="F77" s="1159"/>
      <c r="G77" s="1159"/>
      <c r="H77" s="1159"/>
      <c r="I77" s="1162" t="s">
        <v>272</v>
      </c>
      <c r="J77" s="1159" t="str">
        <f t="shared" si="43"/>
        <v>lending_cashloan_cashloan_VDS_marketing_acquisition_cost</v>
      </c>
      <c r="K77" s="1149"/>
      <c r="L77" s="1246" t="s">
        <v>230</v>
      </c>
      <c r="M77" s="1149">
        <f t="shared" ref="M77:M82" si="55">SUM(P77:AA77)</f>
        <v>0</v>
      </c>
      <c r="N77" s="1149"/>
      <c r="O77" s="1149"/>
      <c r="P77" s="1169"/>
      <c r="Q77" s="1169"/>
      <c r="R77" s="1169"/>
      <c r="S77" s="1147"/>
      <c r="T77" s="1169"/>
      <c r="U77" s="1248"/>
      <c r="V77" s="1147"/>
      <c r="W77" s="1149"/>
      <c r="X77" s="1149"/>
      <c r="Y77" s="1147"/>
      <c r="Z77" s="1147"/>
      <c r="AA77" s="1147"/>
      <c r="AB77" s="34">
        <f t="shared" si="52"/>
        <v>0</v>
      </c>
    </row>
    <row r="78" spans="2:30">
      <c r="B78" s="1158" t="s">
        <v>189</v>
      </c>
      <c r="C78" s="1159" t="s">
        <v>545</v>
      </c>
      <c r="D78" s="1159" t="s">
        <v>545</v>
      </c>
      <c r="E78" s="1159" t="s">
        <v>237</v>
      </c>
      <c r="F78" s="1159"/>
      <c r="G78" s="1159"/>
      <c r="H78" s="1159"/>
      <c r="I78" s="1162" t="s">
        <v>273</v>
      </c>
      <c r="J78" s="1159" t="str">
        <f t="shared" si="43"/>
        <v>lending_cashloan_cashloan_VDS_partner_acquisition_cost</v>
      </c>
      <c r="K78" s="1149"/>
      <c r="L78" s="1246" t="s">
        <v>231</v>
      </c>
      <c r="M78" s="1149">
        <f t="shared" si="55"/>
        <v>239769284291</v>
      </c>
      <c r="N78" s="1149">
        <f>10711164687+14400000</f>
        <v>10725564687</v>
      </c>
      <c r="O78" s="1149">
        <f>8776603791+8880000</f>
        <v>8785483791</v>
      </c>
      <c r="P78" s="1169">
        <f>7469010968+1380000</f>
        <v>7470390968</v>
      </c>
      <c r="Q78" s="1169">
        <v>7820321397</v>
      </c>
      <c r="R78" s="1169">
        <f>7710727408+2520000</f>
        <v>7713247408</v>
      </c>
      <c r="S78" s="1169">
        <f>16791179734+60000</f>
        <v>16791239734</v>
      </c>
      <c r="T78" s="1169">
        <f>7260122763+4000000000</f>
        <v>11260122763</v>
      </c>
      <c r="U78" s="1266">
        <f>13137790945
+3000000000</f>
        <v>16137790945</v>
      </c>
      <c r="V78" s="1169">
        <v>27658468626</v>
      </c>
      <c r="W78" s="1169">
        <v>18036041466</v>
      </c>
      <c r="X78" s="1169">
        <v>27652613134</v>
      </c>
      <c r="Y78" s="1290">
        <v>29699438610</v>
      </c>
      <c r="Z78" s="1290">
        <v>33440423242</v>
      </c>
      <c r="AA78" s="1290">
        <v>36089185998</v>
      </c>
      <c r="AB78" s="34">
        <f t="shared" si="52"/>
        <v>2648762756</v>
      </c>
    </row>
    <row r="79" spans="2:30">
      <c r="B79" s="1158" t="s">
        <v>189</v>
      </c>
      <c r="C79" s="1159" t="s">
        <v>545</v>
      </c>
      <c r="D79" s="1159" t="s">
        <v>545</v>
      </c>
      <c r="E79" s="1159" t="s">
        <v>237</v>
      </c>
      <c r="F79" s="1159"/>
      <c r="G79" s="1159"/>
      <c r="H79" s="1159"/>
      <c r="I79" s="1162" t="s">
        <v>274</v>
      </c>
      <c r="J79" s="1159" t="str">
        <f t="shared" si="43"/>
        <v>lending_cashloan_cashloan_VDS_underwritting</v>
      </c>
      <c r="K79" s="1149"/>
      <c r="L79" s="1246" t="s">
        <v>232</v>
      </c>
      <c r="M79" s="1149">
        <f t="shared" si="55"/>
        <v>8619862099.2507935</v>
      </c>
      <c r="N79" s="1149">
        <v>440438935.589508</v>
      </c>
      <c r="O79" s="1149">
        <v>443290952.72403085</v>
      </c>
      <c r="P79" s="1265">
        <v>399174177.37550664</v>
      </c>
      <c r="Q79" s="1265">
        <v>313026386.49350071</v>
      </c>
      <c r="R79" s="1265">
        <v>505181895.63284093</v>
      </c>
      <c r="S79" s="1265">
        <v>468890494.78803992</v>
      </c>
      <c r="T79" s="1265">
        <v>406159189.85260957</v>
      </c>
      <c r="U79" s="1265">
        <v>421553514.75729436</v>
      </c>
      <c r="V79" s="1265">
        <v>559362675.3176775</v>
      </c>
      <c r="W79" s="1265">
        <v>955304287.33087659</v>
      </c>
      <c r="X79" s="1265">
        <v>1105196761.0874016</v>
      </c>
      <c r="Y79" s="1149">
        <v>1083868310.90062</v>
      </c>
      <c r="Z79" s="1149">
        <v>1097328611.0186901</v>
      </c>
      <c r="AA79" s="1149">
        <v>1304815794.6957355</v>
      </c>
      <c r="AB79" s="34">
        <f t="shared" si="52"/>
        <v>207487183.67704535</v>
      </c>
    </row>
    <row r="80" spans="2:30">
      <c r="B80" s="1158" t="s">
        <v>189</v>
      </c>
      <c r="C80" s="1159" t="s">
        <v>545</v>
      </c>
      <c r="D80" s="1159" t="s">
        <v>545</v>
      </c>
      <c r="E80" s="1159" t="s">
        <v>237</v>
      </c>
      <c r="F80" s="1159"/>
      <c r="G80" s="1159"/>
      <c r="H80" s="1159"/>
      <c r="I80" s="1162" t="s">
        <v>275</v>
      </c>
      <c r="J80" s="1159" t="str">
        <f t="shared" si="43"/>
        <v>lending_cashloan_cashloan_VDS_e_contract</v>
      </c>
      <c r="K80" s="1149"/>
      <c r="L80" s="1246" t="s">
        <v>233</v>
      </c>
      <c r="M80" s="1149">
        <f t="shared" si="55"/>
        <v>240282623</v>
      </c>
      <c r="N80" s="1149">
        <v>14335502</v>
      </c>
      <c r="O80" s="1149">
        <v>12561591</v>
      </c>
      <c r="P80" s="1169">
        <v>11966337</v>
      </c>
      <c r="Q80" s="1169">
        <v>9677426</v>
      </c>
      <c r="R80" s="1169">
        <v>15041279</v>
      </c>
      <c r="S80" s="1169">
        <v>41754120</v>
      </c>
      <c r="T80" s="1169">
        <v>13256531</v>
      </c>
      <c r="U80" s="1247">
        <v>14710483</v>
      </c>
      <c r="V80" s="1247">
        <v>20382708</v>
      </c>
      <c r="W80" s="1149">
        <v>19382271</v>
      </c>
      <c r="X80" s="1149">
        <v>21102642</v>
      </c>
      <c r="Y80" s="1149">
        <v>21960093</v>
      </c>
      <c r="Z80" s="1149">
        <v>23428833</v>
      </c>
      <c r="AA80" s="1149">
        <v>27619900</v>
      </c>
      <c r="AB80" s="34">
        <f t="shared" si="52"/>
        <v>4191067</v>
      </c>
    </row>
    <row r="81" spans="2:29">
      <c r="B81" s="1158" t="s">
        <v>189</v>
      </c>
      <c r="C81" s="1159" t="s">
        <v>545</v>
      </c>
      <c r="D81" s="1159" t="s">
        <v>545</v>
      </c>
      <c r="E81" s="1159" t="s">
        <v>237</v>
      </c>
      <c r="F81" s="1159"/>
      <c r="G81" s="1159"/>
      <c r="H81" s="1159"/>
      <c r="I81" s="1162" t="s">
        <v>276</v>
      </c>
      <c r="J81" s="1159" t="str">
        <f t="shared" si="43"/>
        <v>lending_cashloan_cashloan_VDS_nfc</v>
      </c>
      <c r="K81" s="1149"/>
      <c r="L81" s="1246" t="s">
        <v>152</v>
      </c>
      <c r="M81" s="1149">
        <f t="shared" si="55"/>
        <v>510089414.40176511</v>
      </c>
      <c r="N81" s="1149"/>
      <c r="O81" s="1149"/>
      <c r="P81" s="1265">
        <v>51653336.786435463</v>
      </c>
      <c r="Q81" s="1169">
        <v>33091702.357071213</v>
      </c>
      <c r="R81" s="1169">
        <v>49670832.165832736</v>
      </c>
      <c r="S81" s="1169">
        <v>42424742.861552708</v>
      </c>
      <c r="T81" s="1169">
        <v>35311090.683039144</v>
      </c>
      <c r="U81" s="1266">
        <v>35545615.778914414</v>
      </c>
      <c r="V81" s="1247">
        <v>43025475.109831348</v>
      </c>
      <c r="W81" s="1265">
        <v>41031841.118254714</v>
      </c>
      <c r="X81" s="1265">
        <v>39560832.537772328</v>
      </c>
      <c r="Y81" s="1149">
        <v>42140308.827840358</v>
      </c>
      <c r="Z81" s="1149">
        <v>40721046.759890854</v>
      </c>
      <c r="AA81" s="1149">
        <v>55912589.415329896</v>
      </c>
      <c r="AB81" s="34">
        <f t="shared" si="52"/>
        <v>15191542.655439042</v>
      </c>
    </row>
    <row r="82" spans="2:29">
      <c r="B82" s="1158" t="s">
        <v>189</v>
      </c>
      <c r="C82" s="1159" t="s">
        <v>545</v>
      </c>
      <c r="D82" s="1159" t="s">
        <v>545</v>
      </c>
      <c r="E82" s="1159" t="s">
        <v>237</v>
      </c>
      <c r="F82" s="1159"/>
      <c r="G82" s="1159"/>
      <c r="H82" s="1159"/>
      <c r="I82" s="1162" t="s">
        <v>277</v>
      </c>
      <c r="J82" s="1159" t="str">
        <f t="shared" si="43"/>
        <v>lending_cashloan_cashloan_VDS_collection</v>
      </c>
      <c r="K82" s="1149"/>
      <c r="L82" s="1246" t="s">
        <v>234</v>
      </c>
      <c r="M82" s="1149">
        <f t="shared" si="55"/>
        <v>8246186407.3027859</v>
      </c>
      <c r="N82" s="1149">
        <v>831217897.76843691</v>
      </c>
      <c r="O82" s="1149">
        <v>1090532433.8564439</v>
      </c>
      <c r="P82" s="1169">
        <v>968267436.20053327</v>
      </c>
      <c r="Q82" s="1169">
        <v>1283266590.4093432</v>
      </c>
      <c r="R82" s="1169">
        <v>767506603.14327681</v>
      </c>
      <c r="S82" s="1169">
        <v>774874937.75568223</v>
      </c>
      <c r="T82" s="1169">
        <v>860487093.45002365</v>
      </c>
      <c r="U82" s="1169">
        <v>336697049.51595801</v>
      </c>
      <c r="V82" s="1169">
        <v>482732506</v>
      </c>
      <c r="W82" s="1149">
        <v>487746898.0167675</v>
      </c>
      <c r="X82" s="1149">
        <v>583679320.91171777</v>
      </c>
      <c r="Y82" s="1149">
        <v>448252866.44084126</v>
      </c>
      <c r="Z82" s="1149">
        <v>660980117.66632712</v>
      </c>
      <c r="AA82" s="1149">
        <v>591694987.79231477</v>
      </c>
      <c r="AB82" s="34">
        <f t="shared" si="52"/>
        <v>-69285129.874012351</v>
      </c>
    </row>
    <row r="83" spans="2:29">
      <c r="B83" s="1158"/>
      <c r="C83" s="1159"/>
      <c r="D83" s="1159"/>
      <c r="E83" s="1159"/>
      <c r="F83" s="1159"/>
      <c r="G83" s="1159"/>
      <c r="H83" s="1159"/>
      <c r="I83" s="1162" t="s">
        <v>278</v>
      </c>
      <c r="J83" s="1159"/>
      <c r="K83" s="1149"/>
      <c r="L83" s="1246" t="s">
        <v>235</v>
      </c>
      <c r="M83" s="1149"/>
      <c r="N83" s="1149"/>
      <c r="O83" s="1149"/>
      <c r="P83" s="1169"/>
      <c r="Q83" s="1169"/>
      <c r="R83" s="1169"/>
      <c r="S83" s="1169"/>
      <c r="T83" s="1169"/>
      <c r="U83" s="1248"/>
      <c r="V83" s="1169"/>
      <c r="W83" s="1149"/>
      <c r="X83" s="1149"/>
      <c r="Y83" s="1149"/>
      <c r="Z83" s="1149"/>
      <c r="AA83" s="1149"/>
      <c r="AB83" s="34">
        <f t="shared" si="52"/>
        <v>0</v>
      </c>
    </row>
    <row r="84" spans="2:29" s="100" customFormat="1">
      <c r="B84" s="1158" t="s">
        <v>189</v>
      </c>
      <c r="C84" s="1159" t="s">
        <v>545</v>
      </c>
      <c r="D84" s="1159" t="s">
        <v>545</v>
      </c>
      <c r="E84" s="1159" t="s">
        <v>237</v>
      </c>
      <c r="F84" s="1159"/>
      <c r="G84" s="1159"/>
      <c r="H84" s="1159"/>
      <c r="I84" s="1162" t="s">
        <v>279</v>
      </c>
      <c r="J84" s="1159" t="str">
        <f>B84&amp;"_"&amp;C84&amp;"_"&amp;D84&amp;"_"&amp;E84&amp;"_"&amp;I84</f>
        <v>lending_cashloan_cashloan_VDS_sms</v>
      </c>
      <c r="K84" s="1149"/>
      <c r="L84" s="1249" t="s">
        <v>163</v>
      </c>
      <c r="M84" s="1149">
        <f>SUM(P84:AA84)</f>
        <v>762075675.40225172</v>
      </c>
      <c r="N84" s="1247">
        <v>23546297.488694493</v>
      </c>
      <c r="O84" s="1247">
        <v>57357222.439383306</v>
      </c>
      <c r="P84" s="1247">
        <v>72122982.770288065</v>
      </c>
      <c r="Q84" s="1247">
        <v>39714767.011694647</v>
      </c>
      <c r="R84" s="1247">
        <v>51062827.986099608</v>
      </c>
      <c r="S84" s="1247">
        <v>76460183.398495153</v>
      </c>
      <c r="T84" s="1247">
        <v>61251507.929487683</v>
      </c>
      <c r="U84" s="1266">
        <v>52513201.460006014</v>
      </c>
      <c r="V84" s="1149">
        <v>72596706.292890385</v>
      </c>
      <c r="W84" s="1265">
        <v>34002630.947841182</v>
      </c>
      <c r="X84" s="1265">
        <v>75962330.805103675</v>
      </c>
      <c r="Y84" s="1149">
        <v>82468427.430717304</v>
      </c>
      <c r="Z84" s="1149">
        <v>75906434.775592893</v>
      </c>
      <c r="AA84" s="1149">
        <v>68013674.594035178</v>
      </c>
      <c r="AB84" s="34">
        <f t="shared" si="52"/>
        <v>-7892760.1815577149</v>
      </c>
    </row>
    <row r="85" spans="2:29">
      <c r="B85" s="1158" t="s">
        <v>189</v>
      </c>
      <c r="C85" s="1159" t="s">
        <v>545</v>
      </c>
      <c r="D85" s="1159" t="s">
        <v>545</v>
      </c>
      <c r="E85" s="1165" t="s">
        <v>237</v>
      </c>
      <c r="F85" s="1159" t="str">
        <f>E85&amp;"CL"</f>
        <v>VDSCL</v>
      </c>
      <c r="G85" s="1159" t="str">
        <f>L85&amp;F85</f>
        <v>Profit before allocation costVDSCL</v>
      </c>
      <c r="H85" s="1408" t="str">
        <f>L85&amp;E85</f>
        <v>Profit before allocation costVDS</v>
      </c>
      <c r="I85" s="1166" t="s">
        <v>280</v>
      </c>
      <c r="J85" s="1165" t="str">
        <f>B85&amp;"_"&amp;C85&amp;"_"&amp;D85&amp;"_"&amp;E85&amp;"_"&amp;I85</f>
        <v>lending_cashloan_cashloan_VDS_profit_before_overhead</v>
      </c>
      <c r="K85" s="1149"/>
      <c r="L85" s="1360" t="s">
        <v>236</v>
      </c>
      <c r="M85" s="1360">
        <f t="shared" ref="M85:AA85" si="56">M64-M75-M76</f>
        <v>131343606181.56256</v>
      </c>
      <c r="N85" s="1360">
        <f t="shared" si="56"/>
        <v>15712025406.15336</v>
      </c>
      <c r="O85" s="1360">
        <f t="shared" si="56"/>
        <v>13379185564.980143</v>
      </c>
      <c r="P85" s="1360">
        <f t="shared" si="56"/>
        <v>-8382444790.1327629</v>
      </c>
      <c r="Q85" s="1360">
        <f t="shared" si="56"/>
        <v>6622989441.7283916</v>
      </c>
      <c r="R85" s="1360">
        <f t="shared" si="56"/>
        <v>9051339700.9921322</v>
      </c>
      <c r="S85" s="1360">
        <f t="shared" si="56"/>
        <v>8623710146.196228</v>
      </c>
      <c r="T85" s="1360">
        <f t="shared" si="56"/>
        <v>3070394153.0848408</v>
      </c>
      <c r="U85" s="1360">
        <f t="shared" si="56"/>
        <v>7509473882.4878273</v>
      </c>
      <c r="V85" s="1360">
        <f t="shared" si="56"/>
        <v>12495448619.279602</v>
      </c>
      <c r="W85" s="1360">
        <f t="shared" si="56"/>
        <v>19649650137.586262</v>
      </c>
      <c r="X85" s="1360">
        <f t="shared" si="56"/>
        <v>12537593299.658005</v>
      </c>
      <c r="Y85" s="1360">
        <f t="shared" si="56"/>
        <v>23408023224.399982</v>
      </c>
      <c r="Z85" s="1360">
        <f t="shared" si="56"/>
        <v>18657906240.779495</v>
      </c>
      <c r="AA85" s="1360">
        <f t="shared" si="56"/>
        <v>18099522125.502594</v>
      </c>
      <c r="AB85" s="34">
        <f t="shared" si="52"/>
        <v>-558384115.27690125</v>
      </c>
      <c r="AC85" s="34">
        <f>SUM(P85:AA85)</f>
        <v>131343606181.56259</v>
      </c>
    </row>
    <row r="86" spans="2:29">
      <c r="B86" s="1158"/>
      <c r="C86" s="1159"/>
      <c r="D86" s="1159"/>
      <c r="E86" s="1159"/>
      <c r="F86" s="1159"/>
      <c r="G86" s="1159"/>
      <c r="H86" s="1159"/>
      <c r="I86" s="1160"/>
      <c r="J86" s="1159"/>
      <c r="K86" s="1149"/>
      <c r="L86" s="1153"/>
      <c r="M86" s="1150"/>
      <c r="N86" s="1150"/>
      <c r="O86" s="1150"/>
      <c r="P86" s="1150"/>
      <c r="Q86" s="1150"/>
      <c r="R86" s="1150"/>
      <c r="S86" s="1150"/>
      <c r="T86" s="1150"/>
      <c r="U86" s="1150"/>
      <c r="V86" s="1150"/>
      <c r="W86" s="1150"/>
      <c r="X86" s="1150"/>
      <c r="Y86" s="1150"/>
      <c r="Z86" s="1150"/>
      <c r="AA86" s="1150"/>
      <c r="AB86" s="34">
        <f t="shared" si="52"/>
        <v>0</v>
      </c>
    </row>
    <row r="87" spans="2:29">
      <c r="B87" s="1158" t="s">
        <v>189</v>
      </c>
      <c r="C87" s="1159" t="s">
        <v>545</v>
      </c>
      <c r="D87" s="1159" t="s">
        <v>549</v>
      </c>
      <c r="E87" s="1159" t="s">
        <v>237</v>
      </c>
      <c r="F87" s="1159"/>
      <c r="G87" s="1159"/>
      <c r="H87" s="1159"/>
      <c r="I87" s="1159"/>
      <c r="J87" s="1159" t="str">
        <f t="shared" ref="J87:J124" si="57">B87&amp;"_"&amp;C87&amp;"_"&amp;D87&amp;"_"&amp;E87&amp;"_"&amp;I87</f>
        <v>lending_cashloan_payroll_VDS_</v>
      </c>
      <c r="K87" s="1149"/>
      <c r="L87" s="1146" t="s">
        <v>550</v>
      </c>
      <c r="M87" s="1146"/>
      <c r="N87" s="1146"/>
      <c r="O87" s="1146"/>
      <c r="P87" s="1146"/>
      <c r="Q87" s="1146"/>
      <c r="R87" s="1146"/>
      <c r="S87" s="1146"/>
      <c r="T87" s="1146"/>
      <c r="U87" s="1146"/>
      <c r="V87" s="1146"/>
      <c r="W87" s="1146"/>
      <c r="X87" s="1146"/>
      <c r="Y87" s="1146"/>
      <c r="Z87" s="1146"/>
      <c r="AA87" s="1146"/>
      <c r="AB87" s="34">
        <f t="shared" si="52"/>
        <v>0</v>
      </c>
    </row>
    <row r="88" spans="2:29">
      <c r="B88" s="1158" t="s">
        <v>189</v>
      </c>
      <c r="C88" s="1159" t="s">
        <v>545</v>
      </c>
      <c r="D88" s="1159" t="s">
        <v>549</v>
      </c>
      <c r="E88" s="1159" t="s">
        <v>237</v>
      </c>
      <c r="F88" s="1159"/>
      <c r="G88" s="1159"/>
      <c r="H88" s="1159"/>
      <c r="I88" s="1162" t="s">
        <v>239</v>
      </c>
      <c r="J88" s="1159" t="str">
        <f t="shared" si="57"/>
        <v>lending_cashloan_payroll_VDS_new_account</v>
      </c>
      <c r="K88" s="1149"/>
      <c r="L88" s="1148" t="s">
        <v>193</v>
      </c>
      <c r="M88" s="1149"/>
      <c r="N88" s="1169">
        <v>90</v>
      </c>
      <c r="O88" s="1169">
        <v>56</v>
      </c>
      <c r="P88" s="1169">
        <v>60</v>
      </c>
      <c r="Q88" s="1267">
        <v>70</v>
      </c>
      <c r="R88" s="1169">
        <v>108</v>
      </c>
      <c r="S88" s="1169">
        <v>75</v>
      </c>
      <c r="T88" s="1267">
        <v>71</v>
      </c>
      <c r="U88" s="1267">
        <v>24</v>
      </c>
      <c r="V88" s="1361">
        <v>52</v>
      </c>
      <c r="W88" s="1169">
        <v>63</v>
      </c>
      <c r="X88" s="1169">
        <v>59</v>
      </c>
      <c r="Y88" s="1169">
        <v>63</v>
      </c>
      <c r="Z88" s="1169">
        <v>54</v>
      </c>
      <c r="AA88" s="1169">
        <v>37</v>
      </c>
      <c r="AB88" s="34">
        <f t="shared" si="52"/>
        <v>-17</v>
      </c>
    </row>
    <row r="89" spans="2:29">
      <c r="B89" s="1158" t="s">
        <v>189</v>
      </c>
      <c r="C89" s="1159" t="s">
        <v>545</v>
      </c>
      <c r="D89" s="1159" t="s">
        <v>549</v>
      </c>
      <c r="E89" s="1159" t="s">
        <v>237</v>
      </c>
      <c r="F89" s="1159"/>
      <c r="G89" s="1159"/>
      <c r="H89" s="1159"/>
      <c r="I89" s="1148" t="s">
        <v>527</v>
      </c>
      <c r="J89" s="1159" t="str">
        <f t="shared" si="57"/>
        <v>lending_cashloan_payroll_VDS_Repeat account</v>
      </c>
      <c r="K89" s="1149"/>
      <c r="L89" s="1148" t="s">
        <v>527</v>
      </c>
      <c r="M89" s="1149"/>
      <c r="N89" s="1169">
        <v>9</v>
      </c>
      <c r="O89" s="1169">
        <v>7</v>
      </c>
      <c r="P89" s="1169">
        <v>14</v>
      </c>
      <c r="Q89" s="1169">
        <v>17</v>
      </c>
      <c r="R89" s="1169">
        <v>21</v>
      </c>
      <c r="S89" s="1169">
        <v>18</v>
      </c>
      <c r="T89" s="1169">
        <v>21</v>
      </c>
      <c r="U89" s="1268">
        <v>146</v>
      </c>
      <c r="V89" s="1169">
        <v>18</v>
      </c>
      <c r="W89" s="1169">
        <v>22</v>
      </c>
      <c r="X89" s="1169">
        <v>33</v>
      </c>
      <c r="Y89" s="1169">
        <v>46</v>
      </c>
      <c r="Z89" s="1169">
        <v>36</v>
      </c>
      <c r="AA89" s="1169">
        <v>31</v>
      </c>
      <c r="AB89" s="34">
        <f t="shared" si="52"/>
        <v>-5</v>
      </c>
    </row>
    <row r="90" spans="2:29">
      <c r="B90" s="1158" t="s">
        <v>189</v>
      </c>
      <c r="C90" s="1159" t="s">
        <v>545</v>
      </c>
      <c r="D90" s="1159" t="s">
        <v>549</v>
      </c>
      <c r="E90" s="1159" t="s">
        <v>237</v>
      </c>
      <c r="F90" s="1159"/>
      <c r="G90" s="1159"/>
      <c r="H90" s="1159"/>
      <c r="I90" s="1162" t="s">
        <v>241</v>
      </c>
      <c r="J90" s="1159" t="str">
        <f t="shared" si="57"/>
        <v>lending_cashloan_payroll_VDS_active_account</v>
      </c>
      <c r="K90" s="1149"/>
      <c r="L90" s="1148" t="s">
        <v>194</v>
      </c>
      <c r="M90" s="1149"/>
      <c r="N90" s="1149">
        <v>892</v>
      </c>
      <c r="O90" s="1169">
        <v>902</v>
      </c>
      <c r="P90" s="1169">
        <f>879-2</f>
        <v>877</v>
      </c>
      <c r="Q90" s="1267">
        <f>874-21</f>
        <v>853</v>
      </c>
      <c r="R90" s="1169">
        <f>879-30</f>
        <v>849</v>
      </c>
      <c r="S90" s="1169">
        <f>862-32</f>
        <v>830</v>
      </c>
      <c r="T90" s="1267">
        <f>851-43</f>
        <v>808</v>
      </c>
      <c r="U90" s="1361">
        <v>777</v>
      </c>
      <c r="V90" s="1361">
        <v>769</v>
      </c>
      <c r="W90" s="1169">
        <v>762</v>
      </c>
      <c r="X90" s="1255">
        <v>743</v>
      </c>
      <c r="Y90" s="1169">
        <v>731</v>
      </c>
      <c r="Z90" s="1149">
        <v>707</v>
      </c>
      <c r="AA90" s="1169">
        <v>685</v>
      </c>
      <c r="AB90" s="34">
        <f t="shared" si="52"/>
        <v>-22</v>
      </c>
    </row>
    <row r="91" spans="2:29">
      <c r="B91" s="1158" t="s">
        <v>189</v>
      </c>
      <c r="C91" s="1159" t="s">
        <v>545</v>
      </c>
      <c r="D91" s="1159" t="s">
        <v>549</v>
      </c>
      <c r="E91" s="1159" t="s">
        <v>237</v>
      </c>
      <c r="F91" s="1159" t="str">
        <f>E91&amp;"PRCL"</f>
        <v>VDSPRCL</v>
      </c>
      <c r="G91" s="1159" t="str">
        <f>L91&amp;F91</f>
        <v>DisbursementVDSPRCL</v>
      </c>
      <c r="H91" s="1408" t="str">
        <f>L91&amp;E91</f>
        <v>DisbursementVDS</v>
      </c>
      <c r="I91" s="1162" t="s">
        <v>242</v>
      </c>
      <c r="J91" s="1159" t="str">
        <f t="shared" si="57"/>
        <v>lending_cashloan_payroll_VDS_disburse/spend</v>
      </c>
      <c r="K91" s="1149"/>
      <c r="L91" s="1169" t="s">
        <v>80</v>
      </c>
      <c r="M91" s="1149">
        <f>SUM(P91:AA91)</f>
        <v>11871000000</v>
      </c>
      <c r="N91" s="1169">
        <v>1487350000</v>
      </c>
      <c r="O91" s="1149">
        <v>846550000</v>
      </c>
      <c r="P91" s="1149">
        <v>1011950000</v>
      </c>
      <c r="Q91" s="1149">
        <v>1109450000</v>
      </c>
      <c r="R91" s="1169">
        <v>1798700000</v>
      </c>
      <c r="S91" s="1169">
        <v>1227200000</v>
      </c>
      <c r="T91" s="1169">
        <v>1149700000</v>
      </c>
      <c r="U91" s="1169">
        <v>374000000</v>
      </c>
      <c r="V91" s="1290">
        <v>809800000</v>
      </c>
      <c r="W91" s="1169">
        <v>1040200000</v>
      </c>
      <c r="X91" s="1290">
        <v>953500000</v>
      </c>
      <c r="Y91" s="1169">
        <v>1056500000</v>
      </c>
      <c r="Z91" s="1169">
        <v>746250000</v>
      </c>
      <c r="AA91" s="1149">
        <v>593750000</v>
      </c>
      <c r="AB91" s="34">
        <f t="shared" si="52"/>
        <v>-152500000</v>
      </c>
      <c r="AC91" s="34">
        <f>SUM(P91:AA91)</f>
        <v>11871000000</v>
      </c>
    </row>
    <row r="92" spans="2:29">
      <c r="B92" s="1158" t="s">
        <v>189</v>
      </c>
      <c r="C92" s="1159" t="s">
        <v>545</v>
      </c>
      <c r="D92" s="1159" t="s">
        <v>549</v>
      </c>
      <c r="E92" s="1159" t="s">
        <v>237</v>
      </c>
      <c r="F92" s="1159"/>
      <c r="G92" s="1159"/>
      <c r="H92" s="1159"/>
      <c r="I92" s="1160"/>
      <c r="J92" s="1159" t="str">
        <f t="shared" si="57"/>
        <v>lending_cashloan_payroll_VDS_</v>
      </c>
      <c r="K92" s="1149"/>
      <c r="L92" s="1169" t="s">
        <v>528</v>
      </c>
      <c r="M92" s="1149"/>
      <c r="N92" s="1149">
        <v>1267350000</v>
      </c>
      <c r="O92" s="1149">
        <v>830550000</v>
      </c>
      <c r="P92" s="1169">
        <v>922950000</v>
      </c>
      <c r="Q92" s="1169">
        <v>933450000</v>
      </c>
      <c r="R92" s="1169">
        <v>1526700000</v>
      </c>
      <c r="S92" s="1169">
        <v>1012200000</v>
      </c>
      <c r="T92" s="1169">
        <v>959700000</v>
      </c>
      <c r="U92" s="1169">
        <v>294000000</v>
      </c>
      <c r="V92" s="1290">
        <v>709800000</v>
      </c>
      <c r="W92" s="1290">
        <v>865200000</v>
      </c>
      <c r="X92" s="1290">
        <v>703500000</v>
      </c>
      <c r="Y92" s="1169">
        <v>871500000</v>
      </c>
      <c r="Z92" s="1149">
        <v>572250000</v>
      </c>
      <c r="AA92" s="1149">
        <v>498750000</v>
      </c>
      <c r="AB92" s="34">
        <f t="shared" si="52"/>
        <v>-73500000</v>
      </c>
    </row>
    <row r="93" spans="2:29">
      <c r="B93" s="1158" t="s">
        <v>189</v>
      </c>
      <c r="C93" s="1159" t="s">
        <v>545</v>
      </c>
      <c r="D93" s="1159" t="s">
        <v>549</v>
      </c>
      <c r="E93" s="1159" t="s">
        <v>237</v>
      </c>
      <c r="F93" s="1159"/>
      <c r="G93" s="1159"/>
      <c r="H93" s="1159"/>
      <c r="I93" s="1160"/>
      <c r="J93" s="1159" t="str">
        <f t="shared" si="57"/>
        <v>lending_cashloan_payroll_VDS_</v>
      </c>
      <c r="K93" s="1149"/>
      <c r="L93" s="1169" t="s">
        <v>529</v>
      </c>
      <c r="M93" s="1149"/>
      <c r="N93" s="1149">
        <f t="shared" ref="N93:AA93" si="58">N91-N92</f>
        <v>220000000</v>
      </c>
      <c r="O93" s="1149">
        <f t="shared" si="58"/>
        <v>16000000</v>
      </c>
      <c r="P93" s="1149">
        <f t="shared" si="58"/>
        <v>89000000</v>
      </c>
      <c r="Q93" s="1149">
        <f t="shared" si="58"/>
        <v>176000000</v>
      </c>
      <c r="R93" s="1149">
        <f t="shared" si="58"/>
        <v>272000000</v>
      </c>
      <c r="S93" s="1149">
        <f t="shared" si="58"/>
        <v>215000000</v>
      </c>
      <c r="T93" s="1149">
        <f t="shared" si="58"/>
        <v>190000000</v>
      </c>
      <c r="U93" s="1149">
        <f t="shared" si="58"/>
        <v>80000000</v>
      </c>
      <c r="V93" s="1149">
        <f t="shared" si="58"/>
        <v>100000000</v>
      </c>
      <c r="W93" s="1149">
        <f t="shared" si="58"/>
        <v>175000000</v>
      </c>
      <c r="X93" s="1149">
        <f t="shared" si="58"/>
        <v>250000000</v>
      </c>
      <c r="Y93" s="1149">
        <f t="shared" si="58"/>
        <v>185000000</v>
      </c>
      <c r="Z93" s="1149">
        <f t="shared" si="58"/>
        <v>174000000</v>
      </c>
      <c r="AA93" s="1149">
        <f t="shared" si="58"/>
        <v>95000000</v>
      </c>
      <c r="AB93" s="34">
        <f t="shared" si="52"/>
        <v>-79000000</v>
      </c>
    </row>
    <row r="94" spans="2:29">
      <c r="B94" s="1158" t="s">
        <v>189</v>
      </c>
      <c r="C94" s="1159" t="s">
        <v>545</v>
      </c>
      <c r="D94" s="1159" t="s">
        <v>549</v>
      </c>
      <c r="E94" s="1159" t="s">
        <v>237</v>
      </c>
      <c r="F94" s="1159"/>
      <c r="G94" s="1159"/>
      <c r="H94" s="1159"/>
      <c r="I94" s="1162" t="s">
        <v>243</v>
      </c>
      <c r="J94" s="1159" t="str">
        <f t="shared" si="57"/>
        <v>lending_cashloan_payroll_VDS_ENR</v>
      </c>
      <c r="K94" s="1149"/>
      <c r="L94" s="1169" t="s">
        <v>530</v>
      </c>
      <c r="M94" s="1149">
        <f>AA94</f>
        <v>6432786980</v>
      </c>
      <c r="N94" s="1169">
        <v>10497997193</v>
      </c>
      <c r="O94" s="1149">
        <v>10143873242</v>
      </c>
      <c r="P94" s="1169">
        <v>9787251521</v>
      </c>
      <c r="Q94" s="1255">
        <v>9283199996</v>
      </c>
      <c r="R94" s="1169">
        <v>9564466715</v>
      </c>
      <c r="S94" s="1169">
        <v>9405286904</v>
      </c>
      <c r="T94" s="1169">
        <v>9191757861</v>
      </c>
      <c r="U94" s="1169">
        <v>8337120782</v>
      </c>
      <c r="V94" s="1169">
        <v>7983124244</v>
      </c>
      <c r="W94" s="1169">
        <v>7828795755</v>
      </c>
      <c r="X94" s="1169">
        <v>7633800771</v>
      </c>
      <c r="Y94" s="1169">
        <v>7459775694</v>
      </c>
      <c r="Z94" s="1169">
        <v>6974057806</v>
      </c>
      <c r="AA94" s="1149">
        <v>6432786980</v>
      </c>
      <c r="AB94" s="34">
        <f t="shared" si="52"/>
        <v>-541270826</v>
      </c>
    </row>
    <row r="95" spans="2:29">
      <c r="B95" s="1158" t="s">
        <v>189</v>
      </c>
      <c r="C95" s="1159" t="s">
        <v>545</v>
      </c>
      <c r="D95" s="1159" t="s">
        <v>549</v>
      </c>
      <c r="E95" s="1159" t="s">
        <v>237</v>
      </c>
      <c r="F95" s="1159"/>
      <c r="G95" s="1159"/>
      <c r="H95" s="1159"/>
      <c r="I95" s="1160"/>
      <c r="J95" s="1159" t="str">
        <f t="shared" si="57"/>
        <v>lending_cashloan_payroll_VDS_</v>
      </c>
      <c r="K95" s="1149"/>
      <c r="L95" s="1235" t="s">
        <v>531</v>
      </c>
      <c r="M95" s="1236"/>
      <c r="N95" s="1255">
        <f t="shared" ref="N95:AA95" si="59">N94-N96</f>
        <v>10225974298</v>
      </c>
      <c r="O95" s="1255">
        <f t="shared" si="59"/>
        <v>9830283011</v>
      </c>
      <c r="P95" s="1255">
        <f t="shared" si="59"/>
        <v>9467640305</v>
      </c>
      <c r="Q95" s="1255">
        <f t="shared" si="59"/>
        <v>9059508037</v>
      </c>
      <c r="R95" s="1255">
        <f t="shared" si="59"/>
        <v>9332494963</v>
      </c>
      <c r="S95" s="1255">
        <f t="shared" si="59"/>
        <v>9152619023</v>
      </c>
      <c r="T95" s="1255">
        <f t="shared" si="59"/>
        <v>8970521915</v>
      </c>
      <c r="U95" s="1255">
        <f t="shared" si="59"/>
        <v>8139455189</v>
      </c>
      <c r="V95" s="1255">
        <f t="shared" si="59"/>
        <v>7814893481</v>
      </c>
      <c r="W95" s="1255">
        <f t="shared" si="59"/>
        <v>7693279734</v>
      </c>
      <c r="X95" s="1255">
        <f t="shared" si="59"/>
        <v>7470768887</v>
      </c>
      <c r="Y95" s="1255">
        <f>Y94-Y96</f>
        <v>7331267903</v>
      </c>
      <c r="Z95" s="1255">
        <f t="shared" si="59"/>
        <v>6904677355</v>
      </c>
      <c r="AA95" s="1255">
        <f t="shared" si="59"/>
        <v>6366020104</v>
      </c>
      <c r="AB95" s="34">
        <f t="shared" si="52"/>
        <v>-538657251</v>
      </c>
    </row>
    <row r="96" spans="2:29">
      <c r="B96" s="1158" t="s">
        <v>189</v>
      </c>
      <c r="C96" s="1159" t="s">
        <v>545</v>
      </c>
      <c r="D96" s="1159" t="s">
        <v>549</v>
      </c>
      <c r="E96" s="1159" t="s">
        <v>237</v>
      </c>
      <c r="F96" s="1159"/>
      <c r="G96" s="1159"/>
      <c r="H96" s="1159"/>
      <c r="I96" s="1160"/>
      <c r="J96" s="1159" t="str">
        <f t="shared" si="57"/>
        <v>lending_cashloan_payroll_VDS_</v>
      </c>
      <c r="K96" s="1149"/>
      <c r="L96" s="1235" t="s">
        <v>532</v>
      </c>
      <c r="M96" s="1236"/>
      <c r="N96" s="1255">
        <v>272022895</v>
      </c>
      <c r="O96" s="1255">
        <v>313590231</v>
      </c>
      <c r="P96" s="1255">
        <v>319611216</v>
      </c>
      <c r="Q96" s="1255">
        <v>223691959</v>
      </c>
      <c r="R96" s="1255">
        <v>231971752</v>
      </c>
      <c r="S96" s="1255">
        <v>252667881</v>
      </c>
      <c r="T96" s="1255">
        <v>221235946</v>
      </c>
      <c r="U96" s="1255">
        <v>197665593</v>
      </c>
      <c r="V96" s="1255">
        <v>168230763</v>
      </c>
      <c r="W96" s="1236">
        <v>135516021</v>
      </c>
      <c r="X96" s="1255">
        <v>163031884</v>
      </c>
      <c r="Y96" s="1255">
        <v>128507791</v>
      </c>
      <c r="Z96" s="1255">
        <v>69380451</v>
      </c>
      <c r="AA96" s="1255">
        <v>66766876</v>
      </c>
      <c r="AB96" s="34">
        <f t="shared" si="52"/>
        <v>-2613575</v>
      </c>
    </row>
    <row r="97" spans="2:30">
      <c r="B97" s="1158" t="s">
        <v>189</v>
      </c>
      <c r="C97" s="1159" t="s">
        <v>545</v>
      </c>
      <c r="D97" s="1159" t="s">
        <v>549</v>
      </c>
      <c r="E97" s="1159" t="s">
        <v>237</v>
      </c>
      <c r="F97" s="1159"/>
      <c r="G97" s="1159"/>
      <c r="H97" s="1159"/>
      <c r="I97" s="1162"/>
      <c r="J97" s="1159" t="str">
        <f t="shared" si="57"/>
        <v>lending_cashloan_payroll_VDS_</v>
      </c>
      <c r="K97" s="1149"/>
      <c r="L97" s="1148" t="s">
        <v>533</v>
      </c>
      <c r="M97" s="1236"/>
      <c r="N97" s="1255">
        <v>403780031</v>
      </c>
      <c r="O97" s="1255">
        <v>438309084</v>
      </c>
      <c r="P97" s="1255">
        <v>544105569</v>
      </c>
      <c r="Q97" s="1255">
        <v>373436279</v>
      </c>
      <c r="R97" s="1255">
        <v>347952498</v>
      </c>
      <c r="S97" s="1255">
        <v>375187979</v>
      </c>
      <c r="T97" s="1255">
        <v>310092447</v>
      </c>
      <c r="U97" s="1255">
        <v>255093337</v>
      </c>
      <c r="V97" s="1292">
        <v>227620612</v>
      </c>
      <c r="W97" s="1255">
        <v>272098888</v>
      </c>
      <c r="X97" s="1255">
        <v>267107696</v>
      </c>
      <c r="Y97" s="1255">
        <v>191374126</v>
      </c>
      <c r="Z97" s="1255">
        <v>76778488</v>
      </c>
      <c r="AA97" s="1255">
        <v>99551208</v>
      </c>
      <c r="AB97" s="34">
        <f t="shared" si="52"/>
        <v>22772720</v>
      </c>
    </row>
    <row r="98" spans="2:30">
      <c r="B98" s="1158" t="s">
        <v>189</v>
      </c>
      <c r="C98" s="1159" t="s">
        <v>545</v>
      </c>
      <c r="D98" s="1159" t="s">
        <v>549</v>
      </c>
      <c r="E98" s="1159" t="s">
        <v>237</v>
      </c>
      <c r="F98" s="1159"/>
      <c r="G98" s="1159"/>
      <c r="H98" s="1159"/>
      <c r="I98" s="1162" t="s">
        <v>247</v>
      </c>
      <c r="J98" s="1159" t="str">
        <f t="shared" si="57"/>
        <v>lending_cashloan_payroll_VDS_overdue_balance_10d</v>
      </c>
      <c r="K98" s="1149"/>
      <c r="L98" s="1169" t="s">
        <v>534</v>
      </c>
      <c r="M98" s="1236"/>
      <c r="N98" s="1255">
        <v>1175510891</v>
      </c>
      <c r="O98" s="1255">
        <v>1306880160</v>
      </c>
      <c r="P98" s="1255">
        <v>1235086144</v>
      </c>
      <c r="Q98" s="1255">
        <v>1065957703</v>
      </c>
      <c r="R98" s="1255">
        <v>1014278041</v>
      </c>
      <c r="S98" s="1255">
        <v>976837749</v>
      </c>
      <c r="T98" s="1258">
        <v>1014713162</v>
      </c>
      <c r="U98" s="1258">
        <v>1026921137</v>
      </c>
      <c r="V98" s="1258">
        <v>1039008206</v>
      </c>
      <c r="W98" s="1236">
        <v>967552758</v>
      </c>
      <c r="X98" s="1255">
        <v>929048526</v>
      </c>
      <c r="Y98" s="1255">
        <v>855300264</v>
      </c>
      <c r="Z98" s="1255">
        <v>647959961</v>
      </c>
      <c r="AA98" s="1255">
        <v>605597713</v>
      </c>
      <c r="AB98" s="34">
        <f t="shared" si="52"/>
        <v>-42362248</v>
      </c>
    </row>
    <row r="99" spans="2:30">
      <c r="B99" s="1158" t="s">
        <v>189</v>
      </c>
      <c r="C99" s="1159" t="s">
        <v>545</v>
      </c>
      <c r="D99" s="1159" t="s">
        <v>549</v>
      </c>
      <c r="E99" s="1159" t="s">
        <v>237</v>
      </c>
      <c r="F99" s="1159"/>
      <c r="G99" s="1159"/>
      <c r="H99" s="1159"/>
      <c r="I99" s="1162" t="s">
        <v>248</v>
      </c>
      <c r="J99" s="1159" t="str">
        <f t="shared" si="57"/>
        <v>lending_cashloan_payroll_VDS_overdue_balance_90d</v>
      </c>
      <c r="K99" s="1149"/>
      <c r="L99" s="1169" t="s">
        <v>535</v>
      </c>
      <c r="M99" s="1149"/>
      <c r="N99" s="1169">
        <v>553108322</v>
      </c>
      <c r="O99" s="1169">
        <v>631753544</v>
      </c>
      <c r="P99" s="1169">
        <v>663967253</v>
      </c>
      <c r="Q99" s="1247">
        <v>506368733</v>
      </c>
      <c r="R99" s="1267">
        <v>444849247</v>
      </c>
      <c r="S99" s="1255">
        <v>433580872</v>
      </c>
      <c r="T99" s="1149">
        <v>434134510</v>
      </c>
      <c r="U99" s="1149">
        <v>428886401</v>
      </c>
      <c r="V99" s="1258">
        <v>385074813</v>
      </c>
      <c r="W99" s="1149">
        <v>460032671</v>
      </c>
      <c r="X99" s="1169">
        <v>474785513</v>
      </c>
      <c r="Y99" s="1169">
        <v>385117696</v>
      </c>
      <c r="Z99" s="1169">
        <v>262439208</v>
      </c>
      <c r="AA99" s="1169">
        <v>301295426</v>
      </c>
      <c r="AB99" s="34">
        <f t="shared" si="52"/>
        <v>38856218</v>
      </c>
    </row>
    <row r="100" spans="2:30">
      <c r="B100" s="1158" t="s">
        <v>189</v>
      </c>
      <c r="C100" s="1159" t="s">
        <v>545</v>
      </c>
      <c r="D100" s="1159" t="s">
        <v>549</v>
      </c>
      <c r="E100" s="1159" t="s">
        <v>237</v>
      </c>
      <c r="F100" s="1159"/>
      <c r="G100" s="1159"/>
      <c r="H100" s="1159"/>
      <c r="I100" s="1160"/>
      <c r="J100" s="1159" t="str">
        <f t="shared" si="57"/>
        <v>lending_cashloan_payroll_VDS_</v>
      </c>
      <c r="K100" s="1149"/>
      <c r="L100" s="1169" t="s">
        <v>536</v>
      </c>
      <c r="M100" s="1236"/>
      <c r="N100" s="1255">
        <f t="shared" ref="N100:AA100" si="60">N98-N99</f>
        <v>622402569</v>
      </c>
      <c r="O100" s="1255">
        <f t="shared" si="60"/>
        <v>675126616</v>
      </c>
      <c r="P100" s="1255">
        <f t="shared" si="60"/>
        <v>571118891</v>
      </c>
      <c r="Q100" s="1255">
        <f t="shared" si="60"/>
        <v>559588970</v>
      </c>
      <c r="R100" s="1255">
        <f t="shared" si="60"/>
        <v>569428794</v>
      </c>
      <c r="S100" s="1255">
        <f t="shared" si="60"/>
        <v>543256877</v>
      </c>
      <c r="T100" s="1255">
        <f t="shared" si="60"/>
        <v>580578652</v>
      </c>
      <c r="U100" s="1255">
        <f t="shared" si="60"/>
        <v>598034736</v>
      </c>
      <c r="V100" s="1255">
        <f t="shared" si="60"/>
        <v>653933393</v>
      </c>
      <c r="W100" s="1255">
        <f t="shared" si="60"/>
        <v>507520087</v>
      </c>
      <c r="X100" s="1255">
        <f t="shared" si="60"/>
        <v>454263013</v>
      </c>
      <c r="Y100" s="1255">
        <f t="shared" si="60"/>
        <v>470182568</v>
      </c>
      <c r="Z100" s="1255">
        <f t="shared" si="60"/>
        <v>385520753</v>
      </c>
      <c r="AA100" s="1255">
        <f t="shared" si="60"/>
        <v>304302287</v>
      </c>
      <c r="AB100" s="34">
        <f t="shared" si="52"/>
        <v>-81218466</v>
      </c>
    </row>
    <row r="101" spans="2:30">
      <c r="B101" s="1158" t="s">
        <v>189</v>
      </c>
      <c r="C101" s="1159" t="s">
        <v>545</v>
      </c>
      <c r="D101" s="1159" t="s">
        <v>549</v>
      </c>
      <c r="E101" s="1159" t="s">
        <v>237</v>
      </c>
      <c r="F101" s="1159"/>
      <c r="G101" s="1159"/>
      <c r="H101" s="1159"/>
      <c r="I101" s="1160"/>
      <c r="J101" s="1159" t="str">
        <f t="shared" si="57"/>
        <v>lending_cashloan_payroll_VDS_</v>
      </c>
      <c r="K101" s="1149"/>
      <c r="L101" s="1169" t="s">
        <v>537</v>
      </c>
      <c r="M101" s="1149"/>
      <c r="N101" s="1269">
        <f t="shared" ref="N101:AA101" si="61">N97/N94</f>
        <v>3.8462577535192909E-2</v>
      </c>
      <c r="O101" s="1269">
        <f t="shared" si="61"/>
        <v>4.3209243012344814E-2</v>
      </c>
      <c r="P101" s="1269">
        <f t="shared" si="61"/>
        <v>5.5593295812674352E-2</v>
      </c>
      <c r="Q101" s="1269">
        <f t="shared" si="61"/>
        <v>4.0227106941669727E-2</v>
      </c>
      <c r="R101" s="1269">
        <f t="shared" si="61"/>
        <v>3.6379707135611061E-2</v>
      </c>
      <c r="S101" s="1269">
        <f t="shared" si="61"/>
        <v>3.9891178528582184E-2</v>
      </c>
      <c r="T101" s="1269">
        <f t="shared" si="61"/>
        <v>3.3735924258372935E-2</v>
      </c>
      <c r="U101" s="1269">
        <f t="shared" si="61"/>
        <v>3.0597294158284393E-2</v>
      </c>
      <c r="V101" s="1269">
        <f t="shared" si="61"/>
        <v>2.8512723219994519E-2</v>
      </c>
      <c r="W101" s="1269">
        <f t="shared" si="61"/>
        <v>3.4756161294183616E-2</v>
      </c>
      <c r="X101" s="1269">
        <f t="shared" si="61"/>
        <v>3.4990131916294416E-2</v>
      </c>
      <c r="Y101" s="1269">
        <f t="shared" si="61"/>
        <v>2.5654139460778269E-2</v>
      </c>
      <c r="Z101" s="1269">
        <f t="shared" si="61"/>
        <v>1.100915566457523E-2</v>
      </c>
      <c r="AA101" s="1269">
        <f t="shared" si="61"/>
        <v>1.5475595307214728E-2</v>
      </c>
      <c r="AB101" s="34">
        <f t="shared" si="52"/>
        <v>4.466439642639498E-3</v>
      </c>
    </row>
    <row r="102" spans="2:30">
      <c r="B102" s="1158" t="s">
        <v>189</v>
      </c>
      <c r="C102" s="1159" t="s">
        <v>545</v>
      </c>
      <c r="D102" s="1159" t="s">
        <v>549</v>
      </c>
      <c r="E102" s="1159" t="s">
        <v>237</v>
      </c>
      <c r="F102" s="1159"/>
      <c r="G102" s="1159"/>
      <c r="H102" s="1159"/>
      <c r="I102" s="1162" t="s">
        <v>213</v>
      </c>
      <c r="J102" s="1159" t="str">
        <f t="shared" si="57"/>
        <v>lending_cashloan_payroll_VDS_npl</v>
      </c>
      <c r="K102" s="1149"/>
      <c r="L102" s="1169" t="s">
        <v>538</v>
      </c>
      <c r="M102" s="1149"/>
      <c r="N102" s="1269">
        <f t="shared" ref="N102:AA102" si="62">N99/N94</f>
        <v>5.2687032757906357E-2</v>
      </c>
      <c r="O102" s="1269">
        <f t="shared" si="62"/>
        <v>6.2279321609054465E-2</v>
      </c>
      <c r="P102" s="1269">
        <f t="shared" si="62"/>
        <v>6.7840011220245008E-2</v>
      </c>
      <c r="Q102" s="1269">
        <f t="shared" si="62"/>
        <v>5.4546787015058079E-2</v>
      </c>
      <c r="R102" s="1269">
        <f t="shared" si="62"/>
        <v>4.6510616875517038E-2</v>
      </c>
      <c r="S102" s="1269">
        <f t="shared" si="62"/>
        <v>4.6099696524472975E-2</v>
      </c>
      <c r="T102" s="1269">
        <f t="shared" si="62"/>
        <v>4.723084708769397E-2</v>
      </c>
      <c r="U102" s="1269">
        <f t="shared" si="62"/>
        <v>5.1442987599025047E-2</v>
      </c>
      <c r="V102" s="1269">
        <f t="shared" si="62"/>
        <v>4.8236104215641715E-2</v>
      </c>
      <c r="W102" s="1269">
        <f t="shared" si="62"/>
        <v>5.8761613586124271E-2</v>
      </c>
      <c r="X102" s="1269">
        <f t="shared" si="62"/>
        <v>6.2195166895586254E-2</v>
      </c>
      <c r="Y102" s="1269">
        <f t="shared" si="62"/>
        <v>5.1625908311124617E-2</v>
      </c>
      <c r="Z102" s="1269">
        <f t="shared" si="62"/>
        <v>3.7630776127811176E-2</v>
      </c>
      <c r="AA102" s="1269">
        <f t="shared" si="62"/>
        <v>4.683746359653277E-2</v>
      </c>
      <c r="AB102" s="34">
        <f t="shared" si="52"/>
        <v>9.2066874687215944E-3</v>
      </c>
    </row>
    <row r="103" spans="2:30">
      <c r="B103" s="1158" t="s">
        <v>189</v>
      </c>
      <c r="C103" s="1159" t="s">
        <v>545</v>
      </c>
      <c r="D103" s="1159" t="s">
        <v>549</v>
      </c>
      <c r="E103" s="1159" t="s">
        <v>237</v>
      </c>
      <c r="F103" s="1159" t="str">
        <f>E103&amp;"PRCL"</f>
        <v>VDSPRCL</v>
      </c>
      <c r="G103" s="1159" t="str">
        <f>L103&amp;F103</f>
        <v>TOIVDSPRCL</v>
      </c>
      <c r="H103" s="1408" t="str">
        <f>L103&amp;E103</f>
        <v>TOIVDS</v>
      </c>
      <c r="I103" s="1162" t="s">
        <v>217</v>
      </c>
      <c r="J103" s="1159" t="str">
        <f t="shared" si="57"/>
        <v>lending_cashloan_payroll_VDS_TOI</v>
      </c>
      <c r="K103" s="1149"/>
      <c r="L103" s="1238" t="s">
        <v>217</v>
      </c>
      <c r="M103" s="1150">
        <f t="shared" ref="M103:AA103" si="63">M104+M109+M113</f>
        <v>2430194854.2073002</v>
      </c>
      <c r="N103" s="1150">
        <f t="shared" si="63"/>
        <v>237045083</v>
      </c>
      <c r="O103" s="1150">
        <f t="shared" si="63"/>
        <v>207570801</v>
      </c>
      <c r="P103" s="1150">
        <f t="shared" si="63"/>
        <v>211390028</v>
      </c>
      <c r="Q103" s="1150">
        <f t="shared" si="63"/>
        <v>187896200</v>
      </c>
      <c r="R103" s="1150">
        <f t="shared" si="63"/>
        <v>229779946.2073001</v>
      </c>
      <c r="S103" s="1150">
        <f t="shared" si="63"/>
        <v>248561807</v>
      </c>
      <c r="T103" s="1150">
        <f t="shared" si="63"/>
        <v>194470117</v>
      </c>
      <c r="U103" s="1150">
        <f t="shared" si="63"/>
        <v>161070397</v>
      </c>
      <c r="V103" s="1150">
        <f t="shared" si="63"/>
        <v>211360349</v>
      </c>
      <c r="W103" s="1150">
        <f t="shared" si="63"/>
        <v>213056892</v>
      </c>
      <c r="X103" s="1150">
        <f t="shared" si="63"/>
        <v>186561827</v>
      </c>
      <c r="Y103" s="1150">
        <f t="shared" si="63"/>
        <v>191204031</v>
      </c>
      <c r="Z103" s="1150">
        <f t="shared" si="63"/>
        <v>213074661</v>
      </c>
      <c r="AA103" s="1150">
        <f t="shared" si="63"/>
        <v>181768599</v>
      </c>
      <c r="AB103" s="34">
        <f t="shared" si="52"/>
        <v>-31306062</v>
      </c>
      <c r="AC103" s="34">
        <f>SUM(P103:AA103)</f>
        <v>2430194854.2073002</v>
      </c>
    </row>
    <row r="104" spans="2:30">
      <c r="B104" s="1158" t="s">
        <v>189</v>
      </c>
      <c r="C104" s="1159" t="s">
        <v>545</v>
      </c>
      <c r="D104" s="1159" t="s">
        <v>549</v>
      </c>
      <c r="E104" s="1159" t="s">
        <v>237</v>
      </c>
      <c r="F104" s="1159"/>
      <c r="G104" s="1159"/>
      <c r="H104" s="1159"/>
      <c r="I104" s="1162" t="s">
        <v>254</v>
      </c>
      <c r="J104" s="1159" t="str">
        <f t="shared" si="57"/>
        <v>lending_cashloan_payroll_VDS_NII</v>
      </c>
      <c r="K104" s="1149"/>
      <c r="L104" s="1239" t="s">
        <v>218</v>
      </c>
      <c r="M104" s="1150">
        <f t="shared" ref="M104:AA104" si="64">M105-M108</f>
        <v>1623222839.2073002</v>
      </c>
      <c r="N104" s="1150">
        <f t="shared" si="64"/>
        <v>182198095</v>
      </c>
      <c r="O104" s="1150">
        <f t="shared" si="64"/>
        <v>169171501</v>
      </c>
      <c r="P104" s="1150">
        <f t="shared" si="64"/>
        <v>159407378</v>
      </c>
      <c r="Q104" s="1150">
        <f t="shared" si="64"/>
        <v>138757581</v>
      </c>
      <c r="R104" s="1150">
        <f t="shared" si="64"/>
        <v>149846330.2073001</v>
      </c>
      <c r="S104" s="1150">
        <f t="shared" si="64"/>
        <v>151918325</v>
      </c>
      <c r="T104" s="1150">
        <f t="shared" si="64"/>
        <v>144072788</v>
      </c>
      <c r="U104" s="1150">
        <f t="shared" si="64"/>
        <v>137006820</v>
      </c>
      <c r="V104" s="1150">
        <f t="shared" si="64"/>
        <v>131144361</v>
      </c>
      <c r="W104" s="1150">
        <f t="shared" si="64"/>
        <v>132580175</v>
      </c>
      <c r="X104" s="1150">
        <f t="shared" si="64"/>
        <v>118928985</v>
      </c>
      <c r="Y104" s="1150">
        <f t="shared" si="64"/>
        <v>127584873</v>
      </c>
      <c r="Z104" s="1150">
        <f t="shared" si="64"/>
        <v>120929750</v>
      </c>
      <c r="AA104" s="1150">
        <f t="shared" si="64"/>
        <v>111045473</v>
      </c>
      <c r="AB104" s="34">
        <f t="shared" si="52"/>
        <v>-9884277</v>
      </c>
    </row>
    <row r="105" spans="2:30">
      <c r="B105" s="1158" t="s">
        <v>189</v>
      </c>
      <c r="C105" s="1159" t="s">
        <v>545</v>
      </c>
      <c r="D105" s="1159" t="s">
        <v>549</v>
      </c>
      <c r="E105" s="1159" t="s">
        <v>237</v>
      </c>
      <c r="F105" s="1159"/>
      <c r="G105" s="1159"/>
      <c r="H105" s="1159"/>
      <c r="I105" s="1162" t="s">
        <v>255</v>
      </c>
      <c r="J105" s="1159" t="str">
        <f t="shared" si="57"/>
        <v>lending_cashloan_payroll_VDS_CII</v>
      </c>
      <c r="K105" s="1149"/>
      <c r="L105" s="1240" t="s">
        <v>20</v>
      </c>
      <c r="M105" s="1149">
        <f>SUM(P105:AA105)</f>
        <v>2206150109</v>
      </c>
      <c r="N105" s="1149">
        <f>N106+15133853-N107</f>
        <v>238040127</v>
      </c>
      <c r="O105" s="1149">
        <f t="shared" ref="O105:Z105" si="65">O106+N107-O107</f>
        <v>227376820</v>
      </c>
      <c r="P105" s="1149">
        <f t="shared" si="65"/>
        <v>215491965</v>
      </c>
      <c r="Q105" s="1149">
        <f t="shared" si="65"/>
        <v>188016834</v>
      </c>
      <c r="R105" s="1149">
        <f t="shared" si="65"/>
        <v>203055965</v>
      </c>
      <c r="S105" s="1149">
        <f t="shared" si="65"/>
        <v>204518273</v>
      </c>
      <c r="T105" s="1149">
        <f t="shared" si="65"/>
        <v>197581171</v>
      </c>
      <c r="U105" s="1149">
        <f t="shared" si="65"/>
        <v>186085677</v>
      </c>
      <c r="V105" s="1149">
        <f t="shared" si="65"/>
        <v>178138129</v>
      </c>
      <c r="W105" s="1149">
        <f t="shared" si="65"/>
        <v>178799172</v>
      </c>
      <c r="X105" s="1149">
        <f t="shared" si="65"/>
        <v>163671328</v>
      </c>
      <c r="Y105" s="1149">
        <f t="shared" si="65"/>
        <v>173836741</v>
      </c>
      <c r="Z105" s="1149">
        <f t="shared" si="65"/>
        <v>164259037</v>
      </c>
      <c r="AA105" s="1149">
        <f>AA106+Z107-AA107</f>
        <v>152695817</v>
      </c>
      <c r="AB105" s="34">
        <f t="shared" si="52"/>
        <v>-11563220</v>
      </c>
    </row>
    <row r="106" spans="2:30">
      <c r="B106" s="1158" t="s">
        <v>189</v>
      </c>
      <c r="C106" s="1159" t="s">
        <v>545</v>
      </c>
      <c r="D106" s="1159" t="s">
        <v>549</v>
      </c>
      <c r="E106" s="1159" t="s">
        <v>237</v>
      </c>
      <c r="F106" s="1159"/>
      <c r="G106" s="1159"/>
      <c r="H106" s="1159"/>
      <c r="I106" s="1162"/>
      <c r="J106" s="1159" t="str">
        <f t="shared" si="57"/>
        <v>lending_cashloan_payroll_VDS_</v>
      </c>
      <c r="K106" s="1149"/>
      <c r="L106" s="1259" t="s">
        <v>539</v>
      </c>
      <c r="M106" s="1151">
        <f>SUM(P106:AA106)</f>
        <v>2198115348</v>
      </c>
      <c r="N106" s="1260">
        <v>238710127</v>
      </c>
      <c r="O106" s="1260">
        <v>228269605</v>
      </c>
      <c r="P106" s="1260">
        <v>215808377</v>
      </c>
      <c r="Q106" s="1149">
        <v>183553468</v>
      </c>
      <c r="R106" s="1149">
        <v>203109778</v>
      </c>
      <c r="S106" s="1149">
        <v>203787674</v>
      </c>
      <c r="T106" s="1149">
        <v>200447127</v>
      </c>
      <c r="U106" s="1149">
        <v>183987320</v>
      </c>
      <c r="V106" s="1149">
        <v>180134709</v>
      </c>
      <c r="W106" s="1149">
        <v>177793395</v>
      </c>
      <c r="X106" s="1149">
        <v>162715192</v>
      </c>
      <c r="Y106" s="1149">
        <v>173146207</v>
      </c>
      <c r="Z106" s="1149">
        <v>161347778</v>
      </c>
      <c r="AA106" s="1260">
        <v>152284323</v>
      </c>
      <c r="AB106" s="34">
        <f t="shared" si="52"/>
        <v>-9063455</v>
      </c>
    </row>
    <row r="107" spans="2:30">
      <c r="B107" s="1158" t="s">
        <v>189</v>
      </c>
      <c r="C107" s="1159" t="s">
        <v>545</v>
      </c>
      <c r="D107" s="1159" t="s">
        <v>549</v>
      </c>
      <c r="E107" s="1159" t="s">
        <v>237</v>
      </c>
      <c r="F107" s="1159"/>
      <c r="G107" s="1159"/>
      <c r="H107" s="1159"/>
      <c r="I107" s="1160"/>
      <c r="J107" s="1159" t="str">
        <f t="shared" si="57"/>
        <v>lending_cashloan_payroll_VDS_</v>
      </c>
      <c r="K107" s="1149"/>
      <c r="L107" s="1259" t="s">
        <v>187</v>
      </c>
      <c r="M107" s="1151"/>
      <c r="N107" s="1149">
        <v>15803853</v>
      </c>
      <c r="O107" s="1149">
        <f>15585138+ 1111500</f>
        <v>16696638</v>
      </c>
      <c r="P107" s="1149">
        <v>17013050</v>
      </c>
      <c r="Q107" s="1149">
        <v>12549684</v>
      </c>
      <c r="R107" s="1149">
        <v>12603497</v>
      </c>
      <c r="S107" s="1149">
        <v>11872898</v>
      </c>
      <c r="T107" s="1149">
        <v>14738854</v>
      </c>
      <c r="U107" s="1149">
        <v>12640497</v>
      </c>
      <c r="V107" s="1149">
        <v>14637077</v>
      </c>
      <c r="W107" s="1149">
        <v>13631300</v>
      </c>
      <c r="X107" s="1149">
        <v>12675164</v>
      </c>
      <c r="Y107" s="1149">
        <v>11984630</v>
      </c>
      <c r="Z107" s="1149">
        <v>9073371</v>
      </c>
      <c r="AA107" s="1149">
        <v>8661877</v>
      </c>
      <c r="AB107" s="34">
        <f t="shared" si="52"/>
        <v>-411494</v>
      </c>
      <c r="AC107" s="34"/>
      <c r="AD107" s="34"/>
    </row>
    <row r="108" spans="2:30">
      <c r="B108" s="1158" t="s">
        <v>189</v>
      </c>
      <c r="C108" s="1159" t="s">
        <v>545</v>
      </c>
      <c r="D108" s="1159" t="s">
        <v>549</v>
      </c>
      <c r="E108" s="1159" t="s">
        <v>237</v>
      </c>
      <c r="F108" s="1159"/>
      <c r="G108" s="1159"/>
      <c r="H108" s="1159"/>
      <c r="I108" s="1162" t="s">
        <v>219</v>
      </c>
      <c r="J108" s="1159" t="str">
        <f t="shared" si="57"/>
        <v>lending_cashloan_payroll_VDS_COF</v>
      </c>
      <c r="K108" s="1149"/>
      <c r="L108" s="1240" t="s">
        <v>219</v>
      </c>
      <c r="M108" s="1149">
        <f>SUM(P108:AA108)</f>
        <v>582927269.79269993</v>
      </c>
      <c r="N108" s="1254">
        <v>55842032</v>
      </c>
      <c r="O108" s="1254">
        <v>58205319</v>
      </c>
      <c r="P108" s="1149">
        <v>56084587</v>
      </c>
      <c r="Q108" s="1254">
        <v>49259253</v>
      </c>
      <c r="R108" s="1254">
        <v>53209634.792699903</v>
      </c>
      <c r="S108" s="1254">
        <v>52599948</v>
      </c>
      <c r="T108" s="1149">
        <v>53508383</v>
      </c>
      <c r="U108" s="1149">
        <v>49078857</v>
      </c>
      <c r="V108" s="1149">
        <v>46993768</v>
      </c>
      <c r="W108" s="1149">
        <v>46218997</v>
      </c>
      <c r="X108" s="1290">
        <v>44742343</v>
      </c>
      <c r="Y108" s="1149">
        <v>46251868</v>
      </c>
      <c r="Z108" s="1149">
        <v>43329287</v>
      </c>
      <c r="AA108" s="1254">
        <v>41650344</v>
      </c>
      <c r="AB108" s="34">
        <f t="shared" si="52"/>
        <v>-1678943</v>
      </c>
    </row>
    <row r="109" spans="2:30">
      <c r="B109" s="1158" t="s">
        <v>189</v>
      </c>
      <c r="C109" s="1159" t="s">
        <v>545</v>
      </c>
      <c r="D109" s="1159" t="s">
        <v>549</v>
      </c>
      <c r="E109" s="1159" t="s">
        <v>237</v>
      </c>
      <c r="F109" s="1159"/>
      <c r="G109" s="1159"/>
      <c r="H109" s="1159"/>
      <c r="I109" s="1162" t="s">
        <v>260</v>
      </c>
      <c r="J109" s="1159" t="str">
        <f t="shared" si="57"/>
        <v>lending_cashloan_payroll_VDS_NFI</v>
      </c>
      <c r="K109" s="1149"/>
      <c r="L109" s="1239" t="s">
        <v>220</v>
      </c>
      <c r="M109" s="1150">
        <f t="shared" ref="M109:AA109" si="66">SUM(M110:M112)</f>
        <v>577957482</v>
      </c>
      <c r="N109" s="1150">
        <f t="shared" si="66"/>
        <v>54846988</v>
      </c>
      <c r="O109" s="1150">
        <f t="shared" si="66"/>
        <v>38399300</v>
      </c>
      <c r="P109" s="1150">
        <f t="shared" si="66"/>
        <v>51982650</v>
      </c>
      <c r="Q109" s="1150">
        <f t="shared" si="66"/>
        <v>46728619</v>
      </c>
      <c r="R109" s="1150">
        <f t="shared" si="66"/>
        <v>75787836</v>
      </c>
      <c r="S109" s="1150">
        <f t="shared" si="66"/>
        <v>53961582</v>
      </c>
      <c r="T109" s="1150">
        <f t="shared" si="66"/>
        <v>50397329</v>
      </c>
      <c r="U109" s="1150">
        <f t="shared" si="66"/>
        <v>24047326</v>
      </c>
      <c r="V109" s="1150">
        <f t="shared" si="66"/>
        <v>39441834</v>
      </c>
      <c r="W109" s="1150">
        <f t="shared" si="66"/>
        <v>51675009</v>
      </c>
      <c r="X109" s="1150">
        <f t="shared" si="66"/>
        <v>44511028</v>
      </c>
      <c r="Y109" s="1150">
        <f t="shared" si="66"/>
        <v>56807810</v>
      </c>
      <c r="Z109" s="1150">
        <f t="shared" si="66"/>
        <v>39949094</v>
      </c>
      <c r="AA109" s="1150">
        <f t="shared" si="66"/>
        <v>42667365</v>
      </c>
      <c r="AB109" s="34">
        <f t="shared" si="52"/>
        <v>2718271</v>
      </c>
    </row>
    <row r="110" spans="2:30">
      <c r="B110" s="1158" t="s">
        <v>189</v>
      </c>
      <c r="C110" s="1159" t="s">
        <v>545</v>
      </c>
      <c r="D110" s="1159" t="s">
        <v>549</v>
      </c>
      <c r="E110" s="1159" t="s">
        <v>237</v>
      </c>
      <c r="F110" s="1159"/>
      <c r="G110" s="1159"/>
      <c r="H110" s="1159"/>
      <c r="I110" s="1162" t="s">
        <v>546</v>
      </c>
      <c r="J110" s="1159" t="str">
        <f t="shared" si="57"/>
        <v>lending_cashloan_payroll_VDS_insurance_fee</v>
      </c>
      <c r="K110" s="1149"/>
      <c r="L110" s="1240" t="s">
        <v>540</v>
      </c>
      <c r="M110" s="1151">
        <f>SUM(P110:AA110)</f>
        <v>398925604</v>
      </c>
      <c r="N110" s="1151">
        <v>51673418</v>
      </c>
      <c r="O110" s="1261">
        <v>33863855</v>
      </c>
      <c r="P110" s="1261">
        <v>37631263</v>
      </c>
      <c r="Q110" s="1248">
        <v>38059377</v>
      </c>
      <c r="R110" s="1243">
        <v>62247845</v>
      </c>
      <c r="S110" s="1243">
        <v>41270236</v>
      </c>
      <c r="T110" s="1243">
        <v>39129663</v>
      </c>
      <c r="U110" s="1243">
        <v>11987205</v>
      </c>
      <c r="V110" s="1243">
        <v>28225722</v>
      </c>
      <c r="W110" s="1302">
        <v>34400299</v>
      </c>
      <c r="X110" s="1302">
        <v>27982412</v>
      </c>
      <c r="Y110" s="1151">
        <v>34778956</v>
      </c>
      <c r="Z110" s="1151">
        <v>23089099</v>
      </c>
      <c r="AA110" s="1151">
        <v>20123527</v>
      </c>
      <c r="AB110" s="34">
        <f t="shared" si="52"/>
        <v>-2965572</v>
      </c>
    </row>
    <row r="111" spans="2:30">
      <c r="B111" s="1158" t="s">
        <v>189</v>
      </c>
      <c r="C111" s="1159" t="s">
        <v>545</v>
      </c>
      <c r="D111" s="1159" t="s">
        <v>549</v>
      </c>
      <c r="E111" s="1159" t="s">
        <v>237</v>
      </c>
      <c r="F111" s="1159"/>
      <c r="G111" s="1159"/>
      <c r="H111" s="1159"/>
      <c r="I111" s="1162" t="s">
        <v>547</v>
      </c>
      <c r="J111" s="1159" t="str">
        <f t="shared" si="57"/>
        <v>lending_cashloan_payroll_VDS_early_terminate_fee</v>
      </c>
      <c r="K111" s="1149"/>
      <c r="L111" s="1240" t="s">
        <v>541</v>
      </c>
      <c r="M111" s="1151">
        <f>SUM(P111:AA111)</f>
        <v>179031878</v>
      </c>
      <c r="N111" s="1151">
        <v>3173570</v>
      </c>
      <c r="O111" s="1151">
        <v>4535445</v>
      </c>
      <c r="P111" s="1151">
        <v>14351387</v>
      </c>
      <c r="Q111" s="1243">
        <v>8669242</v>
      </c>
      <c r="R111" s="1243">
        <v>13539991</v>
      </c>
      <c r="S111" s="1243">
        <v>12691346</v>
      </c>
      <c r="T111" s="1243">
        <v>11267666</v>
      </c>
      <c r="U111" s="1243">
        <v>12060121</v>
      </c>
      <c r="V111" s="1243">
        <v>11216112</v>
      </c>
      <c r="W111" s="1243">
        <v>17274710</v>
      </c>
      <c r="X111" s="1243">
        <v>16528616</v>
      </c>
      <c r="Y111" s="1243">
        <v>22028854</v>
      </c>
      <c r="Z111" s="1151">
        <v>16859995</v>
      </c>
      <c r="AA111" s="1151">
        <v>22543838</v>
      </c>
      <c r="AB111" s="34">
        <f t="shared" si="52"/>
        <v>5683843</v>
      </c>
    </row>
    <row r="112" spans="2:30">
      <c r="B112" s="1158" t="s">
        <v>189</v>
      </c>
      <c r="C112" s="1159" t="s">
        <v>545</v>
      </c>
      <c r="D112" s="1159" t="s">
        <v>549</v>
      </c>
      <c r="E112" s="1159" t="s">
        <v>237</v>
      </c>
      <c r="F112" s="1159"/>
      <c r="G112" s="1159"/>
      <c r="H112" s="1159"/>
      <c r="I112" s="1162" t="s">
        <v>548</v>
      </c>
      <c r="J112" s="1159" t="str">
        <f t="shared" si="57"/>
        <v>lending_cashloan_payroll_VDS_loan_grant_fee</v>
      </c>
      <c r="K112" s="1149"/>
      <c r="L112" s="1240" t="s">
        <v>542</v>
      </c>
      <c r="M112" s="1151">
        <f>SUM(P112:AA112)</f>
        <v>0</v>
      </c>
      <c r="N112" s="1151"/>
      <c r="O112" s="1151"/>
      <c r="P112" s="1243"/>
      <c r="Q112" s="1243"/>
      <c r="R112" s="1243"/>
      <c r="S112" s="1243"/>
      <c r="T112" s="1243"/>
      <c r="U112" s="1151"/>
      <c r="V112" s="1261"/>
      <c r="W112" s="1151"/>
      <c r="X112" s="1151"/>
      <c r="Y112" s="1151"/>
      <c r="Z112" s="1151"/>
      <c r="AA112" s="1151"/>
      <c r="AB112" s="34">
        <f t="shared" si="52"/>
        <v>0</v>
      </c>
    </row>
    <row r="113" spans="2:29" s="4" customFormat="1">
      <c r="B113" s="1158" t="s">
        <v>189</v>
      </c>
      <c r="C113" s="1159" t="s">
        <v>545</v>
      </c>
      <c r="D113" s="1159" t="s">
        <v>549</v>
      </c>
      <c r="E113" s="1163" t="s">
        <v>237</v>
      </c>
      <c r="F113" s="1163"/>
      <c r="G113" s="1163"/>
      <c r="H113" s="1163"/>
      <c r="I113" s="1162" t="s">
        <v>269</v>
      </c>
      <c r="J113" s="1163" t="str">
        <f t="shared" si="57"/>
        <v>lending_cashloan_payroll_VDS_other_TOI</v>
      </c>
      <c r="K113" s="1149"/>
      <c r="L113" s="1239" t="s">
        <v>89</v>
      </c>
      <c r="M113" s="1152">
        <f>SUM(P113:AA113)</f>
        <v>229014533</v>
      </c>
      <c r="N113" s="1154"/>
      <c r="O113" s="1154"/>
      <c r="P113" s="1270"/>
      <c r="Q113" s="1244">
        <v>2410000</v>
      </c>
      <c r="R113" s="1270">
        <v>4145780</v>
      </c>
      <c r="S113" s="1270">
        <v>42681900</v>
      </c>
      <c r="T113" s="1270">
        <v>0</v>
      </c>
      <c r="U113" s="1270">
        <v>16251</v>
      </c>
      <c r="V113" s="1270">
        <v>40774154</v>
      </c>
      <c r="W113" s="1154">
        <v>28801708</v>
      </c>
      <c r="X113" s="1154">
        <v>23121814</v>
      </c>
      <c r="Y113" s="1152">
        <v>6811348</v>
      </c>
      <c r="Z113" s="1152">
        <v>52195817</v>
      </c>
      <c r="AA113" s="1154">
        <v>28055761</v>
      </c>
      <c r="AB113" s="34">
        <f t="shared" si="52"/>
        <v>-24140056</v>
      </c>
    </row>
    <row r="114" spans="2:29">
      <c r="B114" s="1158" t="s">
        <v>189</v>
      </c>
      <c r="C114" s="1159" t="s">
        <v>545</v>
      </c>
      <c r="D114" s="1159" t="s">
        <v>549</v>
      </c>
      <c r="E114" s="1159" t="s">
        <v>237</v>
      </c>
      <c r="F114" s="1159"/>
      <c r="G114" s="1159"/>
      <c r="H114" s="1159"/>
      <c r="I114" s="1162" t="s">
        <v>270</v>
      </c>
      <c r="J114" s="1159" t="str">
        <f t="shared" si="57"/>
        <v>lending_cashloan_payroll_VDS_provision</v>
      </c>
      <c r="K114" s="1149"/>
      <c r="L114" s="1245" t="s">
        <v>136</v>
      </c>
      <c r="M114" s="1150">
        <f>SUM(P114:AA114)</f>
        <v>990839256</v>
      </c>
      <c r="N114" s="1150">
        <v>27426874</v>
      </c>
      <c r="O114" s="1262">
        <v>27102539</v>
      </c>
      <c r="P114" s="1245">
        <v>152138070</v>
      </c>
      <c r="Q114" s="1245">
        <v>99426084</v>
      </c>
      <c r="R114" s="1245">
        <f>55262397+4683219</f>
        <v>59945616</v>
      </c>
      <c r="S114" s="1245">
        <v>69276261</v>
      </c>
      <c r="T114" s="1245">
        <v>98235916</v>
      </c>
      <c r="U114" s="1245">
        <f>71893865+6238322</f>
        <v>78132187</v>
      </c>
      <c r="V114" s="1296">
        <v>40848948</v>
      </c>
      <c r="W114" s="1262">
        <v>82587481</v>
      </c>
      <c r="X114" s="1262">
        <f>78227801+7634385</f>
        <v>85862186</v>
      </c>
      <c r="Y114" s="1262">
        <v>116467239</v>
      </c>
      <c r="Z114" s="1262">
        <v>39289705</v>
      </c>
      <c r="AA114" s="1245">
        <f>48638472+19991091</f>
        <v>68629563</v>
      </c>
      <c r="AB114" s="34">
        <f t="shared" si="52"/>
        <v>29339858</v>
      </c>
    </row>
    <row r="115" spans="2:29">
      <c r="B115" s="1158" t="s">
        <v>189</v>
      </c>
      <c r="C115" s="1159" t="s">
        <v>545</v>
      </c>
      <c r="D115" s="1159" t="s">
        <v>549</v>
      </c>
      <c r="E115" s="1159" t="s">
        <v>237</v>
      </c>
      <c r="F115" s="1159"/>
      <c r="G115" s="1159"/>
      <c r="H115" s="1159"/>
      <c r="I115" s="1162" t="s">
        <v>271</v>
      </c>
      <c r="J115" s="1159" t="str">
        <f t="shared" si="57"/>
        <v>lending_cashloan_payroll_VDS_variable_cost</v>
      </c>
      <c r="K115" s="1149"/>
      <c r="L115" s="1245" t="s">
        <v>229</v>
      </c>
      <c r="M115" s="1150">
        <f t="shared" ref="M115:AA115" si="67">SUM(M116:M123)</f>
        <v>974099606.65840149</v>
      </c>
      <c r="N115" s="1150">
        <f t="shared" si="67"/>
        <v>58707692.35680265</v>
      </c>
      <c r="O115" s="1150">
        <f t="shared" si="67"/>
        <v>23143211.618542761</v>
      </c>
      <c r="P115" s="1150">
        <f t="shared" si="67"/>
        <v>106214151.0435885</v>
      </c>
      <c r="Q115" s="1150">
        <f t="shared" si="67"/>
        <v>92013285.246371076</v>
      </c>
      <c r="R115" s="1150">
        <f t="shared" si="67"/>
        <v>58694913.976740874</v>
      </c>
      <c r="S115" s="1150">
        <f t="shared" si="67"/>
        <v>107490047.98453891</v>
      </c>
      <c r="T115" s="1150">
        <f t="shared" si="67"/>
        <v>74112452.633180633</v>
      </c>
      <c r="U115" s="1150">
        <f t="shared" si="67"/>
        <v>48677378.399210863</v>
      </c>
      <c r="V115" s="1150">
        <f t="shared" si="67"/>
        <v>80429643.013536155</v>
      </c>
      <c r="W115" s="1150">
        <f t="shared" si="67"/>
        <v>61961475.309786268</v>
      </c>
      <c r="X115" s="1150">
        <f t="shared" si="67"/>
        <v>69509581.075507611</v>
      </c>
      <c r="Y115" s="1150">
        <f t="shared" si="67"/>
        <v>95039928.003000811</v>
      </c>
      <c r="Z115" s="1150">
        <f t="shared" si="67"/>
        <v>102806119.16631094</v>
      </c>
      <c r="AA115" s="1150">
        <f t="shared" si="67"/>
        <v>77150630.806628838</v>
      </c>
      <c r="AB115" s="34">
        <f t="shared" si="52"/>
        <v>-25655488.359682098</v>
      </c>
    </row>
    <row r="116" spans="2:29">
      <c r="B116" s="1158" t="s">
        <v>189</v>
      </c>
      <c r="C116" s="1159" t="s">
        <v>545</v>
      </c>
      <c r="D116" s="1159" t="s">
        <v>549</v>
      </c>
      <c r="E116" s="1159" t="s">
        <v>237</v>
      </c>
      <c r="F116" s="1159"/>
      <c r="G116" s="1159"/>
      <c r="H116" s="1159"/>
      <c r="I116" s="1162" t="s">
        <v>272</v>
      </c>
      <c r="J116" s="1159" t="str">
        <f t="shared" si="57"/>
        <v>lending_cashloan_payroll_VDS_marketing_acquisition_cost</v>
      </c>
      <c r="K116" s="1149"/>
      <c r="L116" s="1246" t="s">
        <v>230</v>
      </c>
      <c r="M116" s="1149">
        <f t="shared" ref="M116:M121" si="68">SUM(P116:AA116)</f>
        <v>0</v>
      </c>
      <c r="N116" s="1147"/>
      <c r="O116" s="1147"/>
      <c r="P116" s="1169"/>
      <c r="Q116" s="1169"/>
      <c r="R116" s="1169"/>
      <c r="S116" s="1147"/>
      <c r="T116" s="1169"/>
      <c r="U116" s="1147"/>
      <c r="V116" s="1147"/>
      <c r="W116" s="1149"/>
      <c r="X116" s="1149"/>
      <c r="Y116" s="1147"/>
      <c r="Z116" s="1147"/>
      <c r="AA116" s="1147"/>
      <c r="AB116" s="34">
        <f t="shared" si="52"/>
        <v>0</v>
      </c>
    </row>
    <row r="117" spans="2:29">
      <c r="B117" s="1158" t="s">
        <v>189</v>
      </c>
      <c r="C117" s="1159" t="s">
        <v>545</v>
      </c>
      <c r="D117" s="1159" t="s">
        <v>549</v>
      </c>
      <c r="E117" s="1159" t="s">
        <v>237</v>
      </c>
      <c r="F117" s="1159"/>
      <c r="G117" s="1159"/>
      <c r="H117" s="1159"/>
      <c r="I117" s="1162" t="s">
        <v>273</v>
      </c>
      <c r="J117" s="1159" t="str">
        <f t="shared" si="57"/>
        <v>lending_cashloan_payroll_VDS_partner_acquisition_cost</v>
      </c>
      <c r="K117" s="1149"/>
      <c r="L117" s="1246" t="s">
        <v>231</v>
      </c>
      <c r="M117" s="1150">
        <f t="shared" si="68"/>
        <v>889212549</v>
      </c>
      <c r="N117" s="1149">
        <v>49302565</v>
      </c>
      <c r="O117" s="1248">
        <v>11664195</v>
      </c>
      <c r="P117" s="1169">
        <v>93953531</v>
      </c>
      <c r="Q117" s="1266">
        <v>81617954</v>
      </c>
      <c r="R117" s="1169">
        <v>49941751</v>
      </c>
      <c r="S117" s="1169">
        <v>99255607</v>
      </c>
      <c r="T117" s="1169">
        <v>65437400</v>
      </c>
      <c r="U117" s="1169">
        <v>45002335</v>
      </c>
      <c r="V117" s="1169">
        <v>75253022</v>
      </c>
      <c r="W117" s="1169">
        <v>56197853</v>
      </c>
      <c r="X117" s="1169">
        <v>62706447</v>
      </c>
      <c r="Y117" s="1290">
        <v>89938753</v>
      </c>
      <c r="Z117" s="1290">
        <v>97452736</v>
      </c>
      <c r="AA117" s="1290">
        <v>72455160</v>
      </c>
      <c r="AB117" s="34">
        <f t="shared" si="52"/>
        <v>-24997576</v>
      </c>
    </row>
    <row r="118" spans="2:29">
      <c r="B118" s="1158" t="s">
        <v>189</v>
      </c>
      <c r="C118" s="1159" t="s">
        <v>545</v>
      </c>
      <c r="D118" s="1159" t="s">
        <v>549</v>
      </c>
      <c r="E118" s="1159" t="s">
        <v>237</v>
      </c>
      <c r="F118" s="1159"/>
      <c r="G118" s="1159"/>
      <c r="H118" s="1159"/>
      <c r="I118" s="1162" t="s">
        <v>274</v>
      </c>
      <c r="J118" s="1159" t="str">
        <f t="shared" si="57"/>
        <v>lending_cashloan_payroll_VDS_underwritting</v>
      </c>
      <c r="K118" s="1149"/>
      <c r="L118" s="1246" t="s">
        <v>232</v>
      </c>
      <c r="M118" s="1149">
        <f t="shared" si="68"/>
        <v>27849339.300951988</v>
      </c>
      <c r="N118" s="1149">
        <v>3058090.7546046409</v>
      </c>
      <c r="O118" s="1149">
        <v>3215093.0592501918</v>
      </c>
      <c r="P118" s="1265">
        <v>4599810.8074553562</v>
      </c>
      <c r="Q118" s="1265">
        <v>2101043.6653070296</v>
      </c>
      <c r="R118" s="1265">
        <v>2495216.1118328101</v>
      </c>
      <c r="S118" s="1265">
        <v>1816375.9131281031</v>
      </c>
      <c r="T118" s="1265">
        <v>2148250.827557411</v>
      </c>
      <c r="U118" s="1265">
        <v>1183884.906570106</v>
      </c>
      <c r="V118" s="1149">
        <v>1694115.2478371763</v>
      </c>
      <c r="W118" s="1149">
        <v>2805481.2787715243</v>
      </c>
      <c r="X118" s="1149">
        <v>3155885.4948779121</v>
      </c>
      <c r="Y118" s="1149">
        <v>2328550.6507648891</v>
      </c>
      <c r="Z118" s="1149">
        <v>1769147.8690122915</v>
      </c>
      <c r="AA118" s="1149">
        <v>1751576.5278373724</v>
      </c>
      <c r="AB118" s="34">
        <f t="shared" si="52"/>
        <v>-17571.341174919158</v>
      </c>
    </row>
    <row r="119" spans="2:29">
      <c r="B119" s="1158" t="s">
        <v>189</v>
      </c>
      <c r="C119" s="1159" t="s">
        <v>545</v>
      </c>
      <c r="D119" s="1159" t="s">
        <v>549</v>
      </c>
      <c r="E119" s="1159" t="s">
        <v>237</v>
      </c>
      <c r="F119" s="1159"/>
      <c r="G119" s="1159"/>
      <c r="H119" s="1159"/>
      <c r="I119" s="1162" t="s">
        <v>275</v>
      </c>
      <c r="J119" s="1159" t="str">
        <f t="shared" si="57"/>
        <v>lending_cashloan_payroll_VDS_e_contract</v>
      </c>
      <c r="K119" s="1149"/>
      <c r="L119" s="1246" t="s">
        <v>233</v>
      </c>
      <c r="M119" s="1149">
        <f t="shared" si="68"/>
        <v>862404</v>
      </c>
      <c r="N119" s="1149">
        <v>74830</v>
      </c>
      <c r="O119" s="1169">
        <v>69704</v>
      </c>
      <c r="P119" s="1169">
        <v>67958</v>
      </c>
      <c r="Q119" s="1169">
        <v>58048</v>
      </c>
      <c r="R119" s="1169">
        <v>88102</v>
      </c>
      <c r="S119" s="1169">
        <v>153584</v>
      </c>
      <c r="T119" s="1169">
        <v>56504</v>
      </c>
      <c r="U119" s="1247">
        <v>43891</v>
      </c>
      <c r="V119" s="1149">
        <v>93600</v>
      </c>
      <c r="W119" s="1149">
        <v>115200</v>
      </c>
      <c r="X119" s="1149">
        <v>63738</v>
      </c>
      <c r="Y119" s="1149">
        <v>50015</v>
      </c>
      <c r="Z119" s="1149">
        <v>41734</v>
      </c>
      <c r="AA119" s="1169">
        <v>30030</v>
      </c>
      <c r="AB119" s="34">
        <f t="shared" si="52"/>
        <v>-11704</v>
      </c>
    </row>
    <row r="120" spans="2:29">
      <c r="B120" s="1158" t="s">
        <v>189</v>
      </c>
      <c r="C120" s="1159" t="s">
        <v>545</v>
      </c>
      <c r="D120" s="1159" t="s">
        <v>549</v>
      </c>
      <c r="E120" s="1159" t="s">
        <v>237</v>
      </c>
      <c r="F120" s="1159"/>
      <c r="G120" s="1159"/>
      <c r="H120" s="1159"/>
      <c r="I120" s="1162" t="s">
        <v>276</v>
      </c>
      <c r="J120" s="1159" t="str">
        <f t="shared" si="57"/>
        <v>lending_cashloan_payroll_VDS_nfc</v>
      </c>
      <c r="K120" s="1149"/>
      <c r="L120" s="1246" t="s">
        <v>152</v>
      </c>
      <c r="M120" s="1149">
        <f t="shared" si="68"/>
        <v>1568863.1091064918</v>
      </c>
      <c r="N120" s="1149"/>
      <c r="O120" s="1169"/>
      <c r="P120" s="1169">
        <v>202521.72185005932</v>
      </c>
      <c r="Q120" s="1169">
        <v>195974.54864593782</v>
      </c>
      <c r="R120" s="1169">
        <v>294938.67047891353</v>
      </c>
      <c r="S120" s="1169">
        <v>157443.88022843029</v>
      </c>
      <c r="T120" s="1169">
        <v>148357.02225633155</v>
      </c>
      <c r="U120" s="1248">
        <v>47523.523964901455</v>
      </c>
      <c r="V120" s="1149">
        <v>87011.422459893045</v>
      </c>
      <c r="W120" s="1149">
        <v>111077.94733800477</v>
      </c>
      <c r="X120" s="1149">
        <v>88258.682588238938</v>
      </c>
      <c r="Y120" s="1149">
        <v>97229.059005821022</v>
      </c>
      <c r="Z120" s="1149">
        <v>75329.263301500687</v>
      </c>
      <c r="AA120" s="1169">
        <v>63197.366988459027</v>
      </c>
      <c r="AB120" s="34">
        <f t="shared" si="52"/>
        <v>-12131.89631304166</v>
      </c>
    </row>
    <row r="121" spans="2:29">
      <c r="B121" s="1158" t="s">
        <v>189</v>
      </c>
      <c r="C121" s="1159" t="s">
        <v>545</v>
      </c>
      <c r="D121" s="1159" t="s">
        <v>549</v>
      </c>
      <c r="E121" s="1159" t="s">
        <v>237</v>
      </c>
      <c r="F121" s="1159"/>
      <c r="G121" s="1159"/>
      <c r="H121" s="1159"/>
      <c r="I121" s="1162" t="s">
        <v>277</v>
      </c>
      <c r="J121" s="1159" t="str">
        <f t="shared" si="57"/>
        <v>lending_cashloan_payroll_VDS_collection</v>
      </c>
      <c r="K121" s="1149"/>
      <c r="L121" s="1246" t="s">
        <v>234</v>
      </c>
      <c r="M121" s="1149">
        <f t="shared" si="68"/>
        <v>50407278.422371827</v>
      </c>
      <c r="N121" s="1149">
        <v>6111672.1736246869</v>
      </c>
      <c r="O121" s="1149">
        <v>7799233.3038669759</v>
      </c>
      <c r="P121" s="1169">
        <v>6900900.2744143726</v>
      </c>
      <c r="Q121" s="1169">
        <v>7784343.5625774311</v>
      </c>
      <c r="R121" s="1169">
        <v>5548340.2769982796</v>
      </c>
      <c r="S121" s="1265">
        <v>5596172.0528499046</v>
      </c>
      <c r="T121" s="1169">
        <v>5931697.6395682981</v>
      </c>
      <c r="U121" s="1169">
        <v>2076362.2876051844</v>
      </c>
      <c r="V121" s="1169">
        <v>2878082</v>
      </c>
      <c r="W121" s="1149">
        <v>2710488.2539015333</v>
      </c>
      <c r="X121" s="1149">
        <v>3093620.5729698474</v>
      </c>
      <c r="Y121" s="1149">
        <v>2218083.4200152182</v>
      </c>
      <c r="Z121" s="1149">
        <v>3111105.5265640644</v>
      </c>
      <c r="AA121" s="1149">
        <v>2558082.5549077033</v>
      </c>
      <c r="AB121" s="34">
        <f t="shared" si="52"/>
        <v>-553022.97165636113</v>
      </c>
    </row>
    <row r="122" spans="2:29">
      <c r="B122" s="1158" t="s">
        <v>189</v>
      </c>
      <c r="C122" s="1159" t="s">
        <v>545</v>
      </c>
      <c r="D122" s="1159" t="s">
        <v>549</v>
      </c>
      <c r="E122" s="1159" t="s">
        <v>237</v>
      </c>
      <c r="F122" s="1159"/>
      <c r="G122" s="1159"/>
      <c r="H122" s="1159"/>
      <c r="I122" s="1162" t="s">
        <v>278</v>
      </c>
      <c r="J122" s="1159" t="str">
        <f t="shared" si="57"/>
        <v>lending_cashloan_payroll_VDS_promotion</v>
      </c>
      <c r="K122" s="1149"/>
      <c r="L122" s="1246" t="s">
        <v>235</v>
      </c>
      <c r="M122" s="1149"/>
      <c r="N122" s="1149"/>
      <c r="O122" s="1149"/>
      <c r="P122" s="1169"/>
      <c r="Q122" s="1169"/>
      <c r="R122" s="1169"/>
      <c r="S122" s="1265"/>
      <c r="T122" s="1169"/>
      <c r="U122" s="1265"/>
      <c r="V122" s="1169"/>
      <c r="W122" s="1149"/>
      <c r="X122" s="1149"/>
      <c r="Y122" s="1149"/>
      <c r="Z122" s="1149"/>
      <c r="AA122" s="1149"/>
      <c r="AB122" s="34">
        <f t="shared" si="52"/>
        <v>0</v>
      </c>
    </row>
    <row r="123" spans="2:29">
      <c r="B123" s="1158" t="s">
        <v>189</v>
      </c>
      <c r="C123" s="1159" t="s">
        <v>545</v>
      </c>
      <c r="D123" s="1159" t="s">
        <v>549</v>
      </c>
      <c r="E123" s="1159" t="s">
        <v>237</v>
      </c>
      <c r="F123" s="1159"/>
      <c r="G123" s="1159"/>
      <c r="H123" s="1159"/>
      <c r="I123" s="1162" t="s">
        <v>279</v>
      </c>
      <c r="J123" s="1159" t="str">
        <f t="shared" si="57"/>
        <v>lending_cashloan_payroll_VDS_sms</v>
      </c>
      <c r="K123" s="1149"/>
      <c r="L123" s="1249" t="s">
        <v>163</v>
      </c>
      <c r="M123" s="1149">
        <f>SUM(P123:AA123)</f>
        <v>4199172.825971147</v>
      </c>
      <c r="N123" s="1247">
        <v>160534.42857332283</v>
      </c>
      <c r="O123" s="1247">
        <v>394986.2554255951</v>
      </c>
      <c r="P123" s="1247">
        <v>489429.23986872239</v>
      </c>
      <c r="Q123" s="1247">
        <v>255921.4698406783</v>
      </c>
      <c r="R123" s="1247">
        <v>326565.91743086989</v>
      </c>
      <c r="S123" s="1247">
        <v>510865.13833247829</v>
      </c>
      <c r="T123" s="1247">
        <v>390243.14379859401</v>
      </c>
      <c r="U123" s="1248">
        <v>323381.6810706699</v>
      </c>
      <c r="V123" s="1149">
        <v>423812.34323908278</v>
      </c>
      <c r="W123" s="1149">
        <v>21374.829775197468</v>
      </c>
      <c r="X123" s="1149">
        <v>401631.32507160294</v>
      </c>
      <c r="Y123" s="1149">
        <v>407296.87321488018</v>
      </c>
      <c r="Z123" s="1149">
        <v>356066.50743307447</v>
      </c>
      <c r="AA123" s="1169">
        <v>292584.35689529631</v>
      </c>
      <c r="AB123" s="34">
        <f t="shared" si="52"/>
        <v>-63482.150537778158</v>
      </c>
    </row>
    <row r="124" spans="2:29">
      <c r="B124" s="1158" t="s">
        <v>189</v>
      </c>
      <c r="C124" s="1159" t="s">
        <v>545</v>
      </c>
      <c r="D124" s="1159" t="s">
        <v>549</v>
      </c>
      <c r="E124" s="1159" t="s">
        <v>237</v>
      </c>
      <c r="F124" s="1159" t="str">
        <f>E124&amp;"PRCL"</f>
        <v>VDSPRCL</v>
      </c>
      <c r="G124" s="1159" t="str">
        <f>L124&amp;F124</f>
        <v>Profit before allocation costVDSPRCL</v>
      </c>
      <c r="H124" s="1408" t="str">
        <f>L124&amp;E124</f>
        <v>Profit before allocation costVDS</v>
      </c>
      <c r="I124" s="1162" t="s">
        <v>280</v>
      </c>
      <c r="J124" s="1159" t="str">
        <f t="shared" si="57"/>
        <v>lending_cashloan_payroll_VDS_profit_before_overhead</v>
      </c>
      <c r="K124" s="1149"/>
      <c r="L124" s="1359" t="s">
        <v>236</v>
      </c>
      <c r="M124" s="1359">
        <f t="shared" ref="M124:AA124" si="69">M103-M114-M115</f>
        <v>465255991.5488987</v>
      </c>
      <c r="N124" s="1359">
        <f t="shared" si="69"/>
        <v>150910516.64319736</v>
      </c>
      <c r="O124" s="1359">
        <f t="shared" si="69"/>
        <v>157325050.38145724</v>
      </c>
      <c r="P124" s="1359">
        <f t="shared" si="69"/>
        <v>-46962193.043588504</v>
      </c>
      <c r="Q124" s="1359">
        <f t="shared" si="69"/>
        <v>-3543169.2463710755</v>
      </c>
      <c r="R124" s="1359">
        <f t="shared" si="69"/>
        <v>111139416.23055923</v>
      </c>
      <c r="S124" s="1359">
        <f t="shared" si="69"/>
        <v>71795498.015461087</v>
      </c>
      <c r="T124" s="1359">
        <f t="shared" si="69"/>
        <v>22121748.366819367</v>
      </c>
      <c r="U124" s="1359">
        <f t="shared" si="69"/>
        <v>34260831.600789137</v>
      </c>
      <c r="V124" s="1359">
        <f t="shared" si="69"/>
        <v>90081757.986463845</v>
      </c>
      <c r="W124" s="1359">
        <f t="shared" si="69"/>
        <v>68507935.69021374</v>
      </c>
      <c r="X124" s="1359">
        <f t="shared" si="69"/>
        <v>31190059.924492389</v>
      </c>
      <c r="Y124" s="1359">
        <f t="shared" si="69"/>
        <v>-20303136.003000811</v>
      </c>
      <c r="Z124" s="1359">
        <f t="shared" si="69"/>
        <v>70978836.833689064</v>
      </c>
      <c r="AA124" s="1359">
        <f t="shared" si="69"/>
        <v>35988405.193371162</v>
      </c>
      <c r="AB124" s="34">
        <f t="shared" si="52"/>
        <v>-34990431.640317902</v>
      </c>
      <c r="AC124" s="34">
        <f>SUM(P124:AA124)</f>
        <v>465255991.54889858</v>
      </c>
    </row>
    <row r="125" spans="2:29">
      <c r="B125" s="1158"/>
      <c r="C125" s="1159"/>
      <c r="D125" s="1159"/>
      <c r="E125" s="1159"/>
      <c r="F125" s="1159"/>
      <c r="G125" s="1159"/>
      <c r="H125" s="1159"/>
      <c r="I125" s="1160"/>
      <c r="J125" s="1159"/>
      <c r="K125" s="1149"/>
      <c r="L125" s="1153"/>
      <c r="M125" s="1150"/>
      <c r="N125" s="1150"/>
      <c r="O125" s="1150"/>
      <c r="P125" s="1150"/>
      <c r="Q125" s="1150"/>
      <c r="R125" s="1150"/>
      <c r="S125" s="1150"/>
      <c r="T125" s="1150"/>
      <c r="U125" s="1150"/>
      <c r="V125" s="1150"/>
      <c r="W125" s="1150"/>
      <c r="X125" s="1150"/>
      <c r="Y125" s="1150"/>
      <c r="Z125" s="1150"/>
      <c r="AA125" s="1150"/>
      <c r="AB125" s="34">
        <f t="shared" si="52"/>
        <v>0</v>
      </c>
    </row>
    <row r="126" spans="2:29">
      <c r="B126" s="1158" t="s">
        <v>189</v>
      </c>
      <c r="C126" s="1159" t="s">
        <v>545</v>
      </c>
      <c r="D126" s="1159" t="s">
        <v>545</v>
      </c>
      <c r="E126" s="1159" t="s">
        <v>282</v>
      </c>
      <c r="F126" s="1159"/>
      <c r="G126" s="1159"/>
      <c r="H126" s="1159"/>
      <c r="I126" s="1159"/>
      <c r="J126" s="1159" t="str">
        <f t="shared" ref="J126:J163" si="70">B126&amp;"_"&amp;C126&amp;"_"&amp;D126&amp;"_"&amp;E126&amp;"_"&amp;I126</f>
        <v>lending_cashloan_cashloan_BEG_</v>
      </c>
      <c r="K126" s="1149"/>
      <c r="L126" s="1146" t="s">
        <v>551</v>
      </c>
      <c r="M126" s="1146"/>
      <c r="N126" s="1146"/>
      <c r="O126" s="1146"/>
      <c r="P126" s="1146"/>
      <c r="Q126" s="1146"/>
      <c r="R126" s="1146"/>
      <c r="S126" s="1146"/>
      <c r="T126" s="1146"/>
      <c r="U126" s="1146"/>
      <c r="V126" s="1146"/>
      <c r="W126" s="1146"/>
      <c r="X126" s="1146"/>
      <c r="Y126" s="1146"/>
      <c r="Z126" s="1146"/>
      <c r="AA126" s="1146"/>
      <c r="AB126" s="34">
        <f t="shared" si="52"/>
        <v>0</v>
      </c>
    </row>
    <row r="127" spans="2:29">
      <c r="B127" s="1158" t="s">
        <v>189</v>
      </c>
      <c r="C127" s="1159" t="s">
        <v>545</v>
      </c>
      <c r="D127" s="1159" t="s">
        <v>545</v>
      </c>
      <c r="E127" s="1159" t="s">
        <v>282</v>
      </c>
      <c r="F127" s="1159"/>
      <c r="G127" s="1159"/>
      <c r="H127" s="1159"/>
      <c r="I127" s="1162" t="s">
        <v>239</v>
      </c>
      <c r="J127" s="1159" t="str">
        <f t="shared" si="70"/>
        <v>lending_cashloan_cashloan_BEG_new_account</v>
      </c>
      <c r="K127" s="1149"/>
      <c r="L127" s="1148" t="s">
        <v>193</v>
      </c>
      <c r="M127" s="1149">
        <f>SUM(P127:AA127)</f>
        <v>1001</v>
      </c>
      <c r="N127" s="1169">
        <v>56</v>
      </c>
      <c r="O127" s="1169">
        <v>33</v>
      </c>
      <c r="P127" s="1169">
        <v>19</v>
      </c>
      <c r="Q127" s="1272">
        <v>6</v>
      </c>
      <c r="R127" s="1169">
        <v>9</v>
      </c>
      <c r="S127" s="1169">
        <v>2</v>
      </c>
      <c r="T127" s="1267">
        <v>0</v>
      </c>
      <c r="U127" s="1267">
        <v>4</v>
      </c>
      <c r="V127" s="1361">
        <v>5</v>
      </c>
      <c r="W127" s="1169">
        <v>1</v>
      </c>
      <c r="X127" s="1169">
        <v>3</v>
      </c>
      <c r="Y127" s="1169">
        <v>59</v>
      </c>
      <c r="Z127" s="1169">
        <v>147</v>
      </c>
      <c r="AA127" s="1169">
        <v>746</v>
      </c>
      <c r="AB127" s="34">
        <f t="shared" si="52"/>
        <v>599</v>
      </c>
    </row>
    <row r="128" spans="2:29">
      <c r="B128" s="1158" t="s">
        <v>189</v>
      </c>
      <c r="C128" s="1159" t="s">
        <v>545</v>
      </c>
      <c r="D128" s="1159" t="s">
        <v>545</v>
      </c>
      <c r="E128" s="1159" t="s">
        <v>282</v>
      </c>
      <c r="F128" s="1159"/>
      <c r="G128" s="1159"/>
      <c r="H128" s="1159"/>
      <c r="I128" s="1148" t="s">
        <v>527</v>
      </c>
      <c r="J128" s="1159" t="str">
        <f t="shared" si="70"/>
        <v>lending_cashloan_cashloan_BEG_Repeat account</v>
      </c>
      <c r="K128" s="1149"/>
      <c r="L128" s="1148" t="s">
        <v>527</v>
      </c>
      <c r="M128" s="1149"/>
      <c r="N128" s="1169">
        <v>3</v>
      </c>
      <c r="O128" s="1169">
        <v>7</v>
      </c>
      <c r="P128" s="1169">
        <v>0</v>
      </c>
      <c r="Q128" s="1169">
        <v>2</v>
      </c>
      <c r="R128" s="1169">
        <v>4</v>
      </c>
      <c r="S128" s="1169"/>
      <c r="T128" s="1267"/>
      <c r="U128" s="1267">
        <v>2</v>
      </c>
      <c r="V128" s="1169"/>
      <c r="W128" s="1169"/>
      <c r="X128" s="1169">
        <v>0</v>
      </c>
      <c r="Y128" s="1169">
        <v>20</v>
      </c>
      <c r="Z128" s="1169">
        <v>42</v>
      </c>
      <c r="AA128" s="1169">
        <v>431</v>
      </c>
      <c r="AB128" s="34">
        <f t="shared" si="52"/>
        <v>389</v>
      </c>
    </row>
    <row r="129" spans="2:29">
      <c r="B129" s="1158" t="s">
        <v>189</v>
      </c>
      <c r="C129" s="1159" t="s">
        <v>545</v>
      </c>
      <c r="D129" s="1159" t="s">
        <v>545</v>
      </c>
      <c r="E129" s="1159" t="s">
        <v>282</v>
      </c>
      <c r="F129" s="1159"/>
      <c r="G129" s="1159"/>
      <c r="H129" s="1159"/>
      <c r="I129" s="1162" t="s">
        <v>241</v>
      </c>
      <c r="J129" s="1159" t="str">
        <f t="shared" si="70"/>
        <v>lending_cashloan_cashloan_BEG_active_account</v>
      </c>
      <c r="K129" s="1149"/>
      <c r="L129" s="1148" t="s">
        <v>194</v>
      </c>
      <c r="M129" s="1149">
        <f>SUM(P129:AA129)</f>
        <v>16214</v>
      </c>
      <c r="N129" s="1169">
        <v>2931</v>
      </c>
      <c r="O129" s="1169">
        <v>2791</v>
      </c>
      <c r="P129" s="1169">
        <f>2643-49</f>
        <v>2594</v>
      </c>
      <c r="Q129" s="1272">
        <f>2510-445</f>
        <v>2065</v>
      </c>
      <c r="R129" s="1272">
        <f>2370-512</f>
        <v>1858</v>
      </c>
      <c r="S129" s="1169">
        <f>2242-591</f>
        <v>1651</v>
      </c>
      <c r="T129" s="1361">
        <v>1455</v>
      </c>
      <c r="U129" s="1247">
        <v>1241</v>
      </c>
      <c r="V129" s="1247">
        <v>1035</v>
      </c>
      <c r="W129" s="1169">
        <v>852</v>
      </c>
      <c r="X129" s="1273">
        <v>714</v>
      </c>
      <c r="Y129" s="1169">
        <v>674</v>
      </c>
      <c r="Z129" s="1169">
        <v>724</v>
      </c>
      <c r="AA129" s="1169">
        <v>1351</v>
      </c>
      <c r="AB129" s="34">
        <f t="shared" si="52"/>
        <v>627</v>
      </c>
    </row>
    <row r="130" spans="2:29">
      <c r="B130" s="1158" t="s">
        <v>189</v>
      </c>
      <c r="C130" s="1159" t="s">
        <v>545</v>
      </c>
      <c r="D130" s="1159" t="s">
        <v>545</v>
      </c>
      <c r="E130" s="1159" t="s">
        <v>282</v>
      </c>
      <c r="F130" s="1159" t="str">
        <f>E130&amp;"CL"</f>
        <v>BEGCL</v>
      </c>
      <c r="G130" s="1159" t="str">
        <f>L130&amp;F130</f>
        <v>DisbursementBEGCL</v>
      </c>
      <c r="H130" s="1408" t="str">
        <f>L130&amp;E130</f>
        <v>DisbursementBEG</v>
      </c>
      <c r="I130" s="1162" t="s">
        <v>242</v>
      </c>
      <c r="J130" s="1159" t="str">
        <f t="shared" si="70"/>
        <v>lending_cashloan_cashloan_BEG_disburse/spend</v>
      </c>
      <c r="K130" s="1149"/>
      <c r="L130" s="1169" t="s">
        <v>80</v>
      </c>
      <c r="M130" s="1149">
        <f>SUM(P130:AA130)</f>
        <v>13310250000</v>
      </c>
      <c r="N130" s="1149">
        <v>900550000</v>
      </c>
      <c r="O130" s="1149">
        <v>520050000</v>
      </c>
      <c r="P130" s="1149">
        <v>305150000</v>
      </c>
      <c r="Q130" s="1169">
        <v>106500000</v>
      </c>
      <c r="R130" s="1169">
        <v>120150000</v>
      </c>
      <c r="S130" s="1169">
        <v>31000000</v>
      </c>
      <c r="T130" s="1247"/>
      <c r="U130" s="1169">
        <v>48650000</v>
      </c>
      <c r="V130" s="1290">
        <v>98750000</v>
      </c>
      <c r="W130" s="1169">
        <v>18900000</v>
      </c>
      <c r="X130" s="1149">
        <v>42000000</v>
      </c>
      <c r="Y130" s="1169">
        <v>856450000</v>
      </c>
      <c r="Z130" s="1149">
        <v>2125700000</v>
      </c>
      <c r="AA130" s="1149">
        <v>9557000000</v>
      </c>
      <c r="AB130" s="34">
        <f t="shared" si="52"/>
        <v>7431300000</v>
      </c>
      <c r="AC130" s="34">
        <f>SUM(P130:AA130)</f>
        <v>13310250000</v>
      </c>
    </row>
    <row r="131" spans="2:29">
      <c r="B131" s="1158" t="s">
        <v>189</v>
      </c>
      <c r="C131" s="1159" t="s">
        <v>545</v>
      </c>
      <c r="D131" s="1159" t="s">
        <v>545</v>
      </c>
      <c r="E131" s="1159" t="s">
        <v>282</v>
      </c>
      <c r="F131" s="1159"/>
      <c r="G131" s="1159"/>
      <c r="H131" s="1159"/>
      <c r="I131" s="1160"/>
      <c r="J131" s="1159" t="str">
        <f t="shared" si="70"/>
        <v>lending_cashloan_cashloan_BEG_</v>
      </c>
      <c r="K131" s="1149"/>
      <c r="L131" s="1169" t="s">
        <v>528</v>
      </c>
      <c r="M131" s="1149"/>
      <c r="N131" s="1149">
        <v>767550000</v>
      </c>
      <c r="O131" s="1149">
        <v>358050000</v>
      </c>
      <c r="P131" s="1169">
        <v>234150000</v>
      </c>
      <c r="Q131" s="1169">
        <v>31500000</v>
      </c>
      <c r="R131" s="1169">
        <v>108150000</v>
      </c>
      <c r="S131" s="1169">
        <v>31000000</v>
      </c>
      <c r="T131" s="1169"/>
      <c r="U131" s="1169">
        <v>34650000</v>
      </c>
      <c r="V131" s="1290">
        <v>78750000</v>
      </c>
      <c r="W131" s="1169">
        <v>18900000</v>
      </c>
      <c r="X131" s="1149">
        <v>42000000</v>
      </c>
      <c r="Y131" s="1169">
        <v>660450000</v>
      </c>
      <c r="Z131" s="1149">
        <v>1757700000</v>
      </c>
      <c r="AA131" s="1149">
        <v>8022000000</v>
      </c>
      <c r="AB131" s="34">
        <f t="shared" si="52"/>
        <v>6264300000</v>
      </c>
    </row>
    <row r="132" spans="2:29">
      <c r="B132" s="1158" t="s">
        <v>189</v>
      </c>
      <c r="C132" s="1159" t="s">
        <v>545</v>
      </c>
      <c r="D132" s="1159" t="s">
        <v>545</v>
      </c>
      <c r="E132" s="1159" t="s">
        <v>282</v>
      </c>
      <c r="F132" s="1159"/>
      <c r="G132" s="1159"/>
      <c r="H132" s="1159"/>
      <c r="I132" s="1160"/>
      <c r="J132" s="1159" t="str">
        <f t="shared" si="70"/>
        <v>lending_cashloan_cashloan_BEG_</v>
      </c>
      <c r="K132" s="1149"/>
      <c r="L132" s="1169" t="s">
        <v>529</v>
      </c>
      <c r="M132" s="1149"/>
      <c r="N132" s="1149">
        <f t="shared" ref="N132:AA132" si="71">N130-N131</f>
        <v>133000000</v>
      </c>
      <c r="O132" s="1149">
        <f t="shared" si="71"/>
        <v>162000000</v>
      </c>
      <c r="P132" s="1149">
        <f t="shared" si="71"/>
        <v>71000000</v>
      </c>
      <c r="Q132" s="1149">
        <f t="shared" si="71"/>
        <v>75000000</v>
      </c>
      <c r="R132" s="1149">
        <f t="shared" si="71"/>
        <v>12000000</v>
      </c>
      <c r="S132" s="1149">
        <f t="shared" si="71"/>
        <v>0</v>
      </c>
      <c r="T132" s="1149">
        <f t="shared" si="71"/>
        <v>0</v>
      </c>
      <c r="U132" s="1149">
        <f t="shared" si="71"/>
        <v>14000000</v>
      </c>
      <c r="V132" s="1149">
        <f t="shared" si="71"/>
        <v>20000000</v>
      </c>
      <c r="W132" s="1149">
        <f t="shared" si="71"/>
        <v>0</v>
      </c>
      <c r="X132" s="1149">
        <f t="shared" si="71"/>
        <v>0</v>
      </c>
      <c r="Y132" s="1149">
        <f t="shared" si="71"/>
        <v>196000000</v>
      </c>
      <c r="Z132" s="1149">
        <f t="shared" si="71"/>
        <v>368000000</v>
      </c>
      <c r="AA132" s="1149">
        <f t="shared" si="71"/>
        <v>1535000000</v>
      </c>
      <c r="AB132" s="34">
        <f t="shared" si="52"/>
        <v>1167000000</v>
      </c>
    </row>
    <row r="133" spans="2:29">
      <c r="B133" s="1158" t="s">
        <v>189</v>
      </c>
      <c r="C133" s="1159" t="s">
        <v>545</v>
      </c>
      <c r="D133" s="1159" t="s">
        <v>545</v>
      </c>
      <c r="E133" s="1159" t="s">
        <v>282</v>
      </c>
      <c r="F133" s="1159"/>
      <c r="G133" s="1159"/>
      <c r="H133" s="1159"/>
      <c r="I133" s="1162" t="s">
        <v>243</v>
      </c>
      <c r="J133" s="1159" t="str">
        <f t="shared" si="70"/>
        <v>lending_cashloan_cashloan_BEG_ENR</v>
      </c>
      <c r="K133" s="1149"/>
      <c r="L133" s="1169" t="s">
        <v>530</v>
      </c>
      <c r="M133" s="1149">
        <f>AA133</f>
        <v>14158374367</v>
      </c>
      <c r="N133" s="1169">
        <v>30063300846</v>
      </c>
      <c r="O133" s="1149">
        <v>27464849380</v>
      </c>
      <c r="P133" s="1169">
        <v>25600133441</v>
      </c>
      <c r="Q133" s="1273">
        <v>18687643232</v>
      </c>
      <c r="R133" s="1169">
        <v>16048545381</v>
      </c>
      <c r="S133" s="1169">
        <v>13635524092</v>
      </c>
      <c r="T133" s="1169">
        <v>11299587556</v>
      </c>
      <c r="U133" s="1169">
        <v>9245510049</v>
      </c>
      <c r="V133" s="1169">
        <v>7685748325</v>
      </c>
      <c r="W133" s="1149">
        <v>6113329421</v>
      </c>
      <c r="X133" s="1149">
        <v>4860881856</v>
      </c>
      <c r="Y133" s="1149">
        <v>4739078728</v>
      </c>
      <c r="Z133" s="1169">
        <v>5842819724</v>
      </c>
      <c r="AA133" s="1149">
        <v>14158374367</v>
      </c>
      <c r="AB133" s="34">
        <f t="shared" ref="AB133:AB196" si="72">AA133-Z133</f>
        <v>8315554643</v>
      </c>
    </row>
    <row r="134" spans="2:29">
      <c r="B134" s="1158" t="s">
        <v>189</v>
      </c>
      <c r="C134" s="1159" t="s">
        <v>545</v>
      </c>
      <c r="D134" s="1159" t="s">
        <v>545</v>
      </c>
      <c r="E134" s="1159" t="s">
        <v>282</v>
      </c>
      <c r="F134" s="1159"/>
      <c r="G134" s="1159"/>
      <c r="H134" s="1159"/>
      <c r="I134" s="1160"/>
      <c r="J134" s="1159" t="str">
        <f t="shared" si="70"/>
        <v>lending_cashloan_cashloan_BEG_</v>
      </c>
      <c r="K134" s="1149"/>
      <c r="L134" s="1235" t="s">
        <v>531</v>
      </c>
      <c r="M134" s="1149">
        <f t="shared" ref="M134:M139" si="73">Y134</f>
        <v>4198434585</v>
      </c>
      <c r="N134" s="1273">
        <f t="shared" ref="N134:AA134" si="74">N133-N135</f>
        <v>25920777995</v>
      </c>
      <c r="O134" s="1273">
        <f t="shared" si="74"/>
        <v>22977097656</v>
      </c>
      <c r="P134" s="1273">
        <f t="shared" si="74"/>
        <v>20678089201</v>
      </c>
      <c r="Q134" s="1273">
        <f t="shared" si="74"/>
        <v>16658559736</v>
      </c>
      <c r="R134" s="1273">
        <f t="shared" si="74"/>
        <v>13989234740</v>
      </c>
      <c r="S134" s="1273">
        <f t="shared" si="74"/>
        <v>11701367166</v>
      </c>
      <c r="T134" s="1273">
        <f t="shared" si="74"/>
        <v>9537769308</v>
      </c>
      <c r="U134" s="1273">
        <f t="shared" si="74"/>
        <v>7764598124</v>
      </c>
      <c r="V134" s="1273">
        <f t="shared" si="74"/>
        <v>6349953805</v>
      </c>
      <c r="W134" s="1273">
        <f t="shared" si="74"/>
        <v>5123713925</v>
      </c>
      <c r="X134" s="1273">
        <f t="shared" si="74"/>
        <v>4178957013</v>
      </c>
      <c r="Y134" s="1273">
        <f t="shared" si="74"/>
        <v>4198434585</v>
      </c>
      <c r="Z134" s="1273">
        <f t="shared" si="74"/>
        <v>5470765937</v>
      </c>
      <c r="AA134" s="1273">
        <f t="shared" si="74"/>
        <v>13846787087</v>
      </c>
      <c r="AB134" s="34">
        <f t="shared" si="72"/>
        <v>8376021150</v>
      </c>
    </row>
    <row r="135" spans="2:29">
      <c r="B135" s="1158" t="s">
        <v>189</v>
      </c>
      <c r="C135" s="1159" t="s">
        <v>545</v>
      </c>
      <c r="D135" s="1159" t="s">
        <v>545</v>
      </c>
      <c r="E135" s="1159" t="s">
        <v>282</v>
      </c>
      <c r="F135" s="1159"/>
      <c r="G135" s="1159"/>
      <c r="H135" s="1159"/>
      <c r="I135" s="1160"/>
      <c r="J135" s="1159" t="str">
        <f t="shared" si="70"/>
        <v>lending_cashloan_cashloan_BEG_</v>
      </c>
      <c r="K135" s="1149"/>
      <c r="L135" s="1235" t="s">
        <v>532</v>
      </c>
      <c r="M135" s="1149">
        <f t="shared" si="73"/>
        <v>540644143</v>
      </c>
      <c r="N135" s="1255">
        <v>4142522851</v>
      </c>
      <c r="O135" s="1273">
        <v>4487751724</v>
      </c>
      <c r="P135" s="1273">
        <v>4922044240</v>
      </c>
      <c r="Q135" s="1273">
        <v>2029083496</v>
      </c>
      <c r="R135" s="1255">
        <v>2059310641</v>
      </c>
      <c r="S135" s="1255">
        <v>1934156926</v>
      </c>
      <c r="T135" s="1255">
        <v>1761818248</v>
      </c>
      <c r="U135" s="1255">
        <v>1480911925</v>
      </c>
      <c r="V135" s="1255">
        <v>1335794520</v>
      </c>
      <c r="W135" s="1236">
        <v>989615496</v>
      </c>
      <c r="X135" s="1255">
        <v>681924843</v>
      </c>
      <c r="Y135" s="1255">
        <v>540644143</v>
      </c>
      <c r="Z135" s="1255">
        <v>372053787</v>
      </c>
      <c r="AA135" s="1273">
        <v>311587280</v>
      </c>
      <c r="AB135" s="34">
        <f t="shared" si="72"/>
        <v>-60466507</v>
      </c>
    </row>
    <row r="136" spans="2:29">
      <c r="B136" s="1158" t="s">
        <v>189</v>
      </c>
      <c r="C136" s="1159" t="s">
        <v>545</v>
      </c>
      <c r="D136" s="1159" t="s">
        <v>545</v>
      </c>
      <c r="E136" s="1159" t="s">
        <v>282</v>
      </c>
      <c r="F136" s="1159"/>
      <c r="G136" s="1159"/>
      <c r="H136" s="1159"/>
      <c r="I136" s="1160"/>
      <c r="J136" s="1159" t="str">
        <f t="shared" si="70"/>
        <v>lending_cashloan_cashloan_BEG_</v>
      </c>
      <c r="K136" s="1149"/>
      <c r="L136" s="1148" t="s">
        <v>533</v>
      </c>
      <c r="M136" s="1149">
        <f t="shared" si="73"/>
        <v>794261487</v>
      </c>
      <c r="N136" s="1273">
        <v>6343449427</v>
      </c>
      <c r="O136" s="1273">
        <v>6734389520</v>
      </c>
      <c r="P136" s="1273">
        <v>7536796905</v>
      </c>
      <c r="Q136" s="1273">
        <v>3652325354</v>
      </c>
      <c r="R136" s="1273">
        <v>3646203106</v>
      </c>
      <c r="S136" s="1273">
        <v>3331493978</v>
      </c>
      <c r="T136" s="1273">
        <v>2979871310</v>
      </c>
      <c r="U136" s="1273">
        <v>2295411407</v>
      </c>
      <c r="V136" s="1293">
        <v>2010157219</v>
      </c>
      <c r="W136" s="1273">
        <v>1487221818</v>
      </c>
      <c r="X136" s="1273">
        <v>1014097071</v>
      </c>
      <c r="Y136" s="1273">
        <v>794261487</v>
      </c>
      <c r="Z136" s="1273">
        <v>493471289</v>
      </c>
      <c r="AA136" s="1273">
        <v>368705411</v>
      </c>
      <c r="AB136" s="34">
        <f t="shared" si="72"/>
        <v>-124765878</v>
      </c>
    </row>
    <row r="137" spans="2:29">
      <c r="B137" s="1158" t="s">
        <v>189</v>
      </c>
      <c r="C137" s="1159" t="s">
        <v>545</v>
      </c>
      <c r="D137" s="1159" t="s">
        <v>545</v>
      </c>
      <c r="E137" s="1159" t="s">
        <v>282</v>
      </c>
      <c r="F137" s="1159"/>
      <c r="G137" s="1159"/>
      <c r="H137" s="1159"/>
      <c r="I137" s="1162" t="s">
        <v>247</v>
      </c>
      <c r="J137" s="1159" t="str">
        <f t="shared" si="70"/>
        <v>lending_cashloan_cashloan_BEG_overdue_balance_10d</v>
      </c>
      <c r="K137" s="1149"/>
      <c r="L137" s="1169" t="s">
        <v>534</v>
      </c>
      <c r="M137" s="1149">
        <f t="shared" si="73"/>
        <v>1462757346</v>
      </c>
      <c r="N137" s="1255">
        <v>10427435543</v>
      </c>
      <c r="O137" s="1273">
        <v>10915463134</v>
      </c>
      <c r="P137" s="1273">
        <v>10994803898</v>
      </c>
      <c r="Q137" s="1273">
        <v>6683564956</v>
      </c>
      <c r="R137" s="1273">
        <v>6142996986</v>
      </c>
      <c r="S137" s="1273">
        <v>5300434046</v>
      </c>
      <c r="T137" s="1258">
        <v>4496618039</v>
      </c>
      <c r="U137" s="1258">
        <v>3709783461</v>
      </c>
      <c r="V137" s="1258">
        <v>3289683692</v>
      </c>
      <c r="W137" s="1236">
        <v>2536339708</v>
      </c>
      <c r="X137" s="1255">
        <v>1869303856</v>
      </c>
      <c r="Y137" s="1255">
        <v>1462757346</v>
      </c>
      <c r="Z137" s="1255">
        <v>1022754258</v>
      </c>
      <c r="AA137" s="1273">
        <v>1060649118</v>
      </c>
      <c r="AB137" s="34">
        <f t="shared" si="72"/>
        <v>37894860</v>
      </c>
    </row>
    <row r="138" spans="2:29">
      <c r="B138" s="1158" t="s">
        <v>189</v>
      </c>
      <c r="C138" s="1159" t="s">
        <v>545</v>
      </c>
      <c r="D138" s="1159" t="s">
        <v>545</v>
      </c>
      <c r="E138" s="1159" t="s">
        <v>282</v>
      </c>
      <c r="F138" s="1159"/>
      <c r="G138" s="1159"/>
      <c r="H138" s="1159"/>
      <c r="I138" s="1162" t="s">
        <v>248</v>
      </c>
      <c r="J138" s="1159" t="str">
        <f t="shared" si="70"/>
        <v>lending_cashloan_cashloan_BEG_overdue_balance_90d</v>
      </c>
      <c r="K138" s="1149"/>
      <c r="L138" s="1169" t="s">
        <v>535</v>
      </c>
      <c r="M138" s="1149">
        <f t="shared" si="73"/>
        <v>957953139</v>
      </c>
      <c r="N138" s="1169">
        <v>6739330637</v>
      </c>
      <c r="O138" s="1169">
        <v>7381641358</v>
      </c>
      <c r="P138" s="1169">
        <v>7995283625</v>
      </c>
      <c r="Q138" s="1247">
        <v>4103734691</v>
      </c>
      <c r="R138" s="1169">
        <v>4240018211</v>
      </c>
      <c r="S138" s="1273">
        <v>3723972470</v>
      </c>
      <c r="T138" s="1169">
        <v>3364787226</v>
      </c>
      <c r="U138" s="1149">
        <v>2753535266</v>
      </c>
      <c r="V138" s="1149">
        <v>2342324389</v>
      </c>
      <c r="W138" s="1149">
        <v>1734585616</v>
      </c>
      <c r="X138" s="1169">
        <v>1246170296</v>
      </c>
      <c r="Y138" s="1169">
        <v>957953139</v>
      </c>
      <c r="Z138" s="1169">
        <v>618215134</v>
      </c>
      <c r="AA138" s="1169">
        <v>505265018</v>
      </c>
      <c r="AB138" s="34">
        <f t="shared" si="72"/>
        <v>-112950116</v>
      </c>
    </row>
    <row r="139" spans="2:29">
      <c r="B139" s="1158" t="s">
        <v>189</v>
      </c>
      <c r="C139" s="1159" t="s">
        <v>545</v>
      </c>
      <c r="D139" s="1159" t="s">
        <v>545</v>
      </c>
      <c r="E139" s="1159" t="s">
        <v>282</v>
      </c>
      <c r="F139" s="1159"/>
      <c r="G139" s="1159"/>
      <c r="H139" s="1159"/>
      <c r="I139" s="1160"/>
      <c r="J139" s="1159" t="str">
        <f t="shared" si="70"/>
        <v>lending_cashloan_cashloan_BEG_</v>
      </c>
      <c r="K139" s="1149"/>
      <c r="L139" s="1169" t="s">
        <v>536</v>
      </c>
      <c r="M139" s="1149">
        <f t="shared" si="73"/>
        <v>504804207</v>
      </c>
      <c r="N139" s="1273">
        <f t="shared" ref="N139:AA139" si="75">N137-N138</f>
        <v>3688104906</v>
      </c>
      <c r="O139" s="1273">
        <f t="shared" si="75"/>
        <v>3533821776</v>
      </c>
      <c r="P139" s="1273">
        <f t="shared" si="75"/>
        <v>2999520273</v>
      </c>
      <c r="Q139" s="1273">
        <f t="shared" si="75"/>
        <v>2579830265</v>
      </c>
      <c r="R139" s="1273">
        <f t="shared" si="75"/>
        <v>1902978775</v>
      </c>
      <c r="S139" s="1273">
        <f t="shared" si="75"/>
        <v>1576461576</v>
      </c>
      <c r="T139" s="1273">
        <f t="shared" si="75"/>
        <v>1131830813</v>
      </c>
      <c r="U139" s="1273">
        <f t="shared" si="75"/>
        <v>956248195</v>
      </c>
      <c r="V139" s="1273">
        <f t="shared" si="75"/>
        <v>947359303</v>
      </c>
      <c r="W139" s="1273">
        <f t="shared" si="75"/>
        <v>801754092</v>
      </c>
      <c r="X139" s="1273">
        <f t="shared" si="75"/>
        <v>623133560</v>
      </c>
      <c r="Y139" s="1273">
        <f t="shared" si="75"/>
        <v>504804207</v>
      </c>
      <c r="Z139" s="1273">
        <f t="shared" si="75"/>
        <v>404539124</v>
      </c>
      <c r="AA139" s="1273">
        <f t="shared" si="75"/>
        <v>555384100</v>
      </c>
      <c r="AB139" s="34">
        <f t="shared" si="72"/>
        <v>150844976</v>
      </c>
    </row>
    <row r="140" spans="2:29">
      <c r="B140" s="1158" t="s">
        <v>189</v>
      </c>
      <c r="C140" s="1159" t="s">
        <v>545</v>
      </c>
      <c r="D140" s="1159" t="s">
        <v>545</v>
      </c>
      <c r="E140" s="1159" t="s">
        <v>282</v>
      </c>
      <c r="F140" s="1159"/>
      <c r="G140" s="1159"/>
      <c r="H140" s="1159"/>
      <c r="I140" s="1160"/>
      <c r="J140" s="1159" t="str">
        <f t="shared" si="70"/>
        <v>lending_cashloan_cashloan_BEG_</v>
      </c>
      <c r="K140" s="1149"/>
      <c r="L140" s="1169" t="s">
        <v>537</v>
      </c>
      <c r="M140" s="1149"/>
      <c r="N140" s="1269">
        <f t="shared" ref="N140:AA140" si="76">N136/N133</f>
        <v>0.21100309175943374</v>
      </c>
      <c r="O140" s="1269">
        <f t="shared" si="76"/>
        <v>0.24520030773968149</v>
      </c>
      <c r="P140" s="1269">
        <f t="shared" si="76"/>
        <v>0.29440459450611345</v>
      </c>
      <c r="Q140" s="1269">
        <f t="shared" si="76"/>
        <v>0.19544066143909997</v>
      </c>
      <c r="R140" s="1269">
        <f t="shared" si="76"/>
        <v>0.2271983547067617</v>
      </c>
      <c r="S140" s="1269">
        <f t="shared" si="76"/>
        <v>0.24432460061836545</v>
      </c>
      <c r="T140" s="1269">
        <f t="shared" si="76"/>
        <v>0.2637150511230571</v>
      </c>
      <c r="U140" s="1269">
        <f t="shared" si="76"/>
        <v>0.24827309632833866</v>
      </c>
      <c r="V140" s="1269">
        <f t="shared" si="76"/>
        <v>0.26154346122178024</v>
      </c>
      <c r="W140" s="1269">
        <f t="shared" si="76"/>
        <v>0.24327526223128423</v>
      </c>
      <c r="X140" s="1269">
        <f t="shared" si="76"/>
        <v>0.20862409353731884</v>
      </c>
      <c r="Y140" s="1269">
        <f t="shared" si="76"/>
        <v>0.16759828915844929</v>
      </c>
      <c r="Z140" s="1269">
        <f t="shared" si="76"/>
        <v>8.4457729711052781E-2</v>
      </c>
      <c r="AA140" s="1269">
        <f t="shared" si="76"/>
        <v>2.6041507410580252E-2</v>
      </c>
      <c r="AB140" s="34">
        <f t="shared" si="72"/>
        <v>-5.8416222300472526E-2</v>
      </c>
    </row>
    <row r="141" spans="2:29">
      <c r="B141" s="1158" t="s">
        <v>189</v>
      </c>
      <c r="C141" s="1159" t="s">
        <v>545</v>
      </c>
      <c r="D141" s="1159" t="s">
        <v>545</v>
      </c>
      <c r="E141" s="1159" t="s">
        <v>282</v>
      </c>
      <c r="F141" s="1159"/>
      <c r="G141" s="1159"/>
      <c r="H141" s="1159"/>
      <c r="I141" s="1162" t="s">
        <v>213</v>
      </c>
      <c r="J141" s="1159" t="str">
        <f t="shared" si="70"/>
        <v>lending_cashloan_cashloan_BEG_npl</v>
      </c>
      <c r="K141" s="1149"/>
      <c r="L141" s="1169" t="s">
        <v>538</v>
      </c>
      <c r="M141" s="1149"/>
      <c r="N141" s="1269">
        <f t="shared" ref="N141:AA141" si="77">N138/N133</f>
        <v>0.22417134670349032</v>
      </c>
      <c r="O141" s="1269">
        <f t="shared" si="77"/>
        <v>0.26876686108372899</v>
      </c>
      <c r="P141" s="1269">
        <f t="shared" si="77"/>
        <v>0.31231413865191499</v>
      </c>
      <c r="Q141" s="1269">
        <f t="shared" si="77"/>
        <v>0.21959615988242556</v>
      </c>
      <c r="R141" s="1269">
        <f t="shared" si="77"/>
        <v>0.26419953399762891</v>
      </c>
      <c r="S141" s="1269">
        <f t="shared" si="77"/>
        <v>0.2731081288019479</v>
      </c>
      <c r="T141" s="1269">
        <f t="shared" si="77"/>
        <v>0.29777964986105376</v>
      </c>
      <c r="U141" s="1269">
        <f t="shared" si="77"/>
        <v>0.29782405204327522</v>
      </c>
      <c r="V141" s="1269">
        <f t="shared" si="77"/>
        <v>0.30476204657664224</v>
      </c>
      <c r="W141" s="1269">
        <f t="shared" si="77"/>
        <v>0.28373828670862983</v>
      </c>
      <c r="X141" s="1269">
        <f t="shared" si="77"/>
        <v>0.25636712286306595</v>
      </c>
      <c r="Y141" s="1269">
        <f t="shared" si="77"/>
        <v>0.20213910634995469</v>
      </c>
      <c r="Z141" s="1269">
        <f t="shared" si="77"/>
        <v>0.10580766876318569</v>
      </c>
      <c r="AA141" s="1269">
        <f t="shared" si="77"/>
        <v>3.5686654760143904E-2</v>
      </c>
      <c r="AB141" s="34">
        <f t="shared" si="72"/>
        <v>-7.0121014003041784E-2</v>
      </c>
    </row>
    <row r="142" spans="2:29">
      <c r="B142" s="1158" t="s">
        <v>189</v>
      </c>
      <c r="C142" s="1159" t="s">
        <v>545</v>
      </c>
      <c r="D142" s="1159" t="s">
        <v>545</v>
      </c>
      <c r="E142" s="1159" t="s">
        <v>282</v>
      </c>
      <c r="F142" s="1159" t="str">
        <f>E142&amp;"CL"</f>
        <v>BEGCL</v>
      </c>
      <c r="G142" s="1159" t="str">
        <f>L142&amp;F142</f>
        <v>TOIBEGCL</v>
      </c>
      <c r="H142" s="1408" t="str">
        <f>L142&amp;E142</f>
        <v>TOIBEG</v>
      </c>
      <c r="I142" s="1162" t="s">
        <v>217</v>
      </c>
      <c r="J142" s="1159" t="str">
        <f t="shared" si="70"/>
        <v>lending_cashloan_cashloan_BEG_TOI</v>
      </c>
      <c r="K142" s="1149"/>
      <c r="L142" s="1238" t="s">
        <v>217</v>
      </c>
      <c r="M142" s="1150">
        <f t="shared" ref="M142:AA142" si="78">M143+M148+M152</f>
        <v>3966603001.9565001</v>
      </c>
      <c r="N142" s="1150">
        <f t="shared" si="78"/>
        <v>720369660</v>
      </c>
      <c r="O142" s="1150">
        <f t="shared" si="78"/>
        <v>640693543</v>
      </c>
      <c r="P142" s="1150">
        <f t="shared" si="78"/>
        <v>532133403</v>
      </c>
      <c r="Q142" s="1150">
        <f t="shared" si="78"/>
        <v>396526879</v>
      </c>
      <c r="R142" s="1150">
        <f t="shared" si="78"/>
        <v>413496847.95650005</v>
      </c>
      <c r="S142" s="1150">
        <f t="shared" si="78"/>
        <v>345054745</v>
      </c>
      <c r="T142" s="1150">
        <f t="shared" si="78"/>
        <v>331871291</v>
      </c>
      <c r="U142" s="1150">
        <f t="shared" si="78"/>
        <v>222414084</v>
      </c>
      <c r="V142" s="1150">
        <f t="shared" si="78"/>
        <v>195920381</v>
      </c>
      <c r="W142" s="1150">
        <f t="shared" si="78"/>
        <v>169853119</v>
      </c>
      <c r="X142" s="1150">
        <f t="shared" si="78"/>
        <v>206025651</v>
      </c>
      <c r="Y142" s="1150">
        <f t="shared" si="78"/>
        <v>203952861</v>
      </c>
      <c r="Z142" s="1150">
        <f t="shared" si="78"/>
        <v>248955355</v>
      </c>
      <c r="AA142" s="1150">
        <f t="shared" si="78"/>
        <v>700398385</v>
      </c>
      <c r="AB142" s="34">
        <f t="shared" si="72"/>
        <v>451443030</v>
      </c>
      <c r="AC142" s="34">
        <f>SUM(P142:AA142)</f>
        <v>3966603001.9565001</v>
      </c>
    </row>
    <row r="143" spans="2:29">
      <c r="B143" s="1158" t="s">
        <v>189</v>
      </c>
      <c r="C143" s="1159" t="s">
        <v>545</v>
      </c>
      <c r="D143" s="1159" t="s">
        <v>545</v>
      </c>
      <c r="E143" s="1159" t="s">
        <v>282</v>
      </c>
      <c r="F143" s="1159"/>
      <c r="G143" s="1159"/>
      <c r="H143" s="1159"/>
      <c r="I143" s="1162" t="s">
        <v>254</v>
      </c>
      <c r="J143" s="1159" t="str">
        <f t="shared" si="70"/>
        <v>lending_cashloan_cashloan_BEG_NII</v>
      </c>
      <c r="K143" s="1149"/>
      <c r="L143" s="1239" t="s">
        <v>218</v>
      </c>
      <c r="M143" s="1150">
        <f t="shared" ref="M143:AA143" si="79">M144-M147</f>
        <v>2972989673.9565001</v>
      </c>
      <c r="N143" s="1150">
        <f t="shared" si="79"/>
        <v>671050568</v>
      </c>
      <c r="O143" s="1150">
        <f t="shared" si="79"/>
        <v>614244644</v>
      </c>
      <c r="P143" s="1150">
        <f t="shared" si="79"/>
        <v>511960164</v>
      </c>
      <c r="Q143" s="1150">
        <f t="shared" si="79"/>
        <v>384540415</v>
      </c>
      <c r="R143" s="1150">
        <f t="shared" si="79"/>
        <v>379350446.95650005</v>
      </c>
      <c r="S143" s="1150">
        <f t="shared" si="79"/>
        <v>315507567</v>
      </c>
      <c r="T143" s="1150">
        <f t="shared" si="79"/>
        <v>266194143</v>
      </c>
      <c r="U143" s="1150">
        <f t="shared" si="79"/>
        <v>205077780</v>
      </c>
      <c r="V143" s="1150">
        <f t="shared" si="79"/>
        <v>164723971</v>
      </c>
      <c r="W143" s="1150">
        <f t="shared" si="79"/>
        <v>140054240</v>
      </c>
      <c r="X143" s="1150">
        <f t="shared" si="79"/>
        <v>118964532</v>
      </c>
      <c r="Y143" s="1150">
        <f t="shared" si="79"/>
        <v>100699853</v>
      </c>
      <c r="Z143" s="1150">
        <f t="shared" si="79"/>
        <v>129364423</v>
      </c>
      <c r="AA143" s="1150">
        <f t="shared" si="79"/>
        <v>256552139</v>
      </c>
      <c r="AB143" s="34">
        <f t="shared" si="72"/>
        <v>127187716</v>
      </c>
    </row>
    <row r="144" spans="2:29">
      <c r="B144" s="1158" t="s">
        <v>189</v>
      </c>
      <c r="C144" s="1159" t="s">
        <v>545</v>
      </c>
      <c r="D144" s="1159" t="s">
        <v>545</v>
      </c>
      <c r="E144" s="1159" t="s">
        <v>282</v>
      </c>
      <c r="F144" s="1159"/>
      <c r="G144" s="1159"/>
      <c r="H144" s="1159"/>
      <c r="I144" s="1162" t="s">
        <v>255</v>
      </c>
      <c r="J144" s="1159" t="str">
        <f t="shared" si="70"/>
        <v>lending_cashloan_cashloan_BEG_CII</v>
      </c>
      <c r="K144" s="1149"/>
      <c r="L144" s="1240" t="s">
        <v>20</v>
      </c>
      <c r="M144" s="1149">
        <f>SUM(P144:AA144)</f>
        <v>3838306176</v>
      </c>
      <c r="N144" s="1149">
        <f>N145+214295660-N146</f>
        <v>845932325</v>
      </c>
      <c r="O144" s="1149">
        <f t="shared" ref="O144:Z144" si="80">O145+N146-O146</f>
        <v>784050465</v>
      </c>
      <c r="P144" s="1149">
        <f t="shared" si="80"/>
        <v>668557883</v>
      </c>
      <c r="Q144" s="1149">
        <f t="shared" si="80"/>
        <v>511179335</v>
      </c>
      <c r="R144" s="1149">
        <f t="shared" si="80"/>
        <v>484536870</v>
      </c>
      <c r="S144" s="1149">
        <f t="shared" si="80"/>
        <v>404333517</v>
      </c>
      <c r="T144" s="1149">
        <f t="shared" si="80"/>
        <v>344648732</v>
      </c>
      <c r="U144" s="1149">
        <f t="shared" si="80"/>
        <v>268304196</v>
      </c>
      <c r="V144" s="1149">
        <f t="shared" si="80"/>
        <v>218542080</v>
      </c>
      <c r="W144" s="1149">
        <f t="shared" si="80"/>
        <v>185298248</v>
      </c>
      <c r="X144" s="1149">
        <f t="shared" si="80"/>
        <v>154072586</v>
      </c>
      <c r="Y144" s="1149">
        <f t="shared" si="80"/>
        <v>130023607</v>
      </c>
      <c r="Z144" s="1149">
        <f t="shared" si="80"/>
        <v>160520113</v>
      </c>
      <c r="AA144" s="1149">
        <f>AA145+Z146-AA146</f>
        <v>308289009</v>
      </c>
      <c r="AB144" s="34">
        <f t="shared" si="72"/>
        <v>147768896</v>
      </c>
    </row>
    <row r="145" spans="2:30">
      <c r="B145" s="1158" t="s">
        <v>189</v>
      </c>
      <c r="C145" s="1159" t="s">
        <v>545</v>
      </c>
      <c r="D145" s="1159" t="s">
        <v>545</v>
      </c>
      <c r="E145" s="1159" t="s">
        <v>282</v>
      </c>
      <c r="F145" s="1159"/>
      <c r="G145" s="1159"/>
      <c r="H145" s="1159"/>
      <c r="I145" s="1162"/>
      <c r="J145" s="1159" t="str">
        <f t="shared" si="70"/>
        <v>lending_cashloan_cashloan_BEG_</v>
      </c>
      <c r="K145" s="1149"/>
      <c r="L145" s="1274" t="s">
        <v>539</v>
      </c>
      <c r="M145" s="1151">
        <f>SUM(P145:AA145)</f>
        <v>3641697422</v>
      </c>
      <c r="N145" s="1151">
        <v>846964089</v>
      </c>
      <c r="O145" s="1151">
        <v>785922018</v>
      </c>
      <c r="P145" s="1151">
        <v>663487418</v>
      </c>
      <c r="Q145" s="1151">
        <v>446619200</v>
      </c>
      <c r="R145" s="1151">
        <v>468983349</v>
      </c>
      <c r="S145" s="1151">
        <v>390052745</v>
      </c>
      <c r="T145" s="1151">
        <v>323292461</v>
      </c>
      <c r="U145" s="1151">
        <v>249876312</v>
      </c>
      <c r="V145" s="1151">
        <v>208673555</v>
      </c>
      <c r="W145" s="1151">
        <v>170907800</v>
      </c>
      <c r="X145" s="1151">
        <v>140807807</v>
      </c>
      <c r="Y145" s="1151">
        <v>120569597</v>
      </c>
      <c r="Z145" s="1149">
        <v>151227176</v>
      </c>
      <c r="AA145" s="1151">
        <v>307200002</v>
      </c>
      <c r="AB145" s="34">
        <f t="shared" si="72"/>
        <v>155972826</v>
      </c>
    </row>
    <row r="146" spans="2:30">
      <c r="B146" s="1158" t="s">
        <v>189</v>
      </c>
      <c r="C146" s="1159" t="s">
        <v>545</v>
      </c>
      <c r="D146" s="1159" t="s">
        <v>545</v>
      </c>
      <c r="E146" s="1159" t="s">
        <v>282</v>
      </c>
      <c r="F146" s="1159"/>
      <c r="G146" s="1159"/>
      <c r="H146" s="1159"/>
      <c r="I146" s="1160"/>
      <c r="J146" s="1159" t="str">
        <f t="shared" si="70"/>
        <v>lending_cashloan_cashloan_BEG_</v>
      </c>
      <c r="K146" s="1149"/>
      <c r="L146" s="1274" t="s">
        <v>187</v>
      </c>
      <c r="M146" s="1151">
        <f>SUM(P146:AA146)</f>
        <v>1019213728</v>
      </c>
      <c r="N146" s="1151">
        <v>215327424</v>
      </c>
      <c r="O146" s="1151">
        <f>205192449+ 12006528</f>
        <v>217198977</v>
      </c>
      <c r="P146" s="1151">
        <v>212128512</v>
      </c>
      <c r="Q146" s="1151">
        <v>147568377</v>
      </c>
      <c r="R146" s="1151">
        <v>132014856</v>
      </c>
      <c r="S146" s="1151">
        <v>117734084</v>
      </c>
      <c r="T146" s="1151">
        <v>96377813</v>
      </c>
      <c r="U146" s="1151">
        <v>77949929</v>
      </c>
      <c r="V146" s="1151">
        <v>68081404</v>
      </c>
      <c r="W146" s="1151">
        <v>53690956</v>
      </c>
      <c r="X146" s="1151">
        <v>40426177</v>
      </c>
      <c r="Y146" s="1149">
        <v>30972167</v>
      </c>
      <c r="Z146" s="1149">
        <v>21679230</v>
      </c>
      <c r="AA146" s="1151">
        <v>20590223</v>
      </c>
      <c r="AB146" s="34">
        <f t="shared" si="72"/>
        <v>-1089007</v>
      </c>
      <c r="AC146" s="34"/>
      <c r="AD146" s="34"/>
    </row>
    <row r="147" spans="2:30">
      <c r="B147" s="1158" t="s">
        <v>189</v>
      </c>
      <c r="C147" s="1159" t="s">
        <v>545</v>
      </c>
      <c r="D147" s="1159" t="s">
        <v>545</v>
      </c>
      <c r="E147" s="1159" t="s">
        <v>282</v>
      </c>
      <c r="F147" s="1159"/>
      <c r="G147" s="1159"/>
      <c r="H147" s="1159"/>
      <c r="I147" s="1162" t="s">
        <v>219</v>
      </c>
      <c r="J147" s="1159" t="str">
        <f t="shared" si="70"/>
        <v>lending_cashloan_cashloan_BEG_COF</v>
      </c>
      <c r="K147" s="1149"/>
      <c r="L147" s="1240" t="s">
        <v>219</v>
      </c>
      <c r="M147" s="1149">
        <f>SUM(P147:AA147)</f>
        <v>865316502.04349995</v>
      </c>
      <c r="N147" s="1254">
        <v>174881757</v>
      </c>
      <c r="O147" s="1247">
        <v>169805821</v>
      </c>
      <c r="P147" s="1169">
        <v>156597719</v>
      </c>
      <c r="Q147" s="1169">
        <v>126638920</v>
      </c>
      <c r="R147" s="1169">
        <v>105186423.04349995</v>
      </c>
      <c r="S147" s="1169">
        <v>88825950</v>
      </c>
      <c r="T147" s="1169">
        <v>78454589</v>
      </c>
      <c r="U147" s="1169">
        <v>63226416</v>
      </c>
      <c r="V147" s="1290">
        <v>53818109</v>
      </c>
      <c r="W147" s="1290">
        <v>45244008</v>
      </c>
      <c r="X147" s="1290">
        <v>35108054</v>
      </c>
      <c r="Y147" s="1290">
        <v>29323754</v>
      </c>
      <c r="Z147" s="1149">
        <v>31155690</v>
      </c>
      <c r="AA147" s="1149">
        <v>51736870</v>
      </c>
      <c r="AB147" s="34">
        <f t="shared" si="72"/>
        <v>20581180</v>
      </c>
    </row>
    <row r="148" spans="2:30">
      <c r="B148" s="1158" t="s">
        <v>189</v>
      </c>
      <c r="C148" s="1159" t="s">
        <v>545</v>
      </c>
      <c r="D148" s="1159" t="s">
        <v>545</v>
      </c>
      <c r="E148" s="1159" t="s">
        <v>282</v>
      </c>
      <c r="F148" s="1159"/>
      <c r="G148" s="1159"/>
      <c r="H148" s="1159"/>
      <c r="I148" s="1162" t="s">
        <v>260</v>
      </c>
      <c r="J148" s="1159" t="str">
        <f t="shared" si="70"/>
        <v>lending_cashloan_cashloan_BEG_NFI</v>
      </c>
      <c r="K148" s="1149"/>
      <c r="L148" s="1239" t="s">
        <v>220</v>
      </c>
      <c r="M148" s="1150">
        <f t="shared" ref="M148:AA148" si="81">SUM(M149:M151)</f>
        <v>559937419</v>
      </c>
      <c r="N148" s="1150">
        <f t="shared" si="81"/>
        <v>49319092</v>
      </c>
      <c r="O148" s="1150">
        <f t="shared" si="81"/>
        <v>26448899</v>
      </c>
      <c r="P148" s="1150">
        <f t="shared" si="81"/>
        <v>20173239</v>
      </c>
      <c r="Q148" s="1150">
        <f t="shared" si="81"/>
        <v>11986464</v>
      </c>
      <c r="R148" s="1150">
        <f t="shared" si="81"/>
        <v>15665615</v>
      </c>
      <c r="S148" s="1150">
        <f t="shared" si="81"/>
        <v>10094658</v>
      </c>
      <c r="T148" s="1150">
        <f t="shared" si="81"/>
        <v>6352132</v>
      </c>
      <c r="U148" s="1150">
        <f t="shared" si="81"/>
        <v>6877143</v>
      </c>
      <c r="V148" s="1150">
        <f t="shared" si="81"/>
        <v>9719393</v>
      </c>
      <c r="W148" s="1150">
        <f t="shared" si="81"/>
        <v>6731509</v>
      </c>
      <c r="X148" s="1150">
        <f t="shared" si="81"/>
        <v>5383623</v>
      </c>
      <c r="Y148" s="1150">
        <f t="shared" si="81"/>
        <v>32029006</v>
      </c>
      <c r="Z148" s="1150">
        <f t="shared" si="81"/>
        <v>79567602</v>
      </c>
      <c r="AA148" s="1150">
        <f t="shared" si="81"/>
        <v>355357035</v>
      </c>
      <c r="AB148" s="34">
        <f t="shared" si="72"/>
        <v>275789433</v>
      </c>
    </row>
    <row r="149" spans="2:30">
      <c r="B149" s="1158" t="s">
        <v>189</v>
      </c>
      <c r="C149" s="1159" t="s">
        <v>545</v>
      </c>
      <c r="D149" s="1159" t="s">
        <v>545</v>
      </c>
      <c r="E149" s="1159" t="s">
        <v>282</v>
      </c>
      <c r="F149" s="1159"/>
      <c r="G149" s="1159"/>
      <c r="H149" s="1159"/>
      <c r="I149" s="1162" t="s">
        <v>546</v>
      </c>
      <c r="J149" s="1159" t="str">
        <f t="shared" si="70"/>
        <v>lending_cashloan_cashloan_BEG_insurance_fee</v>
      </c>
      <c r="K149" s="1149"/>
      <c r="L149" s="1240" t="s">
        <v>540</v>
      </c>
      <c r="M149" s="1151">
        <f>SUM(P149:AA149)</f>
        <v>444012662</v>
      </c>
      <c r="N149" s="1151">
        <v>31295168</v>
      </c>
      <c r="O149" s="1261">
        <v>14598704</v>
      </c>
      <c r="P149" s="1261">
        <v>9546953</v>
      </c>
      <c r="Q149" s="1248">
        <v>1284343</v>
      </c>
      <c r="R149" s="1243">
        <v>4409579</v>
      </c>
      <c r="S149" s="1243">
        <v>856229</v>
      </c>
      <c r="T149" s="1243"/>
      <c r="U149" s="1243">
        <v>1412778</v>
      </c>
      <c r="V149" s="1243">
        <v>3131884</v>
      </c>
      <c r="W149" s="1302">
        <v>752506</v>
      </c>
      <c r="X149" s="1302">
        <v>1671219</v>
      </c>
      <c r="Y149" s="1151">
        <v>26356582</v>
      </c>
      <c r="Z149" s="1151">
        <v>70919545</v>
      </c>
      <c r="AA149" s="1261">
        <v>323671044</v>
      </c>
      <c r="AB149" s="34">
        <f t="shared" si="72"/>
        <v>252751499</v>
      </c>
    </row>
    <row r="150" spans="2:30">
      <c r="B150" s="1158" t="s">
        <v>189</v>
      </c>
      <c r="C150" s="1159" t="s">
        <v>545</v>
      </c>
      <c r="D150" s="1159" t="s">
        <v>545</v>
      </c>
      <c r="E150" s="1159" t="s">
        <v>282</v>
      </c>
      <c r="F150" s="1159"/>
      <c r="G150" s="1159"/>
      <c r="H150" s="1159"/>
      <c r="I150" s="1162" t="s">
        <v>547</v>
      </c>
      <c r="J150" s="1159" t="str">
        <f t="shared" si="70"/>
        <v>lending_cashloan_cashloan_BEG_early_terminate_fee</v>
      </c>
      <c r="K150" s="1149"/>
      <c r="L150" s="1240" t="s">
        <v>541</v>
      </c>
      <c r="M150" s="1151">
        <f>SUM(P150:AA150)</f>
        <v>115924757</v>
      </c>
      <c r="N150" s="1151">
        <v>18023924</v>
      </c>
      <c r="O150" s="1151">
        <v>11850195</v>
      </c>
      <c r="P150" s="1151">
        <v>10626286</v>
      </c>
      <c r="Q150" s="1243">
        <v>10702121</v>
      </c>
      <c r="R150" s="1243">
        <v>11256036</v>
      </c>
      <c r="S150" s="1243">
        <v>9238429</v>
      </c>
      <c r="T150" s="1243">
        <v>6352132</v>
      </c>
      <c r="U150" s="1243">
        <v>5464365</v>
      </c>
      <c r="V150" s="1243">
        <v>6587509</v>
      </c>
      <c r="W150" s="1243">
        <v>5979003</v>
      </c>
      <c r="X150" s="1243">
        <v>3712404</v>
      </c>
      <c r="Y150" s="1243">
        <v>5672424</v>
      </c>
      <c r="Z150" s="1151">
        <v>8648057</v>
      </c>
      <c r="AA150" s="1151">
        <v>31685991</v>
      </c>
      <c r="AB150" s="34">
        <f t="shared" si="72"/>
        <v>23037934</v>
      </c>
    </row>
    <row r="151" spans="2:30">
      <c r="B151" s="1158" t="s">
        <v>189</v>
      </c>
      <c r="C151" s="1159" t="s">
        <v>545</v>
      </c>
      <c r="D151" s="1159" t="s">
        <v>545</v>
      </c>
      <c r="E151" s="1159" t="s">
        <v>282</v>
      </c>
      <c r="F151" s="1159"/>
      <c r="G151" s="1159"/>
      <c r="H151" s="1159"/>
      <c r="I151" s="1162" t="s">
        <v>548</v>
      </c>
      <c r="J151" s="1159" t="str">
        <f t="shared" si="70"/>
        <v>lending_cashloan_cashloan_BEG_loan_grant_fee</v>
      </c>
      <c r="K151" s="1149"/>
      <c r="L151" s="1240" t="s">
        <v>542</v>
      </c>
      <c r="M151" s="1151">
        <f>SUM(P151:AA151)</f>
        <v>0</v>
      </c>
      <c r="N151" s="1151"/>
      <c r="O151" s="1151"/>
      <c r="P151" s="1243"/>
      <c r="Q151" s="1243"/>
      <c r="R151" s="1243"/>
      <c r="S151" s="1243"/>
      <c r="T151" s="1243"/>
      <c r="U151" s="1151"/>
      <c r="V151" s="1261"/>
      <c r="W151" s="1151"/>
      <c r="X151" s="1151"/>
      <c r="Y151" s="1151"/>
      <c r="Z151" s="1151"/>
      <c r="AA151" s="1151"/>
      <c r="AB151" s="34">
        <f t="shared" si="72"/>
        <v>0</v>
      </c>
    </row>
    <row r="152" spans="2:30" s="4" customFormat="1">
      <c r="B152" s="1158" t="s">
        <v>189</v>
      </c>
      <c r="C152" s="1159" t="s">
        <v>545</v>
      </c>
      <c r="D152" s="1159" t="s">
        <v>545</v>
      </c>
      <c r="E152" s="1159" t="s">
        <v>282</v>
      </c>
      <c r="F152" s="1159"/>
      <c r="G152" s="1159"/>
      <c r="H152" s="1159"/>
      <c r="I152" s="1162" t="s">
        <v>269</v>
      </c>
      <c r="J152" s="1159" t="str">
        <f t="shared" si="70"/>
        <v>lending_cashloan_cashloan_BEG_other_TOI</v>
      </c>
      <c r="K152" s="1149"/>
      <c r="L152" s="1239" t="s">
        <v>89</v>
      </c>
      <c r="M152" s="1152">
        <f>SUM(P152:AA152)</f>
        <v>433675909</v>
      </c>
      <c r="N152" s="1152"/>
      <c r="O152" s="1152"/>
      <c r="P152" s="1244"/>
      <c r="Q152" s="1244"/>
      <c r="R152" s="1244">
        <v>18480786</v>
      </c>
      <c r="S152" s="1244">
        <v>19452520</v>
      </c>
      <c r="T152" s="1244">
        <v>59325016</v>
      </c>
      <c r="U152" s="1244">
        <v>10459161</v>
      </c>
      <c r="V152" s="1244">
        <v>21477017</v>
      </c>
      <c r="W152" s="1152">
        <v>23067370</v>
      </c>
      <c r="X152" s="1154">
        <v>81677496</v>
      </c>
      <c r="Y152" s="1152">
        <v>71224002</v>
      </c>
      <c r="Z152" s="1152">
        <v>40023330</v>
      </c>
      <c r="AA152" s="1152">
        <v>88489211</v>
      </c>
      <c r="AB152" s="34">
        <f t="shared" si="72"/>
        <v>48465881</v>
      </c>
    </row>
    <row r="153" spans="2:30">
      <c r="B153" s="1158" t="s">
        <v>189</v>
      </c>
      <c r="C153" s="1159" t="s">
        <v>545</v>
      </c>
      <c r="D153" s="1159" t="s">
        <v>545</v>
      </c>
      <c r="E153" s="1159" t="s">
        <v>282</v>
      </c>
      <c r="F153" s="1159"/>
      <c r="G153" s="1159"/>
      <c r="H153" s="1159"/>
      <c r="I153" s="1162" t="s">
        <v>270</v>
      </c>
      <c r="J153" s="1159" t="str">
        <f t="shared" si="70"/>
        <v>lending_cashloan_cashloan_BEG_provision</v>
      </c>
      <c r="K153" s="1149"/>
      <c r="L153" s="1245" t="s">
        <v>136</v>
      </c>
      <c r="M153" s="1150">
        <f>SUM(P153:AA153)</f>
        <v>8621720588</v>
      </c>
      <c r="N153" s="1262">
        <v>470950460</v>
      </c>
      <c r="O153" s="1262">
        <f>483240432+166468277</f>
        <v>649708709</v>
      </c>
      <c r="P153" s="1262">
        <v>2722300362</v>
      </c>
      <c r="Q153" s="1275">
        <v>775463976</v>
      </c>
      <c r="R153" s="1275">
        <f>776785989+139598373</f>
        <v>916384362</v>
      </c>
      <c r="S153" s="1245">
        <v>671454832</v>
      </c>
      <c r="T153" s="1245">
        <v>760906799</v>
      </c>
      <c r="U153" s="1245">
        <f>571842697+94749822</f>
        <v>666592519</v>
      </c>
      <c r="V153" s="1296">
        <v>513669457</v>
      </c>
      <c r="W153" s="1262">
        <v>518326860</v>
      </c>
      <c r="X153" s="1262">
        <f>318905544+14992278</f>
        <v>333897822</v>
      </c>
      <c r="Y153" s="1262">
        <v>342118503</v>
      </c>
      <c r="Z153" s="1262">
        <v>164510665</v>
      </c>
      <c r="AA153" s="1262">
        <f>217234722+18859709</f>
        <v>236094431</v>
      </c>
      <c r="AB153" s="34">
        <f t="shared" si="72"/>
        <v>71583766</v>
      </c>
    </row>
    <row r="154" spans="2:30">
      <c r="B154" s="1158" t="s">
        <v>189</v>
      </c>
      <c r="C154" s="1159" t="s">
        <v>545</v>
      </c>
      <c r="D154" s="1159" t="s">
        <v>545</v>
      </c>
      <c r="E154" s="1159" t="s">
        <v>282</v>
      </c>
      <c r="F154" s="1159"/>
      <c r="G154" s="1159"/>
      <c r="H154" s="1159"/>
      <c r="I154" s="1162" t="s">
        <v>271</v>
      </c>
      <c r="J154" s="1159" t="str">
        <f t="shared" si="70"/>
        <v>lending_cashloan_cashloan_BEG_variable_cost</v>
      </c>
      <c r="K154" s="1149"/>
      <c r="L154" s="1245" t="s">
        <v>229</v>
      </c>
      <c r="M154" s="1150">
        <f t="shared" ref="M154:AA154" si="82">SUM(M157:M162)</f>
        <v>277942874.65173489</v>
      </c>
      <c r="N154" s="1150">
        <f t="shared" si="82"/>
        <v>41881174.589631408</v>
      </c>
      <c r="O154" s="1150">
        <f t="shared" si="82"/>
        <v>41016347.758846886</v>
      </c>
      <c r="P154" s="1150">
        <f t="shared" si="82"/>
        <v>28472826.665006123</v>
      </c>
      <c r="Q154" s="1150">
        <f t="shared" si="82"/>
        <v>31383555.227508355</v>
      </c>
      <c r="R154" s="1150">
        <f t="shared" si="82"/>
        <v>16619327.354784701</v>
      </c>
      <c r="S154" s="1150">
        <f t="shared" si="82"/>
        <v>12278546.033592708</v>
      </c>
      <c r="T154" s="1150">
        <f t="shared" si="82"/>
        <v>11803504.922421899</v>
      </c>
      <c r="U154" s="1150">
        <f t="shared" si="82"/>
        <v>5772180.594236061</v>
      </c>
      <c r="V154" s="1150">
        <f t="shared" si="82"/>
        <v>6708916.5567616187</v>
      </c>
      <c r="W154" s="1150">
        <f t="shared" si="82"/>
        <v>5398617.3902374804</v>
      </c>
      <c r="X154" s="1150">
        <f t="shared" si="82"/>
        <v>5203696.1298868889</v>
      </c>
      <c r="Y154" s="1150">
        <f t="shared" si="82"/>
        <v>16537516.789308401</v>
      </c>
      <c r="Z154" s="1150">
        <f t="shared" si="82"/>
        <v>35701221.442229897</v>
      </c>
      <c r="AA154" s="1150">
        <f t="shared" si="82"/>
        <v>102062965.54576075</v>
      </c>
      <c r="AB154" s="34">
        <f t="shared" si="72"/>
        <v>66361744.103530854</v>
      </c>
      <c r="AC154" s="34"/>
    </row>
    <row r="155" spans="2:30">
      <c r="B155" s="1158" t="s">
        <v>189</v>
      </c>
      <c r="C155" s="1159" t="s">
        <v>545</v>
      </c>
      <c r="D155" s="1159" t="s">
        <v>545</v>
      </c>
      <c r="E155" s="1159" t="s">
        <v>282</v>
      </c>
      <c r="F155" s="1159"/>
      <c r="G155" s="1159"/>
      <c r="H155" s="1159"/>
      <c r="I155" s="1162" t="s">
        <v>272</v>
      </c>
      <c r="J155" s="1159" t="str">
        <f t="shared" si="70"/>
        <v>lending_cashloan_cashloan_BEG_marketing_acquisition_cost</v>
      </c>
      <c r="K155" s="1149"/>
      <c r="L155" s="1246" t="s">
        <v>230</v>
      </c>
      <c r="M155" s="1149">
        <f t="shared" ref="M155:M160" si="83">SUM(P155:AA155)</f>
        <v>0</v>
      </c>
      <c r="N155" s="1147"/>
      <c r="O155" s="1147"/>
      <c r="P155" s="1169"/>
      <c r="Q155" s="1169"/>
      <c r="R155" s="1169"/>
      <c r="S155" s="1147"/>
      <c r="T155" s="1169"/>
      <c r="U155" s="1147"/>
      <c r="V155" s="1147"/>
      <c r="W155" s="1149"/>
      <c r="X155" s="1149"/>
      <c r="Y155" s="1147"/>
      <c r="Z155" s="1147"/>
      <c r="AA155" s="1147"/>
      <c r="AB155" s="34">
        <f t="shared" si="72"/>
        <v>0</v>
      </c>
      <c r="AC155" s="34"/>
    </row>
    <row r="156" spans="2:30">
      <c r="B156" s="1158" t="s">
        <v>189</v>
      </c>
      <c r="C156" s="1159" t="s">
        <v>545</v>
      </c>
      <c r="D156" s="1159" t="s">
        <v>545</v>
      </c>
      <c r="E156" s="1159" t="s">
        <v>282</v>
      </c>
      <c r="F156" s="1159"/>
      <c r="G156" s="1159"/>
      <c r="H156" s="1159"/>
      <c r="I156" s="1162" t="s">
        <v>273</v>
      </c>
      <c r="J156" s="1159" t="str">
        <f t="shared" si="70"/>
        <v>lending_cashloan_cashloan_BEG_partner_acquisition_cost</v>
      </c>
      <c r="K156" s="1149"/>
      <c r="L156" s="1246" t="s">
        <v>231</v>
      </c>
      <c r="M156" s="1150">
        <f t="shared" si="83"/>
        <v>0</v>
      </c>
      <c r="N156" s="1263">
        <v>0</v>
      </c>
      <c r="O156" s="1245"/>
      <c r="P156" s="1262"/>
      <c r="Q156" s="1275"/>
      <c r="R156" s="1275"/>
      <c r="S156" s="1245"/>
      <c r="T156" s="1245"/>
      <c r="U156" s="1245"/>
      <c r="V156" s="1245">
        <v>0</v>
      </c>
      <c r="W156" s="1245"/>
      <c r="X156" s="1263"/>
      <c r="Y156" s="1263"/>
      <c r="Z156" s="1263"/>
      <c r="AA156" s="1245"/>
      <c r="AB156" s="34">
        <f t="shared" si="72"/>
        <v>0</v>
      </c>
      <c r="AC156" s="34"/>
    </row>
    <row r="157" spans="2:30">
      <c r="B157" s="1158" t="s">
        <v>189</v>
      </c>
      <c r="C157" s="1159" t="s">
        <v>545</v>
      </c>
      <c r="D157" s="1159" t="s">
        <v>545</v>
      </c>
      <c r="E157" s="1159" t="s">
        <v>282</v>
      </c>
      <c r="F157" s="1159"/>
      <c r="G157" s="1159"/>
      <c r="H157" s="1159"/>
      <c r="I157" s="1162" t="s">
        <v>274</v>
      </c>
      <c r="J157" s="1159" t="str">
        <f t="shared" si="70"/>
        <v>lending_cashloan_cashloan_BEG_underwritting</v>
      </c>
      <c r="K157" s="1149"/>
      <c r="L157" s="1246" t="s">
        <v>232</v>
      </c>
      <c r="M157" s="1149">
        <f t="shared" si="83"/>
        <v>104147277.21246785</v>
      </c>
      <c r="N157" s="1149">
        <v>18488891.687863324</v>
      </c>
      <c r="O157" s="1149">
        <v>14731844.316265805</v>
      </c>
      <c r="P157" s="1169">
        <v>6813199.3934879489</v>
      </c>
      <c r="Q157" s="1169">
        <v>4729128.7924198899</v>
      </c>
      <c r="R157" s="1169">
        <v>3153679.3797142645</v>
      </c>
      <c r="S157" s="1169">
        <v>869153.57778608007</v>
      </c>
      <c r="T157" s="1169">
        <v>1066768.3903966597</v>
      </c>
      <c r="U157" s="1149">
        <v>1040612.2108705391</v>
      </c>
      <c r="V157" s="1149">
        <v>1034447.2581518372</v>
      </c>
      <c r="W157" s="1149">
        <v>993026.3112201785</v>
      </c>
      <c r="X157" s="1149">
        <v>918160.77834988944</v>
      </c>
      <c r="Y157" s="1149">
        <v>7926774.3932603244</v>
      </c>
      <c r="Z157" s="1149">
        <v>19314502.509398915</v>
      </c>
      <c r="AA157" s="1149">
        <v>56287824.217411324</v>
      </c>
      <c r="AB157" s="34">
        <f t="shared" si="72"/>
        <v>36973321.70801241</v>
      </c>
    </row>
    <row r="158" spans="2:30">
      <c r="B158" s="1158" t="s">
        <v>189</v>
      </c>
      <c r="C158" s="1159" t="s">
        <v>545</v>
      </c>
      <c r="D158" s="1159" t="s">
        <v>545</v>
      </c>
      <c r="E158" s="1159" t="s">
        <v>282</v>
      </c>
      <c r="F158" s="1159"/>
      <c r="G158" s="1159"/>
      <c r="H158" s="1159"/>
      <c r="I158" s="1162" t="s">
        <v>275</v>
      </c>
      <c r="J158" s="1159" t="str">
        <f t="shared" si="70"/>
        <v>lending_cashloan_cashloan_BEG_e_contract</v>
      </c>
      <c r="K158" s="1149"/>
      <c r="L158" s="1246" t="s">
        <v>233</v>
      </c>
      <c r="M158" s="1149">
        <f t="shared" si="83"/>
        <v>742614</v>
      </c>
      <c r="N158" s="1149">
        <v>39928</v>
      </c>
      <c r="O158" s="1149">
        <v>25772</v>
      </c>
      <c r="P158" s="1169">
        <v>13860</v>
      </c>
      <c r="Q158" s="1253">
        <v>3823</v>
      </c>
      <c r="R158" s="1253">
        <v>5898</v>
      </c>
      <c r="S158" s="1253">
        <v>3185</v>
      </c>
      <c r="T158" s="1253"/>
      <c r="U158" s="1247">
        <v>3765</v>
      </c>
      <c r="V158" s="1247">
        <v>9000</v>
      </c>
      <c r="W158" s="1149">
        <v>1800</v>
      </c>
      <c r="X158" s="1149">
        <v>1996</v>
      </c>
      <c r="Y158" s="1149">
        <v>43052</v>
      </c>
      <c r="Z158" s="1149">
        <v>105484</v>
      </c>
      <c r="AA158" s="1149">
        <v>550751</v>
      </c>
      <c r="AB158" s="34">
        <f t="shared" si="72"/>
        <v>445267</v>
      </c>
    </row>
    <row r="159" spans="2:30">
      <c r="B159" s="1158" t="s">
        <v>189</v>
      </c>
      <c r="C159" s="1159" t="s">
        <v>545</v>
      </c>
      <c r="D159" s="1159" t="s">
        <v>545</v>
      </c>
      <c r="E159" s="1159" t="s">
        <v>282</v>
      </c>
      <c r="F159" s="1159"/>
      <c r="G159" s="1159"/>
      <c r="H159" s="1159"/>
      <c r="I159" s="1162" t="s">
        <v>276</v>
      </c>
      <c r="J159" s="1159" t="str">
        <f t="shared" si="70"/>
        <v>lending_cashloan_cashloan_BEG_nfc</v>
      </c>
      <c r="K159" s="1149"/>
      <c r="L159" s="1246" t="s">
        <v>152</v>
      </c>
      <c r="M159" s="1149">
        <f t="shared" si="83"/>
        <v>1702824.6302229392</v>
      </c>
      <c r="N159" s="1149"/>
      <c r="O159" s="1149"/>
      <c r="P159" s="1169">
        <v>65218.859578832657</v>
      </c>
      <c r="Q159" s="1169">
        <v>16797.818455366098</v>
      </c>
      <c r="R159" s="1169">
        <v>23700.428877769835</v>
      </c>
      <c r="S159" s="1169">
        <v>4255.2400061737926</v>
      </c>
      <c r="T159" s="1169"/>
      <c r="U159" s="1248">
        <v>7920.5873274835758</v>
      </c>
      <c r="V159" s="1247">
        <v>8366.4829288358687</v>
      </c>
      <c r="W159" s="1149">
        <v>1763.1420212381709</v>
      </c>
      <c r="X159" s="1149">
        <v>4487.7296231307937</v>
      </c>
      <c r="Y159" s="1149">
        <v>91055.785418149841</v>
      </c>
      <c r="Z159" s="1149">
        <v>205062.99454297408</v>
      </c>
      <c r="AA159" s="1149">
        <v>1274195.5614429845</v>
      </c>
      <c r="AB159" s="34">
        <f t="shared" si="72"/>
        <v>1069132.5669000105</v>
      </c>
    </row>
    <row r="160" spans="2:30">
      <c r="B160" s="1158" t="s">
        <v>189</v>
      </c>
      <c r="C160" s="1159" t="s">
        <v>545</v>
      </c>
      <c r="D160" s="1159" t="s">
        <v>545</v>
      </c>
      <c r="E160" s="1159" t="s">
        <v>282</v>
      </c>
      <c r="F160" s="1159"/>
      <c r="G160" s="1159"/>
      <c r="H160" s="1159"/>
      <c r="I160" s="1162" t="s">
        <v>277</v>
      </c>
      <c r="J160" s="1159" t="str">
        <f t="shared" si="70"/>
        <v>lending_cashloan_cashloan_BEG_collection</v>
      </c>
      <c r="K160" s="1149"/>
      <c r="L160" s="1246" t="s">
        <v>234</v>
      </c>
      <c r="M160" s="1149">
        <f t="shared" si="83"/>
        <v>96629916.182593063</v>
      </c>
      <c r="N160" s="1149">
        <v>18998003.40255155</v>
      </c>
      <c r="O160" s="1149">
        <v>21869650.804501284</v>
      </c>
      <c r="P160" s="1169">
        <v>17940827.358154032</v>
      </c>
      <c r="Q160" s="1169">
        <v>24630244.133847252</v>
      </c>
      <c r="R160" s="1169">
        <v>11510735.798548669</v>
      </c>
      <c r="S160" s="1169">
        <v>9960351.004512703</v>
      </c>
      <c r="T160" s="1169">
        <v>9525298.9978872407</v>
      </c>
      <c r="U160" s="1149">
        <v>3738993.9708731971</v>
      </c>
      <c r="V160" s="1149">
        <v>4596782</v>
      </c>
      <c r="W160" s="1149">
        <v>3648056.3625332732</v>
      </c>
      <c r="X160" s="1149">
        <v>3459008.8296198291</v>
      </c>
      <c r="Y160" s="1149">
        <v>2131509.5045637493</v>
      </c>
      <c r="Z160" s="1149">
        <v>2868515.9027416953</v>
      </c>
      <c r="AA160" s="1149">
        <v>2619592.3193114246</v>
      </c>
      <c r="AB160" s="34">
        <f t="shared" si="72"/>
        <v>-248923.58343027066</v>
      </c>
    </row>
    <row r="161" spans="2:29">
      <c r="B161" s="1158" t="s">
        <v>189</v>
      </c>
      <c r="C161" s="1159" t="s">
        <v>545</v>
      </c>
      <c r="D161" s="1159" t="s">
        <v>545</v>
      </c>
      <c r="E161" s="1159" t="s">
        <v>282</v>
      </c>
      <c r="F161" s="1159"/>
      <c r="G161" s="1159"/>
      <c r="H161" s="1159"/>
      <c r="I161" s="1162" t="s">
        <v>278</v>
      </c>
      <c r="J161" s="1159" t="str">
        <f t="shared" si="70"/>
        <v>lending_cashloan_cashloan_BEG_promotion</v>
      </c>
      <c r="K161" s="1149"/>
      <c r="L161" s="1246" t="s">
        <v>235</v>
      </c>
      <c r="M161" s="1149"/>
      <c r="N161" s="1149"/>
      <c r="O161" s="1149"/>
      <c r="P161" s="1169"/>
      <c r="Q161" s="1169"/>
      <c r="R161" s="1169"/>
      <c r="S161" s="1169"/>
      <c r="T161" s="1169"/>
      <c r="U161" s="1149"/>
      <c r="V161" s="1169"/>
      <c r="W161" s="1149"/>
      <c r="X161" s="1149"/>
      <c r="Y161" s="1149"/>
      <c r="Z161" s="1149"/>
      <c r="AA161" s="1149"/>
      <c r="AB161" s="34">
        <f t="shared" si="72"/>
        <v>0</v>
      </c>
    </row>
    <row r="162" spans="2:29">
      <c r="B162" s="1158" t="s">
        <v>189</v>
      </c>
      <c r="C162" s="1159" t="s">
        <v>545</v>
      </c>
      <c r="D162" s="1159" t="s">
        <v>545</v>
      </c>
      <c r="E162" s="1159" t="s">
        <v>282</v>
      </c>
      <c r="F162" s="1159"/>
      <c r="G162" s="1159"/>
      <c r="H162" s="1159"/>
      <c r="I162" s="1162" t="s">
        <v>279</v>
      </c>
      <c r="J162" s="1159" t="str">
        <f t="shared" si="70"/>
        <v>lending_cashloan_cashloan_BEG_sms</v>
      </c>
      <c r="K162" s="1149"/>
      <c r="L162" s="1249" t="s">
        <v>163</v>
      </c>
      <c r="M162" s="1149">
        <f>SUM(P162:AA162)</f>
        <v>74720242.626451015</v>
      </c>
      <c r="N162" s="1247">
        <v>4354351.499216537</v>
      </c>
      <c r="O162" s="1247">
        <v>4389080.6380797997</v>
      </c>
      <c r="P162" s="1247">
        <v>3639721.0537853111</v>
      </c>
      <c r="Q162" s="1247">
        <v>2003561.4827858456</v>
      </c>
      <c r="R162" s="1247">
        <v>1925313.7476439977</v>
      </c>
      <c r="S162" s="1247">
        <v>1441601.2112877511</v>
      </c>
      <c r="T162" s="1247">
        <v>1211437.5341379978</v>
      </c>
      <c r="U162" s="1248">
        <v>980888.82516484137</v>
      </c>
      <c r="V162" s="1149">
        <v>1060320.8156809453</v>
      </c>
      <c r="W162" s="1149">
        <v>753971.57446279004</v>
      </c>
      <c r="X162" s="1149">
        <v>820042.79229403916</v>
      </c>
      <c r="Y162" s="1149">
        <v>6345125.1060661767</v>
      </c>
      <c r="Z162" s="1149">
        <v>13207656.035546307</v>
      </c>
      <c r="AA162" s="1149">
        <v>41330602.447595008</v>
      </c>
      <c r="AB162" s="34">
        <f t="shared" si="72"/>
        <v>28122946.412048701</v>
      </c>
    </row>
    <row r="163" spans="2:29">
      <c r="B163" s="1158" t="s">
        <v>189</v>
      </c>
      <c r="C163" s="1159" t="s">
        <v>545</v>
      </c>
      <c r="D163" s="1159" t="s">
        <v>545</v>
      </c>
      <c r="E163" s="1159" t="s">
        <v>282</v>
      </c>
      <c r="F163" s="1159" t="str">
        <f>E163&amp;"CL"</f>
        <v>BEGCL</v>
      </c>
      <c r="G163" s="1159" t="str">
        <f>L163&amp;F163</f>
        <v>Profit before allocation costBEGCL</v>
      </c>
      <c r="H163" s="1408" t="str">
        <f>L163&amp;E163</f>
        <v>Profit before allocation costBEG</v>
      </c>
      <c r="I163" s="1162" t="s">
        <v>280</v>
      </c>
      <c r="J163" s="1159" t="str">
        <f t="shared" si="70"/>
        <v>lending_cashloan_cashloan_BEG_profit_before_overhead</v>
      </c>
      <c r="K163" s="1149"/>
      <c r="L163" s="1359" t="s">
        <v>236</v>
      </c>
      <c r="M163" s="1359">
        <f t="shared" ref="M163:AA163" si="84">M142-M153-M156-M154</f>
        <v>-4933060460.6952353</v>
      </c>
      <c r="N163" s="1359">
        <f t="shared" si="84"/>
        <v>207538025.41036859</v>
      </c>
      <c r="O163" s="1359">
        <f t="shared" si="84"/>
        <v>-50031513.758846886</v>
      </c>
      <c r="P163" s="1359">
        <f t="shared" si="84"/>
        <v>-2218639785.6650062</v>
      </c>
      <c r="Q163" s="1359">
        <f t="shared" si="84"/>
        <v>-410320652.22750837</v>
      </c>
      <c r="R163" s="1359">
        <f t="shared" si="84"/>
        <v>-519506841.39828467</v>
      </c>
      <c r="S163" s="1359">
        <f t="shared" si="84"/>
        <v>-338678633.0335927</v>
      </c>
      <c r="T163" s="1359">
        <f t="shared" si="84"/>
        <v>-440839012.92242187</v>
      </c>
      <c r="U163" s="1359">
        <f t="shared" si="84"/>
        <v>-449950615.59423608</v>
      </c>
      <c r="V163" s="1359">
        <f t="shared" si="84"/>
        <v>-324457992.55676162</v>
      </c>
      <c r="W163" s="1359">
        <f t="shared" si="84"/>
        <v>-353872358.39023745</v>
      </c>
      <c r="X163" s="1359">
        <f t="shared" si="84"/>
        <v>-133075867.1298869</v>
      </c>
      <c r="Y163" s="1359">
        <f t="shared" si="84"/>
        <v>-154703158.7893084</v>
      </c>
      <c r="Z163" s="1359">
        <f t="shared" si="84"/>
        <v>48743468.557770103</v>
      </c>
      <c r="AA163" s="1359">
        <f t="shared" si="84"/>
        <v>362240988.45423925</v>
      </c>
      <c r="AB163" s="34">
        <f t="shared" si="72"/>
        <v>313497519.89646912</v>
      </c>
      <c r="AC163" s="34">
        <f>SUM(P163:AA163)</f>
        <v>-4933060460.6952362</v>
      </c>
    </row>
    <row r="164" spans="2:29">
      <c r="B164" s="1158"/>
      <c r="C164" s="1159"/>
      <c r="D164" s="1159"/>
      <c r="E164" s="1159"/>
      <c r="F164" s="1159"/>
      <c r="G164" s="1159"/>
      <c r="H164" s="1159"/>
      <c r="I164" s="1160"/>
      <c r="J164" s="1159"/>
      <c r="K164" s="1149"/>
      <c r="L164" s="1153"/>
      <c r="M164" s="1150"/>
      <c r="N164" s="1150"/>
      <c r="O164" s="1150"/>
      <c r="P164" s="1150"/>
      <c r="Q164" s="1150"/>
      <c r="R164" s="1150"/>
      <c r="S164" s="1150"/>
      <c r="T164" s="1150"/>
      <c r="U164" s="1150"/>
      <c r="V164" s="1150"/>
      <c r="W164" s="1150"/>
      <c r="X164" s="1150"/>
      <c r="Y164" s="1150"/>
      <c r="Z164" s="1150"/>
      <c r="AA164" s="1150"/>
      <c r="AB164" s="34">
        <f t="shared" si="72"/>
        <v>0</v>
      </c>
    </row>
    <row r="165" spans="2:29">
      <c r="B165" s="1158" t="s">
        <v>189</v>
      </c>
      <c r="C165" s="1159"/>
      <c r="D165" s="1159"/>
      <c r="E165" s="1159"/>
      <c r="F165" s="1159"/>
      <c r="G165" s="1159"/>
      <c r="H165" s="1159"/>
      <c r="I165" s="1159"/>
      <c r="J165" s="1159" t="str">
        <f t="shared" ref="J165:J174" si="85">B165&amp;"_"&amp;C165&amp;"_"&amp;D165&amp;"_"&amp;E165&amp;"_"&amp;I165</f>
        <v>lending____</v>
      </c>
      <c r="K165" s="1149"/>
      <c r="L165" s="1146" t="s">
        <v>552</v>
      </c>
      <c r="M165" s="1146"/>
      <c r="N165" s="1146"/>
      <c r="O165" s="1146"/>
      <c r="P165" s="1146"/>
      <c r="Q165" s="1146"/>
      <c r="R165" s="1146"/>
      <c r="S165" s="1146"/>
      <c r="T165" s="1146"/>
      <c r="U165" s="1146"/>
      <c r="V165" s="1146"/>
      <c r="W165" s="1146"/>
      <c r="X165" s="1146"/>
      <c r="Y165" s="1146"/>
      <c r="Z165" s="1146"/>
      <c r="AA165" s="1146"/>
      <c r="AB165" s="34">
        <f t="shared" si="72"/>
        <v>0</v>
      </c>
    </row>
    <row r="166" spans="2:29">
      <c r="B166" s="1158" t="s">
        <v>189</v>
      </c>
      <c r="C166" s="1159" t="s">
        <v>545</v>
      </c>
      <c r="D166" s="1159" t="s">
        <v>545</v>
      </c>
      <c r="E166" s="1159" t="s">
        <v>498</v>
      </c>
      <c r="F166" s="1159"/>
      <c r="G166" s="1159"/>
      <c r="H166" s="1159"/>
      <c r="I166" s="1162" t="s">
        <v>239</v>
      </c>
      <c r="J166" s="1159" t="str">
        <f t="shared" si="85"/>
        <v>lending_cashloan_cashloan_NGS_new_account</v>
      </c>
      <c r="K166" s="1149"/>
      <c r="L166" s="1148" t="s">
        <v>193</v>
      </c>
      <c r="M166" s="1149">
        <f>SUM(P166:AA166)</f>
        <v>0</v>
      </c>
      <c r="N166" s="1169">
        <v>1</v>
      </c>
      <c r="O166" s="1169"/>
      <c r="P166" s="1169"/>
      <c r="Q166" s="1267">
        <v>0</v>
      </c>
      <c r="R166" s="1169"/>
      <c r="S166" s="1169"/>
      <c r="T166" s="1267"/>
      <c r="U166" s="1247"/>
      <c r="V166" s="1169"/>
      <c r="W166" s="1169"/>
      <c r="X166" s="1169"/>
      <c r="Y166" s="1169"/>
      <c r="Z166" s="1169"/>
      <c r="AA166" s="1169"/>
      <c r="AB166" s="34">
        <f t="shared" si="72"/>
        <v>0</v>
      </c>
    </row>
    <row r="167" spans="2:29">
      <c r="B167" s="1158" t="s">
        <v>189</v>
      </c>
      <c r="C167" s="1159" t="s">
        <v>545</v>
      </c>
      <c r="D167" s="1159" t="s">
        <v>545</v>
      </c>
      <c r="E167" s="1159" t="s">
        <v>498</v>
      </c>
      <c r="F167" s="1159"/>
      <c r="G167" s="1159"/>
      <c r="H167" s="1159"/>
      <c r="I167" s="1148" t="s">
        <v>527</v>
      </c>
      <c r="J167" s="1159" t="str">
        <f t="shared" si="85"/>
        <v>lending_cashloan_cashloan_NGS_Repeat account</v>
      </c>
      <c r="K167" s="1149"/>
      <c r="L167" s="1148" t="s">
        <v>527</v>
      </c>
      <c r="M167" s="1149"/>
      <c r="N167" s="1169"/>
      <c r="O167" s="1169"/>
      <c r="P167" s="1169"/>
      <c r="Q167" s="1267"/>
      <c r="R167" s="1169"/>
      <c r="S167" s="1169"/>
      <c r="T167" s="1267"/>
      <c r="U167" s="1247"/>
      <c r="V167" s="1169"/>
      <c r="W167" s="1169"/>
      <c r="X167" s="1169"/>
      <c r="Y167" s="1169"/>
      <c r="Z167" s="1169"/>
      <c r="AA167" s="1169"/>
      <c r="AB167" s="34">
        <f t="shared" si="72"/>
        <v>0</v>
      </c>
    </row>
    <row r="168" spans="2:29">
      <c r="B168" s="1158" t="s">
        <v>189</v>
      </c>
      <c r="C168" s="1159" t="s">
        <v>545</v>
      </c>
      <c r="D168" s="1159" t="s">
        <v>545</v>
      </c>
      <c r="E168" s="1159" t="s">
        <v>498</v>
      </c>
      <c r="F168" s="1159"/>
      <c r="G168" s="1159"/>
      <c r="H168" s="1159"/>
      <c r="I168" s="1162" t="s">
        <v>241</v>
      </c>
      <c r="J168" s="1159" t="str">
        <f t="shared" si="85"/>
        <v>lending_cashloan_cashloan_NGS_active_account</v>
      </c>
      <c r="K168" s="1149"/>
      <c r="L168" s="1148" t="s">
        <v>194</v>
      </c>
      <c r="M168" s="1149">
        <f>SUM(P168:AA168)</f>
        <v>44391</v>
      </c>
      <c r="N168" s="1169">
        <v>7748</v>
      </c>
      <c r="O168" s="1169">
        <v>7595</v>
      </c>
      <c r="P168" s="1169">
        <f>7381-47</f>
        <v>7334</v>
      </c>
      <c r="Q168" s="1276">
        <f>7219-504</f>
        <v>6715</v>
      </c>
      <c r="R168" s="1276">
        <f>7096-1408</f>
        <v>5688</v>
      </c>
      <c r="S168" s="1169">
        <f>6957-2077</f>
        <v>4880</v>
      </c>
      <c r="T168" s="1361">
        <v>4337</v>
      </c>
      <c r="U168" s="1361">
        <v>3581</v>
      </c>
      <c r="V168" s="1169">
        <v>2876</v>
      </c>
      <c r="W168" s="1169">
        <v>2390</v>
      </c>
      <c r="X168" s="1169">
        <v>2116</v>
      </c>
      <c r="Y168" s="1169">
        <v>1822</v>
      </c>
      <c r="Z168" s="1169">
        <v>1421</v>
      </c>
      <c r="AA168" s="1169">
        <v>1231</v>
      </c>
      <c r="AB168" s="34">
        <f t="shared" si="72"/>
        <v>-190</v>
      </c>
    </row>
    <row r="169" spans="2:29">
      <c r="B169" s="1158" t="s">
        <v>189</v>
      </c>
      <c r="C169" s="1159" t="s">
        <v>545</v>
      </c>
      <c r="D169" s="1159" t="s">
        <v>545</v>
      </c>
      <c r="E169" s="1159" t="s">
        <v>498</v>
      </c>
      <c r="F169" s="1159" t="str">
        <f>E169&amp;"CL"</f>
        <v>NGSCL</v>
      </c>
      <c r="G169" s="1159" t="str">
        <f>L169&amp;F169</f>
        <v>DisbursementNGSCL</v>
      </c>
      <c r="H169" s="1408" t="str">
        <f>L169&amp;E169</f>
        <v>DisbursementNGS</v>
      </c>
      <c r="I169" s="1162" t="s">
        <v>242</v>
      </c>
      <c r="J169" s="1159" t="str">
        <f t="shared" si="85"/>
        <v>lending_cashloan_cashloan_NGS_disburse/spend</v>
      </c>
      <c r="K169" s="1149"/>
      <c r="L169" s="1169" t="s">
        <v>80</v>
      </c>
      <c r="M169" s="1149">
        <f>SUM(P169:AA169)</f>
        <v>0</v>
      </c>
      <c r="N169" s="1149">
        <v>20000000</v>
      </c>
      <c r="O169" s="1149"/>
      <c r="P169" s="1169"/>
      <c r="Q169" s="1169">
        <v>0</v>
      </c>
      <c r="R169" s="1169"/>
      <c r="S169" s="1169"/>
      <c r="T169" s="1247"/>
      <c r="U169" s="1247"/>
      <c r="V169" s="1169"/>
      <c r="W169" s="1169"/>
      <c r="X169" s="1169"/>
      <c r="Y169" s="1169"/>
      <c r="Z169" s="1149"/>
      <c r="AA169" s="1149"/>
      <c r="AB169" s="34">
        <f t="shared" si="72"/>
        <v>0</v>
      </c>
      <c r="AC169" s="34">
        <f>SUM(P169:AA169)</f>
        <v>0</v>
      </c>
    </row>
    <row r="170" spans="2:29">
      <c r="B170" s="1158" t="s">
        <v>189</v>
      </c>
      <c r="C170" s="1159" t="s">
        <v>545</v>
      </c>
      <c r="D170" s="1159" t="s">
        <v>545</v>
      </c>
      <c r="E170" s="1159" t="s">
        <v>498</v>
      </c>
      <c r="F170" s="1159"/>
      <c r="G170" s="1159"/>
      <c r="H170" s="1159"/>
      <c r="I170" s="1160"/>
      <c r="J170" s="1159" t="str">
        <f t="shared" si="85"/>
        <v>lending_cashloan_cashloan_NGS_</v>
      </c>
      <c r="K170" s="1149"/>
      <c r="L170" s="1169" t="s">
        <v>528</v>
      </c>
      <c r="M170" s="1149">
        <f>SUM(P170:AA170)</f>
        <v>0</v>
      </c>
      <c r="N170" s="1149"/>
      <c r="O170" s="1149"/>
      <c r="P170" s="1169"/>
      <c r="Q170" s="1169"/>
      <c r="R170" s="1169"/>
      <c r="S170" s="1169"/>
      <c r="T170" s="1169"/>
      <c r="U170" s="1247"/>
      <c r="V170" s="1169"/>
      <c r="W170" s="1169"/>
      <c r="X170" s="1169"/>
      <c r="Y170" s="1169"/>
      <c r="Z170" s="1149"/>
      <c r="AA170" s="1149"/>
      <c r="AB170" s="34">
        <f t="shared" si="72"/>
        <v>0</v>
      </c>
    </row>
    <row r="171" spans="2:29">
      <c r="B171" s="1158" t="s">
        <v>189</v>
      </c>
      <c r="C171" s="1159" t="s">
        <v>545</v>
      </c>
      <c r="D171" s="1159" t="s">
        <v>545</v>
      </c>
      <c r="E171" s="1159" t="s">
        <v>498</v>
      </c>
      <c r="F171" s="1159"/>
      <c r="G171" s="1159"/>
      <c r="H171" s="1159"/>
      <c r="I171" s="1160"/>
      <c r="J171" s="1159" t="str">
        <f t="shared" si="85"/>
        <v>lending_cashloan_cashloan_NGS_</v>
      </c>
      <c r="K171" s="1149"/>
      <c r="L171" s="1169" t="s">
        <v>529</v>
      </c>
      <c r="M171" s="1149">
        <f>SUM(P171:AA171)</f>
        <v>0</v>
      </c>
      <c r="N171" s="1149">
        <f t="shared" ref="N171:AA171" si="86">N169-N170</f>
        <v>20000000</v>
      </c>
      <c r="O171" s="1149">
        <f t="shared" si="86"/>
        <v>0</v>
      </c>
      <c r="P171" s="1149">
        <f t="shared" si="86"/>
        <v>0</v>
      </c>
      <c r="Q171" s="1149">
        <f t="shared" si="86"/>
        <v>0</v>
      </c>
      <c r="R171" s="1149">
        <f t="shared" si="86"/>
        <v>0</v>
      </c>
      <c r="S171" s="1149">
        <f t="shared" si="86"/>
        <v>0</v>
      </c>
      <c r="T171" s="1149">
        <f t="shared" si="86"/>
        <v>0</v>
      </c>
      <c r="U171" s="1149">
        <f t="shared" si="86"/>
        <v>0</v>
      </c>
      <c r="V171" s="1149">
        <f t="shared" si="86"/>
        <v>0</v>
      </c>
      <c r="W171" s="1149">
        <f t="shared" si="86"/>
        <v>0</v>
      </c>
      <c r="X171" s="1149">
        <f t="shared" si="86"/>
        <v>0</v>
      </c>
      <c r="Y171" s="1149">
        <f t="shared" si="86"/>
        <v>0</v>
      </c>
      <c r="Z171" s="1149">
        <f t="shared" si="86"/>
        <v>0</v>
      </c>
      <c r="AA171" s="1149">
        <f t="shared" si="86"/>
        <v>0</v>
      </c>
      <c r="AB171" s="34">
        <f t="shared" si="72"/>
        <v>0</v>
      </c>
    </row>
    <row r="172" spans="2:29">
      <c r="B172" s="1158" t="s">
        <v>189</v>
      </c>
      <c r="C172" s="1159" t="s">
        <v>545</v>
      </c>
      <c r="D172" s="1159" t="s">
        <v>545</v>
      </c>
      <c r="E172" s="1159" t="s">
        <v>498</v>
      </c>
      <c r="F172" s="1159"/>
      <c r="G172" s="1159"/>
      <c r="H172" s="1159"/>
      <c r="I172" s="1162" t="s">
        <v>243</v>
      </c>
      <c r="J172" s="1159" t="str">
        <f t="shared" si="85"/>
        <v>lending_cashloan_cashloan_NGS_ENR</v>
      </c>
      <c r="K172" s="1149"/>
      <c r="L172" s="1169" t="s">
        <v>530</v>
      </c>
      <c r="M172" s="1149">
        <f>AA172</f>
        <v>8206874569</v>
      </c>
      <c r="N172" s="1169">
        <v>83732555002</v>
      </c>
      <c r="O172" s="1149">
        <v>78938488143</v>
      </c>
      <c r="P172" s="1169">
        <v>75166556951</v>
      </c>
      <c r="Q172" s="1273">
        <v>66359905806</v>
      </c>
      <c r="R172" s="1169">
        <v>52757166609</v>
      </c>
      <c r="S172" s="1169">
        <v>42225315715</v>
      </c>
      <c r="T172" s="1169">
        <v>34737026839</v>
      </c>
      <c r="U172" s="1255">
        <v>26861872695</v>
      </c>
      <c r="V172" s="1255">
        <v>22136267888</v>
      </c>
      <c r="W172" s="1149">
        <v>18283303689</v>
      </c>
      <c r="X172" s="1169">
        <v>15090353471</v>
      </c>
      <c r="Y172" s="1169">
        <v>11978986151</v>
      </c>
      <c r="Z172" s="1169">
        <v>9831658806</v>
      </c>
      <c r="AA172" s="1149">
        <v>8206874569</v>
      </c>
      <c r="AB172" s="34">
        <f t="shared" si="72"/>
        <v>-1624784237</v>
      </c>
    </row>
    <row r="173" spans="2:29">
      <c r="B173" s="1158" t="s">
        <v>189</v>
      </c>
      <c r="C173" s="1159" t="s">
        <v>545</v>
      </c>
      <c r="D173" s="1159" t="s">
        <v>545</v>
      </c>
      <c r="E173" s="1159" t="s">
        <v>498</v>
      </c>
      <c r="F173" s="1159"/>
      <c r="G173" s="1159"/>
      <c r="H173" s="1159"/>
      <c r="I173" s="1160"/>
      <c r="J173" s="1159" t="str">
        <f t="shared" si="85"/>
        <v>lending_cashloan_cashloan_NGS_</v>
      </c>
      <c r="K173" s="1149"/>
      <c r="L173" s="1235" t="s">
        <v>531</v>
      </c>
      <c r="M173" s="1149">
        <f>AA173</f>
        <v>7528043639</v>
      </c>
      <c r="N173" s="1273">
        <f t="shared" ref="N173:AA173" si="87">N172-N174</f>
        <v>77479646341</v>
      </c>
      <c r="O173" s="1273">
        <f t="shared" si="87"/>
        <v>70421757523</v>
      </c>
      <c r="P173" s="1273">
        <f t="shared" si="87"/>
        <v>64869098700</v>
      </c>
      <c r="Q173" s="1273">
        <f t="shared" si="87"/>
        <v>56039492514</v>
      </c>
      <c r="R173" s="1273">
        <f t="shared" si="87"/>
        <v>44360689755</v>
      </c>
      <c r="S173" s="1273">
        <f t="shared" si="87"/>
        <v>35736755149</v>
      </c>
      <c r="T173" s="1273">
        <f t="shared" si="87"/>
        <v>29244058396</v>
      </c>
      <c r="U173" s="1255">
        <f t="shared" si="87"/>
        <v>22962788810</v>
      </c>
      <c r="V173" s="1273">
        <f t="shared" si="87"/>
        <v>18807538936</v>
      </c>
      <c r="W173" s="1273">
        <f t="shared" si="87"/>
        <v>15723456830</v>
      </c>
      <c r="X173" s="1273">
        <f t="shared" si="87"/>
        <v>13139900276</v>
      </c>
      <c r="Y173" s="1273">
        <f t="shared" si="87"/>
        <v>10720626146</v>
      </c>
      <c r="Z173" s="1273">
        <f t="shared" si="87"/>
        <v>8808297379</v>
      </c>
      <c r="AA173" s="1273">
        <f t="shared" si="87"/>
        <v>7528043639</v>
      </c>
      <c r="AB173" s="34">
        <f t="shared" si="72"/>
        <v>-1280253740</v>
      </c>
    </row>
    <row r="174" spans="2:29">
      <c r="B174" s="1158" t="s">
        <v>189</v>
      </c>
      <c r="C174" s="1159" t="s">
        <v>545</v>
      </c>
      <c r="D174" s="1159" t="s">
        <v>545</v>
      </c>
      <c r="E174" s="1159" t="s">
        <v>498</v>
      </c>
      <c r="F174" s="1159"/>
      <c r="G174" s="1159"/>
      <c r="H174" s="1159"/>
      <c r="I174" s="1160"/>
      <c r="J174" s="1159" t="str">
        <f t="shared" si="85"/>
        <v>lending_cashloan_cashloan_NGS_</v>
      </c>
      <c r="K174" s="1149"/>
      <c r="L174" s="1235" t="s">
        <v>532</v>
      </c>
      <c r="M174" s="1149">
        <f>AA174</f>
        <v>678830930</v>
      </c>
      <c r="N174" s="1255">
        <v>6252908661</v>
      </c>
      <c r="O174" s="1273">
        <v>8516730620</v>
      </c>
      <c r="P174" s="1273">
        <v>10297458251</v>
      </c>
      <c r="Q174" s="1273">
        <v>10320413292</v>
      </c>
      <c r="R174" s="1255">
        <v>8396476854</v>
      </c>
      <c r="S174" s="1255">
        <v>6488560566</v>
      </c>
      <c r="T174" s="1255">
        <v>5492968443</v>
      </c>
      <c r="U174" s="1255">
        <v>3899083885</v>
      </c>
      <c r="V174" s="1255">
        <v>3328728952</v>
      </c>
      <c r="W174" s="1236">
        <v>2559846859</v>
      </c>
      <c r="X174" s="1255">
        <v>1950453195</v>
      </c>
      <c r="Y174" s="1255">
        <v>1258360005</v>
      </c>
      <c r="Z174" s="1255">
        <v>1023361427</v>
      </c>
      <c r="AA174" s="1273">
        <v>678830930</v>
      </c>
      <c r="AB174" s="34">
        <f t="shared" si="72"/>
        <v>-344530497</v>
      </c>
    </row>
    <row r="175" spans="2:29">
      <c r="B175" s="1158" t="s">
        <v>189</v>
      </c>
      <c r="C175" s="1159" t="s">
        <v>545</v>
      </c>
      <c r="D175" s="1159" t="s">
        <v>545</v>
      </c>
      <c r="E175" s="1159" t="s">
        <v>498</v>
      </c>
      <c r="F175" s="1159"/>
      <c r="G175" s="1159"/>
      <c r="H175" s="1159"/>
      <c r="I175" s="1160"/>
      <c r="J175" s="1159"/>
      <c r="K175" s="1149"/>
      <c r="L175" s="1148" t="s">
        <v>533</v>
      </c>
      <c r="M175" s="1149"/>
      <c r="N175" s="1255">
        <v>14843033608</v>
      </c>
      <c r="O175" s="1255">
        <v>23809160449</v>
      </c>
      <c r="P175" s="1255">
        <v>28808231306</v>
      </c>
      <c r="Q175" s="1255">
        <v>27453337495</v>
      </c>
      <c r="R175" s="1255">
        <v>20442256343</v>
      </c>
      <c r="S175" s="1255">
        <v>14528638102</v>
      </c>
      <c r="T175" s="1255">
        <v>11433103521</v>
      </c>
      <c r="U175" s="1255">
        <v>7326287036</v>
      </c>
      <c r="V175" s="1292">
        <v>5958877125</v>
      </c>
      <c r="W175" s="1255">
        <v>4550160302</v>
      </c>
      <c r="X175" s="1255">
        <v>3435189716</v>
      </c>
      <c r="Y175" s="1255">
        <v>2146317511</v>
      </c>
      <c r="Z175" s="1236">
        <v>1694483987</v>
      </c>
      <c r="AA175" s="1255">
        <v>1310026391</v>
      </c>
      <c r="AB175" s="34">
        <f t="shared" si="72"/>
        <v>-384457596</v>
      </c>
    </row>
    <row r="176" spans="2:29">
      <c r="B176" s="1158" t="s">
        <v>189</v>
      </c>
      <c r="C176" s="1159" t="s">
        <v>545</v>
      </c>
      <c r="D176" s="1159" t="s">
        <v>545</v>
      </c>
      <c r="E176" s="1159" t="s">
        <v>498</v>
      </c>
      <c r="F176" s="1159"/>
      <c r="G176" s="1159"/>
      <c r="H176" s="1159"/>
      <c r="I176" s="1162" t="s">
        <v>247</v>
      </c>
      <c r="J176" s="1159" t="str">
        <f t="shared" ref="J176:J202" si="88">B176&amp;"_"&amp;C176&amp;"_"&amp;D176&amp;"_"&amp;E176&amp;"_"&amp;I176</f>
        <v>lending_cashloan_cashloan_NGS_overdue_balance_10d</v>
      </c>
      <c r="K176" s="1149"/>
      <c r="L176" s="1169" t="s">
        <v>534</v>
      </c>
      <c r="M176" s="1149"/>
      <c r="N176" s="1255">
        <v>37807560746</v>
      </c>
      <c r="O176" s="1273">
        <v>41227020387</v>
      </c>
      <c r="P176" s="1273">
        <v>42304330717</v>
      </c>
      <c r="Q176" s="1273">
        <v>38046772082</v>
      </c>
      <c r="R176" s="1273">
        <v>28770344246</v>
      </c>
      <c r="S176" s="1273">
        <v>21560773273</v>
      </c>
      <c r="T176" s="1247">
        <v>17202796808</v>
      </c>
      <c r="U176" s="1247">
        <v>12365952697</v>
      </c>
      <c r="V176" s="1247">
        <v>10761649024</v>
      </c>
      <c r="W176" s="1236">
        <v>8700509009</v>
      </c>
      <c r="X176" s="1255">
        <v>7120730078</v>
      </c>
      <c r="Y176" s="1255">
        <v>5287348978</v>
      </c>
      <c r="Z176" s="1255">
        <v>4185519684</v>
      </c>
      <c r="AA176" s="1273">
        <v>3312089931</v>
      </c>
      <c r="AB176" s="34">
        <f t="shared" si="72"/>
        <v>-873429753</v>
      </c>
    </row>
    <row r="177" spans="2:30">
      <c r="B177" s="1158" t="s">
        <v>189</v>
      </c>
      <c r="C177" s="1159" t="s">
        <v>545</v>
      </c>
      <c r="D177" s="1159" t="s">
        <v>545</v>
      </c>
      <c r="E177" s="1159" t="s">
        <v>498</v>
      </c>
      <c r="F177" s="1159"/>
      <c r="G177" s="1159"/>
      <c r="H177" s="1159"/>
      <c r="I177" s="1162" t="s">
        <v>248</v>
      </c>
      <c r="J177" s="1159" t="str">
        <f t="shared" si="88"/>
        <v>lending_cashloan_cashloan_NGS_overdue_balance_90d</v>
      </c>
      <c r="K177" s="1149"/>
      <c r="L177" s="1169" t="s">
        <v>535</v>
      </c>
      <c r="M177" s="1149"/>
      <c r="N177" s="1169">
        <v>16588586424</v>
      </c>
      <c r="O177" s="1169">
        <v>26115203451</v>
      </c>
      <c r="P177" s="1169">
        <v>30245479070</v>
      </c>
      <c r="Q177" s="1169">
        <v>28696582145</v>
      </c>
      <c r="R177" s="1169">
        <v>21862907423</v>
      </c>
      <c r="S177" s="1169">
        <v>15699816619</v>
      </c>
      <c r="T177" s="1169">
        <v>12467400262</v>
      </c>
      <c r="U177" s="1149">
        <v>8502354209</v>
      </c>
      <c r="V177" s="1149">
        <v>6928199665</v>
      </c>
      <c r="W177" s="1149">
        <v>5477365691</v>
      </c>
      <c r="X177" s="1169">
        <v>4397061135</v>
      </c>
      <c r="Y177" s="1169">
        <v>2977009746</v>
      </c>
      <c r="Z177" s="1169">
        <v>2372374366</v>
      </c>
      <c r="AA177" s="1169">
        <v>1872164216</v>
      </c>
      <c r="AB177" s="34">
        <f t="shared" si="72"/>
        <v>-500210150</v>
      </c>
    </row>
    <row r="178" spans="2:30">
      <c r="B178" s="1158" t="s">
        <v>189</v>
      </c>
      <c r="C178" s="1159" t="s">
        <v>545</v>
      </c>
      <c r="D178" s="1159" t="s">
        <v>545</v>
      </c>
      <c r="E178" s="1159" t="s">
        <v>498</v>
      </c>
      <c r="F178" s="1159"/>
      <c r="G178" s="1159"/>
      <c r="H178" s="1159"/>
      <c r="I178" s="1160"/>
      <c r="J178" s="1159" t="str">
        <f t="shared" si="88"/>
        <v>lending_cashloan_cashloan_NGS_</v>
      </c>
      <c r="K178" s="1149"/>
      <c r="L178" s="1169" t="s">
        <v>536</v>
      </c>
      <c r="M178" s="1149"/>
      <c r="N178" s="1255">
        <f t="shared" ref="N178:AA178" si="89">N176-N177</f>
        <v>21218974322</v>
      </c>
      <c r="O178" s="1255">
        <f t="shared" si="89"/>
        <v>15111816936</v>
      </c>
      <c r="P178" s="1255">
        <f t="shared" si="89"/>
        <v>12058851647</v>
      </c>
      <c r="Q178" s="1255">
        <f t="shared" si="89"/>
        <v>9350189937</v>
      </c>
      <c r="R178" s="1255">
        <f t="shared" si="89"/>
        <v>6907436823</v>
      </c>
      <c r="S178" s="1255">
        <f t="shared" si="89"/>
        <v>5860956654</v>
      </c>
      <c r="T178" s="1255">
        <f t="shared" si="89"/>
        <v>4735396546</v>
      </c>
      <c r="U178" s="1255">
        <f t="shared" si="89"/>
        <v>3863598488</v>
      </c>
      <c r="V178" s="1255">
        <f t="shared" si="89"/>
        <v>3833449359</v>
      </c>
      <c r="W178" s="1255">
        <f t="shared" si="89"/>
        <v>3223143318</v>
      </c>
      <c r="X178" s="1255">
        <f t="shared" si="89"/>
        <v>2723668943</v>
      </c>
      <c r="Y178" s="1255">
        <f t="shared" si="89"/>
        <v>2310339232</v>
      </c>
      <c r="Z178" s="1255">
        <f t="shared" si="89"/>
        <v>1813145318</v>
      </c>
      <c r="AA178" s="1255">
        <f t="shared" si="89"/>
        <v>1439925715</v>
      </c>
      <c r="AB178" s="34">
        <f t="shared" si="72"/>
        <v>-373219603</v>
      </c>
    </row>
    <row r="179" spans="2:30">
      <c r="B179" s="1158" t="s">
        <v>189</v>
      </c>
      <c r="C179" s="1159" t="s">
        <v>545</v>
      </c>
      <c r="D179" s="1159" t="s">
        <v>545</v>
      </c>
      <c r="E179" s="1159" t="s">
        <v>498</v>
      </c>
      <c r="F179" s="1159"/>
      <c r="G179" s="1159"/>
      <c r="H179" s="1159"/>
      <c r="I179" s="1160"/>
      <c r="J179" s="1159" t="str">
        <f t="shared" si="88"/>
        <v>lending_cashloan_cashloan_NGS_</v>
      </c>
      <c r="K179" s="1149"/>
      <c r="L179" s="1169" t="s">
        <v>537</v>
      </c>
      <c r="M179" s="1149"/>
      <c r="N179" s="1269">
        <f t="shared" ref="N179:AA179" si="90">N175/N172</f>
        <v>0.17726717651987886</v>
      </c>
      <c r="O179" s="1269">
        <f t="shared" si="90"/>
        <v>0.30161662592104405</v>
      </c>
      <c r="P179" s="1269">
        <f t="shared" si="90"/>
        <v>0.38325862557173762</v>
      </c>
      <c r="Q179" s="1269">
        <f t="shared" si="90"/>
        <v>0.41370368389699819</v>
      </c>
      <c r="R179" s="1269">
        <f t="shared" si="90"/>
        <v>0.38747828317817007</v>
      </c>
      <c r="S179" s="1269">
        <f t="shared" si="90"/>
        <v>0.34407411421293149</v>
      </c>
      <c r="T179" s="1269">
        <f t="shared" si="90"/>
        <v>0.32913304797184917</v>
      </c>
      <c r="U179" s="1269">
        <f t="shared" si="90"/>
        <v>0.27273925087746009</v>
      </c>
      <c r="V179" s="1269">
        <f t="shared" si="90"/>
        <v>0.26919068540141261</v>
      </c>
      <c r="W179" s="1269">
        <f t="shared" si="90"/>
        <v>0.24886969988567037</v>
      </c>
      <c r="X179" s="1269">
        <f t="shared" si="90"/>
        <v>0.22764143481473789</v>
      </c>
      <c r="Y179" s="1269">
        <f t="shared" si="90"/>
        <v>0.17917355308243899</v>
      </c>
      <c r="Z179" s="1269">
        <f t="shared" si="90"/>
        <v>0.17234975505515931</v>
      </c>
      <c r="AA179" s="1269">
        <f t="shared" si="90"/>
        <v>0.15962549201719131</v>
      </c>
      <c r="AB179" s="34">
        <f t="shared" si="72"/>
        <v>-1.2724263037968003E-2</v>
      </c>
    </row>
    <row r="180" spans="2:30">
      <c r="B180" s="1158" t="s">
        <v>189</v>
      </c>
      <c r="C180" s="1159" t="s">
        <v>545</v>
      </c>
      <c r="D180" s="1159" t="s">
        <v>545</v>
      </c>
      <c r="E180" s="1159" t="s">
        <v>498</v>
      </c>
      <c r="F180" s="1159"/>
      <c r="G180" s="1159"/>
      <c r="H180" s="1159"/>
      <c r="I180" s="1162" t="s">
        <v>213</v>
      </c>
      <c r="J180" s="1159" t="str">
        <f t="shared" si="88"/>
        <v>lending_cashloan_cashloan_NGS_npl</v>
      </c>
      <c r="K180" s="1149"/>
      <c r="L180" s="1169" t="s">
        <v>538</v>
      </c>
      <c r="M180" s="1149"/>
      <c r="N180" s="1269">
        <f t="shared" ref="N180:AA180" si="91">N177/N172</f>
        <v>0.1981139405527966</v>
      </c>
      <c r="O180" s="1269">
        <f t="shared" si="91"/>
        <v>0.33082978994595563</v>
      </c>
      <c r="P180" s="1269">
        <f t="shared" si="91"/>
        <v>0.40237946630596094</v>
      </c>
      <c r="Q180" s="1269">
        <f t="shared" si="91"/>
        <v>0.43243856055029795</v>
      </c>
      <c r="R180" s="1269">
        <f t="shared" si="91"/>
        <v>0.41440639875588658</v>
      </c>
      <c r="S180" s="1269">
        <f t="shared" si="91"/>
        <v>0.37181052061199493</v>
      </c>
      <c r="T180" s="1269">
        <f t="shared" si="91"/>
        <v>0.35890809883598285</v>
      </c>
      <c r="U180" s="1269">
        <f t="shared" si="91"/>
        <v>0.31652127554690579</v>
      </c>
      <c r="V180" s="1269">
        <f t="shared" si="91"/>
        <v>0.31297957271088839</v>
      </c>
      <c r="W180" s="1269">
        <f t="shared" si="91"/>
        <v>0.29958293009678616</v>
      </c>
      <c r="X180" s="1269">
        <f t="shared" si="91"/>
        <v>0.29138224916004024</v>
      </c>
      <c r="Y180" s="1269">
        <f t="shared" si="91"/>
        <v>0.24851934115905799</v>
      </c>
      <c r="Z180" s="1269">
        <f t="shared" si="91"/>
        <v>0.24129950121460714</v>
      </c>
      <c r="AA180" s="1269">
        <f t="shared" si="91"/>
        <v>0.22812146088740837</v>
      </c>
      <c r="AB180" s="34">
        <f t="shared" si="72"/>
        <v>-1.317804032719877E-2</v>
      </c>
    </row>
    <row r="181" spans="2:30">
      <c r="B181" s="1158" t="s">
        <v>189</v>
      </c>
      <c r="C181" s="1159" t="s">
        <v>545</v>
      </c>
      <c r="D181" s="1159" t="s">
        <v>545</v>
      </c>
      <c r="E181" s="1159" t="s">
        <v>498</v>
      </c>
      <c r="F181" s="1159" t="str">
        <f>E181&amp;"CL"</f>
        <v>NGSCL</v>
      </c>
      <c r="G181" s="1159" t="str">
        <f>L181&amp;F181</f>
        <v>TOINGSCL</v>
      </c>
      <c r="H181" s="1408" t="str">
        <f>L181&amp;E181</f>
        <v>TOINGS</v>
      </c>
      <c r="I181" s="1162" t="s">
        <v>217</v>
      </c>
      <c r="J181" s="1159" t="str">
        <f t="shared" si="88"/>
        <v>lending_cashloan_cashloan_NGS_TOI</v>
      </c>
      <c r="K181" s="1149"/>
      <c r="L181" s="1238" t="s">
        <v>217</v>
      </c>
      <c r="M181" s="1150">
        <f t="shared" ref="M181:AA181" si="92">M182+M187+M191</f>
        <v>7467673857.7375011</v>
      </c>
      <c r="N181" s="1150">
        <f t="shared" si="92"/>
        <v>1615174111</v>
      </c>
      <c r="O181" s="1150">
        <f t="shared" si="92"/>
        <v>1366766952</v>
      </c>
      <c r="P181" s="1150">
        <f t="shared" si="92"/>
        <v>1156237434</v>
      </c>
      <c r="Q181" s="1150">
        <f t="shared" si="92"/>
        <v>952237863</v>
      </c>
      <c r="R181" s="1150">
        <f t="shared" si="92"/>
        <v>939402819.73750067</v>
      </c>
      <c r="S181" s="1150">
        <f t="shared" si="92"/>
        <v>757374247</v>
      </c>
      <c r="T181" s="1150">
        <f t="shared" si="92"/>
        <v>701431890</v>
      </c>
      <c r="U181" s="1150">
        <f t="shared" si="92"/>
        <v>626121975</v>
      </c>
      <c r="V181" s="1150">
        <f t="shared" si="92"/>
        <v>559930380</v>
      </c>
      <c r="W181" s="1150">
        <f t="shared" si="92"/>
        <v>479922588</v>
      </c>
      <c r="X181" s="1150">
        <f t="shared" si="92"/>
        <v>367860360</v>
      </c>
      <c r="Y181" s="1150">
        <f t="shared" si="92"/>
        <v>361490830</v>
      </c>
      <c r="Z181" s="1150">
        <f t="shared" si="92"/>
        <v>279719436</v>
      </c>
      <c r="AA181" s="1150">
        <f t="shared" si="92"/>
        <v>285944035</v>
      </c>
      <c r="AB181" s="34">
        <f t="shared" si="72"/>
        <v>6224599</v>
      </c>
      <c r="AC181" s="34">
        <f>SUM(P181:AA181)</f>
        <v>7467673857.7375011</v>
      </c>
    </row>
    <row r="182" spans="2:30">
      <c r="B182" s="1158" t="s">
        <v>189</v>
      </c>
      <c r="C182" s="1159" t="s">
        <v>545</v>
      </c>
      <c r="D182" s="1159" t="s">
        <v>545</v>
      </c>
      <c r="E182" s="1159" t="s">
        <v>498</v>
      </c>
      <c r="F182" s="1159"/>
      <c r="G182" s="1159"/>
      <c r="H182" s="1159"/>
      <c r="I182" s="1162" t="s">
        <v>254</v>
      </c>
      <c r="J182" s="1159" t="str">
        <f t="shared" si="88"/>
        <v>lending_cashloan_cashloan_NGS_NII</v>
      </c>
      <c r="K182" s="1149"/>
      <c r="L182" s="1239" t="s">
        <v>218</v>
      </c>
      <c r="M182" s="1150">
        <f t="shared" ref="M182:AA182" si="93">M183-M186</f>
        <v>6840817786.7375011</v>
      </c>
      <c r="N182" s="1150">
        <f t="shared" si="93"/>
        <v>1586087340</v>
      </c>
      <c r="O182" s="1150">
        <f t="shared" si="93"/>
        <v>1335836522</v>
      </c>
      <c r="P182" s="1150">
        <f t="shared" si="93"/>
        <v>1135298822</v>
      </c>
      <c r="Q182" s="1150">
        <f t="shared" si="93"/>
        <v>939411346</v>
      </c>
      <c r="R182" s="1150">
        <f t="shared" si="93"/>
        <v>881547443.73750067</v>
      </c>
      <c r="S182" s="1150">
        <f t="shared" si="93"/>
        <v>717352937</v>
      </c>
      <c r="T182" s="1150">
        <f t="shared" si="93"/>
        <v>662562659</v>
      </c>
      <c r="U182" s="1150">
        <f t="shared" si="93"/>
        <v>544560634</v>
      </c>
      <c r="V182" s="1150">
        <f t="shared" si="93"/>
        <v>475859691</v>
      </c>
      <c r="W182" s="1150">
        <f t="shared" si="93"/>
        <v>404303413</v>
      </c>
      <c r="X182" s="1150">
        <f t="shared" si="93"/>
        <v>329919780</v>
      </c>
      <c r="Y182" s="1150">
        <f t="shared" si="93"/>
        <v>292482407</v>
      </c>
      <c r="Z182" s="1150">
        <f t="shared" si="93"/>
        <v>234741426</v>
      </c>
      <c r="AA182" s="1150">
        <f t="shared" si="93"/>
        <v>222777228</v>
      </c>
      <c r="AB182" s="34">
        <f t="shared" si="72"/>
        <v>-11964198</v>
      </c>
    </row>
    <row r="183" spans="2:30">
      <c r="B183" s="1158" t="s">
        <v>189</v>
      </c>
      <c r="C183" s="1159" t="s">
        <v>545</v>
      </c>
      <c r="D183" s="1159" t="s">
        <v>545</v>
      </c>
      <c r="E183" s="1159" t="s">
        <v>498</v>
      </c>
      <c r="F183" s="1159"/>
      <c r="G183" s="1159"/>
      <c r="H183" s="1159"/>
      <c r="I183" s="1162" t="s">
        <v>255</v>
      </c>
      <c r="J183" s="1159" t="str">
        <f t="shared" si="88"/>
        <v>lending_cashloan_cashloan_NGS_CII</v>
      </c>
      <c r="K183" s="1149"/>
      <c r="L183" s="1240" t="s">
        <v>20</v>
      </c>
      <c r="M183" s="1149">
        <f>SUM(P183:AA183)</f>
        <v>9645450386</v>
      </c>
      <c r="N183" s="1149">
        <f>N184+1070610104-N185</f>
        <v>2118358953</v>
      </c>
      <c r="O183" s="1149">
        <f t="shared" ref="O183:Z183" si="94">O184+N185-O185</f>
        <v>1860156240</v>
      </c>
      <c r="P183" s="1149">
        <f t="shared" si="94"/>
        <v>1633852611</v>
      </c>
      <c r="Q183" s="1149">
        <f t="shared" si="94"/>
        <v>1365660036</v>
      </c>
      <c r="R183" s="1149">
        <f t="shared" si="94"/>
        <v>1281047602</v>
      </c>
      <c r="S183" s="1149">
        <f t="shared" si="94"/>
        <v>1039188923</v>
      </c>
      <c r="T183" s="1149">
        <f t="shared" si="94"/>
        <v>932211979</v>
      </c>
      <c r="U183" s="1149">
        <f t="shared" si="94"/>
        <v>759567567</v>
      </c>
      <c r="V183" s="1149">
        <f t="shared" si="94"/>
        <v>648627912</v>
      </c>
      <c r="W183" s="1149">
        <f t="shared" si="94"/>
        <v>548744753</v>
      </c>
      <c r="X183" s="1149">
        <f t="shared" si="94"/>
        <v>446115897</v>
      </c>
      <c r="Y183" s="1149">
        <f t="shared" si="94"/>
        <v>391432857</v>
      </c>
      <c r="Z183" s="1149">
        <f t="shared" si="94"/>
        <v>310966390</v>
      </c>
      <c r="AA183" s="1149">
        <f>AA184+Z185-AA185</f>
        <v>288033859</v>
      </c>
      <c r="AB183" s="34">
        <f t="shared" si="72"/>
        <v>-22932531</v>
      </c>
    </row>
    <row r="184" spans="2:30">
      <c r="B184" s="1158" t="s">
        <v>189</v>
      </c>
      <c r="C184" s="1159" t="s">
        <v>545</v>
      </c>
      <c r="D184" s="1159" t="s">
        <v>545</v>
      </c>
      <c r="E184" s="1159" t="s">
        <v>498</v>
      </c>
      <c r="F184" s="1159"/>
      <c r="G184" s="1159"/>
      <c r="H184" s="1159"/>
      <c r="I184" s="1162"/>
      <c r="J184" s="1159" t="str">
        <f t="shared" si="88"/>
        <v>lending_cashloan_cashloan_NGS_</v>
      </c>
      <c r="K184" s="1149"/>
      <c r="L184" s="1274" t="s">
        <v>539</v>
      </c>
      <c r="M184" s="1151">
        <f>SUM(P184:AA184)</f>
        <v>8565317359</v>
      </c>
      <c r="N184" s="1169">
        <v>2182423210</v>
      </c>
      <c r="O184" s="1169">
        <v>1887779845</v>
      </c>
      <c r="P184" s="1169">
        <v>1627009104</v>
      </c>
      <c r="Q184" s="1151">
        <v>1152990479</v>
      </c>
      <c r="R184" s="1151">
        <v>1013789036</v>
      </c>
      <c r="S184" s="1151">
        <v>897033908</v>
      </c>
      <c r="T184" s="1151">
        <v>803142604</v>
      </c>
      <c r="U184" s="1151">
        <v>637600736</v>
      </c>
      <c r="V184" s="1151">
        <v>619417378</v>
      </c>
      <c r="W184" s="1151">
        <v>493982632</v>
      </c>
      <c r="X184" s="1151">
        <v>409380520</v>
      </c>
      <c r="Y184" s="1151">
        <v>355580203</v>
      </c>
      <c r="Z184" s="1149">
        <v>285279867</v>
      </c>
      <c r="AA184" s="1169">
        <v>270110892</v>
      </c>
      <c r="AB184" s="34">
        <f t="shared" si="72"/>
        <v>-15168975</v>
      </c>
    </row>
    <row r="185" spans="2:30">
      <c r="B185" s="1158" t="s">
        <v>189</v>
      </c>
      <c r="C185" s="1159" t="s">
        <v>545</v>
      </c>
      <c r="D185" s="1159" t="s">
        <v>545</v>
      </c>
      <c r="E185" s="1159" t="s">
        <v>498</v>
      </c>
      <c r="F185" s="1159"/>
      <c r="G185" s="1159"/>
      <c r="H185" s="1159"/>
      <c r="I185" s="1160"/>
      <c r="J185" s="1159" t="str">
        <f t="shared" si="88"/>
        <v>lending_cashloan_cashloan_NGS_</v>
      </c>
      <c r="K185" s="1149"/>
      <c r="L185" s="1274" t="s">
        <v>187</v>
      </c>
      <c r="M185" s="1151">
        <f>SUM(P185:AA185)</f>
        <v>4914915477</v>
      </c>
      <c r="N185" s="1151">
        <v>1134674361</v>
      </c>
      <c r="O185" s="1151">
        <f>1143368073+ 18929893</f>
        <v>1162297966</v>
      </c>
      <c r="P185" s="1151">
        <v>1155454459</v>
      </c>
      <c r="Q185" s="1151">
        <v>942784902</v>
      </c>
      <c r="R185" s="1151">
        <v>675526336</v>
      </c>
      <c r="S185" s="1151">
        <v>533371321</v>
      </c>
      <c r="T185" s="1151">
        <v>404301946</v>
      </c>
      <c r="U185" s="1151">
        <v>282335115</v>
      </c>
      <c r="V185" s="1151">
        <v>253124581</v>
      </c>
      <c r="W185" s="1151">
        <v>198362460</v>
      </c>
      <c r="X185" s="1151">
        <v>161627083</v>
      </c>
      <c r="Y185" s="1149">
        <v>125774429</v>
      </c>
      <c r="Z185" s="1149">
        <v>100087906</v>
      </c>
      <c r="AA185" s="1151">
        <v>82164939</v>
      </c>
      <c r="AB185" s="34">
        <f t="shared" si="72"/>
        <v>-17922967</v>
      </c>
      <c r="AC185" s="34"/>
      <c r="AD185" s="34"/>
    </row>
    <row r="186" spans="2:30">
      <c r="B186" s="1158" t="s">
        <v>189</v>
      </c>
      <c r="C186" s="1159" t="s">
        <v>545</v>
      </c>
      <c r="D186" s="1159" t="s">
        <v>545</v>
      </c>
      <c r="E186" s="1159" t="s">
        <v>498</v>
      </c>
      <c r="F186" s="1159"/>
      <c r="G186" s="1159"/>
      <c r="H186" s="1159"/>
      <c r="I186" s="1162" t="s">
        <v>219</v>
      </c>
      <c r="J186" s="1159" t="str">
        <f t="shared" si="88"/>
        <v>lending_cashloan_cashloan_NGS_COF</v>
      </c>
      <c r="K186" s="1149"/>
      <c r="L186" s="1240" t="s">
        <v>219</v>
      </c>
      <c r="M186" s="1149">
        <f>SUM(P186:AA186)</f>
        <v>2804632599.2624993</v>
      </c>
      <c r="N186" s="1254">
        <v>532271613</v>
      </c>
      <c r="O186" s="1247">
        <v>524319718</v>
      </c>
      <c r="P186" s="1169">
        <v>498553789</v>
      </c>
      <c r="Q186" s="1169">
        <v>426248690</v>
      </c>
      <c r="R186" s="1169">
        <v>399500158.26249939</v>
      </c>
      <c r="S186" s="1169">
        <v>321835986</v>
      </c>
      <c r="T186" s="1169">
        <v>269649320</v>
      </c>
      <c r="U186" s="1169">
        <v>215006933</v>
      </c>
      <c r="V186" s="1290">
        <v>172768221</v>
      </c>
      <c r="W186" s="1290">
        <v>144441340</v>
      </c>
      <c r="X186" s="1290">
        <v>116196117</v>
      </c>
      <c r="Y186" s="1149">
        <v>98950450</v>
      </c>
      <c r="Z186" s="1149">
        <v>76224964</v>
      </c>
      <c r="AA186" s="1247">
        <v>65256631</v>
      </c>
      <c r="AB186" s="34">
        <f t="shared" si="72"/>
        <v>-10968333</v>
      </c>
    </row>
    <row r="187" spans="2:30">
      <c r="B187" s="1158" t="s">
        <v>189</v>
      </c>
      <c r="C187" s="1159" t="s">
        <v>545</v>
      </c>
      <c r="D187" s="1159" t="s">
        <v>545</v>
      </c>
      <c r="E187" s="1159" t="s">
        <v>498</v>
      </c>
      <c r="F187" s="1159"/>
      <c r="G187" s="1159"/>
      <c r="H187" s="1159"/>
      <c r="I187" s="1162" t="s">
        <v>260</v>
      </c>
      <c r="J187" s="1159" t="str">
        <f t="shared" si="88"/>
        <v>lending_cashloan_cashloan_NGS_NFI</v>
      </c>
      <c r="K187" s="1149"/>
      <c r="L187" s="1239" t="s">
        <v>220</v>
      </c>
      <c r="M187" s="1150">
        <f t="shared" ref="M187:AA187" si="95">SUM(M188:M190)</f>
        <v>133432333</v>
      </c>
      <c r="N187" s="1150">
        <f t="shared" si="95"/>
        <v>29086771</v>
      </c>
      <c r="O187" s="1150">
        <f t="shared" si="95"/>
        <v>30930430</v>
      </c>
      <c r="P187" s="1150">
        <f t="shared" si="95"/>
        <v>20938612</v>
      </c>
      <c r="Q187" s="1150">
        <f t="shared" si="95"/>
        <v>12826517</v>
      </c>
      <c r="R187" s="1150">
        <f t="shared" si="95"/>
        <v>23621991</v>
      </c>
      <c r="S187" s="1150">
        <f t="shared" si="95"/>
        <v>15766021</v>
      </c>
      <c r="T187" s="1150">
        <f t="shared" si="95"/>
        <v>9759969</v>
      </c>
      <c r="U187" s="1150">
        <f t="shared" si="95"/>
        <v>11487643</v>
      </c>
      <c r="V187" s="1150">
        <f t="shared" si="95"/>
        <v>10225439</v>
      </c>
      <c r="W187" s="1150">
        <f t="shared" si="95"/>
        <v>5832434</v>
      </c>
      <c r="X187" s="1150">
        <f t="shared" si="95"/>
        <v>8263119</v>
      </c>
      <c r="Y187" s="1150">
        <f t="shared" si="95"/>
        <v>7348332</v>
      </c>
      <c r="Z187" s="1150">
        <f t="shared" si="95"/>
        <v>3928242</v>
      </c>
      <c r="AA187" s="1150">
        <f t="shared" si="95"/>
        <v>3434014</v>
      </c>
      <c r="AB187" s="34">
        <f t="shared" si="72"/>
        <v>-494228</v>
      </c>
    </row>
    <row r="188" spans="2:30">
      <c r="B188" s="1158" t="s">
        <v>189</v>
      </c>
      <c r="C188" s="1159" t="s">
        <v>545</v>
      </c>
      <c r="D188" s="1159" t="s">
        <v>545</v>
      </c>
      <c r="E188" s="1159" t="s">
        <v>498</v>
      </c>
      <c r="F188" s="1159"/>
      <c r="G188" s="1159"/>
      <c r="H188" s="1159"/>
      <c r="I188" s="1162" t="s">
        <v>546</v>
      </c>
      <c r="J188" s="1159" t="str">
        <f t="shared" si="88"/>
        <v>lending_cashloan_cashloan_NGS_insurance_fee</v>
      </c>
      <c r="K188" s="1149"/>
      <c r="L188" s="1240" t="s">
        <v>540</v>
      </c>
      <c r="M188" s="1151">
        <f>SUM(P188:AA188)</f>
        <v>0</v>
      </c>
      <c r="N188" s="1151"/>
      <c r="O188" s="1261"/>
      <c r="P188" s="1243"/>
      <c r="Q188" s="1248">
        <v>0</v>
      </c>
      <c r="R188" s="1243"/>
      <c r="S188" s="1243"/>
      <c r="T188" s="1243"/>
      <c r="U188" s="1151"/>
      <c r="V188" s="1261"/>
      <c r="W188" s="1151"/>
      <c r="X188" s="1302"/>
      <c r="Y188" s="1151"/>
      <c r="Z188" s="1151"/>
      <c r="AA188" s="1261"/>
      <c r="AB188" s="34">
        <f t="shared" si="72"/>
        <v>0</v>
      </c>
    </row>
    <row r="189" spans="2:30">
      <c r="B189" s="1158" t="s">
        <v>189</v>
      </c>
      <c r="C189" s="1159" t="s">
        <v>545</v>
      </c>
      <c r="D189" s="1159" t="s">
        <v>545</v>
      </c>
      <c r="E189" s="1159" t="s">
        <v>498</v>
      </c>
      <c r="F189" s="1159"/>
      <c r="G189" s="1159"/>
      <c r="H189" s="1159"/>
      <c r="I189" s="1162" t="s">
        <v>547</v>
      </c>
      <c r="J189" s="1159" t="str">
        <f t="shared" si="88"/>
        <v>lending_cashloan_cashloan_NGS_early_terminate_fee</v>
      </c>
      <c r="K189" s="1149"/>
      <c r="L189" s="1240" t="s">
        <v>541</v>
      </c>
      <c r="M189" s="1151">
        <f>SUM(P189:AA189)</f>
        <v>133432333</v>
      </c>
      <c r="N189" s="1151">
        <v>29086771</v>
      </c>
      <c r="O189" s="1151">
        <v>30930430</v>
      </c>
      <c r="P189" s="1169">
        <v>20938612</v>
      </c>
      <c r="Q189" s="1248">
        <v>12826517</v>
      </c>
      <c r="R189" s="1243">
        <v>23621991</v>
      </c>
      <c r="S189" s="1243">
        <v>15766021</v>
      </c>
      <c r="T189" s="1243">
        <v>9759969</v>
      </c>
      <c r="U189" s="1243">
        <v>11487643</v>
      </c>
      <c r="V189" s="1243">
        <v>10225439</v>
      </c>
      <c r="W189" s="1243">
        <v>5832434</v>
      </c>
      <c r="X189" s="1243">
        <v>8263119</v>
      </c>
      <c r="Y189" s="1243">
        <v>7348332</v>
      </c>
      <c r="Z189" s="1151">
        <v>3928242</v>
      </c>
      <c r="AA189" s="1151">
        <v>3434014</v>
      </c>
      <c r="AB189" s="34">
        <f t="shared" si="72"/>
        <v>-494228</v>
      </c>
    </row>
    <row r="190" spans="2:30">
      <c r="B190" s="1158" t="s">
        <v>189</v>
      </c>
      <c r="C190" s="1159" t="s">
        <v>545</v>
      </c>
      <c r="D190" s="1159" t="s">
        <v>545</v>
      </c>
      <c r="E190" s="1159" t="s">
        <v>498</v>
      </c>
      <c r="F190" s="1159"/>
      <c r="G190" s="1159"/>
      <c r="H190" s="1159"/>
      <c r="I190" s="1162" t="s">
        <v>548</v>
      </c>
      <c r="J190" s="1159" t="str">
        <f t="shared" si="88"/>
        <v>lending_cashloan_cashloan_NGS_loan_grant_fee</v>
      </c>
      <c r="K190" s="1149"/>
      <c r="L190" s="1240" t="s">
        <v>542</v>
      </c>
      <c r="M190" s="1151">
        <f>SUM(P190:AA190)</f>
        <v>0</v>
      </c>
      <c r="N190" s="1151"/>
      <c r="O190" s="1151"/>
      <c r="P190" s="1243"/>
      <c r="Q190" s="1243"/>
      <c r="R190" s="1243"/>
      <c r="S190" s="1243"/>
      <c r="T190" s="1243"/>
      <c r="U190" s="1151"/>
      <c r="V190" s="1261"/>
      <c r="W190" s="1151"/>
      <c r="X190" s="1151"/>
      <c r="Y190" s="1151"/>
      <c r="Z190" s="1151"/>
      <c r="AA190" s="1151"/>
      <c r="AB190" s="34">
        <f t="shared" si="72"/>
        <v>0</v>
      </c>
    </row>
    <row r="191" spans="2:30" s="4" customFormat="1">
      <c r="B191" s="1158" t="s">
        <v>189</v>
      </c>
      <c r="C191" s="1159" t="s">
        <v>545</v>
      </c>
      <c r="D191" s="1159" t="s">
        <v>545</v>
      </c>
      <c r="E191" s="1164" t="s">
        <v>498</v>
      </c>
      <c r="F191" s="1164"/>
      <c r="G191" s="1164"/>
      <c r="H191" s="1164"/>
      <c r="I191" s="1162" t="s">
        <v>269</v>
      </c>
      <c r="J191" s="1164" t="str">
        <f t="shared" si="88"/>
        <v>lending_cashloan_cashloan_NGS_other_TOI</v>
      </c>
      <c r="K191" s="1149"/>
      <c r="L191" s="1239" t="s">
        <v>89</v>
      </c>
      <c r="M191" s="1152">
        <f>SUM(P191:AA191)</f>
        <v>493423738</v>
      </c>
      <c r="N191" s="1152"/>
      <c r="O191" s="1152"/>
      <c r="P191" s="1244"/>
      <c r="Q191" s="1244"/>
      <c r="R191" s="1244">
        <v>34233385</v>
      </c>
      <c r="S191" s="1244">
        <v>24255289</v>
      </c>
      <c r="T191" s="1244">
        <v>29109262</v>
      </c>
      <c r="U191" s="1244">
        <v>70073698</v>
      </c>
      <c r="V191" s="1244">
        <v>73845250</v>
      </c>
      <c r="W191" s="1152">
        <v>69786741</v>
      </c>
      <c r="X191" s="1152">
        <v>29677461</v>
      </c>
      <c r="Y191" s="1152">
        <v>61660091</v>
      </c>
      <c r="Z191" s="1152">
        <v>41049768</v>
      </c>
      <c r="AA191" s="1152">
        <v>59732793</v>
      </c>
      <c r="AB191" s="34">
        <f t="shared" si="72"/>
        <v>18683025</v>
      </c>
    </row>
    <row r="192" spans="2:30">
      <c r="B192" s="1158" t="s">
        <v>189</v>
      </c>
      <c r="C192" s="1159" t="s">
        <v>545</v>
      </c>
      <c r="D192" s="1159" t="s">
        <v>545</v>
      </c>
      <c r="E192" s="1159" t="s">
        <v>498</v>
      </c>
      <c r="F192" s="1159"/>
      <c r="G192" s="1159"/>
      <c r="H192" s="1159"/>
      <c r="I192" s="1162" t="s">
        <v>270</v>
      </c>
      <c r="J192" s="1159" t="str">
        <f t="shared" si="88"/>
        <v>lending_cashloan_cashloan_NGS_provision</v>
      </c>
      <c r="K192" s="1149"/>
      <c r="L192" s="1245" t="s">
        <v>136</v>
      </c>
      <c r="M192" s="1150">
        <f>SUM(P192:AA192)</f>
        <v>36732286972</v>
      </c>
      <c r="N192" s="1262">
        <v>1675502913</v>
      </c>
      <c r="O192" s="1262">
        <f>1667429581+310971680</f>
        <v>1978401261</v>
      </c>
      <c r="P192" s="1262">
        <v>4463613863</v>
      </c>
      <c r="Q192" s="1275">
        <v>8274164051</v>
      </c>
      <c r="R192" s="1275">
        <f>6882028510+347483352</f>
        <v>7229511862</v>
      </c>
      <c r="S192" s="1245">
        <v>3637268435</v>
      </c>
      <c r="T192" s="1245">
        <v>3968913595</v>
      </c>
      <c r="U192" s="1245">
        <f>2163891037+135426906</f>
        <v>2299317943</v>
      </c>
      <c r="V192" s="1296">
        <v>1595177932</v>
      </c>
      <c r="W192" s="1262">
        <v>1473555846</v>
      </c>
      <c r="X192" s="1262">
        <f>1486413037+80500327</f>
        <v>1566913364</v>
      </c>
      <c r="Y192" s="1245">
        <v>826035171</v>
      </c>
      <c r="Z192" s="1245">
        <v>750236450</v>
      </c>
      <c r="AA192" s="1245">
        <f>616400005+31178455</f>
        <v>647578460</v>
      </c>
      <c r="AB192" s="34">
        <f t="shared" si="72"/>
        <v>-102657990</v>
      </c>
    </row>
    <row r="193" spans="2:29">
      <c r="B193" s="1158" t="s">
        <v>189</v>
      </c>
      <c r="C193" s="1159" t="s">
        <v>545</v>
      </c>
      <c r="D193" s="1159" t="s">
        <v>545</v>
      </c>
      <c r="E193" s="1159" t="s">
        <v>498</v>
      </c>
      <c r="F193" s="1159"/>
      <c r="G193" s="1159"/>
      <c r="H193" s="1159"/>
      <c r="I193" s="1162" t="s">
        <v>271</v>
      </c>
      <c r="J193" s="1159" t="str">
        <f t="shared" si="88"/>
        <v>lending_cashloan_cashloan_NGS_variable_cost</v>
      </c>
      <c r="K193" s="1149"/>
      <c r="L193" s="1245" t="s">
        <v>229</v>
      </c>
      <c r="M193" s="1150">
        <f t="shared" ref="M193:AA193" si="96">SUM(M194:M201)</f>
        <v>281034785.16685247</v>
      </c>
      <c r="N193" s="1150">
        <f t="shared" si="96"/>
        <v>57481158.771861568</v>
      </c>
      <c r="O193" s="1150">
        <f t="shared" si="96"/>
        <v>59449401.449715674</v>
      </c>
      <c r="P193" s="1150">
        <f t="shared" si="96"/>
        <v>46167859.864670515</v>
      </c>
      <c r="Q193" s="1150">
        <f t="shared" si="96"/>
        <v>76364537.504044667</v>
      </c>
      <c r="R193" s="1150">
        <f t="shared" si="96"/>
        <v>30819639.829582319</v>
      </c>
      <c r="S193" s="1150">
        <f t="shared" si="96"/>
        <v>28505128.781318597</v>
      </c>
      <c r="T193" s="1150">
        <f t="shared" si="96"/>
        <v>27136591.876444098</v>
      </c>
      <c r="U193" s="1150">
        <f t="shared" si="96"/>
        <v>12917226.950947205</v>
      </c>
      <c r="V193" s="1150">
        <f t="shared" si="96"/>
        <v>15270584.744383667</v>
      </c>
      <c r="W193" s="1150">
        <f t="shared" si="96"/>
        <v>11230853.657907503</v>
      </c>
      <c r="X193" s="1150">
        <f t="shared" si="96"/>
        <v>10906718.116906669</v>
      </c>
      <c r="Y193" s="1150">
        <f t="shared" si="96"/>
        <v>7442677.591605573</v>
      </c>
      <c r="Z193" s="1150">
        <f t="shared" si="96"/>
        <v>8593517.4803198725</v>
      </c>
      <c r="AA193" s="1150">
        <f t="shared" si="96"/>
        <v>5679448.7687217947</v>
      </c>
      <c r="AB193" s="34">
        <f t="shared" si="72"/>
        <v>-2914068.7115980778</v>
      </c>
    </row>
    <row r="194" spans="2:29">
      <c r="B194" s="1158" t="s">
        <v>189</v>
      </c>
      <c r="C194" s="1159" t="s">
        <v>545</v>
      </c>
      <c r="D194" s="1159" t="s">
        <v>545</v>
      </c>
      <c r="E194" s="1159" t="s">
        <v>498</v>
      </c>
      <c r="F194" s="1159"/>
      <c r="G194" s="1159"/>
      <c r="H194" s="1159"/>
      <c r="I194" s="1162" t="s">
        <v>272</v>
      </c>
      <c r="J194" s="1159" t="str">
        <f t="shared" si="88"/>
        <v>lending_cashloan_cashloan_NGS_marketing_acquisition_cost</v>
      </c>
      <c r="K194" s="1149"/>
      <c r="L194" s="1246" t="s">
        <v>230</v>
      </c>
      <c r="M194" s="1149">
        <f t="shared" ref="M194:M199" si="97">SUM(P194:AA194)</f>
        <v>0</v>
      </c>
      <c r="N194" s="1147"/>
      <c r="O194" s="1147"/>
      <c r="P194" s="1169"/>
      <c r="Q194" s="1169"/>
      <c r="R194" s="1169"/>
      <c r="S194" s="1147"/>
      <c r="T194" s="1169"/>
      <c r="U194" s="1147"/>
      <c r="V194" s="1147"/>
      <c r="W194" s="1149"/>
      <c r="X194" s="1149"/>
      <c r="Y194" s="1147"/>
      <c r="Z194" s="1147"/>
      <c r="AA194" s="1147"/>
      <c r="AB194" s="34">
        <f t="shared" si="72"/>
        <v>0</v>
      </c>
    </row>
    <row r="195" spans="2:29">
      <c r="B195" s="1158" t="s">
        <v>189</v>
      </c>
      <c r="C195" s="1159" t="s">
        <v>545</v>
      </c>
      <c r="D195" s="1159" t="s">
        <v>545</v>
      </c>
      <c r="E195" s="1159" t="s">
        <v>498</v>
      </c>
      <c r="F195" s="1159"/>
      <c r="G195" s="1159"/>
      <c r="H195" s="1159"/>
      <c r="I195" s="1162" t="s">
        <v>273</v>
      </c>
      <c r="J195" s="1159" t="str">
        <f t="shared" si="88"/>
        <v>lending_cashloan_cashloan_NGS_partner_acquisition_cost</v>
      </c>
      <c r="K195" s="1149"/>
      <c r="L195" s="1246" t="s">
        <v>231</v>
      </c>
      <c r="M195" s="1150">
        <f t="shared" si="97"/>
        <v>0</v>
      </c>
      <c r="N195" s="1150"/>
      <c r="O195" s="1262"/>
      <c r="P195" s="1262"/>
      <c r="Q195" s="1275"/>
      <c r="R195" s="1245"/>
      <c r="S195" s="1150"/>
      <c r="T195" s="1245"/>
      <c r="U195" s="1245"/>
      <c r="V195" s="1245"/>
      <c r="W195" s="1245"/>
      <c r="X195" s="1263"/>
      <c r="Y195" s="1264"/>
      <c r="Z195" s="1264"/>
      <c r="AA195" s="1245"/>
      <c r="AB195" s="34">
        <f t="shared" si="72"/>
        <v>0</v>
      </c>
    </row>
    <row r="196" spans="2:29">
      <c r="B196" s="1158" t="s">
        <v>189</v>
      </c>
      <c r="C196" s="1159" t="s">
        <v>545</v>
      </c>
      <c r="D196" s="1159" t="s">
        <v>545</v>
      </c>
      <c r="E196" s="1159" t="s">
        <v>498</v>
      </c>
      <c r="F196" s="1159"/>
      <c r="G196" s="1159"/>
      <c r="H196" s="1159"/>
      <c r="I196" s="1162" t="s">
        <v>274</v>
      </c>
      <c r="J196" s="1159" t="str">
        <f t="shared" si="88"/>
        <v>lending_cashloan_cashloan_NGS_underwritting</v>
      </c>
      <c r="K196" s="1149"/>
      <c r="L196" s="1246" t="s">
        <v>232</v>
      </c>
      <c r="M196" s="1149">
        <f t="shared" si="97"/>
        <v>0</v>
      </c>
      <c r="N196" s="1149">
        <v>568775.33358588733</v>
      </c>
      <c r="O196" s="1149">
        <v>0</v>
      </c>
      <c r="P196" s="1149"/>
      <c r="Q196" s="1149"/>
      <c r="R196" s="1149"/>
      <c r="S196" s="1149"/>
      <c r="T196" s="1149"/>
      <c r="U196" s="1149"/>
      <c r="V196" s="1149"/>
      <c r="W196" s="1149"/>
      <c r="X196" s="1149"/>
      <c r="Y196" s="1149"/>
      <c r="Z196" s="1149"/>
      <c r="AA196" s="1149"/>
      <c r="AB196" s="34">
        <f t="shared" si="72"/>
        <v>0</v>
      </c>
    </row>
    <row r="197" spans="2:29">
      <c r="B197" s="1158" t="s">
        <v>189</v>
      </c>
      <c r="C197" s="1159" t="s">
        <v>545</v>
      </c>
      <c r="D197" s="1159" t="s">
        <v>545</v>
      </c>
      <c r="E197" s="1159" t="s">
        <v>498</v>
      </c>
      <c r="F197" s="1159"/>
      <c r="G197" s="1159"/>
      <c r="H197" s="1159"/>
      <c r="I197" s="1162" t="s">
        <v>275</v>
      </c>
      <c r="J197" s="1159" t="str">
        <f t="shared" si="88"/>
        <v>lending_cashloan_cashloan_NGS_e_contract</v>
      </c>
      <c r="K197" s="1149"/>
      <c r="L197" s="1246" t="s">
        <v>233</v>
      </c>
      <c r="M197" s="1149">
        <f t="shared" si="97"/>
        <v>0</v>
      </c>
      <c r="N197" s="1149">
        <v>770</v>
      </c>
      <c r="O197" s="1149">
        <f>$K$80*O166</f>
        <v>0</v>
      </c>
      <c r="P197" s="1169"/>
      <c r="Q197" s="1253"/>
      <c r="R197" s="1253"/>
      <c r="S197" s="1253"/>
      <c r="T197" s="1253"/>
      <c r="U197" s="1247"/>
      <c r="V197" s="1149"/>
      <c r="W197" s="1149"/>
      <c r="X197" s="1149"/>
      <c r="Y197" s="1149"/>
      <c r="Z197" s="1149"/>
      <c r="AA197" s="1149"/>
      <c r="AB197" s="34">
        <f t="shared" ref="AB197:AB260" si="98">AA197-Z197</f>
        <v>0</v>
      </c>
    </row>
    <row r="198" spans="2:29">
      <c r="B198" s="1158" t="s">
        <v>189</v>
      </c>
      <c r="C198" s="1159" t="s">
        <v>545</v>
      </c>
      <c r="D198" s="1159" t="s">
        <v>545</v>
      </c>
      <c r="E198" s="1159" t="s">
        <v>498</v>
      </c>
      <c r="F198" s="1159"/>
      <c r="G198" s="1159"/>
      <c r="H198" s="1159"/>
      <c r="I198" s="1162" t="s">
        <v>276</v>
      </c>
      <c r="J198" s="1159" t="str">
        <f t="shared" si="88"/>
        <v>lending_cashloan_cashloan_NGS_nfc</v>
      </c>
      <c r="K198" s="1149"/>
      <c r="L198" s="1246" t="s">
        <v>152</v>
      </c>
      <c r="M198" s="1149">
        <f t="shared" si="97"/>
        <v>0</v>
      </c>
      <c r="N198" s="1149"/>
      <c r="O198" s="1149"/>
      <c r="P198" s="1169"/>
      <c r="Q198" s="1169"/>
      <c r="R198" s="1169"/>
      <c r="S198" s="1147"/>
      <c r="T198" s="1169"/>
      <c r="U198" s="1265"/>
      <c r="V198" s="1149"/>
      <c r="W198" s="1149"/>
      <c r="X198" s="1149"/>
      <c r="Y198" s="1149"/>
      <c r="Z198" s="1149"/>
      <c r="AA198" s="1149"/>
      <c r="AB198" s="34">
        <f t="shared" si="98"/>
        <v>0</v>
      </c>
    </row>
    <row r="199" spans="2:29">
      <c r="B199" s="1158" t="s">
        <v>189</v>
      </c>
      <c r="C199" s="1159" t="s">
        <v>545</v>
      </c>
      <c r="D199" s="1159" t="s">
        <v>545</v>
      </c>
      <c r="E199" s="1159" t="s">
        <v>498</v>
      </c>
      <c r="F199" s="1159"/>
      <c r="G199" s="1159"/>
      <c r="H199" s="1159"/>
      <c r="I199" s="1162" t="s">
        <v>277</v>
      </c>
      <c r="J199" s="1159" t="str">
        <f t="shared" si="88"/>
        <v>lending_cashloan_cashloan_NGS_collection</v>
      </c>
      <c r="K199" s="1149"/>
      <c r="L199" s="1246" t="s">
        <v>234</v>
      </c>
      <c r="M199" s="1149">
        <f t="shared" si="97"/>
        <v>257630522.21047062</v>
      </c>
      <c r="N199" s="1149">
        <v>55180321.956628874</v>
      </c>
      <c r="O199" s="1149">
        <v>56007857.734791048</v>
      </c>
      <c r="P199" s="1169">
        <v>42048577.65890424</v>
      </c>
      <c r="Q199" s="1169">
        <v>74217602.193438485</v>
      </c>
      <c r="R199" s="1169">
        <v>28135053.867315903</v>
      </c>
      <c r="S199" s="1169">
        <v>25092288.868810829</v>
      </c>
      <c r="T199" s="1169">
        <v>24846971.73482031</v>
      </c>
      <c r="U199" s="1149">
        <v>11145028.764039215</v>
      </c>
      <c r="V199" s="1149">
        <v>13264365</v>
      </c>
      <c r="W199" s="1149">
        <v>10137014.588063473</v>
      </c>
      <c r="X199" s="1149">
        <v>9650309.8450778574</v>
      </c>
      <c r="Y199" s="1149">
        <v>6287057.4462342523</v>
      </c>
      <c r="Z199" s="1149">
        <v>7711796.4625637271</v>
      </c>
      <c r="AA199" s="1149">
        <v>5094455.7812023293</v>
      </c>
      <c r="AB199" s="34">
        <f t="shared" si="98"/>
        <v>-2617340.6813613977</v>
      </c>
    </row>
    <row r="200" spans="2:29">
      <c r="B200" s="1158" t="s">
        <v>189</v>
      </c>
      <c r="C200" s="1159" t="s">
        <v>545</v>
      </c>
      <c r="D200" s="1159" t="s">
        <v>545</v>
      </c>
      <c r="E200" s="1159" t="s">
        <v>498</v>
      </c>
      <c r="F200" s="1159"/>
      <c r="G200" s="1159"/>
      <c r="H200" s="1159"/>
      <c r="I200" s="1162" t="s">
        <v>278</v>
      </c>
      <c r="J200" s="1159" t="str">
        <f t="shared" si="88"/>
        <v>lending_cashloan_cashloan_NGS_promotion</v>
      </c>
      <c r="K200" s="1149"/>
      <c r="L200" s="1246" t="s">
        <v>235</v>
      </c>
      <c r="M200" s="1149"/>
      <c r="N200" s="1149"/>
      <c r="O200" s="1149"/>
      <c r="P200" s="1169"/>
      <c r="Q200" s="1169"/>
      <c r="R200" s="1169"/>
      <c r="S200" s="1169"/>
      <c r="T200" s="1169"/>
      <c r="U200" s="1149"/>
      <c r="V200" s="1169"/>
      <c r="W200" s="1149"/>
      <c r="X200" s="1149"/>
      <c r="Y200" s="1149"/>
      <c r="Z200" s="1149"/>
      <c r="AA200" s="1149"/>
      <c r="AB200" s="34">
        <f t="shared" si="98"/>
        <v>0</v>
      </c>
    </row>
    <row r="201" spans="2:29">
      <c r="B201" s="1158" t="s">
        <v>189</v>
      </c>
      <c r="C201" s="1159" t="s">
        <v>545</v>
      </c>
      <c r="D201" s="1159" t="s">
        <v>545</v>
      </c>
      <c r="E201" s="1159" t="s">
        <v>498</v>
      </c>
      <c r="F201" s="1159"/>
      <c r="G201" s="1159"/>
      <c r="H201" s="1159"/>
      <c r="I201" s="1162" t="s">
        <v>279</v>
      </c>
      <c r="J201" s="1159" t="str">
        <f t="shared" si="88"/>
        <v>lending_cashloan_cashloan_NGS_sms</v>
      </c>
      <c r="K201" s="1149"/>
      <c r="L201" s="1249" t="s">
        <v>163</v>
      </c>
      <c r="M201" s="1149">
        <f>SUM(P201:AA201)</f>
        <v>23404262.956381865</v>
      </c>
      <c r="N201" s="1247">
        <v>1731291.4816468037</v>
      </c>
      <c r="O201" s="1247">
        <v>3441543.7149246223</v>
      </c>
      <c r="P201" s="1247">
        <v>4119282.2057662746</v>
      </c>
      <c r="Q201" s="1247">
        <v>2146935.3106061863</v>
      </c>
      <c r="R201" s="1247">
        <v>2684585.9622664172</v>
      </c>
      <c r="S201" s="1247">
        <v>3412839.9125077697</v>
      </c>
      <c r="T201" s="1247">
        <v>2289620.1416237867</v>
      </c>
      <c r="U201" s="1265">
        <v>1772198.1869079906</v>
      </c>
      <c r="V201" s="1149">
        <v>2006219.7443836657</v>
      </c>
      <c r="W201" s="1149">
        <v>1093839.0698440303</v>
      </c>
      <c r="X201" s="1149">
        <v>1256408.2718288107</v>
      </c>
      <c r="Y201" s="1149">
        <v>1155620.1453713209</v>
      </c>
      <c r="Z201" s="1149">
        <v>881721.01775614626</v>
      </c>
      <c r="AA201" s="1149">
        <v>584992.9875194655</v>
      </c>
      <c r="AB201" s="34">
        <f t="shared" si="98"/>
        <v>-296728.03023668076</v>
      </c>
    </row>
    <row r="202" spans="2:29">
      <c r="B202" s="1158" t="s">
        <v>189</v>
      </c>
      <c r="C202" s="1159" t="s">
        <v>545</v>
      </c>
      <c r="D202" s="1159" t="s">
        <v>545</v>
      </c>
      <c r="E202" s="1159" t="s">
        <v>498</v>
      </c>
      <c r="F202" s="1159" t="str">
        <f>E202&amp;"CL"</f>
        <v>NGSCL</v>
      </c>
      <c r="G202" s="1159" t="str">
        <f>L202&amp;F202</f>
        <v>Profit before allocation costNGSCL</v>
      </c>
      <c r="H202" s="1408" t="str">
        <f>L202&amp;E202</f>
        <v>Profit before allocation costNGS</v>
      </c>
      <c r="I202" s="1162" t="s">
        <v>280</v>
      </c>
      <c r="J202" s="1159" t="str">
        <f t="shared" si="88"/>
        <v>lending_cashloan_cashloan_NGS_profit_before_overhead</v>
      </c>
      <c r="K202" s="1149"/>
      <c r="L202" s="1359" t="s">
        <v>236</v>
      </c>
      <c r="M202" s="1359">
        <f t="shared" ref="M202:AA202" si="99">M181-M192-M193</f>
        <v>-29545647899.429348</v>
      </c>
      <c r="N202" s="1359">
        <f t="shared" si="99"/>
        <v>-117809960.77186157</v>
      </c>
      <c r="O202" s="1359">
        <f t="shared" si="99"/>
        <v>-671083710.44971561</v>
      </c>
      <c r="P202" s="1359">
        <f t="shared" si="99"/>
        <v>-3353544288.8646708</v>
      </c>
      <c r="Q202" s="1359">
        <f t="shared" si="99"/>
        <v>-7398290725.5040445</v>
      </c>
      <c r="R202" s="1359">
        <f t="shared" si="99"/>
        <v>-6320928682.0920811</v>
      </c>
      <c r="S202" s="1359">
        <f t="shared" si="99"/>
        <v>-2908399316.7813187</v>
      </c>
      <c r="T202" s="1359">
        <f t="shared" si="99"/>
        <v>-3294618296.8764439</v>
      </c>
      <c r="U202" s="1359">
        <f t="shared" si="99"/>
        <v>-1686113194.9509473</v>
      </c>
      <c r="V202" s="1359">
        <f t="shared" si="99"/>
        <v>-1050518136.7443837</v>
      </c>
      <c r="W202" s="1359">
        <f t="shared" si="99"/>
        <v>-1004864111.6579075</v>
      </c>
      <c r="X202" s="1359">
        <f t="shared" si="99"/>
        <v>-1209959722.1169066</v>
      </c>
      <c r="Y202" s="1359">
        <f t="shared" si="99"/>
        <v>-471987018.59160554</v>
      </c>
      <c r="Z202" s="1359">
        <f t="shared" si="99"/>
        <v>-479110531.48031986</v>
      </c>
      <c r="AA202" s="1359">
        <f t="shared" si="99"/>
        <v>-367313873.76872182</v>
      </c>
      <c r="AB202" s="34">
        <f t="shared" si="98"/>
        <v>111796657.71159804</v>
      </c>
      <c r="AC202" s="34">
        <f>SUM(P202:AA202)</f>
        <v>-29545647899.429356</v>
      </c>
    </row>
    <row r="203" spans="2:29">
      <c r="B203" s="1158"/>
      <c r="C203" s="1159"/>
      <c r="D203" s="1159"/>
      <c r="E203" s="1159"/>
      <c r="F203" s="1159"/>
      <c r="G203" s="1159"/>
      <c r="H203" s="1159"/>
      <c r="I203" s="1162"/>
      <c r="J203" s="1159"/>
      <c r="K203" s="1149"/>
      <c r="L203" s="1153"/>
      <c r="M203" s="1150"/>
      <c r="N203" s="1150"/>
      <c r="O203" s="1150"/>
      <c r="P203" s="1150"/>
      <c r="Q203" s="1150"/>
      <c r="R203" s="1150"/>
      <c r="S203" s="1150"/>
      <c r="T203" s="1150"/>
      <c r="U203" s="1150"/>
      <c r="V203" s="1150"/>
      <c r="W203" s="1150"/>
      <c r="X203" s="1150"/>
      <c r="Y203" s="1150"/>
      <c r="Z203" s="1150"/>
      <c r="AA203" s="1150"/>
      <c r="AB203" s="34">
        <f t="shared" si="98"/>
        <v>0</v>
      </c>
    </row>
    <row r="204" spans="2:29">
      <c r="B204" s="1158" t="s">
        <v>189</v>
      </c>
      <c r="C204" s="1159" t="s">
        <v>545</v>
      </c>
      <c r="D204" s="1159" t="s">
        <v>545</v>
      </c>
      <c r="E204" s="1159" t="s">
        <v>310</v>
      </c>
      <c r="F204" s="1159"/>
      <c r="G204" s="1159"/>
      <c r="H204" s="1159"/>
      <c r="I204" s="1159"/>
      <c r="J204" s="1159" t="str">
        <f t="shared" ref="J204:J241" si="100">B204&amp;"_"&amp;C204&amp;"_"&amp;D204&amp;"_"&amp;E204&amp;"_"&amp;I204</f>
        <v>lending_cashloan_cashloan_CAKE_</v>
      </c>
      <c r="K204" s="1149"/>
      <c r="L204" s="1146" t="s">
        <v>553</v>
      </c>
      <c r="M204" s="1146"/>
      <c r="N204" s="1146"/>
      <c r="O204" s="1146"/>
      <c r="P204" s="1146"/>
      <c r="Q204" s="1146"/>
      <c r="R204" s="1146"/>
      <c r="S204" s="1146"/>
      <c r="T204" s="1146"/>
      <c r="U204" s="1146"/>
      <c r="V204" s="1146"/>
      <c r="W204" s="1146"/>
      <c r="X204" s="1146"/>
      <c r="Y204" s="1146"/>
      <c r="Z204" s="1146"/>
      <c r="AA204" s="1146"/>
      <c r="AB204" s="34">
        <f t="shared" si="98"/>
        <v>0</v>
      </c>
    </row>
    <row r="205" spans="2:29">
      <c r="B205" s="1158" t="s">
        <v>189</v>
      </c>
      <c r="C205" s="1159" t="s">
        <v>545</v>
      </c>
      <c r="D205" s="1159" t="s">
        <v>545</v>
      </c>
      <c r="E205" s="1159" t="s">
        <v>310</v>
      </c>
      <c r="F205" s="1159"/>
      <c r="G205" s="1159"/>
      <c r="H205" s="1159"/>
      <c r="I205" s="1162" t="s">
        <v>239</v>
      </c>
      <c r="J205" s="1159" t="str">
        <f t="shared" si="100"/>
        <v>lending_cashloan_cashloan_CAKE_new_account</v>
      </c>
      <c r="K205" s="1149"/>
      <c r="L205" s="1148" t="s">
        <v>193</v>
      </c>
      <c r="M205" s="1149">
        <f>SUM(P205:AA205)</f>
        <v>256420</v>
      </c>
      <c r="N205" s="1169">
        <v>13552</v>
      </c>
      <c r="O205" s="1169">
        <v>15624</v>
      </c>
      <c r="P205" s="1169">
        <v>13937</v>
      </c>
      <c r="Q205" s="1272">
        <v>10289</v>
      </c>
      <c r="R205" s="1169">
        <v>15916</v>
      </c>
      <c r="S205" s="1169">
        <v>15688</v>
      </c>
      <c r="T205" s="1169">
        <v>15500</v>
      </c>
      <c r="U205" s="1169">
        <v>18609</v>
      </c>
      <c r="V205" s="1290">
        <v>24183</v>
      </c>
      <c r="W205" s="1169">
        <v>21277</v>
      </c>
      <c r="X205" s="1169">
        <v>25356</v>
      </c>
      <c r="Y205" s="1169">
        <v>27889</v>
      </c>
      <c r="Z205" s="1169">
        <v>35244</v>
      </c>
      <c r="AA205" s="1169">
        <v>32532</v>
      </c>
      <c r="AB205" s="34">
        <f t="shared" si="98"/>
        <v>-2712</v>
      </c>
    </row>
    <row r="206" spans="2:29">
      <c r="B206" s="1158" t="s">
        <v>189</v>
      </c>
      <c r="C206" s="1159" t="s">
        <v>545</v>
      </c>
      <c r="D206" s="1159" t="s">
        <v>545</v>
      </c>
      <c r="E206" s="1159" t="s">
        <v>310</v>
      </c>
      <c r="F206" s="1159"/>
      <c r="G206" s="1159"/>
      <c r="H206" s="1159"/>
      <c r="I206" s="1148" t="s">
        <v>527</v>
      </c>
      <c r="J206" s="1159" t="str">
        <f t="shared" si="100"/>
        <v>lending_cashloan_cashloan_CAKE_Repeat account</v>
      </c>
      <c r="K206" s="1149"/>
      <c r="L206" s="1148" t="s">
        <v>527</v>
      </c>
      <c r="M206" s="1149"/>
      <c r="N206" s="1169">
        <v>1457</v>
      </c>
      <c r="O206" s="1169">
        <v>2068</v>
      </c>
      <c r="P206" s="1169">
        <v>2517</v>
      </c>
      <c r="Q206" s="1169">
        <v>2320</v>
      </c>
      <c r="R206" s="1169">
        <v>3807</v>
      </c>
      <c r="S206" s="1169">
        <v>4119</v>
      </c>
      <c r="T206" s="1169">
        <v>4003</v>
      </c>
      <c r="U206" s="1169">
        <v>5239</v>
      </c>
      <c r="V206" s="1169">
        <v>6878</v>
      </c>
      <c r="W206" s="1169">
        <v>7172</v>
      </c>
      <c r="X206" s="1169">
        <v>11523</v>
      </c>
      <c r="Y206" s="1290">
        <v>12791</v>
      </c>
      <c r="Z206" s="1169">
        <v>14095</v>
      </c>
      <c r="AA206" s="1169">
        <v>13676</v>
      </c>
      <c r="AB206" s="34">
        <f t="shared" si="98"/>
        <v>-419</v>
      </c>
    </row>
    <row r="207" spans="2:29">
      <c r="B207" s="1158" t="s">
        <v>189</v>
      </c>
      <c r="C207" s="1159" t="s">
        <v>545</v>
      </c>
      <c r="D207" s="1159" t="s">
        <v>545</v>
      </c>
      <c r="E207" s="1159" t="s">
        <v>310</v>
      </c>
      <c r="F207" s="1159"/>
      <c r="G207" s="1159"/>
      <c r="H207" s="1159"/>
      <c r="I207" s="1162" t="s">
        <v>241</v>
      </c>
      <c r="J207" s="1159" t="str">
        <f t="shared" si="100"/>
        <v>lending_cashloan_cashloan_CAKE_active_account</v>
      </c>
      <c r="K207" s="1149"/>
      <c r="L207" s="1148" t="s">
        <v>194</v>
      </c>
      <c r="M207" s="1149">
        <f>SUM(P207:AA207)</f>
        <v>1394685</v>
      </c>
      <c r="N207" s="1169">
        <v>46995</v>
      </c>
      <c r="O207" s="1169">
        <v>58579</v>
      </c>
      <c r="P207" s="1169">
        <f>67803-18</f>
        <v>67785</v>
      </c>
      <c r="Q207" s="1272">
        <f>73516-441</f>
        <v>73075</v>
      </c>
      <c r="R207" s="1272">
        <f>83211-1021</f>
        <v>82190</v>
      </c>
      <c r="S207" s="1169">
        <f>92221-1656</f>
        <v>90565</v>
      </c>
      <c r="T207" s="1169">
        <f>101377-2413</f>
        <v>98964</v>
      </c>
      <c r="U207" s="1361">
        <v>107363</v>
      </c>
      <c r="V207" s="1361">
        <v>119486</v>
      </c>
      <c r="W207" s="1169">
        <v>128198</v>
      </c>
      <c r="X207" s="1169">
        <v>138424</v>
      </c>
      <c r="Y207" s="1169">
        <v>148368</v>
      </c>
      <c r="Z207" s="1169">
        <v>164833</v>
      </c>
      <c r="AA207" s="1169">
        <v>175434</v>
      </c>
      <c r="AB207" s="34">
        <f t="shared" si="98"/>
        <v>10601</v>
      </c>
    </row>
    <row r="208" spans="2:29">
      <c r="B208" s="1158" t="s">
        <v>189</v>
      </c>
      <c r="C208" s="1159" t="s">
        <v>545</v>
      </c>
      <c r="D208" s="1159" t="s">
        <v>545</v>
      </c>
      <c r="E208" s="1159" t="s">
        <v>310</v>
      </c>
      <c r="F208" s="1159" t="str">
        <f>E208&amp;"CL"</f>
        <v>CAKECL</v>
      </c>
      <c r="G208" s="1159" t="str">
        <f>L208&amp;F208</f>
        <v>DisbursementCAKECL</v>
      </c>
      <c r="H208" s="1408" t="str">
        <f>L208&amp;E208</f>
        <v>DisbursementCAKE</v>
      </c>
      <c r="I208" s="1162" t="s">
        <v>242</v>
      </c>
      <c r="J208" s="1159" t="str">
        <f t="shared" si="100"/>
        <v>lending_cashloan_cashloan_CAKE_disburse/spend</v>
      </c>
      <c r="K208" s="1149"/>
      <c r="L208" s="1169" t="s">
        <v>80</v>
      </c>
      <c r="M208" s="1149">
        <f>SUM(P208:AA208)</f>
        <v>3983527400000</v>
      </c>
      <c r="N208" s="1149">
        <v>133693790000</v>
      </c>
      <c r="O208" s="1149">
        <v>162371980000</v>
      </c>
      <c r="P208" s="1149">
        <v>148327830000</v>
      </c>
      <c r="Q208" s="1169">
        <v>111579440000</v>
      </c>
      <c r="R208" s="1169">
        <v>175949310000</v>
      </c>
      <c r="S208" s="1169">
        <v>227662410000</v>
      </c>
      <c r="T208" s="1169">
        <v>232669350000</v>
      </c>
      <c r="U208" s="1169">
        <v>273801460000</v>
      </c>
      <c r="V208" s="1290">
        <v>377695150000</v>
      </c>
      <c r="W208" s="1169">
        <v>338629710000</v>
      </c>
      <c r="X208" s="1169">
        <v>486195060000</v>
      </c>
      <c r="Y208" s="1169">
        <v>501046570000</v>
      </c>
      <c r="Z208" s="1149">
        <v>587879520000</v>
      </c>
      <c r="AA208" s="1149">
        <v>522091590000</v>
      </c>
      <c r="AB208" s="34">
        <f>AA208-Z208</f>
        <v>-65787930000</v>
      </c>
      <c r="AC208" s="34">
        <f>SUM(P208:AA208)</f>
        <v>3983527400000</v>
      </c>
    </row>
    <row r="209" spans="2:30">
      <c r="B209" s="1158" t="s">
        <v>189</v>
      </c>
      <c r="C209" s="1159" t="s">
        <v>545</v>
      </c>
      <c r="D209" s="1159" t="s">
        <v>545</v>
      </c>
      <c r="E209" s="1159" t="s">
        <v>310</v>
      </c>
      <c r="F209" s="1159"/>
      <c r="G209" s="1159"/>
      <c r="H209" s="1159"/>
      <c r="I209" s="1160"/>
      <c r="J209" s="1159" t="str">
        <f t="shared" si="100"/>
        <v>lending_cashloan_cashloan_CAKE_</v>
      </c>
      <c r="K209" s="1149"/>
      <c r="L209" s="1169" t="s">
        <v>528</v>
      </c>
      <c r="M209" s="1149">
        <f>SUM(P209:AA209)</f>
        <v>3356181400000</v>
      </c>
      <c r="N209" s="1149">
        <v>106560230000</v>
      </c>
      <c r="O209" s="1149">
        <v>128500580000</v>
      </c>
      <c r="P209" s="1169">
        <v>115740830000</v>
      </c>
      <c r="Q209" s="1169">
        <v>88373440000</v>
      </c>
      <c r="R209" s="1169">
        <v>144699310000</v>
      </c>
      <c r="S209" s="1169">
        <v>188333410000</v>
      </c>
      <c r="T209" s="1169">
        <v>193626350000</v>
      </c>
      <c r="U209" s="1169">
        <v>230686460000</v>
      </c>
      <c r="V209" s="1290">
        <v>316655150000</v>
      </c>
      <c r="W209" s="1290">
        <v>282013710000</v>
      </c>
      <c r="X209" s="1290">
        <v>415065060000</v>
      </c>
      <c r="Y209" s="1169">
        <v>425873570000</v>
      </c>
      <c r="Z209" s="1149">
        <v>508092520000</v>
      </c>
      <c r="AA209" s="1149">
        <v>447021590000</v>
      </c>
      <c r="AB209" s="34">
        <f t="shared" si="98"/>
        <v>-61070930000</v>
      </c>
    </row>
    <row r="210" spans="2:30">
      <c r="B210" s="1158" t="s">
        <v>189</v>
      </c>
      <c r="C210" s="1159" t="s">
        <v>545</v>
      </c>
      <c r="D210" s="1159" t="s">
        <v>545</v>
      </c>
      <c r="E210" s="1159" t="s">
        <v>310</v>
      </c>
      <c r="F210" s="1159"/>
      <c r="G210" s="1159"/>
      <c r="H210" s="1159"/>
      <c r="I210" s="1160"/>
      <c r="J210" s="1159" t="str">
        <f t="shared" si="100"/>
        <v>lending_cashloan_cashloan_CAKE_</v>
      </c>
      <c r="K210" s="1149"/>
      <c r="L210" s="1169" t="s">
        <v>529</v>
      </c>
      <c r="M210" s="1149">
        <f>SUM(P210:AA210)</f>
        <v>627346000000</v>
      </c>
      <c r="N210" s="1149">
        <f t="shared" ref="N210:AA210" si="101">N208-N209</f>
        <v>27133560000</v>
      </c>
      <c r="O210" s="1149">
        <f t="shared" si="101"/>
        <v>33871400000</v>
      </c>
      <c r="P210" s="1149">
        <f t="shared" si="101"/>
        <v>32587000000</v>
      </c>
      <c r="Q210" s="1149">
        <f t="shared" si="101"/>
        <v>23206000000</v>
      </c>
      <c r="R210" s="1149">
        <f t="shared" si="101"/>
        <v>31250000000</v>
      </c>
      <c r="S210" s="1149">
        <f t="shared" si="101"/>
        <v>39329000000</v>
      </c>
      <c r="T210" s="1149">
        <f t="shared" si="101"/>
        <v>39043000000</v>
      </c>
      <c r="U210" s="1149">
        <f t="shared" si="101"/>
        <v>43115000000</v>
      </c>
      <c r="V210" s="1149">
        <f t="shared" si="101"/>
        <v>61040000000</v>
      </c>
      <c r="W210" s="1149">
        <f t="shared" si="101"/>
        <v>56616000000</v>
      </c>
      <c r="X210" s="1149">
        <f t="shared" si="101"/>
        <v>71130000000</v>
      </c>
      <c r="Y210" s="1149">
        <f t="shared" si="101"/>
        <v>75173000000</v>
      </c>
      <c r="Z210" s="1149">
        <f t="shared" si="101"/>
        <v>79787000000</v>
      </c>
      <c r="AA210" s="1149">
        <f t="shared" si="101"/>
        <v>75070000000</v>
      </c>
      <c r="AB210" s="34">
        <f t="shared" si="98"/>
        <v>-4717000000</v>
      </c>
    </row>
    <row r="211" spans="2:30">
      <c r="B211" s="1158" t="s">
        <v>189</v>
      </c>
      <c r="C211" s="1159" t="s">
        <v>545</v>
      </c>
      <c r="D211" s="1159" t="s">
        <v>545</v>
      </c>
      <c r="E211" s="1159" t="s">
        <v>310</v>
      </c>
      <c r="F211" s="1159"/>
      <c r="G211" s="1159"/>
      <c r="H211" s="1159"/>
      <c r="I211" s="1162" t="s">
        <v>243</v>
      </c>
      <c r="J211" s="1159" t="str">
        <f t="shared" si="100"/>
        <v>lending_cashloan_cashloan_CAKE_ENR</v>
      </c>
      <c r="K211" s="1149"/>
      <c r="L211" s="1169" t="s">
        <v>530</v>
      </c>
      <c r="M211" s="1149">
        <f>AA211</f>
        <v>2357795195257</v>
      </c>
      <c r="N211" s="1149">
        <v>430917205354</v>
      </c>
      <c r="O211" s="1149">
        <v>530960277913</v>
      </c>
      <c r="P211" s="1169">
        <v>617388935208</v>
      </c>
      <c r="Q211" s="1273">
        <v>641355826984</v>
      </c>
      <c r="R211" s="1169">
        <v>714122331087</v>
      </c>
      <c r="S211" s="1169">
        <v>828149405266</v>
      </c>
      <c r="T211" s="1169">
        <v>942281111056</v>
      </c>
      <c r="U211" s="1169">
        <v>1061749655584</v>
      </c>
      <c r="V211" s="1169">
        <v>1263411463377</v>
      </c>
      <c r="W211" s="1254">
        <v>1408151899248</v>
      </c>
      <c r="X211" s="1254">
        <v>1661204287348</v>
      </c>
      <c r="Y211" s="1169">
        <v>1884077906690</v>
      </c>
      <c r="Z211" s="1149">
        <v>2174765666320</v>
      </c>
      <c r="AA211" s="1149">
        <v>2357795195257</v>
      </c>
      <c r="AB211" s="34">
        <f t="shared" si="98"/>
        <v>183029528937</v>
      </c>
    </row>
    <row r="212" spans="2:30">
      <c r="B212" s="1158" t="s">
        <v>189</v>
      </c>
      <c r="C212" s="1159" t="s">
        <v>545</v>
      </c>
      <c r="D212" s="1159" t="s">
        <v>545</v>
      </c>
      <c r="E212" s="1159" t="s">
        <v>310</v>
      </c>
      <c r="F212" s="1159"/>
      <c r="G212" s="1159"/>
      <c r="H212" s="1159"/>
      <c r="I212" s="1160"/>
      <c r="J212" s="1159" t="str">
        <f t="shared" si="100"/>
        <v>lending_cashloan_cashloan_CAKE_</v>
      </c>
      <c r="K212" s="1149"/>
      <c r="L212" s="1235" t="s">
        <v>531</v>
      </c>
      <c r="M212" s="1149">
        <f>AA212</f>
        <v>2295047495328</v>
      </c>
      <c r="N212" s="1273">
        <f t="shared" ref="N212:AA212" si="102">N211-N213</f>
        <v>422100966797</v>
      </c>
      <c r="O212" s="1273">
        <f t="shared" si="102"/>
        <v>517835370278</v>
      </c>
      <c r="P212" s="1273">
        <f t="shared" si="102"/>
        <v>600692422202</v>
      </c>
      <c r="Q212" s="1273">
        <f t="shared" si="102"/>
        <v>621155809636</v>
      </c>
      <c r="R212" s="1273">
        <f t="shared" si="102"/>
        <v>689403927745</v>
      </c>
      <c r="S212" s="1273">
        <f t="shared" si="102"/>
        <v>798923723434</v>
      </c>
      <c r="T212" s="1273">
        <f t="shared" si="102"/>
        <v>908095664284</v>
      </c>
      <c r="U212" s="1273">
        <f t="shared" si="102"/>
        <v>1022836920173</v>
      </c>
      <c r="V212" s="1273">
        <f t="shared" si="102"/>
        <v>1218104680936</v>
      </c>
      <c r="W212" s="1273">
        <f t="shared" si="102"/>
        <v>1358233002030</v>
      </c>
      <c r="X212" s="1273">
        <f t="shared" si="102"/>
        <v>1607960792957</v>
      </c>
      <c r="Y212" s="1273">
        <f t="shared" si="102"/>
        <v>1827894443792</v>
      </c>
      <c r="Z212" s="1273">
        <f t="shared" si="102"/>
        <v>2114634611309</v>
      </c>
      <c r="AA212" s="1273">
        <f t="shared" si="102"/>
        <v>2295047495328</v>
      </c>
      <c r="AB212" s="34">
        <f t="shared" si="98"/>
        <v>180412884019</v>
      </c>
    </row>
    <row r="213" spans="2:30">
      <c r="B213" s="1158" t="s">
        <v>189</v>
      </c>
      <c r="C213" s="1159" t="s">
        <v>545</v>
      </c>
      <c r="D213" s="1159" t="s">
        <v>545</v>
      </c>
      <c r="E213" s="1159" t="s">
        <v>310</v>
      </c>
      <c r="F213" s="1159"/>
      <c r="G213" s="1159"/>
      <c r="H213" s="1159"/>
      <c r="I213" s="1160"/>
      <c r="J213" s="1159" t="str">
        <f t="shared" si="100"/>
        <v>lending_cashloan_cashloan_CAKE_</v>
      </c>
      <c r="K213" s="1149"/>
      <c r="L213" s="1235" t="s">
        <v>532</v>
      </c>
      <c r="M213" s="1149">
        <f>AA213</f>
        <v>62747699929</v>
      </c>
      <c r="N213" s="1255">
        <v>8816238557</v>
      </c>
      <c r="O213" s="1273">
        <v>13124907635</v>
      </c>
      <c r="P213" s="1273">
        <v>16696513006</v>
      </c>
      <c r="Q213" s="1273">
        <v>20200017348</v>
      </c>
      <c r="R213" s="1255">
        <v>24718403342</v>
      </c>
      <c r="S213" s="1255">
        <v>29225681832</v>
      </c>
      <c r="T213" s="1255">
        <v>34185446772</v>
      </c>
      <c r="U213" s="1255">
        <v>38912735411</v>
      </c>
      <c r="V213" s="1255">
        <v>45306782441</v>
      </c>
      <c r="W213" s="1236">
        <v>49918897218</v>
      </c>
      <c r="X213" s="1255">
        <v>53243494391</v>
      </c>
      <c r="Y213" s="1255">
        <v>56183462898</v>
      </c>
      <c r="Z213" s="1255">
        <v>60131055011</v>
      </c>
      <c r="AA213" s="1273">
        <v>62747699929</v>
      </c>
      <c r="AB213" s="34">
        <f t="shared" si="98"/>
        <v>2616644918</v>
      </c>
    </row>
    <row r="214" spans="2:30">
      <c r="B214" s="1158" t="s">
        <v>189</v>
      </c>
      <c r="C214" s="1159" t="s">
        <v>545</v>
      </c>
      <c r="D214" s="1159" t="s">
        <v>545</v>
      </c>
      <c r="E214" s="1159" t="s">
        <v>310</v>
      </c>
      <c r="F214" s="1159"/>
      <c r="G214" s="1159"/>
      <c r="H214" s="1159"/>
      <c r="I214" s="1160"/>
      <c r="J214" s="1159" t="str">
        <f t="shared" si="100"/>
        <v>lending_cashloan_cashloan_CAKE_</v>
      </c>
      <c r="K214" s="1149"/>
      <c r="L214" s="1148" t="s">
        <v>533</v>
      </c>
      <c r="M214" s="1149"/>
      <c r="N214" s="1236">
        <v>11051087510</v>
      </c>
      <c r="O214" s="1236">
        <v>18879146723</v>
      </c>
      <c r="P214" s="1236">
        <v>26684634822</v>
      </c>
      <c r="Q214" s="1236">
        <v>31761696462</v>
      </c>
      <c r="R214" s="1236">
        <v>37033778534</v>
      </c>
      <c r="S214" s="1236">
        <v>42216868178</v>
      </c>
      <c r="T214" s="1236">
        <v>54344595206</v>
      </c>
      <c r="U214" s="1236">
        <v>59834049565</v>
      </c>
      <c r="V214" s="1236">
        <v>68502266623</v>
      </c>
      <c r="W214" s="1236">
        <v>74505015409</v>
      </c>
      <c r="X214" s="1236">
        <v>79771902795</v>
      </c>
      <c r="Y214" s="1236">
        <v>82472427070</v>
      </c>
      <c r="Z214" s="1236">
        <v>89689065306</v>
      </c>
      <c r="AA214" s="1236">
        <v>94565914493</v>
      </c>
      <c r="AB214" s="34">
        <f t="shared" si="98"/>
        <v>4876849187</v>
      </c>
    </row>
    <row r="215" spans="2:30">
      <c r="B215" s="1158" t="s">
        <v>189</v>
      </c>
      <c r="C215" s="1159" t="s">
        <v>545</v>
      </c>
      <c r="D215" s="1159" t="s">
        <v>545</v>
      </c>
      <c r="E215" s="1159" t="s">
        <v>310</v>
      </c>
      <c r="F215" s="1159"/>
      <c r="G215" s="1159"/>
      <c r="H215" s="1159"/>
      <c r="I215" s="1162" t="s">
        <v>247</v>
      </c>
      <c r="J215" s="1159" t="str">
        <f t="shared" si="100"/>
        <v>lending_cashloan_cashloan_CAKE_overdue_balance_10d</v>
      </c>
      <c r="K215" s="1149"/>
      <c r="L215" s="1169" t="s">
        <v>534</v>
      </c>
      <c r="M215" s="1149"/>
      <c r="N215" s="1255">
        <v>43981181953</v>
      </c>
      <c r="O215" s="1273">
        <v>66938507519</v>
      </c>
      <c r="P215" s="1273">
        <v>78078756493</v>
      </c>
      <c r="Q215" s="1273">
        <v>93737286505</v>
      </c>
      <c r="R215" s="1273">
        <v>117276523640</v>
      </c>
      <c r="S215" s="1273">
        <v>119776011717</v>
      </c>
      <c r="T215" s="1247">
        <v>136612546684</v>
      </c>
      <c r="U215" s="1236">
        <v>169752199479</v>
      </c>
      <c r="V215" s="1236">
        <v>190100176557</v>
      </c>
      <c r="W215" s="1277">
        <v>212166757993</v>
      </c>
      <c r="X215" s="1255">
        <v>264506035865</v>
      </c>
      <c r="Y215" s="1255">
        <v>279118171629</v>
      </c>
      <c r="Z215" s="1255">
        <v>319168788986</v>
      </c>
      <c r="AA215" s="1273">
        <v>389058399845</v>
      </c>
      <c r="AB215" s="34">
        <f t="shared" si="98"/>
        <v>69889610859</v>
      </c>
    </row>
    <row r="216" spans="2:30">
      <c r="B216" s="1158" t="s">
        <v>189</v>
      </c>
      <c r="C216" s="1159" t="s">
        <v>545</v>
      </c>
      <c r="D216" s="1159" t="s">
        <v>545</v>
      </c>
      <c r="E216" s="1159" t="s">
        <v>310</v>
      </c>
      <c r="F216" s="1159"/>
      <c r="G216" s="1159"/>
      <c r="H216" s="1159"/>
      <c r="I216" s="1162" t="s">
        <v>248</v>
      </c>
      <c r="J216" s="1159" t="str">
        <f t="shared" si="100"/>
        <v>lending_cashloan_cashloan_CAKE_overdue_balance_90d</v>
      </c>
      <c r="K216" s="1149"/>
      <c r="L216" s="1169" t="s">
        <v>535</v>
      </c>
      <c r="M216" s="1149"/>
      <c r="N216" s="1169">
        <v>12150705230</v>
      </c>
      <c r="O216" s="1169">
        <v>22523749863</v>
      </c>
      <c r="P216" s="1169">
        <v>28983536930</v>
      </c>
      <c r="Q216" s="1169">
        <v>34845344495</v>
      </c>
      <c r="R216" s="1169">
        <v>44861935703</v>
      </c>
      <c r="S216" s="1169">
        <v>48369193381</v>
      </c>
      <c r="T216" s="1149">
        <v>60686203867</v>
      </c>
      <c r="U216" s="1149">
        <v>74595491017</v>
      </c>
      <c r="V216" s="1361">
        <v>77501780125</v>
      </c>
      <c r="W216" s="1149">
        <v>84221729544</v>
      </c>
      <c r="X216" s="1169">
        <v>100476246499</v>
      </c>
      <c r="Y216" s="1169">
        <v>93911606397</v>
      </c>
      <c r="Z216" s="1169">
        <v>104874472691</v>
      </c>
      <c r="AA216" s="1169">
        <v>126435281284</v>
      </c>
      <c r="AB216" s="34">
        <f t="shared" si="98"/>
        <v>21560808593</v>
      </c>
    </row>
    <row r="217" spans="2:30">
      <c r="B217" s="1158" t="s">
        <v>189</v>
      </c>
      <c r="C217" s="1159" t="s">
        <v>545</v>
      </c>
      <c r="D217" s="1159" t="s">
        <v>545</v>
      </c>
      <c r="E217" s="1159" t="s">
        <v>310</v>
      </c>
      <c r="F217" s="1159"/>
      <c r="G217" s="1159"/>
      <c r="H217" s="1159"/>
      <c r="I217" s="1160"/>
      <c r="J217" s="1159" t="str">
        <f t="shared" si="100"/>
        <v>lending_cashloan_cashloan_CAKE_</v>
      </c>
      <c r="K217" s="1149"/>
      <c r="L217" s="1169" t="s">
        <v>536</v>
      </c>
      <c r="M217" s="1149"/>
      <c r="N217" s="1236">
        <f t="shared" ref="N217:AA217" si="103">N215-N216</f>
        <v>31830476723</v>
      </c>
      <c r="O217" s="1236">
        <f t="shared" si="103"/>
        <v>44414757656</v>
      </c>
      <c r="P217" s="1236">
        <f t="shared" si="103"/>
        <v>49095219563</v>
      </c>
      <c r="Q217" s="1236">
        <f t="shared" si="103"/>
        <v>58891942010</v>
      </c>
      <c r="R217" s="1236">
        <f t="shared" si="103"/>
        <v>72414587937</v>
      </c>
      <c r="S217" s="1236">
        <f t="shared" si="103"/>
        <v>71406818336</v>
      </c>
      <c r="T217" s="1236">
        <f t="shared" si="103"/>
        <v>75926342817</v>
      </c>
      <c r="U217" s="1236">
        <f t="shared" si="103"/>
        <v>95156708462</v>
      </c>
      <c r="V217" s="1236">
        <f t="shared" si="103"/>
        <v>112598396432</v>
      </c>
      <c r="W217" s="1236">
        <f t="shared" si="103"/>
        <v>127945028449</v>
      </c>
      <c r="X217" s="1236">
        <f t="shared" si="103"/>
        <v>164029789366</v>
      </c>
      <c r="Y217" s="1236">
        <f t="shared" si="103"/>
        <v>185206565232</v>
      </c>
      <c r="Z217" s="1236">
        <f t="shared" si="103"/>
        <v>214294316295</v>
      </c>
      <c r="AA217" s="1236">
        <f t="shared" si="103"/>
        <v>262623118561</v>
      </c>
      <c r="AB217" s="34">
        <f t="shared" si="98"/>
        <v>48328802266</v>
      </c>
    </row>
    <row r="218" spans="2:30">
      <c r="B218" s="1158" t="s">
        <v>189</v>
      </c>
      <c r="C218" s="1159" t="s">
        <v>545</v>
      </c>
      <c r="D218" s="1159" t="s">
        <v>545</v>
      </c>
      <c r="E218" s="1159" t="s">
        <v>310</v>
      </c>
      <c r="F218" s="1159"/>
      <c r="G218" s="1159"/>
      <c r="H218" s="1159"/>
      <c r="I218" s="1160"/>
      <c r="J218" s="1159" t="str">
        <f t="shared" si="100"/>
        <v>lending_cashloan_cashloan_CAKE_</v>
      </c>
      <c r="K218" s="1149"/>
      <c r="L218" s="1169" t="s">
        <v>537</v>
      </c>
      <c r="M218" s="1149"/>
      <c r="N218" s="1269">
        <f t="shared" ref="N218:AA218" si="104">N214/N211</f>
        <v>2.5645500742820172E-2</v>
      </c>
      <c r="O218" s="1269">
        <f t="shared" si="104"/>
        <v>3.5556608485302593E-2</v>
      </c>
      <c r="P218" s="1269">
        <f t="shared" si="104"/>
        <v>4.3221757469640874E-2</v>
      </c>
      <c r="Q218" s="1269">
        <f t="shared" si="104"/>
        <v>4.9522737808995326E-2</v>
      </c>
      <c r="R218" s="1269">
        <f t="shared" si="104"/>
        <v>5.1859152027397187E-2</v>
      </c>
      <c r="S218" s="1269">
        <f t="shared" si="104"/>
        <v>5.0977357357927487E-2</v>
      </c>
      <c r="T218" s="1269">
        <f t="shared" si="104"/>
        <v>5.767344221205585E-2</v>
      </c>
      <c r="U218" s="1269">
        <f t="shared" si="104"/>
        <v>5.635419729153493E-2</v>
      </c>
      <c r="V218" s="1269">
        <f t="shared" si="104"/>
        <v>5.4220076838545378E-2</v>
      </c>
      <c r="W218" s="1269">
        <f t="shared" si="104"/>
        <v>5.290978583261377E-2</v>
      </c>
      <c r="X218" s="1269">
        <f t="shared" si="104"/>
        <v>4.802052547212627E-2</v>
      </c>
      <c r="Y218" s="1269">
        <f t="shared" si="104"/>
        <v>4.3773363499012542E-2</v>
      </c>
      <c r="Z218" s="1269">
        <f t="shared" si="104"/>
        <v>4.1240795132546915E-2</v>
      </c>
      <c r="AA218" s="1269">
        <f t="shared" si="104"/>
        <v>4.0107773008966667E-2</v>
      </c>
      <c r="AB218" s="34">
        <f t="shared" si="98"/>
        <v>-1.1330221235802476E-3</v>
      </c>
    </row>
    <row r="219" spans="2:30">
      <c r="B219" s="1158" t="s">
        <v>189</v>
      </c>
      <c r="C219" s="1159" t="s">
        <v>545</v>
      </c>
      <c r="D219" s="1159" t="s">
        <v>545</v>
      </c>
      <c r="E219" s="1159" t="s">
        <v>310</v>
      </c>
      <c r="F219" s="1159"/>
      <c r="G219" s="1159"/>
      <c r="H219" s="1159"/>
      <c r="I219" s="1162" t="s">
        <v>213</v>
      </c>
      <c r="J219" s="1159" t="str">
        <f t="shared" si="100"/>
        <v>lending_cashloan_cashloan_CAKE_npl</v>
      </c>
      <c r="K219" s="1149"/>
      <c r="L219" s="1169" t="s">
        <v>538</v>
      </c>
      <c r="M219" s="1149"/>
      <c r="N219" s="1269">
        <f t="shared" ref="N219:AA219" si="105">N216/N211</f>
        <v>2.8197308158113929E-2</v>
      </c>
      <c r="O219" s="1269">
        <f t="shared" si="105"/>
        <v>4.2420781365288138E-2</v>
      </c>
      <c r="P219" s="1269">
        <f t="shared" si="105"/>
        <v>4.6945345595212795E-2</v>
      </c>
      <c r="Q219" s="1269">
        <f t="shared" si="105"/>
        <v>5.4330752179896059E-2</v>
      </c>
      <c r="R219" s="1269">
        <f t="shared" si="105"/>
        <v>6.2821079456671647E-2</v>
      </c>
      <c r="S219" s="1269">
        <f t="shared" si="105"/>
        <v>5.8406361308034636E-2</v>
      </c>
      <c r="T219" s="1269">
        <f t="shared" si="105"/>
        <v>6.4403502473895397E-2</v>
      </c>
      <c r="U219" s="1269">
        <f t="shared" si="105"/>
        <v>7.0257137004645254E-2</v>
      </c>
      <c r="V219" s="1269">
        <f t="shared" si="105"/>
        <v>6.1343261773044076E-2</v>
      </c>
      <c r="W219" s="1269">
        <f t="shared" si="105"/>
        <v>5.9810116784259716E-2</v>
      </c>
      <c r="X219" s="1269">
        <f t="shared" si="105"/>
        <v>6.0483979763502484E-2</v>
      </c>
      <c r="Y219" s="1269">
        <f t="shared" si="105"/>
        <v>4.9844863667016029E-2</v>
      </c>
      <c r="Z219" s="1269">
        <f t="shared" si="105"/>
        <v>4.822334392857227E-2</v>
      </c>
      <c r="AA219" s="1269">
        <f t="shared" si="105"/>
        <v>5.3624369724028779E-2</v>
      </c>
      <c r="AB219" s="34">
        <f t="shared" si="98"/>
        <v>5.40102579545651E-3</v>
      </c>
    </row>
    <row r="220" spans="2:30">
      <c r="B220" s="1158" t="s">
        <v>189</v>
      </c>
      <c r="C220" s="1159" t="s">
        <v>545</v>
      </c>
      <c r="D220" s="1159" t="s">
        <v>545</v>
      </c>
      <c r="E220" s="1159" t="s">
        <v>310</v>
      </c>
      <c r="F220" s="1159" t="str">
        <f>E220&amp;"CL"</f>
        <v>CAKECL</v>
      </c>
      <c r="G220" s="1159" t="str">
        <f>L220&amp;F220</f>
        <v>TOICAKECL</v>
      </c>
      <c r="H220" s="1408" t="str">
        <f>L220&amp;E220</f>
        <v>TOICAKE</v>
      </c>
      <c r="I220" s="1162" t="s">
        <v>217</v>
      </c>
      <c r="J220" s="1159" t="str">
        <f t="shared" si="100"/>
        <v>lending_cashloan_cashloan_CAKE_TOI</v>
      </c>
      <c r="K220" s="1149"/>
      <c r="L220" s="1238" t="s">
        <v>217</v>
      </c>
      <c r="M220" s="1150">
        <f t="shared" ref="M220:AA220" si="106">M221+M226+M230</f>
        <v>670225021704.73047</v>
      </c>
      <c r="N220" s="1150">
        <f t="shared" si="106"/>
        <v>18657378492</v>
      </c>
      <c r="O220" s="1150">
        <f t="shared" si="106"/>
        <v>23087893809</v>
      </c>
      <c r="P220" s="1150">
        <f t="shared" si="106"/>
        <v>25780512031</v>
      </c>
      <c r="Q220" s="1150">
        <f t="shared" si="106"/>
        <v>23596100313</v>
      </c>
      <c r="R220" s="1150">
        <f t="shared" si="106"/>
        <v>30632420430.730392</v>
      </c>
      <c r="S220" s="1150">
        <f t="shared" si="106"/>
        <v>36098086141</v>
      </c>
      <c r="T220" s="1150">
        <f t="shared" si="106"/>
        <v>40033936707</v>
      </c>
      <c r="U220" s="1150">
        <f t="shared" si="106"/>
        <v>45600588540</v>
      </c>
      <c r="V220" s="1150">
        <f t="shared" si="106"/>
        <v>56650372106</v>
      </c>
      <c r="W220" s="1150">
        <f t="shared" si="106"/>
        <v>61751209503</v>
      </c>
      <c r="X220" s="1150">
        <f t="shared" si="106"/>
        <v>74639914738</v>
      </c>
      <c r="Y220" s="1150">
        <f t="shared" si="106"/>
        <v>85319482032</v>
      </c>
      <c r="Z220" s="1150">
        <f t="shared" si="106"/>
        <v>92045780547</v>
      </c>
      <c r="AA220" s="1150">
        <f t="shared" si="106"/>
        <v>98076618616</v>
      </c>
      <c r="AB220" s="34">
        <f t="shared" si="98"/>
        <v>6030838069</v>
      </c>
      <c r="AC220" s="34">
        <f>SUM(P220:AA220)</f>
        <v>670225021704.73047</v>
      </c>
    </row>
    <row r="221" spans="2:30">
      <c r="B221" s="1158" t="s">
        <v>189</v>
      </c>
      <c r="C221" s="1159" t="s">
        <v>545</v>
      </c>
      <c r="D221" s="1159" t="s">
        <v>545</v>
      </c>
      <c r="E221" s="1159" t="s">
        <v>310</v>
      </c>
      <c r="F221" s="1159"/>
      <c r="G221" s="1159"/>
      <c r="H221" s="1159"/>
      <c r="I221" s="1162" t="s">
        <v>254</v>
      </c>
      <c r="J221" s="1159" t="str">
        <f t="shared" si="100"/>
        <v>lending_cashloan_cashloan_CAKE_NII</v>
      </c>
      <c r="K221" s="1149"/>
      <c r="L221" s="1239" t="s">
        <v>218</v>
      </c>
      <c r="M221" s="1150">
        <f t="shared" ref="M221:AA221" si="107">M222-M225</f>
        <v>426261810341.73041</v>
      </c>
      <c r="N221" s="1150">
        <f t="shared" si="107"/>
        <v>12020929344</v>
      </c>
      <c r="O221" s="1150">
        <f t="shared" si="107"/>
        <v>15014736154</v>
      </c>
      <c r="P221" s="1150">
        <f t="shared" si="107"/>
        <v>18406075272</v>
      </c>
      <c r="Q221" s="1150">
        <f t="shared" si="107"/>
        <v>17688057492</v>
      </c>
      <c r="R221" s="1150">
        <f t="shared" si="107"/>
        <v>20807979926.730392</v>
      </c>
      <c r="S221" s="1150">
        <f t="shared" si="107"/>
        <v>23142048234</v>
      </c>
      <c r="T221" s="1150">
        <f t="shared" si="107"/>
        <v>26999818614</v>
      </c>
      <c r="U221" s="1150">
        <f t="shared" si="107"/>
        <v>29147383247</v>
      </c>
      <c r="V221" s="1150">
        <f t="shared" si="107"/>
        <v>34881702229</v>
      </c>
      <c r="W221" s="1150">
        <f t="shared" si="107"/>
        <v>39982090272</v>
      </c>
      <c r="X221" s="1150">
        <f t="shared" si="107"/>
        <v>43804324788</v>
      </c>
      <c r="Y221" s="1150">
        <f t="shared" si="107"/>
        <v>51923510007</v>
      </c>
      <c r="Z221" s="1150">
        <f t="shared" si="107"/>
        <v>55594494688</v>
      </c>
      <c r="AA221" s="1150">
        <f t="shared" si="107"/>
        <v>63884325572</v>
      </c>
      <c r="AB221" s="34">
        <f t="shared" si="98"/>
        <v>8289830884</v>
      </c>
    </row>
    <row r="222" spans="2:30">
      <c r="B222" s="1158" t="s">
        <v>189</v>
      </c>
      <c r="C222" s="1159" t="s">
        <v>545</v>
      </c>
      <c r="D222" s="1159" t="s">
        <v>545</v>
      </c>
      <c r="E222" s="1159" t="s">
        <v>310</v>
      </c>
      <c r="F222" s="1159"/>
      <c r="G222" s="1159"/>
      <c r="H222" s="1159"/>
      <c r="I222" s="1162" t="s">
        <v>255</v>
      </c>
      <c r="J222" s="1159" t="str">
        <f t="shared" si="100"/>
        <v>lending_cashloan_cashloan_CAKE_CII</v>
      </c>
      <c r="K222" s="1149"/>
      <c r="L222" s="1240" t="s">
        <v>20</v>
      </c>
      <c r="M222" s="1149">
        <f>SUM(P222:AA222)</f>
        <v>511211149174</v>
      </c>
      <c r="N222" s="1149">
        <f>N223+1029668091-N224</f>
        <v>14078177919</v>
      </c>
      <c r="O222" s="1149">
        <f t="shared" ref="O222:Z222" si="108">O223+N224-O224</f>
        <v>17588373728</v>
      </c>
      <c r="P222" s="1149">
        <f t="shared" si="108"/>
        <v>21517983371</v>
      </c>
      <c r="Q222" s="1149">
        <f t="shared" si="108"/>
        <v>20778347557</v>
      </c>
      <c r="R222" s="1149">
        <f t="shared" si="108"/>
        <v>24489637931</v>
      </c>
      <c r="S222" s="1149">
        <f t="shared" si="108"/>
        <v>27229688936</v>
      </c>
      <c r="T222" s="1149">
        <f t="shared" si="108"/>
        <v>31867805954</v>
      </c>
      <c r="U222" s="1149">
        <f t="shared" si="108"/>
        <v>34497743678</v>
      </c>
      <c r="V222" s="1149">
        <f t="shared" si="108"/>
        <v>41419491234</v>
      </c>
      <c r="W222" s="1149">
        <f t="shared" si="108"/>
        <v>47736126542</v>
      </c>
      <c r="X222" s="1149">
        <f t="shared" si="108"/>
        <v>52626364878</v>
      </c>
      <c r="Y222" s="1149">
        <f t="shared" si="108"/>
        <v>62845748331</v>
      </c>
      <c r="Z222" s="1149">
        <f t="shared" si="108"/>
        <v>67702174898</v>
      </c>
      <c r="AA222" s="1149">
        <f>AA223+Z224-AA224</f>
        <v>78500035864</v>
      </c>
      <c r="AB222" s="34">
        <f t="shared" si="98"/>
        <v>10797860966</v>
      </c>
    </row>
    <row r="223" spans="2:30">
      <c r="B223" s="1158" t="s">
        <v>189</v>
      </c>
      <c r="C223" s="1159" t="s">
        <v>545</v>
      </c>
      <c r="D223" s="1159" t="s">
        <v>545</v>
      </c>
      <c r="E223" s="1159" t="s">
        <v>310</v>
      </c>
      <c r="F223" s="1159"/>
      <c r="G223" s="1159"/>
      <c r="H223" s="1159"/>
      <c r="I223" s="1162"/>
      <c r="J223" s="1159" t="str">
        <f t="shared" si="100"/>
        <v>lending_cashloan_cashloan_CAKE_</v>
      </c>
      <c r="K223" s="1149"/>
      <c r="L223" s="1274" t="s">
        <v>539</v>
      </c>
      <c r="M223" s="1151">
        <f>SUM(P223:AA223)</f>
        <v>518974059674</v>
      </c>
      <c r="N223" s="1151">
        <v>14344217688</v>
      </c>
      <c r="O223" s="1151">
        <v>18164625034</v>
      </c>
      <c r="P223" s="1151">
        <v>21826824013</v>
      </c>
      <c r="Q223" s="1151">
        <v>20958210129</v>
      </c>
      <c r="R223" s="1151">
        <v>24862188333</v>
      </c>
      <c r="S223" s="1151">
        <v>27576323277</v>
      </c>
      <c r="T223" s="1151">
        <v>32215586978</v>
      </c>
      <c r="U223" s="1151">
        <v>35008735215</v>
      </c>
      <c r="V223" s="1151">
        <v>42400864409</v>
      </c>
      <c r="W223" s="1151">
        <v>48200259590</v>
      </c>
      <c r="X223" s="1151">
        <v>53511511977</v>
      </c>
      <c r="Y223" s="1151">
        <v>63947718299</v>
      </c>
      <c r="Z223" s="1149">
        <v>68898864795</v>
      </c>
      <c r="AA223" s="1151">
        <v>79566972659</v>
      </c>
      <c r="AB223" s="34">
        <f t="shared" si="98"/>
        <v>10668107864</v>
      </c>
    </row>
    <row r="224" spans="2:30">
      <c r="B224" s="1158" t="s">
        <v>189</v>
      </c>
      <c r="C224" s="1159" t="s">
        <v>545</v>
      </c>
      <c r="D224" s="1159" t="s">
        <v>545</v>
      </c>
      <c r="E224" s="1159" t="s">
        <v>310</v>
      </c>
      <c r="F224" s="1159"/>
      <c r="G224" s="1159"/>
      <c r="H224" s="1159"/>
      <c r="I224" s="1160"/>
      <c r="J224" s="1159" t="str">
        <f t="shared" si="100"/>
        <v>lending_cashloan_cashloan_CAKE_</v>
      </c>
      <c r="K224" s="1149"/>
      <c r="L224" s="1274" t="s">
        <v>187</v>
      </c>
      <c r="M224" s="1151">
        <f>SUM(P224:AA224)</f>
        <v>59868207207</v>
      </c>
      <c r="N224" s="1151">
        <v>1295707860</v>
      </c>
      <c r="O224" s="1151">
        <f>1660193486+ 211765680</f>
        <v>1871959166</v>
      </c>
      <c r="P224" s="1151">
        <v>2180799808</v>
      </c>
      <c r="Q224" s="1151">
        <v>2360662380</v>
      </c>
      <c r="R224" s="1151">
        <v>2733212782</v>
      </c>
      <c r="S224" s="1151">
        <v>3079847123</v>
      </c>
      <c r="T224" s="1151">
        <v>3427628147</v>
      </c>
      <c r="U224" s="1151">
        <v>3938619684</v>
      </c>
      <c r="V224" s="1151">
        <v>4919992859</v>
      </c>
      <c r="W224" s="1151">
        <v>5384125907</v>
      </c>
      <c r="X224" s="1151">
        <v>6269273006</v>
      </c>
      <c r="Y224" s="1149">
        <v>7371242974</v>
      </c>
      <c r="Z224" s="1151">
        <v>8567932871</v>
      </c>
      <c r="AA224" s="1151">
        <v>9634869666</v>
      </c>
      <c r="AB224" s="34">
        <f t="shared" si="98"/>
        <v>1066936795</v>
      </c>
      <c r="AC224" s="34"/>
      <c r="AD224" s="34"/>
    </row>
    <row r="225" spans="2:28">
      <c r="B225" s="1158" t="s">
        <v>189</v>
      </c>
      <c r="C225" s="1159" t="s">
        <v>545</v>
      </c>
      <c r="D225" s="1159" t="s">
        <v>545</v>
      </c>
      <c r="E225" s="1159" t="s">
        <v>310</v>
      </c>
      <c r="F225" s="1159"/>
      <c r="G225" s="1159"/>
      <c r="H225" s="1159"/>
      <c r="I225" s="1162" t="s">
        <v>219</v>
      </c>
      <c r="J225" s="1159" t="str">
        <f t="shared" si="100"/>
        <v>lending_cashloan_cashloan_CAKE_COF</v>
      </c>
      <c r="K225" s="1149"/>
      <c r="L225" s="1240" t="s">
        <v>219</v>
      </c>
      <c r="M225" s="1149">
        <f>SUM(P225:AA225)</f>
        <v>84949338832.269608</v>
      </c>
      <c r="N225" s="1254">
        <v>2057248575</v>
      </c>
      <c r="O225" s="1247">
        <v>2573637574</v>
      </c>
      <c r="P225" s="1169">
        <v>3111908099</v>
      </c>
      <c r="Q225" s="1169">
        <v>3090290065</v>
      </c>
      <c r="R225" s="1169">
        <v>3681658004.2696085</v>
      </c>
      <c r="S225" s="1169">
        <v>4087640702</v>
      </c>
      <c r="T225" s="1169">
        <v>4867987340</v>
      </c>
      <c r="U225" s="1169">
        <v>5350360431</v>
      </c>
      <c r="V225" s="1290">
        <v>6537789005</v>
      </c>
      <c r="W225" s="1290">
        <v>7754036270</v>
      </c>
      <c r="X225" s="1290">
        <v>8822040090</v>
      </c>
      <c r="Y225" s="1149">
        <v>10922238324</v>
      </c>
      <c r="Z225" s="1254">
        <v>12107680210</v>
      </c>
      <c r="AA225" s="1247">
        <v>14615710292</v>
      </c>
      <c r="AB225" s="34">
        <f t="shared" si="98"/>
        <v>2508030082</v>
      </c>
    </row>
    <row r="226" spans="2:28">
      <c r="B226" s="1158" t="s">
        <v>189</v>
      </c>
      <c r="C226" s="1159" t="s">
        <v>545</v>
      </c>
      <c r="D226" s="1159" t="s">
        <v>545</v>
      </c>
      <c r="E226" s="1159" t="s">
        <v>310</v>
      </c>
      <c r="F226" s="1159"/>
      <c r="G226" s="1159"/>
      <c r="H226" s="1159"/>
      <c r="I226" s="1162" t="s">
        <v>260</v>
      </c>
      <c r="J226" s="1159" t="str">
        <f t="shared" si="100"/>
        <v>lending_cashloan_cashloan_CAKE_NFI</v>
      </c>
      <c r="K226" s="1149"/>
      <c r="L226" s="1239" t="s">
        <v>220</v>
      </c>
      <c r="M226" s="1150">
        <f t="shared" ref="M226:AA226" si="109">SUM(M227:M229)</f>
        <v>240911565860</v>
      </c>
      <c r="N226" s="1150">
        <f t="shared" si="109"/>
        <v>6636449148</v>
      </c>
      <c r="O226" s="1150">
        <f t="shared" si="109"/>
        <v>8073157655</v>
      </c>
      <c r="P226" s="1150">
        <f t="shared" si="109"/>
        <v>7374436759</v>
      </c>
      <c r="Q226" s="1150">
        <f t="shared" si="109"/>
        <v>5902023071</v>
      </c>
      <c r="R226" s="1150">
        <f t="shared" si="109"/>
        <v>9819193428</v>
      </c>
      <c r="S226" s="1150">
        <f t="shared" si="109"/>
        <v>12932379976</v>
      </c>
      <c r="T226" s="1150">
        <f t="shared" si="109"/>
        <v>12974659595</v>
      </c>
      <c r="U226" s="1150">
        <f t="shared" si="109"/>
        <v>16292763849</v>
      </c>
      <c r="V226" s="1150">
        <f t="shared" si="109"/>
        <v>21530051534</v>
      </c>
      <c r="W226" s="1150">
        <f t="shared" si="109"/>
        <v>21515772227</v>
      </c>
      <c r="X226" s="1150">
        <f t="shared" si="109"/>
        <v>30445347590</v>
      </c>
      <c r="Y226" s="1150">
        <f t="shared" si="109"/>
        <v>32743188629</v>
      </c>
      <c r="Z226" s="1150">
        <f t="shared" si="109"/>
        <v>35936245843</v>
      </c>
      <c r="AA226" s="1150">
        <f t="shared" si="109"/>
        <v>33445503359</v>
      </c>
      <c r="AB226" s="34">
        <f t="shared" si="98"/>
        <v>-2490742484</v>
      </c>
    </row>
    <row r="227" spans="2:28">
      <c r="B227" s="1158" t="s">
        <v>189</v>
      </c>
      <c r="C227" s="1159" t="s">
        <v>545</v>
      </c>
      <c r="D227" s="1159" t="s">
        <v>545</v>
      </c>
      <c r="E227" s="1159" t="s">
        <v>310</v>
      </c>
      <c r="F227" s="1159"/>
      <c r="G227" s="1159"/>
      <c r="H227" s="1159"/>
      <c r="I227" s="1162" t="s">
        <v>546</v>
      </c>
      <c r="J227" s="1159" t="str">
        <f t="shared" si="100"/>
        <v>lending_cashloan_cashloan_CAKE_insurance_fee</v>
      </c>
      <c r="K227" s="1149"/>
      <c r="L227" s="1240" t="s">
        <v>540</v>
      </c>
      <c r="M227" s="1151">
        <f>SUM(P227:AA227)</f>
        <v>177522618474</v>
      </c>
      <c r="N227" s="1151">
        <v>5968968987</v>
      </c>
      <c r="O227" s="1261">
        <v>7197957219</v>
      </c>
      <c r="P227" s="1261">
        <v>6483220098</v>
      </c>
      <c r="Q227" s="1248">
        <v>4950236337</v>
      </c>
      <c r="R227" s="1243">
        <v>8105328731</v>
      </c>
      <c r="S227" s="1243">
        <v>10328184724</v>
      </c>
      <c r="T227" s="1243">
        <v>10650931667</v>
      </c>
      <c r="U227" s="1243">
        <v>12676007333</v>
      </c>
      <c r="V227" s="1243">
        <f>830643113+16156919169</f>
        <v>16987562282</v>
      </c>
      <c r="W227" s="1302">
        <f>14361478139
+761788830</f>
        <v>15123266969</v>
      </c>
      <c r="X227" s="1302">
        <f>21068232062
+ 1173422431</f>
        <v>22241654493</v>
      </c>
      <c r="Y227" s="1151">
        <v>22586978072</v>
      </c>
      <c r="Z227" s="1151">
        <v>25401146847</v>
      </c>
      <c r="AA227" s="1261">
        <v>21988100921</v>
      </c>
      <c r="AB227" s="34">
        <f t="shared" si="98"/>
        <v>-3413045926</v>
      </c>
    </row>
    <row r="228" spans="2:28">
      <c r="B228" s="1158" t="s">
        <v>189</v>
      </c>
      <c r="C228" s="1159" t="s">
        <v>545</v>
      </c>
      <c r="D228" s="1159" t="s">
        <v>545</v>
      </c>
      <c r="E228" s="1159" t="s">
        <v>310</v>
      </c>
      <c r="F228" s="1159"/>
      <c r="G228" s="1159"/>
      <c r="H228" s="1159"/>
      <c r="I228" s="1162" t="s">
        <v>547</v>
      </c>
      <c r="J228" s="1159" t="str">
        <f t="shared" si="100"/>
        <v>lending_cashloan_cashloan_CAKE_early_terminate_fee</v>
      </c>
      <c r="K228" s="1149"/>
      <c r="L228" s="1240" t="s">
        <v>541</v>
      </c>
      <c r="M228" s="1151">
        <f>SUM(P228:AA228)</f>
        <v>63388947386</v>
      </c>
      <c r="N228" s="1151">
        <v>667480161</v>
      </c>
      <c r="O228" s="1151">
        <v>875200436</v>
      </c>
      <c r="P228" s="1151">
        <v>891216661</v>
      </c>
      <c r="Q228" s="1243">
        <v>951786734</v>
      </c>
      <c r="R228" s="1243">
        <v>1713864697</v>
      </c>
      <c r="S228" s="1243">
        <v>2604195252</v>
      </c>
      <c r="T228" s="1243">
        <v>2323727928</v>
      </c>
      <c r="U228" s="1243">
        <v>3616756516</v>
      </c>
      <c r="V228" s="1243">
        <v>4542489252</v>
      </c>
      <c r="W228" s="1243">
        <v>6392505258</v>
      </c>
      <c r="X228" s="1243">
        <v>8203693097</v>
      </c>
      <c r="Y228" s="1243">
        <v>10156210557</v>
      </c>
      <c r="Z228" s="1151">
        <v>10535098996</v>
      </c>
      <c r="AA228" s="1151">
        <v>11457402438</v>
      </c>
      <c r="AB228" s="34">
        <f t="shared" si="98"/>
        <v>922303442</v>
      </c>
    </row>
    <row r="229" spans="2:28">
      <c r="B229" s="1158" t="s">
        <v>189</v>
      </c>
      <c r="C229" s="1159" t="s">
        <v>545</v>
      </c>
      <c r="D229" s="1159" t="s">
        <v>545</v>
      </c>
      <c r="E229" s="1159" t="s">
        <v>310</v>
      </c>
      <c r="F229" s="1159"/>
      <c r="G229" s="1159"/>
      <c r="H229" s="1159"/>
      <c r="I229" s="1162" t="s">
        <v>548</v>
      </c>
      <c r="J229" s="1159" t="str">
        <f t="shared" si="100"/>
        <v>lending_cashloan_cashloan_CAKE_loan_grant_fee</v>
      </c>
      <c r="K229" s="1149"/>
      <c r="L229" s="1240" t="s">
        <v>542</v>
      </c>
      <c r="M229" s="1151">
        <f>SUM(P229:AA229)</f>
        <v>0</v>
      </c>
      <c r="N229" s="1151"/>
      <c r="O229" s="1151"/>
      <c r="P229" s="1243"/>
      <c r="Q229" s="1243"/>
      <c r="R229" s="1243"/>
      <c r="S229" s="1243"/>
      <c r="T229" s="1243"/>
      <c r="U229" s="1151"/>
      <c r="V229" s="1261"/>
      <c r="W229" s="1278"/>
      <c r="X229" s="1151"/>
      <c r="Y229" s="1151"/>
      <c r="Z229" s="1151"/>
      <c r="AA229" s="1151"/>
      <c r="AB229" s="34">
        <f t="shared" si="98"/>
        <v>0</v>
      </c>
    </row>
    <row r="230" spans="2:28" s="4" customFormat="1">
      <c r="B230" s="1158" t="s">
        <v>189</v>
      </c>
      <c r="C230" s="1159" t="s">
        <v>545</v>
      </c>
      <c r="D230" s="1159" t="s">
        <v>545</v>
      </c>
      <c r="E230" s="1159" t="s">
        <v>310</v>
      </c>
      <c r="F230" s="1159"/>
      <c r="G230" s="1159"/>
      <c r="H230" s="1159"/>
      <c r="I230" s="1162" t="s">
        <v>269</v>
      </c>
      <c r="J230" s="1159" t="str">
        <f t="shared" si="100"/>
        <v>lending_cashloan_cashloan_CAKE_other_TOI</v>
      </c>
      <c r="K230" s="1149"/>
      <c r="L230" s="1239" t="s">
        <v>89</v>
      </c>
      <c r="M230" s="1152">
        <f>SUM(P230:AA230)</f>
        <v>3051645503</v>
      </c>
      <c r="N230" s="1154"/>
      <c r="O230" s="1154"/>
      <c r="P230" s="1270"/>
      <c r="Q230" s="1244">
        <v>6019750</v>
      </c>
      <c r="R230" s="1244">
        <v>5247076</v>
      </c>
      <c r="S230" s="1244">
        <v>23657931</v>
      </c>
      <c r="T230" s="1244">
        <v>59458498</v>
      </c>
      <c r="U230" s="1244">
        <v>160441444</v>
      </c>
      <c r="V230" s="1244">
        <v>238618343</v>
      </c>
      <c r="W230" s="1154">
        <v>253347004</v>
      </c>
      <c r="X230" s="1154">
        <v>390242360</v>
      </c>
      <c r="Y230" s="1152">
        <v>652783396</v>
      </c>
      <c r="Z230" s="1152">
        <v>515040016</v>
      </c>
      <c r="AA230" s="1154">
        <v>746789685</v>
      </c>
      <c r="AB230" s="34">
        <f t="shared" si="98"/>
        <v>231749669</v>
      </c>
    </row>
    <row r="231" spans="2:28">
      <c r="B231" s="1158" t="s">
        <v>189</v>
      </c>
      <c r="C231" s="1159" t="s">
        <v>545</v>
      </c>
      <c r="D231" s="1159" t="s">
        <v>545</v>
      </c>
      <c r="E231" s="1159" t="s">
        <v>310</v>
      </c>
      <c r="F231" s="1159"/>
      <c r="G231" s="1159"/>
      <c r="H231" s="1159"/>
      <c r="I231" s="1162" t="s">
        <v>270</v>
      </c>
      <c r="J231" s="1159" t="str">
        <f t="shared" si="100"/>
        <v>lending_cashloan_cashloan_CAKE_provision</v>
      </c>
      <c r="K231" s="1149"/>
      <c r="L231" s="1245" t="s">
        <v>136</v>
      </c>
      <c r="M231" s="1150">
        <f>SUM(P231:AA231)</f>
        <v>267816557847</v>
      </c>
      <c r="N231" s="1262">
        <v>2334835528</v>
      </c>
      <c r="O231" s="1262">
        <f>2824875060+1073754175</f>
        <v>3898629235</v>
      </c>
      <c r="P231" s="1262">
        <v>5901595062</v>
      </c>
      <c r="Q231" s="1275">
        <v>8079410479</v>
      </c>
      <c r="R231" s="1275">
        <f>9302280310+2104416113</f>
        <v>11406696423</v>
      </c>
      <c r="S231" s="1245">
        <v>7784272687</v>
      </c>
      <c r="T231" s="1245">
        <v>13401491835</v>
      </c>
      <c r="U231" s="1245">
        <f>13668980994+3061912954</f>
        <v>16730893948</v>
      </c>
      <c r="V231" s="1296">
        <v>15028527669</v>
      </c>
      <c r="W231" s="1262">
        <v>23801575843</v>
      </c>
      <c r="X231" s="1262">
        <f>28911738951+4200482301</f>
        <v>33112221252</v>
      </c>
      <c r="Y231" s="1262">
        <v>31593531413</v>
      </c>
      <c r="Z231" s="1262">
        <v>43627163610</v>
      </c>
      <c r="AA231" s="1262">
        <f>51713131088+5636046538</f>
        <v>57349177626</v>
      </c>
      <c r="AB231" s="34">
        <f t="shared" si="98"/>
        <v>13722014016</v>
      </c>
    </row>
    <row r="232" spans="2:28">
      <c r="B232" s="1158" t="s">
        <v>189</v>
      </c>
      <c r="C232" s="1159" t="s">
        <v>545</v>
      </c>
      <c r="D232" s="1159" t="s">
        <v>545</v>
      </c>
      <c r="E232" s="1159" t="s">
        <v>310</v>
      </c>
      <c r="F232" s="1159"/>
      <c r="G232" s="1159"/>
      <c r="H232" s="1159"/>
      <c r="I232" s="1162" t="s">
        <v>271</v>
      </c>
      <c r="J232" s="1159" t="str">
        <f t="shared" si="100"/>
        <v>lending_cashloan_cashloan_CAKE_variable_cost</v>
      </c>
      <c r="K232" s="1149"/>
      <c r="L232" s="1245" t="s">
        <v>229</v>
      </c>
      <c r="M232" s="1150">
        <f t="shared" ref="M232:AA232" si="110">SUM(M233:M240)</f>
        <v>65336150496.627197</v>
      </c>
      <c r="N232" s="1150">
        <f t="shared" si="110"/>
        <v>2759824598.3645296</v>
      </c>
      <c r="O232" s="1150">
        <f t="shared" si="110"/>
        <v>3565268287.742435</v>
      </c>
      <c r="P232" s="1150">
        <f t="shared" si="110"/>
        <v>3041555549.6916623</v>
      </c>
      <c r="Q232" s="1150">
        <f t="shared" si="110"/>
        <v>2387760366.0910106</v>
      </c>
      <c r="R232" s="1150">
        <f t="shared" si="110"/>
        <v>3060155577.4536009</v>
      </c>
      <c r="S232" s="1150">
        <f t="shared" si="110"/>
        <v>3957129702.1539097</v>
      </c>
      <c r="T232" s="1150">
        <f t="shared" si="110"/>
        <v>3430648768.14817</v>
      </c>
      <c r="U232" s="1150">
        <f t="shared" si="110"/>
        <v>4870584119.4283895</v>
      </c>
      <c r="V232" s="1150">
        <f t="shared" si="110"/>
        <v>7740625207.5738144</v>
      </c>
      <c r="W232" s="1150">
        <f t="shared" si="110"/>
        <v>7090074461.7614794</v>
      </c>
      <c r="X232" s="1150">
        <f t="shared" si="110"/>
        <v>6327591441.2872438</v>
      </c>
      <c r="Y232" s="1150">
        <f t="shared" si="110"/>
        <v>7318443985.3327312</v>
      </c>
      <c r="Z232" s="1150">
        <f t="shared" si="110"/>
        <v>7574259601.2077513</v>
      </c>
      <c r="AA232" s="1150">
        <f t="shared" si="110"/>
        <v>8537321716.4974318</v>
      </c>
      <c r="AB232" s="34">
        <f t="shared" si="98"/>
        <v>963062115.28968048</v>
      </c>
    </row>
    <row r="233" spans="2:28">
      <c r="B233" s="1158" t="s">
        <v>189</v>
      </c>
      <c r="C233" s="1159" t="s">
        <v>545</v>
      </c>
      <c r="D233" s="1159" t="s">
        <v>545</v>
      </c>
      <c r="E233" s="1159" t="s">
        <v>310</v>
      </c>
      <c r="F233" s="1159"/>
      <c r="G233" s="1159"/>
      <c r="H233" s="1159"/>
      <c r="I233" s="1162" t="s">
        <v>272</v>
      </c>
      <c r="J233" s="1159" t="str">
        <f t="shared" si="100"/>
        <v>lending_cashloan_cashloan_CAKE_marketing_acquisition_cost</v>
      </c>
      <c r="K233" s="1149"/>
      <c r="L233" s="1246" t="s">
        <v>230</v>
      </c>
      <c r="M233" s="1149">
        <f t="shared" ref="M233:M238" si="111">SUM(P233:AA233)</f>
        <v>32563431835</v>
      </c>
      <c r="N233" s="1169">
        <v>1046521280</v>
      </c>
      <c r="O233" s="1169">
        <v>1347275366</v>
      </c>
      <c r="P233" s="1290">
        <v>1088743670</v>
      </c>
      <c r="Q233" s="1290">
        <v>793021619</v>
      </c>
      <c r="R233" s="1290">
        <v>1396342294</v>
      </c>
      <c r="S233" s="1290">
        <v>1985518842</v>
      </c>
      <c r="T233" s="1290">
        <v>1321461738</v>
      </c>
      <c r="U233" s="1290">
        <v>2885772015</v>
      </c>
      <c r="V233" s="1290">
        <v>5204446655</v>
      </c>
      <c r="W233" s="1290">
        <v>3809809457</v>
      </c>
      <c r="X233" s="1290">
        <v>2550319498</v>
      </c>
      <c r="Y233" s="1290">
        <v>3521268286</v>
      </c>
      <c r="Z233" s="1169">
        <v>3572659134</v>
      </c>
      <c r="AA233" s="1169">
        <v>4434068627</v>
      </c>
      <c r="AB233" s="34">
        <f t="shared" si="98"/>
        <v>861409493</v>
      </c>
    </row>
    <row r="234" spans="2:28">
      <c r="B234" s="1158" t="s">
        <v>189</v>
      </c>
      <c r="C234" s="1159" t="s">
        <v>545</v>
      </c>
      <c r="D234" s="1159" t="s">
        <v>545</v>
      </c>
      <c r="E234" s="1159" t="s">
        <v>310</v>
      </c>
      <c r="F234" s="1159"/>
      <c r="G234" s="1159"/>
      <c r="H234" s="1159"/>
      <c r="I234" s="1162" t="s">
        <v>273</v>
      </c>
      <c r="J234" s="1159" t="str">
        <f t="shared" si="100"/>
        <v>lending_cashloan_cashloan_CAKE_partner_acquisition_cost</v>
      </c>
      <c r="K234" s="1149"/>
      <c r="L234" s="1246" t="s">
        <v>231</v>
      </c>
      <c r="M234" s="1150">
        <f t="shared" si="111"/>
        <v>0</v>
      </c>
      <c r="N234" s="1150"/>
      <c r="O234" s="1262"/>
      <c r="P234" s="1262"/>
      <c r="Q234" s="1275"/>
      <c r="R234" s="1245"/>
      <c r="S234" s="1150"/>
      <c r="T234" s="1245"/>
      <c r="U234" s="1245"/>
      <c r="V234" s="1245"/>
      <c r="W234" s="1245"/>
      <c r="X234" s="1263"/>
      <c r="Y234" s="1264"/>
      <c r="Z234" s="1264"/>
      <c r="AA234" s="1245"/>
      <c r="AB234" s="34">
        <f t="shared" si="98"/>
        <v>0</v>
      </c>
    </row>
    <row r="235" spans="2:28">
      <c r="B235" s="1158" t="s">
        <v>189</v>
      </c>
      <c r="C235" s="1159" t="s">
        <v>545</v>
      </c>
      <c r="D235" s="1159" t="s">
        <v>545</v>
      </c>
      <c r="E235" s="1159" t="s">
        <v>310</v>
      </c>
      <c r="F235" s="1159"/>
      <c r="G235" s="1159"/>
      <c r="H235" s="1159"/>
      <c r="I235" s="1162" t="s">
        <v>274</v>
      </c>
      <c r="J235" s="1159" t="str">
        <f t="shared" si="100"/>
        <v>lending_cashloan_cashloan_CAKE_underwritting</v>
      </c>
      <c r="K235" s="1149"/>
      <c r="L235" s="1246" t="s">
        <v>232</v>
      </c>
      <c r="M235" s="1149">
        <f t="shared" si="111"/>
        <v>25528767163.492821</v>
      </c>
      <c r="N235" s="1149">
        <v>1426032320.4223499</v>
      </c>
      <c r="O235" s="1149">
        <v>1768215795.4809804</v>
      </c>
      <c r="P235" s="1265">
        <v>1404870665.9115648</v>
      </c>
      <c r="Q235" s="1265">
        <v>1012540931.6552498</v>
      </c>
      <c r="R235" s="1265">
        <v>1100979129.9920747</v>
      </c>
      <c r="S235" s="1265">
        <v>1311695860.5415914</v>
      </c>
      <c r="T235" s="1265">
        <v>1380335592.2184114</v>
      </c>
      <c r="U235" s="1265">
        <v>1637735437.4679215</v>
      </c>
      <c r="V235" s="1265">
        <v>2013313798.9511895</v>
      </c>
      <c r="W235" s="1265">
        <v>2714629242.5934043</v>
      </c>
      <c r="X235" s="1265">
        <v>3127198496.1652088</v>
      </c>
      <c r="Y235" s="1149">
        <v>3244594699.5981865</v>
      </c>
      <c r="Z235" s="1149">
        <v>3222585554.7905436</v>
      </c>
      <c r="AA235" s="1149">
        <v>3358287753.6074743</v>
      </c>
      <c r="AB235" s="34">
        <f t="shared" si="98"/>
        <v>135702198.81693077</v>
      </c>
    </row>
    <row r="236" spans="2:28">
      <c r="B236" s="1158" t="s">
        <v>189</v>
      </c>
      <c r="C236" s="1159" t="s">
        <v>545</v>
      </c>
      <c r="D236" s="1159" t="s">
        <v>545</v>
      </c>
      <c r="E236" s="1159" t="s">
        <v>310</v>
      </c>
      <c r="F236" s="1159"/>
      <c r="G236" s="1159"/>
      <c r="H236" s="1159"/>
      <c r="I236" s="1162" t="s">
        <v>275</v>
      </c>
      <c r="J236" s="1159" t="str">
        <f t="shared" si="100"/>
        <v>lending_cashloan_cashloan_CAKE_e_contract</v>
      </c>
      <c r="K236" s="1149"/>
      <c r="L236" s="1246" t="s">
        <v>233</v>
      </c>
      <c r="M236" s="1149">
        <f t="shared" si="111"/>
        <v>286087493</v>
      </c>
      <c r="N236" s="1149">
        <v>9751370</v>
      </c>
      <c r="O236" s="1149">
        <v>11389903</v>
      </c>
      <c r="P236" s="1169">
        <v>10075846</v>
      </c>
      <c r="Q236" s="1253">
        <v>7507649</v>
      </c>
      <c r="R236" s="1253">
        <v>14238039</v>
      </c>
      <c r="S236" s="1253">
        <v>39946443</v>
      </c>
      <c r="T236" s="1253">
        <v>14465488</v>
      </c>
      <c r="U236" s="1247">
        <v>16100469</v>
      </c>
      <c r="V236" s="1149">
        <v>24245409</v>
      </c>
      <c r="W236" s="1149">
        <v>64895171</v>
      </c>
      <c r="X236" s="1149">
        <v>23959247</v>
      </c>
      <c r="Y236" s="1149">
        <v>20273768</v>
      </c>
      <c r="Z236" s="1149">
        <v>25856419</v>
      </c>
      <c r="AA236" s="1149">
        <v>24523545</v>
      </c>
      <c r="AB236" s="34">
        <f t="shared" si="98"/>
        <v>-1332874</v>
      </c>
    </row>
    <row r="237" spans="2:28">
      <c r="B237" s="1158" t="s">
        <v>189</v>
      </c>
      <c r="C237" s="1159" t="s">
        <v>545</v>
      </c>
      <c r="D237" s="1159" t="s">
        <v>545</v>
      </c>
      <c r="E237" s="1159" t="s">
        <v>310</v>
      </c>
      <c r="F237" s="1159"/>
      <c r="G237" s="1159"/>
      <c r="H237" s="1159"/>
      <c r="I237" s="1162" t="s">
        <v>276</v>
      </c>
      <c r="J237" s="1159" t="str">
        <f t="shared" si="100"/>
        <v>lending_cashloan_cashloan_CAKE_nfc</v>
      </c>
      <c r="K237" s="1149"/>
      <c r="L237" s="1246" t="s">
        <v>152</v>
      </c>
      <c r="M237" s="1149">
        <f t="shared" si="111"/>
        <v>485267491.96728545</v>
      </c>
      <c r="N237" s="1149"/>
      <c r="O237" s="1149"/>
      <c r="P237" s="1169">
        <v>47839749.786852144</v>
      </c>
      <c r="Q237" s="1169">
        <v>28805459.01454363</v>
      </c>
      <c r="R237" s="1169">
        <v>41873391.065046459</v>
      </c>
      <c r="S237" s="1169">
        <v>33375974.988424141</v>
      </c>
      <c r="T237" s="1169">
        <v>32842005.955487337</v>
      </c>
      <c r="U237" s="1169">
        <v>36848552.394285463</v>
      </c>
      <c r="V237" s="1149">
        <v>40465331.333607569</v>
      </c>
      <c r="W237" s="1149">
        <v>37514372.785884559</v>
      </c>
      <c r="X237" s="1149">
        <v>37930290.774701469</v>
      </c>
      <c r="Y237" s="1149">
        <v>43041606.771640353</v>
      </c>
      <c r="Z237" s="1149">
        <v>49164899.181446113</v>
      </c>
      <c r="AA237" s="1149">
        <v>55565857.915366188</v>
      </c>
      <c r="AB237" s="34">
        <f t="shared" si="98"/>
        <v>6400958.733920075</v>
      </c>
    </row>
    <row r="238" spans="2:28">
      <c r="B238" s="1158" t="s">
        <v>189</v>
      </c>
      <c r="C238" s="1159" t="s">
        <v>545</v>
      </c>
      <c r="D238" s="1159" t="s">
        <v>545</v>
      </c>
      <c r="E238" s="1159" t="s">
        <v>310</v>
      </c>
      <c r="F238" s="1159"/>
      <c r="G238" s="1159"/>
      <c r="H238" s="1159"/>
      <c r="I238" s="1162" t="s">
        <v>277</v>
      </c>
      <c r="J238" s="1159" t="str">
        <f t="shared" si="100"/>
        <v>lending_cashloan_cashloan_CAKE_collection</v>
      </c>
      <c r="K238" s="1149"/>
      <c r="L238" s="1246" t="s">
        <v>234</v>
      </c>
      <c r="M238" s="1149">
        <f t="shared" si="111"/>
        <v>5873613601.3496008</v>
      </c>
      <c r="N238" s="1149">
        <v>270643437.96294361</v>
      </c>
      <c r="O238" s="1149">
        <v>417484214.42873895</v>
      </c>
      <c r="P238" s="1169">
        <v>458085089.59733742</v>
      </c>
      <c r="Q238" s="1169">
        <v>526048504.90341496</v>
      </c>
      <c r="R238" s="1169">
        <v>479248242.80684018</v>
      </c>
      <c r="S238" s="1169">
        <v>536995863.03155494</v>
      </c>
      <c r="T238" s="1169">
        <v>638788954.42184937</v>
      </c>
      <c r="U238" s="1149">
        <v>254313264.14673203</v>
      </c>
      <c r="V238" s="1149">
        <v>397682776</v>
      </c>
      <c r="W238" s="1149">
        <v>421151364.76681226</v>
      </c>
      <c r="X238" s="1149">
        <v>520414374.20753264</v>
      </c>
      <c r="Y238" s="1149">
        <v>413184460.06813765</v>
      </c>
      <c r="Z238" s="1149">
        <v>631367159.72674739</v>
      </c>
      <c r="AA238" s="1149">
        <v>596333547.67264247</v>
      </c>
      <c r="AB238" s="34">
        <f t="shared" si="98"/>
        <v>-35033612.054104924</v>
      </c>
    </row>
    <row r="239" spans="2:28">
      <c r="B239" s="1158" t="s">
        <v>189</v>
      </c>
      <c r="C239" s="1159" t="s">
        <v>545</v>
      </c>
      <c r="D239" s="1159" t="s">
        <v>545</v>
      </c>
      <c r="E239" s="1159" t="s">
        <v>310</v>
      </c>
      <c r="F239" s="1159"/>
      <c r="G239" s="1159"/>
      <c r="H239" s="1159"/>
      <c r="I239" s="1162" t="s">
        <v>278</v>
      </c>
      <c r="J239" s="1159" t="str">
        <f t="shared" si="100"/>
        <v>lending_cashloan_cashloan_CAKE_promotion</v>
      </c>
      <c r="K239" s="1149"/>
      <c r="L239" s="1246" t="s">
        <v>235</v>
      </c>
      <c r="M239" s="1149"/>
      <c r="N239" s="1149"/>
      <c r="O239" s="1149"/>
      <c r="P239" s="1169"/>
      <c r="Q239" s="1253"/>
      <c r="R239" s="1253"/>
      <c r="S239" s="1253"/>
      <c r="T239" s="1253"/>
      <c r="U239" s="1247"/>
      <c r="V239" s="1149"/>
      <c r="W239" s="1149"/>
      <c r="X239" s="1149"/>
      <c r="Y239" s="1149"/>
      <c r="Z239" s="1149"/>
      <c r="AA239" s="1149"/>
      <c r="AB239" s="34">
        <f t="shared" si="98"/>
        <v>0</v>
      </c>
    </row>
    <row r="240" spans="2:28">
      <c r="B240" s="1158" t="s">
        <v>189</v>
      </c>
      <c r="C240" s="1159" t="s">
        <v>545</v>
      </c>
      <c r="D240" s="1159" t="s">
        <v>545</v>
      </c>
      <c r="E240" s="1159" t="s">
        <v>310</v>
      </c>
      <c r="F240" s="1159"/>
      <c r="G240" s="1159"/>
      <c r="H240" s="1159"/>
      <c r="I240" s="1162" t="s">
        <v>279</v>
      </c>
      <c r="J240" s="1159" t="str">
        <f t="shared" si="100"/>
        <v>lending_cashloan_cashloan_CAKE_sms</v>
      </c>
      <c r="K240" s="1149"/>
      <c r="L240" s="1249" t="s">
        <v>163</v>
      </c>
      <c r="M240" s="1149">
        <f>SUM(P240:AA240)</f>
        <v>598982911.81748593</v>
      </c>
      <c r="N240" s="1247">
        <v>6876189.9792360449</v>
      </c>
      <c r="O240" s="1247">
        <v>20903008.832715727</v>
      </c>
      <c r="P240" s="1247">
        <v>31940528.395907715</v>
      </c>
      <c r="Q240" s="1247">
        <v>19836202.517802447</v>
      </c>
      <c r="R240" s="1247">
        <v>27474480.58963947</v>
      </c>
      <c r="S240" s="1247">
        <v>49596718.59233854</v>
      </c>
      <c r="T240" s="1247">
        <v>42754989.552422218</v>
      </c>
      <c r="U240" s="1265">
        <v>39814381.419451065</v>
      </c>
      <c r="V240" s="1149">
        <v>60471237.289017491</v>
      </c>
      <c r="W240" s="1149">
        <v>42074853.615377329</v>
      </c>
      <c r="X240" s="1149">
        <v>67769535.139800906</v>
      </c>
      <c r="Y240" s="1149">
        <v>76081164.894766018</v>
      </c>
      <c r="Z240" s="1149">
        <v>72626434.509014562</v>
      </c>
      <c r="AA240" s="1149">
        <v>68542385.301948145</v>
      </c>
      <c r="AB240" s="34">
        <f t="shared" si="98"/>
        <v>-4084049.2070664167</v>
      </c>
    </row>
    <row r="241" spans="2:29">
      <c r="B241" s="1158" t="s">
        <v>189</v>
      </c>
      <c r="C241" s="1159" t="s">
        <v>545</v>
      </c>
      <c r="D241" s="1159" t="s">
        <v>545</v>
      </c>
      <c r="E241" s="1159" t="s">
        <v>310</v>
      </c>
      <c r="F241" s="1159" t="str">
        <f>E241&amp;"CL"</f>
        <v>CAKECL</v>
      </c>
      <c r="G241" s="1159" t="str">
        <f>L241&amp;F241</f>
        <v>Profit before allocation costCAKECL</v>
      </c>
      <c r="H241" s="1408" t="str">
        <f>L241&amp;E241</f>
        <v>Profit before allocation costCAKE</v>
      </c>
      <c r="I241" s="1162" t="s">
        <v>280</v>
      </c>
      <c r="J241" s="1159" t="str">
        <f t="shared" si="100"/>
        <v>lending_cashloan_cashloan_CAKE_profit_before_overhead</v>
      </c>
      <c r="K241" s="1149"/>
      <c r="L241" s="1359" t="s">
        <v>236</v>
      </c>
      <c r="M241" s="1359">
        <f>M220-M231-M234-M232</f>
        <v>337072313361.10327</v>
      </c>
      <c r="N241" s="1359">
        <f>N220-N231-N232</f>
        <v>13562718365.635471</v>
      </c>
      <c r="O241" s="1359">
        <f>O220-O231-O232</f>
        <v>15623996286.257565</v>
      </c>
      <c r="P241" s="1359">
        <f t="shared" ref="P241:AA241" si="112">P220-P231-P234-P232</f>
        <v>16837361419.308338</v>
      </c>
      <c r="Q241" s="1359">
        <f t="shared" si="112"/>
        <v>13128929467.908989</v>
      </c>
      <c r="R241" s="1359">
        <f t="shared" si="112"/>
        <v>16165568430.276791</v>
      </c>
      <c r="S241" s="1359">
        <f t="shared" si="112"/>
        <v>24356683751.846092</v>
      </c>
      <c r="T241" s="1359">
        <f t="shared" si="112"/>
        <v>23201796103.85183</v>
      </c>
      <c r="U241" s="1359">
        <f t="shared" si="112"/>
        <v>23999110472.571609</v>
      </c>
      <c r="V241" s="1359">
        <f t="shared" si="112"/>
        <v>33881219229.426186</v>
      </c>
      <c r="W241" s="1359">
        <f t="shared" si="112"/>
        <v>30859559198.238522</v>
      </c>
      <c r="X241" s="1359">
        <f t="shared" si="112"/>
        <v>35200102044.712753</v>
      </c>
      <c r="Y241" s="1359">
        <f t="shared" si="112"/>
        <v>46407506633.667267</v>
      </c>
      <c r="Z241" s="1359">
        <f t="shared" si="112"/>
        <v>40844357335.792252</v>
      </c>
      <c r="AA241" s="1359">
        <f t="shared" si="112"/>
        <v>32190119273.502567</v>
      </c>
      <c r="AB241" s="34">
        <f t="shared" si="98"/>
        <v>-8654238062.2896843</v>
      </c>
      <c r="AC241" s="34">
        <f>SUM(P241:AA241)</f>
        <v>337072313361.10321</v>
      </c>
    </row>
    <row r="242" spans="2:29">
      <c r="B242" s="1158"/>
      <c r="C242" s="1159"/>
      <c r="D242" s="1159"/>
      <c r="E242" s="1159"/>
      <c r="F242" s="1159"/>
      <c r="G242" s="1159"/>
      <c r="H242" s="1159"/>
      <c r="I242" s="1160"/>
      <c r="J242" s="1159"/>
      <c r="K242" s="1149"/>
      <c r="L242" s="1153"/>
      <c r="M242" s="1150"/>
      <c r="N242" s="1150"/>
      <c r="O242" s="1150"/>
      <c r="P242" s="1150"/>
      <c r="Q242" s="1150"/>
      <c r="R242" s="1150"/>
      <c r="S242" s="1150"/>
      <c r="T242" s="1150"/>
      <c r="U242" s="1150"/>
      <c r="V242" s="1150"/>
      <c r="W242" s="1150"/>
      <c r="X242" s="1150"/>
      <c r="Y242" s="1150"/>
      <c r="Z242" s="1150"/>
      <c r="AA242" s="1150"/>
      <c r="AB242" s="34">
        <f t="shared" si="98"/>
        <v>0</v>
      </c>
    </row>
    <row r="243" spans="2:29">
      <c r="B243" s="1158" t="s">
        <v>189</v>
      </c>
      <c r="C243" s="1159" t="s">
        <v>545</v>
      </c>
      <c r="D243" s="1159" t="s">
        <v>545</v>
      </c>
      <c r="E243" s="1159" t="s">
        <v>290</v>
      </c>
      <c r="F243" s="1159"/>
      <c r="G243" s="1159"/>
      <c r="H243" s="1159"/>
      <c r="I243" s="1159"/>
      <c r="J243" s="1159" t="str">
        <f t="shared" ref="J243:J280" si="113">B243&amp;"_"&amp;C243&amp;"_"&amp;D243&amp;"_"&amp;E243&amp;"_"&amp;I243</f>
        <v>lending_cashloan_cashloan_MWG_</v>
      </c>
      <c r="K243" s="1149"/>
      <c r="L243" s="1146" t="s">
        <v>554</v>
      </c>
      <c r="M243" s="1146"/>
      <c r="N243" s="1146"/>
      <c r="O243" s="1146"/>
      <c r="P243" s="1146"/>
      <c r="Q243" s="1146"/>
      <c r="R243" s="1146"/>
      <c r="S243" s="1146"/>
      <c r="T243" s="1146"/>
      <c r="U243" s="1146"/>
      <c r="V243" s="1146"/>
      <c r="W243" s="1146"/>
      <c r="X243" s="1146"/>
      <c r="Y243" s="1146"/>
      <c r="Z243" s="1146"/>
      <c r="AA243" s="1146"/>
      <c r="AB243" s="34">
        <f t="shared" si="98"/>
        <v>0</v>
      </c>
    </row>
    <row r="244" spans="2:29">
      <c r="B244" s="1158" t="s">
        <v>189</v>
      </c>
      <c r="C244" s="1159" t="s">
        <v>545</v>
      </c>
      <c r="D244" s="1159" t="s">
        <v>545</v>
      </c>
      <c r="E244" s="1159" t="s">
        <v>290</v>
      </c>
      <c r="F244" s="1159"/>
      <c r="G244" s="1159"/>
      <c r="H244" s="1159"/>
      <c r="I244" s="1162" t="s">
        <v>239</v>
      </c>
      <c r="J244" s="1159" t="str">
        <f t="shared" si="113"/>
        <v>lending_cashloan_cashloan_MWG_new_account</v>
      </c>
      <c r="K244" s="1149"/>
      <c r="L244" s="1148" t="s">
        <v>193</v>
      </c>
      <c r="M244" s="1149">
        <f>SUM(P244:AA244)</f>
        <v>38424</v>
      </c>
      <c r="N244" s="1169">
        <v>713</v>
      </c>
      <c r="O244" s="1169">
        <v>847</v>
      </c>
      <c r="P244" s="1169">
        <v>1196</v>
      </c>
      <c r="Q244" s="1272">
        <v>947</v>
      </c>
      <c r="R244" s="1169">
        <v>1750</v>
      </c>
      <c r="S244" s="1267">
        <v>1952</v>
      </c>
      <c r="T244" s="1267">
        <v>2304</v>
      </c>
      <c r="U244" s="1169">
        <v>2611</v>
      </c>
      <c r="V244" s="1290">
        <v>3066</v>
      </c>
      <c r="W244" s="1290">
        <v>3734</v>
      </c>
      <c r="X244" s="1290">
        <v>5548</v>
      </c>
      <c r="Y244" s="1169">
        <v>4983</v>
      </c>
      <c r="Z244" s="1169">
        <v>4716</v>
      </c>
      <c r="AA244" s="1169">
        <v>5617</v>
      </c>
      <c r="AB244" s="34">
        <f t="shared" si="98"/>
        <v>901</v>
      </c>
    </row>
    <row r="245" spans="2:29">
      <c r="B245" s="1158" t="s">
        <v>189</v>
      </c>
      <c r="C245" s="1159" t="s">
        <v>545</v>
      </c>
      <c r="D245" s="1159" t="s">
        <v>545</v>
      </c>
      <c r="E245" s="1159" t="s">
        <v>290</v>
      </c>
      <c r="F245" s="1159"/>
      <c r="G245" s="1159"/>
      <c r="H245" s="1159"/>
      <c r="I245" s="1148" t="s">
        <v>527</v>
      </c>
      <c r="J245" s="1159" t="str">
        <f t="shared" si="113"/>
        <v>lending_cashloan_cashloan_MWG_Repeat account</v>
      </c>
      <c r="K245" s="1149"/>
      <c r="L245" s="1148" t="s">
        <v>527</v>
      </c>
      <c r="M245" s="1149"/>
      <c r="N245" s="1169"/>
      <c r="O245" s="1169">
        <v>3</v>
      </c>
      <c r="P245" s="1169">
        <v>1</v>
      </c>
      <c r="Q245" s="1169">
        <v>6</v>
      </c>
      <c r="R245" s="1169">
        <v>10</v>
      </c>
      <c r="S245" s="1169">
        <v>16</v>
      </c>
      <c r="T245" s="1268">
        <v>27</v>
      </c>
      <c r="U245" s="1268">
        <v>53</v>
      </c>
      <c r="V245" s="1169">
        <v>56</v>
      </c>
      <c r="W245" s="1169">
        <v>86</v>
      </c>
      <c r="X245" s="1169">
        <v>112</v>
      </c>
      <c r="Y245" s="1169">
        <v>147</v>
      </c>
      <c r="Z245" s="1169">
        <v>189</v>
      </c>
      <c r="AA245" s="1169">
        <v>256</v>
      </c>
      <c r="AB245" s="34">
        <f t="shared" si="98"/>
        <v>67</v>
      </c>
    </row>
    <row r="246" spans="2:29">
      <c r="B246" s="1158" t="s">
        <v>189</v>
      </c>
      <c r="C246" s="1159" t="s">
        <v>545</v>
      </c>
      <c r="D246" s="1159" t="s">
        <v>545</v>
      </c>
      <c r="E246" s="1159" t="s">
        <v>290</v>
      </c>
      <c r="F246" s="1159"/>
      <c r="G246" s="1159"/>
      <c r="H246" s="1159"/>
      <c r="I246" s="1162" t="s">
        <v>241</v>
      </c>
      <c r="J246" s="1159" t="str">
        <f t="shared" si="113"/>
        <v>lending_cashloan_cashloan_MWG_active_account</v>
      </c>
      <c r="K246" s="1149"/>
      <c r="L246" s="1148" t="s">
        <v>194</v>
      </c>
      <c r="M246" s="1149">
        <f>SUM(P246:AA246)</f>
        <v>186798</v>
      </c>
      <c r="N246" s="1169">
        <v>839</v>
      </c>
      <c r="O246" s="1169">
        <v>1663</v>
      </c>
      <c r="P246" s="1169">
        <v>2842</v>
      </c>
      <c r="Q246" s="1272">
        <v>3745</v>
      </c>
      <c r="R246" s="1272">
        <v>5438</v>
      </c>
      <c r="S246" s="1169">
        <v>7260</v>
      </c>
      <c r="T246" s="1169">
        <v>9364</v>
      </c>
      <c r="U246" s="1361">
        <v>11727</v>
      </c>
      <c r="V246" s="1169">
        <v>14390</v>
      </c>
      <c r="W246" s="1169">
        <v>17656</v>
      </c>
      <c r="X246" s="1169">
        <v>22600</v>
      </c>
      <c r="Y246" s="1169">
        <v>26775</v>
      </c>
      <c r="Z246" s="1169">
        <v>30372</v>
      </c>
      <c r="AA246" s="1169">
        <v>34629</v>
      </c>
      <c r="AB246" s="34">
        <f t="shared" si="98"/>
        <v>4257</v>
      </c>
    </row>
    <row r="247" spans="2:29">
      <c r="B247" s="1158" t="s">
        <v>189</v>
      </c>
      <c r="C247" s="1159" t="s">
        <v>545</v>
      </c>
      <c r="D247" s="1159" t="s">
        <v>545</v>
      </c>
      <c r="E247" s="1159" t="s">
        <v>290</v>
      </c>
      <c r="F247" s="1159" t="str">
        <f>E247&amp;"CL"</f>
        <v>MWGCL</v>
      </c>
      <c r="G247" s="1159" t="str">
        <f>L247&amp;F247</f>
        <v>DisbursementMWGCL</v>
      </c>
      <c r="H247" s="1408" t="str">
        <f>L247&amp;E247</f>
        <v>DisbursementMWG</v>
      </c>
      <c r="I247" s="1162" t="s">
        <v>242</v>
      </c>
      <c r="J247" s="1159" t="str">
        <f t="shared" si="113"/>
        <v>lending_cashloan_cashloan_MWG_disburse/spend</v>
      </c>
      <c r="K247" s="1149"/>
      <c r="L247" s="1169" t="s">
        <v>80</v>
      </c>
      <c r="M247" s="1149">
        <f>SUM(P247:AA247)</f>
        <v>691874860000</v>
      </c>
      <c r="N247" s="1149">
        <v>9689640000</v>
      </c>
      <c r="O247" s="1149">
        <v>11396390000</v>
      </c>
      <c r="P247" s="1149">
        <v>16174220000</v>
      </c>
      <c r="Q247" s="1169">
        <v>12849790000</v>
      </c>
      <c r="R247" s="1169">
        <v>23384840000</v>
      </c>
      <c r="S247" s="1169">
        <v>28065690000</v>
      </c>
      <c r="T247" s="1169">
        <v>33835150000</v>
      </c>
      <c r="U247" s="1169">
        <v>40487380000</v>
      </c>
      <c r="V247" s="1290">
        <v>52339690000</v>
      </c>
      <c r="W247" s="1169">
        <v>63562000000</v>
      </c>
      <c r="X247" s="1169">
        <v>100769400000</v>
      </c>
      <c r="Y247" s="1169">
        <v>93235540000</v>
      </c>
      <c r="Z247" s="1149">
        <v>100217490000</v>
      </c>
      <c r="AA247" s="1149">
        <v>126953670000</v>
      </c>
      <c r="AB247" s="34">
        <f t="shared" si="98"/>
        <v>26736180000</v>
      </c>
      <c r="AC247" s="34">
        <f>SUM(P247:AA247)</f>
        <v>691874860000</v>
      </c>
    </row>
    <row r="248" spans="2:29">
      <c r="B248" s="1158" t="s">
        <v>189</v>
      </c>
      <c r="C248" s="1159" t="s">
        <v>545</v>
      </c>
      <c r="D248" s="1159" t="s">
        <v>545</v>
      </c>
      <c r="E248" s="1159" t="s">
        <v>290</v>
      </c>
      <c r="F248" s="1159"/>
      <c r="G248" s="1159"/>
      <c r="H248" s="1159"/>
      <c r="I248" s="1160"/>
      <c r="J248" s="1159" t="str">
        <f t="shared" si="113"/>
        <v>lending_cashloan_cashloan_MWG_</v>
      </c>
      <c r="K248" s="1149"/>
      <c r="L248" s="1169" t="s">
        <v>528</v>
      </c>
      <c r="M248" s="1149">
        <f>SUM(P248:AA248)</f>
        <v>412803860000</v>
      </c>
      <c r="N248" s="1149">
        <v>6261640000</v>
      </c>
      <c r="O248" s="1149">
        <v>7358390000</v>
      </c>
      <c r="P248" s="1169">
        <v>10963220000</v>
      </c>
      <c r="Q248" s="1169">
        <v>8235790000</v>
      </c>
      <c r="R248" s="1169">
        <v>15099840000</v>
      </c>
      <c r="S248" s="1169">
        <v>17191690000</v>
      </c>
      <c r="T248" s="1169">
        <v>20806150000</v>
      </c>
      <c r="U248" s="1169">
        <v>24111380000</v>
      </c>
      <c r="V248" s="1290">
        <v>31208690000</v>
      </c>
      <c r="W248" s="1169">
        <v>39162000000</v>
      </c>
      <c r="X248" s="1169">
        <v>60048400000</v>
      </c>
      <c r="Y248" s="1149">
        <v>54807540000</v>
      </c>
      <c r="Z248" s="1149">
        <v>58857490000</v>
      </c>
      <c r="AA248" s="1149">
        <v>72311670000</v>
      </c>
      <c r="AB248" s="34">
        <f t="shared" si="98"/>
        <v>13454180000</v>
      </c>
    </row>
    <row r="249" spans="2:29">
      <c r="B249" s="1158" t="s">
        <v>189</v>
      </c>
      <c r="C249" s="1159" t="s">
        <v>545</v>
      </c>
      <c r="D249" s="1159" t="s">
        <v>545</v>
      </c>
      <c r="E249" s="1159" t="s">
        <v>290</v>
      </c>
      <c r="F249" s="1159"/>
      <c r="G249" s="1159"/>
      <c r="H249" s="1159"/>
      <c r="I249" s="1160"/>
      <c r="J249" s="1159" t="str">
        <f t="shared" si="113"/>
        <v>lending_cashloan_cashloan_MWG_</v>
      </c>
      <c r="K249" s="1149"/>
      <c r="L249" s="1169" t="s">
        <v>529</v>
      </c>
      <c r="M249" s="1149">
        <f>SUM(P249:AA249)</f>
        <v>279071000000</v>
      </c>
      <c r="N249" s="1149">
        <f t="shared" ref="N249:AA249" si="114">N247-N248</f>
        <v>3428000000</v>
      </c>
      <c r="O249" s="1149">
        <f t="shared" si="114"/>
        <v>4038000000</v>
      </c>
      <c r="P249" s="1149">
        <f t="shared" si="114"/>
        <v>5211000000</v>
      </c>
      <c r="Q249" s="1149">
        <f t="shared" si="114"/>
        <v>4614000000</v>
      </c>
      <c r="R249" s="1149">
        <f t="shared" si="114"/>
        <v>8285000000</v>
      </c>
      <c r="S249" s="1149">
        <f t="shared" si="114"/>
        <v>10874000000</v>
      </c>
      <c r="T249" s="1149">
        <f t="shared" si="114"/>
        <v>13029000000</v>
      </c>
      <c r="U249" s="1149">
        <f t="shared" si="114"/>
        <v>16376000000</v>
      </c>
      <c r="V249" s="1149">
        <f t="shared" si="114"/>
        <v>21131000000</v>
      </c>
      <c r="W249" s="1149">
        <f t="shared" si="114"/>
        <v>24400000000</v>
      </c>
      <c r="X249" s="1149">
        <f t="shared" si="114"/>
        <v>40721000000</v>
      </c>
      <c r="Y249" s="1149">
        <f t="shared" si="114"/>
        <v>38428000000</v>
      </c>
      <c r="Z249" s="1149">
        <f t="shared" si="114"/>
        <v>41360000000</v>
      </c>
      <c r="AA249" s="1149">
        <f t="shared" si="114"/>
        <v>54642000000</v>
      </c>
      <c r="AB249" s="34">
        <f t="shared" si="98"/>
        <v>13282000000</v>
      </c>
    </row>
    <row r="250" spans="2:29">
      <c r="B250" s="1158" t="s">
        <v>189</v>
      </c>
      <c r="C250" s="1159" t="s">
        <v>545</v>
      </c>
      <c r="D250" s="1159" t="s">
        <v>545</v>
      </c>
      <c r="E250" s="1159" t="s">
        <v>290</v>
      </c>
      <c r="F250" s="1159"/>
      <c r="G250" s="1159"/>
      <c r="H250" s="1159"/>
      <c r="I250" s="1162" t="s">
        <v>243</v>
      </c>
      <c r="J250" s="1159" t="str">
        <f t="shared" si="113"/>
        <v>lending_cashloan_cashloan_MWG_ENR</v>
      </c>
      <c r="K250" s="1149"/>
      <c r="L250" s="1169" t="s">
        <v>530</v>
      </c>
      <c r="M250" s="1149">
        <f>AA250</f>
        <v>529319867060</v>
      </c>
      <c r="N250" s="1169">
        <v>11139801421</v>
      </c>
      <c r="O250" s="1149">
        <v>21513978715</v>
      </c>
      <c r="P250" s="1169">
        <v>36367269639</v>
      </c>
      <c r="Q250" s="1273">
        <v>46067112309</v>
      </c>
      <c r="R250" s="1169">
        <v>65390137765</v>
      </c>
      <c r="S250" s="1169">
        <v>87363644373</v>
      </c>
      <c r="T250" s="1169">
        <v>113146946702</v>
      </c>
      <c r="U250" s="1169">
        <v>143342303049</v>
      </c>
      <c r="V250" s="1169">
        <v>182312198583</v>
      </c>
      <c r="W250" s="1254">
        <v>229400437441</v>
      </c>
      <c r="X250" s="1169">
        <v>310005556768</v>
      </c>
      <c r="Y250" s="1169">
        <v>375444603055</v>
      </c>
      <c r="Z250" s="1169">
        <v>442698671892</v>
      </c>
      <c r="AA250" s="1149">
        <v>529319867060</v>
      </c>
      <c r="AB250" s="34">
        <f t="shared" si="98"/>
        <v>86621195168</v>
      </c>
    </row>
    <row r="251" spans="2:29">
      <c r="B251" s="1158" t="s">
        <v>189</v>
      </c>
      <c r="C251" s="1159" t="s">
        <v>545</v>
      </c>
      <c r="D251" s="1159" t="s">
        <v>545</v>
      </c>
      <c r="E251" s="1159" t="s">
        <v>290</v>
      </c>
      <c r="F251" s="1159"/>
      <c r="G251" s="1159"/>
      <c r="H251" s="1159"/>
      <c r="I251" s="1160"/>
      <c r="J251" s="1159" t="str">
        <f t="shared" si="113"/>
        <v>lending_cashloan_cashloan_MWG_</v>
      </c>
      <c r="K251" s="1149"/>
      <c r="L251" s="1235" t="s">
        <v>531</v>
      </c>
      <c r="M251" s="1149">
        <f>AA251</f>
        <v>520785767767</v>
      </c>
      <c r="N251" s="1273">
        <f t="shared" ref="N251:AA251" si="115">N250-N252</f>
        <v>11128957302</v>
      </c>
      <c r="O251" s="1273">
        <f t="shared" si="115"/>
        <v>21475200963</v>
      </c>
      <c r="P251" s="1273">
        <f t="shared" si="115"/>
        <v>36279597303</v>
      </c>
      <c r="Q251" s="1273">
        <f t="shared" si="115"/>
        <v>45822706223</v>
      </c>
      <c r="R251" s="1273">
        <f t="shared" si="115"/>
        <v>64865700990</v>
      </c>
      <c r="S251" s="1273">
        <f t="shared" si="115"/>
        <v>86454360442</v>
      </c>
      <c r="T251" s="1273">
        <f t="shared" si="115"/>
        <v>111759346776</v>
      </c>
      <c r="U251" s="1273">
        <f t="shared" si="115"/>
        <v>141255005834</v>
      </c>
      <c r="V251" s="1273">
        <f t="shared" si="115"/>
        <v>179442455173</v>
      </c>
      <c r="W251" s="1273">
        <f t="shared" si="115"/>
        <v>225603307259</v>
      </c>
      <c r="X251" s="1273">
        <f t="shared" si="115"/>
        <v>305039439643</v>
      </c>
      <c r="Y251" s="1273">
        <f t="shared" si="115"/>
        <v>369472117890</v>
      </c>
      <c r="Z251" s="1273">
        <f t="shared" si="115"/>
        <v>435375280189</v>
      </c>
      <c r="AA251" s="1273">
        <f t="shared" si="115"/>
        <v>520785767767</v>
      </c>
      <c r="AB251" s="34">
        <f t="shared" si="98"/>
        <v>85410487578</v>
      </c>
    </row>
    <row r="252" spans="2:29">
      <c r="B252" s="1158" t="s">
        <v>189</v>
      </c>
      <c r="C252" s="1159" t="s">
        <v>545</v>
      </c>
      <c r="D252" s="1159" t="s">
        <v>545</v>
      </c>
      <c r="E252" s="1159" t="s">
        <v>290</v>
      </c>
      <c r="F252" s="1159"/>
      <c r="G252" s="1159"/>
      <c r="H252" s="1159"/>
      <c r="I252" s="1160"/>
      <c r="J252" s="1159" t="str">
        <f t="shared" si="113"/>
        <v>lending_cashloan_cashloan_MWG_</v>
      </c>
      <c r="K252" s="1149"/>
      <c r="L252" s="1235" t="s">
        <v>532</v>
      </c>
      <c r="M252" s="1149">
        <f>AA252</f>
        <v>8534099293</v>
      </c>
      <c r="N252" s="1255">
        <v>10844119</v>
      </c>
      <c r="O252" s="1273">
        <v>38777752</v>
      </c>
      <c r="P252" s="1273">
        <v>87672336</v>
      </c>
      <c r="Q252" s="1273">
        <v>244406086</v>
      </c>
      <c r="R252" s="1255">
        <v>524436775</v>
      </c>
      <c r="S252" s="1255">
        <v>909283931</v>
      </c>
      <c r="T252" s="1255">
        <v>1387599926</v>
      </c>
      <c r="U252" s="1255">
        <v>2087297215</v>
      </c>
      <c r="V252" s="1255">
        <v>2869743410</v>
      </c>
      <c r="W252" s="1236">
        <v>3797130182</v>
      </c>
      <c r="X252" s="1255">
        <v>4966117125</v>
      </c>
      <c r="Y252" s="1255">
        <v>5972485165</v>
      </c>
      <c r="Z252" s="1255">
        <v>7323391703</v>
      </c>
      <c r="AA252" s="1273">
        <v>8534099293</v>
      </c>
      <c r="AB252" s="34">
        <f t="shared" si="98"/>
        <v>1210707590</v>
      </c>
    </row>
    <row r="253" spans="2:29">
      <c r="B253" s="1158" t="s">
        <v>189</v>
      </c>
      <c r="C253" s="1159" t="s">
        <v>545</v>
      </c>
      <c r="D253" s="1159" t="s">
        <v>545</v>
      </c>
      <c r="E253" s="1159" t="s">
        <v>290</v>
      </c>
      <c r="F253" s="1159"/>
      <c r="G253" s="1159"/>
      <c r="H253" s="1159"/>
      <c r="I253" s="1160"/>
      <c r="J253" s="1159" t="str">
        <f t="shared" si="113"/>
        <v>lending_cashloan_cashloan_MWG_</v>
      </c>
      <c r="K253" s="1149"/>
      <c r="L253" s="1148" t="s">
        <v>533</v>
      </c>
      <c r="M253" s="1149"/>
      <c r="N253" s="1255"/>
      <c r="O253" s="1273"/>
      <c r="P253" s="1273"/>
      <c r="Q253" s="1273">
        <v>82327743</v>
      </c>
      <c r="R253" s="1273">
        <v>455344816</v>
      </c>
      <c r="S253" s="1273">
        <v>978196449</v>
      </c>
      <c r="T253" s="1273">
        <v>1988277125</v>
      </c>
      <c r="U253" s="1273">
        <v>3086927136</v>
      </c>
      <c r="V253" s="1293">
        <v>4183288141</v>
      </c>
      <c r="W253" s="1273">
        <v>5710524877</v>
      </c>
      <c r="X253" s="1273">
        <v>7310629931</v>
      </c>
      <c r="Y253" s="1273">
        <v>8527011275</v>
      </c>
      <c r="Z253" s="1273">
        <v>10080174298</v>
      </c>
      <c r="AA253" s="1273">
        <v>11684932971</v>
      </c>
      <c r="AB253" s="34">
        <f t="shared" si="98"/>
        <v>1604758673</v>
      </c>
    </row>
    <row r="254" spans="2:29">
      <c r="B254" s="1158" t="s">
        <v>189</v>
      </c>
      <c r="C254" s="1159" t="s">
        <v>545</v>
      </c>
      <c r="D254" s="1159" t="s">
        <v>545</v>
      </c>
      <c r="E254" s="1159" t="s">
        <v>290</v>
      </c>
      <c r="F254" s="1159"/>
      <c r="G254" s="1159"/>
      <c r="H254" s="1159"/>
      <c r="I254" s="1162" t="s">
        <v>247</v>
      </c>
      <c r="J254" s="1159" t="str">
        <f t="shared" si="113"/>
        <v>lending_cashloan_cashloan_MWG_overdue_balance_10d</v>
      </c>
      <c r="K254" s="1149"/>
      <c r="L254" s="1169" t="s">
        <v>534</v>
      </c>
      <c r="M254" s="1149"/>
      <c r="N254" s="1255">
        <v>37558908</v>
      </c>
      <c r="O254" s="1273">
        <v>878372150</v>
      </c>
      <c r="P254" s="1273">
        <v>1779934096</v>
      </c>
      <c r="Q254" s="1273">
        <v>3020904659</v>
      </c>
      <c r="R254" s="1273">
        <v>5498771167</v>
      </c>
      <c r="S254" s="1273">
        <v>6553247477</v>
      </c>
      <c r="T254" s="1247">
        <v>9783564926</v>
      </c>
      <c r="U254" s="1236">
        <v>14950590847</v>
      </c>
      <c r="V254" s="1236">
        <v>19287373262</v>
      </c>
      <c r="W254" s="1277">
        <v>24499546353</v>
      </c>
      <c r="X254" s="1255">
        <v>36106877771</v>
      </c>
      <c r="Y254" s="1255">
        <v>41019030062</v>
      </c>
      <c r="Z254" s="1255">
        <v>50461983431</v>
      </c>
      <c r="AA254" s="1273">
        <v>65176645273</v>
      </c>
      <c r="AB254" s="34">
        <f t="shared" si="98"/>
        <v>14714661842</v>
      </c>
    </row>
    <row r="255" spans="2:29">
      <c r="B255" s="1158" t="s">
        <v>189</v>
      </c>
      <c r="C255" s="1159" t="s">
        <v>545</v>
      </c>
      <c r="D255" s="1159" t="s">
        <v>545</v>
      </c>
      <c r="E255" s="1159" t="s">
        <v>290</v>
      </c>
      <c r="F255" s="1159"/>
      <c r="G255" s="1159"/>
      <c r="H255" s="1159"/>
      <c r="I255" s="1162" t="s">
        <v>248</v>
      </c>
      <c r="J255" s="1159" t="str">
        <f t="shared" si="113"/>
        <v>lending_cashloan_cashloan_MWG_overdue_balance_90d</v>
      </c>
      <c r="K255" s="1149"/>
      <c r="L255" s="1169" t="s">
        <v>535</v>
      </c>
      <c r="M255" s="1149"/>
      <c r="N255" s="1169">
        <v>0</v>
      </c>
      <c r="O255" s="1169">
        <v>26671246</v>
      </c>
      <c r="P255" s="1169">
        <v>24972013</v>
      </c>
      <c r="Q255" s="1169">
        <v>95905024</v>
      </c>
      <c r="R255" s="1169">
        <v>662721312</v>
      </c>
      <c r="S255" s="1273">
        <v>1122169045</v>
      </c>
      <c r="T255" s="1149">
        <v>2196763514</v>
      </c>
      <c r="U255" s="1149">
        <v>3693749448</v>
      </c>
      <c r="V255" s="1149">
        <v>4647857406</v>
      </c>
      <c r="W255" s="1149">
        <v>6342137503</v>
      </c>
      <c r="X255" s="1169">
        <v>9241074624</v>
      </c>
      <c r="Y255" s="1290">
        <v>9755781168</v>
      </c>
      <c r="Z255" s="1169">
        <v>11820703331</v>
      </c>
      <c r="AA255" s="1169">
        <v>16242493840</v>
      </c>
      <c r="AB255" s="34">
        <f t="shared" si="98"/>
        <v>4421790509</v>
      </c>
    </row>
    <row r="256" spans="2:29">
      <c r="B256" s="1158" t="s">
        <v>189</v>
      </c>
      <c r="C256" s="1159" t="s">
        <v>545</v>
      </c>
      <c r="D256" s="1159" t="s">
        <v>545</v>
      </c>
      <c r="E256" s="1159" t="s">
        <v>290</v>
      </c>
      <c r="F256" s="1159"/>
      <c r="G256" s="1159"/>
      <c r="H256" s="1159"/>
      <c r="I256" s="1160"/>
      <c r="J256" s="1159" t="str">
        <f t="shared" si="113"/>
        <v>lending_cashloan_cashloan_MWG_</v>
      </c>
      <c r="K256" s="1149"/>
      <c r="L256" s="1169" t="s">
        <v>536</v>
      </c>
      <c r="M256" s="1149"/>
      <c r="N256" s="1255">
        <f>N254-N255</f>
        <v>37558908</v>
      </c>
      <c r="O256" s="1273">
        <v>603249498</v>
      </c>
      <c r="P256" s="1273">
        <f t="shared" ref="P256:AA256" si="116">P254-P255</f>
        <v>1754962083</v>
      </c>
      <c r="Q256" s="1273">
        <f t="shared" si="116"/>
        <v>2924999635</v>
      </c>
      <c r="R256" s="1273">
        <f t="shared" si="116"/>
        <v>4836049855</v>
      </c>
      <c r="S256" s="1273">
        <f t="shared" si="116"/>
        <v>5431078432</v>
      </c>
      <c r="T256" s="1273">
        <f t="shared" si="116"/>
        <v>7586801412</v>
      </c>
      <c r="U256" s="1273">
        <f t="shared" si="116"/>
        <v>11256841399</v>
      </c>
      <c r="V256" s="1273">
        <f t="shared" si="116"/>
        <v>14639515856</v>
      </c>
      <c r="W256" s="1273">
        <f t="shared" si="116"/>
        <v>18157408850</v>
      </c>
      <c r="X256" s="1273">
        <f t="shared" si="116"/>
        <v>26865803147</v>
      </c>
      <c r="Y256" s="1273">
        <f t="shared" si="116"/>
        <v>31263248894</v>
      </c>
      <c r="Z256" s="1273">
        <f t="shared" si="116"/>
        <v>38641280100</v>
      </c>
      <c r="AA256" s="1273">
        <f t="shared" si="116"/>
        <v>48934151433</v>
      </c>
      <c r="AB256" s="34">
        <f t="shared" si="98"/>
        <v>10292871333</v>
      </c>
    </row>
    <row r="257" spans="2:31">
      <c r="B257" s="1158" t="s">
        <v>189</v>
      </c>
      <c r="C257" s="1159" t="s">
        <v>545</v>
      </c>
      <c r="D257" s="1159" t="s">
        <v>545</v>
      </c>
      <c r="E257" s="1159" t="s">
        <v>290</v>
      </c>
      <c r="F257" s="1159"/>
      <c r="G257" s="1159"/>
      <c r="H257" s="1159"/>
      <c r="I257" s="1160"/>
      <c r="J257" s="1159" t="str">
        <f t="shared" si="113"/>
        <v>lending_cashloan_cashloan_MWG_</v>
      </c>
      <c r="K257" s="1149"/>
      <c r="L257" s="1169" t="s">
        <v>537</v>
      </c>
      <c r="M257" s="1149"/>
      <c r="N257" s="1269">
        <f t="shared" ref="N257:AA257" si="117">N253/N250</f>
        <v>0</v>
      </c>
      <c r="O257" s="1269">
        <f t="shared" si="117"/>
        <v>0</v>
      </c>
      <c r="P257" s="1269">
        <f t="shared" si="117"/>
        <v>0</v>
      </c>
      <c r="Q257" s="1269">
        <f t="shared" si="117"/>
        <v>1.7871261920603576E-3</v>
      </c>
      <c r="R257" s="1269">
        <f t="shared" si="117"/>
        <v>6.9635090483587082E-3</v>
      </c>
      <c r="S257" s="1269">
        <f t="shared" si="117"/>
        <v>1.1196836579110412E-2</v>
      </c>
      <c r="T257" s="1269">
        <f t="shared" si="117"/>
        <v>1.7572521247405919E-2</v>
      </c>
      <c r="U257" s="1269">
        <f t="shared" si="117"/>
        <v>2.1535353279099802E-2</v>
      </c>
      <c r="V257" s="1269">
        <f t="shared" si="117"/>
        <v>2.2945739086655266E-2</v>
      </c>
      <c r="W257" s="1269">
        <f t="shared" si="117"/>
        <v>2.4893260626273662E-2</v>
      </c>
      <c r="X257" s="1269">
        <f t="shared" si="117"/>
        <v>2.3582254483493284E-2</v>
      </c>
      <c r="Y257" s="1269">
        <f t="shared" si="117"/>
        <v>2.2711769474419247E-2</v>
      </c>
      <c r="Z257" s="1269">
        <f t="shared" si="117"/>
        <v>2.2769831802113789E-2</v>
      </c>
      <c r="AA257" s="1269">
        <f t="shared" si="117"/>
        <v>2.2075371997468361E-2</v>
      </c>
      <c r="AB257" s="34">
        <f t="shared" si="98"/>
        <v>-6.9445980464542811E-4</v>
      </c>
    </row>
    <row r="258" spans="2:31">
      <c r="B258" s="1158" t="s">
        <v>189</v>
      </c>
      <c r="C258" s="1159" t="s">
        <v>545</v>
      </c>
      <c r="D258" s="1159" t="s">
        <v>545</v>
      </c>
      <c r="E258" s="1159" t="s">
        <v>290</v>
      </c>
      <c r="F258" s="1159"/>
      <c r="G258" s="1159"/>
      <c r="H258" s="1159"/>
      <c r="I258" s="1162" t="s">
        <v>213</v>
      </c>
      <c r="J258" s="1159" t="str">
        <f t="shared" si="113"/>
        <v>lending_cashloan_cashloan_MWG_npl</v>
      </c>
      <c r="K258" s="1149"/>
      <c r="L258" s="1169" t="s">
        <v>538</v>
      </c>
      <c r="M258" s="1149"/>
      <c r="N258" s="1269">
        <f t="shared" ref="N258:AA258" si="118">N255/N250</f>
        <v>0</v>
      </c>
      <c r="O258" s="1269">
        <f t="shared" si="118"/>
        <v>1.2397170394802075E-3</v>
      </c>
      <c r="P258" s="1269">
        <f t="shared" si="118"/>
        <v>6.8666174964150163E-4</v>
      </c>
      <c r="Q258" s="1269">
        <f t="shared" si="118"/>
        <v>2.0818544769358881E-3</v>
      </c>
      <c r="R258" s="1269">
        <f t="shared" si="118"/>
        <v>1.0134881721486766E-2</v>
      </c>
      <c r="S258" s="1269">
        <f t="shared" si="118"/>
        <v>1.2844805789109339E-2</v>
      </c>
      <c r="T258" s="1269">
        <f t="shared" si="118"/>
        <v>1.9415137376934358E-2</v>
      </c>
      <c r="U258" s="1269">
        <f t="shared" si="118"/>
        <v>2.5768732393934901E-2</v>
      </c>
      <c r="V258" s="1269">
        <f t="shared" si="118"/>
        <v>2.549394633011352E-2</v>
      </c>
      <c r="W258" s="1269">
        <f t="shared" si="118"/>
        <v>2.7646579813655099E-2</v>
      </c>
      <c r="X258" s="1269">
        <f t="shared" si="118"/>
        <v>2.9809383806999875E-2</v>
      </c>
      <c r="Y258" s="1269">
        <f t="shared" si="118"/>
        <v>2.5984608884019159E-2</v>
      </c>
      <c r="Z258" s="1269">
        <f t="shared" si="118"/>
        <v>2.6701465537451979E-2</v>
      </c>
      <c r="AA258" s="1269">
        <f t="shared" si="118"/>
        <v>3.0685592683712484E-2</v>
      </c>
      <c r="AB258" s="34">
        <f t="shared" si="98"/>
        <v>3.9841271462605042E-3</v>
      </c>
    </row>
    <row r="259" spans="2:31">
      <c r="B259" s="1158" t="s">
        <v>189</v>
      </c>
      <c r="C259" s="1159" t="s">
        <v>545</v>
      </c>
      <c r="D259" s="1159" t="s">
        <v>545</v>
      </c>
      <c r="E259" s="1159" t="s">
        <v>290</v>
      </c>
      <c r="F259" s="1159" t="str">
        <f>E259&amp;"CL"</f>
        <v>MWGCL</v>
      </c>
      <c r="G259" s="1159" t="str">
        <f>L259&amp;F259</f>
        <v>TOIMWGCL</v>
      </c>
      <c r="H259" s="1408" t="str">
        <f>L259&amp;E259</f>
        <v>TOIMWG</v>
      </c>
      <c r="I259" s="1162" t="s">
        <v>217</v>
      </c>
      <c r="J259" s="1159" t="str">
        <f t="shared" si="113"/>
        <v>lending_cashloan_cashloan_MWG_TOI</v>
      </c>
      <c r="K259" s="1149"/>
      <c r="L259" s="1238" t="s">
        <v>217</v>
      </c>
      <c r="M259" s="1150">
        <f t="shared" ref="M259:AA259" si="119">M260+M265+M269</f>
        <v>98237098296.314804</v>
      </c>
      <c r="N259" s="1150">
        <f t="shared" si="119"/>
        <v>588485541</v>
      </c>
      <c r="O259" s="1150">
        <f t="shared" si="119"/>
        <v>991908256</v>
      </c>
      <c r="P259" s="1150">
        <f t="shared" si="119"/>
        <v>1627429469</v>
      </c>
      <c r="Q259" s="1150">
        <f t="shared" si="119"/>
        <v>1717262163</v>
      </c>
      <c r="R259" s="1150">
        <f t="shared" si="119"/>
        <v>2731810318.3148003</v>
      </c>
      <c r="S259" s="1150">
        <f t="shared" si="119"/>
        <v>3519174762</v>
      </c>
      <c r="T259" s="1150">
        <f t="shared" si="119"/>
        <v>4525110933</v>
      </c>
      <c r="U259" s="1150">
        <f t="shared" si="119"/>
        <v>5537318986</v>
      </c>
      <c r="V259" s="1150">
        <f t="shared" si="119"/>
        <v>7086336526</v>
      </c>
      <c r="W259" s="1150">
        <f t="shared" si="119"/>
        <v>9104712762</v>
      </c>
      <c r="X259" s="1150">
        <f t="shared" si="119"/>
        <v>11870030385</v>
      </c>
      <c r="Y259" s="1150">
        <f t="shared" si="119"/>
        <v>14480708612</v>
      </c>
      <c r="Z259" s="1150">
        <f t="shared" si="119"/>
        <v>16173955958</v>
      </c>
      <c r="AA259" s="1150">
        <f t="shared" si="119"/>
        <v>19863247422</v>
      </c>
      <c r="AB259" s="34">
        <f t="shared" si="98"/>
        <v>3689291464</v>
      </c>
      <c r="AC259" s="34">
        <f>SUM(P259:AA259)</f>
        <v>98237098296.314804</v>
      </c>
    </row>
    <row r="260" spans="2:31">
      <c r="B260" s="1158" t="s">
        <v>189</v>
      </c>
      <c r="C260" s="1159" t="s">
        <v>545</v>
      </c>
      <c r="D260" s="1159" t="s">
        <v>545</v>
      </c>
      <c r="E260" s="1159" t="s">
        <v>290</v>
      </c>
      <c r="F260" s="1159"/>
      <c r="G260" s="1159"/>
      <c r="H260" s="1159"/>
      <c r="I260" s="1162" t="s">
        <v>254</v>
      </c>
      <c r="J260" s="1159" t="str">
        <f t="shared" si="113"/>
        <v>lending_cashloan_cashloan_MWG_NII</v>
      </c>
      <c r="K260" s="1149"/>
      <c r="L260" s="1239" t="s">
        <v>218</v>
      </c>
      <c r="M260" s="1150">
        <f t="shared" ref="M260:AA260" si="120">M261-M264</f>
        <v>73619224839.314804</v>
      </c>
      <c r="N260" s="1150">
        <f t="shared" si="120"/>
        <v>234386675</v>
      </c>
      <c r="O260" s="1150">
        <f t="shared" si="120"/>
        <v>569380236</v>
      </c>
      <c r="P260" s="1150">
        <f t="shared" si="120"/>
        <v>1006806172</v>
      </c>
      <c r="Q260" s="1150">
        <f t="shared" si="120"/>
        <v>1238153371</v>
      </c>
      <c r="R260" s="1150">
        <f t="shared" si="120"/>
        <v>1866711905.3148005</v>
      </c>
      <c r="S260" s="1150">
        <f t="shared" si="120"/>
        <v>2512350446</v>
      </c>
      <c r="T260" s="1150">
        <f t="shared" si="120"/>
        <v>3312396239</v>
      </c>
      <c r="U260" s="1150">
        <f t="shared" si="120"/>
        <v>4126691653</v>
      </c>
      <c r="V260" s="1150">
        <f t="shared" si="120"/>
        <v>5299226264</v>
      </c>
      <c r="W260" s="1150">
        <f t="shared" si="120"/>
        <v>6750220162</v>
      </c>
      <c r="X260" s="1150">
        <f t="shared" si="120"/>
        <v>8363840103</v>
      </c>
      <c r="Y260" s="1150">
        <f t="shared" si="120"/>
        <v>11162737883</v>
      </c>
      <c r="Z260" s="1150">
        <f t="shared" si="120"/>
        <v>12557526809</v>
      </c>
      <c r="AA260" s="1150">
        <f t="shared" si="120"/>
        <v>15422563832</v>
      </c>
      <c r="AB260" s="34">
        <f t="shared" si="98"/>
        <v>2865037023</v>
      </c>
    </row>
    <row r="261" spans="2:31">
      <c r="B261" s="1158" t="s">
        <v>189</v>
      </c>
      <c r="C261" s="1159" t="s">
        <v>545</v>
      </c>
      <c r="D261" s="1159" t="s">
        <v>545</v>
      </c>
      <c r="E261" s="1159" t="s">
        <v>290</v>
      </c>
      <c r="F261" s="1159"/>
      <c r="G261" s="1159"/>
      <c r="H261" s="1159"/>
      <c r="I261" s="1162" t="s">
        <v>255</v>
      </c>
      <c r="J261" s="1159" t="str">
        <f t="shared" si="113"/>
        <v>lending_cashloan_cashloan_MWG_CII</v>
      </c>
      <c r="K261" s="1149"/>
      <c r="L261" s="1240" t="s">
        <v>20</v>
      </c>
      <c r="M261" s="1149">
        <f>SUM(P261:AA261)</f>
        <v>87124308850</v>
      </c>
      <c r="N261" s="1149">
        <f>N262+0-N263</f>
        <v>263122900</v>
      </c>
      <c r="O261" s="1149">
        <f t="shared" ref="O261:Y261" si="121">O262+N263-O263</f>
        <v>649567480</v>
      </c>
      <c r="P261" s="1149">
        <f t="shared" si="121"/>
        <v>1155156483</v>
      </c>
      <c r="Q261" s="1149">
        <f t="shared" si="121"/>
        <v>1427719051</v>
      </c>
      <c r="R261" s="1149">
        <f t="shared" si="121"/>
        <v>2158546163</v>
      </c>
      <c r="S261" s="1149">
        <f t="shared" si="121"/>
        <v>2909307016</v>
      </c>
      <c r="T261" s="1149">
        <f t="shared" si="121"/>
        <v>3851939437</v>
      </c>
      <c r="U261" s="1149">
        <f t="shared" si="121"/>
        <v>4802306855</v>
      </c>
      <c r="V261" s="1149">
        <f t="shared" si="121"/>
        <v>6202227684</v>
      </c>
      <c r="W261" s="1149">
        <f t="shared" si="121"/>
        <v>7936859894</v>
      </c>
      <c r="X261" s="1149">
        <f t="shared" si="121"/>
        <v>9885023792</v>
      </c>
      <c r="Y261" s="1149">
        <f t="shared" si="121"/>
        <v>13278137991</v>
      </c>
      <c r="Z261" s="1149">
        <f>Z262+Y263-Z263</f>
        <v>15015709493</v>
      </c>
      <c r="AA261" s="1149">
        <f>AA262+Z263-AA263</f>
        <v>18501374991</v>
      </c>
      <c r="AB261" s="34">
        <f t="shared" ref="AB261:AB324" si="122">AA261-Z261</f>
        <v>3485665498</v>
      </c>
    </row>
    <row r="262" spans="2:31">
      <c r="B262" s="1158" t="s">
        <v>189</v>
      </c>
      <c r="C262" s="1159" t="s">
        <v>545</v>
      </c>
      <c r="D262" s="1159" t="s">
        <v>545</v>
      </c>
      <c r="E262" s="1159" t="s">
        <v>290</v>
      </c>
      <c r="F262" s="1159"/>
      <c r="G262" s="1159"/>
      <c r="H262" s="1159"/>
      <c r="I262" s="1162"/>
      <c r="J262" s="1159" t="str">
        <f t="shared" si="113"/>
        <v>lending_cashloan_cashloan_MWG_</v>
      </c>
      <c r="K262" s="1149"/>
      <c r="L262" s="1274" t="s">
        <v>539</v>
      </c>
      <c r="M262" s="1151">
        <f>SUM(P262:AA262)</f>
        <v>88668828508</v>
      </c>
      <c r="N262" s="1151">
        <v>263398790</v>
      </c>
      <c r="O262" s="1151">
        <v>672148427</v>
      </c>
      <c r="P262" s="1151">
        <v>1184094829</v>
      </c>
      <c r="Q262" s="1151">
        <v>1453050558</v>
      </c>
      <c r="R262" s="1151">
        <v>2206855364</v>
      </c>
      <c r="S262" s="1151">
        <v>2956724063</v>
      </c>
      <c r="T262" s="1151">
        <v>3943020885</v>
      </c>
      <c r="U262" s="1151">
        <v>4887799494</v>
      </c>
      <c r="V262" s="1151">
        <v>6378275744</v>
      </c>
      <c r="W262" s="1151">
        <v>8067738498</v>
      </c>
      <c r="X262" s="1151">
        <v>10087675211</v>
      </c>
      <c r="Y262" s="1151">
        <v>13507477758</v>
      </c>
      <c r="Z262" s="1149">
        <v>15280191199</v>
      </c>
      <c r="AA262" s="1151">
        <v>18715924905</v>
      </c>
      <c r="AB262" s="34">
        <f t="shared" si="122"/>
        <v>3435733706</v>
      </c>
    </row>
    <row r="263" spans="2:31">
      <c r="B263" s="1158" t="s">
        <v>189</v>
      </c>
      <c r="C263" s="1159" t="s">
        <v>545</v>
      </c>
      <c r="D263" s="1159" t="s">
        <v>545</v>
      </c>
      <c r="E263" s="1159" t="s">
        <v>290</v>
      </c>
      <c r="F263" s="1159"/>
      <c r="G263" s="1159"/>
      <c r="H263" s="1159"/>
      <c r="I263" s="1160"/>
      <c r="J263" s="1159" t="str">
        <f t="shared" si="113"/>
        <v>lending_cashloan_cashloan_MWG_</v>
      </c>
      <c r="K263" s="1149"/>
      <c r="L263" s="1274" t="s">
        <v>187</v>
      </c>
      <c r="M263" s="1151">
        <f>SUM(P263:AA263)</f>
        <v>7089953946</v>
      </c>
      <c r="N263" s="1151">
        <v>275890</v>
      </c>
      <c r="O263" s="1151">
        <f>17357423+ 5499414</f>
        <v>22856837</v>
      </c>
      <c r="P263" s="1151">
        <v>51795183</v>
      </c>
      <c r="Q263" s="1151">
        <v>77126690</v>
      </c>
      <c r="R263" s="1151">
        <v>125435891</v>
      </c>
      <c r="S263" s="1151">
        <v>172852938</v>
      </c>
      <c r="T263" s="1151">
        <v>263934386</v>
      </c>
      <c r="U263" s="1151">
        <v>349427025</v>
      </c>
      <c r="V263" s="1151">
        <v>525475085</v>
      </c>
      <c r="W263" s="1151">
        <v>656353689</v>
      </c>
      <c r="X263" s="1151">
        <v>859005108</v>
      </c>
      <c r="Y263" s="1149">
        <v>1088344875</v>
      </c>
      <c r="Z263" s="1151">
        <v>1352826581</v>
      </c>
      <c r="AA263" s="1151">
        <v>1567376495</v>
      </c>
      <c r="AB263" s="34">
        <f t="shared" si="122"/>
        <v>214549914</v>
      </c>
      <c r="AC263" s="34"/>
      <c r="AD263" s="34"/>
    </row>
    <row r="264" spans="2:31">
      <c r="B264" s="1158" t="s">
        <v>189</v>
      </c>
      <c r="C264" s="1159" t="s">
        <v>545</v>
      </c>
      <c r="D264" s="1159" t="s">
        <v>545</v>
      </c>
      <c r="E264" s="1159" t="s">
        <v>290</v>
      </c>
      <c r="F264" s="1159"/>
      <c r="G264" s="1159"/>
      <c r="H264" s="1159"/>
      <c r="I264" s="1162" t="s">
        <v>219</v>
      </c>
      <c r="J264" s="1159" t="str">
        <f t="shared" si="113"/>
        <v>lending_cashloan_cashloan_MWG_COF</v>
      </c>
      <c r="K264" s="1149"/>
      <c r="L264" s="1240" t="s">
        <v>219</v>
      </c>
      <c r="M264" s="1149">
        <f>SUM(P264:AA264)</f>
        <v>13505084010.6852</v>
      </c>
      <c r="N264" s="1254">
        <v>28736225</v>
      </c>
      <c r="O264" s="1247">
        <v>80187244</v>
      </c>
      <c r="P264" s="1169">
        <v>148350311</v>
      </c>
      <c r="Q264" s="1169">
        <v>189565680</v>
      </c>
      <c r="R264" s="1169">
        <v>291834257.6851995</v>
      </c>
      <c r="S264" s="1169">
        <v>396956570</v>
      </c>
      <c r="T264" s="1169">
        <v>539543198</v>
      </c>
      <c r="U264" s="1169">
        <v>675615202</v>
      </c>
      <c r="V264" s="1290">
        <v>903001420</v>
      </c>
      <c r="W264" s="1290">
        <v>1186639732</v>
      </c>
      <c r="X264" s="1290">
        <v>1521183689</v>
      </c>
      <c r="Y264" s="1290">
        <v>2115400108</v>
      </c>
      <c r="Z264" s="1254">
        <v>2458182684</v>
      </c>
      <c r="AA264" s="1247">
        <v>3078811159</v>
      </c>
      <c r="AB264" s="34">
        <f t="shared" si="122"/>
        <v>620628475</v>
      </c>
    </row>
    <row r="265" spans="2:31">
      <c r="B265" s="1158" t="s">
        <v>189</v>
      </c>
      <c r="C265" s="1159" t="s">
        <v>545</v>
      </c>
      <c r="D265" s="1159" t="s">
        <v>545</v>
      </c>
      <c r="E265" s="1159" t="s">
        <v>290</v>
      </c>
      <c r="F265" s="1159"/>
      <c r="G265" s="1159"/>
      <c r="H265" s="1159"/>
      <c r="I265" s="1162" t="s">
        <v>260</v>
      </c>
      <c r="J265" s="1159" t="str">
        <f t="shared" si="113"/>
        <v>lending_cashloan_cashloan_MWG_NFI</v>
      </c>
      <c r="K265" s="1149"/>
      <c r="L265" s="1239" t="s">
        <v>220</v>
      </c>
      <c r="M265" s="1150">
        <f t="shared" ref="M265:AA265" si="123">SUM(M266:M268)</f>
        <v>24589444294</v>
      </c>
      <c r="N265" s="1150">
        <f t="shared" si="123"/>
        <v>354098866</v>
      </c>
      <c r="O265" s="1150">
        <f t="shared" si="123"/>
        <v>422528020</v>
      </c>
      <c r="P265" s="1150">
        <f t="shared" si="123"/>
        <v>620623297</v>
      </c>
      <c r="Q265" s="1150">
        <f t="shared" si="123"/>
        <v>479108792</v>
      </c>
      <c r="R265" s="1150">
        <f t="shared" si="123"/>
        <v>865098413</v>
      </c>
      <c r="S265" s="1150">
        <f t="shared" si="123"/>
        <v>1006824316</v>
      </c>
      <c r="T265" s="1150">
        <f t="shared" si="123"/>
        <v>1212714694</v>
      </c>
      <c r="U265" s="1150">
        <f t="shared" si="123"/>
        <v>1410627333</v>
      </c>
      <c r="V265" s="1150">
        <f t="shared" si="123"/>
        <v>1787110262</v>
      </c>
      <c r="W265" s="1150">
        <f t="shared" si="123"/>
        <v>2354492600</v>
      </c>
      <c r="X265" s="1150">
        <f t="shared" si="123"/>
        <v>3497856119</v>
      </c>
      <c r="Y265" s="1150">
        <f t="shared" si="123"/>
        <v>3312970729</v>
      </c>
      <c r="Z265" s="1150">
        <f t="shared" si="123"/>
        <v>3610561149</v>
      </c>
      <c r="AA265" s="1150">
        <f t="shared" si="123"/>
        <v>4431456590</v>
      </c>
      <c r="AB265" s="34">
        <f t="shared" si="122"/>
        <v>820895441</v>
      </c>
    </row>
    <row r="266" spans="2:31">
      <c r="B266" s="1158" t="s">
        <v>189</v>
      </c>
      <c r="C266" s="1159" t="s">
        <v>545</v>
      </c>
      <c r="D266" s="1159" t="s">
        <v>545</v>
      </c>
      <c r="E266" s="1159" t="s">
        <v>290</v>
      </c>
      <c r="F266" s="1159"/>
      <c r="G266" s="1159"/>
      <c r="H266" s="1159"/>
      <c r="I266" s="1162" t="s">
        <v>546</v>
      </c>
      <c r="J266" s="1159" t="str">
        <f t="shared" si="113"/>
        <v>lending_cashloan_cashloan_MWG_insurance_fee</v>
      </c>
      <c r="K266" s="1149"/>
      <c r="L266" s="1240" t="s">
        <v>540</v>
      </c>
      <c r="M266" s="1151">
        <f>SUM(P266:AA266)</f>
        <v>22801515759</v>
      </c>
      <c r="N266" s="1151">
        <v>350745630</v>
      </c>
      <c r="O266" s="1261">
        <v>412180057</v>
      </c>
      <c r="P266" s="1261">
        <v>614104532</v>
      </c>
      <c r="Q266" s="1248">
        <v>461327599</v>
      </c>
      <c r="R266" s="1243">
        <v>845817212</v>
      </c>
      <c r="S266" s="1243">
        <v>962992145</v>
      </c>
      <c r="T266" s="1243">
        <v>1165456044</v>
      </c>
      <c r="U266" s="1243">
        <v>1350598431</v>
      </c>
      <c r="V266" s="1243">
        <v>1705288869</v>
      </c>
      <c r="W266" s="1151">
        <v>2139833235</v>
      </c>
      <c r="X266" s="1302">
        <v>3280374392</v>
      </c>
      <c r="Y266" s="1151">
        <v>3004851535</v>
      </c>
      <c r="Z266" s="1151">
        <v>3262544810</v>
      </c>
      <c r="AA266" s="1261">
        <v>4008326955</v>
      </c>
      <c r="AB266" s="34">
        <f t="shared" si="122"/>
        <v>745782145</v>
      </c>
    </row>
    <row r="267" spans="2:31">
      <c r="B267" s="1158" t="s">
        <v>189</v>
      </c>
      <c r="C267" s="1159" t="s">
        <v>545</v>
      </c>
      <c r="D267" s="1159" t="s">
        <v>545</v>
      </c>
      <c r="E267" s="1159" t="s">
        <v>290</v>
      </c>
      <c r="F267" s="1159"/>
      <c r="G267" s="1159"/>
      <c r="H267" s="1159"/>
      <c r="I267" s="1162" t="s">
        <v>547</v>
      </c>
      <c r="J267" s="1159" t="str">
        <f t="shared" si="113"/>
        <v>lending_cashloan_cashloan_MWG_early_terminate_fee</v>
      </c>
      <c r="K267" s="1149"/>
      <c r="L267" s="1240" t="s">
        <v>541</v>
      </c>
      <c r="M267" s="1151">
        <f>SUM(P267:AA267)</f>
        <v>1787928535</v>
      </c>
      <c r="N267" s="1151">
        <v>3353236</v>
      </c>
      <c r="O267" s="1151">
        <v>10347963</v>
      </c>
      <c r="P267" s="1151">
        <v>6518765</v>
      </c>
      <c r="Q267" s="1243">
        <v>17781193</v>
      </c>
      <c r="R267" s="1243">
        <v>19281201</v>
      </c>
      <c r="S267" s="1243">
        <v>43832171</v>
      </c>
      <c r="T267" s="1243">
        <v>47258650</v>
      </c>
      <c r="U267" s="1243">
        <v>60028902</v>
      </c>
      <c r="V267" s="1243">
        <v>81821393</v>
      </c>
      <c r="W267" s="1243">
        <v>214659365</v>
      </c>
      <c r="X267" s="1243">
        <v>217481727</v>
      </c>
      <c r="Y267" s="1243">
        <v>308119194</v>
      </c>
      <c r="Z267" s="1151">
        <v>348016339</v>
      </c>
      <c r="AA267" s="1151">
        <v>423129635</v>
      </c>
      <c r="AB267" s="34">
        <f t="shared" si="122"/>
        <v>75113296</v>
      </c>
    </row>
    <row r="268" spans="2:31">
      <c r="B268" s="1158" t="s">
        <v>189</v>
      </c>
      <c r="C268" s="1159" t="s">
        <v>545</v>
      </c>
      <c r="D268" s="1159" t="s">
        <v>545</v>
      </c>
      <c r="E268" s="1159" t="s">
        <v>290</v>
      </c>
      <c r="F268" s="1159"/>
      <c r="G268" s="1159"/>
      <c r="H268" s="1159"/>
      <c r="I268" s="1162" t="s">
        <v>548</v>
      </c>
      <c r="J268" s="1159" t="str">
        <f t="shared" si="113"/>
        <v>lending_cashloan_cashloan_MWG_loan_grant_fee</v>
      </c>
      <c r="K268" s="1149"/>
      <c r="L268" s="1240" t="s">
        <v>542</v>
      </c>
      <c r="M268" s="1151">
        <f>SUM(P268:AA268)</f>
        <v>0</v>
      </c>
      <c r="N268" s="1151"/>
      <c r="O268" s="1151"/>
      <c r="P268" s="1243"/>
      <c r="Q268" s="1243"/>
      <c r="R268" s="1243"/>
      <c r="S268" s="1243"/>
      <c r="T268" s="1243"/>
      <c r="U268" s="1151"/>
      <c r="V268" s="1261"/>
      <c r="W268" s="1151"/>
      <c r="X268" s="1151"/>
      <c r="Y268" s="1151"/>
      <c r="Z268" s="1151"/>
      <c r="AA268" s="1151"/>
      <c r="AB268" s="34">
        <f t="shared" si="122"/>
        <v>0</v>
      </c>
    </row>
    <row r="269" spans="2:31">
      <c r="B269" s="1158" t="s">
        <v>189</v>
      </c>
      <c r="C269" s="1159" t="s">
        <v>545</v>
      </c>
      <c r="D269" s="1159" t="s">
        <v>545</v>
      </c>
      <c r="E269" s="1159" t="s">
        <v>290</v>
      </c>
      <c r="F269" s="1159"/>
      <c r="G269" s="1159"/>
      <c r="H269" s="1159"/>
      <c r="I269" s="1162" t="s">
        <v>269</v>
      </c>
      <c r="J269" s="1159" t="str">
        <f t="shared" si="113"/>
        <v>lending_cashloan_cashloan_MWG_other_TOI</v>
      </c>
      <c r="K269" s="1149"/>
      <c r="L269" s="1239" t="s">
        <v>89</v>
      </c>
      <c r="M269" s="1154">
        <f>SUM(P269:AA269)</f>
        <v>28429163</v>
      </c>
      <c r="N269" s="1151"/>
      <c r="O269" s="1151"/>
      <c r="P269" s="1243"/>
      <c r="Q269" s="1243"/>
      <c r="R269" s="1243"/>
      <c r="S269" s="1243"/>
      <c r="T269" s="1243"/>
      <c r="U269" s="1151"/>
      <c r="V269" s="1261"/>
      <c r="W269" s="1151"/>
      <c r="X269" s="1154">
        <v>8334163</v>
      </c>
      <c r="Y269" s="1152">
        <v>5000000</v>
      </c>
      <c r="Z269" s="1152">
        <v>5868000</v>
      </c>
      <c r="AA269" s="1152">
        <v>9227000</v>
      </c>
      <c r="AB269" s="34">
        <f t="shared" si="122"/>
        <v>3359000</v>
      </c>
    </row>
    <row r="270" spans="2:31">
      <c r="B270" s="1158" t="s">
        <v>189</v>
      </c>
      <c r="C270" s="1159" t="s">
        <v>545</v>
      </c>
      <c r="D270" s="1159" t="s">
        <v>545</v>
      </c>
      <c r="E270" s="1159" t="s">
        <v>290</v>
      </c>
      <c r="F270" s="1159"/>
      <c r="G270" s="1159"/>
      <c r="H270" s="1159"/>
      <c r="I270" s="1162" t="s">
        <v>270</v>
      </c>
      <c r="J270" s="1159" t="str">
        <f t="shared" si="113"/>
        <v>lending_cashloan_cashloan_MWG_provision</v>
      </c>
      <c r="K270" s="1149"/>
      <c r="L270" s="1245" t="s">
        <v>136</v>
      </c>
      <c r="M270" s="1150">
        <f>SUM(P270:AA270)</f>
        <v>25742769910</v>
      </c>
      <c r="N270" s="1262">
        <v>72966853</v>
      </c>
      <c r="O270" s="1262">
        <f>121942274+23042321</f>
        <v>144984595</v>
      </c>
      <c r="P270" s="1262">
        <v>154876285</v>
      </c>
      <c r="Q270" s="1275">
        <v>136406939</v>
      </c>
      <c r="R270" s="1275">
        <f>289952641+65929912</f>
        <v>355882553</v>
      </c>
      <c r="S270" s="1245">
        <v>285392787</v>
      </c>
      <c r="T270" s="1245">
        <v>593097768</v>
      </c>
      <c r="U270" s="1245">
        <f>854996161+231107292</f>
        <v>1086103453</v>
      </c>
      <c r="V270" s="1296">
        <v>1092925797</v>
      </c>
      <c r="W270" s="1262">
        <v>1875781429</v>
      </c>
      <c r="X270" s="1262">
        <f>3146091943+517677307</f>
        <v>3663769250</v>
      </c>
      <c r="Y270" s="1262">
        <v>3376823707</v>
      </c>
      <c r="Z270" s="1262">
        <v>5370578986</v>
      </c>
      <c r="AA270" s="1262">
        <f>6875623654+875507302</f>
        <v>7751130956</v>
      </c>
      <c r="AB270" s="34">
        <f t="shared" si="122"/>
        <v>2380551970</v>
      </c>
      <c r="AC270" s="89"/>
      <c r="AD270" s="89"/>
      <c r="AE270" s="89"/>
    </row>
    <row r="271" spans="2:31">
      <c r="B271" s="1158" t="s">
        <v>189</v>
      </c>
      <c r="C271" s="1159" t="s">
        <v>545</v>
      </c>
      <c r="D271" s="1159" t="s">
        <v>545</v>
      </c>
      <c r="E271" s="1159" t="s">
        <v>290</v>
      </c>
      <c r="F271" s="1159"/>
      <c r="G271" s="1159"/>
      <c r="H271" s="1159"/>
      <c r="I271" s="1162" t="s">
        <v>271</v>
      </c>
      <c r="J271" s="1159" t="str">
        <f t="shared" si="113"/>
        <v>lending_cashloan_cashloan_MWG_variable_cost</v>
      </c>
      <c r="K271" s="1149"/>
      <c r="L271" s="1245" t="s">
        <v>229</v>
      </c>
      <c r="M271" s="1150">
        <f t="shared" ref="M271:AA271" si="124">SUM(M272:M279)</f>
        <v>30013183770.746292</v>
      </c>
      <c r="N271" s="1150">
        <f t="shared" si="124"/>
        <v>227883911.76291326</v>
      </c>
      <c r="O271" s="1150">
        <f t="shared" si="124"/>
        <v>421878801.95789266</v>
      </c>
      <c r="P271" s="1150">
        <f t="shared" si="124"/>
        <v>677941395.10520959</v>
      </c>
      <c r="Q271" s="1150">
        <f t="shared" si="124"/>
        <v>864473566.78116226</v>
      </c>
      <c r="R271" s="1150">
        <f t="shared" si="124"/>
        <v>912264934.30868387</v>
      </c>
      <c r="S271" s="1150">
        <f t="shared" si="124"/>
        <v>1618178972.5342243</v>
      </c>
      <c r="T271" s="1150">
        <f t="shared" si="124"/>
        <v>1363114389.6644702</v>
      </c>
      <c r="U271" s="1150">
        <f t="shared" si="124"/>
        <v>2137075617.1114082</v>
      </c>
      <c r="V271" s="1150">
        <f t="shared" si="124"/>
        <v>1999030999.7836568</v>
      </c>
      <c r="W271" s="1150">
        <f t="shared" si="124"/>
        <v>3096468604.1660023</v>
      </c>
      <c r="X271" s="1150">
        <f t="shared" si="124"/>
        <v>3409784122.3729954</v>
      </c>
      <c r="Y271" s="1150">
        <f t="shared" si="124"/>
        <v>4224394722.7000508</v>
      </c>
      <c r="Z271" s="1150">
        <f t="shared" si="124"/>
        <v>4478478378.2489758</v>
      </c>
      <c r="AA271" s="1150">
        <f t="shared" si="124"/>
        <v>5231978067.96945</v>
      </c>
      <c r="AB271" s="34">
        <f t="shared" si="122"/>
        <v>753499689.72047424</v>
      </c>
    </row>
    <row r="272" spans="2:31" ht="16">
      <c r="B272" s="1158" t="s">
        <v>189</v>
      </c>
      <c r="C272" s="1159" t="s">
        <v>545</v>
      </c>
      <c r="D272" s="1159" t="s">
        <v>545</v>
      </c>
      <c r="E272" s="1159" t="s">
        <v>290</v>
      </c>
      <c r="F272" s="1159"/>
      <c r="G272" s="1159"/>
      <c r="H272" s="1159"/>
      <c r="I272" s="1162" t="s">
        <v>272</v>
      </c>
      <c r="J272" s="1159" t="str">
        <f t="shared" si="113"/>
        <v>lending_cashloan_cashloan_MWG_marketing_acquisition_cost</v>
      </c>
      <c r="K272" s="1149"/>
      <c r="L272" s="1246" t="s">
        <v>230</v>
      </c>
      <c r="M272" s="1149">
        <f t="shared" ref="M272:M277" si="125">SUM(P272:AA272)</f>
        <v>556413000</v>
      </c>
      <c r="N272" s="1147"/>
      <c r="O272" s="1147"/>
      <c r="P272" s="1290">
        <v>92735500</v>
      </c>
      <c r="Q272" s="1290">
        <v>92735500</v>
      </c>
      <c r="R272" s="1290">
        <v>92735500</v>
      </c>
      <c r="S272" s="1290">
        <v>92735500</v>
      </c>
      <c r="T272" s="1290">
        <v>92735500</v>
      </c>
      <c r="U272" s="1290">
        <v>92735500</v>
      </c>
      <c r="V272" s="1149">
        <v>0</v>
      </c>
      <c r="W272" s="1149"/>
      <c r="X272" s="1279"/>
      <c r="Y272" s="1147"/>
      <c r="Z272" s="1147"/>
      <c r="AA272" s="1147"/>
      <c r="AB272" s="34">
        <f t="shared" si="122"/>
        <v>0</v>
      </c>
    </row>
    <row r="273" spans="2:29">
      <c r="B273" s="1158" t="s">
        <v>189</v>
      </c>
      <c r="C273" s="1159" t="s">
        <v>545</v>
      </c>
      <c r="D273" s="1159" t="s">
        <v>545</v>
      </c>
      <c r="E273" s="1159" t="s">
        <v>290</v>
      </c>
      <c r="F273" s="1159"/>
      <c r="G273" s="1159"/>
      <c r="H273" s="1159"/>
      <c r="I273" s="1162" t="s">
        <v>273</v>
      </c>
      <c r="J273" s="1159" t="str">
        <f t="shared" si="113"/>
        <v>lending_cashloan_cashloan_MWG_partner_acquisition_cost</v>
      </c>
      <c r="K273" s="1149"/>
      <c r="L273" s="1246" t="s">
        <v>231</v>
      </c>
      <c r="M273" s="1149">
        <f t="shared" si="125"/>
        <v>26972727999</v>
      </c>
      <c r="N273" s="1253">
        <v>148517895</v>
      </c>
      <c r="O273" s="1169">
        <f>287397533+18287793</f>
        <v>305685326</v>
      </c>
      <c r="P273" s="1248">
        <v>436216901</v>
      </c>
      <c r="Q273" s="1247">
        <v>661679856</v>
      </c>
      <c r="R273" s="1169">
        <v>696976888</v>
      </c>
      <c r="S273" s="1169">
        <f>990527883+400000000</f>
        <v>1390527883</v>
      </c>
      <c r="T273" s="1169">
        <v>1107383263</v>
      </c>
      <c r="U273" s="1169">
        <f>(1474936535+819803326-400000000)</f>
        <v>1894739861</v>
      </c>
      <c r="V273" s="1169">
        <v>1818205863</v>
      </c>
      <c r="W273" s="1290">
        <f>2254189096+580000000</f>
        <v>2834189096</v>
      </c>
      <c r="X273" s="1290">
        <v>3101283167</v>
      </c>
      <c r="Y273" s="1290">
        <f>3551850639+400000000</f>
        <v>3951850639</v>
      </c>
      <c r="Z273" s="1290">
        <v>4171430432</v>
      </c>
      <c r="AA273" s="1290">
        <f>4360244150+548000000</f>
        <v>4908244150</v>
      </c>
      <c r="AB273" s="34">
        <f t="shared" si="122"/>
        <v>736813718</v>
      </c>
    </row>
    <row r="274" spans="2:29">
      <c r="B274" s="1158" t="s">
        <v>189</v>
      </c>
      <c r="C274" s="1159" t="s">
        <v>545</v>
      </c>
      <c r="D274" s="1159" t="s">
        <v>545</v>
      </c>
      <c r="E274" s="1159" t="s">
        <v>290</v>
      </c>
      <c r="F274" s="1159"/>
      <c r="G274" s="1159"/>
      <c r="H274" s="1159"/>
      <c r="I274" s="1162" t="s">
        <v>274</v>
      </c>
      <c r="J274" s="1159" t="str">
        <f t="shared" si="113"/>
        <v>lending_cashloan_cashloan_MWG_underwritting</v>
      </c>
      <c r="K274" s="1149"/>
      <c r="L274" s="1246" t="s">
        <v>232</v>
      </c>
      <c r="M274" s="1149">
        <f t="shared" si="125"/>
        <v>1620408605.3579783</v>
      </c>
      <c r="N274" s="1149">
        <v>76505333.712678313</v>
      </c>
      <c r="O274" s="1149">
        <v>106307091.51031846</v>
      </c>
      <c r="P274" s="1265">
        <v>128147390.53984046</v>
      </c>
      <c r="Q274" s="1265">
        <v>85948361.766753227</v>
      </c>
      <c r="R274" s="1265">
        <v>86634625.628179967</v>
      </c>
      <c r="S274" s="1265">
        <v>82754055.232079148</v>
      </c>
      <c r="T274" s="1265">
        <v>95532284.399305388</v>
      </c>
      <c r="U274" s="1265">
        <v>110539377.09542018</v>
      </c>
      <c r="V274" s="1149">
        <v>118529297.16715671</v>
      </c>
      <c r="W274" s="1149">
        <v>189584541.4758026</v>
      </c>
      <c r="X274" s="1149">
        <v>206934807.5009793</v>
      </c>
      <c r="Y274" s="1149">
        <v>173946715.91509354</v>
      </c>
      <c r="Z274" s="1149">
        <v>162959122.21132296</v>
      </c>
      <c r="AA274" s="1149">
        <v>178898026.42604467</v>
      </c>
      <c r="AB274" s="34">
        <f t="shared" si="122"/>
        <v>15938904.214721709</v>
      </c>
    </row>
    <row r="275" spans="2:29">
      <c r="B275" s="1158" t="s">
        <v>189</v>
      </c>
      <c r="C275" s="1159" t="s">
        <v>545</v>
      </c>
      <c r="D275" s="1159" t="s">
        <v>545</v>
      </c>
      <c r="E275" s="1159" t="s">
        <v>290</v>
      </c>
      <c r="F275" s="1159"/>
      <c r="G275" s="1159"/>
      <c r="H275" s="1159"/>
      <c r="I275" s="1162" t="s">
        <v>275</v>
      </c>
      <c r="J275" s="1159" t="str">
        <f t="shared" si="113"/>
        <v>lending_cashloan_cashloan_MWG_e_contract</v>
      </c>
      <c r="K275" s="1149"/>
      <c r="L275" s="1246" t="s">
        <v>233</v>
      </c>
      <c r="M275" s="1149">
        <f t="shared" si="125"/>
        <v>31652030</v>
      </c>
      <c r="N275" s="1149">
        <v>501680</v>
      </c>
      <c r="O275" s="1149">
        <v>594830</v>
      </c>
      <c r="P275" s="1169">
        <v>853178</v>
      </c>
      <c r="Q275" s="1253">
        <v>688693</v>
      </c>
      <c r="R275" s="1253">
        <v>1253410</v>
      </c>
      <c r="S275" s="1253">
        <v>4089612</v>
      </c>
      <c r="T275" s="1253">
        <v>1626493</v>
      </c>
      <c r="U275" s="1247">
        <v>1862711</v>
      </c>
      <c r="V275" s="1149">
        <v>2374459</v>
      </c>
      <c r="W275" s="1149">
        <v>4063472</v>
      </c>
      <c r="X275" s="1149">
        <v>3916578</v>
      </c>
      <c r="Y275" s="1149">
        <v>3488006</v>
      </c>
      <c r="Z275" s="1149">
        <v>3347021</v>
      </c>
      <c r="AA275" s="1149">
        <v>4088397</v>
      </c>
      <c r="AB275" s="34">
        <f t="shared" si="122"/>
        <v>741376</v>
      </c>
    </row>
    <row r="276" spans="2:29">
      <c r="B276" s="1158" t="s">
        <v>189</v>
      </c>
      <c r="C276" s="1159" t="s">
        <v>545</v>
      </c>
      <c r="D276" s="1159" t="s">
        <v>545</v>
      </c>
      <c r="E276" s="1159" t="s">
        <v>290</v>
      </c>
      <c r="F276" s="1159"/>
      <c r="G276" s="1159"/>
      <c r="H276" s="1159"/>
      <c r="I276" s="1162" t="s">
        <v>276</v>
      </c>
      <c r="J276" s="1159" t="str">
        <f t="shared" si="113"/>
        <v>lending_cashloan_cashloan_MWG_nfc</v>
      </c>
      <c r="K276" s="1149"/>
      <c r="L276" s="1246" t="s">
        <v>152</v>
      </c>
      <c r="M276" s="1149">
        <f t="shared" si="125"/>
        <v>69472525.234429806</v>
      </c>
      <c r="N276" s="1149"/>
      <c r="O276" s="1149"/>
      <c r="P276" s="1169">
        <v>4105355.5819096765</v>
      </c>
      <c r="Q276" s="1169">
        <v>2651255.679538616</v>
      </c>
      <c r="R276" s="1169">
        <v>4626850.3931379551</v>
      </c>
      <c r="S276" s="1169">
        <v>4153114.246025621</v>
      </c>
      <c r="T276" s="1169">
        <v>4889423.5763622411</v>
      </c>
      <c r="U276" s="1265">
        <v>5170163.3780149035</v>
      </c>
      <c r="V276" s="1149">
        <v>5130327.3319621552</v>
      </c>
      <c r="W276" s="1149">
        <v>6583572.3073033299</v>
      </c>
      <c r="X276" s="1149">
        <v>8299307.9830432152</v>
      </c>
      <c r="Y276" s="1149">
        <v>7690355.5718413675</v>
      </c>
      <c r="Z276" s="1149">
        <v>6578755.6616643928</v>
      </c>
      <c r="AA276" s="1149">
        <v>9594043.523626335</v>
      </c>
      <c r="AB276" s="34">
        <f t="shared" si="122"/>
        <v>3015287.8619619422</v>
      </c>
    </row>
    <row r="277" spans="2:29">
      <c r="B277" s="1158" t="s">
        <v>189</v>
      </c>
      <c r="C277" s="1159" t="s">
        <v>545</v>
      </c>
      <c r="D277" s="1159" t="s">
        <v>545</v>
      </c>
      <c r="E277" s="1159" t="s">
        <v>290</v>
      </c>
      <c r="F277" s="1159"/>
      <c r="G277" s="1159"/>
      <c r="H277" s="1159"/>
      <c r="I277" s="1162" t="s">
        <v>277</v>
      </c>
      <c r="J277" s="1159" t="str">
        <f t="shared" si="113"/>
        <v>lending_cashloan_cashloan_MWG_collection</v>
      </c>
      <c r="K277" s="1149"/>
      <c r="L277" s="1246" t="s">
        <v>234</v>
      </c>
      <c r="M277" s="1149">
        <f t="shared" si="125"/>
        <v>629410984.73356628</v>
      </c>
      <c r="N277" s="1149">
        <v>1021152.2085607332</v>
      </c>
      <c r="O277" s="1149">
        <v>7445927.1519364221</v>
      </c>
      <c r="P277" s="1169">
        <v>12871087.024976807</v>
      </c>
      <c r="Q277" s="1169">
        <v>18256283.19186122</v>
      </c>
      <c r="R277" s="1169">
        <v>25788740.814853944</v>
      </c>
      <c r="S277" s="1169">
        <v>37467903.184690349</v>
      </c>
      <c r="T277" s="1169">
        <v>53888984.385837212</v>
      </c>
      <c r="U277" s="1169">
        <v>24063188.689523447</v>
      </c>
      <c r="V277" s="1169">
        <v>43437925</v>
      </c>
      <c r="W277" s="1149">
        <v>50720319.8616945</v>
      </c>
      <c r="X277" s="1149">
        <v>71676996.346171454</v>
      </c>
      <c r="Y277" s="1149">
        <v>67456006.673841015</v>
      </c>
      <c r="Z277" s="1149">
        <v>113923492.11363457</v>
      </c>
      <c r="AA277" s="1149">
        <v>109860057.44648175</v>
      </c>
      <c r="AB277" s="34">
        <f t="shared" si="122"/>
        <v>-4063434.667152822</v>
      </c>
    </row>
    <row r="278" spans="2:29">
      <c r="B278" s="1158" t="s">
        <v>189</v>
      </c>
      <c r="C278" s="1159" t="s">
        <v>545</v>
      </c>
      <c r="D278" s="1159" t="s">
        <v>545</v>
      </c>
      <c r="E278" s="1159" t="s">
        <v>290</v>
      </c>
      <c r="F278" s="1159"/>
      <c r="G278" s="1159"/>
      <c r="H278" s="1159"/>
      <c r="I278" s="1162" t="s">
        <v>278</v>
      </c>
      <c r="J278" s="1159" t="str">
        <f t="shared" si="113"/>
        <v>lending_cashloan_cashloan_MWG_promotion</v>
      </c>
      <c r="K278" s="1149"/>
      <c r="L278" s="1246" t="s">
        <v>235</v>
      </c>
      <c r="M278" s="1149"/>
      <c r="N278" s="1149"/>
      <c r="O278" s="1149"/>
      <c r="P278" s="1169"/>
      <c r="Q278" s="1169"/>
      <c r="R278" s="1169"/>
      <c r="S278" s="1169"/>
      <c r="T278" s="1169"/>
      <c r="U278" s="1147"/>
      <c r="V278" s="1169"/>
      <c r="W278" s="1149"/>
      <c r="X278" s="1149"/>
      <c r="Y278" s="1149"/>
      <c r="Z278" s="1149"/>
      <c r="AA278" s="1149"/>
      <c r="AB278" s="34">
        <f t="shared" si="122"/>
        <v>0</v>
      </c>
    </row>
    <row r="279" spans="2:29">
      <c r="B279" s="1158" t="s">
        <v>189</v>
      </c>
      <c r="C279" s="1159" t="s">
        <v>545</v>
      </c>
      <c r="D279" s="1159" t="s">
        <v>545</v>
      </c>
      <c r="E279" s="1159" t="s">
        <v>290</v>
      </c>
      <c r="F279" s="1159"/>
      <c r="G279" s="1159"/>
      <c r="H279" s="1159"/>
      <c r="I279" s="1162" t="s">
        <v>279</v>
      </c>
      <c r="J279" s="1159" t="str">
        <f t="shared" si="113"/>
        <v>lending_cashloan_cashloan_MWG_sms</v>
      </c>
      <c r="K279" s="1149"/>
      <c r="L279" s="1249" t="s">
        <v>163</v>
      </c>
      <c r="M279" s="1149">
        <f>SUM(P279:AA279)</f>
        <v>133098626.42031762</v>
      </c>
      <c r="N279" s="1247">
        <v>1337850.8416742119</v>
      </c>
      <c r="O279" s="1247">
        <v>1845627.2956377841</v>
      </c>
      <c r="P279" s="1247">
        <v>3011982.9584825668</v>
      </c>
      <c r="Q279" s="1247">
        <v>2513617.1430091532</v>
      </c>
      <c r="R279" s="1247">
        <v>4248919.4725119788</v>
      </c>
      <c r="S279" s="1247">
        <v>6450904.8714294583</v>
      </c>
      <c r="T279" s="1247">
        <v>7058441.3029654277</v>
      </c>
      <c r="U279" s="1265">
        <v>7964815.9484497514</v>
      </c>
      <c r="V279" s="1149">
        <v>11353128.284538098</v>
      </c>
      <c r="W279" s="1149">
        <v>11327602.521202262</v>
      </c>
      <c r="X279" s="1149">
        <v>17673265.542801615</v>
      </c>
      <c r="Y279" s="1149">
        <v>19962999.539275035</v>
      </c>
      <c r="Z279" s="1149">
        <v>20239555.262354765</v>
      </c>
      <c r="AA279" s="1149">
        <v>21293393.573297512</v>
      </c>
      <c r="AB279" s="34">
        <f t="shared" si="122"/>
        <v>1053838.3109427467</v>
      </c>
    </row>
    <row r="280" spans="2:29">
      <c r="B280" s="1158" t="s">
        <v>189</v>
      </c>
      <c r="C280" s="1159" t="s">
        <v>545</v>
      </c>
      <c r="D280" s="1159" t="s">
        <v>545</v>
      </c>
      <c r="E280" s="1159" t="s">
        <v>290</v>
      </c>
      <c r="F280" s="1159" t="str">
        <f>E280&amp;"CL"</f>
        <v>MWGCL</v>
      </c>
      <c r="G280" s="1159" t="str">
        <f>L280&amp;F280</f>
        <v>Profit before allocation costMWGCL</v>
      </c>
      <c r="H280" s="1408" t="str">
        <f>L280&amp;E280</f>
        <v>Profit before allocation costMWG</v>
      </c>
      <c r="I280" s="1162" t="s">
        <v>280</v>
      </c>
      <c r="J280" s="1159" t="str">
        <f t="shared" si="113"/>
        <v>lending_cashloan_cashloan_MWG_profit_before_overhead</v>
      </c>
      <c r="K280" s="1149"/>
      <c r="L280" s="1359" t="s">
        <v>236</v>
      </c>
      <c r="M280" s="1359">
        <f t="shared" ref="M280:AA280" si="126">M259-M270-M271</f>
        <v>42481144615.568512</v>
      </c>
      <c r="N280" s="1359">
        <f t="shared" si="126"/>
        <v>287634776.23708677</v>
      </c>
      <c r="O280" s="1359">
        <f t="shared" si="126"/>
        <v>425044859.04210734</v>
      </c>
      <c r="P280" s="1359">
        <f t="shared" si="126"/>
        <v>794611788.89479041</v>
      </c>
      <c r="Q280" s="1359">
        <f t="shared" si="126"/>
        <v>716381657.21883774</v>
      </c>
      <c r="R280" s="1359">
        <f t="shared" si="126"/>
        <v>1463662831.0061164</v>
      </c>
      <c r="S280" s="1359">
        <f t="shared" si="126"/>
        <v>1615603002.4657757</v>
      </c>
      <c r="T280" s="1359">
        <f t="shared" si="126"/>
        <v>2568898775.3355298</v>
      </c>
      <c r="U280" s="1359">
        <f t="shared" si="126"/>
        <v>2314139915.8885918</v>
      </c>
      <c r="V280" s="1359">
        <f t="shared" si="126"/>
        <v>3994379729.2163429</v>
      </c>
      <c r="W280" s="1359">
        <f t="shared" si="126"/>
        <v>4132462728.8339977</v>
      </c>
      <c r="X280" s="1359">
        <f t="shared" si="126"/>
        <v>4796477012.6270046</v>
      </c>
      <c r="Y280" s="1359">
        <f t="shared" si="126"/>
        <v>6879490182.2999496</v>
      </c>
      <c r="Z280" s="1359">
        <f t="shared" si="126"/>
        <v>6324898593.7510242</v>
      </c>
      <c r="AA280" s="1359">
        <f t="shared" si="126"/>
        <v>6880138398.03055</v>
      </c>
      <c r="AB280" s="34">
        <f t="shared" si="122"/>
        <v>555239804.27952576</v>
      </c>
      <c r="AC280" s="34">
        <f>SUM(P280:AA280)</f>
        <v>42481144615.568504</v>
      </c>
    </row>
    <row r="281" spans="2:29">
      <c r="B281" s="1158"/>
      <c r="C281" s="1159"/>
      <c r="D281" s="1159"/>
      <c r="E281" s="1159"/>
      <c r="F281" s="1159"/>
      <c r="G281" s="1159"/>
      <c r="H281" s="1159"/>
      <c r="I281" s="1160"/>
      <c r="J281" s="1159"/>
      <c r="K281" s="1149"/>
      <c r="L281" s="1153"/>
      <c r="M281" s="1150"/>
      <c r="N281" s="1150"/>
      <c r="O281" s="1150"/>
      <c r="P281" s="1150"/>
      <c r="Q281" s="1150"/>
      <c r="R281" s="1150"/>
      <c r="S281" s="1150"/>
      <c r="T281" s="1150"/>
      <c r="U281" s="1150"/>
      <c r="V281" s="1150"/>
      <c r="W281" s="1150"/>
      <c r="X281" s="1150"/>
      <c r="Y281" s="1150"/>
      <c r="Z281" s="1150"/>
      <c r="AA281" s="1150"/>
      <c r="AB281" s="34">
        <f t="shared" si="122"/>
        <v>0</v>
      </c>
    </row>
    <row r="282" spans="2:29">
      <c r="B282" s="1158" t="s">
        <v>189</v>
      </c>
      <c r="C282" s="1159" t="s">
        <v>545</v>
      </c>
      <c r="D282" s="1159" t="s">
        <v>545</v>
      </c>
      <c r="E282" s="1159" t="s">
        <v>285</v>
      </c>
      <c r="F282" s="1159"/>
      <c r="G282" s="1159"/>
      <c r="H282" s="1159"/>
      <c r="I282" s="1162"/>
      <c r="J282" s="1159" t="str">
        <f t="shared" ref="J282:J311" si="127">B282&amp;"_"&amp;C282&amp;"_"&amp;D282&amp;"_"&amp;E282&amp;"_"&amp;I282</f>
        <v>lending_cashloan_cashloan_VNPAY_</v>
      </c>
      <c r="K282" s="1149"/>
      <c r="L282" s="1146" t="s">
        <v>555</v>
      </c>
      <c r="M282" s="1146"/>
      <c r="N282" s="1146"/>
      <c r="O282" s="1146"/>
      <c r="P282" s="1146"/>
      <c r="Q282" s="1146"/>
      <c r="R282" s="1146"/>
      <c r="S282" s="1146"/>
      <c r="T282" s="1146"/>
      <c r="U282" s="1146"/>
      <c r="V282" s="1146"/>
      <c r="W282" s="1146"/>
      <c r="X282" s="1146"/>
      <c r="Y282" s="1146"/>
      <c r="Z282" s="1146"/>
      <c r="AA282" s="1146"/>
      <c r="AB282" s="34">
        <f t="shared" si="122"/>
        <v>0</v>
      </c>
    </row>
    <row r="283" spans="2:29">
      <c r="B283" s="1158" t="s">
        <v>189</v>
      </c>
      <c r="C283" s="1159" t="s">
        <v>545</v>
      </c>
      <c r="D283" s="1159" t="s">
        <v>545</v>
      </c>
      <c r="E283" s="1159" t="s">
        <v>285</v>
      </c>
      <c r="F283" s="1159"/>
      <c r="G283" s="1159"/>
      <c r="H283" s="1159"/>
      <c r="I283" s="1162" t="s">
        <v>239</v>
      </c>
      <c r="J283" s="1159" t="str">
        <f t="shared" si="127"/>
        <v>lending_cashloan_cashloan_VNPAY_new_account</v>
      </c>
      <c r="K283" s="1149"/>
      <c r="L283" s="1148" t="s">
        <v>193</v>
      </c>
      <c r="M283" s="1149">
        <f>SUM(P283:AA283)</f>
        <v>15122</v>
      </c>
      <c r="N283" s="1169">
        <v>3</v>
      </c>
      <c r="O283" s="1169">
        <v>338</v>
      </c>
      <c r="P283" s="1169">
        <v>940</v>
      </c>
      <c r="Q283" s="1267">
        <v>796</v>
      </c>
      <c r="R283" s="1169">
        <v>1127</v>
      </c>
      <c r="S283" s="1169">
        <v>1227</v>
      </c>
      <c r="T283" s="1267">
        <v>1588</v>
      </c>
      <c r="U283" s="1268">
        <v>1354</v>
      </c>
      <c r="V283" s="1361">
        <v>1192</v>
      </c>
      <c r="W283" s="1169">
        <v>1135</v>
      </c>
      <c r="X283" s="1169">
        <v>1479</v>
      </c>
      <c r="Y283" s="1169">
        <v>1476</v>
      </c>
      <c r="Z283" s="1169">
        <v>1413</v>
      </c>
      <c r="AA283" s="1169">
        <v>1395</v>
      </c>
      <c r="AB283" s="34">
        <f t="shared" si="122"/>
        <v>-18</v>
      </c>
    </row>
    <row r="284" spans="2:29">
      <c r="B284" s="1158" t="s">
        <v>189</v>
      </c>
      <c r="C284" s="1159" t="s">
        <v>545</v>
      </c>
      <c r="D284" s="1159" t="s">
        <v>545</v>
      </c>
      <c r="E284" s="1159" t="s">
        <v>285</v>
      </c>
      <c r="F284" s="1159"/>
      <c r="G284" s="1159"/>
      <c r="H284" s="1159"/>
      <c r="I284" s="1148" t="s">
        <v>527</v>
      </c>
      <c r="J284" s="1159" t="str">
        <f t="shared" si="127"/>
        <v>lending_cashloan_cashloan_VNPAY_Repeat account</v>
      </c>
      <c r="K284" s="1149"/>
      <c r="L284" s="1148" t="s">
        <v>527</v>
      </c>
      <c r="M284" s="1149"/>
      <c r="N284" s="1169"/>
      <c r="O284" s="1169"/>
      <c r="P284" s="1169"/>
      <c r="Q284" s="1267"/>
      <c r="R284" s="1169">
        <v>1</v>
      </c>
      <c r="S284" s="1169">
        <v>6</v>
      </c>
      <c r="T284" s="1169">
        <v>19</v>
      </c>
      <c r="U284" s="1169">
        <v>25</v>
      </c>
      <c r="V284" s="1169">
        <v>67</v>
      </c>
      <c r="W284" s="1169">
        <v>156</v>
      </c>
      <c r="X284" s="1169">
        <v>483</v>
      </c>
      <c r="Y284" s="1169">
        <v>482</v>
      </c>
      <c r="Z284" s="1169">
        <v>581</v>
      </c>
      <c r="AA284" s="1169">
        <v>524</v>
      </c>
      <c r="AB284" s="34">
        <f t="shared" si="122"/>
        <v>-57</v>
      </c>
    </row>
    <row r="285" spans="2:29">
      <c r="B285" s="1158" t="s">
        <v>189</v>
      </c>
      <c r="C285" s="1159" t="s">
        <v>545</v>
      </c>
      <c r="D285" s="1159" t="s">
        <v>545</v>
      </c>
      <c r="E285" s="1159" t="s">
        <v>285</v>
      </c>
      <c r="F285" s="1159"/>
      <c r="G285" s="1159"/>
      <c r="H285" s="1159"/>
      <c r="I285" s="1162" t="s">
        <v>241</v>
      </c>
      <c r="J285" s="1159" t="str">
        <f t="shared" si="127"/>
        <v>lending_cashloan_cashloan_VNPAY_active_account</v>
      </c>
      <c r="K285" s="1149"/>
      <c r="L285" s="1148" t="s">
        <v>194</v>
      </c>
      <c r="M285" s="1149">
        <f>SUM(P285:AA285)</f>
        <v>82332</v>
      </c>
      <c r="N285" s="1169">
        <v>3</v>
      </c>
      <c r="O285" s="1169">
        <v>342</v>
      </c>
      <c r="P285" s="1169">
        <v>1282</v>
      </c>
      <c r="Q285" s="1267">
        <v>2133</v>
      </c>
      <c r="R285" s="1272">
        <v>3252</v>
      </c>
      <c r="S285" s="1169">
        <v>4433</v>
      </c>
      <c r="T285" s="1169">
        <v>5936</v>
      </c>
      <c r="U285" s="1169">
        <v>7123</v>
      </c>
      <c r="V285" s="1169">
        <v>8013</v>
      </c>
      <c r="W285" s="1290">
        <v>8674</v>
      </c>
      <c r="X285" s="1290">
        <v>9522</v>
      </c>
      <c r="Y285" s="1169">
        <v>10204</v>
      </c>
      <c r="Z285" s="1169">
        <v>10704</v>
      </c>
      <c r="AA285" s="1169">
        <v>11056</v>
      </c>
      <c r="AB285" s="34">
        <f t="shared" si="122"/>
        <v>352</v>
      </c>
    </row>
    <row r="286" spans="2:29">
      <c r="B286" s="1158" t="s">
        <v>189</v>
      </c>
      <c r="C286" s="1159" t="s">
        <v>545</v>
      </c>
      <c r="D286" s="1159" t="s">
        <v>545</v>
      </c>
      <c r="E286" s="1159" t="s">
        <v>285</v>
      </c>
      <c r="F286" s="1159" t="str">
        <f>E286&amp;"CL"</f>
        <v>VNPAYCL</v>
      </c>
      <c r="G286" s="1159" t="str">
        <f>L286&amp;F286</f>
        <v>DisbursementVNPAYCL</v>
      </c>
      <c r="H286" s="1408" t="str">
        <f>L286&amp;E286</f>
        <v>DisbursementVNPAY</v>
      </c>
      <c r="I286" s="1162" t="s">
        <v>242</v>
      </c>
      <c r="J286" s="1159" t="str">
        <f t="shared" si="127"/>
        <v>lending_cashloan_cashloan_VNPAY_disburse/spend</v>
      </c>
      <c r="K286" s="1149"/>
      <c r="L286" s="1169" t="s">
        <v>80</v>
      </c>
      <c r="M286" s="1149">
        <f>SUM(P286:AA286)</f>
        <v>191538510000</v>
      </c>
      <c r="N286" s="1149">
        <v>15000000</v>
      </c>
      <c r="O286" s="1149">
        <v>3369840000</v>
      </c>
      <c r="P286" s="1149">
        <v>10232660000</v>
      </c>
      <c r="Q286" s="1169">
        <v>9282580000</v>
      </c>
      <c r="R286" s="1169">
        <v>11876180000</v>
      </c>
      <c r="S286" s="1169">
        <v>13534020000</v>
      </c>
      <c r="T286" s="1169">
        <v>18967580000</v>
      </c>
      <c r="U286" s="1169">
        <v>16257930000</v>
      </c>
      <c r="V286" s="1290">
        <v>13288530000</v>
      </c>
      <c r="W286" s="1169">
        <v>13484550000</v>
      </c>
      <c r="X286" s="1169">
        <v>21050400000</v>
      </c>
      <c r="Y286" s="1169">
        <v>22246180000</v>
      </c>
      <c r="Z286" s="1149">
        <v>19620350000</v>
      </c>
      <c r="AA286" s="1149">
        <v>21697550000</v>
      </c>
      <c r="AB286" s="34">
        <f t="shared" si="122"/>
        <v>2077200000</v>
      </c>
      <c r="AC286" s="34">
        <f>SUM(P286:AA286)</f>
        <v>191538510000</v>
      </c>
    </row>
    <row r="287" spans="2:29">
      <c r="B287" s="1158" t="s">
        <v>189</v>
      </c>
      <c r="C287" s="1159" t="s">
        <v>545</v>
      </c>
      <c r="D287" s="1159" t="s">
        <v>545</v>
      </c>
      <c r="E287" s="1159" t="s">
        <v>285</v>
      </c>
      <c r="F287" s="1159"/>
      <c r="G287" s="1159"/>
      <c r="H287" s="1159"/>
      <c r="I287" s="1160"/>
      <c r="J287" s="1159" t="str">
        <f t="shared" si="127"/>
        <v>lending_cashloan_cashloan_VNPAY_</v>
      </c>
      <c r="K287" s="1149"/>
      <c r="L287" s="1169" t="s">
        <v>528</v>
      </c>
      <c r="M287" s="1149">
        <f>SUM(P287:AA287)</f>
        <v>146047510000</v>
      </c>
      <c r="N287" s="1149"/>
      <c r="O287" s="1149">
        <v>2580840000</v>
      </c>
      <c r="P287" s="1169">
        <v>7958660000</v>
      </c>
      <c r="Q287" s="1169">
        <v>7483580000</v>
      </c>
      <c r="R287" s="1169">
        <v>9388180000</v>
      </c>
      <c r="S287" s="1169">
        <v>10578020000</v>
      </c>
      <c r="T287" s="1169">
        <v>14438580000</v>
      </c>
      <c r="U287" s="1169">
        <v>12624930000</v>
      </c>
      <c r="V287" s="1290">
        <v>10035530000</v>
      </c>
      <c r="W287" s="1169">
        <v>9913550000</v>
      </c>
      <c r="X287" s="1169">
        <v>15857400000</v>
      </c>
      <c r="Y287" s="1149">
        <v>16771180000</v>
      </c>
      <c r="Z287" s="1149">
        <v>14878350000</v>
      </c>
      <c r="AA287" s="1149">
        <v>16119550000</v>
      </c>
      <c r="AB287" s="34">
        <f t="shared" si="122"/>
        <v>1241200000</v>
      </c>
    </row>
    <row r="288" spans="2:29">
      <c r="B288" s="1158" t="s">
        <v>189</v>
      </c>
      <c r="C288" s="1159" t="s">
        <v>545</v>
      </c>
      <c r="D288" s="1159" t="s">
        <v>545</v>
      </c>
      <c r="E288" s="1159" t="s">
        <v>285</v>
      </c>
      <c r="F288" s="1159"/>
      <c r="G288" s="1159"/>
      <c r="H288" s="1159"/>
      <c r="I288" s="1160"/>
      <c r="J288" s="1159" t="str">
        <f t="shared" si="127"/>
        <v>lending_cashloan_cashloan_VNPAY_</v>
      </c>
      <c r="K288" s="1149"/>
      <c r="L288" s="1169" t="s">
        <v>529</v>
      </c>
      <c r="M288" s="1149">
        <f>SUM(P288:AA288)</f>
        <v>45491000000</v>
      </c>
      <c r="N288" s="1149">
        <f t="shared" ref="N288:AA288" si="128">N286-N287</f>
        <v>15000000</v>
      </c>
      <c r="O288" s="1149">
        <f t="shared" si="128"/>
        <v>789000000</v>
      </c>
      <c r="P288" s="1149">
        <f t="shared" si="128"/>
        <v>2274000000</v>
      </c>
      <c r="Q288" s="1149">
        <f t="shared" si="128"/>
        <v>1799000000</v>
      </c>
      <c r="R288" s="1149">
        <f t="shared" si="128"/>
        <v>2488000000</v>
      </c>
      <c r="S288" s="1149">
        <f t="shared" si="128"/>
        <v>2956000000</v>
      </c>
      <c r="T288" s="1149">
        <f t="shared" si="128"/>
        <v>4529000000</v>
      </c>
      <c r="U288" s="1149">
        <f t="shared" si="128"/>
        <v>3633000000</v>
      </c>
      <c r="V288" s="1149">
        <f t="shared" si="128"/>
        <v>3253000000</v>
      </c>
      <c r="W288" s="1149">
        <f t="shared" si="128"/>
        <v>3571000000</v>
      </c>
      <c r="X288" s="1149">
        <f t="shared" si="128"/>
        <v>5193000000</v>
      </c>
      <c r="Y288" s="1149">
        <f t="shared" si="128"/>
        <v>5475000000</v>
      </c>
      <c r="Z288" s="1149">
        <f t="shared" si="128"/>
        <v>4742000000</v>
      </c>
      <c r="AA288" s="1149">
        <f t="shared" si="128"/>
        <v>5578000000</v>
      </c>
      <c r="AB288" s="34">
        <f t="shared" si="122"/>
        <v>836000000</v>
      </c>
    </row>
    <row r="289" spans="2:30">
      <c r="B289" s="1158" t="s">
        <v>189</v>
      </c>
      <c r="C289" s="1159" t="s">
        <v>545</v>
      </c>
      <c r="D289" s="1159" t="s">
        <v>545</v>
      </c>
      <c r="E289" s="1159" t="s">
        <v>285</v>
      </c>
      <c r="F289" s="1159"/>
      <c r="G289" s="1159"/>
      <c r="H289" s="1159"/>
      <c r="I289" s="1162" t="s">
        <v>243</v>
      </c>
      <c r="J289" s="1159" t="str">
        <f t="shared" si="127"/>
        <v>lending_cashloan_cashloan_VNPAY_ENR</v>
      </c>
      <c r="K289" s="1149"/>
      <c r="L289" s="1169" t="s">
        <v>530</v>
      </c>
      <c r="M289" s="1149">
        <f>AA289</f>
        <v>114324863034</v>
      </c>
      <c r="N289" s="1169">
        <v>15000000</v>
      </c>
      <c r="O289" s="1149">
        <v>3382579464</v>
      </c>
      <c r="P289" s="1169">
        <v>13469430921</v>
      </c>
      <c r="Q289" s="1273">
        <v>21779092016</v>
      </c>
      <c r="R289" s="1169">
        <v>31958511524</v>
      </c>
      <c r="S289" s="1169">
        <v>42799955655</v>
      </c>
      <c r="T289" s="1169">
        <v>57933433924</v>
      </c>
      <c r="U289" s="1169">
        <v>69056405609</v>
      </c>
      <c r="V289" s="1169">
        <v>76005949782</v>
      </c>
      <c r="W289" s="1254">
        <v>80667491327</v>
      </c>
      <c r="X289" s="1169">
        <v>91494491443</v>
      </c>
      <c r="Y289" s="1169">
        <v>101068876374</v>
      </c>
      <c r="Z289" s="1169">
        <v>107157807951</v>
      </c>
      <c r="AA289" s="1149">
        <v>114324863034</v>
      </c>
      <c r="AB289" s="34">
        <f t="shared" si="122"/>
        <v>7167055083</v>
      </c>
    </row>
    <row r="290" spans="2:30">
      <c r="B290" s="1158" t="s">
        <v>189</v>
      </c>
      <c r="C290" s="1159" t="s">
        <v>545</v>
      </c>
      <c r="D290" s="1159" t="s">
        <v>545</v>
      </c>
      <c r="E290" s="1159" t="s">
        <v>285</v>
      </c>
      <c r="F290" s="1159"/>
      <c r="G290" s="1159"/>
      <c r="H290" s="1159"/>
      <c r="I290" s="1160"/>
      <c r="J290" s="1159" t="str">
        <f t="shared" si="127"/>
        <v>lending_cashloan_cashloan_VNPAY_</v>
      </c>
      <c r="K290" s="1149"/>
      <c r="L290" s="1235" t="s">
        <v>531</v>
      </c>
      <c r="M290" s="1149">
        <f>AA290</f>
        <v>111072839530</v>
      </c>
      <c r="N290" s="1273">
        <f t="shared" ref="N290:AA290" si="129">N289-N291</f>
        <v>15000000</v>
      </c>
      <c r="O290" s="1273">
        <f t="shared" si="129"/>
        <v>3382579464</v>
      </c>
      <c r="P290" s="1273">
        <f t="shared" si="129"/>
        <v>13461319182</v>
      </c>
      <c r="Q290" s="1273">
        <f t="shared" si="129"/>
        <v>21726607801</v>
      </c>
      <c r="R290" s="1273">
        <f t="shared" si="129"/>
        <v>31810464339</v>
      </c>
      <c r="S290" s="1273">
        <f t="shared" si="129"/>
        <v>42489314297</v>
      </c>
      <c r="T290" s="1273">
        <f t="shared" si="129"/>
        <v>57358891388</v>
      </c>
      <c r="U290" s="1273">
        <f t="shared" si="129"/>
        <v>68078951313</v>
      </c>
      <c r="V290" s="1273">
        <f t="shared" si="129"/>
        <v>74526167716</v>
      </c>
      <c r="W290" s="1273">
        <f t="shared" si="129"/>
        <v>78592827505</v>
      </c>
      <c r="X290" s="1273">
        <f t="shared" si="129"/>
        <v>88807436898</v>
      </c>
      <c r="Y290" s="1273">
        <f t="shared" si="129"/>
        <v>98093386372</v>
      </c>
      <c r="Z290" s="1273">
        <f t="shared" si="129"/>
        <v>104007047934</v>
      </c>
      <c r="AA290" s="1273">
        <f t="shared" si="129"/>
        <v>111072839530</v>
      </c>
      <c r="AB290" s="34">
        <f t="shared" si="122"/>
        <v>7065791596</v>
      </c>
    </row>
    <row r="291" spans="2:30">
      <c r="B291" s="1158" t="s">
        <v>189</v>
      </c>
      <c r="C291" s="1159" t="s">
        <v>545</v>
      </c>
      <c r="D291" s="1159" t="s">
        <v>545</v>
      </c>
      <c r="E291" s="1159" t="s">
        <v>285</v>
      </c>
      <c r="F291" s="1159"/>
      <c r="G291" s="1159"/>
      <c r="H291" s="1159"/>
      <c r="I291" s="1160"/>
      <c r="J291" s="1159" t="str">
        <f t="shared" si="127"/>
        <v>lending_cashloan_cashloan_VNPAY_</v>
      </c>
      <c r="K291" s="1149"/>
      <c r="L291" s="1235" t="s">
        <v>532</v>
      </c>
      <c r="M291" s="1149">
        <f>AA291</f>
        <v>3252023504</v>
      </c>
      <c r="N291" s="1255">
        <v>0</v>
      </c>
      <c r="O291" s="1273"/>
      <c r="P291" s="1273">
        <v>8111739</v>
      </c>
      <c r="Q291" s="1273">
        <v>52484215</v>
      </c>
      <c r="R291" s="1255">
        <v>148047185</v>
      </c>
      <c r="S291" s="1255">
        <v>310641358</v>
      </c>
      <c r="T291" s="1255">
        <v>574542536</v>
      </c>
      <c r="U291" s="1255">
        <v>977454296</v>
      </c>
      <c r="V291" s="1255">
        <v>1479782066</v>
      </c>
      <c r="W291" s="1236">
        <v>2074663822</v>
      </c>
      <c r="X291" s="1255">
        <v>2687054545</v>
      </c>
      <c r="Y291" s="1255">
        <v>2975490002</v>
      </c>
      <c r="Z291" s="1255">
        <v>3150760017</v>
      </c>
      <c r="AA291" s="1273">
        <v>3252023504</v>
      </c>
      <c r="AB291" s="34">
        <f t="shared" si="122"/>
        <v>101263487</v>
      </c>
    </row>
    <row r="292" spans="2:30">
      <c r="B292" s="1158" t="s">
        <v>189</v>
      </c>
      <c r="C292" s="1159" t="s">
        <v>545</v>
      </c>
      <c r="D292" s="1159" t="s">
        <v>545</v>
      </c>
      <c r="E292" s="1159" t="s">
        <v>285</v>
      </c>
      <c r="F292" s="1159"/>
      <c r="G292" s="1159"/>
      <c r="H292" s="1159"/>
      <c r="I292" s="1160"/>
      <c r="J292" s="1159" t="str">
        <f t="shared" si="127"/>
        <v>lending_cashloan_cashloan_VNPAY_</v>
      </c>
      <c r="K292" s="1149"/>
      <c r="L292" s="1148" t="s">
        <v>533</v>
      </c>
      <c r="M292" s="1149"/>
      <c r="N292" s="1255">
        <v>0</v>
      </c>
      <c r="O292" s="1273">
        <v>0</v>
      </c>
      <c r="P292" s="1273">
        <v>0</v>
      </c>
      <c r="Q292" s="1273">
        <v>0</v>
      </c>
      <c r="R292" s="1273"/>
      <c r="S292" s="1273">
        <v>84996305</v>
      </c>
      <c r="T292" s="1273">
        <v>458566684</v>
      </c>
      <c r="U292" s="1273">
        <v>935261055</v>
      </c>
      <c r="V292" s="1293">
        <v>1815273647</v>
      </c>
      <c r="W292" s="1273">
        <v>2791834202</v>
      </c>
      <c r="X292" s="1273">
        <v>3867084593</v>
      </c>
      <c r="Y292" s="1273">
        <v>4331128660</v>
      </c>
      <c r="Z292" s="1273">
        <v>4510670443</v>
      </c>
      <c r="AA292" s="1273">
        <v>4549534012</v>
      </c>
      <c r="AB292" s="34">
        <f t="shared" si="122"/>
        <v>38863569</v>
      </c>
    </row>
    <row r="293" spans="2:30">
      <c r="B293" s="1158" t="s">
        <v>189</v>
      </c>
      <c r="C293" s="1159" t="s">
        <v>545</v>
      </c>
      <c r="D293" s="1159" t="s">
        <v>545</v>
      </c>
      <c r="E293" s="1159" t="s">
        <v>285</v>
      </c>
      <c r="F293" s="1159"/>
      <c r="G293" s="1159"/>
      <c r="H293" s="1159"/>
      <c r="I293" s="1162" t="s">
        <v>247</v>
      </c>
      <c r="J293" s="1159" t="str">
        <f t="shared" si="127"/>
        <v>lending_cashloan_cashloan_VNPAY_overdue_balance_10d</v>
      </c>
      <c r="K293" s="1149"/>
      <c r="L293" s="1169" t="s">
        <v>534</v>
      </c>
      <c r="M293" s="1149"/>
      <c r="N293" s="1255"/>
      <c r="O293" s="1273">
        <v>37450000</v>
      </c>
      <c r="P293" s="1273">
        <v>144628748</v>
      </c>
      <c r="Q293" s="1273">
        <v>635576193</v>
      </c>
      <c r="R293" s="1267">
        <v>1798378406</v>
      </c>
      <c r="S293" s="1273">
        <v>2473643700</v>
      </c>
      <c r="T293" s="1247">
        <v>4035846677</v>
      </c>
      <c r="U293" s="1236">
        <v>6997717919</v>
      </c>
      <c r="V293" s="1236">
        <v>8825466738</v>
      </c>
      <c r="W293" s="1277">
        <v>10836027547</v>
      </c>
      <c r="X293" s="1255">
        <v>14156602709</v>
      </c>
      <c r="Y293" s="1255">
        <v>14910238328</v>
      </c>
      <c r="Z293" s="1255">
        <v>16390607983</v>
      </c>
      <c r="AA293" s="1273">
        <v>18448435163</v>
      </c>
      <c r="AB293" s="34">
        <f t="shared" si="122"/>
        <v>2057827180</v>
      </c>
    </row>
    <row r="294" spans="2:30">
      <c r="B294" s="1158" t="s">
        <v>189</v>
      </c>
      <c r="C294" s="1159" t="s">
        <v>545</v>
      </c>
      <c r="D294" s="1159" t="s">
        <v>545</v>
      </c>
      <c r="E294" s="1159" t="s">
        <v>285</v>
      </c>
      <c r="F294" s="1159"/>
      <c r="G294" s="1159"/>
      <c r="H294" s="1159"/>
      <c r="I294" s="1162" t="s">
        <v>248</v>
      </c>
      <c r="J294" s="1159" t="str">
        <f t="shared" si="127"/>
        <v>lending_cashloan_cashloan_VNPAY_overdue_balance_90d</v>
      </c>
      <c r="K294" s="1149"/>
      <c r="L294" s="1169" t="s">
        <v>535</v>
      </c>
      <c r="M294" s="1149"/>
      <c r="N294" s="1169">
        <v>0</v>
      </c>
      <c r="O294" s="1169">
        <v>0</v>
      </c>
      <c r="P294" s="1169">
        <v>0</v>
      </c>
      <c r="Q294" s="1169">
        <v>20943875</v>
      </c>
      <c r="R294" s="1169">
        <v>42132046</v>
      </c>
      <c r="S294" s="1273">
        <v>139672352</v>
      </c>
      <c r="T294" s="1149">
        <v>546025379</v>
      </c>
      <c r="U294" s="1149">
        <v>1426684662</v>
      </c>
      <c r="V294" s="1149">
        <v>2133360858</v>
      </c>
      <c r="W294" s="1149">
        <v>3324762111</v>
      </c>
      <c r="X294" s="1169">
        <v>5264007111</v>
      </c>
      <c r="Y294" s="1290">
        <v>5098964787</v>
      </c>
      <c r="Z294" s="1169">
        <v>5510960353</v>
      </c>
      <c r="AA294" s="1169">
        <v>6620882077</v>
      </c>
      <c r="AB294" s="34">
        <f t="shared" si="122"/>
        <v>1109921724</v>
      </c>
    </row>
    <row r="295" spans="2:30">
      <c r="B295" s="1158" t="s">
        <v>189</v>
      </c>
      <c r="C295" s="1159" t="s">
        <v>545</v>
      </c>
      <c r="D295" s="1159" t="s">
        <v>545</v>
      </c>
      <c r="E295" s="1159" t="s">
        <v>285</v>
      </c>
      <c r="F295" s="1159"/>
      <c r="G295" s="1159"/>
      <c r="H295" s="1159"/>
      <c r="I295" s="1160"/>
      <c r="J295" s="1159" t="str">
        <f t="shared" si="127"/>
        <v>lending_cashloan_cashloan_VNPAY_</v>
      </c>
      <c r="K295" s="1149"/>
      <c r="L295" s="1169" t="s">
        <v>536</v>
      </c>
      <c r="M295" s="1149"/>
      <c r="N295" s="1255"/>
      <c r="O295" s="1273">
        <f t="shared" ref="O295:AA295" si="130">O293-O294</f>
        <v>37450000</v>
      </c>
      <c r="P295" s="1273">
        <f t="shared" si="130"/>
        <v>144628748</v>
      </c>
      <c r="Q295" s="1273">
        <f t="shared" si="130"/>
        <v>614632318</v>
      </c>
      <c r="R295" s="1273">
        <f t="shared" si="130"/>
        <v>1756246360</v>
      </c>
      <c r="S295" s="1273">
        <f t="shared" si="130"/>
        <v>2333971348</v>
      </c>
      <c r="T295" s="1273">
        <f t="shared" si="130"/>
        <v>3489821298</v>
      </c>
      <c r="U295" s="1273">
        <f t="shared" si="130"/>
        <v>5571033257</v>
      </c>
      <c r="V295" s="1273">
        <f t="shared" si="130"/>
        <v>6692105880</v>
      </c>
      <c r="W295" s="1273">
        <f t="shared" si="130"/>
        <v>7511265436</v>
      </c>
      <c r="X295" s="1273">
        <f t="shared" si="130"/>
        <v>8892595598</v>
      </c>
      <c r="Y295" s="1273">
        <f t="shared" si="130"/>
        <v>9811273541</v>
      </c>
      <c r="Z295" s="1273">
        <f t="shared" si="130"/>
        <v>10879647630</v>
      </c>
      <c r="AA295" s="1273">
        <f t="shared" si="130"/>
        <v>11827553086</v>
      </c>
      <c r="AB295" s="34">
        <f t="shared" si="122"/>
        <v>947905456</v>
      </c>
    </row>
    <row r="296" spans="2:30">
      <c r="B296" s="1158" t="s">
        <v>189</v>
      </c>
      <c r="C296" s="1159" t="s">
        <v>545</v>
      </c>
      <c r="D296" s="1159" t="s">
        <v>545</v>
      </c>
      <c r="E296" s="1159" t="s">
        <v>285</v>
      </c>
      <c r="F296" s="1159"/>
      <c r="G296" s="1159"/>
      <c r="H296" s="1159"/>
      <c r="I296" s="1160"/>
      <c r="J296" s="1159" t="str">
        <f t="shared" si="127"/>
        <v>lending_cashloan_cashloan_VNPAY_</v>
      </c>
      <c r="K296" s="1149"/>
      <c r="L296" s="1169" t="s">
        <v>537</v>
      </c>
      <c r="M296" s="1149"/>
      <c r="N296" s="1269">
        <f t="shared" ref="N296:AA296" si="131">N292/N289</f>
        <v>0</v>
      </c>
      <c r="O296" s="1269">
        <f t="shared" si="131"/>
        <v>0</v>
      </c>
      <c r="P296" s="1269">
        <f t="shared" si="131"/>
        <v>0</v>
      </c>
      <c r="Q296" s="1269">
        <f t="shared" si="131"/>
        <v>0</v>
      </c>
      <c r="R296" s="1269">
        <f t="shared" si="131"/>
        <v>0</v>
      </c>
      <c r="S296" s="1269">
        <f t="shared" si="131"/>
        <v>1.9858970342197194E-3</v>
      </c>
      <c r="T296" s="1269">
        <f t="shared" si="131"/>
        <v>7.9154065785496316E-3</v>
      </c>
      <c r="U296" s="1269">
        <f t="shared" si="131"/>
        <v>1.3543436655181327E-2</v>
      </c>
      <c r="V296" s="1269">
        <f t="shared" si="131"/>
        <v>2.388330982254102E-2</v>
      </c>
      <c r="W296" s="1269">
        <f t="shared" si="131"/>
        <v>3.4609161089227437E-2</v>
      </c>
      <c r="X296" s="1269">
        <f t="shared" si="131"/>
        <v>4.2265764113341715E-2</v>
      </c>
      <c r="Y296" s="1269">
        <f t="shared" si="131"/>
        <v>4.2853238458621906E-2</v>
      </c>
      <c r="Z296" s="1269">
        <f t="shared" si="131"/>
        <v>4.2093717007188051E-2</v>
      </c>
      <c r="AA296" s="1269">
        <f t="shared" si="131"/>
        <v>3.979479083781607E-2</v>
      </c>
      <c r="AB296" s="34">
        <f t="shared" si="122"/>
        <v>-2.2989261693719815E-3</v>
      </c>
    </row>
    <row r="297" spans="2:30">
      <c r="B297" s="1158" t="s">
        <v>189</v>
      </c>
      <c r="C297" s="1159" t="s">
        <v>545</v>
      </c>
      <c r="D297" s="1159" t="s">
        <v>545</v>
      </c>
      <c r="E297" s="1159" t="s">
        <v>285</v>
      </c>
      <c r="F297" s="1159"/>
      <c r="G297" s="1159"/>
      <c r="H297" s="1159"/>
      <c r="I297" s="1162" t="s">
        <v>213</v>
      </c>
      <c r="J297" s="1159" t="str">
        <f t="shared" si="127"/>
        <v>lending_cashloan_cashloan_VNPAY_npl</v>
      </c>
      <c r="K297" s="1149"/>
      <c r="L297" s="1169" t="s">
        <v>538</v>
      </c>
      <c r="M297" s="1149"/>
      <c r="N297" s="1269">
        <f t="shared" ref="N297:AA297" si="132">N294/N289</f>
        <v>0</v>
      </c>
      <c r="O297" s="1269">
        <f t="shared" si="132"/>
        <v>0</v>
      </c>
      <c r="P297" s="1269">
        <f t="shared" si="132"/>
        <v>0</v>
      </c>
      <c r="Q297" s="1269">
        <f t="shared" si="132"/>
        <v>9.6165051254724443E-4</v>
      </c>
      <c r="R297" s="1269">
        <f t="shared" si="132"/>
        <v>1.3183356793184796E-3</v>
      </c>
      <c r="S297" s="1269">
        <f t="shared" si="132"/>
        <v>3.2633760914582426E-3</v>
      </c>
      <c r="T297" s="1269">
        <f t="shared" si="132"/>
        <v>9.4250477145253232E-3</v>
      </c>
      <c r="U297" s="1269">
        <f t="shared" si="132"/>
        <v>2.0659700565331229E-2</v>
      </c>
      <c r="V297" s="1269">
        <f t="shared" si="132"/>
        <v>2.8068340230191165E-2</v>
      </c>
      <c r="W297" s="1269">
        <f t="shared" si="132"/>
        <v>4.121563787725202E-2</v>
      </c>
      <c r="X297" s="1269">
        <f t="shared" si="132"/>
        <v>5.7533596044734722E-2</v>
      </c>
      <c r="Y297" s="1269">
        <f t="shared" si="132"/>
        <v>5.0450395511784971E-2</v>
      </c>
      <c r="Z297" s="1269">
        <f t="shared" si="132"/>
        <v>5.1428453589868077E-2</v>
      </c>
      <c r="AA297" s="1269">
        <f t="shared" si="132"/>
        <v>5.7912880027076542E-2</v>
      </c>
      <c r="AB297" s="34">
        <f t="shared" si="122"/>
        <v>6.4844264372084653E-3</v>
      </c>
    </row>
    <row r="298" spans="2:30">
      <c r="B298" s="1158" t="s">
        <v>189</v>
      </c>
      <c r="C298" s="1159" t="s">
        <v>545</v>
      </c>
      <c r="D298" s="1159" t="s">
        <v>545</v>
      </c>
      <c r="E298" s="1159" t="s">
        <v>285</v>
      </c>
      <c r="F298" s="1159" t="str">
        <f>E298&amp;"CL"</f>
        <v>VNPAYCL</v>
      </c>
      <c r="G298" s="1159" t="str">
        <f>L298&amp;F298</f>
        <v>TOIVNPAYCL</v>
      </c>
      <c r="H298" s="1408" t="str">
        <f>L298&amp;E298</f>
        <v>TOIVNPAY</v>
      </c>
      <c r="I298" s="1162" t="s">
        <v>217</v>
      </c>
      <c r="J298" s="1159" t="str">
        <f t="shared" si="127"/>
        <v>lending_cashloan_cashloan_VNPAY_TOI</v>
      </c>
      <c r="K298" s="1149"/>
      <c r="L298" s="1238" t="s">
        <v>217</v>
      </c>
      <c r="M298" s="1150">
        <f t="shared" ref="M298:AA298" si="133">M299+M304+M308</f>
        <v>31212438521.806</v>
      </c>
      <c r="N298" s="1150">
        <f t="shared" si="133"/>
        <v>191781</v>
      </c>
      <c r="O298" s="1150">
        <f t="shared" si="133"/>
        <v>185076800</v>
      </c>
      <c r="P298" s="1150">
        <f t="shared" si="133"/>
        <v>723076575</v>
      </c>
      <c r="Q298" s="1150">
        <f t="shared" si="133"/>
        <v>912210074</v>
      </c>
      <c r="R298" s="1150">
        <f t="shared" si="133"/>
        <v>1386694497.806</v>
      </c>
      <c r="S298" s="1150">
        <f t="shared" si="133"/>
        <v>1749641681</v>
      </c>
      <c r="T298" s="1150">
        <f t="shared" si="133"/>
        <v>2390402817</v>
      </c>
      <c r="U298" s="1150">
        <f t="shared" si="133"/>
        <v>2613567391</v>
      </c>
      <c r="V298" s="1150">
        <f t="shared" si="133"/>
        <v>2747680984</v>
      </c>
      <c r="W298" s="1150">
        <f t="shared" si="133"/>
        <v>3028669529</v>
      </c>
      <c r="X298" s="1150">
        <f t="shared" si="133"/>
        <v>3481557042</v>
      </c>
      <c r="Y298" s="1150">
        <f t="shared" si="133"/>
        <v>3920672262</v>
      </c>
      <c r="Z298" s="1150">
        <f t="shared" si="133"/>
        <v>4015860298</v>
      </c>
      <c r="AA298" s="1150">
        <f t="shared" si="133"/>
        <v>4242405371</v>
      </c>
      <c r="AB298" s="34">
        <f t="shared" si="122"/>
        <v>226545073</v>
      </c>
      <c r="AC298" s="34">
        <f>SUM(P298:AA298)</f>
        <v>31212438521.806</v>
      </c>
    </row>
    <row r="299" spans="2:30">
      <c r="B299" s="1158" t="s">
        <v>189</v>
      </c>
      <c r="C299" s="1159" t="s">
        <v>545</v>
      </c>
      <c r="D299" s="1159" t="s">
        <v>545</v>
      </c>
      <c r="E299" s="1159" t="s">
        <v>285</v>
      </c>
      <c r="F299" s="1159"/>
      <c r="G299" s="1159"/>
      <c r="H299" s="1159"/>
      <c r="I299" s="1162" t="s">
        <v>254</v>
      </c>
      <c r="J299" s="1159" t="str">
        <f t="shared" si="127"/>
        <v>lending_cashloan_cashloan_VNPAY_NII</v>
      </c>
      <c r="K299" s="1149"/>
      <c r="L299" s="1239" t="s">
        <v>218</v>
      </c>
      <c r="M299" s="1150">
        <f>SUM(P299:AA299)</f>
        <v>21581074153.806</v>
      </c>
      <c r="N299" s="1150">
        <f t="shared" ref="N299:AA299" si="134">N300-N303</f>
        <v>191781</v>
      </c>
      <c r="O299" s="1150">
        <f t="shared" si="134"/>
        <v>40511103</v>
      </c>
      <c r="P299" s="1150">
        <f t="shared" si="134"/>
        <v>277272407</v>
      </c>
      <c r="Q299" s="1150">
        <f t="shared" si="134"/>
        <v>492858097</v>
      </c>
      <c r="R299" s="1150">
        <f t="shared" si="134"/>
        <v>859155168.80599999</v>
      </c>
      <c r="S299" s="1150">
        <f t="shared" si="134"/>
        <v>1146116312</v>
      </c>
      <c r="T299" s="1150">
        <f t="shared" si="134"/>
        <v>1563124860</v>
      </c>
      <c r="U299" s="1150">
        <f t="shared" si="134"/>
        <v>1881824721</v>
      </c>
      <c r="V299" s="1150">
        <f t="shared" si="134"/>
        <v>2167305932</v>
      </c>
      <c r="W299" s="1150">
        <f t="shared" si="134"/>
        <v>2296117490</v>
      </c>
      <c r="X299" s="1150">
        <f t="shared" si="134"/>
        <v>2370246054</v>
      </c>
      <c r="Y299" s="1150">
        <f t="shared" si="134"/>
        <v>2680300747</v>
      </c>
      <c r="Z299" s="1150">
        <f t="shared" si="134"/>
        <v>2827004256</v>
      </c>
      <c r="AA299" s="1150">
        <f t="shared" si="134"/>
        <v>3019748109</v>
      </c>
      <c r="AB299" s="34">
        <f t="shared" si="122"/>
        <v>192743853</v>
      </c>
    </row>
    <row r="300" spans="2:30">
      <c r="B300" s="1158" t="s">
        <v>189</v>
      </c>
      <c r="C300" s="1159" t="s">
        <v>545</v>
      </c>
      <c r="D300" s="1159" t="s">
        <v>545</v>
      </c>
      <c r="E300" s="1159" t="s">
        <v>285</v>
      </c>
      <c r="F300" s="1159"/>
      <c r="G300" s="1159"/>
      <c r="H300" s="1159"/>
      <c r="I300" s="1162" t="s">
        <v>255</v>
      </c>
      <c r="J300" s="1159" t="str">
        <f t="shared" si="127"/>
        <v>lending_cashloan_cashloan_VNPAY_CII</v>
      </c>
      <c r="K300" s="1149"/>
      <c r="L300" s="1240" t="s">
        <v>20</v>
      </c>
      <c r="M300" s="1151">
        <f>SUM(P300:AA300)</f>
        <v>25763609693</v>
      </c>
      <c r="N300" s="1151">
        <f>N301+0-N302</f>
        <v>191781</v>
      </c>
      <c r="O300" s="1151">
        <f t="shared" ref="O300:Z300" si="135">O301+N302-O302</f>
        <v>45422307</v>
      </c>
      <c r="P300" s="1151">
        <f t="shared" si="135"/>
        <v>317884767</v>
      </c>
      <c r="Q300" s="1151">
        <f t="shared" si="135"/>
        <v>572791332</v>
      </c>
      <c r="R300" s="1151">
        <f t="shared" si="135"/>
        <v>992810149</v>
      </c>
      <c r="S300" s="1151">
        <f t="shared" si="135"/>
        <v>1328466250</v>
      </c>
      <c r="T300" s="1151">
        <f t="shared" si="135"/>
        <v>1824129419</v>
      </c>
      <c r="U300" s="1151">
        <f t="shared" si="135"/>
        <v>2207494099</v>
      </c>
      <c r="V300" s="1151">
        <f t="shared" si="135"/>
        <v>2559459022</v>
      </c>
      <c r="W300" s="1151">
        <f t="shared" si="135"/>
        <v>2733885901</v>
      </c>
      <c r="X300" s="1151">
        <f t="shared" si="135"/>
        <v>2839275443</v>
      </c>
      <c r="Y300" s="1151">
        <f t="shared" si="135"/>
        <v>3243316280</v>
      </c>
      <c r="Z300" s="1151">
        <f t="shared" si="135"/>
        <v>3443552486</v>
      </c>
      <c r="AA300" s="1151">
        <f>AA301+Z302-AA302</f>
        <v>3700544545</v>
      </c>
      <c r="AB300" s="34">
        <f t="shared" si="122"/>
        <v>256992059</v>
      </c>
    </row>
    <row r="301" spans="2:30">
      <c r="B301" s="1158" t="s">
        <v>189</v>
      </c>
      <c r="C301" s="1159" t="s">
        <v>545</v>
      </c>
      <c r="D301" s="1159" t="s">
        <v>545</v>
      </c>
      <c r="E301" s="1159" t="s">
        <v>285</v>
      </c>
      <c r="F301" s="1159"/>
      <c r="G301" s="1159"/>
      <c r="H301" s="1159"/>
      <c r="I301" s="1162"/>
      <c r="J301" s="1159" t="str">
        <f t="shared" si="127"/>
        <v>lending_cashloan_cashloan_VNPAY_</v>
      </c>
      <c r="K301" s="1149"/>
      <c r="L301" s="1274" t="s">
        <v>539</v>
      </c>
      <c r="M301" s="1151">
        <f>SUM(P301:AA301)</f>
        <v>26195261327</v>
      </c>
      <c r="N301" s="1151">
        <v>191781</v>
      </c>
      <c r="O301" s="1151">
        <v>45422307</v>
      </c>
      <c r="P301" s="1151">
        <v>321426308</v>
      </c>
      <c r="Q301" s="1151">
        <v>584444405</v>
      </c>
      <c r="R301" s="1151">
        <v>1011320886</v>
      </c>
      <c r="S301" s="1151">
        <v>1355813593</v>
      </c>
      <c r="T301" s="1151">
        <v>1868925893</v>
      </c>
      <c r="U301" s="1151">
        <v>2260405401</v>
      </c>
      <c r="V301" s="1151">
        <v>2629288891</v>
      </c>
      <c r="W301" s="1151">
        <v>2780395647</v>
      </c>
      <c r="X301" s="1151">
        <v>2886582366</v>
      </c>
      <c r="Y301" s="1151">
        <v>3293167691</v>
      </c>
      <c r="Z301" s="1151">
        <v>3487480127</v>
      </c>
      <c r="AA301" s="1151">
        <v>3716010119</v>
      </c>
      <c r="AB301" s="34">
        <f t="shared" si="122"/>
        <v>228529992</v>
      </c>
    </row>
    <row r="302" spans="2:30">
      <c r="B302" s="1158" t="s">
        <v>189</v>
      </c>
      <c r="C302" s="1159" t="s">
        <v>545</v>
      </c>
      <c r="D302" s="1159" t="s">
        <v>545</v>
      </c>
      <c r="E302" s="1159" t="s">
        <v>285</v>
      </c>
      <c r="F302" s="1159"/>
      <c r="G302" s="1159"/>
      <c r="H302" s="1159"/>
      <c r="I302" s="1160"/>
      <c r="J302" s="1159" t="str">
        <f t="shared" si="127"/>
        <v>lending_cashloan_cashloan_VNPAY_</v>
      </c>
      <c r="K302" s="1149"/>
      <c r="L302" s="1274" t="s">
        <v>187</v>
      </c>
      <c r="M302" s="1149">
        <f>SUM(P302:AA302)</f>
        <v>2424297383</v>
      </c>
      <c r="N302" s="1151"/>
      <c r="O302" s="1151"/>
      <c r="P302" s="1151">
        <v>3541541</v>
      </c>
      <c r="Q302" s="1151">
        <v>15194614</v>
      </c>
      <c r="R302" s="1151">
        <v>33705351</v>
      </c>
      <c r="S302" s="1151">
        <v>61052694</v>
      </c>
      <c r="T302" s="1151">
        <v>105849168</v>
      </c>
      <c r="U302" s="1151">
        <v>158760470</v>
      </c>
      <c r="V302" s="1149">
        <v>228590339</v>
      </c>
      <c r="W302" s="1149">
        <v>275100085</v>
      </c>
      <c r="X302" s="1149">
        <v>322407008</v>
      </c>
      <c r="Y302" s="1149">
        <v>372258419</v>
      </c>
      <c r="Z302" s="1149">
        <v>416186060</v>
      </c>
      <c r="AA302" s="1149">
        <v>431651634</v>
      </c>
      <c r="AB302" s="34">
        <f t="shared" si="122"/>
        <v>15465574</v>
      </c>
      <c r="AC302" s="34"/>
      <c r="AD302" s="34"/>
    </row>
    <row r="303" spans="2:30">
      <c r="B303" s="1158" t="s">
        <v>189</v>
      </c>
      <c r="C303" s="1159" t="s">
        <v>545</v>
      </c>
      <c r="D303" s="1159" t="s">
        <v>545</v>
      </c>
      <c r="E303" s="1159" t="s">
        <v>285</v>
      </c>
      <c r="F303" s="1159"/>
      <c r="G303" s="1159"/>
      <c r="H303" s="1159"/>
      <c r="I303" s="1162" t="s">
        <v>219</v>
      </c>
      <c r="J303" s="1159" t="str">
        <f t="shared" si="127"/>
        <v>lending_cashloan_cashloan_VNPAY_COF</v>
      </c>
      <c r="K303" s="1149"/>
      <c r="L303" s="1240" t="s">
        <v>219</v>
      </c>
      <c r="M303" s="1149">
        <f>SUM(P303:AA303)</f>
        <v>4182535539.1940002</v>
      </c>
      <c r="N303" s="1254"/>
      <c r="O303" s="1247">
        <v>4911204</v>
      </c>
      <c r="P303" s="1265">
        <v>40612360</v>
      </c>
      <c r="Q303" s="1265">
        <v>79933235</v>
      </c>
      <c r="R303" s="1265">
        <v>133654980.19399996</v>
      </c>
      <c r="S303" s="1265">
        <v>182349938</v>
      </c>
      <c r="T303" s="1265">
        <v>261004559</v>
      </c>
      <c r="U303" s="1265">
        <v>325669378</v>
      </c>
      <c r="V303" s="1294">
        <v>392153090</v>
      </c>
      <c r="W303" s="1294">
        <v>437768411</v>
      </c>
      <c r="X303" s="1290">
        <v>469029389</v>
      </c>
      <c r="Y303" s="1290">
        <v>563015533</v>
      </c>
      <c r="Z303" s="1254">
        <v>616548230</v>
      </c>
      <c r="AA303" s="1247">
        <v>680796436</v>
      </c>
      <c r="AB303" s="34">
        <f t="shared" si="122"/>
        <v>64248206</v>
      </c>
    </row>
    <row r="304" spans="2:30">
      <c r="B304" s="1158" t="s">
        <v>189</v>
      </c>
      <c r="C304" s="1159" t="s">
        <v>545</v>
      </c>
      <c r="D304" s="1159" t="s">
        <v>545</v>
      </c>
      <c r="E304" s="1159" t="s">
        <v>285</v>
      </c>
      <c r="F304" s="1159"/>
      <c r="G304" s="1159"/>
      <c r="H304" s="1159"/>
      <c r="I304" s="1162" t="s">
        <v>260</v>
      </c>
      <c r="J304" s="1159" t="str">
        <f t="shared" si="127"/>
        <v>lending_cashloan_cashloan_VNPAY_NFI</v>
      </c>
      <c r="K304" s="1149"/>
      <c r="L304" s="1239" t="s">
        <v>220</v>
      </c>
      <c r="M304" s="1150">
        <f t="shared" ref="M304:AA304" si="136">SUM(M305:M307)</f>
        <v>9549666541</v>
      </c>
      <c r="N304" s="1150">
        <f t="shared" si="136"/>
        <v>0</v>
      </c>
      <c r="O304" s="1150">
        <f t="shared" si="136"/>
        <v>144565697</v>
      </c>
      <c r="P304" s="1150">
        <f t="shared" si="136"/>
        <v>445804168</v>
      </c>
      <c r="Q304" s="1150">
        <f t="shared" si="136"/>
        <v>419351977</v>
      </c>
      <c r="R304" s="1150">
        <f t="shared" si="136"/>
        <v>527539329</v>
      </c>
      <c r="S304" s="1150">
        <f t="shared" si="136"/>
        <v>603525369</v>
      </c>
      <c r="T304" s="1150">
        <f t="shared" si="136"/>
        <v>827277957</v>
      </c>
      <c r="U304" s="1150">
        <f t="shared" si="136"/>
        <v>731742670</v>
      </c>
      <c r="V304" s="1150">
        <f t="shared" si="136"/>
        <v>580375052</v>
      </c>
      <c r="W304" s="1150">
        <f t="shared" si="136"/>
        <v>732552039</v>
      </c>
      <c r="X304" s="1150">
        <f t="shared" si="136"/>
        <v>1111310988</v>
      </c>
      <c r="Y304" s="1150">
        <f t="shared" si="136"/>
        <v>1228763173</v>
      </c>
      <c r="Z304" s="1150">
        <f t="shared" si="136"/>
        <v>1137604433</v>
      </c>
      <c r="AA304" s="1150">
        <f t="shared" si="136"/>
        <v>1203819386</v>
      </c>
      <c r="AB304" s="34">
        <f t="shared" si="122"/>
        <v>66214953</v>
      </c>
    </row>
    <row r="305" spans="2:29">
      <c r="B305" s="1158" t="s">
        <v>189</v>
      </c>
      <c r="C305" s="1159" t="s">
        <v>545</v>
      </c>
      <c r="D305" s="1159" t="s">
        <v>545</v>
      </c>
      <c r="E305" s="1159" t="s">
        <v>285</v>
      </c>
      <c r="F305" s="1159"/>
      <c r="G305" s="1159"/>
      <c r="H305" s="1159"/>
      <c r="I305" s="1167" t="s">
        <v>546</v>
      </c>
      <c r="J305" s="1159" t="str">
        <f t="shared" si="127"/>
        <v>lending_cashloan_cashloan_VNPAY_insurance_fee</v>
      </c>
      <c r="K305" s="1149"/>
      <c r="L305" s="1240" t="s">
        <v>540</v>
      </c>
      <c r="M305" s="1151">
        <f>SUM(P305:AA305)</f>
        <v>8094120753</v>
      </c>
      <c r="N305" s="1151"/>
      <c r="O305" s="1261">
        <v>144565697</v>
      </c>
      <c r="P305" s="1261">
        <v>445804168</v>
      </c>
      <c r="Q305" s="1248">
        <v>419192572</v>
      </c>
      <c r="R305" s="1243">
        <v>525878700</v>
      </c>
      <c r="S305" s="1243">
        <v>592527562</v>
      </c>
      <c r="T305" s="1243">
        <v>808776747</v>
      </c>
      <c r="U305" s="1243">
        <v>707185182</v>
      </c>
      <c r="V305" s="1243">
        <v>548448618</v>
      </c>
      <c r="W305" s="1151">
        <v>541792168</v>
      </c>
      <c r="X305" s="1302">
        <v>866773834</v>
      </c>
      <c r="Y305" s="1151">
        <v>919488559</v>
      </c>
      <c r="Z305" s="1151">
        <v>824725682</v>
      </c>
      <c r="AA305" s="1261">
        <v>893526961</v>
      </c>
      <c r="AB305" s="34">
        <f t="shared" si="122"/>
        <v>68801279</v>
      </c>
    </row>
    <row r="306" spans="2:29">
      <c r="B306" s="1158" t="s">
        <v>189</v>
      </c>
      <c r="C306" s="1159" t="s">
        <v>545</v>
      </c>
      <c r="D306" s="1159" t="s">
        <v>545</v>
      </c>
      <c r="E306" s="1159" t="s">
        <v>285</v>
      </c>
      <c r="F306" s="1159"/>
      <c r="G306" s="1159"/>
      <c r="H306" s="1159"/>
      <c r="I306" s="1167" t="s">
        <v>547</v>
      </c>
      <c r="J306" s="1159" t="str">
        <f t="shared" si="127"/>
        <v>lending_cashloan_cashloan_VNPAY_early_terminate_fee</v>
      </c>
      <c r="K306" s="1149"/>
      <c r="L306" s="1240" t="s">
        <v>541</v>
      </c>
      <c r="M306" s="1151">
        <f>SUM(P306:AA306)</f>
        <v>1455545788</v>
      </c>
      <c r="N306" s="1151"/>
      <c r="O306" s="1151"/>
      <c r="P306" s="1243">
        <v>0</v>
      </c>
      <c r="Q306" s="1243">
        <v>159405</v>
      </c>
      <c r="R306" s="1243">
        <v>1660629</v>
      </c>
      <c r="S306" s="1243">
        <v>10997807</v>
      </c>
      <c r="T306" s="1243">
        <v>18501210</v>
      </c>
      <c r="U306" s="1243">
        <v>24557488</v>
      </c>
      <c r="V306" s="1243">
        <v>31926434</v>
      </c>
      <c r="W306" s="1243">
        <v>190759871</v>
      </c>
      <c r="X306" s="1243">
        <v>244537154</v>
      </c>
      <c r="Y306" s="1243">
        <v>309274614</v>
      </c>
      <c r="Z306" s="1151">
        <v>312878751</v>
      </c>
      <c r="AA306" s="1151">
        <v>310292425</v>
      </c>
      <c r="AB306" s="34">
        <f t="shared" si="122"/>
        <v>-2586326</v>
      </c>
    </row>
    <row r="307" spans="2:29">
      <c r="B307" s="1158" t="s">
        <v>189</v>
      </c>
      <c r="C307" s="1159" t="s">
        <v>545</v>
      </c>
      <c r="D307" s="1159" t="s">
        <v>545</v>
      </c>
      <c r="E307" s="1159" t="s">
        <v>285</v>
      </c>
      <c r="F307" s="1159"/>
      <c r="G307" s="1159"/>
      <c r="H307" s="1159"/>
      <c r="I307" s="1167" t="s">
        <v>548</v>
      </c>
      <c r="J307" s="1159" t="str">
        <f t="shared" si="127"/>
        <v>lending_cashloan_cashloan_VNPAY_loan_grant_fee</v>
      </c>
      <c r="K307" s="1149"/>
      <c r="L307" s="1240" t="s">
        <v>542</v>
      </c>
      <c r="M307" s="1151">
        <f>SUM(P307:AA307)</f>
        <v>0</v>
      </c>
      <c r="N307" s="1151"/>
      <c r="O307" s="1151"/>
      <c r="P307" s="1243"/>
      <c r="Q307" s="1243"/>
      <c r="R307" s="1243"/>
      <c r="S307" s="1243"/>
      <c r="T307" s="1243"/>
      <c r="U307" s="1151"/>
      <c r="V307" s="1261"/>
      <c r="W307" s="1151"/>
      <c r="X307" s="1151"/>
      <c r="Y307" s="1151"/>
      <c r="Z307" s="1151"/>
      <c r="AA307" s="1151"/>
      <c r="AB307" s="34">
        <f t="shared" si="122"/>
        <v>0</v>
      </c>
    </row>
    <row r="308" spans="2:29">
      <c r="B308" s="1158" t="s">
        <v>189</v>
      </c>
      <c r="C308" s="1159" t="s">
        <v>545</v>
      </c>
      <c r="D308" s="1159" t="s">
        <v>545</v>
      </c>
      <c r="E308" s="1159" t="s">
        <v>285</v>
      </c>
      <c r="F308" s="1159"/>
      <c r="G308" s="1159"/>
      <c r="H308" s="1159"/>
      <c r="I308" s="1168" t="s">
        <v>269</v>
      </c>
      <c r="J308" s="1159" t="str">
        <f t="shared" si="127"/>
        <v>lending_cashloan_cashloan_VNPAY_other_TOI</v>
      </c>
      <c r="K308" s="1149"/>
      <c r="L308" s="1239" t="s">
        <v>89</v>
      </c>
      <c r="M308" s="1154">
        <f>SUM(P308:AA308)</f>
        <v>81697827</v>
      </c>
      <c r="N308" s="1151"/>
      <c r="O308" s="1151"/>
      <c r="P308" s="1243"/>
      <c r="Q308" s="1243"/>
      <c r="R308" s="1243"/>
      <c r="S308" s="1243"/>
      <c r="T308" s="1243"/>
      <c r="U308" s="1151"/>
      <c r="V308" s="1261"/>
      <c r="W308" s="1151"/>
      <c r="X308" s="1151"/>
      <c r="Y308" s="1152">
        <v>11608342</v>
      </c>
      <c r="Z308" s="1152">
        <v>51251609</v>
      </c>
      <c r="AA308" s="1152">
        <v>18837876</v>
      </c>
      <c r="AB308" s="34">
        <f t="shared" si="122"/>
        <v>-32413733</v>
      </c>
    </row>
    <row r="309" spans="2:29" s="4" customFormat="1">
      <c r="B309" s="1158" t="s">
        <v>189</v>
      </c>
      <c r="C309" s="1159" t="s">
        <v>545</v>
      </c>
      <c r="D309" s="1159" t="s">
        <v>545</v>
      </c>
      <c r="E309" s="1163" t="s">
        <v>285</v>
      </c>
      <c r="F309" s="1163"/>
      <c r="G309" s="1163"/>
      <c r="H309" s="1163"/>
      <c r="I309" s="1162" t="s">
        <v>270</v>
      </c>
      <c r="J309" s="1163" t="str">
        <f t="shared" si="127"/>
        <v>lending_cashloan_cashloan_VNPAY_provision</v>
      </c>
      <c r="K309" s="1149"/>
      <c r="L309" s="1245" t="s">
        <v>136</v>
      </c>
      <c r="M309" s="1150">
        <f>SUM(P309:AA309)</f>
        <v>10223139835</v>
      </c>
      <c r="N309" s="1150">
        <v>112500</v>
      </c>
      <c r="O309" s="1262">
        <f>25256847+1872500</f>
        <v>27129347</v>
      </c>
      <c r="P309" s="1262">
        <v>81010333</v>
      </c>
      <c r="Q309" s="1275">
        <v>106609451</v>
      </c>
      <c r="R309" s="1275">
        <f>113491574+23735735</f>
        <v>137227309</v>
      </c>
      <c r="S309" s="1245">
        <v>129313192</v>
      </c>
      <c r="T309" s="1245">
        <v>252157235</v>
      </c>
      <c r="U309" s="1245">
        <f>274265494+113753464</f>
        <v>388018958</v>
      </c>
      <c r="V309" s="1296">
        <v>320756722</v>
      </c>
      <c r="W309" s="1262">
        <v>649431487</v>
      </c>
      <c r="X309" s="1262">
        <f>1321613377+201668210</f>
        <v>1523281587</v>
      </c>
      <c r="Y309" s="1262">
        <v>1752703278</v>
      </c>
      <c r="Z309" s="1150">
        <v>2071477077</v>
      </c>
      <c r="AA309" s="1262">
        <f>2453556433+357596773</f>
        <v>2811153206</v>
      </c>
      <c r="AB309" s="34">
        <f t="shared" si="122"/>
        <v>739676129</v>
      </c>
    </row>
    <row r="310" spans="2:29">
      <c r="B310" s="1158" t="s">
        <v>189</v>
      </c>
      <c r="C310" s="1159" t="s">
        <v>545</v>
      </c>
      <c r="D310" s="1159" t="s">
        <v>545</v>
      </c>
      <c r="E310" s="1159" t="s">
        <v>285</v>
      </c>
      <c r="F310" s="1159"/>
      <c r="G310" s="1159"/>
      <c r="H310" s="1159"/>
      <c r="I310" s="1162" t="s">
        <v>271</v>
      </c>
      <c r="J310" s="1159" t="str">
        <f t="shared" si="127"/>
        <v>lending_cashloan_cashloan_VNPAY_variable_cost</v>
      </c>
      <c r="K310" s="1149"/>
      <c r="L310" s="1245" t="s">
        <v>229</v>
      </c>
      <c r="M310" s="1150">
        <f t="shared" ref="M310:AA310" si="137">SUM(M311:M318)</f>
        <v>5185532971.9306164</v>
      </c>
      <c r="N310" s="1150">
        <f t="shared" si="137"/>
        <v>600972.02164595504</v>
      </c>
      <c r="O310" s="1150">
        <f t="shared" si="137"/>
        <v>120199262.8713603</v>
      </c>
      <c r="P310" s="1150">
        <f t="shared" si="137"/>
        <v>323548146.2732904</v>
      </c>
      <c r="Q310" s="1150">
        <f t="shared" si="137"/>
        <v>285224105.24250007</v>
      </c>
      <c r="R310" s="1150">
        <f t="shared" si="137"/>
        <v>356351781.17032915</v>
      </c>
      <c r="S310" s="1150">
        <f t="shared" si="137"/>
        <v>373353232.10828584</v>
      </c>
      <c r="T310" s="1150">
        <f t="shared" si="137"/>
        <v>488063072.71869594</v>
      </c>
      <c r="U310" s="1150">
        <f t="shared" si="137"/>
        <v>415868223.84310687</v>
      </c>
      <c r="V310" s="1150">
        <f t="shared" si="137"/>
        <v>366815189.57038003</v>
      </c>
      <c r="W310" s="1150">
        <f t="shared" si="137"/>
        <v>385554782.59480095</v>
      </c>
      <c r="X310" s="1150">
        <f t="shared" si="137"/>
        <v>561943860.93779504</v>
      </c>
      <c r="Y310" s="1150">
        <f t="shared" si="137"/>
        <v>559562128.80445743</v>
      </c>
      <c r="Z310" s="1150">
        <f t="shared" si="137"/>
        <v>521570858.54428238</v>
      </c>
      <c r="AA310" s="1150">
        <f t="shared" si="137"/>
        <v>547677590.12269306</v>
      </c>
      <c r="AB310" s="34">
        <f t="shared" si="122"/>
        <v>26106731.578410685</v>
      </c>
    </row>
    <row r="311" spans="2:29" ht="16">
      <c r="B311" s="1158" t="s">
        <v>189</v>
      </c>
      <c r="C311" s="1159" t="s">
        <v>545</v>
      </c>
      <c r="D311" s="1159" t="s">
        <v>545</v>
      </c>
      <c r="E311" s="1159" t="s">
        <v>285</v>
      </c>
      <c r="F311" s="1159"/>
      <c r="G311" s="1159"/>
      <c r="H311" s="1159"/>
      <c r="I311" s="1162" t="s">
        <v>272</v>
      </c>
      <c r="J311" s="1159" t="str">
        <f t="shared" si="127"/>
        <v>lending_cashloan_cashloan_VNPAY_marketing_acquisition_cost</v>
      </c>
      <c r="K311" s="1149"/>
      <c r="L311" s="1246" t="s">
        <v>230</v>
      </c>
      <c r="M311" s="1149">
        <f t="shared" ref="M311" si="138">SUM(P311:AA311)</f>
        <v>0</v>
      </c>
      <c r="N311" s="1147"/>
      <c r="O311" s="1147"/>
      <c r="P311" s="1169"/>
      <c r="Q311" s="1169"/>
      <c r="R311" s="1169"/>
      <c r="S311" s="1147"/>
      <c r="T311" s="1169"/>
      <c r="U311" s="1247"/>
      <c r="V311" s="1149"/>
      <c r="W311" s="1149"/>
      <c r="X311" s="1279"/>
      <c r="Y311" s="1147"/>
      <c r="Z311" s="1147"/>
      <c r="AA311" s="1147"/>
      <c r="AB311" s="34">
        <f t="shared" si="122"/>
        <v>0</v>
      </c>
    </row>
    <row r="312" spans="2:29">
      <c r="B312" s="1158" t="s">
        <v>189</v>
      </c>
      <c r="C312" s="1159" t="s">
        <v>545</v>
      </c>
      <c r="D312" s="1159" t="s">
        <v>545</v>
      </c>
      <c r="E312" s="1159" t="s">
        <v>285</v>
      </c>
      <c r="F312" s="1159"/>
      <c r="G312" s="1159"/>
      <c r="H312" s="1159"/>
      <c r="I312" s="1162" t="s">
        <v>273</v>
      </c>
      <c r="J312" s="1159" t="str">
        <f t="shared" ref="J312:J319" si="139">B312&amp;"_"&amp;C312&amp;"_"&amp;D312&amp;"_"&amp;E312&amp;"_"&amp;I312</f>
        <v>lending_cashloan_cashloan_VNPAY_partner_acquisition_cost</v>
      </c>
      <c r="K312" s="1149"/>
      <c r="L312" s="1246" t="s">
        <v>231</v>
      </c>
      <c r="M312" s="1149">
        <f>SUM(P312:AA312)</f>
        <v>3639680000</v>
      </c>
      <c r="N312" s="1253"/>
      <c r="O312" s="1169">
        <v>64020000</v>
      </c>
      <c r="P312" s="1248">
        <v>194240000</v>
      </c>
      <c r="Q312" s="1247">
        <v>175860000</v>
      </c>
      <c r="R312" s="1169">
        <v>225240000</v>
      </c>
      <c r="S312" s="1169">
        <v>256840000</v>
      </c>
      <c r="T312" s="1169">
        <v>360460000</v>
      </c>
      <c r="U312" s="1169">
        <v>308640000</v>
      </c>
      <c r="V312" s="1290">
        <v>252640000</v>
      </c>
      <c r="W312" s="1290">
        <f>256720000</f>
        <v>256720000</v>
      </c>
      <c r="X312" s="1290">
        <v>400260000</v>
      </c>
      <c r="Y312" s="1290">
        <v>422980000</v>
      </c>
      <c r="Z312" s="1290">
        <v>372940000</v>
      </c>
      <c r="AA312" s="1290">
        <v>412860000</v>
      </c>
      <c r="AB312" s="34">
        <f t="shared" si="122"/>
        <v>39920000</v>
      </c>
    </row>
    <row r="313" spans="2:29">
      <c r="B313" s="1158" t="s">
        <v>189</v>
      </c>
      <c r="C313" s="1159" t="s">
        <v>545</v>
      </c>
      <c r="D313" s="1159" t="s">
        <v>545</v>
      </c>
      <c r="E313" s="1159" t="s">
        <v>285</v>
      </c>
      <c r="F313" s="1159"/>
      <c r="G313" s="1159"/>
      <c r="H313" s="1159"/>
      <c r="I313" s="1162" t="s">
        <v>274</v>
      </c>
      <c r="J313" s="1159" t="str">
        <f t="shared" si="139"/>
        <v>lending_cashloan_cashloan_VNPAY_underwritting</v>
      </c>
      <c r="K313" s="1149"/>
      <c r="L313" s="1246" t="s">
        <v>232</v>
      </c>
      <c r="M313" s="1149">
        <f>SUM(P313:AA313)</f>
        <v>1131401207.0598309</v>
      </c>
      <c r="N313" s="1149">
        <v>521153.49940516561</v>
      </c>
      <c r="O313" s="1149">
        <v>55669332.661404923</v>
      </c>
      <c r="P313" s="1265">
        <v>120577141.97214486</v>
      </c>
      <c r="Q313" s="1265">
        <v>96229759.626769289</v>
      </c>
      <c r="R313" s="1265">
        <v>108857807.61882974</v>
      </c>
      <c r="S313" s="1265">
        <v>83812097.947375119</v>
      </c>
      <c r="T313" s="1265">
        <v>83933042.729405954</v>
      </c>
      <c r="U313" s="1265">
        <v>82349894.702671915</v>
      </c>
      <c r="V313" s="1149">
        <v>77686164.573145345</v>
      </c>
      <c r="W313" s="1149">
        <v>90450014.602111533</v>
      </c>
      <c r="X313" s="1149">
        <v>114524388.14063516</v>
      </c>
      <c r="Y313" s="1149">
        <v>95580911.614676833</v>
      </c>
      <c r="Z313" s="1149">
        <v>93154244.487965226</v>
      </c>
      <c r="AA313" s="1149">
        <v>84245739.044099838</v>
      </c>
      <c r="AB313" s="34">
        <f t="shared" si="122"/>
        <v>-8908505.4438653886</v>
      </c>
    </row>
    <row r="314" spans="2:29">
      <c r="B314" s="1158" t="s">
        <v>189</v>
      </c>
      <c r="C314" s="1159" t="s">
        <v>545</v>
      </c>
      <c r="D314" s="1159" t="s">
        <v>545</v>
      </c>
      <c r="E314" s="1159" t="s">
        <v>285</v>
      </c>
      <c r="F314" s="1159"/>
      <c r="G314" s="1159"/>
      <c r="H314" s="1159"/>
      <c r="I314" s="1162" t="s">
        <v>275</v>
      </c>
      <c r="J314" s="1159" t="str">
        <f t="shared" si="139"/>
        <v>lending_cashloan_cashloan_VNPAY_e_contract</v>
      </c>
      <c r="K314" s="1149"/>
      <c r="L314" s="1246" t="s">
        <v>233</v>
      </c>
      <c r="M314" s="1149">
        <f>SUM(P314:AA314)</f>
        <v>14666540</v>
      </c>
      <c r="N314" s="1149">
        <v>2891</v>
      </c>
      <c r="O314" s="1149">
        <v>247844</v>
      </c>
      <c r="P314" s="1169">
        <v>688605</v>
      </c>
      <c r="Q314" s="1253">
        <v>678288</v>
      </c>
      <c r="R314" s="1253">
        <v>868805</v>
      </c>
      <c r="S314" s="1253">
        <v>2475152</v>
      </c>
      <c r="T314" s="1253">
        <v>1142515</v>
      </c>
      <c r="U314" s="1247">
        <v>1102528</v>
      </c>
      <c r="V314" s="1149">
        <v>1136859</v>
      </c>
      <c r="W314" s="1149">
        <v>2046600</v>
      </c>
      <c r="X314" s="1149">
        <v>1387867</v>
      </c>
      <c r="Y314" s="1149">
        <v>1086785</v>
      </c>
      <c r="Z314" s="1149">
        <v>1024658</v>
      </c>
      <c r="AA314" s="1149">
        <v>1027878</v>
      </c>
      <c r="AB314" s="34">
        <f t="shared" si="122"/>
        <v>3220</v>
      </c>
    </row>
    <row r="315" spans="2:29">
      <c r="B315" s="1158" t="s">
        <v>189</v>
      </c>
      <c r="C315" s="1159" t="s">
        <v>545</v>
      </c>
      <c r="D315" s="1159" t="s">
        <v>545</v>
      </c>
      <c r="E315" s="1159" t="s">
        <v>285</v>
      </c>
      <c r="F315" s="1159"/>
      <c r="G315" s="1159"/>
      <c r="H315" s="1159"/>
      <c r="I315" s="1162" t="s">
        <v>276</v>
      </c>
      <c r="J315" s="1159" t="str">
        <f t="shared" si="139"/>
        <v>lending_cashloan_cashloan_VNPAY_nfc</v>
      </c>
      <c r="K315" s="1149"/>
      <c r="L315" s="1246" t="s">
        <v>152</v>
      </c>
      <c r="M315" s="1149">
        <f>SUM(P315:AA315)</f>
        <v>29902081.078601219</v>
      </c>
      <c r="N315" s="1149"/>
      <c r="O315" s="1149"/>
      <c r="P315" s="1169">
        <v>3226617.2633738262</v>
      </c>
      <c r="Q315" s="1169">
        <v>2228510.5817452357</v>
      </c>
      <c r="R315" s="1169">
        <v>2973087.1336669051</v>
      </c>
      <c r="S315" s="1169">
        <v>2593568.7837629262</v>
      </c>
      <c r="T315" s="1169">
        <v>3359226.861089793</v>
      </c>
      <c r="U315" s="1169">
        <v>2681118.8103531902</v>
      </c>
      <c r="V315" s="1149">
        <v>1994569.5302344717</v>
      </c>
      <c r="W315" s="1149">
        <v>2001166.1941053239</v>
      </c>
      <c r="X315" s="1149">
        <v>2212450.7042034813</v>
      </c>
      <c r="Y315" s="1149">
        <v>2277937.9538506637</v>
      </c>
      <c r="Z315" s="1149">
        <v>1971115.7230559343</v>
      </c>
      <c r="AA315" s="1149">
        <v>2382711.5391594688</v>
      </c>
      <c r="AB315" s="34">
        <f t="shared" si="122"/>
        <v>411595.81610353454</v>
      </c>
    </row>
    <row r="316" spans="2:29">
      <c r="B316" s="1158" t="s">
        <v>189</v>
      </c>
      <c r="C316" s="1159" t="s">
        <v>545</v>
      </c>
      <c r="D316" s="1159" t="s">
        <v>545</v>
      </c>
      <c r="E316" s="1159" t="s">
        <v>285</v>
      </c>
      <c r="F316" s="1159"/>
      <c r="G316" s="1159"/>
      <c r="H316" s="1159"/>
      <c r="I316" s="1162" t="s">
        <v>277</v>
      </c>
      <c r="J316" s="1159" t="str">
        <f t="shared" si="139"/>
        <v>lending_cashloan_cashloan_VNPAY_collection</v>
      </c>
      <c r="K316" s="1149"/>
      <c r="L316" s="1246" t="s">
        <v>234</v>
      </c>
      <c r="M316" s="1149">
        <f>SUM(P316:AA316)</f>
        <v>296671903.83394915</v>
      </c>
      <c r="N316" s="1149"/>
      <c r="O316" s="1149">
        <v>26497.961394791539</v>
      </c>
      <c r="P316" s="1169">
        <v>2610537.9327554372</v>
      </c>
      <c r="Q316" s="1169">
        <v>7838821.8612268837</v>
      </c>
      <c r="R316" s="1169">
        <v>14712763.023084991</v>
      </c>
      <c r="S316" s="1169">
        <v>22607421.427433442</v>
      </c>
      <c r="T316" s="1169">
        <v>33222017.57826655</v>
      </c>
      <c r="U316" s="1169">
        <v>15254067.499040067</v>
      </c>
      <c r="V316" s="1169">
        <v>26384270</v>
      </c>
      <c r="W316" s="1149">
        <v>28243358.099496733</v>
      </c>
      <c r="X316" s="1149">
        <v>35215308.202021591</v>
      </c>
      <c r="Y316" s="1149">
        <v>28426097.342375379</v>
      </c>
      <c r="Z316" s="1149">
        <v>43427798.622516707</v>
      </c>
      <c r="AA316" s="1149">
        <v>38729442.245731339</v>
      </c>
      <c r="AB316" s="34">
        <f t="shared" si="122"/>
        <v>-4698356.3767853677</v>
      </c>
    </row>
    <row r="317" spans="2:29">
      <c r="B317" s="1158" t="s">
        <v>189</v>
      </c>
      <c r="C317" s="1159" t="s">
        <v>545</v>
      </c>
      <c r="D317" s="1159" t="s">
        <v>545</v>
      </c>
      <c r="E317" s="1159" t="s">
        <v>285</v>
      </c>
      <c r="F317" s="1159"/>
      <c r="G317" s="1159"/>
      <c r="H317" s="1159"/>
      <c r="I317" s="1162" t="s">
        <v>278</v>
      </c>
      <c r="J317" s="1159" t="str">
        <f t="shared" si="139"/>
        <v>lending_cashloan_cashloan_VNPAY_promotion</v>
      </c>
      <c r="K317" s="1149"/>
      <c r="L317" s="1246" t="s">
        <v>235</v>
      </c>
      <c r="M317" s="1149"/>
      <c r="N317" s="1149"/>
      <c r="O317" s="1149"/>
      <c r="P317" s="1169"/>
      <c r="Q317" s="1253"/>
      <c r="R317" s="1253"/>
      <c r="S317" s="1253"/>
      <c r="T317" s="1253"/>
      <c r="U317" s="1247"/>
      <c r="V317" s="1149"/>
      <c r="W317" s="1149"/>
      <c r="X317" s="1149"/>
      <c r="Y317" s="1149"/>
      <c r="Z317" s="1149"/>
      <c r="AA317" s="1149"/>
      <c r="AB317" s="34">
        <f t="shared" si="122"/>
        <v>0</v>
      </c>
    </row>
    <row r="318" spans="2:29">
      <c r="B318" s="1158" t="s">
        <v>189</v>
      </c>
      <c r="C318" s="1159" t="s">
        <v>545</v>
      </c>
      <c r="D318" s="1159" t="s">
        <v>545</v>
      </c>
      <c r="E318" s="1159" t="s">
        <v>285</v>
      </c>
      <c r="F318" s="1159"/>
      <c r="G318" s="1159"/>
      <c r="H318" s="1159"/>
      <c r="I318" s="1162" t="s">
        <v>279</v>
      </c>
      <c r="J318" s="1159" t="str">
        <f t="shared" si="139"/>
        <v>lending_cashloan_cashloan_VNPAY_sms</v>
      </c>
      <c r="K318" s="1149"/>
      <c r="L318" s="1249" t="s">
        <v>163</v>
      </c>
      <c r="M318" s="1149">
        <f>SUM(P318:AA318)</f>
        <v>73211239.958236203</v>
      </c>
      <c r="N318" s="1247">
        <v>76927.522240789374</v>
      </c>
      <c r="O318" s="1247">
        <v>235588.24856059981</v>
      </c>
      <c r="P318" s="1247">
        <v>2205244.1050162702</v>
      </c>
      <c r="Q318" s="1247">
        <v>2388725.1727587255</v>
      </c>
      <c r="R318" s="1247">
        <v>3699318.3947474966</v>
      </c>
      <c r="S318" s="1247">
        <v>5024991.9497143906</v>
      </c>
      <c r="T318" s="1247">
        <v>5946270.5499336626</v>
      </c>
      <c r="U318" s="1265">
        <v>5840614.8310417021</v>
      </c>
      <c r="V318" s="1149">
        <v>6973326.4670002284</v>
      </c>
      <c r="W318" s="1149">
        <v>6093643.6990873571</v>
      </c>
      <c r="X318" s="1149">
        <v>8343846.8909348538</v>
      </c>
      <c r="Y318" s="1149">
        <v>9210396.8935545366</v>
      </c>
      <c r="Z318" s="1149">
        <v>9053041.7107444834</v>
      </c>
      <c r="AA318" s="1149">
        <v>8431819.2937025018</v>
      </c>
      <c r="AB318" s="34">
        <f t="shared" si="122"/>
        <v>-621222.41704198159</v>
      </c>
    </row>
    <row r="319" spans="2:29">
      <c r="B319" s="1158" t="s">
        <v>189</v>
      </c>
      <c r="C319" s="1159" t="s">
        <v>545</v>
      </c>
      <c r="D319" s="1159" t="s">
        <v>545</v>
      </c>
      <c r="E319" s="1159" t="s">
        <v>285</v>
      </c>
      <c r="F319" s="1159" t="str">
        <f>E319&amp;"CL"</f>
        <v>VNPAYCL</v>
      </c>
      <c r="G319" s="1159" t="str">
        <f>L319&amp;F319</f>
        <v>Profit before allocation costVNPAYCL</v>
      </c>
      <c r="H319" s="1408" t="str">
        <f>L319&amp;E319</f>
        <v>Profit before allocation costVNPAY</v>
      </c>
      <c r="I319" s="1162" t="s">
        <v>280</v>
      </c>
      <c r="J319" s="1159" t="str">
        <f t="shared" si="139"/>
        <v>lending_cashloan_cashloan_VNPAY_profit_before_overhead</v>
      </c>
      <c r="K319" s="1149"/>
      <c r="L319" s="1359" t="s">
        <v>236</v>
      </c>
      <c r="M319" s="1359">
        <f t="shared" ref="M319:AA319" si="140">M298-M309-M310</f>
        <v>15803765714.875383</v>
      </c>
      <c r="N319" s="1359">
        <f t="shared" si="140"/>
        <v>-521691.02164595504</v>
      </c>
      <c r="O319" s="1359">
        <f t="shared" si="140"/>
        <v>37748190.128639698</v>
      </c>
      <c r="P319" s="1359">
        <f t="shared" si="140"/>
        <v>318518095.7267096</v>
      </c>
      <c r="Q319" s="1359">
        <f t="shared" si="140"/>
        <v>520376517.75749993</v>
      </c>
      <c r="R319" s="1359">
        <f t="shared" si="140"/>
        <v>893115407.6356709</v>
      </c>
      <c r="S319" s="1359">
        <f t="shared" si="140"/>
        <v>1246975256.8917141</v>
      </c>
      <c r="T319" s="1359">
        <f t="shared" si="140"/>
        <v>1650182509.2813041</v>
      </c>
      <c r="U319" s="1359">
        <f t="shared" si="140"/>
        <v>1809680209.1568933</v>
      </c>
      <c r="V319" s="1359">
        <f t="shared" si="140"/>
        <v>2060109072.42962</v>
      </c>
      <c r="W319" s="1359">
        <f t="shared" si="140"/>
        <v>1993683259.4051991</v>
      </c>
      <c r="X319" s="1359">
        <f t="shared" si="140"/>
        <v>1396331594.0622048</v>
      </c>
      <c r="Y319" s="1359">
        <f t="shared" si="140"/>
        <v>1608406855.1955426</v>
      </c>
      <c r="Z319" s="1359">
        <f t="shared" si="140"/>
        <v>1422812362.4557176</v>
      </c>
      <c r="AA319" s="1359">
        <f t="shared" si="140"/>
        <v>883574574.87730694</v>
      </c>
      <c r="AB319" s="34">
        <f t="shared" si="122"/>
        <v>-539237787.57841063</v>
      </c>
      <c r="AC319" s="34">
        <f>SUM(P319:AA319)</f>
        <v>15803765714.875381</v>
      </c>
    </row>
    <row r="320" spans="2:29">
      <c r="B320" s="1158"/>
      <c r="C320" s="1159"/>
      <c r="D320" s="1159"/>
      <c r="E320" s="1159"/>
      <c r="F320" s="1159"/>
      <c r="G320" s="1159"/>
      <c r="H320" s="1159"/>
      <c r="I320" s="1160"/>
      <c r="J320" s="1159"/>
      <c r="K320" s="1149"/>
      <c r="L320" s="1153"/>
      <c r="M320" s="1150"/>
      <c r="N320" s="1150"/>
      <c r="O320" s="1150"/>
      <c r="P320" s="1150"/>
      <c r="Q320" s="1150"/>
      <c r="R320" s="1150"/>
      <c r="S320" s="1150"/>
      <c r="T320" s="1150"/>
      <c r="U320" s="1150"/>
      <c r="V320" s="1150"/>
      <c r="W320" s="1150"/>
      <c r="X320" s="1150"/>
      <c r="Y320" s="1150"/>
      <c r="Z320" s="1150"/>
      <c r="AA320" s="1150"/>
      <c r="AB320" s="34">
        <f t="shared" si="122"/>
        <v>0</v>
      </c>
    </row>
    <row r="321" spans="2:29">
      <c r="B321" s="1158" t="s">
        <v>189</v>
      </c>
      <c r="C321" s="1159"/>
      <c r="D321" s="1159"/>
      <c r="E321" s="1159"/>
      <c r="F321" s="1159"/>
      <c r="G321" s="1159"/>
      <c r="H321" s="1159"/>
      <c r="I321" s="1159"/>
      <c r="J321" s="1159" t="str">
        <f t="shared" ref="J321:J351" si="141">B321&amp;"_"&amp;C321&amp;"_"&amp;D321&amp;"_"&amp;E321&amp;"_"&amp;I321</f>
        <v>lending____</v>
      </c>
      <c r="K321" s="1149"/>
      <c r="L321" s="1146" t="s">
        <v>556</v>
      </c>
      <c r="M321" s="1146"/>
      <c r="N321" s="1146"/>
      <c r="O321" s="1146"/>
      <c r="P321" s="1146"/>
      <c r="Q321" s="1146"/>
      <c r="R321" s="1146"/>
      <c r="S321" s="1146"/>
      <c r="T321" s="1146"/>
      <c r="U321" s="1146"/>
      <c r="V321" s="1146"/>
      <c r="W321" s="1146"/>
      <c r="X321" s="1146"/>
      <c r="Y321" s="1146"/>
      <c r="Z321" s="1146"/>
      <c r="AA321" s="1146"/>
      <c r="AB321" s="34">
        <f t="shared" si="122"/>
        <v>0</v>
      </c>
    </row>
    <row r="322" spans="2:29">
      <c r="B322" s="1158" t="s">
        <v>189</v>
      </c>
      <c r="C322" s="1159" t="s">
        <v>545</v>
      </c>
      <c r="D322" s="1159" t="s">
        <v>545</v>
      </c>
      <c r="E322" s="1159" t="s">
        <v>329</v>
      </c>
      <c r="F322" s="1159"/>
      <c r="G322" s="1159"/>
      <c r="H322" s="1159"/>
      <c r="I322" s="1162" t="s">
        <v>239</v>
      </c>
      <c r="J322" s="1159" t="str">
        <f t="shared" si="141"/>
        <v>lending_cashloan_cashloan_ZALOPAY_new_account</v>
      </c>
      <c r="K322" s="1149"/>
      <c r="L322" s="1148" t="s">
        <v>193</v>
      </c>
      <c r="M322" s="1149">
        <f>SUM(P322:AA322)</f>
        <v>51601</v>
      </c>
      <c r="N322" s="1169"/>
      <c r="O322" s="1169"/>
      <c r="P322" s="1169"/>
      <c r="Q322" s="1267"/>
      <c r="R322" s="1169">
        <v>3</v>
      </c>
      <c r="S322" s="1169"/>
      <c r="T322" s="1169">
        <v>2949</v>
      </c>
      <c r="U322" s="1169">
        <v>4759</v>
      </c>
      <c r="V322" s="1169">
        <v>6515</v>
      </c>
      <c r="W322" s="1169">
        <v>5840</v>
      </c>
      <c r="X322" s="1169">
        <v>5356</v>
      </c>
      <c r="Y322" s="1169">
        <v>9572</v>
      </c>
      <c r="Z322" s="1169">
        <v>7904</v>
      </c>
      <c r="AA322" s="1169">
        <v>8703</v>
      </c>
      <c r="AB322" s="34">
        <f t="shared" si="122"/>
        <v>799</v>
      </c>
    </row>
    <row r="323" spans="2:29">
      <c r="B323" s="1158" t="s">
        <v>189</v>
      </c>
      <c r="C323" s="1159" t="s">
        <v>545</v>
      </c>
      <c r="D323" s="1159" t="s">
        <v>545</v>
      </c>
      <c r="E323" s="1159" t="s">
        <v>329</v>
      </c>
      <c r="F323" s="1159"/>
      <c r="G323" s="1159"/>
      <c r="H323" s="1159"/>
      <c r="I323" s="1148" t="s">
        <v>527</v>
      </c>
      <c r="J323" s="1159" t="str">
        <f t="shared" si="141"/>
        <v>lending_cashloan_cashloan_ZALOPAY_Repeat account</v>
      </c>
      <c r="K323" s="1149"/>
      <c r="L323" s="1148" t="s">
        <v>527</v>
      </c>
      <c r="M323" s="1149"/>
      <c r="N323" s="1169"/>
      <c r="O323" s="1169"/>
      <c r="P323" s="1169"/>
      <c r="Q323" s="1267"/>
      <c r="R323" s="1169"/>
      <c r="S323" s="1169"/>
      <c r="T323" s="1169">
        <v>38</v>
      </c>
      <c r="U323" s="1169">
        <v>91</v>
      </c>
      <c r="V323" s="1169">
        <v>213</v>
      </c>
      <c r="W323" s="1169">
        <v>434</v>
      </c>
      <c r="X323" s="1169">
        <v>1044</v>
      </c>
      <c r="Y323" s="1290">
        <v>1106</v>
      </c>
      <c r="Z323" s="1169">
        <v>935</v>
      </c>
      <c r="AA323" s="1169">
        <v>882</v>
      </c>
      <c r="AB323" s="34">
        <f t="shared" si="122"/>
        <v>-53</v>
      </c>
    </row>
    <row r="324" spans="2:29">
      <c r="B324" s="1158" t="s">
        <v>189</v>
      </c>
      <c r="C324" s="1159" t="s">
        <v>545</v>
      </c>
      <c r="D324" s="1159" t="s">
        <v>545</v>
      </c>
      <c r="E324" s="1159" t="s">
        <v>329</v>
      </c>
      <c r="F324" s="1159"/>
      <c r="G324" s="1159"/>
      <c r="H324" s="1159"/>
      <c r="I324" s="1162" t="s">
        <v>241</v>
      </c>
      <c r="J324" s="1159" t="str">
        <f t="shared" si="141"/>
        <v>lending_cashloan_cashloan_ZALOPAY_active_account</v>
      </c>
      <c r="K324" s="1149"/>
      <c r="L324" s="1148" t="s">
        <v>194</v>
      </c>
      <c r="M324" s="1149">
        <f>SUM(P324:AA324)</f>
        <v>163693</v>
      </c>
      <c r="N324" s="1169"/>
      <c r="O324" s="1169"/>
      <c r="P324" s="1169"/>
      <c r="Q324" s="1267"/>
      <c r="R324" s="1267">
        <v>2</v>
      </c>
      <c r="S324" s="1169"/>
      <c r="T324" s="1169">
        <v>2862</v>
      </c>
      <c r="U324" s="1169">
        <v>7243</v>
      </c>
      <c r="V324" s="1169">
        <v>13144</v>
      </c>
      <c r="W324" s="1169">
        <v>17888</v>
      </c>
      <c r="X324" s="1169">
        <v>21762</v>
      </c>
      <c r="Y324" s="1169">
        <v>29191</v>
      </c>
      <c r="Z324" s="1169">
        <v>33995</v>
      </c>
      <c r="AA324" s="1169">
        <v>37606</v>
      </c>
      <c r="AB324" s="34">
        <f t="shared" si="122"/>
        <v>3611</v>
      </c>
    </row>
    <row r="325" spans="2:29">
      <c r="B325" s="1158" t="s">
        <v>189</v>
      </c>
      <c r="C325" s="1159" t="s">
        <v>545</v>
      </c>
      <c r="D325" s="1159" t="s">
        <v>545</v>
      </c>
      <c r="E325" s="1159" t="s">
        <v>329</v>
      </c>
      <c r="F325" s="1159" t="str">
        <f>E325&amp;"CL"</f>
        <v>ZALOPAYCL</v>
      </c>
      <c r="G325" s="1159" t="str">
        <f>L325&amp;F325</f>
        <v>DisbursementZALOPAYCL</v>
      </c>
      <c r="H325" s="1408" t="str">
        <f>L325&amp;E325</f>
        <v>DisbursementZALOPAY</v>
      </c>
      <c r="I325" s="1162" t="s">
        <v>242</v>
      </c>
      <c r="J325" s="1159" t="str">
        <f t="shared" si="141"/>
        <v>lending_cashloan_cashloan_ZALOPAY_disburse/spend</v>
      </c>
      <c r="K325" s="1149"/>
      <c r="L325" s="1169" t="s">
        <v>80</v>
      </c>
      <c r="M325" s="1149">
        <f>SUM(P325:AA325)</f>
        <v>674238630000</v>
      </c>
      <c r="N325" s="1149"/>
      <c r="O325" s="1149"/>
      <c r="P325" s="1149"/>
      <c r="Q325" s="1169"/>
      <c r="R325" s="1169">
        <v>20330000</v>
      </c>
      <c r="S325" s="1169"/>
      <c r="T325" s="1169">
        <v>29177000000</v>
      </c>
      <c r="U325" s="1169">
        <v>47654460000</v>
      </c>
      <c r="V325" s="1290">
        <v>87997150000</v>
      </c>
      <c r="W325" s="1169">
        <v>83818310000</v>
      </c>
      <c r="X325" s="1169">
        <v>83034230000</v>
      </c>
      <c r="Y325" s="1169">
        <v>126424860000</v>
      </c>
      <c r="Z325" s="1149">
        <v>98531400000</v>
      </c>
      <c r="AA325" s="1149">
        <v>117580890000</v>
      </c>
      <c r="AB325" s="34">
        <f t="shared" ref="AB325:AB388" si="142">AA325-Z325</f>
        <v>19049490000</v>
      </c>
      <c r="AC325" s="34">
        <f>SUM(P325:AA325)</f>
        <v>674238630000</v>
      </c>
    </row>
    <row r="326" spans="2:29">
      <c r="B326" s="1158" t="s">
        <v>189</v>
      </c>
      <c r="C326" s="1159" t="s">
        <v>545</v>
      </c>
      <c r="D326" s="1159" t="s">
        <v>545</v>
      </c>
      <c r="E326" s="1159" t="s">
        <v>329</v>
      </c>
      <c r="F326" s="1159"/>
      <c r="G326" s="1159"/>
      <c r="H326" s="1159"/>
      <c r="I326" s="1160"/>
      <c r="J326" s="1159" t="str">
        <f t="shared" si="141"/>
        <v>lending_cashloan_cashloan_ZALOPAY_</v>
      </c>
      <c r="K326" s="1149"/>
      <c r="L326" s="1169" t="s">
        <v>528</v>
      </c>
      <c r="M326" s="1149">
        <f>SUM(P326:AA326)</f>
        <v>327990310000</v>
      </c>
      <c r="N326" s="1149"/>
      <c r="O326" s="1149"/>
      <c r="P326" s="1169"/>
      <c r="Q326" s="1169"/>
      <c r="R326" s="1169">
        <v>20330000</v>
      </c>
      <c r="S326" s="1169"/>
      <c r="T326" s="1169"/>
      <c r="U326" s="1169">
        <v>17310460000</v>
      </c>
      <c r="V326" s="1290">
        <v>41865890000</v>
      </c>
      <c r="W326" s="1169">
        <v>42193310000</v>
      </c>
      <c r="X326" s="1169">
        <v>43751230000</v>
      </c>
      <c r="Y326" s="1149">
        <v>38883800000</v>
      </c>
      <c r="Z326" s="1149">
        <v>67431400000</v>
      </c>
      <c r="AA326" s="1149">
        <v>76533890000</v>
      </c>
      <c r="AB326" s="34">
        <f t="shared" si="142"/>
        <v>9102490000</v>
      </c>
    </row>
    <row r="327" spans="2:29">
      <c r="B327" s="1158" t="s">
        <v>189</v>
      </c>
      <c r="C327" s="1159" t="s">
        <v>545</v>
      </c>
      <c r="D327" s="1159" t="s">
        <v>545</v>
      </c>
      <c r="E327" s="1159" t="s">
        <v>329</v>
      </c>
      <c r="F327" s="1159"/>
      <c r="G327" s="1159"/>
      <c r="H327" s="1159"/>
      <c r="I327" s="1160"/>
      <c r="J327" s="1159" t="str">
        <f t="shared" si="141"/>
        <v>lending_cashloan_cashloan_ZALOPAY_</v>
      </c>
      <c r="K327" s="1149"/>
      <c r="L327" s="1169" t="s">
        <v>529</v>
      </c>
      <c r="M327" s="1149">
        <f>SUM(P327:AA327)</f>
        <v>346248320000</v>
      </c>
      <c r="N327" s="1149">
        <f t="shared" ref="N327:AA327" si="143">N325-N326</f>
        <v>0</v>
      </c>
      <c r="O327" s="1149">
        <f t="shared" si="143"/>
        <v>0</v>
      </c>
      <c r="P327" s="1149">
        <f t="shared" si="143"/>
        <v>0</v>
      </c>
      <c r="Q327" s="1149">
        <f t="shared" si="143"/>
        <v>0</v>
      </c>
      <c r="R327" s="1149">
        <f t="shared" si="143"/>
        <v>0</v>
      </c>
      <c r="S327" s="1149">
        <f t="shared" si="143"/>
        <v>0</v>
      </c>
      <c r="T327" s="1149">
        <f t="shared" si="143"/>
        <v>29177000000</v>
      </c>
      <c r="U327" s="1149">
        <f t="shared" si="143"/>
        <v>30344000000</v>
      </c>
      <c r="V327" s="1149">
        <f t="shared" si="143"/>
        <v>46131260000</v>
      </c>
      <c r="W327" s="1149">
        <f t="shared" si="143"/>
        <v>41625000000</v>
      </c>
      <c r="X327" s="1149">
        <f t="shared" si="143"/>
        <v>39283000000</v>
      </c>
      <c r="Y327" s="1149">
        <f t="shared" si="143"/>
        <v>87541060000</v>
      </c>
      <c r="Z327" s="1149">
        <f t="shared" si="143"/>
        <v>31100000000</v>
      </c>
      <c r="AA327" s="1149">
        <f t="shared" si="143"/>
        <v>41047000000</v>
      </c>
      <c r="AB327" s="34">
        <f t="shared" si="142"/>
        <v>9947000000</v>
      </c>
    </row>
    <row r="328" spans="2:29">
      <c r="B328" s="1158" t="s">
        <v>189</v>
      </c>
      <c r="C328" s="1159" t="s">
        <v>545</v>
      </c>
      <c r="D328" s="1159" t="s">
        <v>545</v>
      </c>
      <c r="E328" s="1159" t="s">
        <v>329</v>
      </c>
      <c r="F328" s="1159"/>
      <c r="G328" s="1159"/>
      <c r="H328" s="1159"/>
      <c r="I328" s="1162" t="s">
        <v>243</v>
      </c>
      <c r="J328" s="1159" t="str">
        <f t="shared" si="141"/>
        <v>lending_cashloan_cashloan_ZALOPAY_ENR</v>
      </c>
      <c r="K328" s="1149"/>
      <c r="L328" s="1169" t="s">
        <v>530</v>
      </c>
      <c r="M328" s="1149">
        <f>AA328</f>
        <v>466276829515</v>
      </c>
      <c r="N328" s="1169"/>
      <c r="O328" s="1149"/>
      <c r="P328" s="1169"/>
      <c r="Q328" s="1273"/>
      <c r="R328" s="1169">
        <v>9630000</v>
      </c>
      <c r="S328" s="1169">
        <v>8294394</v>
      </c>
      <c r="T328" s="1169">
        <v>28358115388</v>
      </c>
      <c r="U328" s="1169">
        <v>70729974420</v>
      </c>
      <c r="V328" s="1169">
        <v>147333061236</v>
      </c>
      <c r="W328" s="1254">
        <v>210389493640</v>
      </c>
      <c r="X328" s="1169">
        <v>265187908930</v>
      </c>
      <c r="Y328" s="1169">
        <v>354053782593</v>
      </c>
      <c r="Z328" s="1169">
        <v>405762171754</v>
      </c>
      <c r="AA328" s="1149">
        <v>466276829515</v>
      </c>
      <c r="AB328" s="34">
        <f t="shared" si="142"/>
        <v>60514657761</v>
      </c>
    </row>
    <row r="329" spans="2:29">
      <c r="B329" s="1158" t="s">
        <v>189</v>
      </c>
      <c r="C329" s="1159" t="s">
        <v>545</v>
      </c>
      <c r="D329" s="1159" t="s">
        <v>545</v>
      </c>
      <c r="E329" s="1159" t="s">
        <v>329</v>
      </c>
      <c r="F329" s="1159"/>
      <c r="G329" s="1159"/>
      <c r="H329" s="1159"/>
      <c r="I329" s="1160"/>
      <c r="J329" s="1159" t="str">
        <f t="shared" si="141"/>
        <v>lending_cashloan_cashloan_ZALOPAY_</v>
      </c>
      <c r="K329" s="1149"/>
      <c r="L329" s="1235" t="s">
        <v>531</v>
      </c>
      <c r="M329" s="1149">
        <f>AA329</f>
        <v>459964651480</v>
      </c>
      <c r="N329" s="1273">
        <f t="shared" ref="N329:AA329" si="144">N328-N330</f>
        <v>0</v>
      </c>
      <c r="O329" s="1273">
        <f t="shared" si="144"/>
        <v>0</v>
      </c>
      <c r="P329" s="1273">
        <f t="shared" si="144"/>
        <v>0</v>
      </c>
      <c r="Q329" s="1273">
        <f t="shared" si="144"/>
        <v>0</v>
      </c>
      <c r="R329" s="1273">
        <f t="shared" si="144"/>
        <v>9630000</v>
      </c>
      <c r="S329" s="1273">
        <f t="shared" si="144"/>
        <v>8294394</v>
      </c>
      <c r="T329" s="1273">
        <f t="shared" si="144"/>
        <v>28358115388</v>
      </c>
      <c r="U329" s="1273">
        <f t="shared" si="144"/>
        <v>70657197036</v>
      </c>
      <c r="V329" s="1273">
        <f t="shared" si="144"/>
        <v>147102039794</v>
      </c>
      <c r="W329" s="1273">
        <f t="shared" si="144"/>
        <v>209727481424</v>
      </c>
      <c r="X329" s="1273">
        <f t="shared" si="144"/>
        <v>263791613900</v>
      </c>
      <c r="Y329" s="1273">
        <f t="shared" si="144"/>
        <v>351571110481</v>
      </c>
      <c r="Z329" s="1273">
        <f t="shared" si="144"/>
        <v>401387916998</v>
      </c>
      <c r="AA329" s="1273">
        <f t="shared" si="144"/>
        <v>459964651480</v>
      </c>
      <c r="AB329" s="34">
        <f t="shared" si="142"/>
        <v>58576734482</v>
      </c>
    </row>
    <row r="330" spans="2:29">
      <c r="B330" s="1158" t="s">
        <v>189</v>
      </c>
      <c r="C330" s="1159" t="s">
        <v>545</v>
      </c>
      <c r="D330" s="1159" t="s">
        <v>545</v>
      </c>
      <c r="E330" s="1159" t="s">
        <v>329</v>
      </c>
      <c r="F330" s="1159"/>
      <c r="G330" s="1159"/>
      <c r="H330" s="1159"/>
      <c r="I330" s="1160"/>
      <c r="J330" s="1159" t="str">
        <f t="shared" si="141"/>
        <v>lending_cashloan_cashloan_ZALOPAY_</v>
      </c>
      <c r="K330" s="1149"/>
      <c r="L330" s="1235" t="s">
        <v>532</v>
      </c>
      <c r="M330" s="1149">
        <f>AA330</f>
        <v>6312178035</v>
      </c>
      <c r="N330" s="1255">
        <v>0</v>
      </c>
      <c r="O330" s="1273"/>
      <c r="P330" s="1273"/>
      <c r="Q330" s="1273"/>
      <c r="R330" s="1255"/>
      <c r="S330" s="1255"/>
      <c r="T330" s="1247"/>
      <c r="U330" s="1273">
        <v>72777384</v>
      </c>
      <c r="V330" s="1273">
        <v>231021442</v>
      </c>
      <c r="W330" s="1236">
        <v>662012216</v>
      </c>
      <c r="X330" s="1255">
        <v>1396295030</v>
      </c>
      <c r="Y330" s="1255">
        <v>2482672112</v>
      </c>
      <c r="Z330" s="1255">
        <v>4374254756</v>
      </c>
      <c r="AA330" s="1273">
        <v>6312178035</v>
      </c>
      <c r="AB330" s="34">
        <f t="shared" si="142"/>
        <v>1937923279</v>
      </c>
    </row>
    <row r="331" spans="2:29">
      <c r="B331" s="1158" t="s">
        <v>189</v>
      </c>
      <c r="C331" s="1159" t="s">
        <v>545</v>
      </c>
      <c r="D331" s="1159" t="s">
        <v>545</v>
      </c>
      <c r="E331" s="1159" t="s">
        <v>329</v>
      </c>
      <c r="F331" s="1159"/>
      <c r="G331" s="1159"/>
      <c r="H331" s="1159"/>
      <c r="I331" s="1160"/>
      <c r="J331" s="1159" t="str">
        <f t="shared" si="141"/>
        <v>lending_cashloan_cashloan_ZALOPAY_</v>
      </c>
      <c r="K331" s="1149"/>
      <c r="L331" s="1148" t="s">
        <v>533</v>
      </c>
      <c r="M331" s="1149"/>
      <c r="N331" s="1255">
        <v>0</v>
      </c>
      <c r="O331" s="1273">
        <v>0</v>
      </c>
      <c r="P331" s="1273">
        <v>0</v>
      </c>
      <c r="Q331" s="1273">
        <v>0</v>
      </c>
      <c r="R331" s="1273"/>
      <c r="S331" s="1273"/>
      <c r="T331" s="1273"/>
      <c r="U331" s="1273"/>
      <c r="V331" s="1273"/>
      <c r="W331" s="1273"/>
      <c r="X331" s="1273">
        <v>723253535</v>
      </c>
      <c r="Y331" s="1273">
        <v>2394951695</v>
      </c>
      <c r="Z331" s="1273">
        <v>5537851616</v>
      </c>
      <c r="AA331" s="1273">
        <v>8812126884</v>
      </c>
      <c r="AB331" s="34">
        <f t="shared" si="142"/>
        <v>3274275268</v>
      </c>
    </row>
    <row r="332" spans="2:29">
      <c r="B332" s="1158" t="s">
        <v>189</v>
      </c>
      <c r="C332" s="1159" t="s">
        <v>545</v>
      </c>
      <c r="D332" s="1159" t="s">
        <v>545</v>
      </c>
      <c r="E332" s="1159" t="s">
        <v>329</v>
      </c>
      <c r="F332" s="1159"/>
      <c r="G332" s="1159"/>
      <c r="H332" s="1159"/>
      <c r="I332" s="1162" t="s">
        <v>247</v>
      </c>
      <c r="J332" s="1159" t="str">
        <f t="shared" si="141"/>
        <v>lending_cashloan_cashloan_ZALOPAY_overdue_balance_10d</v>
      </c>
      <c r="K332" s="1149"/>
      <c r="L332" s="1169" t="s">
        <v>534</v>
      </c>
      <c r="M332" s="1149"/>
      <c r="N332" s="1255"/>
      <c r="O332" s="1273"/>
      <c r="P332" s="1273"/>
      <c r="Q332" s="1273"/>
      <c r="R332" s="1280"/>
      <c r="S332" s="1255"/>
      <c r="T332" s="1247">
        <v>10000000</v>
      </c>
      <c r="U332" s="1236">
        <v>2014067471</v>
      </c>
      <c r="V332" s="1236">
        <v>3982205757</v>
      </c>
      <c r="W332" s="1277">
        <v>8832757818</v>
      </c>
      <c r="X332" s="1255">
        <v>18504161804</v>
      </c>
      <c r="Y332" s="1255">
        <v>23887323680</v>
      </c>
      <c r="Z332" s="1255">
        <v>34492269982</v>
      </c>
      <c r="AA332" s="1273">
        <v>50815939284</v>
      </c>
      <c r="AB332" s="34">
        <f t="shared" si="142"/>
        <v>16323669302</v>
      </c>
    </row>
    <row r="333" spans="2:29">
      <c r="B333" s="1158" t="s">
        <v>189</v>
      </c>
      <c r="C333" s="1159" t="s">
        <v>545</v>
      </c>
      <c r="D333" s="1159" t="s">
        <v>545</v>
      </c>
      <c r="E333" s="1159" t="s">
        <v>329</v>
      </c>
      <c r="F333" s="1159"/>
      <c r="G333" s="1159"/>
      <c r="H333" s="1159"/>
      <c r="I333" s="1162" t="s">
        <v>248</v>
      </c>
      <c r="J333" s="1159" t="str">
        <f t="shared" si="141"/>
        <v>lending_cashloan_cashloan_ZALOPAY_overdue_balance_90d</v>
      </c>
      <c r="K333" s="1149"/>
      <c r="L333" s="1169" t="s">
        <v>535</v>
      </c>
      <c r="M333" s="1149"/>
      <c r="N333" s="1169">
        <v>0</v>
      </c>
      <c r="O333" s="1169">
        <v>0</v>
      </c>
      <c r="P333" s="1169">
        <v>0</v>
      </c>
      <c r="Q333" s="1169"/>
      <c r="R333" s="1169"/>
      <c r="S333" s="1169"/>
      <c r="T333" s="1149"/>
      <c r="U333" s="1149">
        <v>5000000</v>
      </c>
      <c r="V333" s="1149">
        <v>23675079</v>
      </c>
      <c r="W333" s="1149">
        <v>78526424</v>
      </c>
      <c r="X333" s="1149">
        <v>1686518353</v>
      </c>
      <c r="Y333" s="1149">
        <v>2988681369</v>
      </c>
      <c r="Z333" s="1169">
        <v>6602321800</v>
      </c>
      <c r="AA333" s="1169">
        <v>12781121282</v>
      </c>
      <c r="AB333" s="34">
        <f t="shared" si="142"/>
        <v>6178799482</v>
      </c>
    </row>
    <row r="334" spans="2:29">
      <c r="B334" s="1158" t="s">
        <v>189</v>
      </c>
      <c r="C334" s="1159" t="s">
        <v>545</v>
      </c>
      <c r="D334" s="1159" t="s">
        <v>545</v>
      </c>
      <c r="E334" s="1159" t="s">
        <v>329</v>
      </c>
      <c r="F334" s="1159"/>
      <c r="G334" s="1159"/>
      <c r="H334" s="1159"/>
      <c r="I334" s="1160"/>
      <c r="J334" s="1159" t="str">
        <f t="shared" si="141"/>
        <v>lending_cashloan_cashloan_ZALOPAY_</v>
      </c>
      <c r="K334" s="1149"/>
      <c r="L334" s="1169" t="s">
        <v>536</v>
      </c>
      <c r="M334" s="1149"/>
      <c r="N334" s="1255"/>
      <c r="O334" s="1273">
        <f t="shared" ref="O334:AA334" si="145">O332-O333</f>
        <v>0</v>
      </c>
      <c r="P334" s="1273">
        <f t="shared" si="145"/>
        <v>0</v>
      </c>
      <c r="Q334" s="1273">
        <f t="shared" si="145"/>
        <v>0</v>
      </c>
      <c r="R334" s="1273">
        <f t="shared" si="145"/>
        <v>0</v>
      </c>
      <c r="S334" s="1273">
        <f t="shared" si="145"/>
        <v>0</v>
      </c>
      <c r="T334" s="1273">
        <f t="shared" si="145"/>
        <v>10000000</v>
      </c>
      <c r="U334" s="1273">
        <f t="shared" si="145"/>
        <v>2009067471</v>
      </c>
      <c r="V334" s="1273">
        <f t="shared" si="145"/>
        <v>3958530678</v>
      </c>
      <c r="W334" s="1273">
        <f t="shared" si="145"/>
        <v>8754231394</v>
      </c>
      <c r="X334" s="1273">
        <f t="shared" si="145"/>
        <v>16817643451</v>
      </c>
      <c r="Y334" s="1273">
        <f t="shared" si="145"/>
        <v>20898642311</v>
      </c>
      <c r="Z334" s="1273">
        <f t="shared" si="145"/>
        <v>27889948182</v>
      </c>
      <c r="AA334" s="1273">
        <f t="shared" si="145"/>
        <v>38034818002</v>
      </c>
      <c r="AB334" s="34">
        <f t="shared" si="142"/>
        <v>10144869820</v>
      </c>
    </row>
    <row r="335" spans="2:29">
      <c r="B335" s="1158" t="s">
        <v>189</v>
      </c>
      <c r="C335" s="1159" t="s">
        <v>545</v>
      </c>
      <c r="D335" s="1159" t="s">
        <v>545</v>
      </c>
      <c r="E335" s="1159" t="s">
        <v>329</v>
      </c>
      <c r="F335" s="1159"/>
      <c r="G335" s="1159"/>
      <c r="H335" s="1159"/>
      <c r="I335" s="1160"/>
      <c r="J335" s="1159" t="str">
        <f t="shared" si="141"/>
        <v>lending_cashloan_cashloan_ZALOPAY_</v>
      </c>
      <c r="K335" s="1149"/>
      <c r="L335" s="1169" t="s">
        <v>537</v>
      </c>
      <c r="M335" s="1149"/>
      <c r="N335" s="1269"/>
      <c r="O335" s="1269"/>
      <c r="P335" s="1269"/>
      <c r="Q335" s="1269"/>
      <c r="R335" s="1269">
        <f t="shared" ref="R335:AA335" si="146">R331/R328</f>
        <v>0</v>
      </c>
      <c r="S335" s="1269">
        <f t="shared" si="146"/>
        <v>0</v>
      </c>
      <c r="T335" s="1269">
        <f t="shared" si="146"/>
        <v>0</v>
      </c>
      <c r="U335" s="1269">
        <f t="shared" si="146"/>
        <v>0</v>
      </c>
      <c r="V335" s="1269">
        <f t="shared" si="146"/>
        <v>0</v>
      </c>
      <c r="W335" s="1269">
        <f t="shared" si="146"/>
        <v>0</v>
      </c>
      <c r="X335" s="1269">
        <f t="shared" si="146"/>
        <v>2.7273247031444135E-3</v>
      </c>
      <c r="Y335" s="1269">
        <f t="shared" si="146"/>
        <v>6.7643725692181052E-3</v>
      </c>
      <c r="Z335" s="1269">
        <f t="shared" si="146"/>
        <v>1.3648023402628606E-2</v>
      </c>
      <c r="AA335" s="1269">
        <f t="shared" si="146"/>
        <v>1.8898916536697685E-2</v>
      </c>
      <c r="AB335" s="34">
        <f t="shared" si="142"/>
        <v>5.2508931340690783E-3</v>
      </c>
    </row>
    <row r="336" spans="2:29">
      <c r="B336" s="1158" t="s">
        <v>189</v>
      </c>
      <c r="C336" s="1159" t="s">
        <v>545</v>
      </c>
      <c r="D336" s="1159" t="s">
        <v>545</v>
      </c>
      <c r="E336" s="1159" t="s">
        <v>329</v>
      </c>
      <c r="F336" s="1159"/>
      <c r="G336" s="1159"/>
      <c r="H336" s="1159"/>
      <c r="I336" s="1162" t="s">
        <v>213</v>
      </c>
      <c r="J336" s="1159" t="str">
        <f t="shared" si="141"/>
        <v>lending_cashloan_cashloan_ZALOPAY_npl</v>
      </c>
      <c r="K336" s="1149"/>
      <c r="L336" s="1169" t="s">
        <v>538</v>
      </c>
      <c r="M336" s="1149"/>
      <c r="N336" s="1269"/>
      <c r="O336" s="1269"/>
      <c r="P336" s="1269"/>
      <c r="Q336" s="1269"/>
      <c r="R336" s="1269">
        <f t="shared" ref="R336:AA336" si="147">R333/R328</f>
        <v>0</v>
      </c>
      <c r="S336" s="1269">
        <f t="shared" si="147"/>
        <v>0</v>
      </c>
      <c r="T336" s="1269">
        <f t="shared" si="147"/>
        <v>0</v>
      </c>
      <c r="U336" s="1269">
        <f t="shared" si="147"/>
        <v>7.0691387081658154E-5</v>
      </c>
      <c r="V336" s="1269">
        <f t="shared" si="147"/>
        <v>1.6069087821420444E-4</v>
      </c>
      <c r="W336" s="1269">
        <f t="shared" si="147"/>
        <v>3.732430866265951E-4</v>
      </c>
      <c r="X336" s="1269">
        <f t="shared" si="147"/>
        <v>6.3597105908971881E-3</v>
      </c>
      <c r="Y336" s="1269">
        <f t="shared" si="147"/>
        <v>8.4413202624518124E-3</v>
      </c>
      <c r="Z336" s="1269">
        <f t="shared" si="147"/>
        <v>1.6271407882750506E-2</v>
      </c>
      <c r="AA336" s="1269">
        <f t="shared" si="147"/>
        <v>2.7411015244515457E-2</v>
      </c>
      <c r="AB336" s="34">
        <f t="shared" si="142"/>
        <v>1.1139607361764951E-2</v>
      </c>
    </row>
    <row r="337" spans="2:30">
      <c r="B337" s="1158" t="s">
        <v>189</v>
      </c>
      <c r="C337" s="1159" t="s">
        <v>545</v>
      </c>
      <c r="D337" s="1159" t="s">
        <v>545</v>
      </c>
      <c r="E337" s="1159" t="s">
        <v>329</v>
      </c>
      <c r="F337" s="1159" t="str">
        <f>E337&amp;"CL"</f>
        <v>ZALOPAYCL</v>
      </c>
      <c r="G337" s="1159" t="str">
        <f>L337&amp;F337</f>
        <v>TOIZALOPAYCL</v>
      </c>
      <c r="H337" s="1408" t="str">
        <f>L337&amp;E337</f>
        <v>TOIZALOPAY</v>
      </c>
      <c r="I337" s="1162" t="s">
        <v>217</v>
      </c>
      <c r="J337" s="1159" t="str">
        <f t="shared" si="141"/>
        <v>lending_cashloan_cashloan_ZALOPAY_TOI</v>
      </c>
      <c r="K337" s="1149"/>
      <c r="L337" s="1238" t="s">
        <v>217</v>
      </c>
      <c r="M337" s="1150">
        <f t="shared" ref="M337:AA337" si="148">M338+M343+M347</f>
        <v>83847094493</v>
      </c>
      <c r="N337" s="1150">
        <f t="shared" si="148"/>
        <v>0</v>
      </c>
      <c r="O337" s="1150">
        <f t="shared" si="148"/>
        <v>0</v>
      </c>
      <c r="P337" s="1150">
        <f t="shared" si="148"/>
        <v>0</v>
      </c>
      <c r="Q337" s="1150">
        <f t="shared" si="148"/>
        <v>0</v>
      </c>
      <c r="R337" s="1150">
        <f t="shared" si="148"/>
        <v>1621019</v>
      </c>
      <c r="S337" s="1150">
        <f t="shared" si="148"/>
        <v>331792</v>
      </c>
      <c r="T337" s="1150">
        <f t="shared" si="148"/>
        <v>363930914</v>
      </c>
      <c r="U337" s="1150">
        <f t="shared" si="148"/>
        <v>3064698074</v>
      </c>
      <c r="V337" s="1150">
        <f t="shared" si="148"/>
        <v>6930313942</v>
      </c>
      <c r="W337" s="1150">
        <f t="shared" si="148"/>
        <v>9526412890</v>
      </c>
      <c r="X337" s="1150">
        <f t="shared" si="148"/>
        <v>11174839988</v>
      </c>
      <c r="Y337" s="1150">
        <f t="shared" si="148"/>
        <v>16086893498</v>
      </c>
      <c r="Z337" s="1150">
        <f t="shared" si="148"/>
        <v>17068860850</v>
      </c>
      <c r="AA337" s="1150">
        <f t="shared" si="148"/>
        <v>19629191526</v>
      </c>
      <c r="AB337" s="34">
        <f t="shared" si="142"/>
        <v>2560330676</v>
      </c>
      <c r="AC337" s="34">
        <f>SUM(P337:AA337)</f>
        <v>83847094493</v>
      </c>
    </row>
    <row r="338" spans="2:30">
      <c r="B338" s="1158" t="s">
        <v>189</v>
      </c>
      <c r="C338" s="1159" t="s">
        <v>545</v>
      </c>
      <c r="D338" s="1159" t="s">
        <v>545</v>
      </c>
      <c r="E338" s="1159" t="s">
        <v>329</v>
      </c>
      <c r="F338" s="1159"/>
      <c r="G338" s="1159"/>
      <c r="H338" s="1159"/>
      <c r="I338" s="1162" t="s">
        <v>254</v>
      </c>
      <c r="J338" s="1159" t="str">
        <f t="shared" si="141"/>
        <v>lending_cashloan_cashloan_ZALOPAY_NII</v>
      </c>
      <c r="K338" s="1149"/>
      <c r="L338" s="1239" t="s">
        <v>218</v>
      </c>
      <c r="M338" s="1150">
        <f t="shared" ref="M338:AA338" si="149">M339-M342</f>
        <v>60577396945</v>
      </c>
      <c r="N338" s="1150">
        <f t="shared" si="149"/>
        <v>0</v>
      </c>
      <c r="O338" s="1150">
        <f t="shared" si="149"/>
        <v>0</v>
      </c>
      <c r="P338" s="1150">
        <f t="shared" si="149"/>
        <v>0</v>
      </c>
      <c r="Q338" s="1150">
        <f t="shared" si="149"/>
        <v>0</v>
      </c>
      <c r="R338" s="1150">
        <f t="shared" si="149"/>
        <v>161234</v>
      </c>
      <c r="S338" s="1150">
        <f t="shared" si="149"/>
        <v>331792</v>
      </c>
      <c r="T338" s="1150">
        <f t="shared" si="149"/>
        <v>339147660</v>
      </c>
      <c r="U338" s="1150">
        <f t="shared" si="149"/>
        <v>1991761625</v>
      </c>
      <c r="V338" s="1150">
        <f t="shared" si="149"/>
        <v>4454649863</v>
      </c>
      <c r="W338" s="1150">
        <f t="shared" si="149"/>
        <v>6913168389</v>
      </c>
      <c r="X338" s="1150">
        <f t="shared" si="149"/>
        <v>8391912665</v>
      </c>
      <c r="Y338" s="1150">
        <f t="shared" si="149"/>
        <v>11031566114</v>
      </c>
      <c r="Z338" s="1150">
        <f t="shared" si="149"/>
        <v>12748322578</v>
      </c>
      <c r="AA338" s="1150">
        <f t="shared" si="149"/>
        <v>14706375025</v>
      </c>
      <c r="AB338" s="34">
        <f t="shared" si="142"/>
        <v>1958052447</v>
      </c>
    </row>
    <row r="339" spans="2:30">
      <c r="B339" s="1158" t="s">
        <v>189</v>
      </c>
      <c r="C339" s="1159" t="s">
        <v>545</v>
      </c>
      <c r="D339" s="1159" t="s">
        <v>545</v>
      </c>
      <c r="E339" s="1159" t="s">
        <v>329</v>
      </c>
      <c r="F339" s="1159"/>
      <c r="G339" s="1159"/>
      <c r="H339" s="1159"/>
      <c r="I339" s="1162" t="s">
        <v>255</v>
      </c>
      <c r="J339" s="1159" t="str">
        <f t="shared" si="141"/>
        <v>lending_cashloan_cashloan_ZALOPAY_CII</v>
      </c>
      <c r="K339" s="1149"/>
      <c r="L339" s="1240" t="s">
        <v>20</v>
      </c>
      <c r="M339" s="1149">
        <f>SUM(P339:AA339)</f>
        <v>71017821320</v>
      </c>
      <c r="N339" s="1149">
        <f>N340+0-N341</f>
        <v>0</v>
      </c>
      <c r="O339" s="1149">
        <f t="shared" ref="O339:Z339" si="150">O340+N341-O341</f>
        <v>0</v>
      </c>
      <c r="P339" s="1149">
        <f t="shared" si="150"/>
        <v>0</v>
      </c>
      <c r="Q339" s="1149">
        <f t="shared" si="150"/>
        <v>0</v>
      </c>
      <c r="R339" s="1149">
        <f t="shared" si="150"/>
        <v>161234</v>
      </c>
      <c r="S339" s="1149">
        <f t="shared" si="150"/>
        <v>381420</v>
      </c>
      <c r="T339" s="1149">
        <f t="shared" si="150"/>
        <v>374436683</v>
      </c>
      <c r="U339" s="1149">
        <f t="shared" si="150"/>
        <v>2252828861</v>
      </c>
      <c r="V339" s="1149">
        <f t="shared" si="150"/>
        <v>5093092763</v>
      </c>
      <c r="W339" s="1149">
        <f t="shared" si="150"/>
        <v>8002390314</v>
      </c>
      <c r="X339" s="1149">
        <f t="shared" si="150"/>
        <v>9787631917</v>
      </c>
      <c r="Y339" s="1149">
        <f t="shared" si="150"/>
        <v>12948453803</v>
      </c>
      <c r="Z339" s="1149">
        <f t="shared" si="150"/>
        <v>15063820872</v>
      </c>
      <c r="AA339" s="1149">
        <f>AA340+Z341-AA341</f>
        <v>17494623453</v>
      </c>
      <c r="AB339" s="34">
        <f t="shared" si="142"/>
        <v>2430802581</v>
      </c>
    </row>
    <row r="340" spans="2:30">
      <c r="B340" s="1158" t="s">
        <v>189</v>
      </c>
      <c r="C340" s="1159" t="s">
        <v>545</v>
      </c>
      <c r="D340" s="1159" t="s">
        <v>545</v>
      </c>
      <c r="E340" s="1159" t="s">
        <v>329</v>
      </c>
      <c r="F340" s="1159"/>
      <c r="G340" s="1159"/>
      <c r="H340" s="1159"/>
      <c r="I340" s="1162"/>
      <c r="J340" s="1159" t="str">
        <f t="shared" si="141"/>
        <v>lending_cashloan_cashloan_ZALOPAY_</v>
      </c>
      <c r="K340" s="1149"/>
      <c r="L340" s="1274" t="s">
        <v>539</v>
      </c>
      <c r="M340" s="1151">
        <f>SUM(P340:AA340)</f>
        <v>72345350423</v>
      </c>
      <c r="N340" s="1151"/>
      <c r="O340" s="1151"/>
      <c r="P340" s="1151"/>
      <c r="Q340" s="1151"/>
      <c r="R340" s="1151">
        <v>161234</v>
      </c>
      <c r="S340" s="1151">
        <v>381420</v>
      </c>
      <c r="T340" s="1151">
        <v>374512025</v>
      </c>
      <c r="U340" s="1151">
        <v>2277997629</v>
      </c>
      <c r="V340" s="1151">
        <v>5190014930</v>
      </c>
      <c r="W340" s="1151">
        <v>8151740830</v>
      </c>
      <c r="X340" s="1151">
        <v>9991296076</v>
      </c>
      <c r="Y340" s="1151">
        <v>13208499796</v>
      </c>
      <c r="Z340" s="1149">
        <v>15354281497</v>
      </c>
      <c r="AA340" s="1151">
        <v>17796464986</v>
      </c>
      <c r="AB340" s="34">
        <f t="shared" si="142"/>
        <v>2442183489</v>
      </c>
    </row>
    <row r="341" spans="2:30">
      <c r="B341" s="1158" t="s">
        <v>189</v>
      </c>
      <c r="C341" s="1159" t="s">
        <v>545</v>
      </c>
      <c r="D341" s="1159" t="s">
        <v>545</v>
      </c>
      <c r="E341" s="1159" t="s">
        <v>329</v>
      </c>
      <c r="F341" s="1159"/>
      <c r="G341" s="1159"/>
      <c r="H341" s="1159"/>
      <c r="I341" s="1162"/>
      <c r="J341" s="1159" t="str">
        <f t="shared" si="141"/>
        <v>lending_cashloan_cashloan_ZALOPAY_</v>
      </c>
      <c r="K341" s="1149"/>
      <c r="L341" s="1274" t="s">
        <v>187</v>
      </c>
      <c r="M341" s="1151">
        <f>SUM(P341:AA341)</f>
        <v>3982627092</v>
      </c>
      <c r="N341" s="1151"/>
      <c r="O341" s="1151"/>
      <c r="P341" s="1151"/>
      <c r="Q341" s="1151"/>
      <c r="R341" s="1151"/>
      <c r="S341" s="1151"/>
      <c r="T341" s="1151">
        <v>75342</v>
      </c>
      <c r="U341" s="1151">
        <v>25244110</v>
      </c>
      <c r="V341" s="1151">
        <v>122166277</v>
      </c>
      <c r="W341" s="1151">
        <v>271516793</v>
      </c>
      <c r="X341" s="1151">
        <v>475180952</v>
      </c>
      <c r="Y341" s="1149">
        <v>735226945</v>
      </c>
      <c r="Z341" s="1151">
        <v>1025687570</v>
      </c>
      <c r="AA341" s="1151">
        <v>1327529103</v>
      </c>
      <c r="AB341" s="34">
        <f t="shared" si="142"/>
        <v>301841533</v>
      </c>
      <c r="AC341" s="34"/>
      <c r="AD341" s="34"/>
    </row>
    <row r="342" spans="2:30">
      <c r="B342" s="1158" t="s">
        <v>189</v>
      </c>
      <c r="C342" s="1159" t="s">
        <v>545</v>
      </c>
      <c r="D342" s="1159" t="s">
        <v>545</v>
      </c>
      <c r="E342" s="1159" t="s">
        <v>329</v>
      </c>
      <c r="F342" s="1159"/>
      <c r="G342" s="1159"/>
      <c r="H342" s="1159"/>
      <c r="I342" s="1162" t="s">
        <v>219</v>
      </c>
      <c r="J342" s="1159" t="str">
        <f t="shared" si="141"/>
        <v>lending_cashloan_cashloan_ZALOPAY_COF</v>
      </c>
      <c r="K342" s="1149"/>
      <c r="L342" s="1240" t="s">
        <v>219</v>
      </c>
      <c r="M342" s="1149">
        <f>SUM(P342:AA342)</f>
        <v>10440424375</v>
      </c>
      <c r="N342" s="1254"/>
      <c r="O342" s="1247"/>
      <c r="P342" s="1169"/>
      <c r="Q342" s="1169"/>
      <c r="R342" s="1169"/>
      <c r="S342" s="1149">
        <v>49628</v>
      </c>
      <c r="T342" s="1169">
        <v>35289023</v>
      </c>
      <c r="U342" s="1169">
        <v>261067236</v>
      </c>
      <c r="V342" s="1290">
        <v>638442900</v>
      </c>
      <c r="W342" s="1290">
        <v>1089221925</v>
      </c>
      <c r="X342" s="1290">
        <v>1395719252</v>
      </c>
      <c r="Y342" s="1149">
        <v>1916887689</v>
      </c>
      <c r="Z342" s="1254">
        <v>2315498294</v>
      </c>
      <c r="AA342" s="1247">
        <v>2788248428</v>
      </c>
      <c r="AB342" s="34">
        <f t="shared" si="142"/>
        <v>472750134</v>
      </c>
    </row>
    <row r="343" spans="2:30">
      <c r="B343" s="1158" t="s">
        <v>189</v>
      </c>
      <c r="C343" s="1159" t="s">
        <v>545</v>
      </c>
      <c r="D343" s="1159" t="s">
        <v>545</v>
      </c>
      <c r="E343" s="1159" t="s">
        <v>329</v>
      </c>
      <c r="F343" s="1159"/>
      <c r="G343" s="1159"/>
      <c r="H343" s="1159"/>
      <c r="I343" s="1162" t="s">
        <v>260</v>
      </c>
      <c r="J343" s="1159" t="str">
        <f t="shared" si="141"/>
        <v>lending_cashloan_cashloan_ZALOPAY_NFI</v>
      </c>
      <c r="K343" s="1149"/>
      <c r="L343" s="1239" t="s">
        <v>220</v>
      </c>
      <c r="M343" s="1150">
        <f t="shared" ref="M343:AA343" si="151">SUM(M344:M346)</f>
        <v>23269697548</v>
      </c>
      <c r="N343" s="1150">
        <f t="shared" si="151"/>
        <v>0</v>
      </c>
      <c r="O343" s="1150">
        <f t="shared" si="151"/>
        <v>0</v>
      </c>
      <c r="P343" s="1150">
        <f t="shared" si="151"/>
        <v>0</v>
      </c>
      <c r="Q343" s="1150">
        <f t="shared" si="151"/>
        <v>0</v>
      </c>
      <c r="R343" s="1150">
        <f t="shared" si="151"/>
        <v>1459785</v>
      </c>
      <c r="S343" s="1150">
        <f t="shared" si="151"/>
        <v>0</v>
      </c>
      <c r="T343" s="1150">
        <f t="shared" si="151"/>
        <v>24783254</v>
      </c>
      <c r="U343" s="1150">
        <f t="shared" si="151"/>
        <v>1072936449</v>
      </c>
      <c r="V343" s="1150">
        <f t="shared" si="151"/>
        <v>2475664079</v>
      </c>
      <c r="W343" s="1150">
        <f t="shared" si="151"/>
        <v>2613244501</v>
      </c>
      <c r="X343" s="1150">
        <f t="shared" si="151"/>
        <v>2782927323</v>
      </c>
      <c r="Y343" s="1150">
        <f t="shared" si="151"/>
        <v>5055327384</v>
      </c>
      <c r="Z343" s="1150">
        <f t="shared" si="151"/>
        <v>4320538272</v>
      </c>
      <c r="AA343" s="1150">
        <f t="shared" si="151"/>
        <v>4922816501</v>
      </c>
      <c r="AB343" s="34">
        <f t="shared" si="142"/>
        <v>602278229</v>
      </c>
    </row>
    <row r="344" spans="2:30">
      <c r="B344" s="1158" t="s">
        <v>189</v>
      </c>
      <c r="C344" s="1159" t="s">
        <v>545</v>
      </c>
      <c r="D344" s="1159" t="s">
        <v>545</v>
      </c>
      <c r="E344" s="1159" t="s">
        <v>329</v>
      </c>
      <c r="F344" s="1159"/>
      <c r="G344" s="1159"/>
      <c r="H344" s="1159"/>
      <c r="I344" s="1162" t="s">
        <v>546</v>
      </c>
      <c r="J344" s="1159" t="str">
        <f t="shared" si="141"/>
        <v>lending_cashloan_cashloan_ZALOPAY_insurance_fee</v>
      </c>
      <c r="K344" s="1149"/>
      <c r="L344" s="1240" t="s">
        <v>540</v>
      </c>
      <c r="M344" s="1151">
        <f>SUM(P344:AA344)</f>
        <v>20441544595</v>
      </c>
      <c r="N344" s="1151"/>
      <c r="O344" s="1261"/>
      <c r="P344" s="1261"/>
      <c r="Q344" s="1248"/>
      <c r="R344" s="1243">
        <v>1138785</v>
      </c>
      <c r="S344" s="1243"/>
      <c r="T344" s="1243"/>
      <c r="U344" s="1149">
        <v>969645044</v>
      </c>
      <c r="V344" s="1243">
        <v>2288019998</v>
      </c>
      <c r="W344" s="1151">
        <v>2304135078</v>
      </c>
      <c r="X344" s="1302">
        <v>2389473115</v>
      </c>
      <c r="Y344" s="1151">
        <v>4511090418</v>
      </c>
      <c r="Z344" s="1151">
        <v>3735672229</v>
      </c>
      <c r="AA344" s="1261">
        <v>4242369928</v>
      </c>
      <c r="AB344" s="34">
        <f t="shared" si="142"/>
        <v>506697699</v>
      </c>
    </row>
    <row r="345" spans="2:30">
      <c r="B345" s="1158" t="s">
        <v>189</v>
      </c>
      <c r="C345" s="1159" t="s">
        <v>545</v>
      </c>
      <c r="D345" s="1159" t="s">
        <v>545</v>
      </c>
      <c r="E345" s="1159" t="s">
        <v>329</v>
      </c>
      <c r="F345" s="1159"/>
      <c r="G345" s="1159"/>
      <c r="H345" s="1159"/>
      <c r="I345" s="1162" t="s">
        <v>547</v>
      </c>
      <c r="J345" s="1159" t="str">
        <f t="shared" si="141"/>
        <v>lending_cashloan_cashloan_ZALOPAY_early_terminate_fee</v>
      </c>
      <c r="K345" s="1149"/>
      <c r="L345" s="1240" t="s">
        <v>541</v>
      </c>
      <c r="M345" s="1151">
        <f>SUM(P345:AA345)</f>
        <v>2828152953</v>
      </c>
      <c r="N345" s="1151"/>
      <c r="O345" s="1151"/>
      <c r="P345" s="1243">
        <v>0</v>
      </c>
      <c r="Q345" s="1243"/>
      <c r="R345" s="1243">
        <v>321000</v>
      </c>
      <c r="S345" s="1243"/>
      <c r="T345" s="1149">
        <v>24783254</v>
      </c>
      <c r="U345" s="1149">
        <v>103291405</v>
      </c>
      <c r="V345" s="1149">
        <v>187644081</v>
      </c>
      <c r="W345" s="1149">
        <v>309109423</v>
      </c>
      <c r="X345" s="1149">
        <v>393454208</v>
      </c>
      <c r="Y345" s="1149">
        <v>544236966</v>
      </c>
      <c r="Z345" s="1151">
        <v>584866043</v>
      </c>
      <c r="AA345" s="1151">
        <v>680446573</v>
      </c>
      <c r="AB345" s="34">
        <f t="shared" si="142"/>
        <v>95580530</v>
      </c>
    </row>
    <row r="346" spans="2:30">
      <c r="B346" s="1158" t="s">
        <v>189</v>
      </c>
      <c r="C346" s="1159" t="s">
        <v>545</v>
      </c>
      <c r="D346" s="1159" t="s">
        <v>545</v>
      </c>
      <c r="E346" s="1159" t="s">
        <v>329</v>
      </c>
      <c r="F346" s="1159"/>
      <c r="G346" s="1159"/>
      <c r="H346" s="1159"/>
      <c r="I346" s="1162" t="s">
        <v>548</v>
      </c>
      <c r="J346" s="1159" t="str">
        <f t="shared" si="141"/>
        <v>lending_cashloan_cashloan_ZALOPAY_loan_grant_fee</v>
      </c>
      <c r="K346" s="1149"/>
      <c r="L346" s="1240" t="s">
        <v>542</v>
      </c>
      <c r="M346" s="1151">
        <f>SUM(P346:AA346)</f>
        <v>0</v>
      </c>
      <c r="N346" s="1151"/>
      <c r="O346" s="1151"/>
      <c r="P346" s="1243"/>
      <c r="Q346" s="1243"/>
      <c r="R346" s="1243"/>
      <c r="S346" s="1243"/>
      <c r="T346" s="1243"/>
      <c r="U346" s="1151"/>
      <c r="V346" s="1261"/>
      <c r="W346" s="1151"/>
      <c r="X346" s="1151"/>
      <c r="Y346" s="1151"/>
      <c r="Z346" s="1151"/>
      <c r="AA346" s="1151"/>
      <c r="AB346" s="34">
        <f t="shared" si="142"/>
        <v>0</v>
      </c>
    </row>
    <row r="347" spans="2:30">
      <c r="B347" s="1158" t="s">
        <v>189</v>
      </c>
      <c r="C347" s="1159" t="s">
        <v>545</v>
      </c>
      <c r="D347" s="1159" t="s">
        <v>545</v>
      </c>
      <c r="E347" s="1159" t="s">
        <v>329</v>
      </c>
      <c r="F347" s="1159"/>
      <c r="G347" s="1159"/>
      <c r="H347" s="1159"/>
      <c r="I347" s="1162" t="s">
        <v>269</v>
      </c>
      <c r="J347" s="1159" t="str">
        <f t="shared" si="141"/>
        <v>lending_cashloan_cashloan_ZALOPAY_other_TOI</v>
      </c>
      <c r="K347" s="1149"/>
      <c r="L347" s="1239" t="s">
        <v>89</v>
      </c>
      <c r="M347" s="1154">
        <f>SUM(P347:AA347)</f>
        <v>0</v>
      </c>
      <c r="N347" s="1151"/>
      <c r="O347" s="1151"/>
      <c r="P347" s="1243"/>
      <c r="Q347" s="1243"/>
      <c r="R347" s="1243"/>
      <c r="S347" s="1243"/>
      <c r="T347" s="1243"/>
      <c r="U347" s="1151"/>
      <c r="V347" s="1261"/>
      <c r="W347" s="1151"/>
      <c r="X347" s="1151"/>
      <c r="Y347" s="1151"/>
      <c r="Z347" s="1151"/>
      <c r="AA347" s="1151"/>
      <c r="AB347" s="34">
        <f t="shared" si="142"/>
        <v>0</v>
      </c>
    </row>
    <row r="348" spans="2:30" s="4" customFormat="1">
      <c r="B348" s="1158" t="s">
        <v>189</v>
      </c>
      <c r="C348" s="1159" t="s">
        <v>545</v>
      </c>
      <c r="D348" s="1159" t="s">
        <v>545</v>
      </c>
      <c r="E348" s="1159" t="s">
        <v>329</v>
      </c>
      <c r="F348" s="1159"/>
      <c r="G348" s="1159"/>
      <c r="H348" s="1159"/>
      <c r="I348" s="1162" t="s">
        <v>270</v>
      </c>
      <c r="J348" s="1163" t="str">
        <f t="shared" si="141"/>
        <v>lending_cashloan_cashloan_ZALOPAY_provision</v>
      </c>
      <c r="K348" s="1149"/>
      <c r="L348" s="1245" t="s">
        <v>136</v>
      </c>
      <c r="M348" s="1150">
        <f>SUM(P348:AA348)</f>
        <v>13100994474</v>
      </c>
      <c r="N348" s="1150"/>
      <c r="O348" s="1262"/>
      <c r="P348" s="1262"/>
      <c r="Q348" s="1275"/>
      <c r="R348" s="1275">
        <v>72225</v>
      </c>
      <c r="S348" s="1245"/>
      <c r="T348" s="1245">
        <v>213123657</v>
      </c>
      <c r="U348" s="1245">
        <f>369866578+52838330</f>
        <v>422704908</v>
      </c>
      <c r="V348" s="1296">
        <v>690531172</v>
      </c>
      <c r="W348" s="1262">
        <v>741448405</v>
      </c>
      <c r="X348" s="1262">
        <f>884387391+253526931</f>
        <v>1137914322</v>
      </c>
      <c r="Y348" s="1262">
        <v>1163274473</v>
      </c>
      <c r="Z348" s="1150">
        <v>2829618610</v>
      </c>
      <c r="AA348" s="1262">
        <f>5116646112+785660590</f>
        <v>5902306702</v>
      </c>
      <c r="AB348" s="34">
        <f t="shared" si="142"/>
        <v>3072688092</v>
      </c>
    </row>
    <row r="349" spans="2:30">
      <c r="B349" s="1158" t="s">
        <v>189</v>
      </c>
      <c r="C349" s="1159" t="s">
        <v>545</v>
      </c>
      <c r="D349" s="1159" t="s">
        <v>545</v>
      </c>
      <c r="E349" s="1159" t="s">
        <v>329</v>
      </c>
      <c r="F349" s="1159"/>
      <c r="G349" s="1159"/>
      <c r="H349" s="1159"/>
      <c r="I349" s="1162" t="s">
        <v>271</v>
      </c>
      <c r="J349" s="1159" t="str">
        <f t="shared" si="141"/>
        <v>lending_cashloan_cashloan_ZALOPAY_variable_cost</v>
      </c>
      <c r="K349" s="1149"/>
      <c r="L349" s="1245" t="s">
        <v>229</v>
      </c>
      <c r="M349" s="1150">
        <f t="shared" ref="M349:AA349" si="152">SUM(M350:M357)</f>
        <v>18494921891.290138</v>
      </c>
      <c r="N349" s="1150">
        <f t="shared" si="152"/>
        <v>0</v>
      </c>
      <c r="O349" s="1150">
        <f t="shared" si="152"/>
        <v>0</v>
      </c>
      <c r="P349" s="1150">
        <f t="shared" si="152"/>
        <v>0</v>
      </c>
      <c r="Q349" s="1150">
        <f t="shared" si="152"/>
        <v>0</v>
      </c>
      <c r="R349" s="1150">
        <f t="shared" si="152"/>
        <v>63539.913946253866</v>
      </c>
      <c r="S349" s="1150">
        <f t="shared" si="152"/>
        <v>15096.694585314346</v>
      </c>
      <c r="T349" s="1150">
        <f t="shared" si="152"/>
        <v>650656979.9812094</v>
      </c>
      <c r="U349" s="1150">
        <f t="shared" si="152"/>
        <v>1046113779.1218096</v>
      </c>
      <c r="V349" s="1150">
        <f t="shared" si="152"/>
        <v>1876595621.4559519</v>
      </c>
      <c r="W349" s="1150">
        <f t="shared" si="152"/>
        <v>2071983805.7953176</v>
      </c>
      <c r="X349" s="1150">
        <f t="shared" si="152"/>
        <v>2414268303.2337408</v>
      </c>
      <c r="Y349" s="1150">
        <f t="shared" si="152"/>
        <v>3752077271.032783</v>
      </c>
      <c r="Z349" s="1150">
        <f t="shared" si="152"/>
        <v>3137449674.0014648</v>
      </c>
      <c r="AA349" s="1150">
        <f t="shared" si="152"/>
        <v>3545697820.0593314</v>
      </c>
      <c r="AB349" s="34">
        <f t="shared" si="142"/>
        <v>408248146.05786657</v>
      </c>
    </row>
    <row r="350" spans="2:30" ht="16">
      <c r="B350" s="1158" t="s">
        <v>189</v>
      </c>
      <c r="C350" s="1159" t="s">
        <v>545</v>
      </c>
      <c r="D350" s="1159" t="s">
        <v>545</v>
      </c>
      <c r="E350" s="1159" t="s">
        <v>329</v>
      </c>
      <c r="F350" s="1159"/>
      <c r="G350" s="1159"/>
      <c r="H350" s="1159"/>
      <c r="I350" s="1162" t="s">
        <v>272</v>
      </c>
      <c r="J350" s="1159" t="str">
        <f t="shared" si="141"/>
        <v>lending_cashloan_cashloan_ZALOPAY_marketing_acquisition_cost</v>
      </c>
      <c r="K350" s="1149"/>
      <c r="L350" s="1246" t="s">
        <v>230</v>
      </c>
      <c r="M350" s="1149">
        <f>SUM(P350:AA350)</f>
        <v>0</v>
      </c>
      <c r="N350" s="1147"/>
      <c r="O350" s="1147"/>
      <c r="P350" s="1169"/>
      <c r="Q350" s="1169"/>
      <c r="R350" s="1169"/>
      <c r="S350" s="1147"/>
      <c r="T350" s="1169"/>
      <c r="U350" s="1247"/>
      <c r="V350" s="1149"/>
      <c r="W350" s="1149"/>
      <c r="X350" s="1279"/>
      <c r="Y350" s="1147"/>
      <c r="Z350" s="1147"/>
      <c r="AA350" s="1147"/>
      <c r="AB350" s="34">
        <f t="shared" si="142"/>
        <v>0</v>
      </c>
    </row>
    <row r="351" spans="2:30">
      <c r="B351" s="1158" t="s">
        <v>189</v>
      </c>
      <c r="C351" s="1159" t="s">
        <v>545</v>
      </c>
      <c r="D351" s="1159" t="s">
        <v>545</v>
      </c>
      <c r="E351" s="1159" t="s">
        <v>329</v>
      </c>
      <c r="F351" s="1159"/>
      <c r="G351" s="1159"/>
      <c r="H351" s="1159"/>
      <c r="I351" s="1162" t="s">
        <v>273</v>
      </c>
      <c r="J351" s="1159" t="str">
        <f t="shared" si="141"/>
        <v>lending_cashloan_cashloan_ZALOPAY_partner_acquisition_cost</v>
      </c>
      <c r="K351" s="1149"/>
      <c r="L351" s="1246" t="s">
        <v>231</v>
      </c>
      <c r="M351" s="1149">
        <f>SUM(P351:AA351)</f>
        <v>16073215000</v>
      </c>
      <c r="N351" s="1253"/>
      <c r="O351" s="1169"/>
      <c r="P351" s="1248"/>
      <c r="Q351" s="1247"/>
      <c r="R351" s="1169"/>
      <c r="S351" s="1149"/>
      <c r="T351" s="1169">
        <v>583540000</v>
      </c>
      <c r="U351" s="1169">
        <v>930440000</v>
      </c>
      <c r="V351" s="1290">
        <v>1704540000</v>
      </c>
      <c r="W351" s="1290">
        <v>1767045000</v>
      </c>
      <c r="X351" s="1290">
        <f>1603440000+465220000</f>
        <v>2068660000</v>
      </c>
      <c r="Y351" s="1290">
        <v>3272810000</v>
      </c>
      <c r="Z351" s="1290">
        <v>2692980000</v>
      </c>
      <c r="AA351" s="1290">
        <f xml:space="preserve"> 801720000 + 2251480000</f>
        <v>3053200000</v>
      </c>
      <c r="AB351" s="34">
        <f t="shared" si="142"/>
        <v>360220000</v>
      </c>
    </row>
    <row r="352" spans="2:30">
      <c r="B352" s="1158" t="s">
        <v>189</v>
      </c>
      <c r="C352" s="1159" t="s">
        <v>545</v>
      </c>
      <c r="D352" s="1159" t="s">
        <v>545</v>
      </c>
      <c r="E352" s="1159" t="s">
        <v>329</v>
      </c>
      <c r="F352" s="1159"/>
      <c r="G352" s="1159"/>
      <c r="H352" s="1159"/>
      <c r="I352" s="1162" t="s">
        <v>274</v>
      </c>
      <c r="J352" s="1159" t="str">
        <f t="shared" ref="J352:J358" si="153">B352&amp;"_"&amp;C352&amp;"_"&amp;D352&amp;"_"&amp;E352&amp;"_"&amp;I352</f>
        <v>lending_cashloan_cashloan_ZALOPAY_underwritting</v>
      </c>
      <c r="K352" s="1149"/>
      <c r="L352" s="1246" t="s">
        <v>232</v>
      </c>
      <c r="M352" s="1149">
        <f t="shared" ref="M352:M355" si="154">SUM(P352:AA352)</f>
        <v>1757318271.2349553</v>
      </c>
      <c r="N352" s="1149"/>
      <c r="O352" s="1149"/>
      <c r="P352" s="1265">
        <v>0</v>
      </c>
      <c r="Q352" s="1265">
        <v>0</v>
      </c>
      <c r="R352" s="1265">
        <v>51523.636527521143</v>
      </c>
      <c r="S352" s="1265">
        <v>0</v>
      </c>
      <c r="T352" s="1265">
        <v>58149912.811691023</v>
      </c>
      <c r="U352" s="1265">
        <v>92953816.836240113</v>
      </c>
      <c r="V352" s="1149">
        <v>123789298.37266384</v>
      </c>
      <c r="W352" s="1149">
        <v>232640111.9860585</v>
      </c>
      <c r="X352" s="1149">
        <v>249258346.28378773</v>
      </c>
      <c r="Y352" s="1149">
        <v>379469736.20583493</v>
      </c>
      <c r="Z352" s="1149">
        <v>288242224.32741982</v>
      </c>
      <c r="AA352" s="1149">
        <v>332763300.77473176</v>
      </c>
      <c r="AB352" s="34">
        <f t="shared" si="142"/>
        <v>44521076.447311938</v>
      </c>
    </row>
    <row r="353" spans="2:29">
      <c r="B353" s="1158" t="s">
        <v>189</v>
      </c>
      <c r="C353" s="1159" t="s">
        <v>545</v>
      </c>
      <c r="D353" s="1159" t="s">
        <v>545</v>
      </c>
      <c r="E353" s="1159" t="s">
        <v>329</v>
      </c>
      <c r="F353" s="1159"/>
      <c r="G353" s="1159"/>
      <c r="H353" s="1159"/>
      <c r="I353" s="1162" t="s">
        <v>275</v>
      </c>
      <c r="J353" s="1159" t="str">
        <f t="shared" si="153"/>
        <v>lending_cashloan_cashloan_ZALOPAY_e_contract</v>
      </c>
      <c r="K353" s="1149"/>
      <c r="L353" s="1246" t="s">
        <v>233</v>
      </c>
      <c r="M353" s="1149">
        <f t="shared" si="154"/>
        <v>52850516</v>
      </c>
      <c r="N353" s="1149"/>
      <c r="O353" s="1149"/>
      <c r="P353" s="1169"/>
      <c r="Q353" s="1253"/>
      <c r="R353" s="1253">
        <v>4079</v>
      </c>
      <c r="S353" s="1253"/>
      <c r="T353" s="1253">
        <v>2622831</v>
      </c>
      <c r="U353" s="1247">
        <v>4719768</v>
      </c>
      <c r="V353" s="1149">
        <v>6352192</v>
      </c>
      <c r="W353" s="1149">
        <v>10573200</v>
      </c>
      <c r="X353" s="1149">
        <v>6221772</v>
      </c>
      <c r="Y353" s="1149">
        <v>8000595</v>
      </c>
      <c r="Z353" s="1149">
        <v>6650414</v>
      </c>
      <c r="AA353" s="1149">
        <v>7705665</v>
      </c>
      <c r="AB353" s="34">
        <f t="shared" si="142"/>
        <v>1055251</v>
      </c>
    </row>
    <row r="354" spans="2:29">
      <c r="B354" s="1158" t="s">
        <v>189</v>
      </c>
      <c r="C354" s="1159" t="s">
        <v>545</v>
      </c>
      <c r="D354" s="1159" t="s">
        <v>545</v>
      </c>
      <c r="E354" s="1159" t="s">
        <v>329</v>
      </c>
      <c r="F354" s="1159"/>
      <c r="G354" s="1159"/>
      <c r="H354" s="1159"/>
      <c r="I354" s="1162" t="s">
        <v>276</v>
      </c>
      <c r="J354" s="1159" t="str">
        <f t="shared" si="153"/>
        <v>lending_cashloan_cashloan_ZALOPAY_nfc</v>
      </c>
      <c r="K354" s="1149"/>
      <c r="L354" s="1246" t="s">
        <v>152</v>
      </c>
      <c r="M354" s="1149">
        <f t="shared" si="154"/>
        <v>85587310.465157136</v>
      </c>
      <c r="N354" s="1149"/>
      <c r="O354" s="1149"/>
      <c r="P354" s="1169"/>
      <c r="Q354" s="1169"/>
      <c r="R354" s="1169">
        <v>7900.1429592566119</v>
      </c>
      <c r="S354" s="1147"/>
      <c r="T354" s="1169">
        <v>6281860.1995395236</v>
      </c>
      <c r="U354" s="1169">
        <v>9423518.7728735823</v>
      </c>
      <c r="V354" s="1149">
        <v>10901527.256273139</v>
      </c>
      <c r="W354" s="1149">
        <v>10296749.404030919</v>
      </c>
      <c r="X354" s="1149">
        <v>8012093.2871628441</v>
      </c>
      <c r="Y354" s="1149">
        <v>14772643.695297124</v>
      </c>
      <c r="Z354" s="1149">
        <v>11025972.169167804</v>
      </c>
      <c r="AA354" s="1149">
        <v>14865045.537852945</v>
      </c>
      <c r="AB354" s="34">
        <f t="shared" si="142"/>
        <v>3839073.3686851412</v>
      </c>
    </row>
    <row r="355" spans="2:29">
      <c r="B355" s="1158" t="s">
        <v>189</v>
      </c>
      <c r="C355" s="1159" t="s">
        <v>545</v>
      </c>
      <c r="D355" s="1159" t="s">
        <v>545</v>
      </c>
      <c r="E355" s="1159" t="s">
        <v>329</v>
      </c>
      <c r="F355" s="1159"/>
      <c r="G355" s="1159"/>
      <c r="H355" s="1159"/>
      <c r="I355" s="1162" t="s">
        <v>277</v>
      </c>
      <c r="J355" s="1159" t="str">
        <f t="shared" si="153"/>
        <v>lending_cashloan_cashloan_ZALOPAY_collection</v>
      </c>
      <c r="K355" s="1149"/>
      <c r="L355" s="1246" t="s">
        <v>234</v>
      </c>
      <c r="M355" s="1149">
        <f t="shared" si="154"/>
        <v>465363616.76585805</v>
      </c>
      <c r="N355" s="1149"/>
      <c r="O355" s="1149"/>
      <c r="P355" s="1169"/>
      <c r="Q355" s="1169"/>
      <c r="R355" s="1169"/>
      <c r="S355" s="1265">
        <v>13920.82600211419</v>
      </c>
      <c r="T355" s="1169">
        <v>15035.988946941185</v>
      </c>
      <c r="U355" s="1169">
        <v>7354639.6870371755</v>
      </c>
      <c r="V355" s="1169">
        <v>26828762</v>
      </c>
      <c r="W355" s="1149">
        <v>46328553.458103716</v>
      </c>
      <c r="X355" s="1149">
        <v>72622945.943943083</v>
      </c>
      <c r="Y355" s="1149">
        <v>64966260.277753942</v>
      </c>
      <c r="Z355" s="1149">
        <v>124235679.10524158</v>
      </c>
      <c r="AA355" s="1149">
        <v>122997819.47882952</v>
      </c>
      <c r="AB355" s="34">
        <f t="shared" si="142"/>
        <v>-1237859.6264120638</v>
      </c>
    </row>
    <row r="356" spans="2:29">
      <c r="B356" s="1158" t="s">
        <v>189</v>
      </c>
      <c r="C356" s="1159" t="s">
        <v>545</v>
      </c>
      <c r="D356" s="1159" t="s">
        <v>545</v>
      </c>
      <c r="E356" s="1159" t="s">
        <v>329</v>
      </c>
      <c r="F356" s="1159"/>
      <c r="G356" s="1159"/>
      <c r="H356" s="1159"/>
      <c r="I356" s="1162" t="s">
        <v>278</v>
      </c>
      <c r="J356" s="1159" t="str">
        <f t="shared" si="153"/>
        <v>lending_cashloan_cashloan_ZALOPAY_promotion</v>
      </c>
      <c r="K356" s="1149"/>
      <c r="L356" s="1246" t="s">
        <v>235</v>
      </c>
      <c r="M356" s="1149"/>
      <c r="N356" s="1149"/>
      <c r="O356" s="1149"/>
      <c r="P356" s="1169"/>
      <c r="Q356" s="1169"/>
      <c r="R356" s="1169"/>
      <c r="S356" s="1265"/>
      <c r="T356" s="1169"/>
      <c r="U356" s="1147"/>
      <c r="V356" s="1169"/>
      <c r="W356" s="1149"/>
      <c r="X356" s="1149"/>
      <c r="Y356" s="1149"/>
      <c r="Z356" s="1149"/>
      <c r="AA356" s="1149"/>
      <c r="AB356" s="34">
        <f t="shared" si="142"/>
        <v>0</v>
      </c>
    </row>
    <row r="357" spans="2:29">
      <c r="B357" s="1158" t="s">
        <v>189</v>
      </c>
      <c r="C357" s="1159" t="s">
        <v>545</v>
      </c>
      <c r="D357" s="1159" t="s">
        <v>545</v>
      </c>
      <c r="E357" s="1159" t="s">
        <v>329</v>
      </c>
      <c r="F357" s="1159"/>
      <c r="G357" s="1159"/>
      <c r="H357" s="1159"/>
      <c r="I357" s="1162" t="s">
        <v>279</v>
      </c>
      <c r="J357" s="1159" t="str">
        <f t="shared" si="153"/>
        <v>lending_cashloan_cashloan_ZALOPAY_sms</v>
      </c>
      <c r="K357" s="1149"/>
      <c r="L357" s="1249" t="s">
        <v>163</v>
      </c>
      <c r="M357" s="1149">
        <f>SUM(P357:AA357)</f>
        <v>60587176.82417044</v>
      </c>
      <c r="N357" s="1247"/>
      <c r="O357" s="1247"/>
      <c r="P357" s="1247"/>
      <c r="Q357" s="1247"/>
      <c r="R357" s="1247">
        <v>37.134459476109512</v>
      </c>
      <c r="S357" s="1247">
        <v>1175.8685832001552</v>
      </c>
      <c r="T357" s="1247">
        <v>47339.981031913376</v>
      </c>
      <c r="U357" s="1265">
        <v>1222035.8256586581</v>
      </c>
      <c r="V357" s="1149">
        <v>4183841.8270151638</v>
      </c>
      <c r="W357" s="1149">
        <v>5100190.9471244579</v>
      </c>
      <c r="X357" s="1149">
        <v>9493145.7188470755</v>
      </c>
      <c r="Y357" s="1149">
        <v>12058035.853897331</v>
      </c>
      <c r="Z357" s="1149">
        <v>14315384.399635356</v>
      </c>
      <c r="AA357" s="1149">
        <v>14165989.267917812</v>
      </c>
      <c r="AB357" s="34">
        <f t="shared" si="142"/>
        <v>-149395.13171754405</v>
      </c>
    </row>
    <row r="358" spans="2:29">
      <c r="B358" s="1158" t="s">
        <v>189</v>
      </c>
      <c r="C358" s="1159" t="s">
        <v>545</v>
      </c>
      <c r="D358" s="1159" t="s">
        <v>545</v>
      </c>
      <c r="E358" s="1159" t="s">
        <v>329</v>
      </c>
      <c r="F358" s="1159" t="str">
        <f>E358&amp;"CL"</f>
        <v>ZALOPAYCL</v>
      </c>
      <c r="G358" s="1159" t="str">
        <f>L358&amp;F358</f>
        <v>Profit before allocation costZALOPAYCL</v>
      </c>
      <c r="H358" s="1408" t="str">
        <f>L358&amp;E358</f>
        <v>Profit before allocation costZALOPAY</v>
      </c>
      <c r="I358" s="1162" t="s">
        <v>280</v>
      </c>
      <c r="J358" s="1159" t="str">
        <f t="shared" si="153"/>
        <v>lending_cashloan_cashloan_ZALOPAY_profit_before_overhead</v>
      </c>
      <c r="K358" s="1149"/>
      <c r="L358" s="1359" t="s">
        <v>236</v>
      </c>
      <c r="M358" s="1359">
        <f t="shared" ref="M358:AA358" si="155">M337-M348-M349</f>
        <v>52251178127.709862</v>
      </c>
      <c r="N358" s="1359">
        <f t="shared" si="155"/>
        <v>0</v>
      </c>
      <c r="O358" s="1359">
        <f t="shared" si="155"/>
        <v>0</v>
      </c>
      <c r="P358" s="1359">
        <f t="shared" si="155"/>
        <v>0</v>
      </c>
      <c r="Q358" s="1359">
        <f t="shared" si="155"/>
        <v>0</v>
      </c>
      <c r="R358" s="1359">
        <f t="shared" si="155"/>
        <v>1485254.0860537461</v>
      </c>
      <c r="S358" s="1359">
        <f t="shared" si="155"/>
        <v>316695.30541468563</v>
      </c>
      <c r="T358" s="1359">
        <f t="shared" si="155"/>
        <v>-499849722.9812094</v>
      </c>
      <c r="U358" s="1359">
        <f t="shared" si="155"/>
        <v>1595879386.8781905</v>
      </c>
      <c r="V358" s="1359">
        <f t="shared" si="155"/>
        <v>4363187148.5440483</v>
      </c>
      <c r="W358" s="1359">
        <f t="shared" si="155"/>
        <v>6712980679.2046824</v>
      </c>
      <c r="X358" s="1359">
        <f t="shared" si="155"/>
        <v>7622657362.7662592</v>
      </c>
      <c r="Y358" s="1359">
        <f t="shared" si="155"/>
        <v>11171541753.967216</v>
      </c>
      <c r="Z358" s="1359">
        <f t="shared" si="155"/>
        <v>11101792565.998535</v>
      </c>
      <c r="AA358" s="1359">
        <f t="shared" si="155"/>
        <v>10181187003.940668</v>
      </c>
      <c r="AB358" s="34">
        <f t="shared" si="142"/>
        <v>-920605562.05786705</v>
      </c>
      <c r="AC358" s="34">
        <f>SUM(P358:AA358)</f>
        <v>52251178127.709862</v>
      </c>
    </row>
    <row r="359" spans="2:29">
      <c r="B359" s="1158"/>
      <c r="C359" s="1159"/>
      <c r="D359" s="1159"/>
      <c r="E359" s="1159"/>
      <c r="F359" s="1159"/>
      <c r="G359" s="1159"/>
      <c r="H359" s="1159"/>
      <c r="I359" s="1160"/>
      <c r="J359" s="1159"/>
      <c r="K359" s="1149"/>
      <c r="L359" s="1153"/>
      <c r="M359" s="1150"/>
      <c r="N359" s="1150"/>
      <c r="O359" s="1150"/>
      <c r="P359" s="1150"/>
      <c r="Q359" s="1150"/>
      <c r="R359" s="1150"/>
      <c r="S359" s="1150"/>
      <c r="T359" s="1150"/>
      <c r="U359" s="1150"/>
      <c r="V359" s="1150"/>
      <c r="W359" s="1150"/>
      <c r="X359" s="1150"/>
      <c r="Y359" s="1150"/>
      <c r="Z359" s="1150"/>
      <c r="AA359" s="1150"/>
      <c r="AB359" s="34">
        <f t="shared" si="142"/>
        <v>0</v>
      </c>
    </row>
    <row r="360" spans="2:29">
      <c r="B360" s="1158" t="s">
        <v>189</v>
      </c>
      <c r="C360" s="1159" t="s">
        <v>545</v>
      </c>
      <c r="D360" s="1159" t="s">
        <v>545</v>
      </c>
      <c r="E360" s="1159" t="s">
        <v>312</v>
      </c>
      <c r="F360" s="1159"/>
      <c r="G360" s="1159"/>
      <c r="H360" s="1159"/>
      <c r="I360" s="1159"/>
      <c r="J360" s="1159" t="str">
        <f t="shared" ref="J360:J397" si="156">B360&amp;"_"&amp;C360&amp;"_"&amp;D360&amp;"_"&amp;E360&amp;"_"&amp;I360</f>
        <v>lending_cashloan_cashloan_VNPOST_</v>
      </c>
      <c r="K360" s="1149"/>
      <c r="L360" s="1146" t="s">
        <v>557</v>
      </c>
      <c r="M360" s="1146"/>
      <c r="N360" s="1146"/>
      <c r="O360" s="1146"/>
      <c r="P360" s="1146"/>
      <c r="Q360" s="1146"/>
      <c r="R360" s="1146"/>
      <c r="S360" s="1146"/>
      <c r="T360" s="1146"/>
      <c r="U360" s="1146"/>
      <c r="V360" s="1146"/>
      <c r="W360" s="1146"/>
      <c r="X360" s="1146"/>
      <c r="Y360" s="1146"/>
      <c r="Z360" s="1146"/>
      <c r="AA360" s="1146"/>
      <c r="AB360" s="34">
        <f t="shared" si="142"/>
        <v>0</v>
      </c>
    </row>
    <row r="361" spans="2:29">
      <c r="B361" s="1158" t="s">
        <v>189</v>
      </c>
      <c r="C361" s="1159" t="s">
        <v>545</v>
      </c>
      <c r="D361" s="1159" t="s">
        <v>545</v>
      </c>
      <c r="E361" s="1159" t="s">
        <v>312</v>
      </c>
      <c r="F361" s="1159"/>
      <c r="G361" s="1159"/>
      <c r="H361" s="1159"/>
      <c r="I361" s="1162" t="s">
        <v>239</v>
      </c>
      <c r="J361" s="1159" t="str">
        <f t="shared" si="156"/>
        <v>lending_cashloan_cashloan_VNPOST_new_account</v>
      </c>
      <c r="K361" s="1149"/>
      <c r="L361" s="1148" t="s">
        <v>193</v>
      </c>
      <c r="M361" s="1149">
        <f>SUM(P361:AA361)</f>
        <v>1976</v>
      </c>
      <c r="N361" s="1169"/>
      <c r="O361" s="1169"/>
      <c r="P361" s="1169"/>
      <c r="Q361" s="1267"/>
      <c r="R361" s="1169"/>
      <c r="S361" s="1169">
        <v>1</v>
      </c>
      <c r="T361" s="1267">
        <v>7</v>
      </c>
      <c r="U361" s="1169">
        <v>46</v>
      </c>
      <c r="V361" s="1361">
        <v>49</v>
      </c>
      <c r="W361" s="1169">
        <v>50</v>
      </c>
      <c r="X361" s="1169">
        <v>152</v>
      </c>
      <c r="Y361" s="1169">
        <v>290</v>
      </c>
      <c r="Z361" s="1169">
        <v>495</v>
      </c>
      <c r="AA361" s="1169">
        <v>886</v>
      </c>
      <c r="AB361" s="34">
        <f t="shared" si="142"/>
        <v>391</v>
      </c>
    </row>
    <row r="362" spans="2:29">
      <c r="B362" s="1158" t="s">
        <v>189</v>
      </c>
      <c r="C362" s="1159" t="s">
        <v>545</v>
      </c>
      <c r="D362" s="1159" t="s">
        <v>545</v>
      </c>
      <c r="E362" s="1159" t="s">
        <v>312</v>
      </c>
      <c r="F362" s="1159"/>
      <c r="G362" s="1159"/>
      <c r="H362" s="1159"/>
      <c r="I362" s="1148" t="s">
        <v>527</v>
      </c>
      <c r="J362" s="1159" t="str">
        <f t="shared" si="156"/>
        <v>lending_cashloan_cashloan_VNPOST_Repeat account</v>
      </c>
      <c r="K362" s="1149"/>
      <c r="L362" s="1148" t="s">
        <v>527</v>
      </c>
      <c r="M362" s="1149"/>
      <c r="N362" s="1169"/>
      <c r="O362" s="1169"/>
      <c r="P362" s="1169"/>
      <c r="Q362" s="1267"/>
      <c r="R362" s="1169"/>
      <c r="S362" s="1169"/>
      <c r="T362" s="1267"/>
      <c r="U362" s="1169"/>
      <c r="V362" s="1169">
        <v>213</v>
      </c>
      <c r="W362" s="1169"/>
      <c r="X362" s="1169">
        <v>8</v>
      </c>
      <c r="Y362" s="1169">
        <v>13</v>
      </c>
      <c r="Z362" s="1169">
        <v>38</v>
      </c>
      <c r="AA362" s="1169">
        <v>79</v>
      </c>
      <c r="AB362" s="34">
        <f t="shared" si="142"/>
        <v>41</v>
      </c>
    </row>
    <row r="363" spans="2:29">
      <c r="B363" s="1158" t="s">
        <v>189</v>
      </c>
      <c r="C363" s="1159" t="s">
        <v>545</v>
      </c>
      <c r="D363" s="1159" t="s">
        <v>545</v>
      </c>
      <c r="E363" s="1159" t="s">
        <v>312</v>
      </c>
      <c r="F363" s="1159"/>
      <c r="G363" s="1159"/>
      <c r="H363" s="1159"/>
      <c r="I363" s="1162" t="s">
        <v>241</v>
      </c>
      <c r="J363" s="1159" t="str">
        <f t="shared" si="156"/>
        <v>lending_cashloan_cashloan_VNPOST_active_account</v>
      </c>
      <c r="K363" s="1149"/>
      <c r="L363" s="1148" t="s">
        <v>194</v>
      </c>
      <c r="M363" s="1149">
        <f>SUM(P363:AA363)</f>
        <v>4086</v>
      </c>
      <c r="N363" s="1169"/>
      <c r="O363" s="1169"/>
      <c r="P363" s="1169"/>
      <c r="Q363" s="1267"/>
      <c r="R363" s="1267"/>
      <c r="S363" s="1169"/>
      <c r="T363" s="1267">
        <v>10</v>
      </c>
      <c r="U363" s="1247">
        <v>55</v>
      </c>
      <c r="V363" s="1361">
        <v>103</v>
      </c>
      <c r="W363" s="1169">
        <v>152</v>
      </c>
      <c r="X363" s="1169">
        <v>301</v>
      </c>
      <c r="Y363" s="1169">
        <v>581</v>
      </c>
      <c r="Z363" s="1169">
        <v>1030</v>
      </c>
      <c r="AA363" s="1169">
        <v>1854</v>
      </c>
      <c r="AB363" s="34">
        <f t="shared" si="142"/>
        <v>824</v>
      </c>
    </row>
    <row r="364" spans="2:29">
      <c r="B364" s="1158" t="s">
        <v>189</v>
      </c>
      <c r="C364" s="1159" t="s">
        <v>545</v>
      </c>
      <c r="D364" s="1159" t="s">
        <v>545</v>
      </c>
      <c r="E364" s="1159" t="s">
        <v>312</v>
      </c>
      <c r="F364" s="1159" t="str">
        <f>E364&amp;"CL"</f>
        <v>VNPOSTCL</v>
      </c>
      <c r="G364" s="1159" t="str">
        <f>L364&amp;F364</f>
        <v>DisbursementVNPOSTCL</v>
      </c>
      <c r="H364" s="1408" t="str">
        <f>L364&amp;E364</f>
        <v>DisbursementVNPOST</v>
      </c>
      <c r="I364" s="1162" t="s">
        <v>242</v>
      </c>
      <c r="J364" s="1159" t="str">
        <f t="shared" si="156"/>
        <v>lending_cashloan_cashloan_VNPOST_disburse/spend</v>
      </c>
      <c r="K364" s="1149"/>
      <c r="L364" s="1169" t="s">
        <v>80</v>
      </c>
      <c r="M364" s="1149">
        <f>SUM(P364:AA364)</f>
        <v>37864400000</v>
      </c>
      <c r="N364" s="1149"/>
      <c r="O364" s="1149"/>
      <c r="P364" s="1149"/>
      <c r="Q364" s="1169"/>
      <c r="R364" s="1169"/>
      <c r="S364" s="1169">
        <v>18900000</v>
      </c>
      <c r="T364" s="1169">
        <v>78100000</v>
      </c>
      <c r="U364" s="1169">
        <v>595050000</v>
      </c>
      <c r="V364" s="1290">
        <v>606800000</v>
      </c>
      <c r="W364" s="1169">
        <v>611450000</v>
      </c>
      <c r="X364" s="1169">
        <v>2503750000</v>
      </c>
      <c r="Y364" s="1169">
        <v>5961750000</v>
      </c>
      <c r="Z364" s="1149">
        <v>10022250000</v>
      </c>
      <c r="AA364" s="1149">
        <v>17466350000</v>
      </c>
      <c r="AB364" s="34">
        <f t="shared" si="142"/>
        <v>7444100000</v>
      </c>
      <c r="AC364" s="34">
        <f>SUM(P364:AA364)</f>
        <v>37864400000</v>
      </c>
    </row>
    <row r="365" spans="2:29">
      <c r="B365" s="1158" t="s">
        <v>189</v>
      </c>
      <c r="C365" s="1159" t="s">
        <v>545</v>
      </c>
      <c r="D365" s="1159" t="s">
        <v>545</v>
      </c>
      <c r="E365" s="1159" t="s">
        <v>312</v>
      </c>
      <c r="F365" s="1159"/>
      <c r="G365" s="1159"/>
      <c r="H365" s="1159"/>
      <c r="I365" s="1160"/>
      <c r="J365" s="1159" t="str">
        <f t="shared" si="156"/>
        <v>lending_cashloan_cashloan_VNPOST_</v>
      </c>
      <c r="K365" s="1149"/>
      <c r="L365" s="1169" t="s">
        <v>528</v>
      </c>
      <c r="M365" s="1149">
        <f>SUM(P365:AA365)</f>
        <v>28486500000</v>
      </c>
      <c r="N365" s="1149"/>
      <c r="O365" s="1149"/>
      <c r="P365" s="1169"/>
      <c r="Q365" s="1169"/>
      <c r="R365" s="1169"/>
      <c r="S365" s="1169"/>
      <c r="T365" s="1149">
        <v>23100000</v>
      </c>
      <c r="U365" s="1149">
        <v>442050000</v>
      </c>
      <c r="V365" s="1290">
        <v>520800000</v>
      </c>
      <c r="W365" s="1169">
        <v>492450000</v>
      </c>
      <c r="X365" s="1169">
        <v>2052750000</v>
      </c>
      <c r="Y365" s="1149">
        <v>4950750000</v>
      </c>
      <c r="Z365" s="1149">
        <v>7103250000</v>
      </c>
      <c r="AA365" s="1149">
        <v>12901350000</v>
      </c>
      <c r="AB365" s="34">
        <f t="shared" si="142"/>
        <v>5798100000</v>
      </c>
    </row>
    <row r="366" spans="2:29">
      <c r="B366" s="1158" t="s">
        <v>189</v>
      </c>
      <c r="C366" s="1159" t="s">
        <v>545</v>
      </c>
      <c r="D366" s="1159" t="s">
        <v>545</v>
      </c>
      <c r="E366" s="1159" t="s">
        <v>312</v>
      </c>
      <c r="F366" s="1159"/>
      <c r="G366" s="1159"/>
      <c r="H366" s="1159"/>
      <c r="I366" s="1160"/>
      <c r="J366" s="1159" t="str">
        <f t="shared" si="156"/>
        <v>lending_cashloan_cashloan_VNPOST_</v>
      </c>
      <c r="K366" s="1149"/>
      <c r="L366" s="1169" t="s">
        <v>529</v>
      </c>
      <c r="M366" s="1149">
        <f>SUM(P366:AA366)</f>
        <v>9377900000</v>
      </c>
      <c r="N366" s="1149">
        <f t="shared" ref="N366:AA366" si="157">N364-N365</f>
        <v>0</v>
      </c>
      <c r="O366" s="1149">
        <f t="shared" si="157"/>
        <v>0</v>
      </c>
      <c r="P366" s="1149">
        <f t="shared" si="157"/>
        <v>0</v>
      </c>
      <c r="Q366" s="1149">
        <f t="shared" si="157"/>
        <v>0</v>
      </c>
      <c r="R366" s="1149">
        <f t="shared" si="157"/>
        <v>0</v>
      </c>
      <c r="S366" s="1149">
        <f t="shared" si="157"/>
        <v>18900000</v>
      </c>
      <c r="T366" s="1149">
        <f t="shared" si="157"/>
        <v>55000000</v>
      </c>
      <c r="U366" s="1149">
        <f t="shared" si="157"/>
        <v>153000000</v>
      </c>
      <c r="V366" s="1149">
        <f t="shared" si="157"/>
        <v>86000000</v>
      </c>
      <c r="W366" s="1149">
        <f t="shared" si="157"/>
        <v>119000000</v>
      </c>
      <c r="X366" s="1149">
        <f t="shared" si="157"/>
        <v>451000000</v>
      </c>
      <c r="Y366" s="1149">
        <f t="shared" si="157"/>
        <v>1011000000</v>
      </c>
      <c r="Z366" s="1149">
        <f t="shared" si="157"/>
        <v>2919000000</v>
      </c>
      <c r="AA366" s="1149">
        <f t="shared" si="157"/>
        <v>4565000000</v>
      </c>
      <c r="AB366" s="34">
        <f t="shared" si="142"/>
        <v>1646000000</v>
      </c>
    </row>
    <row r="367" spans="2:29">
      <c r="B367" s="1158" t="s">
        <v>189</v>
      </c>
      <c r="C367" s="1159" t="s">
        <v>545</v>
      </c>
      <c r="D367" s="1159" t="s">
        <v>545</v>
      </c>
      <c r="E367" s="1159" t="s">
        <v>312</v>
      </c>
      <c r="F367" s="1159"/>
      <c r="G367" s="1159"/>
      <c r="H367" s="1159"/>
      <c r="I367" s="1162" t="s">
        <v>243</v>
      </c>
      <c r="J367" s="1159" t="str">
        <f t="shared" si="156"/>
        <v>lending_cashloan_cashloan_VNPOST_ENR</v>
      </c>
      <c r="K367" s="1149"/>
      <c r="L367" s="1169" t="s">
        <v>530</v>
      </c>
      <c r="M367" s="1149">
        <f>AA367</f>
        <v>34131452680</v>
      </c>
      <c r="N367" s="1169"/>
      <c r="O367" s="1149"/>
      <c r="P367" s="1169"/>
      <c r="Q367" s="1273"/>
      <c r="R367" s="1169"/>
      <c r="S367" s="1169">
        <v>31810609</v>
      </c>
      <c r="T367" s="1169">
        <v>107196374</v>
      </c>
      <c r="U367" s="1169">
        <v>692239123</v>
      </c>
      <c r="V367" s="1169">
        <v>1249560912</v>
      </c>
      <c r="W367" s="1254">
        <v>1781017598</v>
      </c>
      <c r="X367" s="1169">
        <v>4151089766</v>
      </c>
      <c r="Y367" s="1169">
        <v>9760122310</v>
      </c>
      <c r="Z367" s="1169">
        <v>18483847677</v>
      </c>
      <c r="AA367" s="1149">
        <v>34131452680</v>
      </c>
      <c r="AB367" s="34">
        <f t="shared" si="142"/>
        <v>15647605003</v>
      </c>
    </row>
    <row r="368" spans="2:29">
      <c r="B368" s="1158" t="s">
        <v>189</v>
      </c>
      <c r="C368" s="1159" t="s">
        <v>545</v>
      </c>
      <c r="D368" s="1159" t="s">
        <v>545</v>
      </c>
      <c r="E368" s="1159" t="s">
        <v>312</v>
      </c>
      <c r="F368" s="1159"/>
      <c r="G368" s="1159"/>
      <c r="H368" s="1159"/>
      <c r="I368" s="1160"/>
      <c r="J368" s="1159" t="str">
        <f t="shared" si="156"/>
        <v>lending_cashloan_cashloan_VNPOST_</v>
      </c>
      <c r="K368" s="1149"/>
      <c r="L368" s="1235" t="s">
        <v>531</v>
      </c>
      <c r="M368" s="1149">
        <f>AA368</f>
        <v>34017464028</v>
      </c>
      <c r="N368" s="1273">
        <f t="shared" ref="N368:AA368" si="158">N367-N369</f>
        <v>0</v>
      </c>
      <c r="O368" s="1273">
        <f t="shared" si="158"/>
        <v>0</v>
      </c>
      <c r="P368" s="1273">
        <f t="shared" si="158"/>
        <v>0</v>
      </c>
      <c r="Q368" s="1273">
        <f t="shared" si="158"/>
        <v>0</v>
      </c>
      <c r="R368" s="1273">
        <f t="shared" si="158"/>
        <v>0</v>
      </c>
      <c r="S368" s="1273">
        <f t="shared" si="158"/>
        <v>31810609</v>
      </c>
      <c r="T368" s="1273">
        <f t="shared" si="158"/>
        <v>107196374</v>
      </c>
      <c r="U368" s="1273">
        <f t="shared" si="158"/>
        <v>692239123</v>
      </c>
      <c r="V368" s="1273">
        <f t="shared" si="158"/>
        <v>1249560912</v>
      </c>
      <c r="W368" s="1273">
        <f t="shared" si="158"/>
        <v>1780023389</v>
      </c>
      <c r="X368" s="1273">
        <f t="shared" si="158"/>
        <v>4147823664</v>
      </c>
      <c r="Y368" s="1273">
        <f t="shared" si="158"/>
        <v>9752549140</v>
      </c>
      <c r="Z368" s="1273">
        <f t="shared" si="158"/>
        <v>18447137215</v>
      </c>
      <c r="AA368" s="1273">
        <f t="shared" si="158"/>
        <v>34017464028</v>
      </c>
      <c r="AB368" s="34">
        <f t="shared" si="142"/>
        <v>15570326813</v>
      </c>
    </row>
    <row r="369" spans="2:30">
      <c r="B369" s="1158" t="s">
        <v>189</v>
      </c>
      <c r="C369" s="1159" t="s">
        <v>545</v>
      </c>
      <c r="D369" s="1159" t="s">
        <v>545</v>
      </c>
      <c r="E369" s="1159" t="s">
        <v>312</v>
      </c>
      <c r="F369" s="1159"/>
      <c r="G369" s="1159"/>
      <c r="H369" s="1159"/>
      <c r="I369" s="1160"/>
      <c r="J369" s="1159" t="str">
        <f t="shared" si="156"/>
        <v>lending_cashloan_cashloan_VNPOST_</v>
      </c>
      <c r="K369" s="1149"/>
      <c r="L369" s="1235" t="s">
        <v>532</v>
      </c>
      <c r="M369" s="1149">
        <f>AA369</f>
        <v>113988652</v>
      </c>
      <c r="N369" s="1255">
        <v>0</v>
      </c>
      <c r="O369" s="1273"/>
      <c r="P369" s="1273"/>
      <c r="Q369" s="1273"/>
      <c r="R369" s="1255"/>
      <c r="S369" s="1255"/>
      <c r="T369" s="1247"/>
      <c r="U369" s="1236"/>
      <c r="V369" s="1236"/>
      <c r="W369" s="1236">
        <v>994209</v>
      </c>
      <c r="X369" s="1255">
        <v>3266102</v>
      </c>
      <c r="Y369" s="1255">
        <v>7573170</v>
      </c>
      <c r="Z369" s="1255">
        <v>36710462</v>
      </c>
      <c r="AA369" s="1273">
        <v>113988652</v>
      </c>
      <c r="AB369" s="34">
        <f t="shared" si="142"/>
        <v>77278190</v>
      </c>
    </row>
    <row r="370" spans="2:30">
      <c r="B370" s="1158" t="s">
        <v>189</v>
      </c>
      <c r="C370" s="1159" t="s">
        <v>545</v>
      </c>
      <c r="D370" s="1159" t="s">
        <v>545</v>
      </c>
      <c r="E370" s="1159" t="s">
        <v>312</v>
      </c>
      <c r="F370" s="1159"/>
      <c r="G370" s="1159"/>
      <c r="H370" s="1159"/>
      <c r="I370" s="1160"/>
      <c r="J370" s="1159" t="str">
        <f t="shared" si="156"/>
        <v>lending_cashloan_cashloan_VNPOST_</v>
      </c>
      <c r="K370" s="1149"/>
      <c r="L370" s="1148" t="s">
        <v>533</v>
      </c>
      <c r="M370" s="1149"/>
      <c r="N370" s="1255"/>
      <c r="O370" s="1273"/>
      <c r="P370" s="1273"/>
      <c r="Q370" s="1273"/>
      <c r="R370" s="1280"/>
      <c r="S370" s="1255"/>
      <c r="T370" s="1247"/>
      <c r="U370" s="1236"/>
      <c r="V370" s="1236"/>
      <c r="W370" s="1277"/>
      <c r="X370" s="1255"/>
      <c r="Y370" s="1255"/>
      <c r="Z370" s="1255">
        <v>9983673</v>
      </c>
      <c r="AA370" s="1273">
        <v>9983673</v>
      </c>
      <c r="AB370" s="34">
        <f t="shared" si="142"/>
        <v>0</v>
      </c>
    </row>
    <row r="371" spans="2:30">
      <c r="B371" s="1158" t="s">
        <v>189</v>
      </c>
      <c r="C371" s="1159" t="s">
        <v>545</v>
      </c>
      <c r="D371" s="1159" t="s">
        <v>545</v>
      </c>
      <c r="E371" s="1159" t="s">
        <v>312</v>
      </c>
      <c r="F371" s="1159"/>
      <c r="G371" s="1159"/>
      <c r="H371" s="1159"/>
      <c r="I371" s="1162" t="s">
        <v>247</v>
      </c>
      <c r="J371" s="1159" t="str">
        <f t="shared" si="156"/>
        <v>lending_cashloan_cashloan_VNPOST_overdue_balance_10d</v>
      </c>
      <c r="K371" s="1149"/>
      <c r="L371" s="1169" t="s">
        <v>534</v>
      </c>
      <c r="M371" s="1149"/>
      <c r="N371" s="1255"/>
      <c r="O371" s="1273"/>
      <c r="P371" s="1273"/>
      <c r="Q371" s="1273"/>
      <c r="R371" s="1273"/>
      <c r="S371" s="1273"/>
      <c r="T371" s="1273"/>
      <c r="U371" s="1273"/>
      <c r="V371" s="1293">
        <v>8104487</v>
      </c>
      <c r="W371" s="1273">
        <v>18527905</v>
      </c>
      <c r="X371" s="1273">
        <v>148354122</v>
      </c>
      <c r="Y371" s="1273">
        <v>218061852</v>
      </c>
      <c r="Z371" s="1273">
        <v>882659768</v>
      </c>
      <c r="AA371" s="1273">
        <v>2733893933</v>
      </c>
      <c r="AB371" s="34">
        <f t="shared" si="142"/>
        <v>1851234165</v>
      </c>
    </row>
    <row r="372" spans="2:30">
      <c r="B372" s="1158" t="s">
        <v>189</v>
      </c>
      <c r="C372" s="1159" t="s">
        <v>545</v>
      </c>
      <c r="D372" s="1159" t="s">
        <v>545</v>
      </c>
      <c r="E372" s="1159" t="s">
        <v>312</v>
      </c>
      <c r="F372" s="1159"/>
      <c r="G372" s="1159"/>
      <c r="H372" s="1159"/>
      <c r="I372" s="1162" t="s">
        <v>248</v>
      </c>
      <c r="J372" s="1159" t="str">
        <f t="shared" si="156"/>
        <v>lending_cashloan_cashloan_VNPOST_overdue_balance_90d</v>
      </c>
      <c r="K372" s="1149"/>
      <c r="L372" s="1169" t="s">
        <v>535</v>
      </c>
      <c r="M372" s="1149"/>
      <c r="N372" s="1255"/>
      <c r="O372" s="1273"/>
      <c r="P372" s="1273"/>
      <c r="Q372" s="1273"/>
      <c r="R372" s="1273"/>
      <c r="S372" s="1273"/>
      <c r="T372" s="1273"/>
      <c r="U372" s="1273"/>
      <c r="V372" s="1273"/>
      <c r="W372" s="1273"/>
      <c r="X372" s="1273"/>
      <c r="Y372" s="1273"/>
      <c r="Z372" s="1273">
        <v>18819628</v>
      </c>
      <c r="AA372" s="1273">
        <v>86217926</v>
      </c>
      <c r="AB372" s="34">
        <f t="shared" si="142"/>
        <v>67398298</v>
      </c>
    </row>
    <row r="373" spans="2:30">
      <c r="B373" s="1158" t="s">
        <v>189</v>
      </c>
      <c r="C373" s="1159" t="s">
        <v>545</v>
      </c>
      <c r="D373" s="1159" t="s">
        <v>545</v>
      </c>
      <c r="E373" s="1159" t="s">
        <v>312</v>
      </c>
      <c r="F373" s="1159"/>
      <c r="G373" s="1159"/>
      <c r="H373" s="1159"/>
      <c r="I373" s="1160"/>
      <c r="J373" s="1159" t="str">
        <f t="shared" si="156"/>
        <v>lending_cashloan_cashloan_VNPOST_</v>
      </c>
      <c r="K373" s="1149"/>
      <c r="L373" s="1169" t="s">
        <v>536</v>
      </c>
      <c r="M373" s="1149"/>
      <c r="N373" s="1169"/>
      <c r="O373" s="1169"/>
      <c r="P373" s="1169"/>
      <c r="Q373" s="1169"/>
      <c r="R373" s="1169"/>
      <c r="S373" s="1169"/>
      <c r="T373" s="1169"/>
      <c r="U373" s="1169"/>
      <c r="V373" s="1169">
        <f t="shared" ref="V373:X373" si="159">V371-V372</f>
        <v>8104487</v>
      </c>
      <c r="W373" s="1169">
        <f t="shared" si="159"/>
        <v>18527905</v>
      </c>
      <c r="X373" s="1169">
        <f t="shared" si="159"/>
        <v>148354122</v>
      </c>
      <c r="Y373" s="1290"/>
      <c r="Z373" s="1290"/>
      <c r="AA373" s="1169"/>
      <c r="AB373" s="34">
        <f t="shared" si="142"/>
        <v>0</v>
      </c>
    </row>
    <row r="374" spans="2:30">
      <c r="B374" s="1158" t="s">
        <v>189</v>
      </c>
      <c r="C374" s="1159" t="s">
        <v>545</v>
      </c>
      <c r="D374" s="1159" t="s">
        <v>545</v>
      </c>
      <c r="E374" s="1159" t="s">
        <v>312</v>
      </c>
      <c r="F374" s="1159"/>
      <c r="G374" s="1159"/>
      <c r="H374" s="1159"/>
      <c r="I374" s="1160"/>
      <c r="J374" s="1159" t="str">
        <f t="shared" si="156"/>
        <v>lending_cashloan_cashloan_VNPOST_</v>
      </c>
      <c r="K374" s="1149"/>
      <c r="L374" s="1169" t="s">
        <v>537</v>
      </c>
      <c r="M374" s="1149"/>
      <c r="N374" s="1269"/>
      <c r="O374" s="1269"/>
      <c r="P374" s="1269"/>
      <c r="Q374" s="1269"/>
      <c r="R374" s="1269"/>
      <c r="S374" s="1269">
        <f t="shared" ref="S374:AA374" si="160">S372/S367</f>
        <v>0</v>
      </c>
      <c r="T374" s="1269">
        <f t="shared" si="160"/>
        <v>0</v>
      </c>
      <c r="U374" s="1269">
        <f t="shared" si="160"/>
        <v>0</v>
      </c>
      <c r="V374" s="1269">
        <f t="shared" si="160"/>
        <v>0</v>
      </c>
      <c r="W374" s="1269">
        <f t="shared" si="160"/>
        <v>0</v>
      </c>
      <c r="X374" s="1269">
        <f t="shared" si="160"/>
        <v>0</v>
      </c>
      <c r="Y374" s="1269">
        <f t="shared" si="160"/>
        <v>0</v>
      </c>
      <c r="Z374" s="1269">
        <f t="shared" si="160"/>
        <v>1.0181661485675314E-3</v>
      </c>
      <c r="AA374" s="1269">
        <f t="shared" si="160"/>
        <v>2.5260549795034391E-3</v>
      </c>
      <c r="AB374" s="34">
        <f t="shared" si="142"/>
        <v>1.5078888309359077E-3</v>
      </c>
    </row>
    <row r="375" spans="2:30">
      <c r="B375" s="1158" t="s">
        <v>189</v>
      </c>
      <c r="C375" s="1159" t="s">
        <v>545</v>
      </c>
      <c r="D375" s="1159" t="s">
        <v>545</v>
      </c>
      <c r="E375" s="1159" t="s">
        <v>312</v>
      </c>
      <c r="F375" s="1159"/>
      <c r="G375" s="1159"/>
      <c r="H375" s="1159"/>
      <c r="I375" s="1162" t="s">
        <v>213</v>
      </c>
      <c r="J375" s="1159" t="str">
        <f t="shared" si="156"/>
        <v>lending_cashloan_cashloan_VNPOST_npl</v>
      </c>
      <c r="K375" s="1149"/>
      <c r="L375" s="1169" t="s">
        <v>538</v>
      </c>
      <c r="M375" s="1149"/>
      <c r="N375" s="1269"/>
      <c r="O375" s="1269"/>
      <c r="P375" s="1269"/>
      <c r="Q375" s="1269"/>
      <c r="R375" s="1269"/>
      <c r="S375" s="1269">
        <f t="shared" ref="S375:AA375" si="161">S373/S367</f>
        <v>0</v>
      </c>
      <c r="T375" s="1269">
        <f t="shared" si="161"/>
        <v>0</v>
      </c>
      <c r="U375" s="1269">
        <f t="shared" si="161"/>
        <v>0</v>
      </c>
      <c r="V375" s="1269">
        <f t="shared" si="161"/>
        <v>6.4858678934092652E-3</v>
      </c>
      <c r="W375" s="1269">
        <f t="shared" si="161"/>
        <v>1.0402988168564969E-2</v>
      </c>
      <c r="X375" s="1269">
        <f t="shared" si="161"/>
        <v>3.5738596456070949E-2</v>
      </c>
      <c r="Y375" s="1269">
        <f>Y373/Y367</f>
        <v>0</v>
      </c>
      <c r="Z375" s="1269">
        <f>Z373/Z367</f>
        <v>0</v>
      </c>
      <c r="AA375" s="1269">
        <f t="shared" si="161"/>
        <v>0</v>
      </c>
      <c r="AB375" s="34">
        <f t="shared" si="142"/>
        <v>0</v>
      </c>
    </row>
    <row r="376" spans="2:30">
      <c r="B376" s="1158" t="s">
        <v>189</v>
      </c>
      <c r="C376" s="1159" t="s">
        <v>545</v>
      </c>
      <c r="D376" s="1159" t="s">
        <v>545</v>
      </c>
      <c r="E376" s="1159" t="s">
        <v>312</v>
      </c>
      <c r="F376" s="1159" t="str">
        <f>E376&amp;"CL"</f>
        <v>VNPOSTCL</v>
      </c>
      <c r="G376" s="1159" t="str">
        <f>L376&amp;F376</f>
        <v>TOIVNPOSTCL</v>
      </c>
      <c r="H376" s="1408" t="str">
        <f>L376&amp;E376</f>
        <v>TOIVNPOST</v>
      </c>
      <c r="I376" s="1162" t="s">
        <v>217</v>
      </c>
      <c r="J376" s="1159" t="str">
        <f t="shared" si="156"/>
        <v>lending_cashloan_cashloan_VNPOST_TOI</v>
      </c>
      <c r="K376" s="1149"/>
      <c r="L376" s="1238" t="s">
        <v>217</v>
      </c>
      <c r="M376" s="1150">
        <f t="shared" ref="M376:AA376" si="162">M377+M382+M386</f>
        <v>2877741197</v>
      </c>
      <c r="N376" s="1150">
        <f t="shared" si="162"/>
        <v>0</v>
      </c>
      <c r="O376" s="1150">
        <f t="shared" si="162"/>
        <v>0</v>
      </c>
      <c r="P376" s="1150">
        <f t="shared" si="162"/>
        <v>0</v>
      </c>
      <c r="Q376" s="1150">
        <f t="shared" si="162"/>
        <v>0</v>
      </c>
      <c r="R376" s="1150">
        <f t="shared" si="162"/>
        <v>0</v>
      </c>
      <c r="S376" s="1150">
        <f t="shared" si="162"/>
        <v>0</v>
      </c>
      <c r="T376" s="1150">
        <f t="shared" si="162"/>
        <v>2615312</v>
      </c>
      <c r="U376" s="1150">
        <f t="shared" si="162"/>
        <v>30531307</v>
      </c>
      <c r="V376" s="1150">
        <f t="shared" si="162"/>
        <v>54665891</v>
      </c>
      <c r="W376" s="1150">
        <f t="shared" si="162"/>
        <v>72265236</v>
      </c>
      <c r="X376" s="1150">
        <f t="shared" si="162"/>
        <v>171918967</v>
      </c>
      <c r="Y376" s="1150">
        <f t="shared" si="162"/>
        <v>440610628</v>
      </c>
      <c r="Z376" s="1150">
        <f t="shared" si="162"/>
        <v>741016138</v>
      </c>
      <c r="AA376" s="1150">
        <f t="shared" si="162"/>
        <v>1364117718</v>
      </c>
      <c r="AB376" s="34">
        <f t="shared" si="142"/>
        <v>623101580</v>
      </c>
      <c r="AC376" s="34">
        <f>SUM(P376:AA376)</f>
        <v>2877741197</v>
      </c>
    </row>
    <row r="377" spans="2:30">
      <c r="B377" s="1158" t="s">
        <v>189</v>
      </c>
      <c r="C377" s="1159" t="s">
        <v>545</v>
      </c>
      <c r="D377" s="1159" t="s">
        <v>545</v>
      </c>
      <c r="E377" s="1159" t="s">
        <v>312</v>
      </c>
      <c r="F377" s="1159"/>
      <c r="G377" s="1159"/>
      <c r="H377" s="1159"/>
      <c r="I377" s="1162" t="s">
        <v>254</v>
      </c>
      <c r="J377" s="1159" t="str">
        <f t="shared" si="156"/>
        <v>lending_cashloan_cashloan_VNPOST_NII</v>
      </c>
      <c r="K377" s="1149"/>
      <c r="L377" s="1239" t="s">
        <v>218</v>
      </c>
      <c r="M377" s="1150">
        <f t="shared" ref="M377:AA377" si="163">M378-M381</f>
        <v>1668140089</v>
      </c>
      <c r="N377" s="1150">
        <f t="shared" si="163"/>
        <v>0</v>
      </c>
      <c r="O377" s="1150">
        <f t="shared" si="163"/>
        <v>0</v>
      </c>
      <c r="P377" s="1150">
        <f t="shared" si="163"/>
        <v>0</v>
      </c>
      <c r="Q377" s="1150">
        <f t="shared" si="163"/>
        <v>0</v>
      </c>
      <c r="R377" s="1150">
        <f t="shared" si="163"/>
        <v>0</v>
      </c>
      <c r="S377" s="1150">
        <f t="shared" si="163"/>
        <v>0</v>
      </c>
      <c r="T377" s="1150">
        <f t="shared" si="163"/>
        <v>1673460</v>
      </c>
      <c r="U377" s="1150">
        <f t="shared" si="163"/>
        <v>12507687</v>
      </c>
      <c r="V377" s="1150">
        <f t="shared" si="163"/>
        <v>33622984</v>
      </c>
      <c r="W377" s="1150">
        <f t="shared" si="163"/>
        <v>52356796</v>
      </c>
      <c r="X377" s="1150">
        <f t="shared" si="163"/>
        <v>89389307</v>
      </c>
      <c r="Y377" s="1150">
        <f t="shared" si="163"/>
        <v>239305726</v>
      </c>
      <c r="Z377" s="1150">
        <f t="shared" si="163"/>
        <v>428536763</v>
      </c>
      <c r="AA377" s="1150">
        <f t="shared" si="163"/>
        <v>810747366</v>
      </c>
      <c r="AB377" s="34">
        <f t="shared" si="142"/>
        <v>382210603</v>
      </c>
    </row>
    <row r="378" spans="2:30">
      <c r="B378" s="1158" t="s">
        <v>189</v>
      </c>
      <c r="C378" s="1159" t="s">
        <v>545</v>
      </c>
      <c r="D378" s="1159" t="s">
        <v>545</v>
      </c>
      <c r="E378" s="1159" t="s">
        <v>312</v>
      </c>
      <c r="F378" s="1159"/>
      <c r="G378" s="1159"/>
      <c r="H378" s="1159"/>
      <c r="I378" s="1162" t="s">
        <v>255</v>
      </c>
      <c r="J378" s="1159" t="str">
        <f t="shared" si="156"/>
        <v>lending_cashloan_cashloan_VNPOST_CII</v>
      </c>
      <c r="K378" s="1149"/>
      <c r="L378" s="1240" t="s">
        <v>20</v>
      </c>
      <c r="M378" s="1149">
        <f>SUM(P378:AA378)</f>
        <v>1994268360</v>
      </c>
      <c r="N378" s="1149">
        <f>N379+0-N380</f>
        <v>0</v>
      </c>
      <c r="O378" s="1149">
        <f t="shared" ref="O378:Z378" si="164">O379+N380-O380</f>
        <v>0</v>
      </c>
      <c r="P378" s="1149">
        <f t="shared" si="164"/>
        <v>0</v>
      </c>
      <c r="Q378" s="1149">
        <f t="shared" si="164"/>
        <v>0</v>
      </c>
      <c r="R378" s="1149">
        <f t="shared" si="164"/>
        <v>0</v>
      </c>
      <c r="S378" s="1149">
        <f t="shared" si="164"/>
        <v>0</v>
      </c>
      <c r="T378" s="1149">
        <f t="shared" si="164"/>
        <v>1911863</v>
      </c>
      <c r="U378" s="1149">
        <f t="shared" si="164"/>
        <v>14193720</v>
      </c>
      <c r="V378" s="1149">
        <f t="shared" si="164"/>
        <v>38815161</v>
      </c>
      <c r="W378" s="1149">
        <f t="shared" si="164"/>
        <v>61096162</v>
      </c>
      <c r="X378" s="1149">
        <f t="shared" si="164"/>
        <v>104306355</v>
      </c>
      <c r="Y378" s="1149">
        <f t="shared" si="164"/>
        <v>282755314</v>
      </c>
      <c r="Z378" s="1149">
        <f t="shared" si="164"/>
        <v>512881389</v>
      </c>
      <c r="AA378" s="1149">
        <f>AA379+Z380-AA380</f>
        <v>978308396</v>
      </c>
      <c r="AB378" s="34">
        <f t="shared" si="142"/>
        <v>465427007</v>
      </c>
    </row>
    <row r="379" spans="2:30">
      <c r="B379" s="1158" t="s">
        <v>189</v>
      </c>
      <c r="C379" s="1159" t="s">
        <v>545</v>
      </c>
      <c r="D379" s="1159" t="s">
        <v>545</v>
      </c>
      <c r="E379" s="1159" t="s">
        <v>312</v>
      </c>
      <c r="F379" s="1159"/>
      <c r="G379" s="1159"/>
      <c r="H379" s="1159"/>
      <c r="I379" s="1162"/>
      <c r="J379" s="1159" t="str">
        <f t="shared" si="156"/>
        <v>lending_cashloan_cashloan_VNPOST_</v>
      </c>
      <c r="K379" s="1149"/>
      <c r="L379" s="1274" t="s">
        <v>539</v>
      </c>
      <c r="M379" s="1151">
        <f>SUM(P379:AA379)</f>
        <v>2053555766</v>
      </c>
      <c r="N379" s="1151"/>
      <c r="O379" s="1151"/>
      <c r="P379" s="1151"/>
      <c r="Q379" s="1151"/>
      <c r="R379" s="1151">
        <v>0</v>
      </c>
      <c r="S379" s="1151">
        <v>0</v>
      </c>
      <c r="T379" s="1151">
        <v>1911863</v>
      </c>
      <c r="U379" s="1151">
        <v>14193720</v>
      </c>
      <c r="V379" s="1151">
        <v>38874002</v>
      </c>
      <c r="W379" s="1151">
        <v>61536947</v>
      </c>
      <c r="X379" s="1151">
        <v>104859015</v>
      </c>
      <c r="Y379" s="1151">
        <v>287387404</v>
      </c>
      <c r="Z379" s="1149">
        <v>530878329</v>
      </c>
      <c r="AA379" s="1151">
        <v>1013914486</v>
      </c>
      <c r="AB379" s="34">
        <f t="shared" si="142"/>
        <v>483036157</v>
      </c>
    </row>
    <row r="380" spans="2:30">
      <c r="B380" s="1158" t="s">
        <v>189</v>
      </c>
      <c r="C380" s="1159" t="s">
        <v>545</v>
      </c>
      <c r="D380" s="1159" t="s">
        <v>545</v>
      </c>
      <c r="E380" s="1159" t="s">
        <v>312</v>
      </c>
      <c r="F380" s="1159"/>
      <c r="G380" s="1159"/>
      <c r="H380" s="1159"/>
      <c r="I380" s="1160"/>
      <c r="J380" s="1159" t="str">
        <f t="shared" si="156"/>
        <v>lending_cashloan_cashloan_VNPOST_</v>
      </c>
      <c r="K380" s="1149"/>
      <c r="L380" s="1274" t="s">
        <v>187</v>
      </c>
      <c r="M380" s="1151">
        <f>SUM(P380:AA380)</f>
        <v>90263851</v>
      </c>
      <c r="N380" s="1151"/>
      <c r="O380" s="1151"/>
      <c r="P380" s="1151"/>
      <c r="Q380" s="1151"/>
      <c r="R380" s="1151"/>
      <c r="S380" s="1151"/>
      <c r="T380" s="1151"/>
      <c r="U380" s="1151"/>
      <c r="V380" s="1151">
        <v>58841</v>
      </c>
      <c r="W380" s="1151">
        <v>499626</v>
      </c>
      <c r="X380" s="1151">
        <v>1052286</v>
      </c>
      <c r="Y380" s="1149">
        <v>5684376</v>
      </c>
      <c r="Z380" s="1151">
        <v>23681316</v>
      </c>
      <c r="AA380" s="1151">
        <v>59287406</v>
      </c>
      <c r="AB380" s="34">
        <f t="shared" si="142"/>
        <v>35606090</v>
      </c>
      <c r="AC380" s="34"/>
      <c r="AD380" s="34"/>
    </row>
    <row r="381" spans="2:30">
      <c r="B381" s="1158" t="s">
        <v>189</v>
      </c>
      <c r="C381" s="1159" t="s">
        <v>545</v>
      </c>
      <c r="D381" s="1159" t="s">
        <v>545</v>
      </c>
      <c r="E381" s="1159" t="s">
        <v>312</v>
      </c>
      <c r="F381" s="1159"/>
      <c r="G381" s="1159"/>
      <c r="H381" s="1159"/>
      <c r="I381" s="1162" t="s">
        <v>219</v>
      </c>
      <c r="J381" s="1159" t="str">
        <f t="shared" si="156"/>
        <v>lending_cashloan_cashloan_VNPOST_COF</v>
      </c>
      <c r="K381" s="1149"/>
      <c r="L381" s="1240" t="s">
        <v>219</v>
      </c>
      <c r="M381" s="1149">
        <f>SUM(P381:AA381)</f>
        <v>326128271</v>
      </c>
      <c r="N381" s="1254"/>
      <c r="O381" s="1247"/>
      <c r="P381" s="1169"/>
      <c r="Q381" s="1169"/>
      <c r="R381" s="1169"/>
      <c r="S381" s="1149">
        <v>0</v>
      </c>
      <c r="T381" s="1169">
        <v>238403</v>
      </c>
      <c r="U381" s="1169">
        <v>1686033</v>
      </c>
      <c r="V381" s="1290">
        <v>5192177</v>
      </c>
      <c r="W381" s="1290">
        <v>8739366</v>
      </c>
      <c r="X381" s="1290">
        <v>14917048</v>
      </c>
      <c r="Y381" s="1149">
        <v>43449588</v>
      </c>
      <c r="Z381" s="1254">
        <v>84344626</v>
      </c>
      <c r="AA381" s="1254">
        <v>167561030</v>
      </c>
      <c r="AB381" s="34">
        <f t="shared" si="142"/>
        <v>83216404</v>
      </c>
    </row>
    <row r="382" spans="2:30">
      <c r="B382" s="1158" t="s">
        <v>189</v>
      </c>
      <c r="C382" s="1159" t="s">
        <v>545</v>
      </c>
      <c r="D382" s="1159" t="s">
        <v>545</v>
      </c>
      <c r="E382" s="1159" t="s">
        <v>312</v>
      </c>
      <c r="F382" s="1159"/>
      <c r="G382" s="1159"/>
      <c r="H382" s="1159"/>
      <c r="I382" s="1162" t="s">
        <v>260</v>
      </c>
      <c r="J382" s="1159" t="str">
        <f t="shared" si="156"/>
        <v>lending_cashloan_cashloan_VNPOST_NFI</v>
      </c>
      <c r="K382" s="1149"/>
      <c r="L382" s="1239" t="s">
        <v>220</v>
      </c>
      <c r="M382" s="1150">
        <f t="shared" ref="M382:AA382" si="165">SUM(M383:M385)</f>
        <v>1209601108</v>
      </c>
      <c r="N382" s="1150">
        <f t="shared" si="165"/>
        <v>0</v>
      </c>
      <c r="O382" s="1150">
        <f t="shared" si="165"/>
        <v>0</v>
      </c>
      <c r="P382" s="1150">
        <f t="shared" si="165"/>
        <v>0</v>
      </c>
      <c r="Q382" s="1150">
        <f t="shared" si="165"/>
        <v>0</v>
      </c>
      <c r="R382" s="1150">
        <f t="shared" si="165"/>
        <v>0</v>
      </c>
      <c r="S382" s="1150">
        <f t="shared" si="165"/>
        <v>0</v>
      </c>
      <c r="T382" s="1150">
        <f t="shared" si="165"/>
        <v>941852</v>
      </c>
      <c r="U382" s="1150">
        <f t="shared" si="165"/>
        <v>18023620</v>
      </c>
      <c r="V382" s="1150">
        <f t="shared" si="165"/>
        <v>21042907</v>
      </c>
      <c r="W382" s="1150">
        <f t="shared" si="165"/>
        <v>19908440</v>
      </c>
      <c r="X382" s="1150">
        <f t="shared" si="165"/>
        <v>82529660</v>
      </c>
      <c r="Y382" s="1150">
        <f t="shared" si="165"/>
        <v>201304902</v>
      </c>
      <c r="Z382" s="1150">
        <f t="shared" si="165"/>
        <v>312479375</v>
      </c>
      <c r="AA382" s="1150">
        <f t="shared" si="165"/>
        <v>553370352</v>
      </c>
      <c r="AB382" s="34">
        <f t="shared" si="142"/>
        <v>240890977</v>
      </c>
    </row>
    <row r="383" spans="2:30">
      <c r="B383" s="1158" t="s">
        <v>189</v>
      </c>
      <c r="C383" s="1159" t="s">
        <v>545</v>
      </c>
      <c r="D383" s="1159" t="s">
        <v>545</v>
      </c>
      <c r="E383" s="1159" t="s">
        <v>312</v>
      </c>
      <c r="F383" s="1159"/>
      <c r="G383" s="1159"/>
      <c r="H383" s="1159"/>
      <c r="I383" s="1162" t="s">
        <v>546</v>
      </c>
      <c r="J383" s="1159" t="str">
        <f t="shared" si="156"/>
        <v>lending_cashloan_cashloan_VNPOST_insurance_fee</v>
      </c>
      <c r="K383" s="1149"/>
      <c r="L383" s="1240" t="s">
        <v>540</v>
      </c>
      <c r="M383" s="1151">
        <f>SUM(P383:AA383)</f>
        <v>1145693881</v>
      </c>
      <c r="N383" s="1151"/>
      <c r="O383" s="1261"/>
      <c r="P383" s="1261"/>
      <c r="Q383" s="1248"/>
      <c r="R383" s="1243">
        <v>0</v>
      </c>
      <c r="S383" s="1243"/>
      <c r="T383" s="1149">
        <v>941852</v>
      </c>
      <c r="U383" s="1149">
        <v>18023620</v>
      </c>
      <c r="V383" s="1149">
        <v>20727907</v>
      </c>
      <c r="W383" s="1151">
        <v>19593440</v>
      </c>
      <c r="X383" s="1151">
        <v>81693375</v>
      </c>
      <c r="Y383" s="1151">
        <v>197569613</v>
      </c>
      <c r="Z383" s="1151">
        <v>286601389</v>
      </c>
      <c r="AA383" s="1261">
        <v>520542685</v>
      </c>
      <c r="AB383" s="34">
        <f t="shared" si="142"/>
        <v>233941296</v>
      </c>
    </row>
    <row r="384" spans="2:30">
      <c r="B384" s="1158" t="s">
        <v>189</v>
      </c>
      <c r="C384" s="1159" t="s">
        <v>545</v>
      </c>
      <c r="D384" s="1159" t="s">
        <v>545</v>
      </c>
      <c r="E384" s="1159" t="s">
        <v>312</v>
      </c>
      <c r="F384" s="1159"/>
      <c r="G384" s="1159"/>
      <c r="H384" s="1159"/>
      <c r="I384" s="1162" t="s">
        <v>547</v>
      </c>
      <c r="J384" s="1159" t="str">
        <f t="shared" si="156"/>
        <v>lending_cashloan_cashloan_VNPOST_early_terminate_fee</v>
      </c>
      <c r="K384" s="1149"/>
      <c r="L384" s="1240" t="s">
        <v>541</v>
      </c>
      <c r="M384" s="1151">
        <f>SUM(P384:AA384)</f>
        <v>63907227</v>
      </c>
      <c r="N384" s="1151"/>
      <c r="O384" s="1151"/>
      <c r="P384" s="1243">
        <v>0</v>
      </c>
      <c r="Q384" s="1243"/>
      <c r="R384" s="1243">
        <v>0</v>
      </c>
      <c r="S384" s="1243"/>
      <c r="T384" s="1247"/>
      <c r="U384" s="1151"/>
      <c r="V384" s="1149">
        <v>315000</v>
      </c>
      <c r="W384" s="1149">
        <v>315000</v>
      </c>
      <c r="X384" s="1149">
        <v>836285</v>
      </c>
      <c r="Y384" s="1149">
        <v>3735289</v>
      </c>
      <c r="Z384" s="1151">
        <v>25877986</v>
      </c>
      <c r="AA384" s="1151">
        <v>32827667</v>
      </c>
      <c r="AB384" s="34">
        <f t="shared" si="142"/>
        <v>6949681</v>
      </c>
    </row>
    <row r="385" spans="2:29">
      <c r="B385" s="1158" t="s">
        <v>189</v>
      </c>
      <c r="C385" s="1159" t="s">
        <v>545</v>
      </c>
      <c r="D385" s="1159" t="s">
        <v>545</v>
      </c>
      <c r="E385" s="1159" t="s">
        <v>312</v>
      </c>
      <c r="F385" s="1159"/>
      <c r="G385" s="1159"/>
      <c r="H385" s="1159"/>
      <c r="I385" s="1162" t="s">
        <v>548</v>
      </c>
      <c r="J385" s="1159" t="str">
        <f t="shared" si="156"/>
        <v>lending_cashloan_cashloan_VNPOST_loan_grant_fee</v>
      </c>
      <c r="K385" s="1149"/>
      <c r="L385" s="1240" t="s">
        <v>542</v>
      </c>
      <c r="M385" s="1151">
        <f>SUM(P385:AA385)</f>
        <v>0</v>
      </c>
      <c r="N385" s="1151"/>
      <c r="O385" s="1151"/>
      <c r="P385" s="1243"/>
      <c r="Q385" s="1243"/>
      <c r="R385" s="1243"/>
      <c r="S385" s="1243"/>
      <c r="T385" s="1243"/>
      <c r="U385" s="1151"/>
      <c r="V385" s="1261"/>
      <c r="W385" s="1151"/>
      <c r="X385" s="1151"/>
      <c r="Y385" s="1151"/>
      <c r="Z385" s="1151"/>
      <c r="AA385" s="1151"/>
      <c r="AB385" s="34">
        <f t="shared" si="142"/>
        <v>0</v>
      </c>
    </row>
    <row r="386" spans="2:29">
      <c r="B386" s="1158" t="s">
        <v>189</v>
      </c>
      <c r="C386" s="1159" t="s">
        <v>545</v>
      </c>
      <c r="D386" s="1159" t="s">
        <v>545</v>
      </c>
      <c r="E386" s="1159" t="s">
        <v>312</v>
      </c>
      <c r="F386" s="1159"/>
      <c r="G386" s="1159"/>
      <c r="H386" s="1159"/>
      <c r="I386" s="1162" t="s">
        <v>269</v>
      </c>
      <c r="J386" s="1159" t="str">
        <f t="shared" si="156"/>
        <v>lending_cashloan_cashloan_VNPOST_other_TOI</v>
      </c>
      <c r="K386" s="1149"/>
      <c r="L386" s="1239" t="s">
        <v>89</v>
      </c>
      <c r="M386" s="1154">
        <f>SUM(P386:AA386)</f>
        <v>0</v>
      </c>
      <c r="N386" s="1151"/>
      <c r="O386" s="1151"/>
      <c r="P386" s="1243"/>
      <c r="Q386" s="1243"/>
      <c r="R386" s="1243"/>
      <c r="S386" s="1243"/>
      <c r="T386" s="1243"/>
      <c r="U386" s="1151"/>
      <c r="V386" s="1261"/>
      <c r="W386" s="1151"/>
      <c r="X386" s="1245"/>
      <c r="Y386" s="1151"/>
      <c r="Z386" s="1151"/>
      <c r="AA386" s="1151"/>
      <c r="AB386" s="34">
        <f t="shared" si="142"/>
        <v>0</v>
      </c>
    </row>
    <row r="387" spans="2:29" s="4" customFormat="1">
      <c r="B387" s="1158" t="s">
        <v>189</v>
      </c>
      <c r="C387" s="1159" t="s">
        <v>545</v>
      </c>
      <c r="D387" s="1159" t="s">
        <v>545</v>
      </c>
      <c r="E387" s="1159" t="s">
        <v>312</v>
      </c>
      <c r="F387" s="1159"/>
      <c r="G387" s="1159"/>
      <c r="H387" s="1159"/>
      <c r="I387" s="1162" t="s">
        <v>270</v>
      </c>
      <c r="J387" s="1159" t="str">
        <f t="shared" si="156"/>
        <v>lending_cashloan_cashloan_VNPOST_provision</v>
      </c>
      <c r="K387" s="1149"/>
      <c r="L387" s="1245" t="s">
        <v>136</v>
      </c>
      <c r="M387" s="1150">
        <f>SUM(P387:AA387)</f>
        <v>413286755</v>
      </c>
      <c r="N387" s="1150"/>
      <c r="O387" s="1262"/>
      <c r="P387" s="1262"/>
      <c r="Q387" s="1275"/>
      <c r="R387" s="1275">
        <v>0</v>
      </c>
      <c r="S387" s="1245"/>
      <c r="T387" s="1150">
        <v>565393</v>
      </c>
      <c r="U387" s="1150">
        <v>4387820</v>
      </c>
      <c r="V387" s="1150">
        <v>4585141</v>
      </c>
      <c r="W387" s="1262">
        <v>4507089</v>
      </c>
      <c r="X387" s="1262">
        <f>19504896+4761956</f>
        <v>24266852</v>
      </c>
      <c r="Y387" s="1262">
        <v>45553150</v>
      </c>
      <c r="Z387" s="1150">
        <v>101480748</v>
      </c>
      <c r="AA387" s="1262">
        <f>188072550+39868012</f>
        <v>227940562</v>
      </c>
      <c r="AB387" s="34">
        <f t="shared" si="142"/>
        <v>126459814</v>
      </c>
    </row>
    <row r="388" spans="2:29">
      <c r="B388" s="1158" t="s">
        <v>189</v>
      </c>
      <c r="C388" s="1159" t="s">
        <v>545</v>
      </c>
      <c r="D388" s="1159" t="s">
        <v>545</v>
      </c>
      <c r="E388" s="1159" t="s">
        <v>312</v>
      </c>
      <c r="F388" s="1159"/>
      <c r="G388" s="1159"/>
      <c r="H388" s="1159"/>
      <c r="I388" s="1162" t="s">
        <v>271</v>
      </c>
      <c r="J388" s="1159" t="str">
        <f t="shared" si="156"/>
        <v>lending_cashloan_cashloan_VNPOST_variable_cost</v>
      </c>
      <c r="K388" s="1149"/>
      <c r="L388" s="1245" t="s">
        <v>229</v>
      </c>
      <c r="M388" s="1150">
        <f t="shared" ref="M388:AA388" si="166">SUM(M389:M396)</f>
        <v>1316715330.3726356</v>
      </c>
      <c r="N388" s="1150">
        <f t="shared" si="166"/>
        <v>0</v>
      </c>
      <c r="O388" s="1150">
        <f t="shared" si="166"/>
        <v>0</v>
      </c>
      <c r="P388" s="1150">
        <f t="shared" si="166"/>
        <v>0</v>
      </c>
      <c r="Q388" s="1150">
        <f t="shared" si="166"/>
        <v>0</v>
      </c>
      <c r="R388" s="1150">
        <f t="shared" si="166"/>
        <v>0</v>
      </c>
      <c r="S388" s="1150">
        <f t="shared" si="166"/>
        <v>0</v>
      </c>
      <c r="T388" s="1150">
        <f t="shared" si="166"/>
        <v>2531011.6898569674</v>
      </c>
      <c r="U388" s="1150">
        <f t="shared" si="166"/>
        <v>11664929.868694576</v>
      </c>
      <c r="V388" s="1150">
        <f t="shared" si="166"/>
        <v>24113388.565026298</v>
      </c>
      <c r="W388" s="1150">
        <f t="shared" si="166"/>
        <v>30917099.92908743</v>
      </c>
      <c r="X388" s="1150">
        <f t="shared" si="166"/>
        <v>74599330.491929352</v>
      </c>
      <c r="Y388" s="1150">
        <f t="shared" si="166"/>
        <v>167997555.32115066</v>
      </c>
      <c r="Z388" s="1150">
        <f t="shared" si="166"/>
        <v>252866976.94504663</v>
      </c>
      <c r="AA388" s="1150">
        <f t="shared" si="166"/>
        <v>752025037.56184351</v>
      </c>
      <c r="AB388" s="34">
        <f t="shared" si="142"/>
        <v>499158060.61679685</v>
      </c>
    </row>
    <row r="389" spans="2:29" ht="16">
      <c r="B389" s="1158" t="s">
        <v>189</v>
      </c>
      <c r="C389" s="1159" t="s">
        <v>545</v>
      </c>
      <c r="D389" s="1159" t="s">
        <v>545</v>
      </c>
      <c r="E389" s="1159" t="s">
        <v>312</v>
      </c>
      <c r="F389" s="1159"/>
      <c r="G389" s="1159"/>
      <c r="H389" s="1159"/>
      <c r="I389" s="1162" t="s">
        <v>272</v>
      </c>
      <c r="J389" s="1159" t="str">
        <f t="shared" si="156"/>
        <v>lending_cashloan_cashloan_VNPOST_marketing_acquisition_cost</v>
      </c>
      <c r="K389" s="1149"/>
      <c r="L389" s="1246" t="s">
        <v>230</v>
      </c>
      <c r="M389" s="1149">
        <f t="shared" ref="M389:M394" si="167">SUM(P389:AA389)</f>
        <v>0</v>
      </c>
      <c r="N389" s="1147"/>
      <c r="O389" s="1147"/>
      <c r="P389" s="1169"/>
      <c r="Q389" s="1169"/>
      <c r="R389" s="1169"/>
      <c r="S389" s="1147"/>
      <c r="T389" s="1169"/>
      <c r="U389" s="1247"/>
      <c r="V389" s="1149"/>
      <c r="W389" s="1149"/>
      <c r="X389" s="1279"/>
      <c r="Y389" s="1147"/>
      <c r="Z389" s="1147"/>
      <c r="AA389" s="1147"/>
      <c r="AB389" s="34">
        <f t="shared" ref="AB389:AB436" si="168">AA389-Z389</f>
        <v>0</v>
      </c>
    </row>
    <row r="390" spans="2:29">
      <c r="B390" s="1158" t="s">
        <v>189</v>
      </c>
      <c r="C390" s="1159" t="s">
        <v>545</v>
      </c>
      <c r="D390" s="1159" t="s">
        <v>545</v>
      </c>
      <c r="E390" s="1159" t="s">
        <v>312</v>
      </c>
      <c r="F390" s="1159"/>
      <c r="G390" s="1159"/>
      <c r="H390" s="1159"/>
      <c r="I390" s="1162" t="s">
        <v>273</v>
      </c>
      <c r="J390" s="1159" t="str">
        <f t="shared" si="156"/>
        <v>lending_cashloan_cashloan_VNPOST_partner_acquisition_cost</v>
      </c>
      <c r="K390" s="1149"/>
      <c r="L390" s="1246" t="s">
        <v>231</v>
      </c>
      <c r="M390" s="1150">
        <f t="shared" si="167"/>
        <v>1192207138</v>
      </c>
      <c r="N390" s="1264"/>
      <c r="O390" s="1245"/>
      <c r="P390" s="1262"/>
      <c r="Q390" s="1275"/>
      <c r="R390" s="1245"/>
      <c r="S390" s="1150"/>
      <c r="T390" s="1294">
        <v>1033641</v>
      </c>
      <c r="U390" s="1294">
        <v>6348934</v>
      </c>
      <c r="V390" s="1149">
        <v>18520298</v>
      </c>
      <c r="W390" s="1149">
        <v>24421865</v>
      </c>
      <c r="X390" s="1149">
        <f>48120000+18006559</f>
        <v>66126559</v>
      </c>
      <c r="Y390" s="1149">
        <v>150852120</v>
      </c>
      <c r="Z390" s="1149">
        <f>193680000 + 31726729</f>
        <v>225406729</v>
      </c>
      <c r="AA390" s="1149">
        <f>109038882+590458110</f>
        <v>699496992</v>
      </c>
      <c r="AB390" s="34">
        <f t="shared" si="168"/>
        <v>474090263</v>
      </c>
    </row>
    <row r="391" spans="2:29">
      <c r="B391" s="1158" t="s">
        <v>189</v>
      </c>
      <c r="C391" s="1159" t="s">
        <v>545</v>
      </c>
      <c r="D391" s="1159" t="s">
        <v>545</v>
      </c>
      <c r="E391" s="1159" t="s">
        <v>312</v>
      </c>
      <c r="F391" s="1159"/>
      <c r="G391" s="1159"/>
      <c r="H391" s="1159"/>
      <c r="I391" s="1162" t="s">
        <v>274</v>
      </c>
      <c r="J391" s="1159" t="str">
        <f t="shared" si="156"/>
        <v>lending_cashloan_cashloan_VNPOST_underwritting</v>
      </c>
      <c r="K391" s="1149"/>
      <c r="L391" s="1246" t="s">
        <v>232</v>
      </c>
      <c r="M391" s="1149">
        <f t="shared" si="167"/>
        <v>106995047.74382629</v>
      </c>
      <c r="N391" s="1149"/>
      <c r="O391" s="1149"/>
      <c r="P391" s="1265">
        <v>0</v>
      </c>
      <c r="Q391" s="1265">
        <v>0</v>
      </c>
      <c r="R391" s="1265">
        <v>0</v>
      </c>
      <c r="S391" s="1265">
        <v>0</v>
      </c>
      <c r="T391" s="1265">
        <v>1407925.7706225375</v>
      </c>
      <c r="U391" s="1265">
        <v>5005609.0230113761</v>
      </c>
      <c r="V391" s="1149">
        <v>5066794.1121780435</v>
      </c>
      <c r="W391" s="1149">
        <v>5844294.4217547914</v>
      </c>
      <c r="X391" s="1149">
        <v>7181137.5487599783</v>
      </c>
      <c r="Y391" s="1149">
        <v>14941724.72156358</v>
      </c>
      <c r="Z391" s="1149">
        <v>22846706.785647172</v>
      </c>
      <c r="AA391" s="1149">
        <v>44700855.360288799</v>
      </c>
      <c r="AB391" s="34">
        <f t="shared" si="168"/>
        <v>21854148.574641626</v>
      </c>
    </row>
    <row r="392" spans="2:29">
      <c r="B392" s="1158" t="s">
        <v>189</v>
      </c>
      <c r="C392" s="1159" t="s">
        <v>545</v>
      </c>
      <c r="D392" s="1159" t="s">
        <v>545</v>
      </c>
      <c r="E392" s="1159" t="s">
        <v>312</v>
      </c>
      <c r="F392" s="1159"/>
      <c r="G392" s="1159"/>
      <c r="H392" s="1159"/>
      <c r="I392" s="1162" t="s">
        <v>275</v>
      </c>
      <c r="J392" s="1159" t="str">
        <f t="shared" si="156"/>
        <v>lending_cashloan_cashloan_VNPOST_e_contract</v>
      </c>
      <c r="K392" s="1149"/>
      <c r="L392" s="1246" t="s">
        <v>233</v>
      </c>
      <c r="M392" s="1149">
        <f t="shared" si="167"/>
        <v>1554539</v>
      </c>
      <c r="N392" s="1149"/>
      <c r="O392" s="1149"/>
      <c r="P392" s="1169"/>
      <c r="Q392" s="1253"/>
      <c r="R392" s="1253"/>
      <c r="S392" s="1253"/>
      <c r="T392" s="1253">
        <v>10539</v>
      </c>
      <c r="U392" s="1247">
        <v>48377</v>
      </c>
      <c r="V392" s="1149">
        <v>88200</v>
      </c>
      <c r="W392" s="1149">
        <v>52267</v>
      </c>
      <c r="X392" s="1149">
        <v>111593</v>
      </c>
      <c r="Y392" s="1149">
        <v>201813</v>
      </c>
      <c r="Z392" s="1149">
        <v>369800</v>
      </c>
      <c r="AA392" s="1149">
        <v>671950</v>
      </c>
      <c r="AB392" s="34">
        <f t="shared" si="168"/>
        <v>302150</v>
      </c>
    </row>
    <row r="393" spans="2:29">
      <c r="B393" s="1158" t="s">
        <v>189</v>
      </c>
      <c r="C393" s="1159" t="s">
        <v>545</v>
      </c>
      <c r="D393" s="1159" t="s">
        <v>545</v>
      </c>
      <c r="E393" s="1159" t="s">
        <v>312</v>
      </c>
      <c r="F393" s="1159"/>
      <c r="G393" s="1159"/>
      <c r="H393" s="1159"/>
      <c r="I393" s="1162" t="s">
        <v>276</v>
      </c>
      <c r="J393" s="1159" t="str">
        <f t="shared" si="156"/>
        <v>lending_cashloan_cashloan_VNPOST_nfc</v>
      </c>
      <c r="K393" s="1149"/>
      <c r="L393" s="1246" t="s">
        <v>152</v>
      </c>
      <c r="M393" s="1149">
        <f t="shared" si="167"/>
        <v>3154850.7070298195</v>
      </c>
      <c r="N393" s="1149"/>
      <c r="O393" s="1149"/>
      <c r="P393" s="1169"/>
      <c r="Q393" s="1169"/>
      <c r="R393" s="1169"/>
      <c r="S393" s="1147"/>
      <c r="T393" s="1169">
        <v>14835.702225633155</v>
      </c>
      <c r="U393" s="1169">
        <v>91086.754266061122</v>
      </c>
      <c r="V393" s="1149">
        <v>81991.532702591518</v>
      </c>
      <c r="W393" s="1149">
        <v>88157.101061908543</v>
      </c>
      <c r="X393" s="1149">
        <v>227378.30090529358</v>
      </c>
      <c r="Y393" s="1149">
        <v>447562.33510616026</v>
      </c>
      <c r="Z393" s="1149">
        <v>690518.24693042296</v>
      </c>
      <c r="AA393" s="1149">
        <v>1513320.7338317486</v>
      </c>
      <c r="AB393" s="34">
        <f t="shared" si="168"/>
        <v>822802.48690132564</v>
      </c>
    </row>
    <row r="394" spans="2:29">
      <c r="B394" s="1158" t="s">
        <v>189</v>
      </c>
      <c r="C394" s="1159" t="s">
        <v>545</v>
      </c>
      <c r="D394" s="1159" t="s">
        <v>545</v>
      </c>
      <c r="E394" s="1159" t="s">
        <v>312</v>
      </c>
      <c r="F394" s="1159"/>
      <c r="G394" s="1159"/>
      <c r="H394" s="1159"/>
      <c r="I394" s="1162" t="s">
        <v>277</v>
      </c>
      <c r="J394" s="1159" t="str">
        <f t="shared" si="156"/>
        <v>lending_cashloan_cashloan_VNPOST_collection</v>
      </c>
      <c r="K394" s="1149"/>
      <c r="L394" s="1246" t="s">
        <v>234</v>
      </c>
      <c r="M394" s="1149">
        <f t="shared" si="167"/>
        <v>8330177.3879351001</v>
      </c>
      <c r="N394" s="1149"/>
      <c r="O394" s="1149"/>
      <c r="P394" s="1169"/>
      <c r="Q394" s="1169"/>
      <c r="R394" s="1169"/>
      <c r="S394" s="1265"/>
      <c r="T394" s="1169">
        <v>22553.98342041178</v>
      </c>
      <c r="U394" s="1169">
        <v>25697.553064420601</v>
      </c>
      <c r="V394" s="1169">
        <v>203725</v>
      </c>
      <c r="W394" s="1149">
        <v>363043.29018447071</v>
      </c>
      <c r="X394" s="1149">
        <v>617100.16678663623</v>
      </c>
      <c r="Y394" s="1149">
        <v>898577.53623765905</v>
      </c>
      <c r="Z394" s="1149">
        <v>2472711.7796630934</v>
      </c>
      <c r="AA394" s="1149">
        <v>3726768.0785784083</v>
      </c>
      <c r="AB394" s="34">
        <f t="shared" si="168"/>
        <v>1254056.298915315</v>
      </c>
    </row>
    <row r="395" spans="2:29">
      <c r="B395" s="1158" t="s">
        <v>189</v>
      </c>
      <c r="C395" s="1159" t="s">
        <v>545</v>
      </c>
      <c r="D395" s="1159" t="s">
        <v>545</v>
      </c>
      <c r="E395" s="1159" t="s">
        <v>312</v>
      </c>
      <c r="F395" s="1159"/>
      <c r="G395" s="1159"/>
      <c r="H395" s="1159"/>
      <c r="I395" s="1162" t="s">
        <v>278</v>
      </c>
      <c r="J395" s="1159" t="str">
        <f t="shared" si="156"/>
        <v>lending_cashloan_cashloan_VNPOST_promotion</v>
      </c>
      <c r="K395" s="1149"/>
      <c r="L395" s="1246" t="s">
        <v>235</v>
      </c>
      <c r="M395" s="1149"/>
      <c r="N395" s="1149"/>
      <c r="O395" s="1149"/>
      <c r="P395" s="1169"/>
      <c r="Q395" s="1253"/>
      <c r="R395" s="1253"/>
      <c r="S395" s="1253"/>
      <c r="T395" s="1253"/>
      <c r="U395" s="1247"/>
      <c r="V395" s="1149"/>
      <c r="W395" s="1149"/>
      <c r="X395" s="1149"/>
      <c r="Y395" s="1149"/>
      <c r="Z395" s="1149"/>
      <c r="AA395" s="1149"/>
      <c r="AB395" s="34">
        <f t="shared" si="168"/>
        <v>0</v>
      </c>
    </row>
    <row r="396" spans="2:29">
      <c r="B396" s="1158" t="s">
        <v>189</v>
      </c>
      <c r="C396" s="1159" t="s">
        <v>545</v>
      </c>
      <c r="D396" s="1159" t="s">
        <v>545</v>
      </c>
      <c r="E396" s="1159" t="s">
        <v>312</v>
      </c>
      <c r="F396" s="1159"/>
      <c r="G396" s="1159"/>
      <c r="H396" s="1159"/>
      <c r="I396" s="1162" t="s">
        <v>279</v>
      </c>
      <c r="J396" s="1159" t="str">
        <f t="shared" si="156"/>
        <v>lending_cashloan_cashloan_VNPOST_sms</v>
      </c>
      <c r="K396" s="1149"/>
      <c r="L396" s="1249" t="s">
        <v>163</v>
      </c>
      <c r="M396" s="1149">
        <f>SUM(P396:AA396)</f>
        <v>4473577.533844213</v>
      </c>
      <c r="N396" s="1247"/>
      <c r="O396" s="1247"/>
      <c r="P396" s="1247"/>
      <c r="Q396" s="1247"/>
      <c r="R396" s="1247"/>
      <c r="S396" s="1247"/>
      <c r="T396" s="1247">
        <v>41516.233588385323</v>
      </c>
      <c r="U396" s="1265">
        <v>145225.53835271869</v>
      </c>
      <c r="V396" s="1149">
        <v>152379.92014566547</v>
      </c>
      <c r="W396" s="1149">
        <v>147473.116086255</v>
      </c>
      <c r="X396" s="1149">
        <v>335562.47547744733</v>
      </c>
      <c r="Y396" s="1149">
        <v>655757.72824326751</v>
      </c>
      <c r="Z396" s="1149">
        <v>1080511.1328059342</v>
      </c>
      <c r="AA396" s="1149">
        <v>1915151.3891445396</v>
      </c>
      <c r="AB396" s="34">
        <f t="shared" si="168"/>
        <v>834640.25633860542</v>
      </c>
    </row>
    <row r="397" spans="2:29">
      <c r="B397" s="1158" t="s">
        <v>189</v>
      </c>
      <c r="C397" s="1159" t="s">
        <v>545</v>
      </c>
      <c r="D397" s="1159" t="s">
        <v>545</v>
      </c>
      <c r="E397" s="1159" t="s">
        <v>312</v>
      </c>
      <c r="F397" s="1159" t="str">
        <f>E397&amp;"CL"</f>
        <v>VNPOSTCL</v>
      </c>
      <c r="G397" s="1159" t="str">
        <f>L397&amp;F397</f>
        <v>Profit before allocation costVNPOSTCL</v>
      </c>
      <c r="H397" s="1408" t="str">
        <f>L397&amp;E397</f>
        <v>Profit before allocation costVNPOST</v>
      </c>
      <c r="I397" s="1162" t="s">
        <v>280</v>
      </c>
      <c r="J397" s="1159" t="str">
        <f t="shared" si="156"/>
        <v>lending_cashloan_cashloan_VNPOST_profit_before_overhead</v>
      </c>
      <c r="K397" s="1149"/>
      <c r="L397" s="1359" t="s">
        <v>236</v>
      </c>
      <c r="M397" s="1359">
        <f t="shared" ref="M397:AA397" si="169">M376-M387-M388</f>
        <v>1147739111.6273644</v>
      </c>
      <c r="N397" s="1359">
        <f t="shared" si="169"/>
        <v>0</v>
      </c>
      <c r="O397" s="1359">
        <f t="shared" si="169"/>
        <v>0</v>
      </c>
      <c r="P397" s="1359">
        <f t="shared" si="169"/>
        <v>0</v>
      </c>
      <c r="Q397" s="1359">
        <f t="shared" si="169"/>
        <v>0</v>
      </c>
      <c r="R397" s="1359">
        <f t="shared" si="169"/>
        <v>0</v>
      </c>
      <c r="S397" s="1359">
        <f t="shared" si="169"/>
        <v>0</v>
      </c>
      <c r="T397" s="1359">
        <f t="shared" si="169"/>
        <v>-481092.68985696742</v>
      </c>
      <c r="U397" s="1359">
        <f t="shared" si="169"/>
        <v>14478557.131305424</v>
      </c>
      <c r="V397" s="1359">
        <f t="shared" si="169"/>
        <v>25967361.434973702</v>
      </c>
      <c r="W397" s="1359">
        <f t="shared" si="169"/>
        <v>36841047.07091257</v>
      </c>
      <c r="X397" s="1359">
        <f t="shared" si="169"/>
        <v>73052784.508070648</v>
      </c>
      <c r="Y397" s="1359">
        <f t="shared" si="169"/>
        <v>227059922.67884934</v>
      </c>
      <c r="Z397" s="1359">
        <f t="shared" si="169"/>
        <v>386668413.05495334</v>
      </c>
      <c r="AA397" s="1359">
        <f t="shared" si="169"/>
        <v>384152118.43815649</v>
      </c>
      <c r="AB397" s="34">
        <f t="shared" si="168"/>
        <v>-2516294.6167968512</v>
      </c>
      <c r="AC397" s="34">
        <f>SUM(P397:AA397)</f>
        <v>1147739111.6273646</v>
      </c>
    </row>
    <row r="398" spans="2:29">
      <c r="B398" s="1158"/>
      <c r="C398" s="1159"/>
      <c r="D398" s="1159"/>
      <c r="E398" s="1159"/>
      <c r="F398" s="1159"/>
      <c r="G398" s="1159"/>
      <c r="H398" s="1159"/>
      <c r="I398" s="1160"/>
      <c r="J398" s="1159"/>
      <c r="K398" s="1149"/>
      <c r="L398" s="1153"/>
      <c r="M398" s="1150"/>
      <c r="N398" s="1150"/>
      <c r="O398" s="1150"/>
      <c r="P398" s="1150"/>
      <c r="Q398" s="1150"/>
      <c r="R398" s="1150"/>
      <c r="S398" s="1150"/>
      <c r="T398" s="1150"/>
      <c r="U398" s="1150"/>
      <c r="V398" s="1150"/>
      <c r="W398" s="1150"/>
      <c r="X398" s="1150"/>
      <c r="Y398" s="1150"/>
      <c r="Z398" s="1150"/>
      <c r="AA398" s="1150"/>
      <c r="AB398" s="34">
        <f t="shared" si="168"/>
        <v>0</v>
      </c>
    </row>
    <row r="399" spans="2:29">
      <c r="B399" s="1158" t="s">
        <v>189</v>
      </c>
      <c r="C399" s="1159" t="s">
        <v>545</v>
      </c>
      <c r="D399" s="1159" t="s">
        <v>549</v>
      </c>
      <c r="E399" s="1159" t="s">
        <v>312</v>
      </c>
      <c r="F399" s="1159"/>
      <c r="G399" s="1159"/>
      <c r="H399" s="1159"/>
      <c r="I399" s="1159"/>
      <c r="J399" s="1159" t="str">
        <f t="shared" ref="J399:J436" si="170">B399&amp;"_"&amp;C399&amp;"_"&amp;D399&amp;"_"&amp;E399&amp;"_"&amp;I399</f>
        <v>lending_cashloan_payroll_VNPOST_</v>
      </c>
      <c r="K399" s="1149"/>
      <c r="L399" s="1146" t="s">
        <v>558</v>
      </c>
      <c r="M399" s="1146"/>
      <c r="N399" s="1146"/>
      <c r="O399" s="1146"/>
      <c r="P399" s="1146"/>
      <c r="Q399" s="1146"/>
      <c r="R399" s="1146"/>
      <c r="S399" s="1146"/>
      <c r="T399" s="1146"/>
      <c r="U399" s="1146"/>
      <c r="V399" s="1146"/>
      <c r="W399" s="1146"/>
      <c r="X399" s="1146"/>
      <c r="Y399" s="1146"/>
      <c r="Z399" s="1146"/>
      <c r="AA399" s="1146"/>
      <c r="AB399" s="34">
        <f t="shared" si="168"/>
        <v>0</v>
      </c>
    </row>
    <row r="400" spans="2:29">
      <c r="B400" s="1158" t="s">
        <v>189</v>
      </c>
      <c r="C400" s="1159" t="s">
        <v>545</v>
      </c>
      <c r="D400" s="1159" t="s">
        <v>549</v>
      </c>
      <c r="E400" s="1159" t="s">
        <v>312</v>
      </c>
      <c r="F400" s="1159"/>
      <c r="G400" s="1159"/>
      <c r="H400" s="1159"/>
      <c r="I400" s="1162" t="s">
        <v>239</v>
      </c>
      <c r="J400" s="1159" t="str">
        <f t="shared" si="170"/>
        <v>lending_cashloan_payroll_VNPOST_new_account</v>
      </c>
      <c r="K400" s="1149"/>
      <c r="L400" s="1148" t="s">
        <v>193</v>
      </c>
      <c r="M400" s="1149">
        <f>SUM(P400:AA400)</f>
        <v>2</v>
      </c>
      <c r="N400" s="1169"/>
      <c r="O400" s="1169"/>
      <c r="P400" s="1169"/>
      <c r="Q400" s="1267"/>
      <c r="R400" s="1169"/>
      <c r="S400" s="1169"/>
      <c r="T400" s="1267"/>
      <c r="U400" s="1169"/>
      <c r="V400" s="1361"/>
      <c r="W400" s="1169"/>
      <c r="X400" s="1169"/>
      <c r="Y400" s="1169"/>
      <c r="Z400" s="1169"/>
      <c r="AA400" s="1169">
        <v>2</v>
      </c>
      <c r="AB400" s="34">
        <f t="shared" si="168"/>
        <v>2</v>
      </c>
    </row>
    <row r="401" spans="2:29">
      <c r="B401" s="1158" t="s">
        <v>189</v>
      </c>
      <c r="C401" s="1159" t="s">
        <v>545</v>
      </c>
      <c r="D401" s="1159" t="s">
        <v>549</v>
      </c>
      <c r="E401" s="1159" t="s">
        <v>312</v>
      </c>
      <c r="F401" s="1159"/>
      <c r="G401" s="1159"/>
      <c r="H401" s="1159"/>
      <c r="I401" s="1148" t="s">
        <v>527</v>
      </c>
      <c r="J401" s="1159" t="str">
        <f t="shared" si="170"/>
        <v>lending_cashloan_payroll_VNPOST_Repeat account</v>
      </c>
      <c r="K401" s="1149"/>
      <c r="L401" s="1148" t="s">
        <v>527</v>
      </c>
      <c r="M401" s="1149"/>
      <c r="N401" s="1169"/>
      <c r="O401" s="1169"/>
      <c r="P401" s="1169"/>
      <c r="Q401" s="1267"/>
      <c r="R401" s="1169"/>
      <c r="S401" s="1169"/>
      <c r="T401" s="1267"/>
      <c r="U401" s="1169"/>
      <c r="V401" s="1169"/>
      <c r="W401" s="1169"/>
      <c r="X401" s="1169"/>
      <c r="Y401" s="1169"/>
      <c r="Z401" s="1169"/>
      <c r="AA401" s="1169"/>
      <c r="AB401" s="34">
        <f t="shared" si="168"/>
        <v>0</v>
      </c>
    </row>
    <row r="402" spans="2:29">
      <c r="B402" s="1158" t="s">
        <v>189</v>
      </c>
      <c r="C402" s="1159" t="s">
        <v>545</v>
      </c>
      <c r="D402" s="1159" t="s">
        <v>549</v>
      </c>
      <c r="E402" s="1159" t="s">
        <v>312</v>
      </c>
      <c r="F402" s="1159"/>
      <c r="G402" s="1159"/>
      <c r="H402" s="1159"/>
      <c r="I402" s="1162" t="s">
        <v>241</v>
      </c>
      <c r="J402" s="1159" t="str">
        <f t="shared" si="170"/>
        <v>lending_cashloan_payroll_VNPOST_active_account</v>
      </c>
      <c r="K402" s="1149"/>
      <c r="L402" s="1148" t="s">
        <v>194</v>
      </c>
      <c r="M402" s="1149">
        <f>SUM(P402:AA402)</f>
        <v>2</v>
      </c>
      <c r="N402" s="1169"/>
      <c r="O402" s="1169"/>
      <c r="P402" s="1169"/>
      <c r="Q402" s="1267"/>
      <c r="R402" s="1267"/>
      <c r="S402" s="1169"/>
      <c r="T402" s="1267"/>
      <c r="U402" s="1247"/>
      <c r="V402" s="1361"/>
      <c r="W402" s="1169"/>
      <c r="X402" s="1169"/>
      <c r="Y402" s="1169"/>
      <c r="Z402" s="1169"/>
      <c r="AA402" s="1169">
        <v>2</v>
      </c>
      <c r="AB402" s="34">
        <f t="shared" si="168"/>
        <v>2</v>
      </c>
    </row>
    <row r="403" spans="2:29">
      <c r="B403" s="1158" t="s">
        <v>189</v>
      </c>
      <c r="C403" s="1159" t="s">
        <v>545</v>
      </c>
      <c r="D403" s="1159" t="s">
        <v>549</v>
      </c>
      <c r="E403" s="1159" t="s">
        <v>312</v>
      </c>
      <c r="F403" s="1159" t="str">
        <f>E403&amp;"PRCL"</f>
        <v>VNPOSTPRCL</v>
      </c>
      <c r="G403" s="1159" t="str">
        <f>L403&amp;F403</f>
        <v>DisbursementVNPOSTPRCL</v>
      </c>
      <c r="H403" s="1408" t="str">
        <f>L403&amp;E403</f>
        <v>DisbursementVNPOST</v>
      </c>
      <c r="I403" s="1162" t="s">
        <v>242</v>
      </c>
      <c r="J403" s="1159" t="str">
        <f t="shared" si="170"/>
        <v>lending_cashloan_payroll_VNPOST_disburse/spend</v>
      </c>
      <c r="K403" s="1149"/>
      <c r="L403" s="1169" t="s">
        <v>80</v>
      </c>
      <c r="M403" s="1149">
        <f>SUM(P403:AA403)</f>
        <v>72100000</v>
      </c>
      <c r="N403" s="1149"/>
      <c r="O403" s="1149"/>
      <c r="P403" s="1149"/>
      <c r="Q403" s="1169"/>
      <c r="R403" s="1169"/>
      <c r="S403" s="1169"/>
      <c r="T403" s="1169"/>
      <c r="U403" s="1169"/>
      <c r="V403" s="1290"/>
      <c r="W403" s="1169"/>
      <c r="X403" s="1169"/>
      <c r="Y403" s="1169"/>
      <c r="Z403" s="1149"/>
      <c r="AA403" s="1149">
        <v>72100000</v>
      </c>
      <c r="AB403" s="34">
        <f t="shared" si="168"/>
        <v>72100000</v>
      </c>
      <c r="AC403" s="34">
        <f>SUM(P403:AA403)</f>
        <v>72100000</v>
      </c>
    </row>
    <row r="404" spans="2:29">
      <c r="B404" s="1158" t="s">
        <v>189</v>
      </c>
      <c r="C404" s="1159" t="s">
        <v>545</v>
      </c>
      <c r="D404" s="1159" t="s">
        <v>549</v>
      </c>
      <c r="E404" s="1159" t="s">
        <v>312</v>
      </c>
      <c r="F404" s="1159"/>
      <c r="G404" s="1159"/>
      <c r="H404" s="1159"/>
      <c r="I404" s="1160"/>
      <c r="J404" s="1159" t="str">
        <f t="shared" si="170"/>
        <v>lending_cashloan_payroll_VNPOST_</v>
      </c>
      <c r="K404" s="1149"/>
      <c r="L404" s="1169" t="s">
        <v>528</v>
      </c>
      <c r="M404" s="1149">
        <f>SUM(P404:AA404)</f>
        <v>72100000</v>
      </c>
      <c r="N404" s="1149"/>
      <c r="O404" s="1149"/>
      <c r="P404" s="1169"/>
      <c r="Q404" s="1169"/>
      <c r="R404" s="1169"/>
      <c r="S404" s="1169"/>
      <c r="T404" s="1149"/>
      <c r="U404" s="1149"/>
      <c r="V404" s="1290"/>
      <c r="W404" s="1169"/>
      <c r="X404" s="1169"/>
      <c r="Y404" s="1149"/>
      <c r="Z404" s="1149"/>
      <c r="AA404" s="1149">
        <v>72100000</v>
      </c>
      <c r="AB404" s="34">
        <f t="shared" si="168"/>
        <v>72100000</v>
      </c>
    </row>
    <row r="405" spans="2:29">
      <c r="B405" s="1158" t="s">
        <v>189</v>
      </c>
      <c r="C405" s="1159" t="s">
        <v>545</v>
      </c>
      <c r="D405" s="1159" t="s">
        <v>549</v>
      </c>
      <c r="E405" s="1159" t="s">
        <v>312</v>
      </c>
      <c r="F405" s="1159"/>
      <c r="G405" s="1159"/>
      <c r="H405" s="1159"/>
      <c r="I405" s="1160"/>
      <c r="J405" s="1159" t="str">
        <f t="shared" si="170"/>
        <v>lending_cashloan_payroll_VNPOST_</v>
      </c>
      <c r="K405" s="1149"/>
      <c r="L405" s="1169" t="s">
        <v>529</v>
      </c>
      <c r="M405" s="1149">
        <f>SUM(P405:AA405)</f>
        <v>0</v>
      </c>
      <c r="N405" s="1149">
        <f t="shared" ref="N405:AA405" si="171">N403-N404</f>
        <v>0</v>
      </c>
      <c r="O405" s="1149">
        <f t="shared" si="171"/>
        <v>0</v>
      </c>
      <c r="P405" s="1149">
        <f t="shared" si="171"/>
        <v>0</v>
      </c>
      <c r="Q405" s="1149">
        <f t="shared" si="171"/>
        <v>0</v>
      </c>
      <c r="R405" s="1149">
        <f t="shared" si="171"/>
        <v>0</v>
      </c>
      <c r="S405" s="1149">
        <f t="shared" si="171"/>
        <v>0</v>
      </c>
      <c r="T405" s="1149">
        <f t="shared" si="171"/>
        <v>0</v>
      </c>
      <c r="U405" s="1149">
        <f t="shared" si="171"/>
        <v>0</v>
      </c>
      <c r="V405" s="1149">
        <f t="shared" si="171"/>
        <v>0</v>
      </c>
      <c r="W405" s="1149">
        <f t="shared" si="171"/>
        <v>0</v>
      </c>
      <c r="X405" s="1149">
        <f t="shared" si="171"/>
        <v>0</v>
      </c>
      <c r="Y405" s="1149">
        <f t="shared" si="171"/>
        <v>0</v>
      </c>
      <c r="Z405" s="1149">
        <f t="shared" si="171"/>
        <v>0</v>
      </c>
      <c r="AA405" s="1149">
        <f t="shared" si="171"/>
        <v>0</v>
      </c>
      <c r="AB405" s="34">
        <f t="shared" si="168"/>
        <v>0</v>
      </c>
    </row>
    <row r="406" spans="2:29">
      <c r="B406" s="1158" t="s">
        <v>189</v>
      </c>
      <c r="C406" s="1159" t="s">
        <v>545</v>
      </c>
      <c r="D406" s="1159" t="s">
        <v>549</v>
      </c>
      <c r="E406" s="1159" t="s">
        <v>312</v>
      </c>
      <c r="F406" s="1159"/>
      <c r="G406" s="1159"/>
      <c r="H406" s="1159"/>
      <c r="I406" s="1162" t="s">
        <v>243</v>
      </c>
      <c r="J406" s="1159" t="str">
        <f t="shared" si="170"/>
        <v>lending_cashloan_payroll_VNPOST_ENR</v>
      </c>
      <c r="K406" s="1149"/>
      <c r="L406" s="1169" t="s">
        <v>530</v>
      </c>
      <c r="M406" s="1149">
        <f>AA406</f>
        <v>72100000</v>
      </c>
      <c r="N406" s="1169"/>
      <c r="O406" s="1149"/>
      <c r="P406" s="1169"/>
      <c r="Q406" s="1273"/>
      <c r="R406" s="1169"/>
      <c r="S406" s="1169"/>
      <c r="T406" s="1169"/>
      <c r="U406" s="1169"/>
      <c r="V406" s="1169"/>
      <c r="W406" s="1254"/>
      <c r="X406" s="1169"/>
      <c r="Y406" s="1169"/>
      <c r="Z406" s="1169"/>
      <c r="AA406" s="1149">
        <v>72100000</v>
      </c>
      <c r="AB406" s="34">
        <f t="shared" si="168"/>
        <v>72100000</v>
      </c>
    </row>
    <row r="407" spans="2:29">
      <c r="B407" s="1158" t="s">
        <v>189</v>
      </c>
      <c r="C407" s="1159" t="s">
        <v>545</v>
      </c>
      <c r="D407" s="1159" t="s">
        <v>549</v>
      </c>
      <c r="E407" s="1159" t="s">
        <v>312</v>
      </c>
      <c r="F407" s="1159"/>
      <c r="G407" s="1159"/>
      <c r="H407" s="1159"/>
      <c r="I407" s="1160"/>
      <c r="J407" s="1159" t="str">
        <f t="shared" si="170"/>
        <v>lending_cashloan_payroll_VNPOST_</v>
      </c>
      <c r="K407" s="1149"/>
      <c r="L407" s="1235" t="s">
        <v>531</v>
      </c>
      <c r="M407" s="1149">
        <f>AA407</f>
        <v>72100000</v>
      </c>
      <c r="N407" s="1273">
        <f t="shared" ref="N407:AA407" si="172">N406-N408</f>
        <v>0</v>
      </c>
      <c r="O407" s="1273">
        <f t="shared" si="172"/>
        <v>0</v>
      </c>
      <c r="P407" s="1273">
        <f t="shared" si="172"/>
        <v>0</v>
      </c>
      <c r="Q407" s="1273">
        <f t="shared" si="172"/>
        <v>0</v>
      </c>
      <c r="R407" s="1273">
        <f t="shared" si="172"/>
        <v>0</v>
      </c>
      <c r="S407" s="1273">
        <f t="shared" si="172"/>
        <v>0</v>
      </c>
      <c r="T407" s="1273">
        <f t="shared" si="172"/>
        <v>0</v>
      </c>
      <c r="U407" s="1273">
        <f t="shared" si="172"/>
        <v>0</v>
      </c>
      <c r="V407" s="1273">
        <f t="shared" si="172"/>
        <v>0</v>
      </c>
      <c r="W407" s="1273">
        <f t="shared" si="172"/>
        <v>0</v>
      </c>
      <c r="X407" s="1273">
        <f t="shared" si="172"/>
        <v>0</v>
      </c>
      <c r="Y407" s="1273">
        <f t="shared" si="172"/>
        <v>0</v>
      </c>
      <c r="Z407" s="1273">
        <f t="shared" si="172"/>
        <v>0</v>
      </c>
      <c r="AA407" s="1273">
        <f t="shared" si="172"/>
        <v>72100000</v>
      </c>
      <c r="AB407" s="34">
        <f t="shared" si="168"/>
        <v>72100000</v>
      </c>
    </row>
    <row r="408" spans="2:29">
      <c r="B408" s="1158" t="s">
        <v>189</v>
      </c>
      <c r="C408" s="1159" t="s">
        <v>545</v>
      </c>
      <c r="D408" s="1159" t="s">
        <v>549</v>
      </c>
      <c r="E408" s="1159" t="s">
        <v>312</v>
      </c>
      <c r="F408" s="1159"/>
      <c r="G408" s="1159"/>
      <c r="H408" s="1159"/>
      <c r="I408" s="1160"/>
      <c r="J408" s="1159" t="str">
        <f t="shared" si="170"/>
        <v>lending_cashloan_payroll_VNPOST_</v>
      </c>
      <c r="K408" s="1149"/>
      <c r="L408" s="1235" t="s">
        <v>532</v>
      </c>
      <c r="M408" s="1149">
        <f>AA408</f>
        <v>0</v>
      </c>
      <c r="N408" s="1255">
        <v>0</v>
      </c>
      <c r="O408" s="1273"/>
      <c r="P408" s="1273"/>
      <c r="Q408" s="1273"/>
      <c r="R408" s="1255"/>
      <c r="S408" s="1255"/>
      <c r="T408" s="1247"/>
      <c r="U408" s="1236"/>
      <c r="V408" s="1236"/>
      <c r="W408" s="1236"/>
      <c r="X408" s="1255"/>
      <c r="Y408" s="1255"/>
      <c r="Z408" s="1255"/>
      <c r="AA408" s="1273"/>
      <c r="AB408" s="34">
        <f t="shared" si="168"/>
        <v>0</v>
      </c>
    </row>
    <row r="409" spans="2:29">
      <c r="B409" s="1158" t="s">
        <v>189</v>
      </c>
      <c r="C409" s="1159" t="s">
        <v>545</v>
      </c>
      <c r="D409" s="1159" t="s">
        <v>549</v>
      </c>
      <c r="E409" s="1159" t="s">
        <v>312</v>
      </c>
      <c r="F409" s="1159"/>
      <c r="G409" s="1159"/>
      <c r="H409" s="1159"/>
      <c r="I409" s="1160"/>
      <c r="J409" s="1159" t="str">
        <f t="shared" si="170"/>
        <v>lending_cashloan_payroll_VNPOST_</v>
      </c>
      <c r="K409" s="1149"/>
      <c r="L409" s="1148" t="s">
        <v>533</v>
      </c>
      <c r="M409" s="1149"/>
      <c r="N409" s="1255"/>
      <c r="O409" s="1273"/>
      <c r="P409" s="1273"/>
      <c r="Q409" s="1273"/>
      <c r="R409" s="1280"/>
      <c r="S409" s="1255"/>
      <c r="T409" s="1247"/>
      <c r="U409" s="1236"/>
      <c r="V409" s="1236"/>
      <c r="W409" s="1277"/>
      <c r="X409" s="1255"/>
      <c r="Y409" s="1255"/>
      <c r="Z409" s="1255"/>
      <c r="AA409" s="1273"/>
      <c r="AB409" s="34">
        <f t="shared" si="168"/>
        <v>0</v>
      </c>
    </row>
    <row r="410" spans="2:29">
      <c r="B410" s="1158" t="s">
        <v>189</v>
      </c>
      <c r="C410" s="1159" t="s">
        <v>545</v>
      </c>
      <c r="D410" s="1159" t="s">
        <v>549</v>
      </c>
      <c r="E410" s="1159" t="s">
        <v>312</v>
      </c>
      <c r="F410" s="1159"/>
      <c r="G410" s="1159"/>
      <c r="H410" s="1159"/>
      <c r="I410" s="1162" t="s">
        <v>247</v>
      </c>
      <c r="J410" s="1159" t="str">
        <f t="shared" si="170"/>
        <v>lending_cashloan_payroll_VNPOST_overdue_balance_10d</v>
      </c>
      <c r="K410" s="1149"/>
      <c r="L410" s="1169" t="s">
        <v>534</v>
      </c>
      <c r="M410" s="1149"/>
      <c r="N410" s="1255"/>
      <c r="O410" s="1273"/>
      <c r="P410" s="1273"/>
      <c r="Q410" s="1273"/>
      <c r="R410" s="1273"/>
      <c r="S410" s="1273"/>
      <c r="T410" s="1273"/>
      <c r="U410" s="1273"/>
      <c r="V410" s="1293"/>
      <c r="W410" s="1273"/>
      <c r="X410" s="1273"/>
      <c r="Y410" s="1273"/>
      <c r="Z410" s="1273"/>
      <c r="AA410" s="1273">
        <v>41200000</v>
      </c>
      <c r="AB410" s="34">
        <f t="shared" si="168"/>
        <v>41200000</v>
      </c>
    </row>
    <row r="411" spans="2:29">
      <c r="B411" s="1158" t="s">
        <v>189</v>
      </c>
      <c r="C411" s="1159" t="s">
        <v>545</v>
      </c>
      <c r="D411" s="1159" t="s">
        <v>549</v>
      </c>
      <c r="E411" s="1159" t="s">
        <v>312</v>
      </c>
      <c r="F411" s="1159"/>
      <c r="G411" s="1159"/>
      <c r="H411" s="1159"/>
      <c r="I411" s="1162" t="s">
        <v>248</v>
      </c>
      <c r="J411" s="1159" t="str">
        <f t="shared" si="170"/>
        <v>lending_cashloan_payroll_VNPOST_overdue_balance_90d</v>
      </c>
      <c r="K411" s="1149"/>
      <c r="L411" s="1169" t="s">
        <v>535</v>
      </c>
      <c r="M411" s="1149"/>
      <c r="N411" s="1255"/>
      <c r="O411" s="1273"/>
      <c r="P411" s="1273"/>
      <c r="Q411" s="1273"/>
      <c r="R411" s="1273"/>
      <c r="S411" s="1273"/>
      <c r="T411" s="1273"/>
      <c r="U411" s="1273"/>
      <c r="V411" s="1273"/>
      <c r="W411" s="1273"/>
      <c r="X411" s="1273"/>
      <c r="Y411" s="1273"/>
      <c r="Z411" s="1273"/>
      <c r="AA411" s="1273"/>
      <c r="AB411" s="34">
        <f t="shared" si="168"/>
        <v>0</v>
      </c>
    </row>
    <row r="412" spans="2:29">
      <c r="B412" s="1158" t="s">
        <v>189</v>
      </c>
      <c r="C412" s="1159" t="s">
        <v>545</v>
      </c>
      <c r="D412" s="1159" t="s">
        <v>549</v>
      </c>
      <c r="E412" s="1159" t="s">
        <v>312</v>
      </c>
      <c r="F412" s="1159"/>
      <c r="G412" s="1159"/>
      <c r="H412" s="1159"/>
      <c r="I412" s="1160"/>
      <c r="J412" s="1159" t="str">
        <f t="shared" si="170"/>
        <v>lending_cashloan_payroll_VNPOST_</v>
      </c>
      <c r="K412" s="1149"/>
      <c r="L412" s="1169" t="s">
        <v>536</v>
      </c>
      <c r="M412" s="1149"/>
      <c r="N412" s="1169"/>
      <c r="O412" s="1169"/>
      <c r="P412" s="1169"/>
      <c r="Q412" s="1169"/>
      <c r="R412" s="1169"/>
      <c r="S412" s="1169"/>
      <c r="T412" s="1169"/>
      <c r="U412" s="1169"/>
      <c r="V412" s="1169">
        <f t="shared" ref="V412:X412" si="173">V410-V411</f>
        <v>0</v>
      </c>
      <c r="W412" s="1169">
        <f t="shared" si="173"/>
        <v>0</v>
      </c>
      <c r="X412" s="1169">
        <f t="shared" si="173"/>
        <v>0</v>
      </c>
      <c r="Y412" s="1290"/>
      <c r="Z412" s="1290"/>
      <c r="AA412" s="1169"/>
      <c r="AB412" s="34">
        <f t="shared" si="168"/>
        <v>0</v>
      </c>
    </row>
    <row r="413" spans="2:29">
      <c r="B413" s="1158" t="s">
        <v>189</v>
      </c>
      <c r="C413" s="1159" t="s">
        <v>545</v>
      </c>
      <c r="D413" s="1159" t="s">
        <v>549</v>
      </c>
      <c r="E413" s="1159" t="s">
        <v>312</v>
      </c>
      <c r="F413" s="1159"/>
      <c r="G413" s="1159"/>
      <c r="H413" s="1159"/>
      <c r="I413" s="1160"/>
      <c r="J413" s="1159" t="str">
        <f t="shared" si="170"/>
        <v>lending_cashloan_payroll_VNPOST_</v>
      </c>
      <c r="K413" s="1149"/>
      <c r="L413" s="1169" t="s">
        <v>537</v>
      </c>
      <c r="M413" s="1149"/>
      <c r="N413" s="1269"/>
      <c r="O413" s="1269"/>
      <c r="P413" s="1269"/>
      <c r="Q413" s="1269"/>
      <c r="R413" s="1269"/>
      <c r="S413" s="1269" t="e">
        <f t="shared" ref="S413:AA413" si="174">S411/S406</f>
        <v>#DIV/0!</v>
      </c>
      <c r="T413" s="1269" t="e">
        <f t="shared" si="174"/>
        <v>#DIV/0!</v>
      </c>
      <c r="U413" s="1269" t="e">
        <f t="shared" si="174"/>
        <v>#DIV/0!</v>
      </c>
      <c r="V413" s="1269" t="e">
        <f t="shared" si="174"/>
        <v>#DIV/0!</v>
      </c>
      <c r="W413" s="1269" t="e">
        <f t="shared" si="174"/>
        <v>#DIV/0!</v>
      </c>
      <c r="X413" s="1269" t="e">
        <f t="shared" si="174"/>
        <v>#DIV/0!</v>
      </c>
      <c r="Y413" s="1269" t="e">
        <f t="shared" si="174"/>
        <v>#DIV/0!</v>
      </c>
      <c r="Z413" s="1269" t="e">
        <f t="shared" si="174"/>
        <v>#DIV/0!</v>
      </c>
      <c r="AA413" s="1269">
        <f t="shared" si="174"/>
        <v>0</v>
      </c>
      <c r="AB413" s="34" t="e">
        <f t="shared" si="168"/>
        <v>#DIV/0!</v>
      </c>
    </row>
    <row r="414" spans="2:29">
      <c r="B414" s="1158" t="s">
        <v>189</v>
      </c>
      <c r="C414" s="1159" t="s">
        <v>545</v>
      </c>
      <c r="D414" s="1159" t="s">
        <v>549</v>
      </c>
      <c r="E414" s="1159" t="s">
        <v>312</v>
      </c>
      <c r="F414" s="1159"/>
      <c r="G414" s="1159"/>
      <c r="H414" s="1159"/>
      <c r="I414" s="1162" t="s">
        <v>213</v>
      </c>
      <c r="J414" s="1159" t="str">
        <f t="shared" si="170"/>
        <v>lending_cashloan_payroll_VNPOST_npl</v>
      </c>
      <c r="K414" s="1149"/>
      <c r="L414" s="1169" t="s">
        <v>538</v>
      </c>
      <c r="M414" s="1149"/>
      <c r="N414" s="1269"/>
      <c r="O414" s="1269"/>
      <c r="P414" s="1269"/>
      <c r="Q414" s="1269"/>
      <c r="R414" s="1269"/>
      <c r="S414" s="1269" t="e">
        <f t="shared" ref="S414:X414" si="175">S412/S406</f>
        <v>#DIV/0!</v>
      </c>
      <c r="T414" s="1269" t="e">
        <f t="shared" si="175"/>
        <v>#DIV/0!</v>
      </c>
      <c r="U414" s="1269" t="e">
        <f t="shared" si="175"/>
        <v>#DIV/0!</v>
      </c>
      <c r="V414" s="1269" t="e">
        <f t="shared" si="175"/>
        <v>#DIV/0!</v>
      </c>
      <c r="W414" s="1269" t="e">
        <f t="shared" si="175"/>
        <v>#DIV/0!</v>
      </c>
      <c r="X414" s="1269" t="e">
        <f t="shared" si="175"/>
        <v>#DIV/0!</v>
      </c>
      <c r="Y414" s="1269" t="e">
        <f>Y412/Y406</f>
        <v>#DIV/0!</v>
      </c>
      <c r="Z414" s="1269" t="e">
        <f>Z412/Z406</f>
        <v>#DIV/0!</v>
      </c>
      <c r="AA414" s="1269">
        <f t="shared" ref="AA414" si="176">AA412/AA406</f>
        <v>0</v>
      </c>
      <c r="AB414" s="34" t="e">
        <f t="shared" si="168"/>
        <v>#DIV/0!</v>
      </c>
    </row>
    <row r="415" spans="2:29">
      <c r="B415" s="1158" t="s">
        <v>189</v>
      </c>
      <c r="C415" s="1159" t="s">
        <v>545</v>
      </c>
      <c r="D415" s="1159" t="s">
        <v>549</v>
      </c>
      <c r="E415" s="1159" t="s">
        <v>312</v>
      </c>
      <c r="F415" s="1159" t="str">
        <f>E415&amp;"PRCL"</f>
        <v>VNPOSTPRCL</v>
      </c>
      <c r="G415" s="1159" t="str">
        <f>L415&amp;F415</f>
        <v>TOIVNPOSTPRCL</v>
      </c>
      <c r="H415" s="1408" t="str">
        <f>L415&amp;E415</f>
        <v>TOIVNPOST</v>
      </c>
      <c r="I415" s="1162" t="s">
        <v>217</v>
      </c>
      <c r="J415" s="1159" t="str">
        <f t="shared" si="170"/>
        <v>lending_cashloan_payroll_VNPOST_TOI</v>
      </c>
      <c r="K415" s="1149"/>
      <c r="L415" s="1238" t="s">
        <v>217</v>
      </c>
      <c r="M415" s="1150">
        <f t="shared" ref="M415:AA415" si="177">M416+M421+M425</f>
        <v>1879944</v>
      </c>
      <c r="N415" s="1150">
        <f t="shared" si="177"/>
        <v>0</v>
      </c>
      <c r="O415" s="1150">
        <f t="shared" si="177"/>
        <v>0</v>
      </c>
      <c r="P415" s="1150">
        <f t="shared" si="177"/>
        <v>0</v>
      </c>
      <c r="Q415" s="1150">
        <f t="shared" si="177"/>
        <v>0</v>
      </c>
      <c r="R415" s="1150">
        <f t="shared" si="177"/>
        <v>0</v>
      </c>
      <c r="S415" s="1150">
        <f t="shared" si="177"/>
        <v>0</v>
      </c>
      <c r="T415" s="1150">
        <f t="shared" si="177"/>
        <v>0</v>
      </c>
      <c r="U415" s="1150">
        <f t="shared" si="177"/>
        <v>0</v>
      </c>
      <c r="V415" s="1150">
        <f t="shared" si="177"/>
        <v>0</v>
      </c>
      <c r="W415" s="1150">
        <f t="shared" si="177"/>
        <v>0</v>
      </c>
      <c r="X415" s="1150">
        <f t="shared" si="177"/>
        <v>0</v>
      </c>
      <c r="Y415" s="1150">
        <f t="shared" si="177"/>
        <v>0</v>
      </c>
      <c r="Z415" s="1150">
        <f t="shared" si="177"/>
        <v>0</v>
      </c>
      <c r="AA415" s="1150">
        <f t="shared" si="177"/>
        <v>1879944</v>
      </c>
      <c r="AB415" s="34">
        <f t="shared" si="168"/>
        <v>1879944</v>
      </c>
      <c r="AC415" s="34">
        <f>SUM(P415:AA415)</f>
        <v>1879944</v>
      </c>
    </row>
    <row r="416" spans="2:29">
      <c r="B416" s="1158" t="s">
        <v>189</v>
      </c>
      <c r="C416" s="1159" t="s">
        <v>545</v>
      </c>
      <c r="D416" s="1159" t="s">
        <v>549</v>
      </c>
      <c r="E416" s="1159" t="s">
        <v>312</v>
      </c>
      <c r="F416" s="1159"/>
      <c r="G416" s="1159"/>
      <c r="H416" s="1159"/>
      <c r="I416" s="1162" t="s">
        <v>254</v>
      </c>
      <c r="J416" s="1159" t="str">
        <f t="shared" si="170"/>
        <v>lending_cashloan_payroll_VNPOST_NII</v>
      </c>
      <c r="K416" s="1149"/>
      <c r="L416" s="1239" t="s">
        <v>218</v>
      </c>
      <c r="M416" s="1150">
        <f t="shared" ref="M416:AA416" si="178">M417-M420</f>
        <v>100601</v>
      </c>
      <c r="N416" s="1150">
        <f t="shared" si="178"/>
        <v>0</v>
      </c>
      <c r="O416" s="1150">
        <f t="shared" si="178"/>
        <v>0</v>
      </c>
      <c r="P416" s="1150">
        <f t="shared" si="178"/>
        <v>0</v>
      </c>
      <c r="Q416" s="1150">
        <f t="shared" si="178"/>
        <v>0</v>
      </c>
      <c r="R416" s="1150">
        <f t="shared" si="178"/>
        <v>0</v>
      </c>
      <c r="S416" s="1150">
        <f t="shared" si="178"/>
        <v>0</v>
      </c>
      <c r="T416" s="1150">
        <f t="shared" si="178"/>
        <v>0</v>
      </c>
      <c r="U416" s="1150">
        <f t="shared" si="178"/>
        <v>0</v>
      </c>
      <c r="V416" s="1150">
        <f t="shared" si="178"/>
        <v>0</v>
      </c>
      <c r="W416" s="1150">
        <f t="shared" si="178"/>
        <v>0</v>
      </c>
      <c r="X416" s="1150">
        <f t="shared" si="178"/>
        <v>0</v>
      </c>
      <c r="Y416" s="1150">
        <f t="shared" si="178"/>
        <v>0</v>
      </c>
      <c r="Z416" s="1150">
        <f t="shared" si="178"/>
        <v>0</v>
      </c>
      <c r="AA416" s="1150">
        <f t="shared" si="178"/>
        <v>100601</v>
      </c>
      <c r="AB416" s="34">
        <f t="shared" si="168"/>
        <v>100601</v>
      </c>
    </row>
    <row r="417" spans="2:30">
      <c r="B417" s="1158" t="s">
        <v>189</v>
      </c>
      <c r="C417" s="1159" t="s">
        <v>545</v>
      </c>
      <c r="D417" s="1159" t="s">
        <v>549</v>
      </c>
      <c r="E417" s="1159" t="s">
        <v>312</v>
      </c>
      <c r="F417" s="1159"/>
      <c r="G417" s="1159"/>
      <c r="H417" s="1159"/>
      <c r="I417" s="1162" t="s">
        <v>255</v>
      </c>
      <c r="J417" s="1159" t="str">
        <f t="shared" si="170"/>
        <v>lending_cashloan_payroll_VNPOST_CII</v>
      </c>
      <c r="K417" s="1149"/>
      <c r="L417" s="1240" t="s">
        <v>20</v>
      </c>
      <c r="M417" s="1149">
        <f>SUM(P417:AA417)</f>
        <v>186669</v>
      </c>
      <c r="N417" s="1149">
        <f>N418+0-N419</f>
        <v>0</v>
      </c>
      <c r="O417" s="1149">
        <f t="shared" ref="O417" si="179">O418+N419-O419</f>
        <v>0</v>
      </c>
      <c r="P417" s="1149">
        <f t="shared" ref="P417" si="180">P418+O419-P419</f>
        <v>0</v>
      </c>
      <c r="Q417" s="1149">
        <f t="shared" ref="Q417" si="181">Q418+P419-Q419</f>
        <v>0</v>
      </c>
      <c r="R417" s="1149">
        <f t="shared" ref="R417" si="182">R418+Q419-R419</f>
        <v>0</v>
      </c>
      <c r="S417" s="1149">
        <f t="shared" ref="S417" si="183">S418+R419-S419</f>
        <v>0</v>
      </c>
      <c r="T417" s="1149">
        <f t="shared" ref="T417" si="184">T418+S419-T419</f>
        <v>0</v>
      </c>
      <c r="U417" s="1149">
        <f t="shared" ref="U417" si="185">U418+T419-U419</f>
        <v>0</v>
      </c>
      <c r="V417" s="1149">
        <f t="shared" ref="V417" si="186">V418+U419-V419</f>
        <v>0</v>
      </c>
      <c r="W417" s="1149">
        <f t="shared" ref="W417" si="187">W418+V419-W419</f>
        <v>0</v>
      </c>
      <c r="X417" s="1149">
        <f t="shared" ref="X417" si="188">X418+W419-X419</f>
        <v>0</v>
      </c>
      <c r="Y417" s="1149">
        <f t="shared" ref="Y417" si="189">Y418+X419-Y419</f>
        <v>0</v>
      </c>
      <c r="Z417" s="1149">
        <f t="shared" ref="Z417" si="190">Z418+Y419-Z419</f>
        <v>0</v>
      </c>
      <c r="AA417" s="1149">
        <f>AA418+Z419-AA419</f>
        <v>186669</v>
      </c>
      <c r="AB417" s="34">
        <f t="shared" si="168"/>
        <v>186669</v>
      </c>
    </row>
    <row r="418" spans="2:30">
      <c r="B418" s="1158" t="s">
        <v>189</v>
      </c>
      <c r="C418" s="1159" t="s">
        <v>545</v>
      </c>
      <c r="D418" s="1159" t="s">
        <v>549</v>
      </c>
      <c r="E418" s="1159" t="s">
        <v>312</v>
      </c>
      <c r="F418" s="1159"/>
      <c r="G418" s="1159"/>
      <c r="H418" s="1159"/>
      <c r="I418" s="1162"/>
      <c r="J418" s="1159" t="str">
        <f t="shared" si="170"/>
        <v>lending_cashloan_payroll_VNPOST_</v>
      </c>
      <c r="K418" s="1149"/>
      <c r="L418" s="1274" t="s">
        <v>539</v>
      </c>
      <c r="M418" s="1151">
        <f>SUM(P418:AA418)</f>
        <v>186669</v>
      </c>
      <c r="N418" s="1151"/>
      <c r="O418" s="1151"/>
      <c r="P418" s="1151"/>
      <c r="Q418" s="1151"/>
      <c r="R418" s="1151">
        <v>0</v>
      </c>
      <c r="S418" s="1151">
        <v>0</v>
      </c>
      <c r="T418" s="1151"/>
      <c r="U418" s="1151"/>
      <c r="V418" s="1151"/>
      <c r="W418" s="1151"/>
      <c r="X418" s="1151"/>
      <c r="Y418" s="1151"/>
      <c r="Z418" s="1149"/>
      <c r="AA418" s="1151">
        <v>186669</v>
      </c>
      <c r="AB418" s="34">
        <f t="shared" si="168"/>
        <v>186669</v>
      </c>
    </row>
    <row r="419" spans="2:30">
      <c r="B419" s="1158" t="s">
        <v>189</v>
      </c>
      <c r="C419" s="1159" t="s">
        <v>545</v>
      </c>
      <c r="D419" s="1159" t="s">
        <v>549</v>
      </c>
      <c r="E419" s="1159" t="s">
        <v>312</v>
      </c>
      <c r="F419" s="1159"/>
      <c r="G419" s="1159"/>
      <c r="H419" s="1159"/>
      <c r="I419" s="1160"/>
      <c r="J419" s="1159" t="str">
        <f t="shared" si="170"/>
        <v>lending_cashloan_payroll_VNPOST_</v>
      </c>
      <c r="K419" s="1149"/>
      <c r="L419" s="1274" t="s">
        <v>187</v>
      </c>
      <c r="M419" s="1151">
        <f>SUM(P419:AA419)</f>
        <v>0</v>
      </c>
      <c r="N419" s="1151"/>
      <c r="O419" s="1151"/>
      <c r="P419" s="1151"/>
      <c r="Q419" s="1151"/>
      <c r="R419" s="1151"/>
      <c r="S419" s="1151"/>
      <c r="T419" s="1151"/>
      <c r="U419" s="1151"/>
      <c r="V419" s="1151"/>
      <c r="W419" s="1151"/>
      <c r="X419" s="1151"/>
      <c r="Y419" s="1149"/>
      <c r="Z419" s="1151"/>
      <c r="AA419" s="1151"/>
      <c r="AB419" s="34">
        <f t="shared" si="168"/>
        <v>0</v>
      </c>
      <c r="AC419" s="34"/>
      <c r="AD419" s="34"/>
    </row>
    <row r="420" spans="2:30">
      <c r="B420" s="1158" t="s">
        <v>189</v>
      </c>
      <c r="C420" s="1159" t="s">
        <v>545</v>
      </c>
      <c r="D420" s="1159" t="s">
        <v>549</v>
      </c>
      <c r="E420" s="1159" t="s">
        <v>312</v>
      </c>
      <c r="F420" s="1159"/>
      <c r="G420" s="1159"/>
      <c r="H420" s="1159"/>
      <c r="I420" s="1162" t="s">
        <v>219</v>
      </c>
      <c r="J420" s="1159" t="str">
        <f t="shared" si="170"/>
        <v>lending_cashloan_payroll_VNPOST_COF</v>
      </c>
      <c r="K420" s="1149"/>
      <c r="L420" s="1240" t="s">
        <v>219</v>
      </c>
      <c r="M420" s="1149">
        <f>SUM(P420:AA420)</f>
        <v>86068</v>
      </c>
      <c r="N420" s="1254"/>
      <c r="O420" s="1247"/>
      <c r="P420" s="1169"/>
      <c r="Q420" s="1169"/>
      <c r="R420" s="1169"/>
      <c r="S420" s="1149">
        <v>0</v>
      </c>
      <c r="T420" s="1169"/>
      <c r="U420" s="1169"/>
      <c r="V420" s="1290"/>
      <c r="W420" s="1290"/>
      <c r="X420" s="1290"/>
      <c r="Y420" s="1149"/>
      <c r="Z420" s="1254"/>
      <c r="AA420" s="1247">
        <v>86068</v>
      </c>
      <c r="AB420" s="34">
        <f t="shared" si="168"/>
        <v>86068</v>
      </c>
    </row>
    <row r="421" spans="2:30">
      <c r="B421" s="1158" t="s">
        <v>189</v>
      </c>
      <c r="C421" s="1159" t="s">
        <v>545</v>
      </c>
      <c r="D421" s="1159" t="s">
        <v>549</v>
      </c>
      <c r="E421" s="1159" t="s">
        <v>312</v>
      </c>
      <c r="F421" s="1159"/>
      <c r="G421" s="1159"/>
      <c r="H421" s="1159"/>
      <c r="I421" s="1162" t="s">
        <v>260</v>
      </c>
      <c r="J421" s="1159" t="str">
        <f t="shared" si="170"/>
        <v>lending_cashloan_payroll_VNPOST_NFI</v>
      </c>
      <c r="K421" s="1149"/>
      <c r="L421" s="1239" t="s">
        <v>220</v>
      </c>
      <c r="M421" s="1150">
        <f t="shared" ref="M421:AA421" si="191">SUM(M422:M424)</f>
        <v>1779343</v>
      </c>
      <c r="N421" s="1150">
        <f t="shared" si="191"/>
        <v>0</v>
      </c>
      <c r="O421" s="1150">
        <f t="shared" si="191"/>
        <v>0</v>
      </c>
      <c r="P421" s="1150">
        <f t="shared" si="191"/>
        <v>0</v>
      </c>
      <c r="Q421" s="1150">
        <f t="shared" si="191"/>
        <v>0</v>
      </c>
      <c r="R421" s="1150">
        <f t="shared" si="191"/>
        <v>0</v>
      </c>
      <c r="S421" s="1150">
        <f t="shared" si="191"/>
        <v>0</v>
      </c>
      <c r="T421" s="1150">
        <f t="shared" si="191"/>
        <v>0</v>
      </c>
      <c r="U421" s="1150">
        <f t="shared" si="191"/>
        <v>0</v>
      </c>
      <c r="V421" s="1150">
        <f t="shared" si="191"/>
        <v>0</v>
      </c>
      <c r="W421" s="1150">
        <f t="shared" si="191"/>
        <v>0</v>
      </c>
      <c r="X421" s="1150">
        <f t="shared" si="191"/>
        <v>0</v>
      </c>
      <c r="Y421" s="1150">
        <f t="shared" si="191"/>
        <v>0</v>
      </c>
      <c r="Z421" s="1150">
        <f t="shared" si="191"/>
        <v>0</v>
      </c>
      <c r="AA421" s="1150">
        <f t="shared" si="191"/>
        <v>1779343</v>
      </c>
      <c r="AB421" s="34">
        <f t="shared" si="168"/>
        <v>1779343</v>
      </c>
    </row>
    <row r="422" spans="2:30">
      <c r="B422" s="1158" t="s">
        <v>189</v>
      </c>
      <c r="C422" s="1159" t="s">
        <v>545</v>
      </c>
      <c r="D422" s="1159" t="s">
        <v>549</v>
      </c>
      <c r="E422" s="1159" t="s">
        <v>312</v>
      </c>
      <c r="F422" s="1159"/>
      <c r="G422" s="1159"/>
      <c r="H422" s="1159"/>
      <c r="I422" s="1162" t="s">
        <v>546</v>
      </c>
      <c r="J422" s="1159" t="str">
        <f t="shared" si="170"/>
        <v>lending_cashloan_payroll_VNPOST_insurance_fee</v>
      </c>
      <c r="K422" s="1149"/>
      <c r="L422" s="1240" t="s">
        <v>540</v>
      </c>
      <c r="M422" s="1151">
        <f>SUM(P422:AA422)</f>
        <v>1779343</v>
      </c>
      <c r="N422" s="1151"/>
      <c r="O422" s="1261"/>
      <c r="P422" s="1261"/>
      <c r="Q422" s="1248"/>
      <c r="R422" s="1243">
        <v>0</v>
      </c>
      <c r="S422" s="1243"/>
      <c r="T422" s="1149"/>
      <c r="U422" s="1149"/>
      <c r="V422" s="1149"/>
      <c r="W422" s="1151"/>
      <c r="X422" s="1151"/>
      <c r="Y422" s="1151"/>
      <c r="Z422" s="1151"/>
      <c r="AA422" s="1261">
        <v>1779343</v>
      </c>
      <c r="AB422" s="34">
        <f t="shared" si="168"/>
        <v>1779343</v>
      </c>
    </row>
    <row r="423" spans="2:30">
      <c r="B423" s="1158" t="s">
        <v>189</v>
      </c>
      <c r="C423" s="1159" t="s">
        <v>545</v>
      </c>
      <c r="D423" s="1159" t="s">
        <v>549</v>
      </c>
      <c r="E423" s="1159" t="s">
        <v>312</v>
      </c>
      <c r="F423" s="1159"/>
      <c r="G423" s="1159"/>
      <c r="H423" s="1159"/>
      <c r="I423" s="1162" t="s">
        <v>547</v>
      </c>
      <c r="J423" s="1159" t="str">
        <f t="shared" si="170"/>
        <v>lending_cashloan_payroll_VNPOST_early_terminate_fee</v>
      </c>
      <c r="K423" s="1149"/>
      <c r="L423" s="1240" t="s">
        <v>541</v>
      </c>
      <c r="M423" s="1151">
        <f>SUM(P423:AA423)</f>
        <v>0</v>
      </c>
      <c r="N423" s="1151"/>
      <c r="O423" s="1151"/>
      <c r="P423" s="1243">
        <v>0</v>
      </c>
      <c r="Q423" s="1243"/>
      <c r="R423" s="1243">
        <v>0</v>
      </c>
      <c r="S423" s="1243"/>
      <c r="T423" s="1247"/>
      <c r="U423" s="1151"/>
      <c r="V423" s="1149"/>
      <c r="W423" s="1149"/>
      <c r="X423" s="1149"/>
      <c r="Y423" s="1149"/>
      <c r="Z423" s="1151"/>
      <c r="AA423" s="1151"/>
      <c r="AB423" s="34">
        <f t="shared" si="168"/>
        <v>0</v>
      </c>
    </row>
    <row r="424" spans="2:30">
      <c r="B424" s="1158" t="s">
        <v>189</v>
      </c>
      <c r="C424" s="1159" t="s">
        <v>545</v>
      </c>
      <c r="D424" s="1159" t="s">
        <v>549</v>
      </c>
      <c r="E424" s="1159" t="s">
        <v>312</v>
      </c>
      <c r="F424" s="1159"/>
      <c r="G424" s="1159"/>
      <c r="H424" s="1159"/>
      <c r="I424" s="1162" t="s">
        <v>548</v>
      </c>
      <c r="J424" s="1159" t="str">
        <f t="shared" si="170"/>
        <v>lending_cashloan_payroll_VNPOST_loan_grant_fee</v>
      </c>
      <c r="K424" s="1149"/>
      <c r="L424" s="1240" t="s">
        <v>542</v>
      </c>
      <c r="M424" s="1151">
        <f>SUM(P424:AA424)</f>
        <v>0</v>
      </c>
      <c r="N424" s="1151"/>
      <c r="O424" s="1151"/>
      <c r="P424" s="1243"/>
      <c r="Q424" s="1243"/>
      <c r="R424" s="1243"/>
      <c r="S424" s="1243"/>
      <c r="T424" s="1243"/>
      <c r="U424" s="1151"/>
      <c r="V424" s="1261"/>
      <c r="W424" s="1151"/>
      <c r="X424" s="1151"/>
      <c r="Y424" s="1151"/>
      <c r="Z424" s="1151"/>
      <c r="AA424" s="1151"/>
      <c r="AB424" s="34">
        <f t="shared" si="168"/>
        <v>0</v>
      </c>
    </row>
    <row r="425" spans="2:30">
      <c r="B425" s="1158" t="s">
        <v>189</v>
      </c>
      <c r="C425" s="1159" t="s">
        <v>545</v>
      </c>
      <c r="D425" s="1159" t="s">
        <v>549</v>
      </c>
      <c r="E425" s="1159" t="s">
        <v>312</v>
      </c>
      <c r="F425" s="1159"/>
      <c r="G425" s="1159"/>
      <c r="H425" s="1159"/>
      <c r="I425" s="1162" t="s">
        <v>269</v>
      </c>
      <c r="J425" s="1159" t="str">
        <f t="shared" si="170"/>
        <v>lending_cashloan_payroll_VNPOST_other_TOI</v>
      </c>
      <c r="K425" s="1149"/>
      <c r="L425" s="1239" t="s">
        <v>89</v>
      </c>
      <c r="M425" s="1154">
        <f>SUM(P425:AA425)</f>
        <v>0</v>
      </c>
      <c r="N425" s="1151"/>
      <c r="O425" s="1151"/>
      <c r="P425" s="1243"/>
      <c r="Q425" s="1243"/>
      <c r="R425" s="1243"/>
      <c r="S425" s="1243"/>
      <c r="T425" s="1243"/>
      <c r="U425" s="1151"/>
      <c r="V425" s="1261"/>
      <c r="W425" s="1151"/>
      <c r="X425" s="1245"/>
      <c r="Y425" s="1151"/>
      <c r="Z425" s="1151"/>
      <c r="AA425" s="1151"/>
      <c r="AB425" s="34">
        <f t="shared" si="168"/>
        <v>0</v>
      </c>
    </row>
    <row r="426" spans="2:30" s="4" customFormat="1">
      <c r="B426" s="1158" t="s">
        <v>189</v>
      </c>
      <c r="C426" s="1159" t="s">
        <v>545</v>
      </c>
      <c r="D426" s="1159" t="s">
        <v>549</v>
      </c>
      <c r="E426" s="1159" t="s">
        <v>312</v>
      </c>
      <c r="F426" s="1159"/>
      <c r="G426" s="1159"/>
      <c r="H426" s="1159"/>
      <c r="I426" s="1162" t="s">
        <v>270</v>
      </c>
      <c r="J426" s="1159" t="str">
        <f t="shared" si="170"/>
        <v>lending_cashloan_payroll_VNPOST_provision</v>
      </c>
      <c r="K426" s="1149"/>
      <c r="L426" s="1245" t="s">
        <v>136</v>
      </c>
      <c r="M426" s="1150">
        <f>SUM(P426:AA426)</f>
        <v>2600750</v>
      </c>
      <c r="N426" s="1150"/>
      <c r="O426" s="1262"/>
      <c r="P426" s="1262"/>
      <c r="Q426" s="1275"/>
      <c r="R426" s="1275">
        <v>0</v>
      </c>
      <c r="S426" s="1245"/>
      <c r="T426" s="1150"/>
      <c r="U426" s="1150"/>
      <c r="V426" s="1150"/>
      <c r="W426" s="1262"/>
      <c r="X426" s="1262"/>
      <c r="Y426" s="1262"/>
      <c r="Z426" s="1150"/>
      <c r="AA426" s="1262">
        <f>540750+2060000</f>
        <v>2600750</v>
      </c>
      <c r="AB426" s="34">
        <f t="shared" si="168"/>
        <v>2600750</v>
      </c>
    </row>
    <row r="427" spans="2:30">
      <c r="B427" s="1158" t="s">
        <v>189</v>
      </c>
      <c r="C427" s="1159" t="s">
        <v>545</v>
      </c>
      <c r="D427" s="1159" t="s">
        <v>549</v>
      </c>
      <c r="E427" s="1159" t="s">
        <v>312</v>
      </c>
      <c r="F427" s="1159"/>
      <c r="G427" s="1159"/>
      <c r="H427" s="1159"/>
      <c r="I427" s="1162" t="s">
        <v>271</v>
      </c>
      <c r="J427" s="1159" t="str">
        <f t="shared" si="170"/>
        <v>lending_cashloan_payroll_VNPOST_variable_cost</v>
      </c>
      <c r="K427" s="1149"/>
      <c r="L427" s="1245" t="s">
        <v>229</v>
      </c>
      <c r="M427" s="1150">
        <f t="shared" ref="M427:AA427" si="192">SUM(M428:M435)</f>
        <v>406270.44850578834</v>
      </c>
      <c r="N427" s="1150">
        <f t="shared" si="192"/>
        <v>0</v>
      </c>
      <c r="O427" s="1150">
        <f t="shared" si="192"/>
        <v>0</v>
      </c>
      <c r="P427" s="1150">
        <f t="shared" si="192"/>
        <v>0</v>
      </c>
      <c r="Q427" s="1150">
        <f t="shared" si="192"/>
        <v>0</v>
      </c>
      <c r="R427" s="1150">
        <f t="shared" si="192"/>
        <v>0</v>
      </c>
      <c r="S427" s="1150">
        <f t="shared" si="192"/>
        <v>0</v>
      </c>
      <c r="T427" s="1150">
        <f t="shared" si="192"/>
        <v>0</v>
      </c>
      <c r="U427" s="1150">
        <f t="shared" si="192"/>
        <v>0</v>
      </c>
      <c r="V427" s="1150">
        <f t="shared" si="192"/>
        <v>0</v>
      </c>
      <c r="W427" s="1150">
        <f t="shared" si="192"/>
        <v>0</v>
      </c>
      <c r="X427" s="1150">
        <f t="shared" si="192"/>
        <v>0</v>
      </c>
      <c r="Y427" s="1150">
        <f t="shared" si="192"/>
        <v>0</v>
      </c>
      <c r="Z427" s="1150">
        <f t="shared" si="192"/>
        <v>0</v>
      </c>
      <c r="AA427" s="1150">
        <f t="shared" si="192"/>
        <v>406270.44850578834</v>
      </c>
      <c r="AB427" s="34">
        <f t="shared" si="168"/>
        <v>406270.44850578834</v>
      </c>
    </row>
    <row r="428" spans="2:30" ht="16">
      <c r="B428" s="1158" t="s">
        <v>189</v>
      </c>
      <c r="C428" s="1159" t="s">
        <v>545</v>
      </c>
      <c r="D428" s="1159" t="s">
        <v>549</v>
      </c>
      <c r="E428" s="1159" t="s">
        <v>312</v>
      </c>
      <c r="F428" s="1159"/>
      <c r="G428" s="1159"/>
      <c r="H428" s="1159"/>
      <c r="I428" s="1162" t="s">
        <v>272</v>
      </c>
      <c r="J428" s="1159" t="str">
        <f t="shared" si="170"/>
        <v>lending_cashloan_payroll_VNPOST_marketing_acquisition_cost</v>
      </c>
      <c r="K428" s="1149"/>
      <c r="L428" s="1246" t="s">
        <v>230</v>
      </c>
      <c r="M428" s="1149">
        <f t="shared" ref="M428:M433" si="193">SUM(P428:AA428)</f>
        <v>0</v>
      </c>
      <c r="N428" s="1147"/>
      <c r="O428" s="1147"/>
      <c r="P428" s="1169"/>
      <c r="Q428" s="1169"/>
      <c r="R428" s="1169"/>
      <c r="S428" s="1147"/>
      <c r="T428" s="1169"/>
      <c r="U428" s="1247"/>
      <c r="V428" s="1149"/>
      <c r="W428" s="1149"/>
      <c r="X428" s="1279"/>
      <c r="Y428" s="1147"/>
      <c r="Z428" s="1147"/>
      <c r="AA428" s="1147"/>
      <c r="AB428" s="34">
        <f t="shared" si="168"/>
        <v>0</v>
      </c>
    </row>
    <row r="429" spans="2:30">
      <c r="B429" s="1158" t="s">
        <v>189</v>
      </c>
      <c r="C429" s="1159" t="s">
        <v>545</v>
      </c>
      <c r="D429" s="1159" t="s">
        <v>549</v>
      </c>
      <c r="E429" s="1159" t="s">
        <v>312</v>
      </c>
      <c r="F429" s="1159"/>
      <c r="G429" s="1159"/>
      <c r="H429" s="1159"/>
      <c r="I429" s="1162" t="s">
        <v>273</v>
      </c>
      <c r="J429" s="1159" t="str">
        <f t="shared" si="170"/>
        <v>lending_cashloan_payroll_VNPOST_partner_acquisition_cost</v>
      </c>
      <c r="K429" s="1149"/>
      <c r="L429" s="1246" t="s">
        <v>231</v>
      </c>
      <c r="M429" s="1150">
        <f t="shared" si="193"/>
        <v>0</v>
      </c>
      <c r="N429" s="1264"/>
      <c r="O429" s="1245"/>
      <c r="P429" s="1262"/>
      <c r="Q429" s="1275"/>
      <c r="R429" s="1245"/>
      <c r="S429" s="1150"/>
      <c r="T429" s="1294"/>
      <c r="U429" s="1294"/>
      <c r="V429" s="1149"/>
      <c r="W429" s="1149"/>
      <c r="X429" s="1149"/>
      <c r="Y429" s="1149"/>
      <c r="Z429" s="1149"/>
      <c r="AA429" s="1245"/>
      <c r="AB429" s="34">
        <f t="shared" si="168"/>
        <v>0</v>
      </c>
    </row>
    <row r="430" spans="2:30">
      <c r="B430" s="1158" t="s">
        <v>189</v>
      </c>
      <c r="C430" s="1159" t="s">
        <v>545</v>
      </c>
      <c r="D430" s="1159" t="s">
        <v>549</v>
      </c>
      <c r="E430" s="1159" t="s">
        <v>312</v>
      </c>
      <c r="F430" s="1159"/>
      <c r="G430" s="1159"/>
      <c r="H430" s="1159"/>
      <c r="I430" s="1162" t="s">
        <v>274</v>
      </c>
      <c r="J430" s="1159" t="str">
        <f t="shared" si="170"/>
        <v>lending_cashloan_payroll_VNPOST_underwritting</v>
      </c>
      <c r="K430" s="1149"/>
      <c r="L430" s="1246" t="s">
        <v>232</v>
      </c>
      <c r="M430" s="1149">
        <f t="shared" si="193"/>
        <v>394187.43703958369</v>
      </c>
      <c r="N430" s="1149"/>
      <c r="O430" s="1149"/>
      <c r="P430" s="1265">
        <v>0</v>
      </c>
      <c r="Q430" s="1265">
        <v>0</v>
      </c>
      <c r="R430" s="1265">
        <v>0</v>
      </c>
      <c r="S430" s="1265">
        <v>0</v>
      </c>
      <c r="T430" s="1265"/>
      <c r="U430" s="1265"/>
      <c r="V430" s="1149"/>
      <c r="W430" s="1149"/>
      <c r="X430" s="1149"/>
      <c r="Y430" s="1149"/>
      <c r="Z430" s="1149"/>
      <c r="AA430" s="1149">
        <v>394187.43703958369</v>
      </c>
      <c r="AB430" s="34">
        <f t="shared" si="168"/>
        <v>394187.43703958369</v>
      </c>
    </row>
    <row r="431" spans="2:30">
      <c r="B431" s="1158" t="s">
        <v>189</v>
      </c>
      <c r="C431" s="1159" t="s">
        <v>545</v>
      </c>
      <c r="D431" s="1159" t="s">
        <v>549</v>
      </c>
      <c r="E431" s="1159" t="s">
        <v>312</v>
      </c>
      <c r="F431" s="1159"/>
      <c r="G431" s="1159"/>
      <c r="H431" s="1159"/>
      <c r="I431" s="1162" t="s">
        <v>275</v>
      </c>
      <c r="J431" s="1159" t="str">
        <f t="shared" si="170"/>
        <v>lending_cashloan_payroll_VNPOST_e_contract</v>
      </c>
      <c r="K431" s="1149"/>
      <c r="L431" s="1246" t="s">
        <v>233</v>
      </c>
      <c r="M431" s="1149">
        <f t="shared" si="193"/>
        <v>1385</v>
      </c>
      <c r="N431" s="1149"/>
      <c r="O431" s="1149"/>
      <c r="P431" s="1169"/>
      <c r="Q431" s="1253"/>
      <c r="R431" s="1253"/>
      <c r="S431" s="1253"/>
      <c r="T431" s="1253"/>
      <c r="U431" s="1247"/>
      <c r="V431" s="1149"/>
      <c r="W431" s="1149"/>
      <c r="X431" s="1149"/>
      <c r="Y431" s="1149"/>
      <c r="Z431" s="1149"/>
      <c r="AA431" s="1149">
        <v>1385</v>
      </c>
      <c r="AB431" s="34">
        <f t="shared" si="168"/>
        <v>1385</v>
      </c>
    </row>
    <row r="432" spans="2:30">
      <c r="B432" s="1158" t="s">
        <v>189</v>
      </c>
      <c r="C432" s="1159" t="s">
        <v>545</v>
      </c>
      <c r="D432" s="1159" t="s">
        <v>549</v>
      </c>
      <c r="E432" s="1159" t="s">
        <v>312</v>
      </c>
      <c r="F432" s="1159"/>
      <c r="G432" s="1159"/>
      <c r="H432" s="1159"/>
      <c r="I432" s="1162" t="s">
        <v>276</v>
      </c>
      <c r="J432" s="1159" t="str">
        <f t="shared" si="170"/>
        <v>lending_cashloan_payroll_VNPOST_nfc</v>
      </c>
      <c r="K432" s="1149"/>
      <c r="L432" s="1246" t="s">
        <v>152</v>
      </c>
      <c r="M432" s="1149">
        <f t="shared" si="193"/>
        <v>3416.0738912680554</v>
      </c>
      <c r="N432" s="1149"/>
      <c r="O432" s="1149"/>
      <c r="P432" s="1169"/>
      <c r="Q432" s="1169"/>
      <c r="R432" s="1169"/>
      <c r="S432" s="1147"/>
      <c r="T432" s="1169"/>
      <c r="U432" s="1169"/>
      <c r="V432" s="1149"/>
      <c r="W432" s="1149"/>
      <c r="X432" s="1149"/>
      <c r="Y432" s="1149"/>
      <c r="Z432" s="1149"/>
      <c r="AA432" s="1149">
        <v>3416.0738912680554</v>
      </c>
      <c r="AB432" s="34">
        <f t="shared" si="168"/>
        <v>3416.0738912680554</v>
      </c>
    </row>
    <row r="433" spans="2:29">
      <c r="B433" s="1158" t="s">
        <v>189</v>
      </c>
      <c r="C433" s="1159" t="s">
        <v>545</v>
      </c>
      <c r="D433" s="1159" t="s">
        <v>549</v>
      </c>
      <c r="E433" s="1159" t="s">
        <v>312</v>
      </c>
      <c r="F433" s="1159"/>
      <c r="G433" s="1159"/>
      <c r="H433" s="1159"/>
      <c r="I433" s="1162" t="s">
        <v>277</v>
      </c>
      <c r="J433" s="1159" t="str">
        <f t="shared" si="170"/>
        <v>lending_cashloan_payroll_VNPOST_collection</v>
      </c>
      <c r="K433" s="1149"/>
      <c r="L433" s="1246" t="s">
        <v>234</v>
      </c>
      <c r="M433" s="1149">
        <f t="shared" si="193"/>
        <v>0</v>
      </c>
      <c r="N433" s="1149"/>
      <c r="O433" s="1149"/>
      <c r="P433" s="1169"/>
      <c r="Q433" s="1169"/>
      <c r="R433" s="1169"/>
      <c r="S433" s="1265"/>
      <c r="T433" s="1169"/>
      <c r="U433" s="1169"/>
      <c r="V433" s="1169"/>
      <c r="W433" s="1149"/>
      <c r="X433" s="1149"/>
      <c r="Y433" s="1149"/>
      <c r="Z433" s="1149"/>
      <c r="AA433" s="1149"/>
      <c r="AB433" s="34">
        <f t="shared" si="168"/>
        <v>0</v>
      </c>
    </row>
    <row r="434" spans="2:29">
      <c r="B434" s="1158" t="s">
        <v>189</v>
      </c>
      <c r="C434" s="1159" t="s">
        <v>545</v>
      </c>
      <c r="D434" s="1159" t="s">
        <v>549</v>
      </c>
      <c r="E434" s="1159" t="s">
        <v>312</v>
      </c>
      <c r="F434" s="1159"/>
      <c r="G434" s="1159"/>
      <c r="H434" s="1159"/>
      <c r="I434" s="1162" t="s">
        <v>278</v>
      </c>
      <c r="J434" s="1159" t="str">
        <f t="shared" si="170"/>
        <v>lending_cashloan_payroll_VNPOST_promotion</v>
      </c>
      <c r="K434" s="1149"/>
      <c r="L434" s="1246" t="s">
        <v>235</v>
      </c>
      <c r="M434" s="1149"/>
      <c r="N434" s="1149"/>
      <c r="O434" s="1149"/>
      <c r="P434" s="1169"/>
      <c r="Q434" s="1253"/>
      <c r="R434" s="1253"/>
      <c r="S434" s="1253"/>
      <c r="T434" s="1253"/>
      <c r="U434" s="1247"/>
      <c r="V434" s="1149"/>
      <c r="W434" s="1149"/>
      <c r="X434" s="1149"/>
      <c r="Y434" s="1149"/>
      <c r="Z434" s="1149"/>
      <c r="AA434" s="1149"/>
      <c r="AB434" s="34">
        <f t="shared" si="168"/>
        <v>0</v>
      </c>
    </row>
    <row r="435" spans="2:29">
      <c r="B435" s="1158" t="s">
        <v>189</v>
      </c>
      <c r="C435" s="1159" t="s">
        <v>545</v>
      </c>
      <c r="D435" s="1159" t="s">
        <v>549</v>
      </c>
      <c r="E435" s="1159" t="s">
        <v>312</v>
      </c>
      <c r="F435" s="1159"/>
      <c r="G435" s="1159"/>
      <c r="H435" s="1159"/>
      <c r="I435" s="1162" t="s">
        <v>279</v>
      </c>
      <c r="J435" s="1159" t="str">
        <f t="shared" si="170"/>
        <v>lending_cashloan_payroll_VNPOST_sms</v>
      </c>
      <c r="K435" s="1149"/>
      <c r="L435" s="1249" t="s">
        <v>163</v>
      </c>
      <c r="M435" s="1149">
        <f>SUM(P435:AA435)</f>
        <v>7281.9375749366181</v>
      </c>
      <c r="N435" s="1247"/>
      <c r="O435" s="1247"/>
      <c r="P435" s="1247"/>
      <c r="Q435" s="1247"/>
      <c r="R435" s="1247"/>
      <c r="S435" s="1247"/>
      <c r="T435" s="1247"/>
      <c r="U435" s="1265"/>
      <c r="V435" s="1149"/>
      <c r="W435" s="1149"/>
      <c r="X435" s="1149"/>
      <c r="Y435" s="1149"/>
      <c r="Z435" s="1149"/>
      <c r="AA435" s="1149">
        <v>7281.9375749366181</v>
      </c>
      <c r="AB435" s="34">
        <f t="shared" si="168"/>
        <v>7281.9375749366181</v>
      </c>
    </row>
    <row r="436" spans="2:29">
      <c r="B436" s="1158" t="s">
        <v>189</v>
      </c>
      <c r="C436" s="1159" t="s">
        <v>545</v>
      </c>
      <c r="D436" s="1159" t="s">
        <v>549</v>
      </c>
      <c r="E436" s="1159" t="s">
        <v>312</v>
      </c>
      <c r="F436" s="1159" t="str">
        <f>E436&amp;"PRCL"</f>
        <v>VNPOSTPRCL</v>
      </c>
      <c r="G436" s="1159" t="str">
        <f>L436&amp;F436</f>
        <v>Profit before allocation costVNPOSTPRCL</v>
      </c>
      <c r="H436" s="1408" t="str">
        <f>L436&amp;E436</f>
        <v>Profit before allocation costVNPOST</v>
      </c>
      <c r="I436" s="1162" t="s">
        <v>280</v>
      </c>
      <c r="J436" s="1159" t="str">
        <f t="shared" si="170"/>
        <v>lending_cashloan_payroll_VNPOST_profit_before_overhead</v>
      </c>
      <c r="K436" s="1149"/>
      <c r="L436" s="1359" t="s">
        <v>236</v>
      </c>
      <c r="M436" s="1359">
        <f t="shared" ref="M436:AA436" si="194">M415-M426-M427</f>
        <v>-1127076.4485057883</v>
      </c>
      <c r="N436" s="1359">
        <f t="shared" si="194"/>
        <v>0</v>
      </c>
      <c r="O436" s="1359">
        <f t="shared" si="194"/>
        <v>0</v>
      </c>
      <c r="P436" s="1359">
        <f t="shared" si="194"/>
        <v>0</v>
      </c>
      <c r="Q436" s="1359">
        <f t="shared" si="194"/>
        <v>0</v>
      </c>
      <c r="R436" s="1359">
        <f t="shared" si="194"/>
        <v>0</v>
      </c>
      <c r="S436" s="1359">
        <f t="shared" si="194"/>
        <v>0</v>
      </c>
      <c r="T436" s="1359">
        <f t="shared" si="194"/>
        <v>0</v>
      </c>
      <c r="U436" s="1359">
        <f t="shared" si="194"/>
        <v>0</v>
      </c>
      <c r="V436" s="1359">
        <f t="shared" si="194"/>
        <v>0</v>
      </c>
      <c r="W436" s="1359">
        <f t="shared" si="194"/>
        <v>0</v>
      </c>
      <c r="X436" s="1359">
        <f t="shared" si="194"/>
        <v>0</v>
      </c>
      <c r="Y436" s="1359">
        <f t="shared" si="194"/>
        <v>0</v>
      </c>
      <c r="Z436" s="1359">
        <f t="shared" si="194"/>
        <v>0</v>
      </c>
      <c r="AA436" s="1359">
        <f t="shared" si="194"/>
        <v>-1127076.4485057883</v>
      </c>
      <c r="AB436" s="34">
        <f t="shared" si="168"/>
        <v>-1127076.4485057883</v>
      </c>
      <c r="AC436" s="34">
        <f>SUM(P436:AA436)</f>
        <v>-1127076.4485057883</v>
      </c>
    </row>
    <row r="437" spans="2:29">
      <c r="B437" s="1158"/>
      <c r="C437" s="1159"/>
      <c r="D437" s="1159"/>
      <c r="E437" s="1159"/>
      <c r="F437" s="1159"/>
      <c r="G437" s="1159"/>
      <c r="H437" s="1159"/>
      <c r="I437" s="1162"/>
      <c r="J437" s="1159"/>
      <c r="K437" s="1149"/>
      <c r="L437" s="286"/>
      <c r="M437" s="286"/>
      <c r="N437" s="286"/>
      <c r="O437" s="286"/>
      <c r="P437" s="286"/>
      <c r="Q437" s="286"/>
      <c r="R437" s="286"/>
      <c r="S437" s="286"/>
      <c r="T437" s="286"/>
      <c r="U437" s="286"/>
      <c r="V437" s="286"/>
      <c r="W437" s="286"/>
      <c r="X437" s="286"/>
      <c r="Y437" s="286"/>
      <c r="Z437" s="286"/>
      <c r="AA437" s="286"/>
      <c r="AB437" s="34"/>
    </row>
    <row r="438" spans="2:29">
      <c r="B438" s="1158" t="s">
        <v>189</v>
      </c>
      <c r="C438" s="1159" t="s">
        <v>545</v>
      </c>
      <c r="D438" s="1159" t="s">
        <v>545</v>
      </c>
      <c r="E438" s="1159" t="s">
        <v>499</v>
      </c>
      <c r="F438" s="1159"/>
      <c r="G438" s="1159"/>
      <c r="H438" s="1159"/>
      <c r="I438" s="1159"/>
      <c r="J438" s="1159" t="str">
        <f t="shared" ref="J438:J475" si="195">B438&amp;"_"&amp;C438&amp;"_"&amp;D438&amp;"_"&amp;E438&amp;"_"&amp;I438</f>
        <v>lending_cashloan_cashloan_MISA_</v>
      </c>
      <c r="K438" s="1149"/>
      <c r="L438" s="1146" t="s">
        <v>559</v>
      </c>
      <c r="M438" s="1146"/>
      <c r="N438" s="1146"/>
      <c r="O438" s="1146"/>
      <c r="P438" s="1146"/>
      <c r="Q438" s="1146"/>
      <c r="R438" s="1146"/>
      <c r="S438" s="1146"/>
      <c r="T438" s="1146"/>
      <c r="U438" s="1146"/>
      <c r="V438" s="1146"/>
      <c r="W438" s="1146"/>
      <c r="X438" s="1146"/>
      <c r="Y438" s="1146"/>
      <c r="Z438" s="1146"/>
      <c r="AA438" s="1146"/>
      <c r="AB438" s="34">
        <f t="shared" ref="AB438:AB469" si="196">Z438-Y438</f>
        <v>0</v>
      </c>
    </row>
    <row r="439" spans="2:29">
      <c r="B439" s="1158" t="s">
        <v>189</v>
      </c>
      <c r="C439" s="1159" t="s">
        <v>545</v>
      </c>
      <c r="D439" s="1159" t="s">
        <v>545</v>
      </c>
      <c r="E439" s="1159" t="s">
        <v>499</v>
      </c>
      <c r="F439" s="1159"/>
      <c r="G439" s="1159"/>
      <c r="H439" s="1159"/>
      <c r="I439" s="1162" t="s">
        <v>239</v>
      </c>
      <c r="J439" s="1159" t="str">
        <f t="shared" si="195"/>
        <v>lending_cashloan_cashloan_MISA_new_account</v>
      </c>
      <c r="K439" s="1149"/>
      <c r="L439" s="1148" t="s">
        <v>193</v>
      </c>
      <c r="M439" s="1149">
        <f>SUM(P439:AA439)</f>
        <v>9</v>
      </c>
      <c r="N439" s="1169"/>
      <c r="O439" s="1169"/>
      <c r="P439" s="1169"/>
      <c r="Q439" s="1267"/>
      <c r="R439" s="1169"/>
      <c r="S439" s="1169"/>
      <c r="T439" s="1267"/>
      <c r="U439" s="1169"/>
      <c r="V439" s="1361"/>
      <c r="W439" s="1169"/>
      <c r="X439" s="1169"/>
      <c r="Y439" s="1169"/>
      <c r="Z439" s="1169"/>
      <c r="AA439" s="1361">
        <v>9</v>
      </c>
      <c r="AB439" s="34">
        <f t="shared" si="196"/>
        <v>0</v>
      </c>
    </row>
    <row r="440" spans="2:29">
      <c r="B440" s="1158" t="s">
        <v>189</v>
      </c>
      <c r="C440" s="1159" t="s">
        <v>545</v>
      </c>
      <c r="D440" s="1159" t="s">
        <v>545</v>
      </c>
      <c r="E440" s="1159" t="s">
        <v>499</v>
      </c>
      <c r="F440" s="1159"/>
      <c r="G440" s="1159"/>
      <c r="H440" s="1159"/>
      <c r="I440" s="1148" t="s">
        <v>527</v>
      </c>
      <c r="J440" s="1159" t="str">
        <f t="shared" si="195"/>
        <v>lending_cashloan_cashloan_MISA_Repeat account</v>
      </c>
      <c r="K440" s="1149"/>
      <c r="L440" s="1148" t="s">
        <v>527</v>
      </c>
      <c r="M440" s="1149"/>
      <c r="N440" s="1169"/>
      <c r="O440" s="1169"/>
      <c r="P440" s="1169"/>
      <c r="Q440" s="1267"/>
      <c r="R440" s="1169"/>
      <c r="S440" s="1169"/>
      <c r="T440" s="1267"/>
      <c r="U440" s="1169"/>
      <c r="V440" s="1169"/>
      <c r="W440" s="1169"/>
      <c r="X440" s="1169"/>
      <c r="Y440" s="1169"/>
      <c r="Z440" s="1169"/>
      <c r="AA440" s="1169"/>
      <c r="AB440" s="34">
        <f t="shared" si="196"/>
        <v>0</v>
      </c>
    </row>
    <row r="441" spans="2:29">
      <c r="B441" s="1158" t="s">
        <v>189</v>
      </c>
      <c r="C441" s="1159" t="s">
        <v>545</v>
      </c>
      <c r="D441" s="1159" t="s">
        <v>545</v>
      </c>
      <c r="E441" s="1159" t="s">
        <v>499</v>
      </c>
      <c r="F441" s="1159"/>
      <c r="G441" s="1159"/>
      <c r="H441" s="1159"/>
      <c r="I441" s="1162" t="s">
        <v>241</v>
      </c>
      <c r="J441" s="1159" t="str">
        <f t="shared" si="195"/>
        <v>lending_cashloan_cashloan_MISA_active_account</v>
      </c>
      <c r="K441" s="1149"/>
      <c r="L441" s="1148" t="s">
        <v>194</v>
      </c>
      <c r="M441" s="1149">
        <f>SUM(P441:AA441)</f>
        <v>9</v>
      </c>
      <c r="N441" s="1169"/>
      <c r="O441" s="1169"/>
      <c r="P441" s="1169"/>
      <c r="Q441" s="1267"/>
      <c r="R441" s="1267"/>
      <c r="S441" s="1169"/>
      <c r="T441" s="1267"/>
      <c r="U441" s="1247"/>
      <c r="V441" s="1361"/>
      <c r="W441" s="1169"/>
      <c r="X441" s="1169"/>
      <c r="Y441" s="1169"/>
      <c r="Z441" s="1169"/>
      <c r="AA441" s="1169">
        <v>9</v>
      </c>
      <c r="AB441" s="34">
        <f t="shared" si="196"/>
        <v>0</v>
      </c>
    </row>
    <row r="442" spans="2:29">
      <c r="B442" s="1158" t="s">
        <v>189</v>
      </c>
      <c r="C442" s="1159" t="s">
        <v>545</v>
      </c>
      <c r="D442" s="1159" t="s">
        <v>545</v>
      </c>
      <c r="E442" s="1159" t="s">
        <v>499</v>
      </c>
      <c r="F442" s="1159" t="str">
        <f>E442&amp;"CL"</f>
        <v>MISACL</v>
      </c>
      <c r="G442" s="1159" t="str">
        <f>L442&amp;F442</f>
        <v>DisbursementMISACL</v>
      </c>
      <c r="H442" s="1408" t="str">
        <f>L442&amp;E442</f>
        <v>DisbursementMISA</v>
      </c>
      <c r="I442" s="1162" t="s">
        <v>242</v>
      </c>
      <c r="J442" s="1159" t="str">
        <f t="shared" si="195"/>
        <v>lending_cashloan_cashloan_MISA_disburse/spend</v>
      </c>
      <c r="K442" s="1149"/>
      <c r="L442" s="1169" t="s">
        <v>80</v>
      </c>
      <c r="M442" s="1149">
        <f>SUM(P442:AA442)</f>
        <v>640000000</v>
      </c>
      <c r="N442" s="1149"/>
      <c r="O442" s="1149"/>
      <c r="P442" s="1149"/>
      <c r="Q442" s="1169"/>
      <c r="R442" s="1169"/>
      <c r="S442" s="1169"/>
      <c r="T442" s="1169"/>
      <c r="U442" s="1169"/>
      <c r="V442" s="1290"/>
      <c r="W442" s="1169"/>
      <c r="X442" s="1169"/>
      <c r="Y442" s="1169"/>
      <c r="Z442" s="1149"/>
      <c r="AA442" s="1149">
        <v>640000000</v>
      </c>
      <c r="AB442" s="34">
        <f t="shared" si="196"/>
        <v>0</v>
      </c>
      <c r="AC442" s="34">
        <f>SUM(P442:AA442)</f>
        <v>640000000</v>
      </c>
    </row>
    <row r="443" spans="2:29">
      <c r="B443" s="1158" t="s">
        <v>189</v>
      </c>
      <c r="C443" s="1159" t="s">
        <v>545</v>
      </c>
      <c r="D443" s="1159" t="s">
        <v>545</v>
      </c>
      <c r="E443" s="1159" t="s">
        <v>499</v>
      </c>
      <c r="F443" s="1159"/>
      <c r="G443" s="1159"/>
      <c r="H443" s="1159"/>
      <c r="I443" s="1160"/>
      <c r="J443" s="1159" t="str">
        <f t="shared" si="195"/>
        <v>lending_cashloan_cashloan_MISA_</v>
      </c>
      <c r="K443" s="1149"/>
      <c r="L443" s="1169" t="s">
        <v>528</v>
      </c>
      <c r="M443" s="1149">
        <f>SUM(P443:AA443)</f>
        <v>0</v>
      </c>
      <c r="N443" s="1149"/>
      <c r="O443" s="1149"/>
      <c r="P443" s="1169"/>
      <c r="Q443" s="1169"/>
      <c r="R443" s="1169"/>
      <c r="S443" s="1169"/>
      <c r="T443" s="1149"/>
      <c r="U443" s="1149"/>
      <c r="V443" s="1290"/>
      <c r="W443" s="1169"/>
      <c r="X443" s="1169"/>
      <c r="Y443" s="1149"/>
      <c r="Z443" s="1149"/>
      <c r="AA443" s="1149"/>
      <c r="AB443" s="34">
        <f t="shared" si="196"/>
        <v>0</v>
      </c>
    </row>
    <row r="444" spans="2:29">
      <c r="B444" s="1158" t="s">
        <v>189</v>
      </c>
      <c r="C444" s="1159" t="s">
        <v>545</v>
      </c>
      <c r="D444" s="1159" t="s">
        <v>545</v>
      </c>
      <c r="E444" s="1159" t="s">
        <v>499</v>
      </c>
      <c r="F444" s="1159"/>
      <c r="G444" s="1159"/>
      <c r="H444" s="1159"/>
      <c r="I444" s="1160"/>
      <c r="J444" s="1159" t="str">
        <f t="shared" si="195"/>
        <v>lending_cashloan_cashloan_MISA_</v>
      </c>
      <c r="K444" s="1149"/>
      <c r="L444" s="1169" t="s">
        <v>529</v>
      </c>
      <c r="M444" s="1149">
        <f>SUM(P444:AA444)</f>
        <v>640000000</v>
      </c>
      <c r="N444" s="1149">
        <f t="shared" ref="N444:AA444" si="197">N442-N443</f>
        <v>0</v>
      </c>
      <c r="O444" s="1149">
        <f t="shared" si="197"/>
        <v>0</v>
      </c>
      <c r="P444" s="1149">
        <f t="shared" si="197"/>
        <v>0</v>
      </c>
      <c r="Q444" s="1149">
        <f t="shared" si="197"/>
        <v>0</v>
      </c>
      <c r="R444" s="1149">
        <f t="shared" si="197"/>
        <v>0</v>
      </c>
      <c r="S444" s="1149">
        <f t="shared" si="197"/>
        <v>0</v>
      </c>
      <c r="T444" s="1149">
        <f t="shared" si="197"/>
        <v>0</v>
      </c>
      <c r="U444" s="1149">
        <f t="shared" si="197"/>
        <v>0</v>
      </c>
      <c r="V444" s="1149">
        <f t="shared" si="197"/>
        <v>0</v>
      </c>
      <c r="W444" s="1149">
        <f t="shared" si="197"/>
        <v>0</v>
      </c>
      <c r="X444" s="1149">
        <f t="shared" si="197"/>
        <v>0</v>
      </c>
      <c r="Y444" s="1149">
        <f t="shared" si="197"/>
        <v>0</v>
      </c>
      <c r="Z444" s="1149">
        <f t="shared" si="197"/>
        <v>0</v>
      </c>
      <c r="AA444" s="1149">
        <f t="shared" si="197"/>
        <v>640000000</v>
      </c>
      <c r="AB444" s="34">
        <f t="shared" si="196"/>
        <v>0</v>
      </c>
    </row>
    <row r="445" spans="2:29">
      <c r="B445" s="1158" t="s">
        <v>189</v>
      </c>
      <c r="C445" s="1159" t="s">
        <v>545</v>
      </c>
      <c r="D445" s="1159" t="s">
        <v>545</v>
      </c>
      <c r="E445" s="1159" t="s">
        <v>499</v>
      </c>
      <c r="F445" s="1159"/>
      <c r="G445" s="1159"/>
      <c r="H445" s="1159"/>
      <c r="I445" s="1162" t="s">
        <v>243</v>
      </c>
      <c r="J445" s="1159" t="str">
        <f t="shared" si="195"/>
        <v>lending_cashloan_cashloan_MISA_ENR</v>
      </c>
      <c r="K445" s="1149"/>
      <c r="L445" s="1169" t="s">
        <v>530</v>
      </c>
      <c r="M445" s="1149">
        <f>AA445</f>
        <v>640000000</v>
      </c>
      <c r="N445" s="1169"/>
      <c r="O445" s="1149"/>
      <c r="P445" s="1169"/>
      <c r="Q445" s="1273"/>
      <c r="R445" s="1169"/>
      <c r="S445" s="1169"/>
      <c r="T445" s="1169"/>
      <c r="U445" s="1169"/>
      <c r="V445" s="1169"/>
      <c r="W445" s="1254"/>
      <c r="X445" s="1169"/>
      <c r="Y445" s="1169"/>
      <c r="Z445" s="1169"/>
      <c r="AA445" s="1149">
        <v>640000000</v>
      </c>
      <c r="AB445" s="34">
        <f t="shared" si="196"/>
        <v>0</v>
      </c>
    </row>
    <row r="446" spans="2:29">
      <c r="B446" s="1158" t="s">
        <v>189</v>
      </c>
      <c r="C446" s="1159" t="s">
        <v>545</v>
      </c>
      <c r="D446" s="1159" t="s">
        <v>545</v>
      </c>
      <c r="E446" s="1159" t="s">
        <v>499</v>
      </c>
      <c r="F446" s="1159"/>
      <c r="G446" s="1159"/>
      <c r="H446" s="1159"/>
      <c r="I446" s="1160"/>
      <c r="J446" s="1159" t="str">
        <f t="shared" si="195"/>
        <v>lending_cashloan_cashloan_MISA_</v>
      </c>
      <c r="K446" s="1149"/>
      <c r="L446" s="1235" t="s">
        <v>531</v>
      </c>
      <c r="M446" s="1149">
        <f>AA446</f>
        <v>640000000</v>
      </c>
      <c r="N446" s="1273">
        <f t="shared" ref="N446:AA446" si="198">N445-N447</f>
        <v>0</v>
      </c>
      <c r="O446" s="1273">
        <f t="shared" si="198"/>
        <v>0</v>
      </c>
      <c r="P446" s="1273">
        <f t="shared" si="198"/>
        <v>0</v>
      </c>
      <c r="Q446" s="1273">
        <f t="shared" si="198"/>
        <v>0</v>
      </c>
      <c r="R446" s="1273">
        <f t="shared" si="198"/>
        <v>0</v>
      </c>
      <c r="S446" s="1273">
        <f t="shared" si="198"/>
        <v>0</v>
      </c>
      <c r="T446" s="1273">
        <f t="shared" si="198"/>
        <v>0</v>
      </c>
      <c r="U446" s="1273">
        <f t="shared" si="198"/>
        <v>0</v>
      </c>
      <c r="V446" s="1273">
        <f t="shared" si="198"/>
        <v>0</v>
      </c>
      <c r="W446" s="1273">
        <f t="shared" si="198"/>
        <v>0</v>
      </c>
      <c r="X446" s="1273">
        <f t="shared" si="198"/>
        <v>0</v>
      </c>
      <c r="Y446" s="1273">
        <f t="shared" si="198"/>
        <v>0</v>
      </c>
      <c r="Z446" s="1273">
        <f t="shared" si="198"/>
        <v>0</v>
      </c>
      <c r="AA446" s="1273">
        <f t="shared" si="198"/>
        <v>640000000</v>
      </c>
      <c r="AB446" s="34">
        <f t="shared" si="196"/>
        <v>0</v>
      </c>
    </row>
    <row r="447" spans="2:29">
      <c r="B447" s="1158" t="s">
        <v>189</v>
      </c>
      <c r="C447" s="1159" t="s">
        <v>545</v>
      </c>
      <c r="D447" s="1159" t="s">
        <v>545</v>
      </c>
      <c r="E447" s="1159" t="s">
        <v>499</v>
      </c>
      <c r="F447" s="1159"/>
      <c r="G447" s="1159"/>
      <c r="H447" s="1159"/>
      <c r="I447" s="1160"/>
      <c r="J447" s="1159" t="str">
        <f t="shared" si="195"/>
        <v>lending_cashloan_cashloan_MISA_</v>
      </c>
      <c r="K447" s="1149"/>
      <c r="L447" s="1235" t="s">
        <v>532</v>
      </c>
      <c r="M447" s="1149">
        <f>AA447</f>
        <v>0</v>
      </c>
      <c r="N447" s="1255">
        <v>0</v>
      </c>
      <c r="O447" s="1273"/>
      <c r="P447" s="1273"/>
      <c r="Q447" s="1273"/>
      <c r="R447" s="1255"/>
      <c r="S447" s="1255"/>
      <c r="T447" s="1247"/>
      <c r="U447" s="1236"/>
      <c r="V447" s="1236"/>
      <c r="W447" s="1236"/>
      <c r="X447" s="1255"/>
      <c r="Y447" s="1255"/>
      <c r="Z447" s="1255"/>
      <c r="AA447" s="1273"/>
      <c r="AB447" s="34">
        <f t="shared" si="196"/>
        <v>0</v>
      </c>
    </row>
    <row r="448" spans="2:29">
      <c r="B448" s="1158" t="s">
        <v>189</v>
      </c>
      <c r="C448" s="1159" t="s">
        <v>545</v>
      </c>
      <c r="D448" s="1159" t="s">
        <v>545</v>
      </c>
      <c r="E448" s="1159" t="s">
        <v>499</v>
      </c>
      <c r="F448" s="1159"/>
      <c r="G448" s="1159"/>
      <c r="H448" s="1159"/>
      <c r="I448" s="1160"/>
      <c r="J448" s="1159" t="str">
        <f t="shared" si="195"/>
        <v>lending_cashloan_cashloan_MISA_</v>
      </c>
      <c r="K448" s="1149"/>
      <c r="L448" s="1148" t="s">
        <v>533</v>
      </c>
      <c r="M448" s="1149"/>
      <c r="N448" s="1255"/>
      <c r="O448" s="1273"/>
      <c r="P448" s="1273"/>
      <c r="Q448" s="1273"/>
      <c r="R448" s="1280"/>
      <c r="S448" s="1255"/>
      <c r="T448" s="1247"/>
      <c r="U448" s="1236"/>
      <c r="V448" s="1236"/>
      <c r="W448" s="1277"/>
      <c r="X448" s="1255"/>
      <c r="Y448" s="1255"/>
      <c r="Z448" s="1255"/>
      <c r="AA448" s="1273"/>
      <c r="AB448" s="34">
        <f t="shared" si="196"/>
        <v>0</v>
      </c>
    </row>
    <row r="449" spans="2:30">
      <c r="B449" s="1158" t="s">
        <v>189</v>
      </c>
      <c r="C449" s="1159" t="s">
        <v>545</v>
      </c>
      <c r="D449" s="1159" t="s">
        <v>545</v>
      </c>
      <c r="E449" s="1159" t="s">
        <v>499</v>
      </c>
      <c r="F449" s="1159"/>
      <c r="G449" s="1159"/>
      <c r="H449" s="1159"/>
      <c r="I449" s="1162" t="s">
        <v>247</v>
      </c>
      <c r="J449" s="1159" t="str">
        <f t="shared" si="195"/>
        <v>lending_cashloan_cashloan_MISA_overdue_balance_10d</v>
      </c>
      <c r="K449" s="1149"/>
      <c r="L449" s="1169" t="s">
        <v>534</v>
      </c>
      <c r="M449" s="1149"/>
      <c r="N449" s="1255"/>
      <c r="O449" s="1273"/>
      <c r="P449" s="1273"/>
      <c r="Q449" s="1273"/>
      <c r="R449" s="1273"/>
      <c r="S449" s="1273"/>
      <c r="T449" s="1273"/>
      <c r="U449" s="1273"/>
      <c r="V449" s="1293"/>
      <c r="W449" s="1273"/>
      <c r="X449" s="1273"/>
      <c r="Y449" s="1273"/>
      <c r="Z449" s="1273"/>
      <c r="AA449" s="1273"/>
      <c r="AB449" s="34">
        <f t="shared" si="196"/>
        <v>0</v>
      </c>
    </row>
    <row r="450" spans="2:30">
      <c r="B450" s="1158" t="s">
        <v>189</v>
      </c>
      <c r="C450" s="1159" t="s">
        <v>545</v>
      </c>
      <c r="D450" s="1159" t="s">
        <v>545</v>
      </c>
      <c r="E450" s="1159" t="s">
        <v>499</v>
      </c>
      <c r="F450" s="1159"/>
      <c r="G450" s="1159"/>
      <c r="H450" s="1159"/>
      <c r="I450" s="1162" t="s">
        <v>248</v>
      </c>
      <c r="J450" s="1159" t="str">
        <f t="shared" si="195"/>
        <v>lending_cashloan_cashloan_MISA_overdue_balance_90d</v>
      </c>
      <c r="K450" s="1149"/>
      <c r="L450" s="1169" t="s">
        <v>535</v>
      </c>
      <c r="M450" s="1149"/>
      <c r="N450" s="1255"/>
      <c r="O450" s="1273"/>
      <c r="P450" s="1273"/>
      <c r="Q450" s="1273"/>
      <c r="R450" s="1273"/>
      <c r="S450" s="1273"/>
      <c r="T450" s="1273"/>
      <c r="U450" s="1273"/>
      <c r="V450" s="1273"/>
      <c r="W450" s="1273"/>
      <c r="X450" s="1273"/>
      <c r="Y450" s="1273"/>
      <c r="Z450" s="1273"/>
      <c r="AA450" s="1273"/>
      <c r="AB450" s="34">
        <f t="shared" si="196"/>
        <v>0</v>
      </c>
    </row>
    <row r="451" spans="2:30">
      <c r="B451" s="1158" t="s">
        <v>189</v>
      </c>
      <c r="C451" s="1159" t="s">
        <v>545</v>
      </c>
      <c r="D451" s="1159" t="s">
        <v>545</v>
      </c>
      <c r="E451" s="1159" t="s">
        <v>499</v>
      </c>
      <c r="F451" s="1159"/>
      <c r="G451" s="1159"/>
      <c r="H451" s="1159"/>
      <c r="I451" s="1160"/>
      <c r="J451" s="1159" t="str">
        <f t="shared" si="195"/>
        <v>lending_cashloan_cashloan_MISA_</v>
      </c>
      <c r="K451" s="1149"/>
      <c r="L451" s="1169" t="s">
        <v>536</v>
      </c>
      <c r="M451" s="1149"/>
      <c r="N451" s="1169"/>
      <c r="O451" s="1169"/>
      <c r="P451" s="1169"/>
      <c r="Q451" s="1169"/>
      <c r="R451" s="1169"/>
      <c r="S451" s="1169"/>
      <c r="T451" s="1169"/>
      <c r="U451" s="1169"/>
      <c r="V451" s="1169">
        <f t="shared" ref="V451:X451" si="199">V449-V450</f>
        <v>0</v>
      </c>
      <c r="W451" s="1169">
        <f t="shared" si="199"/>
        <v>0</v>
      </c>
      <c r="X451" s="1169">
        <f t="shared" si="199"/>
        <v>0</v>
      </c>
      <c r="Y451" s="1290"/>
      <c r="Z451" s="1290"/>
      <c r="AA451" s="1169"/>
      <c r="AB451" s="34">
        <f t="shared" si="196"/>
        <v>0</v>
      </c>
    </row>
    <row r="452" spans="2:30">
      <c r="B452" s="1158" t="s">
        <v>189</v>
      </c>
      <c r="C452" s="1159" t="s">
        <v>545</v>
      </c>
      <c r="D452" s="1159" t="s">
        <v>545</v>
      </c>
      <c r="E452" s="1159" t="s">
        <v>499</v>
      </c>
      <c r="F452" s="1159"/>
      <c r="G452" s="1159"/>
      <c r="H452" s="1159"/>
      <c r="I452" s="1160"/>
      <c r="J452" s="1159" t="str">
        <f t="shared" si="195"/>
        <v>lending_cashloan_cashloan_MISA_</v>
      </c>
      <c r="K452" s="1149"/>
      <c r="L452" s="1169" t="s">
        <v>537</v>
      </c>
      <c r="M452" s="1149"/>
      <c r="N452" s="1269"/>
      <c r="O452" s="1269"/>
      <c r="P452" s="1269"/>
      <c r="Q452" s="1269"/>
      <c r="R452" s="1269"/>
      <c r="S452" s="1269" t="e">
        <f t="shared" ref="S452:AA452" si="200">S450/S445</f>
        <v>#DIV/0!</v>
      </c>
      <c r="T452" s="1269" t="e">
        <f t="shared" si="200"/>
        <v>#DIV/0!</v>
      </c>
      <c r="U452" s="1269" t="e">
        <f t="shared" si="200"/>
        <v>#DIV/0!</v>
      </c>
      <c r="V452" s="1269" t="e">
        <f t="shared" si="200"/>
        <v>#DIV/0!</v>
      </c>
      <c r="W452" s="1269" t="e">
        <f t="shared" si="200"/>
        <v>#DIV/0!</v>
      </c>
      <c r="X452" s="1269" t="e">
        <f t="shared" si="200"/>
        <v>#DIV/0!</v>
      </c>
      <c r="Y452" s="1269" t="e">
        <f t="shared" si="200"/>
        <v>#DIV/0!</v>
      </c>
      <c r="Z452" s="1269" t="e">
        <f t="shared" si="200"/>
        <v>#DIV/0!</v>
      </c>
      <c r="AA452" s="1269">
        <f t="shared" si="200"/>
        <v>0</v>
      </c>
      <c r="AB452" s="34" t="e">
        <f t="shared" si="196"/>
        <v>#DIV/0!</v>
      </c>
    </row>
    <row r="453" spans="2:30">
      <c r="B453" s="1158" t="s">
        <v>189</v>
      </c>
      <c r="C453" s="1159" t="s">
        <v>545</v>
      </c>
      <c r="D453" s="1159" t="s">
        <v>545</v>
      </c>
      <c r="E453" s="1159" t="s">
        <v>499</v>
      </c>
      <c r="F453" s="1159"/>
      <c r="G453" s="1159"/>
      <c r="H453" s="1159"/>
      <c r="I453" s="1162" t="s">
        <v>213</v>
      </c>
      <c r="J453" s="1159" t="str">
        <f t="shared" si="195"/>
        <v>lending_cashloan_cashloan_MISA_npl</v>
      </c>
      <c r="K453" s="1149"/>
      <c r="L453" s="1169" t="s">
        <v>538</v>
      </c>
      <c r="M453" s="1149"/>
      <c r="N453" s="1269"/>
      <c r="O453" s="1269"/>
      <c r="P453" s="1269"/>
      <c r="Q453" s="1269"/>
      <c r="R453" s="1269"/>
      <c r="S453" s="1269" t="e">
        <f t="shared" ref="S453:X453" si="201">S451/S445</f>
        <v>#DIV/0!</v>
      </c>
      <c r="T453" s="1269" t="e">
        <f t="shared" si="201"/>
        <v>#DIV/0!</v>
      </c>
      <c r="U453" s="1269" t="e">
        <f t="shared" si="201"/>
        <v>#DIV/0!</v>
      </c>
      <c r="V453" s="1269" t="e">
        <f t="shared" si="201"/>
        <v>#DIV/0!</v>
      </c>
      <c r="W453" s="1269" t="e">
        <f t="shared" si="201"/>
        <v>#DIV/0!</v>
      </c>
      <c r="X453" s="1269" t="e">
        <f t="shared" si="201"/>
        <v>#DIV/0!</v>
      </c>
      <c r="Y453" s="1269" t="e">
        <f>Y451/Y445</f>
        <v>#DIV/0!</v>
      </c>
      <c r="Z453" s="1269" t="e">
        <f>Z451/Z445</f>
        <v>#DIV/0!</v>
      </c>
      <c r="AA453" s="1269">
        <f t="shared" ref="AA453" si="202">AA451/AA445</f>
        <v>0</v>
      </c>
      <c r="AB453" s="34" t="e">
        <f t="shared" si="196"/>
        <v>#DIV/0!</v>
      </c>
    </row>
    <row r="454" spans="2:30">
      <c r="B454" s="1158" t="s">
        <v>189</v>
      </c>
      <c r="C454" s="1159" t="s">
        <v>545</v>
      </c>
      <c r="D454" s="1159" t="s">
        <v>545</v>
      </c>
      <c r="E454" s="1159" t="s">
        <v>499</v>
      </c>
      <c r="F454" s="1159" t="str">
        <f>E454&amp;"CL"</f>
        <v>MISACL</v>
      </c>
      <c r="G454" s="1159" t="str">
        <f>L454&amp;F454</f>
        <v>TOIMISACL</v>
      </c>
      <c r="H454" s="1408" t="str">
        <f>L454&amp;E454</f>
        <v>TOIMISA</v>
      </c>
      <c r="I454" s="1162" t="s">
        <v>217</v>
      </c>
      <c r="J454" s="1159" t="str">
        <f t="shared" si="195"/>
        <v>lending_cashloan_cashloan_MISA_TOI</v>
      </c>
      <c r="K454" s="1149"/>
      <c r="L454" s="1238" t="s">
        <v>217</v>
      </c>
      <c r="M454" s="1150">
        <f t="shared" ref="M454:AA454" si="203">M455+M460+M464</f>
        <v>4213535</v>
      </c>
      <c r="N454" s="1150">
        <f t="shared" si="203"/>
        <v>0</v>
      </c>
      <c r="O454" s="1150">
        <f t="shared" si="203"/>
        <v>0</v>
      </c>
      <c r="P454" s="1150">
        <f t="shared" si="203"/>
        <v>0</v>
      </c>
      <c r="Q454" s="1150">
        <f t="shared" si="203"/>
        <v>0</v>
      </c>
      <c r="R454" s="1150">
        <f t="shared" si="203"/>
        <v>0</v>
      </c>
      <c r="S454" s="1150">
        <f t="shared" si="203"/>
        <v>0</v>
      </c>
      <c r="T454" s="1150">
        <f t="shared" si="203"/>
        <v>0</v>
      </c>
      <c r="U454" s="1150">
        <f t="shared" si="203"/>
        <v>0</v>
      </c>
      <c r="V454" s="1150">
        <f t="shared" si="203"/>
        <v>0</v>
      </c>
      <c r="W454" s="1150">
        <f t="shared" si="203"/>
        <v>0</v>
      </c>
      <c r="X454" s="1150">
        <f t="shared" si="203"/>
        <v>0</v>
      </c>
      <c r="Y454" s="1150">
        <f t="shared" si="203"/>
        <v>0</v>
      </c>
      <c r="Z454" s="1150">
        <f t="shared" si="203"/>
        <v>0</v>
      </c>
      <c r="AA454" s="1150">
        <f t="shared" si="203"/>
        <v>4213535</v>
      </c>
      <c r="AB454" s="34">
        <f t="shared" si="196"/>
        <v>0</v>
      </c>
      <c r="AC454" s="34">
        <f>SUM(P454:AA454)</f>
        <v>4213535</v>
      </c>
    </row>
    <row r="455" spans="2:30">
      <c r="B455" s="1158" t="s">
        <v>189</v>
      </c>
      <c r="C455" s="1159" t="s">
        <v>545</v>
      </c>
      <c r="D455" s="1159" t="s">
        <v>545</v>
      </c>
      <c r="E455" s="1159" t="s">
        <v>499</v>
      </c>
      <c r="F455" s="1159"/>
      <c r="G455" s="1159"/>
      <c r="H455" s="1159"/>
      <c r="I455" s="1162" t="s">
        <v>254</v>
      </c>
      <c r="J455" s="1159" t="str">
        <f t="shared" si="195"/>
        <v>lending_cashloan_cashloan_MISA_NII</v>
      </c>
      <c r="K455" s="1149"/>
      <c r="L455" s="1239" t="s">
        <v>218</v>
      </c>
      <c r="M455" s="1150">
        <f t="shared" ref="M455:AA455" si="204">M456-M459</f>
        <v>4213535</v>
      </c>
      <c r="N455" s="1150">
        <f t="shared" si="204"/>
        <v>0</v>
      </c>
      <c r="O455" s="1150">
        <f t="shared" si="204"/>
        <v>0</v>
      </c>
      <c r="P455" s="1150">
        <f t="shared" si="204"/>
        <v>0</v>
      </c>
      <c r="Q455" s="1150">
        <f t="shared" si="204"/>
        <v>0</v>
      </c>
      <c r="R455" s="1150">
        <f t="shared" si="204"/>
        <v>0</v>
      </c>
      <c r="S455" s="1150">
        <f t="shared" si="204"/>
        <v>0</v>
      </c>
      <c r="T455" s="1150">
        <f t="shared" si="204"/>
        <v>0</v>
      </c>
      <c r="U455" s="1150">
        <f t="shared" si="204"/>
        <v>0</v>
      </c>
      <c r="V455" s="1150">
        <f t="shared" si="204"/>
        <v>0</v>
      </c>
      <c r="W455" s="1150">
        <f t="shared" si="204"/>
        <v>0</v>
      </c>
      <c r="X455" s="1150">
        <f t="shared" si="204"/>
        <v>0</v>
      </c>
      <c r="Y455" s="1150">
        <f t="shared" si="204"/>
        <v>0</v>
      </c>
      <c r="Z455" s="1150">
        <f t="shared" si="204"/>
        <v>0</v>
      </c>
      <c r="AA455" s="1150">
        <f t="shared" si="204"/>
        <v>4213535</v>
      </c>
      <c r="AB455" s="34">
        <f t="shared" si="196"/>
        <v>0</v>
      </c>
    </row>
    <row r="456" spans="2:30">
      <c r="B456" s="1158" t="s">
        <v>189</v>
      </c>
      <c r="C456" s="1159" t="s">
        <v>545</v>
      </c>
      <c r="D456" s="1159" t="s">
        <v>545</v>
      </c>
      <c r="E456" s="1159" t="s">
        <v>499</v>
      </c>
      <c r="F456" s="1159"/>
      <c r="G456" s="1159"/>
      <c r="H456" s="1159"/>
      <c r="I456" s="1162" t="s">
        <v>255</v>
      </c>
      <c r="J456" s="1159" t="str">
        <f t="shared" si="195"/>
        <v>lending_cashloan_cashloan_MISA_CII</v>
      </c>
      <c r="K456" s="1149"/>
      <c r="L456" s="1240" t="s">
        <v>20</v>
      </c>
      <c r="M456" s="1149">
        <f>SUM(P456:AA456)</f>
        <v>4865754</v>
      </c>
      <c r="N456" s="1149">
        <f>N457+0-N458</f>
        <v>0</v>
      </c>
      <c r="O456" s="1149">
        <f t="shared" ref="O456" si="205">O457+N458-O458</f>
        <v>0</v>
      </c>
      <c r="P456" s="1149">
        <f t="shared" ref="P456" si="206">P457+O458-P458</f>
        <v>0</v>
      </c>
      <c r="Q456" s="1149">
        <f t="shared" ref="Q456" si="207">Q457+P458-Q458</f>
        <v>0</v>
      </c>
      <c r="R456" s="1149">
        <f t="shared" ref="R456" si="208">R457+Q458-R458</f>
        <v>0</v>
      </c>
      <c r="S456" s="1149">
        <f t="shared" ref="S456" si="209">S457+R458-S458</f>
        <v>0</v>
      </c>
      <c r="T456" s="1149">
        <f t="shared" ref="T456" si="210">T457+S458-T458</f>
        <v>0</v>
      </c>
      <c r="U456" s="1149">
        <f t="shared" ref="U456" si="211">U457+T458-U458</f>
        <v>0</v>
      </c>
      <c r="V456" s="1149">
        <f t="shared" ref="V456" si="212">V457+U458-V458</f>
        <v>0</v>
      </c>
      <c r="W456" s="1149">
        <f t="shared" ref="W456" si="213">W457+V458-W458</f>
        <v>0</v>
      </c>
      <c r="X456" s="1149">
        <f t="shared" ref="X456" si="214">X457+W458-X458</f>
        <v>0</v>
      </c>
      <c r="Y456" s="1149">
        <f t="shared" ref="Y456" si="215">Y457+X458-Y458</f>
        <v>0</v>
      </c>
      <c r="Z456" s="1149">
        <f t="shared" ref="Z456" si="216">Z457+Y458-Z458</f>
        <v>0</v>
      </c>
      <c r="AA456" s="1149">
        <f>AA457+Z458-AA458</f>
        <v>4865754</v>
      </c>
      <c r="AB456" s="34">
        <f t="shared" si="196"/>
        <v>0</v>
      </c>
    </row>
    <row r="457" spans="2:30">
      <c r="B457" s="1158" t="s">
        <v>189</v>
      </c>
      <c r="C457" s="1159" t="s">
        <v>545</v>
      </c>
      <c r="D457" s="1159" t="s">
        <v>545</v>
      </c>
      <c r="E457" s="1159" t="s">
        <v>499</v>
      </c>
      <c r="F457" s="1159"/>
      <c r="G457" s="1159"/>
      <c r="H457" s="1159"/>
      <c r="I457" s="1162"/>
      <c r="J457" s="1159" t="str">
        <f t="shared" si="195"/>
        <v>lending_cashloan_cashloan_MISA_</v>
      </c>
      <c r="K457" s="1149"/>
      <c r="L457" s="1274" t="s">
        <v>539</v>
      </c>
      <c r="M457" s="1151">
        <f>SUM(P457:AA457)</f>
        <v>4865754</v>
      </c>
      <c r="N457" s="1151"/>
      <c r="O457" s="1151"/>
      <c r="P457" s="1151"/>
      <c r="Q457" s="1151"/>
      <c r="R457" s="1151">
        <v>0</v>
      </c>
      <c r="S457" s="1151">
        <v>0</v>
      </c>
      <c r="T457" s="1151"/>
      <c r="U457" s="1151"/>
      <c r="V457" s="1151"/>
      <c r="W457" s="1151"/>
      <c r="X457" s="1151"/>
      <c r="Y457" s="1151"/>
      <c r="Z457" s="1149"/>
      <c r="AA457" s="1151">
        <v>4865754</v>
      </c>
      <c r="AB457" s="34">
        <f t="shared" si="196"/>
        <v>0</v>
      </c>
    </row>
    <row r="458" spans="2:30">
      <c r="B458" s="1158" t="s">
        <v>189</v>
      </c>
      <c r="C458" s="1159" t="s">
        <v>545</v>
      </c>
      <c r="D458" s="1159" t="s">
        <v>545</v>
      </c>
      <c r="E458" s="1159" t="s">
        <v>499</v>
      </c>
      <c r="F458" s="1159"/>
      <c r="G458" s="1159"/>
      <c r="H458" s="1159"/>
      <c r="I458" s="1160"/>
      <c r="J458" s="1159" t="str">
        <f t="shared" si="195"/>
        <v>lending_cashloan_cashloan_MISA_</v>
      </c>
      <c r="K458" s="1149"/>
      <c r="L458" s="1274" t="s">
        <v>187</v>
      </c>
      <c r="M458" s="1151">
        <f>SUM(P458:AA458)</f>
        <v>0</v>
      </c>
      <c r="N458" s="1151"/>
      <c r="O458" s="1151"/>
      <c r="P458" s="1151"/>
      <c r="Q458" s="1151"/>
      <c r="R458" s="1151"/>
      <c r="S458" s="1151"/>
      <c r="T458" s="1151"/>
      <c r="U458" s="1151"/>
      <c r="V458" s="1151"/>
      <c r="W458" s="1151"/>
      <c r="X458" s="1151"/>
      <c r="Y458" s="1149"/>
      <c r="Z458" s="1151"/>
      <c r="AA458" s="1151"/>
      <c r="AB458" s="34">
        <f t="shared" si="196"/>
        <v>0</v>
      </c>
      <c r="AC458" s="34"/>
      <c r="AD458" s="34"/>
    </row>
    <row r="459" spans="2:30">
      <c r="B459" s="1158" t="s">
        <v>189</v>
      </c>
      <c r="C459" s="1159" t="s">
        <v>545</v>
      </c>
      <c r="D459" s="1159" t="s">
        <v>545</v>
      </c>
      <c r="E459" s="1159" t="s">
        <v>499</v>
      </c>
      <c r="F459" s="1159"/>
      <c r="G459" s="1159"/>
      <c r="H459" s="1159"/>
      <c r="I459" s="1162" t="s">
        <v>219</v>
      </c>
      <c r="J459" s="1159" t="str">
        <f t="shared" si="195"/>
        <v>lending_cashloan_cashloan_MISA_COF</v>
      </c>
      <c r="K459" s="1149"/>
      <c r="L459" s="1240" t="s">
        <v>219</v>
      </c>
      <c r="M459" s="1149">
        <f>SUM(P459:AA459)</f>
        <v>652219</v>
      </c>
      <c r="N459" s="1254"/>
      <c r="O459" s="1247"/>
      <c r="P459" s="1169"/>
      <c r="Q459" s="1169"/>
      <c r="R459" s="1169"/>
      <c r="S459" s="1149">
        <v>0</v>
      </c>
      <c r="T459" s="1169"/>
      <c r="U459" s="1169"/>
      <c r="V459" s="1290"/>
      <c r="W459" s="1290"/>
      <c r="X459" s="1290"/>
      <c r="Y459" s="1149"/>
      <c r="Z459" s="1254"/>
      <c r="AA459" s="1247">
        <v>652219</v>
      </c>
      <c r="AB459" s="34">
        <f t="shared" si="196"/>
        <v>0</v>
      </c>
    </row>
    <row r="460" spans="2:30">
      <c r="B460" s="1158" t="s">
        <v>189</v>
      </c>
      <c r="C460" s="1159" t="s">
        <v>545</v>
      </c>
      <c r="D460" s="1159" t="s">
        <v>545</v>
      </c>
      <c r="E460" s="1159" t="s">
        <v>499</v>
      </c>
      <c r="F460" s="1159"/>
      <c r="G460" s="1159"/>
      <c r="H460" s="1159"/>
      <c r="I460" s="1162" t="s">
        <v>260</v>
      </c>
      <c r="J460" s="1159" t="str">
        <f t="shared" si="195"/>
        <v>lending_cashloan_cashloan_MISA_NFI</v>
      </c>
      <c r="K460" s="1149"/>
      <c r="L460" s="1239" t="s">
        <v>220</v>
      </c>
      <c r="M460" s="1150">
        <f t="shared" ref="M460:AA460" si="217">SUM(M461:M463)</f>
        <v>0</v>
      </c>
      <c r="N460" s="1150">
        <f t="shared" si="217"/>
        <v>0</v>
      </c>
      <c r="O460" s="1150">
        <f t="shared" si="217"/>
        <v>0</v>
      </c>
      <c r="P460" s="1150">
        <f t="shared" si="217"/>
        <v>0</v>
      </c>
      <c r="Q460" s="1150">
        <f t="shared" si="217"/>
        <v>0</v>
      </c>
      <c r="R460" s="1150">
        <f t="shared" si="217"/>
        <v>0</v>
      </c>
      <c r="S460" s="1150">
        <f t="shared" si="217"/>
        <v>0</v>
      </c>
      <c r="T460" s="1150">
        <f t="shared" si="217"/>
        <v>0</v>
      </c>
      <c r="U460" s="1150">
        <f t="shared" si="217"/>
        <v>0</v>
      </c>
      <c r="V460" s="1150">
        <f t="shared" si="217"/>
        <v>0</v>
      </c>
      <c r="W460" s="1150">
        <f t="shared" si="217"/>
        <v>0</v>
      </c>
      <c r="X460" s="1150">
        <f t="shared" si="217"/>
        <v>0</v>
      </c>
      <c r="Y460" s="1150">
        <f t="shared" si="217"/>
        <v>0</v>
      </c>
      <c r="Z460" s="1150">
        <f t="shared" si="217"/>
        <v>0</v>
      </c>
      <c r="AA460" s="1150">
        <f t="shared" si="217"/>
        <v>0</v>
      </c>
      <c r="AB460" s="34">
        <f t="shared" si="196"/>
        <v>0</v>
      </c>
    </row>
    <row r="461" spans="2:30">
      <c r="B461" s="1158" t="s">
        <v>189</v>
      </c>
      <c r="C461" s="1159" t="s">
        <v>545</v>
      </c>
      <c r="D461" s="1159" t="s">
        <v>545</v>
      </c>
      <c r="E461" s="1159" t="s">
        <v>499</v>
      </c>
      <c r="F461" s="1159"/>
      <c r="G461" s="1159"/>
      <c r="H461" s="1159"/>
      <c r="I461" s="1162" t="s">
        <v>546</v>
      </c>
      <c r="J461" s="1159" t="str">
        <f t="shared" si="195"/>
        <v>lending_cashloan_cashloan_MISA_insurance_fee</v>
      </c>
      <c r="K461" s="1149"/>
      <c r="L461" s="1240" t="s">
        <v>540</v>
      </c>
      <c r="M461" s="1151">
        <f>SUM(P461:AA461)</f>
        <v>0</v>
      </c>
      <c r="N461" s="1151"/>
      <c r="O461" s="1261"/>
      <c r="P461" s="1261"/>
      <c r="Q461" s="1248"/>
      <c r="R461" s="1243">
        <v>0</v>
      </c>
      <c r="S461" s="1243"/>
      <c r="T461" s="1149"/>
      <c r="U461" s="1149"/>
      <c r="V461" s="1149"/>
      <c r="W461" s="1151"/>
      <c r="X461" s="1151"/>
      <c r="Y461" s="1151"/>
      <c r="Z461" s="1151"/>
      <c r="AA461" s="1261"/>
      <c r="AB461" s="34">
        <f t="shared" si="196"/>
        <v>0</v>
      </c>
    </row>
    <row r="462" spans="2:30">
      <c r="B462" s="1158" t="s">
        <v>189</v>
      </c>
      <c r="C462" s="1159" t="s">
        <v>545</v>
      </c>
      <c r="D462" s="1159" t="s">
        <v>545</v>
      </c>
      <c r="E462" s="1159" t="s">
        <v>499</v>
      </c>
      <c r="F462" s="1159"/>
      <c r="G462" s="1159"/>
      <c r="H462" s="1159"/>
      <c r="I462" s="1162" t="s">
        <v>547</v>
      </c>
      <c r="J462" s="1159" t="str">
        <f t="shared" si="195"/>
        <v>lending_cashloan_cashloan_MISA_early_terminate_fee</v>
      </c>
      <c r="K462" s="1149"/>
      <c r="L462" s="1240" t="s">
        <v>541</v>
      </c>
      <c r="M462" s="1151">
        <f>SUM(P462:AA462)</f>
        <v>0</v>
      </c>
      <c r="N462" s="1151"/>
      <c r="O462" s="1151"/>
      <c r="P462" s="1243">
        <v>0</v>
      </c>
      <c r="Q462" s="1243"/>
      <c r="R462" s="1243">
        <v>0</v>
      </c>
      <c r="S462" s="1243"/>
      <c r="T462" s="1247"/>
      <c r="U462" s="1151"/>
      <c r="V462" s="1149"/>
      <c r="W462" s="1149"/>
      <c r="X462" s="1149"/>
      <c r="Y462" s="1149"/>
      <c r="Z462" s="1151"/>
      <c r="AA462" s="1151"/>
      <c r="AB462" s="34">
        <f t="shared" si="196"/>
        <v>0</v>
      </c>
    </row>
    <row r="463" spans="2:30">
      <c r="B463" s="1158" t="s">
        <v>189</v>
      </c>
      <c r="C463" s="1159" t="s">
        <v>545</v>
      </c>
      <c r="D463" s="1159" t="s">
        <v>545</v>
      </c>
      <c r="E463" s="1159" t="s">
        <v>499</v>
      </c>
      <c r="F463" s="1159"/>
      <c r="G463" s="1159"/>
      <c r="H463" s="1159"/>
      <c r="I463" s="1162" t="s">
        <v>548</v>
      </c>
      <c r="J463" s="1159" t="str">
        <f t="shared" si="195"/>
        <v>lending_cashloan_cashloan_MISA_loan_grant_fee</v>
      </c>
      <c r="K463" s="1149"/>
      <c r="L463" s="1240" t="s">
        <v>542</v>
      </c>
      <c r="M463" s="1151">
        <f>SUM(P463:AA463)</f>
        <v>0</v>
      </c>
      <c r="N463" s="1151"/>
      <c r="O463" s="1151"/>
      <c r="P463" s="1243"/>
      <c r="Q463" s="1243"/>
      <c r="R463" s="1243"/>
      <c r="S463" s="1243"/>
      <c r="T463" s="1243"/>
      <c r="U463" s="1151"/>
      <c r="V463" s="1261"/>
      <c r="W463" s="1151"/>
      <c r="X463" s="1151"/>
      <c r="Y463" s="1151"/>
      <c r="Z463" s="1151"/>
      <c r="AA463" s="1151"/>
      <c r="AB463" s="34">
        <f t="shared" si="196"/>
        <v>0</v>
      </c>
    </row>
    <row r="464" spans="2:30">
      <c r="B464" s="1158" t="s">
        <v>189</v>
      </c>
      <c r="C464" s="1159" t="s">
        <v>545</v>
      </c>
      <c r="D464" s="1159" t="s">
        <v>545</v>
      </c>
      <c r="E464" s="1159" t="s">
        <v>499</v>
      </c>
      <c r="F464" s="1159"/>
      <c r="G464" s="1159"/>
      <c r="H464" s="1159"/>
      <c r="I464" s="1162" t="s">
        <v>269</v>
      </c>
      <c r="J464" s="1159" t="str">
        <f t="shared" si="195"/>
        <v>lending_cashloan_cashloan_MISA_other_TOI</v>
      </c>
      <c r="K464" s="1149"/>
      <c r="L464" s="1239" t="s">
        <v>89</v>
      </c>
      <c r="M464" s="1154">
        <f>SUM(P464:AA464)</f>
        <v>0</v>
      </c>
      <c r="N464" s="1151"/>
      <c r="O464" s="1151"/>
      <c r="P464" s="1243"/>
      <c r="Q464" s="1243"/>
      <c r="R464" s="1243"/>
      <c r="S464" s="1243"/>
      <c r="T464" s="1243"/>
      <c r="U464" s="1151"/>
      <c r="V464" s="1261"/>
      <c r="W464" s="1151"/>
      <c r="X464" s="1245"/>
      <c r="Y464" s="1151"/>
      <c r="Z464" s="1151"/>
      <c r="AA464" s="1151"/>
      <c r="AB464" s="34">
        <f t="shared" si="196"/>
        <v>0</v>
      </c>
    </row>
    <row r="465" spans="2:29" s="4" customFormat="1">
      <c r="B465" s="1158" t="s">
        <v>189</v>
      </c>
      <c r="C465" s="1159" t="s">
        <v>545</v>
      </c>
      <c r="D465" s="1159" t="s">
        <v>545</v>
      </c>
      <c r="E465" s="1159" t="s">
        <v>499</v>
      </c>
      <c r="F465" s="1159"/>
      <c r="G465" s="1159"/>
      <c r="H465" s="1159"/>
      <c r="I465" s="1162" t="s">
        <v>270</v>
      </c>
      <c r="J465" s="1159" t="str">
        <f t="shared" si="195"/>
        <v>lending_cashloan_cashloan_MISA_provision</v>
      </c>
      <c r="K465" s="1149"/>
      <c r="L465" s="1245" t="s">
        <v>136</v>
      </c>
      <c r="M465" s="1150">
        <f>SUM(P465:AA465)</f>
        <v>4800000</v>
      </c>
      <c r="N465" s="1150"/>
      <c r="O465" s="1262"/>
      <c r="P465" s="1262"/>
      <c r="Q465" s="1275"/>
      <c r="R465" s="1275">
        <v>0</v>
      </c>
      <c r="S465" s="1245"/>
      <c r="T465" s="1150"/>
      <c r="U465" s="1150"/>
      <c r="V465" s="1150"/>
      <c r="W465" s="1262"/>
      <c r="X465" s="1262"/>
      <c r="Y465" s="1262"/>
      <c r="Z465" s="1150"/>
      <c r="AA465" s="1262">
        <v>4800000</v>
      </c>
      <c r="AB465" s="34">
        <f t="shared" si="196"/>
        <v>0</v>
      </c>
    </row>
    <row r="466" spans="2:29">
      <c r="B466" s="1158" t="s">
        <v>189</v>
      </c>
      <c r="C466" s="1159" t="s">
        <v>545</v>
      </c>
      <c r="D466" s="1159" t="s">
        <v>545</v>
      </c>
      <c r="E466" s="1159" t="s">
        <v>499</v>
      </c>
      <c r="F466" s="1159"/>
      <c r="G466" s="1159"/>
      <c r="H466" s="1159"/>
      <c r="I466" s="1162" t="s">
        <v>271</v>
      </c>
      <c r="J466" s="1159" t="str">
        <f t="shared" si="195"/>
        <v>lending_cashloan_cashloan_MISA_variable_cost</v>
      </c>
      <c r="K466" s="1149"/>
      <c r="L466" s="1245" t="s">
        <v>229</v>
      </c>
      <c r="M466" s="1150">
        <f t="shared" ref="M466:AA466" si="218">SUM(M467:M474)</f>
        <v>19803414.960934918</v>
      </c>
      <c r="N466" s="1150">
        <f t="shared" si="218"/>
        <v>0</v>
      </c>
      <c r="O466" s="1150">
        <f t="shared" si="218"/>
        <v>0</v>
      </c>
      <c r="P466" s="1150">
        <f t="shared" si="218"/>
        <v>0</v>
      </c>
      <c r="Q466" s="1150">
        <f t="shared" si="218"/>
        <v>0</v>
      </c>
      <c r="R466" s="1150">
        <f t="shared" si="218"/>
        <v>0</v>
      </c>
      <c r="S466" s="1150">
        <f t="shared" si="218"/>
        <v>0</v>
      </c>
      <c r="T466" s="1150">
        <f t="shared" si="218"/>
        <v>0</v>
      </c>
      <c r="U466" s="1150">
        <f t="shared" si="218"/>
        <v>0</v>
      </c>
      <c r="V466" s="1150">
        <f t="shared" si="218"/>
        <v>0</v>
      </c>
      <c r="W466" s="1150">
        <f t="shared" si="218"/>
        <v>0</v>
      </c>
      <c r="X466" s="1150">
        <f t="shared" si="218"/>
        <v>0</v>
      </c>
      <c r="Y466" s="1150">
        <f t="shared" si="218"/>
        <v>0</v>
      </c>
      <c r="Z466" s="1150">
        <f t="shared" si="218"/>
        <v>0</v>
      </c>
      <c r="AA466" s="1150">
        <f t="shared" si="218"/>
        <v>19803414.960934918</v>
      </c>
      <c r="AB466" s="34">
        <f t="shared" si="196"/>
        <v>0</v>
      </c>
    </row>
    <row r="467" spans="2:29" ht="16">
      <c r="B467" s="1158" t="s">
        <v>189</v>
      </c>
      <c r="C467" s="1159" t="s">
        <v>545</v>
      </c>
      <c r="D467" s="1159" t="s">
        <v>545</v>
      </c>
      <c r="E467" s="1159" t="s">
        <v>499</v>
      </c>
      <c r="F467" s="1159"/>
      <c r="G467" s="1159"/>
      <c r="H467" s="1159"/>
      <c r="I467" s="1162" t="s">
        <v>272</v>
      </c>
      <c r="J467" s="1159" t="str">
        <f t="shared" si="195"/>
        <v>lending_cashloan_cashloan_MISA_marketing_acquisition_cost</v>
      </c>
      <c r="K467" s="1149"/>
      <c r="L467" s="1246" t="s">
        <v>230</v>
      </c>
      <c r="M467" s="1149">
        <f t="shared" ref="M467:M472" si="219">SUM(P467:AA467)</f>
        <v>0</v>
      </c>
      <c r="N467" s="1147"/>
      <c r="O467" s="1147"/>
      <c r="P467" s="1169"/>
      <c r="Q467" s="1169"/>
      <c r="R467" s="1169"/>
      <c r="S467" s="1147"/>
      <c r="T467" s="1169"/>
      <c r="U467" s="1247"/>
      <c r="V467" s="1149"/>
      <c r="W467" s="1149"/>
      <c r="X467" s="1279"/>
      <c r="Y467" s="1147"/>
      <c r="Z467" s="1147"/>
      <c r="AA467" s="1147"/>
      <c r="AB467" s="34">
        <f t="shared" si="196"/>
        <v>0</v>
      </c>
    </row>
    <row r="468" spans="2:29">
      <c r="B468" s="1158" t="s">
        <v>189</v>
      </c>
      <c r="C468" s="1159" t="s">
        <v>545</v>
      </c>
      <c r="D468" s="1159" t="s">
        <v>545</v>
      </c>
      <c r="E468" s="1159" t="s">
        <v>499</v>
      </c>
      <c r="F468" s="1159"/>
      <c r="G468" s="1159"/>
      <c r="H468" s="1159"/>
      <c r="I468" s="1162" t="s">
        <v>273</v>
      </c>
      <c r="J468" s="1159" t="str">
        <f t="shared" si="195"/>
        <v>lending_cashloan_cashloan_MISA_partner_acquisition_cost</v>
      </c>
      <c r="K468" s="1149"/>
      <c r="L468" s="1246" t="s">
        <v>231</v>
      </c>
      <c r="M468" s="1150">
        <f t="shared" si="219"/>
        <v>19200000</v>
      </c>
      <c r="N468" s="1264"/>
      <c r="O468" s="1245"/>
      <c r="P468" s="1262"/>
      <c r="Q468" s="1275"/>
      <c r="R468" s="1245"/>
      <c r="S468" s="1150"/>
      <c r="T468" s="1294"/>
      <c r="U468" s="1294"/>
      <c r="V468" s="1149"/>
      <c r="W468" s="1149"/>
      <c r="X468" s="1149"/>
      <c r="Y468" s="1149"/>
      <c r="Z468" s="1149"/>
      <c r="AA468" s="1149">
        <v>19200000</v>
      </c>
      <c r="AB468" s="34">
        <f>AA468-Z468</f>
        <v>19200000</v>
      </c>
      <c r="AC468" s="74"/>
    </row>
    <row r="469" spans="2:29">
      <c r="B469" s="1158" t="s">
        <v>189</v>
      </c>
      <c r="C469" s="1159" t="s">
        <v>545</v>
      </c>
      <c r="D469" s="1159" t="s">
        <v>545</v>
      </c>
      <c r="E469" s="1159" t="s">
        <v>499</v>
      </c>
      <c r="F469" s="1159"/>
      <c r="G469" s="1159"/>
      <c r="H469" s="1159"/>
      <c r="I469" s="1162" t="s">
        <v>274</v>
      </c>
      <c r="J469" s="1159" t="str">
        <f t="shared" si="195"/>
        <v>lending_cashloan_cashloan_MISA_underwritting</v>
      </c>
      <c r="K469" s="1149"/>
      <c r="L469" s="1246" t="s">
        <v>232</v>
      </c>
      <c r="M469" s="1149">
        <f t="shared" si="219"/>
        <v>567629.90933700057</v>
      </c>
      <c r="N469" s="1149"/>
      <c r="O469" s="1149"/>
      <c r="P469" s="1265">
        <v>0</v>
      </c>
      <c r="Q469" s="1265">
        <v>0</v>
      </c>
      <c r="R469" s="1265">
        <v>0</v>
      </c>
      <c r="S469" s="1265">
        <v>0</v>
      </c>
      <c r="T469" s="1265"/>
      <c r="U469" s="1265"/>
      <c r="V469" s="1149"/>
      <c r="W469" s="1149"/>
      <c r="X469" s="1149"/>
      <c r="Y469" s="1149"/>
      <c r="Z469" s="1149"/>
      <c r="AA469" s="1149">
        <v>567629.90933700057</v>
      </c>
      <c r="AB469" s="34">
        <f t="shared" si="196"/>
        <v>0</v>
      </c>
    </row>
    <row r="470" spans="2:29">
      <c r="B470" s="1158" t="s">
        <v>189</v>
      </c>
      <c r="C470" s="1159" t="s">
        <v>545</v>
      </c>
      <c r="D470" s="1159" t="s">
        <v>545</v>
      </c>
      <c r="E470" s="1159" t="s">
        <v>499</v>
      </c>
      <c r="F470" s="1159"/>
      <c r="G470" s="1159"/>
      <c r="H470" s="1159"/>
      <c r="I470" s="1162" t="s">
        <v>275</v>
      </c>
      <c r="J470" s="1159" t="str">
        <f t="shared" si="195"/>
        <v>lending_cashloan_cashloan_MISA_e_contract</v>
      </c>
      <c r="K470" s="1149"/>
      <c r="L470" s="1246" t="s">
        <v>233</v>
      </c>
      <c r="M470" s="1149">
        <f t="shared" si="219"/>
        <v>6699</v>
      </c>
      <c r="N470" s="1149"/>
      <c r="O470" s="1149"/>
      <c r="P470" s="1169"/>
      <c r="Q470" s="1253"/>
      <c r="R470" s="1253"/>
      <c r="S470" s="1253"/>
      <c r="T470" s="1253"/>
      <c r="U470" s="1247"/>
      <c r="V470" s="1149"/>
      <c r="W470" s="1149"/>
      <c r="X470" s="1149"/>
      <c r="Y470" s="1149"/>
      <c r="Z470" s="1149"/>
      <c r="AA470" s="1149">
        <v>6699</v>
      </c>
      <c r="AB470" s="34">
        <f t="shared" ref="AB470:AB475" si="220">Z470-Y470</f>
        <v>0</v>
      </c>
    </row>
    <row r="471" spans="2:29">
      <c r="B471" s="1158" t="s">
        <v>189</v>
      </c>
      <c r="C471" s="1159" t="s">
        <v>545</v>
      </c>
      <c r="D471" s="1159" t="s">
        <v>545</v>
      </c>
      <c r="E471" s="1159" t="s">
        <v>499</v>
      </c>
      <c r="F471" s="1159"/>
      <c r="G471" s="1159"/>
      <c r="H471" s="1159"/>
      <c r="I471" s="1162" t="s">
        <v>276</v>
      </c>
      <c r="J471" s="1159" t="str">
        <f t="shared" si="195"/>
        <v>lending_cashloan_cashloan_MISA_nfc</v>
      </c>
      <c r="K471" s="1149"/>
      <c r="L471" s="1246" t="s">
        <v>152</v>
      </c>
      <c r="M471" s="1149">
        <f t="shared" si="219"/>
        <v>15372.332510706248</v>
      </c>
      <c r="N471" s="1149"/>
      <c r="O471" s="1149"/>
      <c r="P471" s="1169"/>
      <c r="Q471" s="1169"/>
      <c r="R471" s="1169"/>
      <c r="S471" s="1147"/>
      <c r="T471" s="1169"/>
      <c r="U471" s="1169"/>
      <c r="V471" s="1149"/>
      <c r="W471" s="1149"/>
      <c r="X471" s="1149"/>
      <c r="Y471" s="1149"/>
      <c r="Z471" s="1149"/>
      <c r="AA471" s="1149">
        <v>15372.332510706248</v>
      </c>
      <c r="AB471" s="34">
        <f t="shared" si="220"/>
        <v>0</v>
      </c>
    </row>
    <row r="472" spans="2:29">
      <c r="B472" s="1158" t="s">
        <v>189</v>
      </c>
      <c r="C472" s="1159" t="s">
        <v>545</v>
      </c>
      <c r="D472" s="1159" t="s">
        <v>545</v>
      </c>
      <c r="E472" s="1159" t="s">
        <v>499</v>
      </c>
      <c r="F472" s="1159"/>
      <c r="G472" s="1159"/>
      <c r="H472" s="1159"/>
      <c r="I472" s="1162" t="s">
        <v>277</v>
      </c>
      <c r="J472" s="1159" t="str">
        <f t="shared" si="195"/>
        <v>lending_cashloan_cashloan_MISA_collection</v>
      </c>
      <c r="K472" s="1149"/>
      <c r="L472" s="1246" t="s">
        <v>234</v>
      </c>
      <c r="M472" s="1149">
        <f t="shared" si="219"/>
        <v>0</v>
      </c>
      <c r="N472" s="1149"/>
      <c r="O472" s="1149"/>
      <c r="P472" s="1169"/>
      <c r="Q472" s="1169"/>
      <c r="R472" s="1169"/>
      <c r="S472" s="1265"/>
      <c r="T472" s="1169"/>
      <c r="U472" s="1169"/>
      <c r="V472" s="1169"/>
      <c r="W472" s="1149"/>
      <c r="X472" s="1149"/>
      <c r="Y472" s="1149"/>
      <c r="Z472" s="1149"/>
      <c r="AA472" s="1149"/>
      <c r="AB472" s="34">
        <f t="shared" si="220"/>
        <v>0</v>
      </c>
    </row>
    <row r="473" spans="2:29">
      <c r="B473" s="1158" t="s">
        <v>189</v>
      </c>
      <c r="C473" s="1159" t="s">
        <v>545</v>
      </c>
      <c r="D473" s="1159" t="s">
        <v>545</v>
      </c>
      <c r="E473" s="1159" t="s">
        <v>499</v>
      </c>
      <c r="F473" s="1159"/>
      <c r="G473" s="1159"/>
      <c r="H473" s="1159"/>
      <c r="I473" s="1162" t="s">
        <v>278</v>
      </c>
      <c r="J473" s="1159" t="str">
        <f t="shared" si="195"/>
        <v>lending_cashloan_cashloan_MISA_promotion</v>
      </c>
      <c r="K473" s="1149"/>
      <c r="L473" s="1246" t="s">
        <v>235</v>
      </c>
      <c r="M473" s="1149"/>
      <c r="N473" s="1149"/>
      <c r="O473" s="1149"/>
      <c r="P473" s="1169"/>
      <c r="Q473" s="1253"/>
      <c r="R473" s="1253"/>
      <c r="S473" s="1253"/>
      <c r="T473" s="1253"/>
      <c r="U473" s="1247"/>
      <c r="V473" s="1149"/>
      <c r="W473" s="1149"/>
      <c r="X473" s="1149"/>
      <c r="Y473" s="1149"/>
      <c r="Z473" s="1149"/>
      <c r="AA473" s="1149"/>
      <c r="AB473" s="34">
        <f t="shared" si="220"/>
        <v>0</v>
      </c>
    </row>
    <row r="474" spans="2:29">
      <c r="B474" s="1158" t="s">
        <v>189</v>
      </c>
      <c r="C474" s="1159" t="s">
        <v>545</v>
      </c>
      <c r="D474" s="1159" t="s">
        <v>545</v>
      </c>
      <c r="E474" s="1159" t="s">
        <v>499</v>
      </c>
      <c r="F474" s="1159"/>
      <c r="G474" s="1159"/>
      <c r="H474" s="1159"/>
      <c r="I474" s="1162" t="s">
        <v>279</v>
      </c>
      <c r="J474" s="1159" t="str">
        <f t="shared" si="195"/>
        <v>lending_cashloan_cashloan_MISA_sms</v>
      </c>
      <c r="K474" s="1149"/>
      <c r="L474" s="1249" t="s">
        <v>163</v>
      </c>
      <c r="M474" s="1149">
        <f>SUM(P474:AA474)</f>
        <v>13713.719087214784</v>
      </c>
      <c r="N474" s="1247"/>
      <c r="O474" s="1247"/>
      <c r="P474" s="1247"/>
      <c r="Q474" s="1247"/>
      <c r="R474" s="1247"/>
      <c r="S474" s="1247"/>
      <c r="T474" s="1247"/>
      <c r="U474" s="1265"/>
      <c r="V474" s="1149"/>
      <c r="W474" s="1149"/>
      <c r="X474" s="1149"/>
      <c r="Y474" s="1149"/>
      <c r="Z474" s="1149"/>
      <c r="AA474" s="1149">
        <v>13713.719087214784</v>
      </c>
      <c r="AB474" s="34">
        <f t="shared" si="220"/>
        <v>0</v>
      </c>
    </row>
    <row r="475" spans="2:29">
      <c r="B475" s="1158" t="s">
        <v>189</v>
      </c>
      <c r="C475" s="1159" t="s">
        <v>545</v>
      </c>
      <c r="D475" s="1159" t="s">
        <v>545</v>
      </c>
      <c r="E475" s="1159" t="s">
        <v>499</v>
      </c>
      <c r="F475" s="1159" t="str">
        <f>E475&amp;"CL"</f>
        <v>MISACL</v>
      </c>
      <c r="G475" s="1159" t="str">
        <f>L475&amp;F475</f>
        <v>Profit before allocation costMISACL</v>
      </c>
      <c r="H475" s="1408" t="str">
        <f>L475&amp;E475</f>
        <v>Profit before allocation costMISA</v>
      </c>
      <c r="I475" s="1162" t="s">
        <v>280</v>
      </c>
      <c r="J475" s="1159" t="str">
        <f t="shared" si="195"/>
        <v>lending_cashloan_cashloan_MISA_profit_before_overhead</v>
      </c>
      <c r="K475" s="1149"/>
      <c r="L475" s="1359" t="s">
        <v>236</v>
      </c>
      <c r="M475" s="1359">
        <f t="shared" ref="M475:AA475" si="221">M454-M465-M466</f>
        <v>-20389879.960934918</v>
      </c>
      <c r="N475" s="1359">
        <f t="shared" si="221"/>
        <v>0</v>
      </c>
      <c r="O475" s="1359">
        <f t="shared" si="221"/>
        <v>0</v>
      </c>
      <c r="P475" s="1359">
        <f t="shared" si="221"/>
        <v>0</v>
      </c>
      <c r="Q475" s="1359">
        <f t="shared" si="221"/>
        <v>0</v>
      </c>
      <c r="R475" s="1359">
        <f t="shared" si="221"/>
        <v>0</v>
      </c>
      <c r="S475" s="1359">
        <f t="shared" si="221"/>
        <v>0</v>
      </c>
      <c r="T475" s="1359">
        <f t="shared" si="221"/>
        <v>0</v>
      </c>
      <c r="U475" s="1359">
        <f t="shared" si="221"/>
        <v>0</v>
      </c>
      <c r="V475" s="1359">
        <f t="shared" si="221"/>
        <v>0</v>
      </c>
      <c r="W475" s="1359">
        <f t="shared" si="221"/>
        <v>0</v>
      </c>
      <c r="X475" s="1359">
        <f t="shared" si="221"/>
        <v>0</v>
      </c>
      <c r="Y475" s="1359">
        <f t="shared" si="221"/>
        <v>0</v>
      </c>
      <c r="Z475" s="1359">
        <f t="shared" si="221"/>
        <v>0</v>
      </c>
      <c r="AA475" s="1359">
        <f t="shared" si="221"/>
        <v>-20389879.960934918</v>
      </c>
      <c r="AB475" s="34">
        <f t="shared" si="220"/>
        <v>0</v>
      </c>
      <c r="AC475" s="34">
        <f>SUM(P475:AA475)</f>
        <v>-20389879.960934918</v>
      </c>
    </row>
    <row r="476" spans="2:29">
      <c r="B476" s="1158"/>
      <c r="C476" s="1159"/>
      <c r="D476" s="1159"/>
      <c r="E476" s="1159"/>
      <c r="F476" s="1159"/>
      <c r="G476" s="1159"/>
      <c r="H476" s="1159"/>
      <c r="I476" s="1162"/>
      <c r="J476" s="1159"/>
      <c r="K476" s="1149"/>
      <c r="L476" s="286"/>
      <c r="M476" s="286"/>
      <c r="N476" s="286"/>
      <c r="O476" s="286"/>
      <c r="P476" s="286"/>
      <c r="Q476" s="286"/>
      <c r="R476" s="286"/>
      <c r="S476" s="286"/>
      <c r="T476" s="286"/>
      <c r="U476" s="286"/>
      <c r="V476" s="286"/>
      <c r="W476" s="286"/>
      <c r="X476" s="286"/>
      <c r="Y476" s="286"/>
      <c r="Z476" s="286"/>
      <c r="AA476" s="286"/>
      <c r="AB476" s="34"/>
    </row>
    <row r="477" spans="2:29">
      <c r="B477" s="1158" t="s">
        <v>189</v>
      </c>
      <c r="C477" s="1159" t="s">
        <v>560</v>
      </c>
      <c r="D477" s="1159"/>
      <c r="E477" s="1159" t="s">
        <v>310</v>
      </c>
      <c r="F477" s="1159"/>
      <c r="G477" s="1159"/>
      <c r="H477" s="1159"/>
      <c r="I477" s="1159"/>
      <c r="J477" s="1159" t="str">
        <f t="shared" ref="J477:J514" si="222">B477&amp;"_"&amp;C477&amp;"_"&amp;D477&amp;"_"&amp;E477&amp;"_"&amp;I477</f>
        <v>lending_overdraft__CAKE_</v>
      </c>
      <c r="K477" s="1149"/>
      <c r="L477" s="1146" t="s">
        <v>561</v>
      </c>
      <c r="M477" s="1146"/>
      <c r="N477" s="1146"/>
      <c r="O477" s="1146"/>
      <c r="P477" s="1146"/>
      <c r="Q477" s="1146"/>
      <c r="R477" s="1146"/>
      <c r="S477" s="1146"/>
      <c r="T477" s="1146"/>
      <c r="U477" s="1146"/>
      <c r="V477" s="1146"/>
      <c r="W477" s="1146"/>
      <c r="X477" s="1146"/>
      <c r="Y477" s="1146"/>
      <c r="Z477" s="1146"/>
      <c r="AA477" s="1146"/>
      <c r="AB477" s="34">
        <f t="shared" ref="AB477:AB533" si="223">Z477-Y477</f>
        <v>0</v>
      </c>
    </row>
    <row r="478" spans="2:29">
      <c r="B478" s="1158" t="s">
        <v>189</v>
      </c>
      <c r="C478" s="1159" t="s">
        <v>560</v>
      </c>
      <c r="D478" s="1159"/>
      <c r="E478" s="1159" t="s">
        <v>310</v>
      </c>
      <c r="F478" s="1159"/>
      <c r="G478" s="1159"/>
      <c r="H478" s="1159"/>
      <c r="I478" s="1162" t="s">
        <v>239</v>
      </c>
      <c r="J478" s="1159" t="str">
        <f t="shared" si="222"/>
        <v>lending_overdraft__CAKE_new_account</v>
      </c>
      <c r="K478" s="1149"/>
      <c r="L478" s="1148" t="s">
        <v>193</v>
      </c>
      <c r="M478" s="1149">
        <f>SUM(P478:AA478)</f>
        <v>26379</v>
      </c>
      <c r="N478" s="1149">
        <v>3790</v>
      </c>
      <c r="O478" s="1149">
        <v>4842</v>
      </c>
      <c r="P478" s="1267">
        <v>3884</v>
      </c>
      <c r="Q478" s="1272">
        <v>2863</v>
      </c>
      <c r="R478" s="1149">
        <v>3422</v>
      </c>
      <c r="S478" s="1149">
        <v>3436</v>
      </c>
      <c r="T478" s="1267">
        <v>3461</v>
      </c>
      <c r="U478" s="1268">
        <v>3613</v>
      </c>
      <c r="V478" s="1149">
        <v>2855</v>
      </c>
      <c r="W478" s="1149">
        <v>532</v>
      </c>
      <c r="X478" s="1149">
        <v>585</v>
      </c>
      <c r="Y478" s="1149">
        <v>691</v>
      </c>
      <c r="Z478" s="1149">
        <v>562</v>
      </c>
      <c r="AA478" s="1149">
        <v>475</v>
      </c>
      <c r="AB478" s="34">
        <f t="shared" si="223"/>
        <v>-129</v>
      </c>
    </row>
    <row r="479" spans="2:29">
      <c r="B479" s="1158" t="s">
        <v>189</v>
      </c>
      <c r="C479" s="1159" t="s">
        <v>560</v>
      </c>
      <c r="D479" s="1159"/>
      <c r="E479" s="1159" t="s">
        <v>310</v>
      </c>
      <c r="F479" s="1159"/>
      <c r="G479" s="1159"/>
      <c r="H479" s="1159"/>
      <c r="I479" s="1148" t="s">
        <v>527</v>
      </c>
      <c r="J479" s="1159" t="str">
        <f t="shared" si="222"/>
        <v>lending_overdraft__CAKE_Repeat account</v>
      </c>
      <c r="K479" s="1149"/>
      <c r="L479" s="1148" t="s">
        <v>527</v>
      </c>
      <c r="M479" s="1149"/>
      <c r="N479" s="1149">
        <v>1007</v>
      </c>
      <c r="O479" s="1149">
        <v>1474</v>
      </c>
      <c r="P479" s="1267">
        <v>1212</v>
      </c>
      <c r="Q479" s="1272">
        <v>920</v>
      </c>
      <c r="R479" s="1149">
        <v>1168</v>
      </c>
      <c r="S479" s="1149">
        <v>1358</v>
      </c>
      <c r="T479" s="1267">
        <v>1249</v>
      </c>
      <c r="U479" s="1268">
        <v>1326</v>
      </c>
      <c r="V479" s="1149">
        <v>1417</v>
      </c>
      <c r="W479" s="1149">
        <v>512</v>
      </c>
      <c r="X479" s="1290">
        <v>582</v>
      </c>
      <c r="Y479" s="1290">
        <v>701</v>
      </c>
      <c r="Z479" s="1149">
        <v>569</v>
      </c>
      <c r="AA479" s="1149">
        <v>466</v>
      </c>
      <c r="AB479" s="34">
        <f t="shared" si="223"/>
        <v>-132</v>
      </c>
    </row>
    <row r="480" spans="2:29">
      <c r="B480" s="1158" t="s">
        <v>189</v>
      </c>
      <c r="C480" s="1159" t="s">
        <v>560</v>
      </c>
      <c r="D480" s="1159"/>
      <c r="E480" s="1159" t="s">
        <v>310</v>
      </c>
      <c r="F480" s="1159"/>
      <c r="G480" s="1159"/>
      <c r="H480" s="1159"/>
      <c r="I480" s="1162" t="s">
        <v>241</v>
      </c>
      <c r="J480" s="1159" t="str">
        <f t="shared" si="222"/>
        <v>lending_overdraft__CAKE_active_account</v>
      </c>
      <c r="K480" s="1149"/>
      <c r="L480" s="1148" t="s">
        <v>194</v>
      </c>
      <c r="M480" s="1149">
        <f>Z480</f>
        <v>23772</v>
      </c>
      <c r="N480" s="1149">
        <v>29599</v>
      </c>
      <c r="O480" s="1149">
        <v>29700</v>
      </c>
      <c r="P480" s="1149">
        <f>31404-1006</f>
        <v>30398</v>
      </c>
      <c r="Q480" s="1149">
        <f>32341-2353</f>
        <v>29988</v>
      </c>
      <c r="R480" s="1149">
        <f>33536-2850</f>
        <v>30686</v>
      </c>
      <c r="S480" s="1149">
        <f>34544-3257</f>
        <v>31287</v>
      </c>
      <c r="T480" s="1247">
        <v>35795</v>
      </c>
      <c r="U480" s="1149">
        <v>34885</v>
      </c>
      <c r="V480" s="1149">
        <v>34906</v>
      </c>
      <c r="W480" s="1149">
        <v>31923</v>
      </c>
      <c r="X480" s="1149">
        <v>28809</v>
      </c>
      <c r="Y480" s="1149">
        <v>25993</v>
      </c>
      <c r="Z480" s="1149">
        <v>23772</v>
      </c>
      <c r="AA480" s="1149">
        <v>20084</v>
      </c>
      <c r="AB480" s="34">
        <f t="shared" si="223"/>
        <v>-2221</v>
      </c>
    </row>
    <row r="481" spans="2:29">
      <c r="B481" s="1158" t="s">
        <v>189</v>
      </c>
      <c r="C481" s="1159" t="s">
        <v>560</v>
      </c>
      <c r="D481" s="1159"/>
      <c r="E481" s="1159" t="s">
        <v>310</v>
      </c>
      <c r="F481" s="1159" t="str">
        <f>E481&amp;"OD"</f>
        <v>CAKEOD</v>
      </c>
      <c r="G481" s="1159" t="str">
        <f>L481&amp;F481</f>
        <v>DisbursementCAKEOD</v>
      </c>
      <c r="H481" s="1408" t="str">
        <f>L481&amp;E481</f>
        <v>DisbursementCAKE</v>
      </c>
      <c r="I481" s="1162" t="s">
        <v>242</v>
      </c>
      <c r="J481" s="1159" t="str">
        <f t="shared" si="222"/>
        <v>lending_overdraft__CAKE_disburse/spend</v>
      </c>
      <c r="K481" s="1149"/>
      <c r="L481" s="1169" t="s">
        <v>80</v>
      </c>
      <c r="M481" s="1149">
        <f>SUM(P481:AA481)</f>
        <v>1199135070862</v>
      </c>
      <c r="N481" s="1149">
        <v>105677557155</v>
      </c>
      <c r="O481" s="1149">
        <v>113502140448</v>
      </c>
      <c r="P481" s="1149">
        <v>109061423275</v>
      </c>
      <c r="Q481" s="1254">
        <v>95253172206</v>
      </c>
      <c r="R481" s="1149">
        <v>112073329818</v>
      </c>
      <c r="S481" s="1149">
        <v>114487336129</v>
      </c>
      <c r="T481" s="1149">
        <v>119537601659</v>
      </c>
      <c r="U481" s="1149">
        <v>118759501319</v>
      </c>
      <c r="V481" s="1149">
        <v>118080713257</v>
      </c>
      <c r="W481" s="1149">
        <v>97304269148</v>
      </c>
      <c r="X481" s="1248">
        <v>86259163136</v>
      </c>
      <c r="Y481" s="1248">
        <v>84239414747</v>
      </c>
      <c r="Z481" s="1149">
        <v>73074848767</v>
      </c>
      <c r="AA481" s="1149">
        <v>71004297401</v>
      </c>
      <c r="AB481" s="34">
        <f t="shared" si="223"/>
        <v>-11164565980</v>
      </c>
      <c r="AC481" s="34">
        <f>SUM(P481:AA481)</f>
        <v>1199135070862</v>
      </c>
    </row>
    <row r="482" spans="2:29">
      <c r="B482" s="1158" t="s">
        <v>189</v>
      </c>
      <c r="C482" s="1159" t="s">
        <v>560</v>
      </c>
      <c r="D482" s="1159"/>
      <c r="E482" s="1159" t="s">
        <v>310</v>
      </c>
      <c r="F482" s="1159"/>
      <c r="G482" s="1159"/>
      <c r="H482" s="1159"/>
      <c r="I482" s="1162" t="s">
        <v>243</v>
      </c>
      <c r="J482" s="1159" t="str">
        <f t="shared" si="222"/>
        <v>lending_overdraft__CAKE_ENR</v>
      </c>
      <c r="K482" s="1149"/>
      <c r="L482" s="1169" t="s">
        <v>530</v>
      </c>
      <c r="M482" s="1150">
        <f>AA482</f>
        <v>156024064745</v>
      </c>
      <c r="N482" s="1262">
        <v>237493673143</v>
      </c>
      <c r="O482" s="1262">
        <v>243580183359</v>
      </c>
      <c r="P482" s="1150">
        <v>252285832879</v>
      </c>
      <c r="Q482" s="1150">
        <v>245084140681</v>
      </c>
      <c r="R482" s="1150">
        <v>249773690332</v>
      </c>
      <c r="S482" s="1150">
        <v>253637572799</v>
      </c>
      <c r="T482" s="1150">
        <v>257497813381</v>
      </c>
      <c r="U482" s="1150">
        <v>261239727060</v>
      </c>
      <c r="V482" s="1169">
        <v>260970710242</v>
      </c>
      <c r="W482" s="1169">
        <v>240633099019</v>
      </c>
      <c r="X482" s="1169">
        <v>219495167003</v>
      </c>
      <c r="Y482" s="1290">
        <v>200076316602</v>
      </c>
      <c r="Z482" s="1290">
        <v>183797394363</v>
      </c>
      <c r="AA482" s="1290">
        <v>156024064745</v>
      </c>
      <c r="AB482" s="34">
        <f t="shared" si="223"/>
        <v>-16278922239</v>
      </c>
    </row>
    <row r="483" spans="2:29">
      <c r="B483" s="1158" t="s">
        <v>189</v>
      </c>
      <c r="C483" s="1159" t="s">
        <v>560</v>
      </c>
      <c r="D483" s="1159"/>
      <c r="E483" s="1159" t="s">
        <v>310</v>
      </c>
      <c r="H483" s="454"/>
      <c r="I483" s="126" t="s">
        <v>562</v>
      </c>
      <c r="J483" s="1159" t="str">
        <f t="shared" si="222"/>
        <v>lending_overdraft__CAKE_ENR_staff</v>
      </c>
      <c r="K483" s="1149"/>
      <c r="L483" s="1235" t="s">
        <v>563</v>
      </c>
      <c r="M483" s="1149">
        <f>Y483</f>
        <v>12971428713</v>
      </c>
      <c r="N483" s="1248">
        <v>16144536045</v>
      </c>
      <c r="O483" s="1248">
        <v>15670833005</v>
      </c>
      <c r="P483" s="1248">
        <v>14489382141</v>
      </c>
      <c r="Q483" s="1149">
        <v>13113413889</v>
      </c>
      <c r="R483" s="1149">
        <v>12990673185</v>
      </c>
      <c r="S483" s="1149">
        <v>13002165181</v>
      </c>
      <c r="T483" s="1149">
        <v>11973560878</v>
      </c>
      <c r="U483" s="1149">
        <v>12004251953</v>
      </c>
      <c r="V483" s="1149">
        <v>11627065174</v>
      </c>
      <c r="W483" s="1149">
        <v>12186414762</v>
      </c>
      <c r="X483" s="1149">
        <v>12447511641</v>
      </c>
      <c r="Y483" s="1149">
        <v>12971428713</v>
      </c>
      <c r="Z483" s="1248">
        <v>12985927616</v>
      </c>
      <c r="AA483" s="1248">
        <v>12689814252</v>
      </c>
      <c r="AB483" s="34">
        <f t="shared" si="223"/>
        <v>14498903</v>
      </c>
    </row>
    <row r="484" spans="2:29">
      <c r="B484" s="1158" t="s">
        <v>189</v>
      </c>
      <c r="C484" s="1159" t="s">
        <v>560</v>
      </c>
      <c r="D484" s="1159"/>
      <c r="E484" s="1159" t="s">
        <v>310</v>
      </c>
      <c r="H484" s="454"/>
      <c r="I484" s="126" t="s">
        <v>564</v>
      </c>
      <c r="J484" s="1159" t="str">
        <f t="shared" si="222"/>
        <v>lending_overdraft__CAKE_ENR_mass</v>
      </c>
      <c r="K484" s="1149"/>
      <c r="L484" s="1235" t="s">
        <v>565</v>
      </c>
      <c r="M484" s="1149">
        <f>Y484</f>
        <v>187104887889</v>
      </c>
      <c r="N484" s="1254">
        <f t="shared" ref="N484:AA484" si="224">N482-N483</f>
        <v>221349137098</v>
      </c>
      <c r="O484" s="1254">
        <f t="shared" si="224"/>
        <v>227909350354</v>
      </c>
      <c r="P484" s="1149">
        <f t="shared" si="224"/>
        <v>237796450738</v>
      </c>
      <c r="Q484" s="1149">
        <f t="shared" si="224"/>
        <v>231970726792</v>
      </c>
      <c r="R484" s="1149">
        <f t="shared" si="224"/>
        <v>236783017147</v>
      </c>
      <c r="S484" s="1149">
        <f t="shared" si="224"/>
        <v>240635407618</v>
      </c>
      <c r="T484" s="1149">
        <f t="shared" si="224"/>
        <v>245524252503</v>
      </c>
      <c r="U484" s="1149">
        <f t="shared" si="224"/>
        <v>249235475107</v>
      </c>
      <c r="V484" s="1149">
        <f t="shared" si="224"/>
        <v>249343645068</v>
      </c>
      <c r="W484" s="1149">
        <f t="shared" si="224"/>
        <v>228446684257</v>
      </c>
      <c r="X484" s="1149">
        <f t="shared" si="224"/>
        <v>207047655362</v>
      </c>
      <c r="Y484" s="1149">
        <f t="shared" si="224"/>
        <v>187104887889</v>
      </c>
      <c r="Z484" s="1149">
        <f t="shared" si="224"/>
        <v>170811466747</v>
      </c>
      <c r="AA484" s="1149">
        <f t="shared" si="224"/>
        <v>143334250493</v>
      </c>
      <c r="AB484" s="34">
        <f t="shared" si="223"/>
        <v>-16293421142</v>
      </c>
    </row>
    <row r="485" spans="2:29">
      <c r="B485" s="1158" t="s">
        <v>189</v>
      </c>
      <c r="C485" s="1159" t="s">
        <v>560</v>
      </c>
      <c r="D485" s="1159"/>
      <c r="E485" s="1159" t="s">
        <v>310</v>
      </c>
      <c r="F485" s="1159"/>
      <c r="G485" s="1159"/>
      <c r="H485" s="1159"/>
      <c r="I485" s="1160"/>
      <c r="J485" s="1159" t="str">
        <f t="shared" si="222"/>
        <v>lending_overdraft__CAKE_</v>
      </c>
      <c r="K485" s="1149"/>
      <c r="L485" s="1235" t="s">
        <v>531</v>
      </c>
      <c r="M485" s="1149"/>
      <c r="N485" s="1254">
        <f t="shared" ref="N485:AA485" si="225">N482-N486</f>
        <v>201998923233</v>
      </c>
      <c r="O485" s="1254">
        <f t="shared" si="225"/>
        <v>209237173615</v>
      </c>
      <c r="P485" s="1169">
        <f t="shared" si="225"/>
        <v>214027657950</v>
      </c>
      <c r="Q485" s="1169">
        <f t="shared" si="225"/>
        <v>214717126064</v>
      </c>
      <c r="R485" s="1169">
        <f t="shared" si="225"/>
        <v>218480842159</v>
      </c>
      <c r="S485" s="1169">
        <f t="shared" si="225"/>
        <v>221797116651</v>
      </c>
      <c r="T485" s="1169">
        <f t="shared" si="225"/>
        <v>225099713309</v>
      </c>
      <c r="U485" s="1169">
        <f t="shared" si="225"/>
        <v>226568599753</v>
      </c>
      <c r="V485" s="1169">
        <f t="shared" si="225"/>
        <v>221687598740</v>
      </c>
      <c r="W485" s="1169">
        <f t="shared" si="225"/>
        <v>204562601520</v>
      </c>
      <c r="X485" s="1169">
        <f t="shared" si="225"/>
        <v>186022719018</v>
      </c>
      <c r="Y485" s="1169">
        <f t="shared" si="225"/>
        <v>166491753385</v>
      </c>
      <c r="Z485" s="1169">
        <f t="shared" si="225"/>
        <v>149215750595</v>
      </c>
      <c r="AA485" s="1169">
        <f t="shared" si="225"/>
        <v>127608384586</v>
      </c>
      <c r="AB485" s="34">
        <f t="shared" si="223"/>
        <v>-17276002790</v>
      </c>
    </row>
    <row r="486" spans="2:29">
      <c r="B486" s="1158" t="s">
        <v>189</v>
      </c>
      <c r="C486" s="1159" t="s">
        <v>560</v>
      </c>
      <c r="D486" s="1159"/>
      <c r="E486" s="1159" t="s">
        <v>310</v>
      </c>
      <c r="F486" s="1159"/>
      <c r="G486" s="1159"/>
      <c r="H486" s="1159"/>
      <c r="I486" s="1160"/>
      <c r="J486" s="1159" t="str">
        <f t="shared" si="222"/>
        <v>lending_overdraft__CAKE_</v>
      </c>
      <c r="K486" s="1149"/>
      <c r="L486" s="1235" t="s">
        <v>532</v>
      </c>
      <c r="M486" s="1149"/>
      <c r="N486" s="1255">
        <v>35494749910</v>
      </c>
      <c r="O486" s="1149">
        <v>34343009744</v>
      </c>
      <c r="P486" s="1272">
        <v>38258174929</v>
      </c>
      <c r="Q486" s="1272">
        <v>30367014617</v>
      </c>
      <c r="R486" s="1169">
        <v>31292848173</v>
      </c>
      <c r="S486" s="1169">
        <v>31840456148</v>
      </c>
      <c r="T486" s="1169">
        <v>32398100072</v>
      </c>
      <c r="U486" s="1169">
        <v>34671127307</v>
      </c>
      <c r="V486" s="1169">
        <v>39283111502</v>
      </c>
      <c r="W486" s="1149">
        <v>36070497499</v>
      </c>
      <c r="X486" s="1255">
        <v>33472447985</v>
      </c>
      <c r="Y486" s="1255">
        <v>33584563217</v>
      </c>
      <c r="Z486" s="1255">
        <v>34581643768</v>
      </c>
      <c r="AA486" s="1149">
        <v>28415680159</v>
      </c>
      <c r="AB486" s="34">
        <f t="shared" si="223"/>
        <v>997080551</v>
      </c>
    </row>
    <row r="487" spans="2:29">
      <c r="B487" s="1158" t="s">
        <v>189</v>
      </c>
      <c r="C487" s="1159" t="s">
        <v>560</v>
      </c>
      <c r="D487" s="1159"/>
      <c r="E487" s="1159" t="s">
        <v>310</v>
      </c>
      <c r="F487" s="1159"/>
      <c r="G487" s="1159"/>
      <c r="H487" s="1159"/>
      <c r="I487" s="1160"/>
      <c r="J487" s="1159" t="str">
        <f t="shared" si="222"/>
        <v>lending_overdraft__CAKE_</v>
      </c>
      <c r="K487" s="1149"/>
      <c r="L487" s="1148" t="s">
        <v>533</v>
      </c>
      <c r="M487" s="1149"/>
      <c r="N487" s="1272">
        <v>21345590407</v>
      </c>
      <c r="O487" s="1272">
        <v>24581023762</v>
      </c>
      <c r="P487" s="1272">
        <v>24449645194</v>
      </c>
      <c r="Q487" s="1272">
        <f>12880116043</f>
        <v>12880116043</v>
      </c>
      <c r="R487" s="1272">
        <v>13577866016</v>
      </c>
      <c r="S487" s="1272">
        <v>14848479153</v>
      </c>
      <c r="T487" s="1272">
        <v>15453857163</v>
      </c>
      <c r="U487" s="1272">
        <v>16026505894</v>
      </c>
      <c r="V487" s="1291">
        <v>18881240402</v>
      </c>
      <c r="W487" s="1272">
        <v>15174118707</v>
      </c>
      <c r="X487" s="1272">
        <v>12263671217</v>
      </c>
      <c r="Y487" s="1272">
        <v>16730684543</v>
      </c>
      <c r="Z487" s="1272">
        <v>13564259298</v>
      </c>
      <c r="AA487" s="1272">
        <v>8902743876</v>
      </c>
      <c r="AB487" s="34">
        <f t="shared" si="223"/>
        <v>-3166425245</v>
      </c>
    </row>
    <row r="488" spans="2:29">
      <c r="B488" s="1158" t="s">
        <v>189</v>
      </c>
      <c r="C488" s="1159" t="s">
        <v>560</v>
      </c>
      <c r="D488" s="1159"/>
      <c r="E488" s="1159" t="s">
        <v>310</v>
      </c>
      <c r="F488" s="1159"/>
      <c r="G488" s="1159"/>
      <c r="H488" s="1159"/>
      <c r="I488" s="1162" t="s">
        <v>247</v>
      </c>
      <c r="J488" s="1159" t="str">
        <f t="shared" si="222"/>
        <v>lending_overdraft__CAKE_overdue_balance_10d</v>
      </c>
      <c r="K488" s="1149"/>
      <c r="L488" s="1169" t="s">
        <v>534</v>
      </c>
      <c r="M488" s="1149"/>
      <c r="N488" s="1255">
        <v>48385345941</v>
      </c>
      <c r="O488" s="1248">
        <v>51863298428</v>
      </c>
      <c r="P488" s="1272">
        <v>54017568669</v>
      </c>
      <c r="Q488" s="1272">
        <v>48175965453</v>
      </c>
      <c r="R488" s="1169">
        <v>53067500729</v>
      </c>
      <c r="S488" s="1169">
        <v>50978865870</v>
      </c>
      <c r="T488" s="1247">
        <v>51943261383</v>
      </c>
      <c r="U488" s="1247">
        <v>57339814824</v>
      </c>
      <c r="V488" s="1247">
        <v>60758074243</v>
      </c>
      <c r="W488" s="1149">
        <v>56117785707</v>
      </c>
      <c r="X488" s="1149">
        <v>55787887200</v>
      </c>
      <c r="Y488" s="1149">
        <v>50726100749</v>
      </c>
      <c r="Z488" s="1255">
        <v>50197491390</v>
      </c>
      <c r="AA488" s="1248">
        <v>42645438652</v>
      </c>
      <c r="AB488" s="34">
        <f t="shared" si="223"/>
        <v>-528609359</v>
      </c>
    </row>
    <row r="489" spans="2:29">
      <c r="B489" s="1158" t="s">
        <v>189</v>
      </c>
      <c r="C489" s="1159" t="s">
        <v>560</v>
      </c>
      <c r="D489" s="1159"/>
      <c r="E489" s="1159" t="s">
        <v>310</v>
      </c>
      <c r="F489" s="1159"/>
      <c r="G489" s="1159"/>
      <c r="H489" s="1159"/>
      <c r="I489" s="1162" t="s">
        <v>248</v>
      </c>
      <c r="J489" s="1159" t="str">
        <f t="shared" si="222"/>
        <v>lending_overdraft__CAKE_overdue_balance_90d</v>
      </c>
      <c r="K489" s="1149"/>
      <c r="L489" s="1169" t="s">
        <v>535</v>
      </c>
      <c r="M489" s="1149"/>
      <c r="N489" s="1248">
        <v>28282846120</v>
      </c>
      <c r="O489" s="1247">
        <v>27752345364</v>
      </c>
      <c r="P489" s="1248">
        <v>29974229260</v>
      </c>
      <c r="Q489" s="1248">
        <v>22196631906</v>
      </c>
      <c r="R489" s="1169">
        <v>25852387079</v>
      </c>
      <c r="S489" s="1149">
        <v>25755732016</v>
      </c>
      <c r="T489" s="1149">
        <v>27127538258</v>
      </c>
      <c r="U489" s="1169">
        <v>30972482056</v>
      </c>
      <c r="V489" s="1290">
        <v>31862731534</v>
      </c>
      <c r="W489" s="1149">
        <v>28471915116</v>
      </c>
      <c r="X489" s="1248">
        <v>28277737800</v>
      </c>
      <c r="Y489" s="1248">
        <v>24897549157</v>
      </c>
      <c r="Z489" s="1248">
        <v>27055380858</v>
      </c>
      <c r="AA489" s="1247">
        <v>23915922155</v>
      </c>
      <c r="AB489" s="34">
        <f t="shared" si="223"/>
        <v>2157831701</v>
      </c>
    </row>
    <row r="490" spans="2:29">
      <c r="B490" s="1158" t="s">
        <v>189</v>
      </c>
      <c r="C490" s="1159" t="s">
        <v>560</v>
      </c>
      <c r="D490" s="1159"/>
      <c r="E490" s="1159" t="s">
        <v>310</v>
      </c>
      <c r="H490" s="454"/>
      <c r="I490" s="126"/>
      <c r="J490" s="1159" t="str">
        <f t="shared" si="222"/>
        <v>lending_overdraft__CAKE_</v>
      </c>
      <c r="K490" s="1149"/>
      <c r="L490" s="1169" t="s">
        <v>536</v>
      </c>
      <c r="M490" s="1149"/>
      <c r="N490" s="1272">
        <f t="shared" ref="N490:AA490" si="226">N488-N489</f>
        <v>20102499821</v>
      </c>
      <c r="O490" s="1272">
        <f t="shared" si="226"/>
        <v>24110953064</v>
      </c>
      <c r="P490" s="1272">
        <f t="shared" si="226"/>
        <v>24043339409</v>
      </c>
      <c r="Q490" s="1272">
        <f t="shared" si="226"/>
        <v>25979333547</v>
      </c>
      <c r="R490" s="1272">
        <f t="shared" si="226"/>
        <v>27215113650</v>
      </c>
      <c r="S490" s="1272">
        <f t="shared" si="226"/>
        <v>25223133854</v>
      </c>
      <c r="T490" s="1272">
        <f t="shared" si="226"/>
        <v>24815723125</v>
      </c>
      <c r="U490" s="1272">
        <f t="shared" si="226"/>
        <v>26367332768</v>
      </c>
      <c r="V490" s="1272">
        <f t="shared" si="226"/>
        <v>28895342709</v>
      </c>
      <c r="W490" s="1272">
        <f t="shared" si="226"/>
        <v>27645870591</v>
      </c>
      <c r="X490" s="1272">
        <f t="shared" si="226"/>
        <v>27510149400</v>
      </c>
      <c r="Y490" s="1272">
        <f t="shared" si="226"/>
        <v>25828551592</v>
      </c>
      <c r="Z490" s="1272">
        <f>Z488-Z489</f>
        <v>23142110532</v>
      </c>
      <c r="AA490" s="1272">
        <f t="shared" si="226"/>
        <v>18729516497</v>
      </c>
      <c r="AB490" s="34">
        <f t="shared" si="223"/>
        <v>-2686441060</v>
      </c>
    </row>
    <row r="491" spans="2:29">
      <c r="B491" s="1158" t="s">
        <v>189</v>
      </c>
      <c r="C491" s="1159" t="s">
        <v>560</v>
      </c>
      <c r="D491" s="1159"/>
      <c r="E491" s="1159" t="s">
        <v>310</v>
      </c>
      <c r="H491" s="454"/>
      <c r="I491" s="126"/>
      <c r="J491" s="1159" t="str">
        <f t="shared" si="222"/>
        <v>lending_overdraft__CAKE_</v>
      </c>
      <c r="K491" s="1149"/>
      <c r="L491" s="1169" t="s">
        <v>537</v>
      </c>
      <c r="M491" s="1149"/>
      <c r="N491" s="1269">
        <f t="shared" ref="N491:AA491" si="227">N487/N482</f>
        <v>8.9878564445577319E-2</v>
      </c>
      <c r="O491" s="1269">
        <f t="shared" si="227"/>
        <v>0.10091553189189995</v>
      </c>
      <c r="P491" s="1269">
        <f t="shared" si="227"/>
        <v>9.6912477862862834E-2</v>
      </c>
      <c r="Q491" s="1269">
        <f t="shared" si="227"/>
        <v>5.2553853575391808E-2</v>
      </c>
      <c r="R491" s="1269">
        <f t="shared" si="227"/>
        <v>5.436067344784095E-2</v>
      </c>
      <c r="S491" s="1269">
        <f t="shared" si="227"/>
        <v>5.8542111837535063E-2</v>
      </c>
      <c r="T491" s="1269">
        <f t="shared" si="227"/>
        <v>6.0015488908770259E-2</v>
      </c>
      <c r="U491" s="1269">
        <f t="shared" si="227"/>
        <v>6.1347889443779453E-2</v>
      </c>
      <c r="V491" s="1269">
        <f t="shared" si="227"/>
        <v>7.2350036463828801E-2</v>
      </c>
      <c r="W491" s="1269">
        <f t="shared" si="227"/>
        <v>6.3059150087253282E-2</v>
      </c>
      <c r="X491" s="1269">
        <f t="shared" si="227"/>
        <v>5.5872169690334837E-2</v>
      </c>
      <c r="Y491" s="1269">
        <f t="shared" si="227"/>
        <v>8.362151416592381E-2</v>
      </c>
      <c r="Z491" s="1269">
        <f t="shared" si="227"/>
        <v>7.38000630803861E-2</v>
      </c>
      <c r="AA491" s="1269">
        <f t="shared" si="227"/>
        <v>5.7060068846112408E-2</v>
      </c>
      <c r="AB491" s="34">
        <f t="shared" si="223"/>
        <v>-9.8214510855377107E-3</v>
      </c>
    </row>
    <row r="492" spans="2:29">
      <c r="B492" s="1158" t="s">
        <v>189</v>
      </c>
      <c r="C492" s="1159" t="s">
        <v>560</v>
      </c>
      <c r="D492" s="1159"/>
      <c r="E492" s="1159" t="s">
        <v>310</v>
      </c>
      <c r="H492" s="454"/>
      <c r="I492" s="126" t="s">
        <v>213</v>
      </c>
      <c r="J492" s="1159" t="str">
        <f t="shared" si="222"/>
        <v>lending_overdraft__CAKE_npl</v>
      </c>
      <c r="K492" s="1149"/>
      <c r="L492" s="1169" t="s">
        <v>538</v>
      </c>
      <c r="M492" s="1149"/>
      <c r="N492" s="1269">
        <f t="shared" ref="N492:AA492" si="228">N489/N482</f>
        <v>0.11908884032868655</v>
      </c>
      <c r="O492" s="1269">
        <f t="shared" si="228"/>
        <v>0.11393515261090546</v>
      </c>
      <c r="P492" s="1269">
        <f t="shared" si="228"/>
        <v>0.11881059240601942</v>
      </c>
      <c r="Q492" s="1281">
        <f t="shared" si="228"/>
        <v>9.0567393893067116E-2</v>
      </c>
      <c r="R492" s="1269">
        <f t="shared" si="228"/>
        <v>0.10350324345465259</v>
      </c>
      <c r="S492" s="1269">
        <f t="shared" si="228"/>
        <v>0.10154541273902912</v>
      </c>
      <c r="T492" s="1281">
        <f t="shared" si="228"/>
        <v>0.10535055774575235</v>
      </c>
      <c r="U492" s="1281">
        <f t="shared" si="228"/>
        <v>0.11855961727018044</v>
      </c>
      <c r="V492" s="1281">
        <f t="shared" si="228"/>
        <v>0.12209313261420587</v>
      </c>
      <c r="W492" s="1281">
        <f t="shared" si="228"/>
        <v>0.11832085956617258</v>
      </c>
      <c r="X492" s="1281">
        <f t="shared" si="228"/>
        <v>0.12883079926590596</v>
      </c>
      <c r="Y492" s="1281">
        <f t="shared" si="228"/>
        <v>0.12444026149545338</v>
      </c>
      <c r="Z492" s="1281">
        <f>Z489/Z482</f>
        <v>0.14720220029107486</v>
      </c>
      <c r="AA492" s="1281">
        <f t="shared" si="228"/>
        <v>0.15328354759945079</v>
      </c>
      <c r="AB492" s="34">
        <f t="shared" si="223"/>
        <v>2.2761938795621481E-2</v>
      </c>
    </row>
    <row r="493" spans="2:29">
      <c r="B493" s="1158" t="s">
        <v>189</v>
      </c>
      <c r="C493" s="1159" t="s">
        <v>560</v>
      </c>
      <c r="D493" s="1159"/>
      <c r="E493" s="1159" t="s">
        <v>310</v>
      </c>
      <c r="F493" s="1159" t="str">
        <f>E493&amp;"OD"</f>
        <v>CAKEOD</v>
      </c>
      <c r="G493" s="1159" t="str">
        <f>L493&amp;F493</f>
        <v>TOICAKEOD</v>
      </c>
      <c r="H493" s="1408" t="str">
        <f>L493&amp;E493</f>
        <v>TOICAKE</v>
      </c>
      <c r="I493" s="1162" t="s">
        <v>217</v>
      </c>
      <c r="J493" s="1159" t="str">
        <f t="shared" si="222"/>
        <v>lending_overdraft__CAKE_TOI</v>
      </c>
      <c r="K493" s="1149"/>
      <c r="L493" s="1238" t="s">
        <v>217</v>
      </c>
      <c r="M493" s="1150">
        <f t="shared" ref="M493:AA493" si="229">M494+M499+M503</f>
        <v>68552146389.586136</v>
      </c>
      <c r="N493" s="1150">
        <f t="shared" si="229"/>
        <v>5212706437</v>
      </c>
      <c r="O493" s="1150">
        <f t="shared" si="229"/>
        <v>5788217071</v>
      </c>
      <c r="P493" s="1150">
        <f t="shared" si="229"/>
        <v>6003360211</v>
      </c>
      <c r="Q493" s="1150">
        <f t="shared" si="229"/>
        <v>5473897111</v>
      </c>
      <c r="R493" s="1150">
        <f t="shared" si="229"/>
        <v>6374695426.5861349</v>
      </c>
      <c r="S493" s="1150">
        <f t="shared" si="229"/>
        <v>6334492443</v>
      </c>
      <c r="T493" s="1150">
        <f t="shared" si="229"/>
        <v>6749510274</v>
      </c>
      <c r="U493" s="1150">
        <f t="shared" si="229"/>
        <v>6590258090</v>
      </c>
      <c r="V493" s="1150">
        <f t="shared" si="229"/>
        <v>6599789304</v>
      </c>
      <c r="W493" s="1150">
        <f t="shared" si="229"/>
        <v>6044743535</v>
      </c>
      <c r="X493" s="1150">
        <f t="shared" si="229"/>
        <v>5343250849</v>
      </c>
      <c r="Y493" s="1150">
        <f t="shared" si="229"/>
        <v>4929862944</v>
      </c>
      <c r="Z493" s="1150">
        <f>Z494+Z499+Z542</f>
        <v>4400527864</v>
      </c>
      <c r="AA493" s="1150">
        <f t="shared" si="229"/>
        <v>3846738840</v>
      </c>
      <c r="AB493" s="34">
        <f t="shared" si="223"/>
        <v>-529335080</v>
      </c>
      <c r="AC493" s="34">
        <f>SUM(P493:AA493)</f>
        <v>68691126891.586136</v>
      </c>
    </row>
    <row r="494" spans="2:29">
      <c r="B494" s="1158" t="s">
        <v>189</v>
      </c>
      <c r="C494" s="1159" t="s">
        <v>560</v>
      </c>
      <c r="D494" s="1159"/>
      <c r="E494" s="1159" t="s">
        <v>310</v>
      </c>
      <c r="F494" s="1159"/>
      <c r="G494" s="1159"/>
      <c r="H494" s="1159"/>
      <c r="I494" s="1162" t="s">
        <v>254</v>
      </c>
      <c r="J494" s="1159" t="str">
        <f t="shared" si="222"/>
        <v>lending_overdraft__CAKE_NII</v>
      </c>
      <c r="K494" s="1149"/>
      <c r="L494" s="1239" t="s">
        <v>218</v>
      </c>
      <c r="M494" s="1150">
        <f t="shared" ref="M494:AA494" si="230">M495-M498</f>
        <v>62177695792.586136</v>
      </c>
      <c r="N494" s="1150">
        <f t="shared" si="230"/>
        <v>4762456437</v>
      </c>
      <c r="O494" s="1150">
        <f t="shared" si="230"/>
        <v>5062778071</v>
      </c>
      <c r="P494" s="1150">
        <f t="shared" si="230"/>
        <v>5416655225</v>
      </c>
      <c r="Q494" s="1150">
        <f t="shared" si="230"/>
        <v>5020094918</v>
      </c>
      <c r="R494" s="1150">
        <f t="shared" si="230"/>
        <v>5724321187.5861349</v>
      </c>
      <c r="S494" s="1150">
        <f t="shared" si="230"/>
        <v>5712628637</v>
      </c>
      <c r="T494" s="1150">
        <f t="shared" si="230"/>
        <v>6058947241</v>
      </c>
      <c r="U494" s="1150">
        <f t="shared" si="230"/>
        <v>5960486036</v>
      </c>
      <c r="V494" s="1150">
        <f t="shared" si="230"/>
        <v>5983092739</v>
      </c>
      <c r="W494" s="1150">
        <f t="shared" si="230"/>
        <v>5638503226</v>
      </c>
      <c r="X494" s="1150">
        <f t="shared" si="230"/>
        <v>4886337845</v>
      </c>
      <c r="Y494" s="1150">
        <f t="shared" si="230"/>
        <v>4496922068</v>
      </c>
      <c r="Z494" s="1150">
        <f t="shared" si="230"/>
        <v>3840891704</v>
      </c>
      <c r="AA494" s="1150">
        <f t="shared" si="230"/>
        <v>3438814966</v>
      </c>
      <c r="AB494" s="34">
        <f t="shared" si="223"/>
        <v>-656030364</v>
      </c>
    </row>
    <row r="495" spans="2:29">
      <c r="B495" s="1158" t="s">
        <v>189</v>
      </c>
      <c r="C495" s="1159" t="s">
        <v>560</v>
      </c>
      <c r="D495" s="1159"/>
      <c r="E495" s="1159" t="s">
        <v>310</v>
      </c>
      <c r="F495" s="1159"/>
      <c r="G495" s="1159"/>
      <c r="H495" s="1159"/>
      <c r="I495" s="1162" t="s">
        <v>255</v>
      </c>
      <c r="J495" s="1159" t="str">
        <f t="shared" si="222"/>
        <v>lending_overdraft__CAKE_CII</v>
      </c>
      <c r="K495" s="1149"/>
      <c r="L495" s="1240" t="s">
        <v>20</v>
      </c>
      <c r="M495" s="1149">
        <f>SUM(P495:AA495)</f>
        <v>73320202282</v>
      </c>
      <c r="N495" s="1282">
        <f>N496+452554320-N497</f>
        <v>5481470202</v>
      </c>
      <c r="O495" s="1282">
        <f t="shared" ref="O495:Z495" si="231">O496+N497-O497</f>
        <v>5851882378</v>
      </c>
      <c r="P495" s="1282">
        <f t="shared" si="231"/>
        <v>6308893834</v>
      </c>
      <c r="Q495" s="1282">
        <f t="shared" si="231"/>
        <v>5810865707</v>
      </c>
      <c r="R495" s="1282">
        <f t="shared" si="231"/>
        <v>6602976196</v>
      </c>
      <c r="S495" s="1282">
        <f t="shared" si="231"/>
        <v>6582850394</v>
      </c>
      <c r="T495" s="1282">
        <f t="shared" si="231"/>
        <v>6981389116</v>
      </c>
      <c r="U495" s="1282">
        <f t="shared" si="231"/>
        <v>6867980147</v>
      </c>
      <c r="V495" s="1282">
        <f t="shared" si="231"/>
        <v>7030778386</v>
      </c>
      <c r="W495" s="1282">
        <f t="shared" si="231"/>
        <v>6745465887</v>
      </c>
      <c r="X495" s="1282">
        <f t="shared" si="231"/>
        <v>5877436339</v>
      </c>
      <c r="Y495" s="1282">
        <f t="shared" si="231"/>
        <v>5473389776</v>
      </c>
      <c r="Z495" s="1282">
        <f t="shared" si="231"/>
        <v>4686926034</v>
      </c>
      <c r="AA495" s="1282">
        <f>AA496+Z497-AA497</f>
        <v>4351250466</v>
      </c>
      <c r="AB495" s="34">
        <f t="shared" si="223"/>
        <v>-786463742</v>
      </c>
    </row>
    <row r="496" spans="2:29">
      <c r="B496" s="1158" t="s">
        <v>189</v>
      </c>
      <c r="C496" s="1159" t="s">
        <v>560</v>
      </c>
      <c r="D496" s="1159"/>
      <c r="E496" s="1159" t="s">
        <v>310</v>
      </c>
      <c r="F496" s="1159"/>
      <c r="G496" s="1159"/>
      <c r="H496" s="1159"/>
      <c r="I496" s="1162"/>
      <c r="J496" s="1159" t="str">
        <f t="shared" si="222"/>
        <v>lending_overdraft__CAKE_</v>
      </c>
      <c r="K496" s="1149"/>
      <c r="L496" s="1274" t="s">
        <v>539</v>
      </c>
      <c r="M496" s="1151">
        <f>SUM(P496:AA496)</f>
        <v>73189743732</v>
      </c>
      <c r="N496" s="1151">
        <v>5519088510</v>
      </c>
      <c r="O496" s="1151">
        <v>6030673570</v>
      </c>
      <c r="P496" s="1151">
        <v>6315784098</v>
      </c>
      <c r="Q496" s="1151">
        <v>5782731762</v>
      </c>
      <c r="R496" s="1151">
        <v>6661805416</v>
      </c>
      <c r="S496" s="1169">
        <v>6652479627</v>
      </c>
      <c r="T496" s="1169">
        <v>7025486893</v>
      </c>
      <c r="U496" s="1169">
        <v>6866999476</v>
      </c>
      <c r="V496" s="1169">
        <v>7097575425</v>
      </c>
      <c r="W496" s="1169">
        <v>6741642587</v>
      </c>
      <c r="X496" s="1169">
        <v>5833786603</v>
      </c>
      <c r="Y496" s="1169">
        <v>5382453284</v>
      </c>
      <c r="Z496" s="1282">
        <v>4598346041</v>
      </c>
      <c r="AA496" s="1151">
        <v>4230652520</v>
      </c>
      <c r="AB496" s="34">
        <f t="shared" si="223"/>
        <v>-784107243</v>
      </c>
    </row>
    <row r="497" spans="2:30">
      <c r="B497" s="1158" t="s">
        <v>189</v>
      </c>
      <c r="C497" s="1159" t="s">
        <v>560</v>
      </c>
      <c r="D497" s="1159"/>
      <c r="E497" s="1159" t="s">
        <v>310</v>
      </c>
      <c r="F497" s="1159"/>
      <c r="G497" s="1159"/>
      <c r="H497" s="1159"/>
      <c r="I497" s="1160"/>
      <c r="J497" s="1159" t="str">
        <f t="shared" si="222"/>
        <v>lending_overdraft__CAKE_</v>
      </c>
      <c r="K497" s="1149"/>
      <c r="L497" s="1274" t="s">
        <v>187</v>
      </c>
      <c r="M497" s="1151"/>
      <c r="N497" s="1151">
        <v>490172628</v>
      </c>
      <c r="O497" s="1151">
        <f>570769443+ 98194377</f>
        <v>668963820</v>
      </c>
      <c r="P497" s="1151">
        <v>675854084</v>
      </c>
      <c r="Q497" s="1151">
        <v>647720139</v>
      </c>
      <c r="R497" s="1151">
        <v>706549359</v>
      </c>
      <c r="S497" s="1151">
        <v>776178592</v>
      </c>
      <c r="T497" s="1151">
        <v>820276369</v>
      </c>
      <c r="U497" s="1151">
        <v>819295698</v>
      </c>
      <c r="V497" s="1151">
        <v>886092737</v>
      </c>
      <c r="W497" s="1151">
        <v>882269437</v>
      </c>
      <c r="X497" s="1151">
        <v>838619701</v>
      </c>
      <c r="Y497" s="1149">
        <v>747683209</v>
      </c>
      <c r="Z497" s="1149">
        <v>659103216</v>
      </c>
      <c r="AA497" s="1151">
        <v>538505270</v>
      </c>
      <c r="AB497" s="34">
        <f t="shared" si="223"/>
        <v>-88579993</v>
      </c>
      <c r="AC497" s="34"/>
      <c r="AD497" s="34"/>
    </row>
    <row r="498" spans="2:30">
      <c r="B498" s="1158" t="s">
        <v>189</v>
      </c>
      <c r="C498" s="1159" t="s">
        <v>560</v>
      </c>
      <c r="D498" s="1159"/>
      <c r="E498" s="1159" t="s">
        <v>310</v>
      </c>
      <c r="F498" s="1159"/>
      <c r="G498" s="1159"/>
      <c r="H498" s="1159"/>
      <c r="I498" s="1162" t="s">
        <v>219</v>
      </c>
      <c r="J498" s="1159" t="str">
        <f t="shared" si="222"/>
        <v>lending_overdraft__CAKE_COF</v>
      </c>
      <c r="K498" s="1149"/>
      <c r="L498" s="1240" t="s">
        <v>219</v>
      </c>
      <c r="M498" s="1149">
        <f>SUM(P498:AA498)</f>
        <v>11142506489.413864</v>
      </c>
      <c r="N498" s="1149">
        <v>719013765</v>
      </c>
      <c r="O498" s="1282">
        <f>390959116+398145191</f>
        <v>789104307</v>
      </c>
      <c r="P498" s="1169">
        <v>892238609</v>
      </c>
      <c r="Q498" s="1169">
        <v>790770789</v>
      </c>
      <c r="R498" s="1169">
        <v>878655008.41386521</v>
      </c>
      <c r="S498" s="1169">
        <v>870221757</v>
      </c>
      <c r="T498" s="1169">
        <v>922441875</v>
      </c>
      <c r="U498" s="1169">
        <v>907494111</v>
      </c>
      <c r="V498" s="1290">
        <v>1047685647</v>
      </c>
      <c r="W498" s="1290">
        <v>1106962661</v>
      </c>
      <c r="X498" s="1290">
        <v>991098494</v>
      </c>
      <c r="Y498" s="1149">
        <v>976467708</v>
      </c>
      <c r="Z498" s="1149">
        <v>846034330</v>
      </c>
      <c r="AA498" s="1282">
        <v>912435500</v>
      </c>
      <c r="AB498" s="34">
        <f t="shared" si="223"/>
        <v>-130433378</v>
      </c>
    </row>
    <row r="499" spans="2:30">
      <c r="B499" s="1158" t="s">
        <v>189</v>
      </c>
      <c r="C499" s="1159" t="s">
        <v>560</v>
      </c>
      <c r="D499" s="1159"/>
      <c r="E499" s="1159" t="s">
        <v>310</v>
      </c>
      <c r="F499" s="1159"/>
      <c r="G499" s="1159"/>
      <c r="H499" s="1159"/>
      <c r="I499" s="1162" t="s">
        <v>260</v>
      </c>
      <c r="J499" s="1159" t="str">
        <f t="shared" si="222"/>
        <v>lending_overdraft__CAKE_NFI</v>
      </c>
      <c r="K499" s="1149"/>
      <c r="L499" s="1239" t="s">
        <v>220</v>
      </c>
      <c r="M499" s="1150">
        <f t="shared" ref="M499:AA499" si="232">SUM(M500:M502)</f>
        <v>3930450000</v>
      </c>
      <c r="N499" s="1150">
        <f t="shared" si="232"/>
        <v>450250000</v>
      </c>
      <c r="O499" s="1150">
        <f t="shared" si="232"/>
        <v>724600000</v>
      </c>
      <c r="P499" s="1150">
        <f t="shared" si="232"/>
        <v>581050000</v>
      </c>
      <c r="Q499" s="1150">
        <f t="shared" si="232"/>
        <v>427800000</v>
      </c>
      <c r="R499" s="1150">
        <f t="shared" si="232"/>
        <v>512350000</v>
      </c>
      <c r="S499" s="1150">
        <f t="shared" si="232"/>
        <v>514550000</v>
      </c>
      <c r="T499" s="1150">
        <f t="shared" si="232"/>
        <v>517850000</v>
      </c>
      <c r="U499" s="1150">
        <f t="shared" si="232"/>
        <v>527000000</v>
      </c>
      <c r="V499" s="1150">
        <f t="shared" si="232"/>
        <v>425350000</v>
      </c>
      <c r="W499" s="1150">
        <f t="shared" si="232"/>
        <v>78350000</v>
      </c>
      <c r="X499" s="1150">
        <f t="shared" si="232"/>
        <v>86800000</v>
      </c>
      <c r="Y499" s="1150">
        <f t="shared" si="232"/>
        <v>104300000</v>
      </c>
      <c r="Z499" s="1150">
        <f t="shared" si="232"/>
        <v>85100000</v>
      </c>
      <c r="AA499" s="1150">
        <f t="shared" si="232"/>
        <v>69950000</v>
      </c>
      <c r="AB499" s="34">
        <f t="shared" si="223"/>
        <v>-19200000</v>
      </c>
    </row>
    <row r="500" spans="2:30">
      <c r="B500" s="1158" t="s">
        <v>189</v>
      </c>
      <c r="C500" s="1159" t="s">
        <v>560</v>
      </c>
      <c r="D500" s="1159"/>
      <c r="E500" s="1159" t="s">
        <v>310</v>
      </c>
      <c r="F500" s="1159"/>
      <c r="G500" s="1159"/>
      <c r="H500" s="1159"/>
      <c r="I500" s="1162" t="s">
        <v>546</v>
      </c>
      <c r="J500" s="1159" t="str">
        <f t="shared" si="222"/>
        <v>lending_overdraft__CAKE_insurance_fee</v>
      </c>
      <c r="K500" s="1149"/>
      <c r="L500" s="1240" t="s">
        <v>540</v>
      </c>
      <c r="M500" s="1149">
        <f>SUM(P500:AA500)</f>
        <v>0</v>
      </c>
      <c r="N500" s="1149"/>
      <c r="O500" s="1149"/>
      <c r="P500" s="1149"/>
      <c r="Q500" s="1169"/>
      <c r="R500" s="1169"/>
      <c r="S500" s="1169"/>
      <c r="T500" s="1169"/>
      <c r="U500" s="1149"/>
      <c r="V500" s="1149"/>
      <c r="W500" s="1149"/>
      <c r="X500" s="1149"/>
      <c r="Y500" s="1149"/>
      <c r="Z500" s="1149"/>
      <c r="AA500" s="1149"/>
      <c r="AB500" s="34">
        <f t="shared" si="223"/>
        <v>0</v>
      </c>
    </row>
    <row r="501" spans="2:30">
      <c r="B501" s="1158" t="s">
        <v>189</v>
      </c>
      <c r="C501" s="1159" t="s">
        <v>560</v>
      </c>
      <c r="D501" s="1159"/>
      <c r="E501" s="1159" t="s">
        <v>310</v>
      </c>
      <c r="F501" s="1159"/>
      <c r="G501" s="1159"/>
      <c r="H501" s="1159"/>
      <c r="I501" s="1162" t="s">
        <v>547</v>
      </c>
      <c r="J501" s="1159" t="str">
        <f t="shared" si="222"/>
        <v>lending_overdraft__CAKE_early_terminate_fee</v>
      </c>
      <c r="K501" s="1149"/>
      <c r="L501" s="1240" t="s">
        <v>541</v>
      </c>
      <c r="M501" s="1149">
        <f>SUM(P501:AA501)</f>
        <v>0</v>
      </c>
      <c r="N501" s="1149"/>
      <c r="O501" s="1149"/>
      <c r="P501" s="1169"/>
      <c r="Q501" s="1169"/>
      <c r="R501" s="1169"/>
      <c r="S501" s="1169"/>
      <c r="T501" s="1169"/>
      <c r="U501" s="1169">
        <v>0</v>
      </c>
      <c r="V501" s="1149"/>
      <c r="W501" s="1149"/>
      <c r="X501" s="1149"/>
      <c r="Y501" s="1149"/>
      <c r="Z501" s="1149"/>
      <c r="AA501" s="1149"/>
      <c r="AB501" s="34">
        <f t="shared" si="223"/>
        <v>0</v>
      </c>
    </row>
    <row r="502" spans="2:30">
      <c r="B502" s="1158" t="s">
        <v>189</v>
      </c>
      <c r="C502" s="1159" t="s">
        <v>560</v>
      </c>
      <c r="D502" s="1159"/>
      <c r="E502" s="1159" t="s">
        <v>310</v>
      </c>
      <c r="F502" s="1159"/>
      <c r="G502" s="1159"/>
      <c r="H502" s="1159"/>
      <c r="I502" s="1162" t="s">
        <v>548</v>
      </c>
      <c r="J502" s="1159" t="str">
        <f t="shared" si="222"/>
        <v>lending_overdraft__CAKE_loan_grant_fee</v>
      </c>
      <c r="K502" s="1149"/>
      <c r="L502" s="1240" t="s">
        <v>542</v>
      </c>
      <c r="M502" s="1149">
        <f>SUM(P502:AA502)</f>
        <v>3930450000</v>
      </c>
      <c r="N502" s="1149">
        <v>450250000</v>
      </c>
      <c r="O502" s="1149">
        <v>724600000</v>
      </c>
      <c r="P502" s="1149">
        <v>581050000</v>
      </c>
      <c r="Q502" s="1149">
        <v>427800000</v>
      </c>
      <c r="R502" s="1169">
        <v>512350000</v>
      </c>
      <c r="S502" s="1169">
        <v>514550000</v>
      </c>
      <c r="T502" s="1169">
        <v>517850000</v>
      </c>
      <c r="U502" s="1169">
        <v>527000000</v>
      </c>
      <c r="V502" s="1169">
        <v>425350000</v>
      </c>
      <c r="W502" s="1169">
        <v>78350000</v>
      </c>
      <c r="X502" s="1169">
        <v>86800000</v>
      </c>
      <c r="Y502" s="1169">
        <v>104300000</v>
      </c>
      <c r="Z502" s="1149">
        <v>85100000</v>
      </c>
      <c r="AA502" s="1149">
        <v>69950000</v>
      </c>
      <c r="AB502" s="34">
        <f t="shared" si="223"/>
        <v>-19200000</v>
      </c>
    </row>
    <row r="503" spans="2:30" s="4" customFormat="1">
      <c r="B503" s="1158" t="s">
        <v>189</v>
      </c>
      <c r="C503" s="1159" t="s">
        <v>560</v>
      </c>
      <c r="D503" s="1163"/>
      <c r="E503" s="1163" t="s">
        <v>310</v>
      </c>
      <c r="F503" s="1163"/>
      <c r="G503" s="1163"/>
      <c r="H503" s="1163"/>
      <c r="I503" s="1162" t="s">
        <v>269</v>
      </c>
      <c r="J503" s="1159" t="str">
        <f t="shared" si="222"/>
        <v>lending_overdraft__CAKE_other_TOI</v>
      </c>
      <c r="K503" s="1149"/>
      <c r="L503" s="1239" t="s">
        <v>89</v>
      </c>
      <c r="M503" s="1150">
        <f>SUM(P503:AA503)</f>
        <v>2444000597</v>
      </c>
      <c r="N503" s="1150"/>
      <c r="O503" s="1150">
        <v>839000</v>
      </c>
      <c r="P503" s="1150">
        <v>5654986</v>
      </c>
      <c r="Q503" s="1150">
        <v>26002193</v>
      </c>
      <c r="R503" s="1245">
        <v>138024239</v>
      </c>
      <c r="S503" s="1245">
        <v>107313806</v>
      </c>
      <c r="T503" s="1245">
        <v>172713033</v>
      </c>
      <c r="U503" s="1245">
        <v>102772054</v>
      </c>
      <c r="V503" s="1245">
        <v>191346565</v>
      </c>
      <c r="W503" s="1245">
        <v>327890309</v>
      </c>
      <c r="X503" s="1245">
        <v>370113004</v>
      </c>
      <c r="Y503" s="1150">
        <v>328640876</v>
      </c>
      <c r="Z503" s="1150">
        <v>335555658</v>
      </c>
      <c r="AA503" s="1150">
        <v>337973874</v>
      </c>
      <c r="AB503" s="34">
        <f t="shared" si="223"/>
        <v>6914782</v>
      </c>
    </row>
    <row r="504" spans="2:30">
      <c r="B504" s="1158" t="s">
        <v>189</v>
      </c>
      <c r="C504" s="1159" t="s">
        <v>560</v>
      </c>
      <c r="D504" s="1159"/>
      <c r="E504" s="1159" t="s">
        <v>310</v>
      </c>
      <c r="F504" s="1159"/>
      <c r="G504" s="1159"/>
      <c r="H504" s="1159"/>
      <c r="I504" s="1162" t="s">
        <v>270</v>
      </c>
      <c r="J504" s="1159" t="str">
        <f t="shared" si="222"/>
        <v>lending_overdraft__CAKE_provision</v>
      </c>
      <c r="K504" s="1149"/>
      <c r="L504" s="1245" t="s">
        <v>136</v>
      </c>
      <c r="M504" s="1150">
        <f>SUM(P504:AA504)</f>
        <v>76467789182</v>
      </c>
      <c r="N504" s="1262">
        <v>2228959092</v>
      </c>
      <c r="O504" s="1150">
        <f>2363258455+1035481142</f>
        <v>3398739597</v>
      </c>
      <c r="P504" s="1245">
        <v>8291301887</v>
      </c>
      <c r="Q504" s="1245">
        <v>4214347931</v>
      </c>
      <c r="R504" s="1245">
        <f>4331585997+1190029043</f>
        <v>5521615040</v>
      </c>
      <c r="S504" s="1245">
        <v>3531652013</v>
      </c>
      <c r="T504" s="1245">
        <v>5071441830</v>
      </c>
      <c r="U504" s="1245">
        <f>5116359066+1207556079</f>
        <v>6323915145</v>
      </c>
      <c r="V504" s="1296">
        <v>5225046131</v>
      </c>
      <c r="W504" s="1262">
        <v>7772699665</v>
      </c>
      <c r="X504" s="1262">
        <f>6635107697+1045352572</f>
        <v>7680460269</v>
      </c>
      <c r="Y504" s="1262">
        <v>5961342477</v>
      </c>
      <c r="Z504" s="1262">
        <v>8605101348</v>
      </c>
      <c r="AA504" s="1150">
        <f>7422760446+846105000</f>
        <v>8268865446</v>
      </c>
      <c r="AB504" s="34">
        <f t="shared" si="223"/>
        <v>2643758871</v>
      </c>
    </row>
    <row r="505" spans="2:30">
      <c r="B505" s="1158" t="s">
        <v>189</v>
      </c>
      <c r="C505" s="1159" t="s">
        <v>560</v>
      </c>
      <c r="D505" s="1159"/>
      <c r="E505" s="1159" t="s">
        <v>310</v>
      </c>
      <c r="F505" s="1159"/>
      <c r="G505" s="1159"/>
      <c r="H505" s="1159"/>
      <c r="I505" s="1162" t="s">
        <v>271</v>
      </c>
      <c r="J505" s="1159" t="str">
        <f t="shared" si="222"/>
        <v>lending_overdraft__CAKE_variable_cost</v>
      </c>
      <c r="K505" s="1149"/>
      <c r="L505" s="1245" t="s">
        <v>229</v>
      </c>
      <c r="M505" s="1150">
        <f t="shared" ref="M505:AA505" si="233">SUM(M506:M513)</f>
        <v>3526540653.581718</v>
      </c>
      <c r="N505" s="1150">
        <f t="shared" si="233"/>
        <v>263782809.80540583</v>
      </c>
      <c r="O505" s="1150">
        <f t="shared" si="233"/>
        <v>316608919.20804024</v>
      </c>
      <c r="P505" s="1150">
        <f t="shared" si="233"/>
        <v>240681736.8447876</v>
      </c>
      <c r="Q505" s="1150">
        <f t="shared" si="233"/>
        <v>499181372.71290052</v>
      </c>
      <c r="R505" s="1150">
        <f t="shared" si="233"/>
        <v>442612541.88633341</v>
      </c>
      <c r="S505" s="1150">
        <f t="shared" si="233"/>
        <v>432200643.07318997</v>
      </c>
      <c r="T505" s="1150">
        <f t="shared" si="233"/>
        <v>449971450.41871756</v>
      </c>
      <c r="U505" s="1150">
        <f t="shared" si="233"/>
        <v>225169000.52308598</v>
      </c>
      <c r="V505" s="1150">
        <f t="shared" si="233"/>
        <v>289864160.41460508</v>
      </c>
      <c r="W505" s="1150">
        <f t="shared" si="233"/>
        <v>206218991.09817407</v>
      </c>
      <c r="X505" s="1150">
        <f t="shared" si="233"/>
        <v>250277825.31424955</v>
      </c>
      <c r="Y505" s="1150">
        <f t="shared" si="233"/>
        <v>198871558.03405881</v>
      </c>
      <c r="Z505" s="1150">
        <f t="shared" si="233"/>
        <v>149117364.73070082</v>
      </c>
      <c r="AA505" s="1150">
        <f t="shared" si="233"/>
        <v>142374008.53091496</v>
      </c>
      <c r="AB505" s="34">
        <f t="shared" si="223"/>
        <v>-49754193.303357989</v>
      </c>
    </row>
    <row r="506" spans="2:30">
      <c r="B506" s="1158" t="s">
        <v>189</v>
      </c>
      <c r="C506" s="1159" t="s">
        <v>560</v>
      </c>
      <c r="D506" s="1159"/>
      <c r="E506" s="1159" t="s">
        <v>310</v>
      </c>
      <c r="F506" s="1159"/>
      <c r="G506" s="1159"/>
      <c r="H506" s="1159"/>
      <c r="I506" s="1162" t="s">
        <v>272</v>
      </c>
      <c r="J506" s="1159" t="str">
        <f t="shared" si="222"/>
        <v>lending_overdraft__CAKE_marketing_acquisition_cost</v>
      </c>
      <c r="K506" s="1149"/>
      <c r="L506" s="1246" t="s">
        <v>230</v>
      </c>
      <c r="M506" s="1149">
        <f>SUM(P506:AA506)</f>
        <v>14000000</v>
      </c>
      <c r="N506" s="1169">
        <v>10819775</v>
      </c>
      <c r="O506" s="1169">
        <v>10819775</v>
      </c>
      <c r="P506" s="1169"/>
      <c r="Q506" s="1169"/>
      <c r="R506" s="1169">
        <v>14000000</v>
      </c>
      <c r="S506" s="1169"/>
      <c r="T506" s="1169"/>
      <c r="U506" s="1248"/>
      <c r="V506" s="1169">
        <v>0</v>
      </c>
      <c r="W506" s="1149">
        <v>0</v>
      </c>
      <c r="X506" s="1149"/>
      <c r="Y506" s="1149"/>
      <c r="Z506" s="1169"/>
      <c r="AA506" s="1169"/>
      <c r="AB506" s="34">
        <f t="shared" si="223"/>
        <v>0</v>
      </c>
    </row>
    <row r="507" spans="2:30">
      <c r="B507" s="1158" t="s">
        <v>189</v>
      </c>
      <c r="C507" s="1159" t="s">
        <v>560</v>
      </c>
      <c r="D507" s="1159"/>
      <c r="E507" s="1159" t="s">
        <v>310</v>
      </c>
      <c r="F507" s="1159"/>
      <c r="G507" s="1159"/>
      <c r="H507" s="1159"/>
      <c r="I507" s="1162" t="s">
        <v>273</v>
      </c>
      <c r="J507" s="1159" t="str">
        <f t="shared" si="222"/>
        <v>lending_overdraft__CAKE_partner_acquisition_cost</v>
      </c>
      <c r="K507" s="1149"/>
      <c r="L507" s="1246" t="s">
        <v>231</v>
      </c>
      <c r="M507" s="1149"/>
      <c r="N507" s="1248"/>
      <c r="O507" s="1149"/>
      <c r="P507" s="1169"/>
      <c r="Q507" s="1169"/>
      <c r="R507" s="1169"/>
      <c r="S507" s="1169"/>
      <c r="T507" s="1169"/>
      <c r="U507" s="1169"/>
      <c r="V507" s="1248"/>
      <c r="W507" s="1248"/>
      <c r="X507" s="1248"/>
      <c r="Y507" s="1248"/>
      <c r="Z507" s="1248"/>
      <c r="AA507" s="1149"/>
      <c r="AB507" s="34">
        <f t="shared" si="223"/>
        <v>0</v>
      </c>
    </row>
    <row r="508" spans="2:30">
      <c r="B508" s="1158" t="s">
        <v>189</v>
      </c>
      <c r="C508" s="1159" t="s">
        <v>560</v>
      </c>
      <c r="D508" s="1159"/>
      <c r="E508" s="1159" t="s">
        <v>310</v>
      </c>
      <c r="F508" s="1159"/>
      <c r="G508" s="1159"/>
      <c r="H508" s="1159"/>
      <c r="I508" s="1162" t="s">
        <v>274</v>
      </c>
      <c r="J508" s="1159" t="str">
        <f t="shared" si="222"/>
        <v>lending_overdraft__CAKE_underwritting</v>
      </c>
      <c r="K508" s="1149"/>
      <c r="L508" s="1246" t="s">
        <v>232</v>
      </c>
      <c r="M508" s="1149">
        <f>SUM(P508:AA508)</f>
        <v>853245750</v>
      </c>
      <c r="N508" s="1149">
        <v>137274383</v>
      </c>
      <c r="O508" s="1149">
        <v>168219704</v>
      </c>
      <c r="P508" s="1149">
        <v>123044978</v>
      </c>
      <c r="Q508" s="1149">
        <v>108680682</v>
      </c>
      <c r="R508" s="1169">
        <v>118745842</v>
      </c>
      <c r="S508" s="1169">
        <v>120408149</v>
      </c>
      <c r="T508" s="1169">
        <v>121952572</v>
      </c>
      <c r="U508" s="1149">
        <v>129894371</v>
      </c>
      <c r="V508" s="1149">
        <v>95842919</v>
      </c>
      <c r="W508" s="1169">
        <v>6741097</v>
      </c>
      <c r="X508" s="1169">
        <v>7223580</v>
      </c>
      <c r="Y508" s="1149">
        <v>8320084</v>
      </c>
      <c r="Z508" s="1149">
        <v>6821372</v>
      </c>
      <c r="AA508" s="1149">
        <v>5570104</v>
      </c>
      <c r="AB508" s="34">
        <f t="shared" si="223"/>
        <v>-1498712</v>
      </c>
    </row>
    <row r="509" spans="2:30">
      <c r="B509" s="1158" t="s">
        <v>189</v>
      </c>
      <c r="C509" s="1159" t="s">
        <v>560</v>
      </c>
      <c r="D509" s="1159"/>
      <c r="E509" s="1159" t="s">
        <v>310</v>
      </c>
      <c r="F509" s="1159"/>
      <c r="G509" s="1159"/>
      <c r="H509" s="1159"/>
      <c r="I509" s="1162" t="s">
        <v>275</v>
      </c>
      <c r="J509" s="1159" t="str">
        <f t="shared" si="222"/>
        <v>lending_overdraft__CAKE_e_contract</v>
      </c>
      <c r="K509" s="1149"/>
      <c r="L509" s="1246" t="s">
        <v>233</v>
      </c>
      <c r="M509" s="1149">
        <f>SUM(P509:AA509)</f>
        <v>20189535</v>
      </c>
      <c r="N509" s="1169">
        <v>2872840</v>
      </c>
      <c r="O509" s="1169">
        <v>3737234</v>
      </c>
      <c r="P509" s="1169">
        <v>2907047</v>
      </c>
      <c r="Q509" s="1169">
        <v>2215758</v>
      </c>
      <c r="R509" s="1169">
        <v>2625921</v>
      </c>
      <c r="S509" s="1169">
        <v>2610691</v>
      </c>
      <c r="T509" s="1265">
        <v>2668986</v>
      </c>
      <c r="U509" s="1247">
        <v>2771660</v>
      </c>
      <c r="V509" s="1169">
        <v>2190805</v>
      </c>
      <c r="W509" s="1169">
        <v>399810</v>
      </c>
      <c r="X509" s="1169">
        <v>452378</v>
      </c>
      <c r="Y509" s="1169">
        <v>550122</v>
      </c>
      <c r="Z509" s="1169">
        <v>440940</v>
      </c>
      <c r="AA509" s="1169">
        <v>355417</v>
      </c>
      <c r="AB509" s="34">
        <f t="shared" si="223"/>
        <v>-109182</v>
      </c>
    </row>
    <row r="510" spans="2:30">
      <c r="B510" s="1158" t="s">
        <v>189</v>
      </c>
      <c r="C510" s="1159" t="s">
        <v>560</v>
      </c>
      <c r="D510" s="1159"/>
      <c r="E510" s="1159" t="s">
        <v>310</v>
      </c>
      <c r="F510" s="1159"/>
      <c r="G510" s="1159"/>
      <c r="H510" s="1159"/>
      <c r="I510" s="1162" t="s">
        <v>276</v>
      </c>
      <c r="J510" s="1159" t="str">
        <f t="shared" si="222"/>
        <v>lending_overdraft__CAKE_nfc</v>
      </c>
      <c r="K510" s="1149"/>
      <c r="L510" s="1246" t="s">
        <v>152</v>
      </c>
      <c r="M510" s="1149">
        <f>SUM(P510:AA510)</f>
        <v>197794025</v>
      </c>
      <c r="N510" s="1169"/>
      <c r="O510" s="1169"/>
      <c r="P510" s="1169">
        <v>17848800</v>
      </c>
      <c r="Q510" s="1169">
        <v>11164950</v>
      </c>
      <c r="R510" s="1169">
        <v>16578450</v>
      </c>
      <c r="S510" s="1169">
        <v>13784850</v>
      </c>
      <c r="T510" s="1169">
        <v>13807800</v>
      </c>
      <c r="U510" s="1247">
        <v>14969250</v>
      </c>
      <c r="V510" s="1247">
        <v>16949100</v>
      </c>
      <c r="W510" s="1169">
        <v>16271450</v>
      </c>
      <c r="X510" s="1169">
        <v>16055850</v>
      </c>
      <c r="Y510" s="1169">
        <v>18426450</v>
      </c>
      <c r="Z510" s="1169">
        <v>18405450</v>
      </c>
      <c r="AA510" s="1169">
        <v>23531625</v>
      </c>
      <c r="AB510" s="34">
        <f t="shared" si="223"/>
        <v>-21000</v>
      </c>
    </row>
    <row r="511" spans="2:30">
      <c r="B511" s="1158" t="s">
        <v>189</v>
      </c>
      <c r="C511" s="1159" t="s">
        <v>560</v>
      </c>
      <c r="D511" s="1159"/>
      <c r="E511" s="1159" t="s">
        <v>310</v>
      </c>
      <c r="F511" s="1159"/>
      <c r="G511" s="1159"/>
      <c r="H511" s="1159"/>
      <c r="I511" s="1162" t="s">
        <v>277</v>
      </c>
      <c r="J511" s="1159" t="str">
        <f t="shared" si="222"/>
        <v>lending_overdraft__CAKE_collection</v>
      </c>
      <c r="K511" s="1149"/>
      <c r="L511" s="1246" t="s">
        <v>234</v>
      </c>
      <c r="M511" s="1149">
        <f>SUM(P511:AA511)</f>
        <v>2270655499.897995</v>
      </c>
      <c r="N511" s="1149">
        <v>107462687.95477173</v>
      </c>
      <c r="O511" s="1149">
        <v>120688383.82101333</v>
      </c>
      <c r="P511" s="1169">
        <v>80867163.167144716</v>
      </c>
      <c r="Q511" s="1169">
        <v>368093055.09186512</v>
      </c>
      <c r="R511" s="1169">
        <v>278618584.41981542</v>
      </c>
      <c r="S511" s="1169">
        <v>276971952.40114999</v>
      </c>
      <c r="T511" s="1169">
        <v>296892341.38702834</v>
      </c>
      <c r="U511" s="1248">
        <v>63389927.073693834</v>
      </c>
      <c r="V511" s="1248">
        <v>155589868</v>
      </c>
      <c r="W511" s="1169">
        <v>169720206.08708915</v>
      </c>
      <c r="X511" s="1169">
        <v>209989310.71220884</v>
      </c>
      <c r="Y511" s="1169">
        <v>156048440.56</v>
      </c>
      <c r="Z511" s="1149">
        <v>111063089.35800001</v>
      </c>
      <c r="AA511" s="1149">
        <v>103411561.64</v>
      </c>
      <c r="AB511" s="34">
        <f t="shared" si="223"/>
        <v>-44985351.201999992</v>
      </c>
    </row>
    <row r="512" spans="2:30">
      <c r="B512" s="1158" t="s">
        <v>189</v>
      </c>
      <c r="C512" s="1159" t="s">
        <v>560</v>
      </c>
      <c r="D512" s="1159"/>
      <c r="E512" s="1159" t="s">
        <v>310</v>
      </c>
      <c r="F512" s="1159"/>
      <c r="G512" s="1159"/>
      <c r="H512" s="1159"/>
      <c r="I512" s="1162" t="s">
        <v>278</v>
      </c>
      <c r="J512" s="1159" t="str">
        <f t="shared" si="222"/>
        <v>lending_overdraft__CAKE_promotion</v>
      </c>
      <c r="K512" s="1149"/>
      <c r="L512" s="1246" t="s">
        <v>235</v>
      </c>
      <c r="M512" s="1149"/>
      <c r="N512" s="1149"/>
      <c r="O512" s="1149"/>
      <c r="P512" s="1169"/>
      <c r="Q512" s="1169"/>
      <c r="R512" s="1169"/>
      <c r="S512" s="1169"/>
      <c r="T512" s="1169"/>
      <c r="U512" s="1248"/>
      <c r="V512" s="1149"/>
      <c r="W512" s="1169"/>
      <c r="X512" s="1169"/>
      <c r="Y512" s="1169"/>
      <c r="Z512" s="1149"/>
      <c r="AA512" s="1149"/>
      <c r="AB512" s="34">
        <f t="shared" si="223"/>
        <v>0</v>
      </c>
    </row>
    <row r="513" spans="2:29">
      <c r="B513" s="1158" t="s">
        <v>189</v>
      </c>
      <c r="C513" s="1159" t="s">
        <v>560</v>
      </c>
      <c r="D513" s="1159"/>
      <c r="E513" s="1159" t="s">
        <v>310</v>
      </c>
      <c r="F513" s="1159"/>
      <c r="G513" s="1159"/>
      <c r="H513" s="1159"/>
      <c r="I513" s="1162" t="s">
        <v>279</v>
      </c>
      <c r="J513" s="1159" t="str">
        <f t="shared" si="222"/>
        <v>lending_overdraft__CAKE_sms</v>
      </c>
      <c r="K513" s="1149"/>
      <c r="L513" s="1249" t="s">
        <v>163</v>
      </c>
      <c r="M513" s="1149">
        <f>SUM(P513:AA513)</f>
        <v>170655843.68372297</v>
      </c>
      <c r="N513" s="1247">
        <v>5353123.8506340915</v>
      </c>
      <c r="O513" s="1247">
        <v>13143822.387026908</v>
      </c>
      <c r="P513" s="1247">
        <v>16013748.677642882</v>
      </c>
      <c r="Q513" s="1247">
        <v>9026927.6210354269</v>
      </c>
      <c r="R513" s="1247">
        <v>12043744.466518013</v>
      </c>
      <c r="S513" s="1247">
        <v>18425000.672039982</v>
      </c>
      <c r="T513" s="1247">
        <v>14649751.031689217</v>
      </c>
      <c r="U513" s="1247">
        <v>14143792.449392138</v>
      </c>
      <c r="V513" s="1247">
        <v>19291468.414605107</v>
      </c>
      <c r="W513" s="1169">
        <v>13086428.011084905</v>
      </c>
      <c r="X513" s="1169">
        <v>16556706.602040702</v>
      </c>
      <c r="Y513" s="1169">
        <v>15526461.474058822</v>
      </c>
      <c r="Z513" s="1169">
        <v>12386513.372700823</v>
      </c>
      <c r="AA513" s="1169">
        <v>9505300.8909149617</v>
      </c>
      <c r="AB513" s="34">
        <f t="shared" si="223"/>
        <v>-3139948.1013579983</v>
      </c>
    </row>
    <row r="514" spans="2:29">
      <c r="B514" s="1158" t="s">
        <v>189</v>
      </c>
      <c r="C514" s="1159" t="s">
        <v>560</v>
      </c>
      <c r="D514" s="1159"/>
      <c r="E514" s="1159" t="s">
        <v>310</v>
      </c>
      <c r="F514" s="1159" t="str">
        <f>E514&amp;"OD"</f>
        <v>CAKEOD</v>
      </c>
      <c r="G514" s="1159" t="str">
        <f>L514&amp;F514</f>
        <v>Profit before allocation costCAKEOD</v>
      </c>
      <c r="H514" s="1408" t="str">
        <f>L514&amp;E514</f>
        <v>Profit before allocation costCAKE</v>
      </c>
      <c r="I514" s="1162" t="s">
        <v>280</v>
      </c>
      <c r="J514" s="1159" t="str">
        <f t="shared" si="222"/>
        <v>lending_overdraft__CAKE_profit_before_overhead</v>
      </c>
      <c r="K514" s="1149"/>
      <c r="L514" s="1359" t="s">
        <v>236</v>
      </c>
      <c r="M514" s="1359">
        <f t="shared" ref="M514:AA514" si="234">M493-M504-M505</f>
        <v>-11442183445.995583</v>
      </c>
      <c r="N514" s="1359">
        <f t="shared" si="234"/>
        <v>2719964535.1945944</v>
      </c>
      <c r="O514" s="1359">
        <f t="shared" si="234"/>
        <v>2072868554.7919598</v>
      </c>
      <c r="P514" s="1359">
        <f t="shared" si="234"/>
        <v>-2528623412.8447876</v>
      </c>
      <c r="Q514" s="1359">
        <f t="shared" si="234"/>
        <v>760367807.28709948</v>
      </c>
      <c r="R514" s="1359">
        <f t="shared" si="234"/>
        <v>410467844.6998015</v>
      </c>
      <c r="S514" s="1359">
        <f t="shared" si="234"/>
        <v>2370639786.9268103</v>
      </c>
      <c r="T514" s="1359">
        <f t="shared" si="234"/>
        <v>1228096993.5812824</v>
      </c>
      <c r="U514" s="1359">
        <f t="shared" si="234"/>
        <v>41173944.476914018</v>
      </c>
      <c r="V514" s="1359">
        <f t="shared" si="234"/>
        <v>1084879012.5853949</v>
      </c>
      <c r="W514" s="1359">
        <f t="shared" si="234"/>
        <v>-1934175121.0981741</v>
      </c>
      <c r="X514" s="1359">
        <f t="shared" si="234"/>
        <v>-2587487245.3142495</v>
      </c>
      <c r="Y514" s="1359">
        <f t="shared" si="234"/>
        <v>-1230351091.0340588</v>
      </c>
      <c r="Z514" s="1359">
        <f t="shared" si="234"/>
        <v>-4353690848.7307005</v>
      </c>
      <c r="AA514" s="1359">
        <f t="shared" si="234"/>
        <v>-4564500614.5309153</v>
      </c>
      <c r="AB514" s="34">
        <f t="shared" si="223"/>
        <v>-3123339757.6966419</v>
      </c>
      <c r="AC514" s="34">
        <f>SUM(P514:AA514)</f>
        <v>-11303202943.995583</v>
      </c>
    </row>
    <row r="515" spans="2:29">
      <c r="B515" s="1158"/>
      <c r="C515" s="1159"/>
      <c r="D515" s="1159"/>
      <c r="E515" s="1159"/>
      <c r="F515" s="1159"/>
      <c r="G515" s="1159"/>
      <c r="H515" s="1159"/>
      <c r="I515" s="1160"/>
      <c r="J515" s="1159"/>
      <c r="K515" s="1149"/>
      <c r="L515" s="1153"/>
      <c r="M515" s="1150"/>
      <c r="N515" s="1150"/>
      <c r="O515" s="1150"/>
      <c r="P515" s="1150"/>
      <c r="Q515" s="1150"/>
      <c r="R515" s="1150"/>
      <c r="S515" s="1150"/>
      <c r="T515" s="1150"/>
      <c r="U515" s="1150"/>
      <c r="V515" s="1150"/>
      <c r="W515" s="1150"/>
      <c r="X515" s="1150"/>
      <c r="Y515" s="1150"/>
      <c r="Z515" s="1150"/>
      <c r="AA515" s="1150"/>
      <c r="AB515" s="34">
        <f t="shared" si="223"/>
        <v>0</v>
      </c>
    </row>
    <row r="516" spans="2:29">
      <c r="B516" s="1158" t="s">
        <v>189</v>
      </c>
      <c r="C516" s="1159" t="s">
        <v>566</v>
      </c>
      <c r="D516" s="1159" t="s">
        <v>566</v>
      </c>
      <c r="E516" s="1159" t="s">
        <v>237</v>
      </c>
      <c r="F516" s="1159"/>
      <c r="G516" s="1159"/>
      <c r="H516" s="1159"/>
      <c r="I516" s="1159"/>
      <c r="J516" s="1159"/>
      <c r="K516" s="1149"/>
      <c r="L516" s="1146" t="s">
        <v>567</v>
      </c>
      <c r="M516" s="1146"/>
      <c r="N516" s="1146"/>
      <c r="O516" s="1146"/>
      <c r="P516" s="1146"/>
      <c r="Q516" s="1146"/>
      <c r="R516" s="1146"/>
      <c r="S516" s="1146"/>
      <c r="T516" s="1146"/>
      <c r="U516" s="1146"/>
      <c r="V516" s="1146"/>
      <c r="W516" s="1146"/>
      <c r="X516" s="1146"/>
      <c r="Y516" s="1146"/>
      <c r="Z516" s="1146"/>
      <c r="AA516" s="1146"/>
      <c r="AB516" s="34">
        <f t="shared" si="223"/>
        <v>0</v>
      </c>
    </row>
    <row r="517" spans="2:29">
      <c r="B517" s="1158" t="s">
        <v>189</v>
      </c>
      <c r="C517" s="1159" t="s">
        <v>71</v>
      </c>
      <c r="D517" s="1159" t="s">
        <v>566</v>
      </c>
      <c r="E517" s="1159" t="s">
        <v>237</v>
      </c>
      <c r="F517" s="1159"/>
      <c r="G517" s="1159"/>
      <c r="H517" s="1159"/>
      <c r="I517" s="1162" t="s">
        <v>239</v>
      </c>
      <c r="J517" s="1159" t="str">
        <f>B517&amp;"_"&amp;C517&amp;"_"&amp;D517&amp;"_"&amp;E517&amp;"_"&amp;I517</f>
        <v>lending_Payday_payday_VDS_new_account</v>
      </c>
      <c r="K517" s="1149"/>
      <c r="L517" s="1148" t="s">
        <v>193</v>
      </c>
      <c r="M517" s="1149">
        <f>SUM(P517:AA517)</f>
        <v>567264</v>
      </c>
      <c r="N517" s="1169">
        <v>32796</v>
      </c>
      <c r="O517" s="1169">
        <v>45425</v>
      </c>
      <c r="P517" s="1267">
        <v>37373</v>
      </c>
      <c r="Q517" s="1272">
        <v>35103</v>
      </c>
      <c r="R517" s="1169">
        <v>41949</v>
      </c>
      <c r="S517" s="1169">
        <v>40165</v>
      </c>
      <c r="T517" s="1169">
        <v>40692</v>
      </c>
      <c r="U517" s="1169">
        <v>36928</v>
      </c>
      <c r="V517" s="1169">
        <v>41012</v>
      </c>
      <c r="W517" s="1169">
        <v>41341</v>
      </c>
      <c r="X517" s="1169">
        <v>60304</v>
      </c>
      <c r="Y517" s="1169">
        <v>68152</v>
      </c>
      <c r="Z517" s="1169">
        <v>60357</v>
      </c>
      <c r="AA517" s="1169">
        <v>63888</v>
      </c>
      <c r="AB517" s="34">
        <f t="shared" si="223"/>
        <v>-7795</v>
      </c>
    </row>
    <row r="518" spans="2:29">
      <c r="B518" s="1158" t="s">
        <v>189</v>
      </c>
      <c r="C518" s="1159" t="s">
        <v>71</v>
      </c>
      <c r="D518" s="1159" t="s">
        <v>566</v>
      </c>
      <c r="E518" s="1159" t="s">
        <v>237</v>
      </c>
      <c r="F518" s="1159"/>
      <c r="G518" s="1159"/>
      <c r="H518" s="1159"/>
      <c r="I518" s="1169" t="s">
        <v>527</v>
      </c>
      <c r="J518" s="1159" t="str">
        <f t="shared" ref="J518:J553" si="235">B518&amp;"_"&amp;C518&amp;"_"&amp;D518&amp;"_"&amp;E518&amp;"_"&amp;I518</f>
        <v>lending_Payday_payday_VDS_Repeat account</v>
      </c>
      <c r="K518" s="1149"/>
      <c r="L518" s="1169" t="s">
        <v>527</v>
      </c>
      <c r="M518" s="1149">
        <f>SUM(P518:AA518)</f>
        <v>461635</v>
      </c>
      <c r="N518" s="1169">
        <v>24113</v>
      </c>
      <c r="O518" s="1149">
        <v>32868</v>
      </c>
      <c r="P518" s="1267">
        <v>27803</v>
      </c>
      <c r="Q518" s="1272">
        <v>27326</v>
      </c>
      <c r="R518" s="1272">
        <v>32382</v>
      </c>
      <c r="S518" s="1169">
        <v>31275</v>
      </c>
      <c r="T518" s="1169">
        <v>32706</v>
      </c>
      <c r="U518" s="1169">
        <v>32088</v>
      </c>
      <c r="V518" s="1169">
        <v>32475</v>
      </c>
      <c r="W518" s="1169">
        <v>33503</v>
      </c>
      <c r="X518" s="1290">
        <v>48233</v>
      </c>
      <c r="Y518" s="1290">
        <v>56437</v>
      </c>
      <c r="Z518" s="1169">
        <v>51728</v>
      </c>
      <c r="AA518" s="1149">
        <v>55679</v>
      </c>
      <c r="AB518" s="34">
        <f t="shared" si="223"/>
        <v>-4709</v>
      </c>
    </row>
    <row r="519" spans="2:29">
      <c r="B519" s="1158" t="s">
        <v>189</v>
      </c>
      <c r="C519" s="1159" t="s">
        <v>71</v>
      </c>
      <c r="D519" s="1159" t="s">
        <v>566</v>
      </c>
      <c r="E519" s="1159" t="s">
        <v>237</v>
      </c>
      <c r="F519" s="1159"/>
      <c r="G519" s="1159"/>
      <c r="H519" s="1159"/>
      <c r="I519" s="1162" t="s">
        <v>241</v>
      </c>
      <c r="J519" s="1159" t="str">
        <f t="shared" si="235"/>
        <v>lending_Payday_payday_VDS_active_account</v>
      </c>
      <c r="K519" s="1149"/>
      <c r="L519" s="1148" t="s">
        <v>194</v>
      </c>
      <c r="M519" s="1147"/>
      <c r="N519" s="1149">
        <v>44666</v>
      </c>
      <c r="O519" s="1149">
        <v>54873</v>
      </c>
      <c r="P519" s="1149">
        <f>52684-4259</f>
        <v>48425</v>
      </c>
      <c r="Q519" s="1169">
        <f>53232-9608</f>
        <v>43624</v>
      </c>
      <c r="R519" s="1169">
        <f>56022-10885</f>
        <v>45137</v>
      </c>
      <c r="S519" s="1169">
        <f>56741-12123</f>
        <v>44618</v>
      </c>
      <c r="T519" s="1169">
        <f>57976-13465</f>
        <v>44511</v>
      </c>
      <c r="U519" s="1169">
        <v>42528</v>
      </c>
      <c r="V519" s="1169">
        <v>44173</v>
      </c>
      <c r="W519" s="1169">
        <v>44092</v>
      </c>
      <c r="X519" s="1169">
        <v>58834</v>
      </c>
      <c r="Y519" s="1169">
        <v>62199</v>
      </c>
      <c r="Z519" s="1149">
        <v>62624</v>
      </c>
      <c r="AA519" s="1149">
        <v>64190</v>
      </c>
      <c r="AB519" s="34">
        <f t="shared" si="223"/>
        <v>425</v>
      </c>
    </row>
    <row r="520" spans="2:29">
      <c r="B520" s="1158" t="s">
        <v>189</v>
      </c>
      <c r="C520" s="1159" t="s">
        <v>71</v>
      </c>
      <c r="D520" s="1159" t="s">
        <v>566</v>
      </c>
      <c r="E520" s="1159" t="s">
        <v>237</v>
      </c>
      <c r="F520" s="1159" t="str">
        <f>E520&amp;"PD"</f>
        <v>VDSPD</v>
      </c>
      <c r="G520" s="1159" t="str">
        <f>L520&amp;F520</f>
        <v>DisbursementVDSPD</v>
      </c>
      <c r="H520" s="1408" t="str">
        <f>L520&amp;E520</f>
        <v>DisbursementVDS</v>
      </c>
      <c r="I520" s="1162" t="s">
        <v>242</v>
      </c>
      <c r="J520" s="1159" t="str">
        <f t="shared" si="235"/>
        <v>lending_Payday_payday_VDS_disburse/spend</v>
      </c>
      <c r="K520" s="1149"/>
      <c r="L520" s="1169" t="s">
        <v>80</v>
      </c>
      <c r="M520" s="1149">
        <f>SUM(P520:AA520)</f>
        <v>2477760392000</v>
      </c>
      <c r="N520" s="1169">
        <v>122399000000</v>
      </c>
      <c r="O520" s="1149">
        <v>169802500000</v>
      </c>
      <c r="P520" s="1149">
        <v>140501000000</v>
      </c>
      <c r="Q520" s="1169">
        <v>132184000000</v>
      </c>
      <c r="R520" s="1169">
        <v>156783500000</v>
      </c>
      <c r="S520" s="1169">
        <v>162270828000</v>
      </c>
      <c r="T520" s="1169">
        <v>166904172000</v>
      </c>
      <c r="U520" s="1169">
        <v>164068632000</v>
      </c>
      <c r="V520" s="1290">
        <v>181103580000</v>
      </c>
      <c r="W520" s="1290">
        <v>188150580000</v>
      </c>
      <c r="X520" s="1290">
        <v>269540028000</v>
      </c>
      <c r="Y520" s="1169">
        <v>322185708000</v>
      </c>
      <c r="Z520" s="1169">
        <v>289807632000</v>
      </c>
      <c r="AA520" s="1149">
        <v>304260732000</v>
      </c>
      <c r="AB520" s="34">
        <f>AA520-Z520</f>
        <v>14453100000</v>
      </c>
      <c r="AC520" s="34">
        <f>SUM(P520:AA520)</f>
        <v>2477760392000</v>
      </c>
    </row>
    <row r="521" spans="2:29">
      <c r="B521" s="1158" t="s">
        <v>189</v>
      </c>
      <c r="C521" s="1159" t="s">
        <v>71</v>
      </c>
      <c r="D521" s="1159" t="s">
        <v>566</v>
      </c>
      <c r="E521" s="1159" t="s">
        <v>237</v>
      </c>
      <c r="F521" s="1159"/>
      <c r="G521" s="1159"/>
      <c r="H521" s="1159"/>
      <c r="I521" s="1160"/>
      <c r="J521" s="1159" t="str">
        <f t="shared" si="235"/>
        <v>lending_Payday_payday_VDS_</v>
      </c>
      <c r="K521" s="1149"/>
      <c r="L521" s="1169" t="s">
        <v>528</v>
      </c>
      <c r="M521" s="1149">
        <f>SUM(P521:AA521)</f>
        <v>2477760392000</v>
      </c>
      <c r="N521" s="1169">
        <f t="shared" ref="N521:AA521" si="236">N520</f>
        <v>122399000000</v>
      </c>
      <c r="O521" s="1169">
        <f t="shared" si="236"/>
        <v>169802500000</v>
      </c>
      <c r="P521" s="1169">
        <f t="shared" si="236"/>
        <v>140501000000</v>
      </c>
      <c r="Q521" s="1169">
        <f t="shared" si="236"/>
        <v>132184000000</v>
      </c>
      <c r="R521" s="1169">
        <f t="shared" si="236"/>
        <v>156783500000</v>
      </c>
      <c r="S521" s="1169">
        <f t="shared" si="236"/>
        <v>162270828000</v>
      </c>
      <c r="T521" s="1169">
        <f t="shared" si="236"/>
        <v>166904172000</v>
      </c>
      <c r="U521" s="1169">
        <f t="shared" si="236"/>
        <v>164068632000</v>
      </c>
      <c r="V521" s="1169">
        <f t="shared" si="236"/>
        <v>181103580000</v>
      </c>
      <c r="W521" s="1169">
        <f t="shared" si="236"/>
        <v>188150580000</v>
      </c>
      <c r="X521" s="1169">
        <f t="shared" si="236"/>
        <v>269540028000</v>
      </c>
      <c r="Y521" s="1169">
        <f t="shared" si="236"/>
        <v>322185708000</v>
      </c>
      <c r="Z521" s="1169">
        <f t="shared" si="236"/>
        <v>289807632000</v>
      </c>
      <c r="AA521" s="1169">
        <f t="shared" si="236"/>
        <v>304260732000</v>
      </c>
      <c r="AB521" s="34">
        <f t="shared" si="223"/>
        <v>-32378076000</v>
      </c>
    </row>
    <row r="522" spans="2:29">
      <c r="B522" s="1158" t="s">
        <v>189</v>
      </c>
      <c r="C522" s="1159" t="s">
        <v>71</v>
      </c>
      <c r="D522" s="1159" t="s">
        <v>566</v>
      </c>
      <c r="E522" s="1159" t="s">
        <v>237</v>
      </c>
      <c r="F522" s="1159"/>
      <c r="G522" s="1159"/>
      <c r="H522" s="1159"/>
      <c r="I522" s="1160"/>
      <c r="J522" s="1159" t="str">
        <f t="shared" si="235"/>
        <v>lending_Payday_payday_VDS_</v>
      </c>
      <c r="K522" s="1149"/>
      <c r="L522" s="1169" t="s">
        <v>529</v>
      </c>
      <c r="M522" s="1149">
        <f>SUM(P522:AA522)</f>
        <v>0</v>
      </c>
      <c r="N522" s="1169"/>
      <c r="O522" s="1149">
        <f t="shared" ref="O522:AA522" si="237">O520-O521</f>
        <v>0</v>
      </c>
      <c r="P522" s="1149">
        <f t="shared" si="237"/>
        <v>0</v>
      </c>
      <c r="Q522" s="1149">
        <f t="shared" si="237"/>
        <v>0</v>
      </c>
      <c r="R522" s="1149">
        <f t="shared" si="237"/>
        <v>0</v>
      </c>
      <c r="S522" s="1149">
        <f t="shared" si="237"/>
        <v>0</v>
      </c>
      <c r="T522" s="1149">
        <f t="shared" si="237"/>
        <v>0</v>
      </c>
      <c r="U522" s="1149">
        <f t="shared" si="237"/>
        <v>0</v>
      </c>
      <c r="V522" s="1149">
        <f t="shared" si="237"/>
        <v>0</v>
      </c>
      <c r="W522" s="1149">
        <f t="shared" si="237"/>
        <v>0</v>
      </c>
      <c r="X522" s="1149">
        <f t="shared" si="237"/>
        <v>0</v>
      </c>
      <c r="Y522" s="1149">
        <f t="shared" si="237"/>
        <v>0</v>
      </c>
      <c r="Z522" s="1149">
        <f t="shared" si="237"/>
        <v>0</v>
      </c>
      <c r="AA522" s="1149">
        <f t="shared" si="237"/>
        <v>0</v>
      </c>
      <c r="AB522" s="34">
        <f t="shared" si="223"/>
        <v>0</v>
      </c>
    </row>
    <row r="523" spans="2:29">
      <c r="B523" s="1158" t="s">
        <v>189</v>
      </c>
      <c r="C523" s="1159" t="s">
        <v>71</v>
      </c>
      <c r="D523" s="1159" t="s">
        <v>566</v>
      </c>
      <c r="E523" s="1159" t="s">
        <v>237</v>
      </c>
      <c r="F523" s="1159"/>
      <c r="G523" s="1159"/>
      <c r="H523" s="1159"/>
      <c r="I523" s="1160" t="s">
        <v>243</v>
      </c>
      <c r="J523" s="1159" t="str">
        <f t="shared" si="235"/>
        <v>lending_Payday_payday_VDS_ENR</v>
      </c>
      <c r="K523" s="1149"/>
      <c r="L523" s="1169" t="s">
        <v>530</v>
      </c>
      <c r="M523" s="1149">
        <f>AA523</f>
        <v>303379566410</v>
      </c>
      <c r="N523" s="1169">
        <v>150540549521</v>
      </c>
      <c r="O523" s="1149">
        <v>186298063404</v>
      </c>
      <c r="P523" s="1169">
        <v>175218110590</v>
      </c>
      <c r="Q523" s="1169">
        <v>159821936195</v>
      </c>
      <c r="R523" s="1169">
        <v>164874595670</v>
      </c>
      <c r="S523" s="1169">
        <v>171555199464</v>
      </c>
      <c r="T523" s="1169">
        <v>175493230726</v>
      </c>
      <c r="U523" s="1169">
        <v>175925685262</v>
      </c>
      <c r="V523" s="1169">
        <v>184818094579</v>
      </c>
      <c r="W523" s="1253">
        <v>192047676558</v>
      </c>
      <c r="X523" s="1169">
        <v>258044090303</v>
      </c>
      <c r="Y523" s="1169">
        <v>293551486592</v>
      </c>
      <c r="Z523" s="1169">
        <v>295765953792</v>
      </c>
      <c r="AA523" s="1149">
        <v>303379566410</v>
      </c>
      <c r="AB523" s="34">
        <f t="shared" si="223"/>
        <v>2214467200</v>
      </c>
    </row>
    <row r="524" spans="2:29">
      <c r="B524" s="1158" t="s">
        <v>189</v>
      </c>
      <c r="C524" s="1159" t="s">
        <v>71</v>
      </c>
      <c r="D524" s="1159" t="s">
        <v>566</v>
      </c>
      <c r="E524" s="1159" t="s">
        <v>237</v>
      </c>
      <c r="F524" s="1159"/>
      <c r="G524" s="1159"/>
      <c r="H524" s="1159"/>
      <c r="I524" s="1160"/>
      <c r="J524" s="1159" t="str">
        <f t="shared" si="235"/>
        <v>lending_Payday_payday_VDS_</v>
      </c>
      <c r="K524" s="1149"/>
      <c r="L524" s="1235" t="s">
        <v>531</v>
      </c>
      <c r="M524" s="1149"/>
      <c r="N524" s="1169">
        <f t="shared" ref="N524:AA524" si="238">N523-N525</f>
        <v>107679557647</v>
      </c>
      <c r="O524" s="1169">
        <f t="shared" si="238"/>
        <v>139043989172</v>
      </c>
      <c r="P524" s="1169">
        <f t="shared" si="238"/>
        <v>125096974174</v>
      </c>
      <c r="Q524" s="1169">
        <f t="shared" si="238"/>
        <v>119861183307</v>
      </c>
      <c r="R524" s="1169">
        <f t="shared" si="238"/>
        <v>124857612832</v>
      </c>
      <c r="S524" s="1169">
        <f t="shared" si="238"/>
        <v>129832226527</v>
      </c>
      <c r="T524" s="1255">
        <f t="shared" si="238"/>
        <v>132424545709</v>
      </c>
      <c r="U524" s="1255">
        <f t="shared" si="238"/>
        <v>132428254919</v>
      </c>
      <c r="V524" s="1169">
        <f t="shared" si="238"/>
        <v>138329829362</v>
      </c>
      <c r="W524" s="1169">
        <f t="shared" si="238"/>
        <v>146807268224</v>
      </c>
      <c r="X524" s="1169">
        <f t="shared" si="238"/>
        <v>211144740606</v>
      </c>
      <c r="Y524" s="1169">
        <f t="shared" si="238"/>
        <v>235180168049</v>
      </c>
      <c r="Z524" s="1169">
        <f t="shared" si="238"/>
        <v>226061438785</v>
      </c>
      <c r="AA524" s="1169">
        <f t="shared" si="238"/>
        <v>225876086721</v>
      </c>
      <c r="AB524" s="34">
        <f t="shared" si="223"/>
        <v>-9118729264</v>
      </c>
      <c r="AC524" s="34"/>
    </row>
    <row r="525" spans="2:29">
      <c r="B525" s="1158" t="s">
        <v>189</v>
      </c>
      <c r="C525" s="1159" t="s">
        <v>71</v>
      </c>
      <c r="D525" s="1159" t="s">
        <v>566</v>
      </c>
      <c r="E525" s="1159" t="s">
        <v>237</v>
      </c>
      <c r="F525" s="1159"/>
      <c r="G525" s="1159"/>
      <c r="H525" s="1159"/>
      <c r="I525" s="1160"/>
      <c r="J525" s="1159" t="str">
        <f t="shared" si="235"/>
        <v>lending_Payday_payday_VDS_</v>
      </c>
      <c r="K525" s="1149"/>
      <c r="L525" s="1235" t="s">
        <v>532</v>
      </c>
      <c r="M525" s="1149"/>
      <c r="N525" s="1255">
        <v>42860991874</v>
      </c>
      <c r="O525" s="1149">
        <v>47254074232</v>
      </c>
      <c r="P525" s="1255">
        <v>50121136416</v>
      </c>
      <c r="Q525" s="1255">
        <v>39960752888</v>
      </c>
      <c r="R525" s="1255">
        <v>40016982838</v>
      </c>
      <c r="S525" s="1255">
        <v>41722972937</v>
      </c>
      <c r="T525" s="1255">
        <v>43068685017</v>
      </c>
      <c r="U525" s="1255">
        <v>43497430343</v>
      </c>
      <c r="V525" s="1255">
        <v>46488265217</v>
      </c>
      <c r="W525" s="1253">
        <v>45240408334</v>
      </c>
      <c r="X525" s="1255">
        <v>46899349697</v>
      </c>
      <c r="Y525" s="1255">
        <v>58371318543</v>
      </c>
      <c r="Z525" s="1255">
        <v>69704515007</v>
      </c>
      <c r="AA525" s="1149">
        <v>77503479689</v>
      </c>
      <c r="AB525" s="34">
        <f t="shared" si="223"/>
        <v>11333196464</v>
      </c>
    </row>
    <row r="526" spans="2:29">
      <c r="B526" s="1158" t="s">
        <v>189</v>
      </c>
      <c r="C526" s="1159" t="s">
        <v>71</v>
      </c>
      <c r="D526" s="1159" t="s">
        <v>566</v>
      </c>
      <c r="E526" s="1159" t="s">
        <v>237</v>
      </c>
      <c r="F526" s="1159"/>
      <c r="G526" s="1159"/>
      <c r="H526" s="1159"/>
      <c r="I526" s="1160"/>
      <c r="J526" s="1159" t="str">
        <f t="shared" si="235"/>
        <v>lending_Payday_payday_VDS_</v>
      </c>
      <c r="K526" s="1149"/>
      <c r="L526" s="1148" t="s">
        <v>533</v>
      </c>
      <c r="M526" s="1149"/>
      <c r="N526" s="1255">
        <v>26777455762</v>
      </c>
      <c r="O526" s="1255">
        <v>28451852930</v>
      </c>
      <c r="P526" s="1255">
        <v>30326475899</v>
      </c>
      <c r="Q526" s="1255">
        <v>17291464275</v>
      </c>
      <c r="R526" s="1255">
        <v>17805363129</v>
      </c>
      <c r="S526" s="1255">
        <v>21242684906</v>
      </c>
      <c r="T526" s="1283">
        <v>23905005986</v>
      </c>
      <c r="U526" s="1283">
        <v>23965054376</v>
      </c>
      <c r="V526" s="1283">
        <v>25738083838</v>
      </c>
      <c r="W526" s="1255">
        <v>22731821394</v>
      </c>
      <c r="X526" s="1169">
        <v>21658157835</v>
      </c>
      <c r="Y526" s="1169">
        <v>19432899829</v>
      </c>
      <c r="Z526" s="1255">
        <v>18402771481</v>
      </c>
      <c r="AA526" s="1255">
        <v>18579605395</v>
      </c>
      <c r="AB526" s="34">
        <f t="shared" si="223"/>
        <v>-1030128348</v>
      </c>
    </row>
    <row r="527" spans="2:29">
      <c r="B527" s="1158" t="s">
        <v>189</v>
      </c>
      <c r="C527" s="1159" t="s">
        <v>71</v>
      </c>
      <c r="D527" s="1159" t="s">
        <v>566</v>
      </c>
      <c r="E527" s="1159" t="s">
        <v>237</v>
      </c>
      <c r="F527" s="1159"/>
      <c r="G527" s="1159"/>
      <c r="H527" s="1159"/>
      <c r="I527" s="1162" t="s">
        <v>247</v>
      </c>
      <c r="J527" s="1159" t="str">
        <f t="shared" si="235"/>
        <v>lending_Payday_payday_VDS_overdue_balance_10d</v>
      </c>
      <c r="K527" s="1149"/>
      <c r="L527" s="1169" t="s">
        <v>534</v>
      </c>
      <c r="M527" s="1149"/>
      <c r="N527" s="1255">
        <v>41726054923</v>
      </c>
      <c r="O527" s="1255">
        <v>44530456910</v>
      </c>
      <c r="P527" s="1255">
        <v>49630664132</v>
      </c>
      <c r="Q527" s="1255">
        <v>38725838983</v>
      </c>
      <c r="R527" s="1255">
        <v>40884161545</v>
      </c>
      <c r="S527" s="1255">
        <v>39936700840</v>
      </c>
      <c r="T527" s="1283">
        <v>41609355444</v>
      </c>
      <c r="U527" s="1283">
        <v>44758788536</v>
      </c>
      <c r="V527" s="1283">
        <v>45588347322</v>
      </c>
      <c r="W527" s="1169">
        <v>43868288763</v>
      </c>
      <c r="X527" s="1255">
        <v>49685152715</v>
      </c>
      <c r="Y527" s="1255">
        <v>53444289672</v>
      </c>
      <c r="Z527" s="1255">
        <f>65722013587+609975960</f>
        <v>66331989547</v>
      </c>
      <c r="AA527" s="1255">
        <f>79061037582
+760770088</f>
        <v>79821807670</v>
      </c>
      <c r="AB527" s="34">
        <f t="shared" si="223"/>
        <v>12887699875</v>
      </c>
    </row>
    <row r="528" spans="2:29">
      <c r="B528" s="1158" t="s">
        <v>189</v>
      </c>
      <c r="C528" s="1159" t="s">
        <v>71</v>
      </c>
      <c r="D528" s="1159" t="s">
        <v>566</v>
      </c>
      <c r="E528" s="1159" t="s">
        <v>237</v>
      </c>
      <c r="F528" s="1159"/>
      <c r="G528" s="1159"/>
      <c r="H528" s="1159"/>
      <c r="I528" s="1162" t="s">
        <v>248</v>
      </c>
      <c r="J528" s="1159" t="str">
        <f t="shared" si="235"/>
        <v>lending_Payday_payday_VDS_overdue_balance_90d</v>
      </c>
      <c r="K528" s="1149"/>
      <c r="L528" s="1169" t="s">
        <v>535</v>
      </c>
      <c r="M528" s="1149"/>
      <c r="N528" s="1248">
        <v>27310008410</v>
      </c>
      <c r="O528" s="1248">
        <v>29523267184</v>
      </c>
      <c r="P528" s="1248">
        <v>30904508124</v>
      </c>
      <c r="Q528" s="1248">
        <v>18071654200</v>
      </c>
      <c r="R528" s="1248">
        <v>20343945361</v>
      </c>
      <c r="S528" s="1255">
        <v>22110926378</v>
      </c>
      <c r="T528" s="1283">
        <v>24620483289</v>
      </c>
      <c r="U528" s="1283">
        <v>25446428205</v>
      </c>
      <c r="V528" s="1361">
        <v>26479346838</v>
      </c>
      <c r="W528" s="1169">
        <v>23469162094</v>
      </c>
      <c r="X528" s="1248">
        <v>23540282608</v>
      </c>
      <c r="Y528" s="1248">
        <f>20413744261+88344000</f>
        <v>20502088261</v>
      </c>
      <c r="Z528" s="1248">
        <v>19829110016</v>
      </c>
      <c r="AA528" s="1248">
        <f>23320746784+3240000</f>
        <v>23323986784</v>
      </c>
      <c r="AB528" s="34">
        <f t="shared" si="223"/>
        <v>-672978245</v>
      </c>
    </row>
    <row r="529" spans="2:30">
      <c r="B529" s="1158" t="s">
        <v>189</v>
      </c>
      <c r="C529" s="1159" t="s">
        <v>71</v>
      </c>
      <c r="D529" s="1159" t="s">
        <v>566</v>
      </c>
      <c r="E529" s="1159" t="s">
        <v>237</v>
      </c>
      <c r="F529" s="1159"/>
      <c r="G529" s="1159"/>
      <c r="H529" s="1159"/>
      <c r="I529" s="1160"/>
      <c r="J529" s="1159" t="str">
        <f t="shared" si="235"/>
        <v>lending_Payday_payday_VDS_</v>
      </c>
      <c r="K529" s="1149"/>
      <c r="L529" s="1169" t="s">
        <v>536</v>
      </c>
      <c r="M529" s="1149"/>
      <c r="N529" s="1255">
        <f t="shared" ref="N529:W529" si="239">N527-N528</f>
        <v>14416046513</v>
      </c>
      <c r="O529" s="1255">
        <f t="shared" si="239"/>
        <v>15007189726</v>
      </c>
      <c r="P529" s="1255">
        <f t="shared" si="239"/>
        <v>18726156008</v>
      </c>
      <c r="Q529" s="1255">
        <f t="shared" si="239"/>
        <v>20654184783</v>
      </c>
      <c r="R529" s="1255">
        <f t="shared" si="239"/>
        <v>20540216184</v>
      </c>
      <c r="S529" s="1255">
        <f t="shared" si="239"/>
        <v>17825774462</v>
      </c>
      <c r="T529" s="1283">
        <f t="shared" si="239"/>
        <v>16988872155</v>
      </c>
      <c r="U529" s="1283">
        <f t="shared" si="239"/>
        <v>19312360331</v>
      </c>
      <c r="V529" s="1283">
        <f t="shared" si="239"/>
        <v>19109000484</v>
      </c>
      <c r="W529" s="1283">
        <f t="shared" si="239"/>
        <v>20399126669</v>
      </c>
      <c r="X529" s="1283">
        <v>26136230107</v>
      </c>
      <c r="Y529" s="1283">
        <f>Y527-Y528</f>
        <v>32942201411</v>
      </c>
      <c r="Z529" s="1283">
        <f>Z527-Z528</f>
        <v>46502879531</v>
      </c>
      <c r="AA529" s="1283">
        <f>AA527-AA528</f>
        <v>56497820886</v>
      </c>
      <c r="AB529" s="34">
        <f t="shared" si="223"/>
        <v>13560678120</v>
      </c>
      <c r="AC529" s="34"/>
    </row>
    <row r="530" spans="2:30">
      <c r="B530" s="1158" t="s">
        <v>189</v>
      </c>
      <c r="C530" s="1159" t="s">
        <v>71</v>
      </c>
      <c r="D530" s="1159" t="s">
        <v>566</v>
      </c>
      <c r="E530" s="1159" t="s">
        <v>237</v>
      </c>
      <c r="F530" s="1159"/>
      <c r="G530" s="1159"/>
      <c r="H530" s="1159"/>
      <c r="I530" s="1160"/>
      <c r="J530" s="1159" t="str">
        <f t="shared" si="235"/>
        <v>lending_Payday_payday_VDS_</v>
      </c>
      <c r="K530" s="1149"/>
      <c r="L530" s="1169" t="s">
        <v>537</v>
      </c>
      <c r="M530" s="1149"/>
      <c r="N530" s="1269">
        <f t="shared" ref="N530:AA530" si="240">N526/N523</f>
        <v>0.17787536877739787</v>
      </c>
      <c r="O530" s="1269">
        <f t="shared" si="240"/>
        <v>0.15272221519716084</v>
      </c>
      <c r="P530" s="1269">
        <f t="shared" si="240"/>
        <v>0.17307843234288811</v>
      </c>
      <c r="Q530" s="1269">
        <f t="shared" si="240"/>
        <v>0.10819205852882766</v>
      </c>
      <c r="R530" s="1269">
        <f t="shared" si="240"/>
        <v>0.10799336948572606</v>
      </c>
      <c r="S530" s="1269">
        <f t="shared" si="240"/>
        <v>0.12382419753158033</v>
      </c>
      <c r="T530" s="1269">
        <f t="shared" si="240"/>
        <v>0.13621611436012149</v>
      </c>
      <c r="U530" s="1269">
        <f t="shared" si="240"/>
        <v>0.13622260069818504</v>
      </c>
      <c r="V530" s="1269">
        <f t="shared" si="240"/>
        <v>0.13926170971857046</v>
      </c>
      <c r="W530" s="1269">
        <f t="shared" si="240"/>
        <v>0.11836551111377179</v>
      </c>
      <c r="X530" s="1269">
        <f t="shared" si="240"/>
        <v>8.3932004835176044E-2</v>
      </c>
      <c r="Y530" s="1269">
        <f t="shared" si="240"/>
        <v>6.6199289448700044E-2</v>
      </c>
      <c r="Z530" s="1269">
        <f t="shared" si="240"/>
        <v>6.2220722990793967E-2</v>
      </c>
      <c r="AA530" s="1269">
        <f t="shared" si="240"/>
        <v>6.1242112034304692E-2</v>
      </c>
      <c r="AB530" s="34">
        <f t="shared" si="223"/>
        <v>-3.978566457906077E-3</v>
      </c>
    </row>
    <row r="531" spans="2:30">
      <c r="B531" s="1158" t="s">
        <v>189</v>
      </c>
      <c r="C531" s="1159" t="s">
        <v>71</v>
      </c>
      <c r="D531" s="1159" t="s">
        <v>566</v>
      </c>
      <c r="E531" s="1159" t="s">
        <v>237</v>
      </c>
      <c r="F531" s="1159"/>
      <c r="G531" s="1159"/>
      <c r="H531" s="1159"/>
      <c r="I531" s="1162" t="s">
        <v>213</v>
      </c>
      <c r="J531" s="1159" t="str">
        <f t="shared" si="235"/>
        <v>lending_Payday_payday_VDS_npl</v>
      </c>
      <c r="K531" s="1149"/>
      <c r="L531" s="1169" t="s">
        <v>538</v>
      </c>
      <c r="M531" s="1149"/>
      <c r="N531" s="1281">
        <f t="shared" ref="N531:AA531" si="241">N528/N523</f>
        <v>0.18141297143458565</v>
      </c>
      <c r="O531" s="1281">
        <f t="shared" si="241"/>
        <v>0.15847329083596962</v>
      </c>
      <c r="P531" s="1281">
        <f t="shared" si="241"/>
        <v>0.17637736202004095</v>
      </c>
      <c r="Q531" s="1281">
        <f t="shared" si="241"/>
        <v>0.1130736783087813</v>
      </c>
      <c r="R531" s="1269">
        <f t="shared" si="241"/>
        <v>0.12339041850764468</v>
      </c>
      <c r="S531" s="1281">
        <f t="shared" si="241"/>
        <v>0.12888520107278864</v>
      </c>
      <c r="T531" s="1281">
        <f t="shared" si="241"/>
        <v>0.14029306536296149</v>
      </c>
      <c r="U531" s="1281">
        <f t="shared" si="241"/>
        <v>0.14464305292944302</v>
      </c>
      <c r="V531" s="1281">
        <f t="shared" si="241"/>
        <v>0.14327248042632251</v>
      </c>
      <c r="W531" s="1281">
        <f t="shared" si="241"/>
        <v>0.12220487388667843</v>
      </c>
      <c r="X531" s="1281">
        <f t="shared" si="241"/>
        <v>9.1225815636229363E-2</v>
      </c>
      <c r="Y531" s="1281">
        <f t="shared" si="241"/>
        <v>6.9841541254040213E-2</v>
      </c>
      <c r="Z531" s="1281">
        <f t="shared" si="241"/>
        <v>6.7043247411583407E-2</v>
      </c>
      <c r="AA531" s="1281">
        <f t="shared" si="241"/>
        <v>7.6880546241136674E-2</v>
      </c>
      <c r="AB531" s="34">
        <f t="shared" si="223"/>
        <v>-2.798293842456806E-3</v>
      </c>
    </row>
    <row r="532" spans="2:30">
      <c r="B532" s="1158" t="s">
        <v>189</v>
      </c>
      <c r="C532" s="1159" t="s">
        <v>71</v>
      </c>
      <c r="D532" s="1159" t="s">
        <v>566</v>
      </c>
      <c r="E532" s="1159" t="s">
        <v>237</v>
      </c>
      <c r="F532" s="1159" t="str">
        <f>E532&amp;"PD"</f>
        <v>VDSPD</v>
      </c>
      <c r="G532" s="1159" t="str">
        <f>L532&amp;F532</f>
        <v>TOIVDSPD</v>
      </c>
      <c r="H532" s="1408" t="str">
        <f>L532&amp;E532</f>
        <v>TOIVDS</v>
      </c>
      <c r="I532" s="1162" t="s">
        <v>217</v>
      </c>
      <c r="J532" s="1159" t="str">
        <f t="shared" si="235"/>
        <v>lending_Payday_payday_VDS_TOI</v>
      </c>
      <c r="K532" s="1149"/>
      <c r="L532" s="1238" t="s">
        <v>217</v>
      </c>
      <c r="M532" s="1150">
        <f t="shared" ref="M532:AA532" si="242">M533+M538+M542</f>
        <v>241484453791.94275</v>
      </c>
      <c r="N532" s="1150">
        <f t="shared" si="242"/>
        <v>13066064311</v>
      </c>
      <c r="O532" s="1150">
        <f t="shared" si="242"/>
        <v>17498460331.205387</v>
      </c>
      <c r="P532" s="1150">
        <f t="shared" si="242"/>
        <v>15501732657</v>
      </c>
      <c r="Q532" s="1150">
        <f t="shared" si="242"/>
        <v>14000914195</v>
      </c>
      <c r="R532" s="1150">
        <f t="shared" si="242"/>
        <v>16629814728.942753</v>
      </c>
      <c r="S532" s="1150">
        <f t="shared" si="242"/>
        <v>16081803373</v>
      </c>
      <c r="T532" s="1150">
        <f t="shared" si="242"/>
        <v>16539640057</v>
      </c>
      <c r="U532" s="1150">
        <f t="shared" si="242"/>
        <v>16321719820</v>
      </c>
      <c r="V532" s="1150">
        <f t="shared" si="242"/>
        <v>17509410963</v>
      </c>
      <c r="W532" s="1150">
        <f t="shared" si="242"/>
        <v>18081325601</v>
      </c>
      <c r="X532" s="1150">
        <f t="shared" si="242"/>
        <v>24368271925</v>
      </c>
      <c r="Y532" s="1150">
        <f t="shared" si="242"/>
        <v>30002812708</v>
      </c>
      <c r="Z532" s="1150">
        <f t="shared" si="242"/>
        <v>27746858440</v>
      </c>
      <c r="AA532" s="1150">
        <f t="shared" si="242"/>
        <v>28700149324</v>
      </c>
      <c r="AB532" s="34">
        <f t="shared" si="223"/>
        <v>-2255954268</v>
      </c>
      <c r="AC532" s="34">
        <f>SUM(P532:AA532)</f>
        <v>241484453791.94275</v>
      </c>
    </row>
    <row r="533" spans="2:30">
      <c r="B533" s="1158" t="s">
        <v>189</v>
      </c>
      <c r="C533" s="1159" t="s">
        <v>71</v>
      </c>
      <c r="D533" s="1159" t="s">
        <v>566</v>
      </c>
      <c r="E533" s="1159" t="s">
        <v>237</v>
      </c>
      <c r="F533" s="1159"/>
      <c r="G533" s="1159"/>
      <c r="H533" s="1159"/>
      <c r="I533" s="1162" t="s">
        <v>254</v>
      </c>
      <c r="J533" s="1159" t="str">
        <f t="shared" si="235"/>
        <v>lending_Payday_payday_VDS_NII</v>
      </c>
      <c r="K533" s="1149"/>
      <c r="L533" s="1239" t="s">
        <v>218</v>
      </c>
      <c r="M533" s="1150">
        <f t="shared" ref="M533:AA533" si="243">M534-M537</f>
        <v>80607976082.942749</v>
      </c>
      <c r="N533" s="1150">
        <f t="shared" si="243"/>
        <v>4664161794</v>
      </c>
      <c r="O533" s="1150">
        <f t="shared" si="243"/>
        <v>5837498687</v>
      </c>
      <c r="P533" s="1150">
        <f t="shared" si="243"/>
        <v>5858662338</v>
      </c>
      <c r="Q533" s="1150">
        <f t="shared" si="243"/>
        <v>4841888516</v>
      </c>
      <c r="R533" s="1150">
        <f t="shared" si="243"/>
        <v>5566128528.9427519</v>
      </c>
      <c r="S533" s="1150">
        <f t="shared" si="243"/>
        <v>5560195303</v>
      </c>
      <c r="T533" s="1150">
        <f t="shared" si="243"/>
        <v>5745979296</v>
      </c>
      <c r="U533" s="1150">
        <f t="shared" si="243"/>
        <v>5688439558</v>
      </c>
      <c r="V533" s="1150">
        <f t="shared" si="243"/>
        <v>5976156861</v>
      </c>
      <c r="W533" s="1150">
        <f t="shared" si="243"/>
        <v>6122317877</v>
      </c>
      <c r="X533" s="1150">
        <f t="shared" si="243"/>
        <v>7374871192</v>
      </c>
      <c r="Y533" s="1150">
        <f t="shared" si="243"/>
        <v>9599693185</v>
      </c>
      <c r="Z533" s="1150">
        <f t="shared" si="243"/>
        <v>9082999274</v>
      </c>
      <c r="AA533" s="1150">
        <f t="shared" si="243"/>
        <v>9190644154</v>
      </c>
      <c r="AB533" s="34">
        <f t="shared" si="223"/>
        <v>-516693911</v>
      </c>
    </row>
    <row r="534" spans="2:30">
      <c r="B534" s="1158" t="s">
        <v>189</v>
      </c>
      <c r="C534" s="1159" t="s">
        <v>71</v>
      </c>
      <c r="D534" s="1159" t="s">
        <v>566</v>
      </c>
      <c r="E534" s="1159" t="s">
        <v>237</v>
      </c>
      <c r="F534" s="1159"/>
      <c r="G534" s="1159"/>
      <c r="H534" s="1159"/>
      <c r="I534" s="1162" t="s">
        <v>255</v>
      </c>
      <c r="J534" s="1159" t="str">
        <f t="shared" si="235"/>
        <v>lending_Payday_payday_VDS_CII</v>
      </c>
      <c r="K534" s="1149"/>
      <c r="L534" s="1240" t="s">
        <v>20</v>
      </c>
      <c r="M534" s="1149">
        <f>SUM(P534:AA534)</f>
        <v>92076323203</v>
      </c>
      <c r="N534" s="1283">
        <f>N535+96699988-N536</f>
        <v>5244090192</v>
      </c>
      <c r="O534" s="1283">
        <f t="shared" ref="O534:Z534" si="244">O535+N536-O536</f>
        <v>6508988960</v>
      </c>
      <c r="P534" s="1283">
        <f t="shared" si="244"/>
        <v>6617667581</v>
      </c>
      <c r="Q534" s="1283">
        <f t="shared" si="244"/>
        <v>5508505087</v>
      </c>
      <c r="R534" s="1283">
        <f t="shared" si="244"/>
        <v>6253552987</v>
      </c>
      <c r="S534" s="1283">
        <f t="shared" si="244"/>
        <v>6257769480</v>
      </c>
      <c r="T534" s="1283">
        <f t="shared" si="244"/>
        <v>6481107879</v>
      </c>
      <c r="U534" s="1283">
        <f t="shared" si="244"/>
        <v>6421218020</v>
      </c>
      <c r="V534" s="1283">
        <f t="shared" si="244"/>
        <v>6787680570</v>
      </c>
      <c r="W534" s="1283">
        <f t="shared" si="244"/>
        <v>7026995907</v>
      </c>
      <c r="X534" s="1283">
        <f t="shared" si="244"/>
        <v>8396652227</v>
      </c>
      <c r="Y534" s="1283">
        <f t="shared" si="244"/>
        <v>10997858918</v>
      </c>
      <c r="Z534" s="1283">
        <f t="shared" si="244"/>
        <v>10515305367</v>
      </c>
      <c r="AA534" s="1283">
        <f>AA535+Z536-AA536</f>
        <v>10812009180</v>
      </c>
      <c r="AB534" s="34">
        <f t="shared" ref="AB534:AB597" si="245">Z534-Y534</f>
        <v>-482553551</v>
      </c>
    </row>
    <row r="535" spans="2:30">
      <c r="B535" s="1158" t="s">
        <v>189</v>
      </c>
      <c r="C535" s="1159" t="s">
        <v>71</v>
      </c>
      <c r="D535" s="1159" t="s">
        <v>566</v>
      </c>
      <c r="E535" s="1159" t="s">
        <v>237</v>
      </c>
      <c r="F535" s="1159"/>
      <c r="G535" s="1159"/>
      <c r="H535" s="1159"/>
      <c r="I535" s="1162"/>
      <c r="J535" s="1159" t="str">
        <f t="shared" si="235"/>
        <v>lending_Payday_payday_VDS_</v>
      </c>
      <c r="K535" s="1149"/>
      <c r="L535" s="1274" t="s">
        <v>539</v>
      </c>
      <c r="M535" s="1151">
        <f>SUM(P535:AA535)</f>
        <v>92140337766</v>
      </c>
      <c r="N535" s="1149">
        <v>5224481293</v>
      </c>
      <c r="O535" s="1149">
        <v>6675824625</v>
      </c>
      <c r="P535" s="1149">
        <v>6550984528</v>
      </c>
      <c r="Q535" s="1149">
        <v>5427410948</v>
      </c>
      <c r="R535" s="1169">
        <v>6263597203</v>
      </c>
      <c r="S535" s="1169">
        <v>6226805804</v>
      </c>
      <c r="T535" s="1169">
        <v>6511277442</v>
      </c>
      <c r="U535" s="1169">
        <v>6421740781</v>
      </c>
      <c r="V535" s="1169">
        <v>6851571155</v>
      </c>
      <c r="W535" s="1169">
        <v>7025398016</v>
      </c>
      <c r="X535" s="1169">
        <v>8428697029</v>
      </c>
      <c r="Y535" s="1149">
        <v>11131659376</v>
      </c>
      <c r="Z535" s="1283">
        <v>10509569519</v>
      </c>
      <c r="AA535" s="1149">
        <v>10791625965</v>
      </c>
      <c r="AB535" s="34">
        <f t="shared" si="245"/>
        <v>-622089857</v>
      </c>
    </row>
    <row r="536" spans="2:30">
      <c r="B536" s="1158" t="s">
        <v>189</v>
      </c>
      <c r="C536" s="1159" t="s">
        <v>71</v>
      </c>
      <c r="D536" s="1159" t="s">
        <v>566</v>
      </c>
      <c r="E536" s="1159" t="s">
        <v>237</v>
      </c>
      <c r="F536" s="1159"/>
      <c r="G536" s="1159"/>
      <c r="H536" s="1159"/>
      <c r="I536" s="1160"/>
      <c r="J536" s="1159" t="str">
        <f t="shared" si="235"/>
        <v>lending_Payday_payday_VDS_</v>
      </c>
      <c r="K536" s="1149"/>
      <c r="L536" s="1274" t="s">
        <v>187</v>
      </c>
      <c r="M536" s="1151"/>
      <c r="N536" s="1282">
        <v>77091089</v>
      </c>
      <c r="O536" s="1282">
        <f>135438883+108487871</f>
        <v>243926754</v>
      </c>
      <c r="P536" s="1169">
        <v>177243701</v>
      </c>
      <c r="Q536" s="1169">
        <v>96149562</v>
      </c>
      <c r="R536" s="1169">
        <v>106193778</v>
      </c>
      <c r="S536" s="1169">
        <v>75230102</v>
      </c>
      <c r="T536" s="1169">
        <v>105399665</v>
      </c>
      <c r="U536" s="1169">
        <v>105922426</v>
      </c>
      <c r="V536" s="1169">
        <v>169813011</v>
      </c>
      <c r="W536" s="1169">
        <v>168215120</v>
      </c>
      <c r="X536" s="1169">
        <v>200259922</v>
      </c>
      <c r="Y536" s="1149">
        <f>330953177+3107203</f>
        <v>334060380</v>
      </c>
      <c r="Z536" s="1149">
        <v>328324532</v>
      </c>
      <c r="AA536" s="1282">
        <v>307941317</v>
      </c>
      <c r="AB536" s="34">
        <f t="shared" si="245"/>
        <v>-5735848</v>
      </c>
      <c r="AC536" s="34"/>
      <c r="AD536" s="34"/>
    </row>
    <row r="537" spans="2:30">
      <c r="B537" s="1158" t="s">
        <v>189</v>
      </c>
      <c r="C537" s="1159" t="s">
        <v>71</v>
      </c>
      <c r="D537" s="1159" t="s">
        <v>566</v>
      </c>
      <c r="E537" s="1159" t="s">
        <v>237</v>
      </c>
      <c r="F537" s="1159"/>
      <c r="G537" s="1159"/>
      <c r="H537" s="1159"/>
      <c r="I537" s="1162" t="s">
        <v>219</v>
      </c>
      <c r="J537" s="1159" t="str">
        <f t="shared" si="235"/>
        <v>lending_Payday_payday_VDS_COF</v>
      </c>
      <c r="K537" s="1149"/>
      <c r="L537" s="1240" t="s">
        <v>219</v>
      </c>
      <c r="M537" s="1149">
        <f>SUM(P537:AA537)</f>
        <v>11468347120.057247</v>
      </c>
      <c r="N537" s="1149">
        <v>579928398</v>
      </c>
      <c r="O537" s="1149">
        <v>671490273</v>
      </c>
      <c r="P537" s="1169">
        <v>759005243</v>
      </c>
      <c r="Q537" s="1169">
        <v>666616571</v>
      </c>
      <c r="R537" s="1169">
        <v>687424458.05724812</v>
      </c>
      <c r="S537" s="1169">
        <v>697574177</v>
      </c>
      <c r="T537" s="1169">
        <v>735128583</v>
      </c>
      <c r="U537" s="1169">
        <v>732778462</v>
      </c>
      <c r="V537" s="1290">
        <v>811523709</v>
      </c>
      <c r="W537" s="1290">
        <v>904678030</v>
      </c>
      <c r="X537" s="1290">
        <v>1021781035</v>
      </c>
      <c r="Y537" s="1253">
        <f>1374824794+23340939</f>
        <v>1398165733</v>
      </c>
      <c r="Z537" s="1149">
        <f>1415702488+16603605</f>
        <v>1432306093</v>
      </c>
      <c r="AA537" s="1149">
        <v>1621365026</v>
      </c>
      <c r="AB537" s="34">
        <f t="shared" si="245"/>
        <v>34140360</v>
      </c>
    </row>
    <row r="538" spans="2:30">
      <c r="B538" s="1158" t="s">
        <v>189</v>
      </c>
      <c r="C538" s="1159" t="s">
        <v>71</v>
      </c>
      <c r="D538" s="1159" t="s">
        <v>566</v>
      </c>
      <c r="E538" s="1159" t="s">
        <v>237</v>
      </c>
      <c r="F538" s="1159"/>
      <c r="G538" s="1159"/>
      <c r="H538" s="1159"/>
      <c r="I538" s="1162" t="s">
        <v>260</v>
      </c>
      <c r="J538" s="1159" t="str">
        <f t="shared" si="235"/>
        <v>lending_Payday_payday_VDS_NFI</v>
      </c>
      <c r="K538" s="1149"/>
      <c r="L538" s="1239" t="s">
        <v>220</v>
      </c>
      <c r="M538" s="1150">
        <f t="shared" ref="M538:AA538" si="246">SUM(M539:M541)</f>
        <v>157521787268</v>
      </c>
      <c r="N538" s="1150">
        <f t="shared" si="246"/>
        <v>8384125441</v>
      </c>
      <c r="O538" s="1150">
        <f t="shared" si="246"/>
        <v>11631185387.205387</v>
      </c>
      <c r="P538" s="1150">
        <f t="shared" si="246"/>
        <v>9624081966</v>
      </c>
      <c r="Q538" s="1150">
        <f t="shared" si="246"/>
        <v>9054381468</v>
      </c>
      <c r="R538" s="1150">
        <f t="shared" si="246"/>
        <v>10739405805</v>
      </c>
      <c r="S538" s="1150">
        <f t="shared" si="246"/>
        <v>10305715564</v>
      </c>
      <c r="T538" s="1150">
        <f t="shared" si="246"/>
        <v>10585791480</v>
      </c>
      <c r="U538" s="1150">
        <f t="shared" si="246"/>
        <v>10405949150</v>
      </c>
      <c r="V538" s="1150">
        <f t="shared" si="246"/>
        <v>11204308263</v>
      </c>
      <c r="W538" s="1150">
        <f t="shared" si="246"/>
        <v>11640283901</v>
      </c>
      <c r="X538" s="1150">
        <f t="shared" si="246"/>
        <v>16675592948</v>
      </c>
      <c r="Y538" s="1150">
        <f t="shared" si="246"/>
        <v>20000504482</v>
      </c>
      <c r="Z538" s="1150">
        <f t="shared" si="246"/>
        <v>18189323006</v>
      </c>
      <c r="AA538" s="1150">
        <f t="shared" si="246"/>
        <v>19096449235</v>
      </c>
      <c r="AB538" s="34">
        <f t="shared" si="245"/>
        <v>-1811181476</v>
      </c>
    </row>
    <row r="539" spans="2:30">
      <c r="B539" s="1158" t="s">
        <v>189</v>
      </c>
      <c r="C539" s="1159" t="s">
        <v>71</v>
      </c>
      <c r="D539" s="1159" t="s">
        <v>566</v>
      </c>
      <c r="E539" s="1159" t="s">
        <v>237</v>
      </c>
      <c r="F539" s="1159"/>
      <c r="G539" s="1159"/>
      <c r="H539" s="1159"/>
      <c r="I539" s="1162" t="s">
        <v>546</v>
      </c>
      <c r="J539" s="1159" t="str">
        <f t="shared" si="235"/>
        <v>lending_Payday_payday_VDS_insurance_fee</v>
      </c>
      <c r="K539" s="1149"/>
      <c r="L539" s="1240" t="s">
        <v>540</v>
      </c>
      <c r="M539" s="1149">
        <f>SUM(P539:AA539)</f>
        <v>157521787268</v>
      </c>
      <c r="N539" s="1149">
        <v>8384125441</v>
      </c>
      <c r="O539" s="1248">
        <v>11631185387.205387</v>
      </c>
      <c r="P539" s="1248">
        <v>9624081966</v>
      </c>
      <c r="Q539" s="1248">
        <v>9054381468</v>
      </c>
      <c r="R539" s="1169">
        <v>10739405805</v>
      </c>
      <c r="S539" s="1169">
        <v>10305715564</v>
      </c>
      <c r="T539" s="1169">
        <v>10585791480</v>
      </c>
      <c r="U539" s="1169">
        <v>10405949150</v>
      </c>
      <c r="V539" s="1290">
        <v>11204308263</v>
      </c>
      <c r="W539" s="1149">
        <v>11640283901</v>
      </c>
      <c r="X539" s="1149">
        <v>16675592948</v>
      </c>
      <c r="Y539" s="1151">
        <v>20000504482</v>
      </c>
      <c r="Z539" s="1151">
        <v>18189323006</v>
      </c>
      <c r="AA539" s="1248">
        <v>19096449235</v>
      </c>
      <c r="AB539" s="34">
        <f t="shared" si="245"/>
        <v>-1811181476</v>
      </c>
    </row>
    <row r="540" spans="2:30">
      <c r="B540" s="1158" t="s">
        <v>189</v>
      </c>
      <c r="C540" s="1159" t="s">
        <v>71</v>
      </c>
      <c r="D540" s="1159" t="s">
        <v>566</v>
      </c>
      <c r="E540" s="1159" t="s">
        <v>237</v>
      </c>
      <c r="F540" s="1159"/>
      <c r="G540" s="1159"/>
      <c r="H540" s="1159"/>
      <c r="I540" s="1162" t="s">
        <v>547</v>
      </c>
      <c r="J540" s="1159" t="str">
        <f t="shared" si="235"/>
        <v>lending_Payday_payday_VDS_early_terminate_fee</v>
      </c>
      <c r="K540" s="1149"/>
      <c r="L540" s="1240" t="s">
        <v>541</v>
      </c>
      <c r="M540" s="1149">
        <f>SUM(P540:AA540)</f>
        <v>0</v>
      </c>
      <c r="N540" s="1149"/>
      <c r="O540" s="1248"/>
      <c r="P540" s="1169"/>
      <c r="Q540" s="1169"/>
      <c r="R540" s="1169"/>
      <c r="S540" s="1147"/>
      <c r="T540" s="1169"/>
      <c r="U540" s="1169"/>
      <c r="V540" s="1248"/>
      <c r="W540" s="1149"/>
      <c r="X540" s="1149"/>
      <c r="Y540" s="1149"/>
      <c r="Z540" s="1149"/>
      <c r="AA540" s="1248"/>
      <c r="AB540" s="34">
        <f t="shared" si="245"/>
        <v>0</v>
      </c>
    </row>
    <row r="541" spans="2:30">
      <c r="B541" s="1158" t="s">
        <v>189</v>
      </c>
      <c r="C541" s="1159" t="s">
        <v>71</v>
      </c>
      <c r="D541" s="1159" t="s">
        <v>566</v>
      </c>
      <c r="E541" s="1159" t="s">
        <v>237</v>
      </c>
      <c r="F541" s="1159"/>
      <c r="G541" s="1159"/>
      <c r="H541" s="1159"/>
      <c r="I541" s="1162" t="s">
        <v>548</v>
      </c>
      <c r="J541" s="1159" t="str">
        <f t="shared" si="235"/>
        <v>lending_Payday_payday_VDS_loan_grant_fee</v>
      </c>
      <c r="K541" s="1149"/>
      <c r="L541" s="1240" t="s">
        <v>542</v>
      </c>
      <c r="M541" s="1149">
        <f>SUM(P541:AA541)</f>
        <v>0</v>
      </c>
      <c r="N541" s="1149"/>
      <c r="O541" s="1248"/>
      <c r="P541" s="1169"/>
      <c r="Q541" s="1169"/>
      <c r="R541" s="1169"/>
      <c r="S541" s="1147"/>
      <c r="T541" s="1169"/>
      <c r="U541" s="1169"/>
      <c r="V541" s="1248"/>
      <c r="W541" s="1149"/>
      <c r="X541" s="1149"/>
      <c r="Y541" s="1149"/>
      <c r="Z541" s="1149"/>
      <c r="AA541" s="1248"/>
      <c r="AB541" s="34">
        <f t="shared" si="245"/>
        <v>0</v>
      </c>
    </row>
    <row r="542" spans="2:30" s="4" customFormat="1">
      <c r="B542" s="1158" t="s">
        <v>189</v>
      </c>
      <c r="C542" s="1159" t="s">
        <v>71</v>
      </c>
      <c r="D542" s="1159" t="s">
        <v>566</v>
      </c>
      <c r="E542" s="1159" t="s">
        <v>237</v>
      </c>
      <c r="F542" s="1159"/>
      <c r="G542" s="1159"/>
      <c r="H542" s="1159"/>
      <c r="I542" s="1162" t="s">
        <v>269</v>
      </c>
      <c r="J542" s="1159" t="str">
        <f t="shared" si="235"/>
        <v>lending_Payday_payday_VDS_other_TOI</v>
      </c>
      <c r="K542" s="1149"/>
      <c r="L542" s="1239" t="s">
        <v>89</v>
      </c>
      <c r="M542" s="1150">
        <f>SUM(P542:AA542)</f>
        <v>3354690441</v>
      </c>
      <c r="N542" s="1150">
        <v>17777076</v>
      </c>
      <c r="O542" s="1262">
        <v>29776257</v>
      </c>
      <c r="P542" s="1245">
        <v>18988353</v>
      </c>
      <c r="Q542" s="1245">
        <v>104644211</v>
      </c>
      <c r="R542" s="1245">
        <v>324280395</v>
      </c>
      <c r="S542" s="1245">
        <v>215892506</v>
      </c>
      <c r="T542" s="1245">
        <v>207869281</v>
      </c>
      <c r="U542" s="1245">
        <v>227331112</v>
      </c>
      <c r="V542" s="1245">
        <v>328945839</v>
      </c>
      <c r="W542" s="1150">
        <v>318723823</v>
      </c>
      <c r="X542" s="1150">
        <v>317807785</v>
      </c>
      <c r="Y542" s="1150">
        <v>402615041</v>
      </c>
      <c r="Z542" s="1150">
        <v>474536160</v>
      </c>
      <c r="AA542" s="1262">
        <v>413055935</v>
      </c>
      <c r="AB542" s="34">
        <f t="shared" si="245"/>
        <v>71921119</v>
      </c>
    </row>
    <row r="543" spans="2:30">
      <c r="B543" s="1158" t="s">
        <v>189</v>
      </c>
      <c r="C543" s="1159" t="s">
        <v>71</v>
      </c>
      <c r="D543" s="1159" t="s">
        <v>566</v>
      </c>
      <c r="E543" s="1159" t="s">
        <v>237</v>
      </c>
      <c r="F543" s="1159"/>
      <c r="G543" s="1159"/>
      <c r="H543" s="1159"/>
      <c r="I543" s="1162" t="s">
        <v>270</v>
      </c>
      <c r="J543" s="1159" t="str">
        <f t="shared" si="235"/>
        <v>lending_Payday_payday_VDS_provision</v>
      </c>
      <c r="K543" s="1149"/>
      <c r="L543" s="1245" t="s">
        <v>136</v>
      </c>
      <c r="M543" s="1150">
        <f>SUM(P543:AA543)</f>
        <v>83774493716</v>
      </c>
      <c r="N543" s="1245">
        <v>2777196993</v>
      </c>
      <c r="O543" s="1245">
        <f>3537304547+453516789</f>
        <v>3990821336</v>
      </c>
      <c r="P543" s="1245">
        <v>10007974585</v>
      </c>
      <c r="Q543" s="1275">
        <v>4027886923</v>
      </c>
      <c r="R543" s="1284">
        <f>4412555696+502704668</f>
        <v>4915260364</v>
      </c>
      <c r="S543" s="1275">
        <v>4114207096</v>
      </c>
      <c r="T543" s="1275">
        <v>5025024931</v>
      </c>
      <c r="U543" s="1275">
        <f>4778707699+612271375</f>
        <v>5390979074</v>
      </c>
      <c r="V543" s="1275">
        <v>6407518846</v>
      </c>
      <c r="W543" s="1245">
        <v>6834842576</v>
      </c>
      <c r="X543" s="1296">
        <f>8202098509+523359047</f>
        <v>8725457556</v>
      </c>
      <c r="Y543" s="1296">
        <f>8428996547+52366753</f>
        <v>8481363300</v>
      </c>
      <c r="Z543" s="1245">
        <f>9003831616-15684743</f>
        <v>8988146873</v>
      </c>
      <c r="AA543" s="1245">
        <f>10079139815+776691777</f>
        <v>10855831592</v>
      </c>
      <c r="AB543" s="34">
        <f t="shared" si="245"/>
        <v>506783573</v>
      </c>
    </row>
    <row r="544" spans="2:30">
      <c r="B544" s="1158" t="s">
        <v>189</v>
      </c>
      <c r="C544" s="1159" t="s">
        <v>71</v>
      </c>
      <c r="D544" s="1159" t="s">
        <v>566</v>
      </c>
      <c r="E544" s="1159" t="s">
        <v>237</v>
      </c>
      <c r="F544" s="1159"/>
      <c r="G544" s="1159"/>
      <c r="H544" s="1159"/>
      <c r="I544" s="1162" t="s">
        <v>271</v>
      </c>
      <c r="J544" s="1159" t="str">
        <f t="shared" si="235"/>
        <v>lending_Payday_payday_VDS_variable_cost</v>
      </c>
      <c r="K544" s="1149"/>
      <c r="L544" s="1245" t="s">
        <v>229</v>
      </c>
      <c r="M544" s="1150">
        <f t="shared" ref="M544:AA544" si="247">SUM(M545:M552)</f>
        <v>86433438421.943451</v>
      </c>
      <c r="N544" s="1150">
        <f t="shared" si="247"/>
        <v>4626544177.7028646</v>
      </c>
      <c r="O544" s="1150">
        <f t="shared" si="247"/>
        <v>5613002860.3589048</v>
      </c>
      <c r="P544" s="1150">
        <f t="shared" si="247"/>
        <v>6371738778.6115131</v>
      </c>
      <c r="Q544" s="1150">
        <f t="shared" si="247"/>
        <v>5837854131.9698095</v>
      </c>
      <c r="R544" s="1150">
        <f t="shared" si="247"/>
        <v>6033745984.9798002</v>
      </c>
      <c r="S544" s="1150">
        <f t="shared" si="247"/>
        <v>4503864111.3707399</v>
      </c>
      <c r="T544" s="1150">
        <f t="shared" si="247"/>
        <v>5100723417.6867952</v>
      </c>
      <c r="U544" s="1150">
        <f t="shared" si="247"/>
        <v>5444025453.6776085</v>
      </c>
      <c r="V544" s="1150">
        <f t="shared" si="247"/>
        <v>6151121410.1214657</v>
      </c>
      <c r="W544" s="1150">
        <f t="shared" si="247"/>
        <v>6204037767.794117</v>
      </c>
      <c r="X544" s="1150">
        <f t="shared" si="247"/>
        <v>8630878049.0437317</v>
      </c>
      <c r="Y544" s="1150">
        <f t="shared" si="247"/>
        <v>11557900316.345949</v>
      </c>
      <c r="Z544" s="1150">
        <f t="shared" si="247"/>
        <v>10411131276.106922</v>
      </c>
      <c r="AA544" s="1150">
        <f t="shared" si="247"/>
        <v>10186417724.234995</v>
      </c>
      <c r="AB544" s="34">
        <f t="shared" si="245"/>
        <v>-1146769040.239027</v>
      </c>
    </row>
    <row r="545" spans="2:29">
      <c r="B545" s="1158" t="s">
        <v>189</v>
      </c>
      <c r="C545" s="1159" t="s">
        <v>71</v>
      </c>
      <c r="D545" s="1159" t="s">
        <v>566</v>
      </c>
      <c r="E545" s="1159" t="s">
        <v>237</v>
      </c>
      <c r="F545" s="1159"/>
      <c r="G545" s="1159"/>
      <c r="H545" s="1159"/>
      <c r="I545" s="1162" t="s">
        <v>272</v>
      </c>
      <c r="J545" s="1159" t="str">
        <f t="shared" si="235"/>
        <v>lending_Payday_payday_VDS_marketing_acquisition_cost</v>
      </c>
      <c r="K545" s="1149"/>
      <c r="L545" s="1246" t="s">
        <v>230</v>
      </c>
      <c r="M545" s="1149">
        <f t="shared" ref="M545:M550" si="248">SUM(P545:AA545)</f>
        <v>0</v>
      </c>
      <c r="N545" s="1147"/>
      <c r="O545" s="1147"/>
      <c r="P545" s="1169"/>
      <c r="Q545" s="1169"/>
      <c r="R545" s="1169"/>
      <c r="S545" s="1147"/>
      <c r="T545" s="1169"/>
      <c r="U545" s="1169"/>
      <c r="V545" s="1169"/>
      <c r="W545" s="1169"/>
      <c r="X545" s="1169"/>
      <c r="Y545" s="1147"/>
      <c r="Z545" s="1147"/>
      <c r="AA545" s="1147"/>
      <c r="AB545" s="34">
        <f t="shared" si="245"/>
        <v>0</v>
      </c>
    </row>
    <row r="546" spans="2:29">
      <c r="B546" s="1158" t="s">
        <v>189</v>
      </c>
      <c r="C546" s="1159" t="s">
        <v>71</v>
      </c>
      <c r="D546" s="1159" t="s">
        <v>566</v>
      </c>
      <c r="E546" s="1159" t="s">
        <v>237</v>
      </c>
      <c r="F546" s="1159"/>
      <c r="G546" s="1159"/>
      <c r="H546" s="1159"/>
      <c r="I546" s="1162" t="s">
        <v>273</v>
      </c>
      <c r="J546" s="1159" t="str">
        <f t="shared" si="235"/>
        <v>lending_Payday_payday_VDS_partner_acquisition_cost</v>
      </c>
      <c r="K546" s="1149"/>
      <c r="L546" s="1246" t="s">
        <v>231</v>
      </c>
      <c r="M546" s="1149">
        <f t="shared" si="248"/>
        <v>78003270318</v>
      </c>
      <c r="N546" s="1169">
        <v>4119376663</v>
      </c>
      <c r="O546" s="1169">
        <v>4827982215</v>
      </c>
      <c r="P546" s="1169">
        <v>5599179707</v>
      </c>
      <c r="Q546" s="1169">
        <v>5076488265</v>
      </c>
      <c r="R546" s="1247">
        <v>5461932558</v>
      </c>
      <c r="S546" s="1247">
        <v>3906190174</v>
      </c>
      <c r="T546" s="1247">
        <v>4553817886</v>
      </c>
      <c r="U546" s="1169">
        <v>5017928237</v>
      </c>
      <c r="V546" s="1169">
        <v>5513494053</v>
      </c>
      <c r="W546" s="1169">
        <v>5568278878</v>
      </c>
      <c r="X546" s="1169">
        <v>7889734491</v>
      </c>
      <c r="Y546" s="1290">
        <v>10665948354</v>
      </c>
      <c r="Z546" s="1290">
        <v>9554690253</v>
      </c>
      <c r="AA546" s="1290">
        <v>9195587462</v>
      </c>
      <c r="AB546" s="34">
        <f t="shared" si="245"/>
        <v>-1111258101</v>
      </c>
    </row>
    <row r="547" spans="2:29">
      <c r="B547" s="1158" t="s">
        <v>189</v>
      </c>
      <c r="C547" s="1159" t="s">
        <v>71</v>
      </c>
      <c r="D547" s="1159" t="s">
        <v>566</v>
      </c>
      <c r="E547" s="1159" t="s">
        <v>237</v>
      </c>
      <c r="F547" s="1159"/>
      <c r="G547" s="1159"/>
      <c r="H547" s="1159"/>
      <c r="I547" s="1162" t="s">
        <v>274</v>
      </c>
      <c r="J547" s="1159" t="str">
        <f t="shared" si="235"/>
        <v>lending_Payday_payday_VDS_underwritting</v>
      </c>
      <c r="K547" s="1149"/>
      <c r="L547" s="1246" t="s">
        <v>232</v>
      </c>
      <c r="M547" s="1149">
        <f t="shared" si="248"/>
        <v>4818765608.3744764</v>
      </c>
      <c r="N547" s="1149">
        <v>246104717.44823804</v>
      </c>
      <c r="O547" s="1149">
        <v>442055621.77862608</v>
      </c>
      <c r="P547" s="1169">
        <v>291522757.61333001</v>
      </c>
      <c r="Q547" s="1169">
        <v>240014068.11673853</v>
      </c>
      <c r="R547" s="1169">
        <v>272840192.04200888</v>
      </c>
      <c r="S547" s="1169">
        <v>255545217.51362622</v>
      </c>
      <c r="T547" s="1169">
        <v>229686542.38777104</v>
      </c>
      <c r="U547" s="1169">
        <v>260278088.19064534</v>
      </c>
      <c r="V547" s="1169">
        <v>433648233.24278677</v>
      </c>
      <c r="W547" s="1169">
        <v>484439919.79249948</v>
      </c>
      <c r="X547" s="1169">
        <v>573740957.69338703</v>
      </c>
      <c r="Y547" s="1149">
        <v>589661198.56364572</v>
      </c>
      <c r="Z547" s="1149">
        <v>519288607.35783958</v>
      </c>
      <c r="AA547" s="1149">
        <v>668099825.8601979</v>
      </c>
      <c r="AB547" s="34">
        <f t="shared" si="245"/>
        <v>-70372591.205806136</v>
      </c>
    </row>
    <row r="548" spans="2:29">
      <c r="B548" s="1158" t="s">
        <v>189</v>
      </c>
      <c r="C548" s="1159" t="s">
        <v>71</v>
      </c>
      <c r="D548" s="1159" t="s">
        <v>566</v>
      </c>
      <c r="E548" s="1159" t="s">
        <v>237</v>
      </c>
      <c r="F548" s="1159"/>
      <c r="G548" s="1159"/>
      <c r="H548" s="1159"/>
      <c r="I548" s="1162" t="s">
        <v>275</v>
      </c>
      <c r="J548" s="1159" t="str">
        <f t="shared" si="235"/>
        <v>lending_Payday_payday_VDS_e_contract</v>
      </c>
      <c r="K548" s="1149"/>
      <c r="L548" s="1246" t="s">
        <v>233</v>
      </c>
      <c r="M548" s="1149">
        <f t="shared" si="248"/>
        <v>508195158</v>
      </c>
      <c r="N548" s="1169">
        <v>26021613</v>
      </c>
      <c r="O548" s="1169">
        <v>36448638</v>
      </c>
      <c r="P548" s="1169">
        <v>29781182</v>
      </c>
      <c r="Q548" s="1169">
        <v>28028005</v>
      </c>
      <c r="R548" s="1169">
        <v>33412222</v>
      </c>
      <c r="S548" s="1169">
        <v>84309997</v>
      </c>
      <c r="T548" s="1169">
        <v>32122983</v>
      </c>
      <c r="U548" s="1247">
        <v>30754114</v>
      </c>
      <c r="V548" s="1169">
        <v>32635650</v>
      </c>
      <c r="W548" s="1169">
        <v>33038695</v>
      </c>
      <c r="X548" s="1169">
        <v>48216308</v>
      </c>
      <c r="Y548" s="1169">
        <v>54630410</v>
      </c>
      <c r="Z548" s="1169">
        <v>48171782</v>
      </c>
      <c r="AA548" s="1169">
        <v>53093810</v>
      </c>
      <c r="AB548" s="34">
        <f t="shared" si="245"/>
        <v>-6458628</v>
      </c>
    </row>
    <row r="549" spans="2:29">
      <c r="B549" s="1158" t="s">
        <v>189</v>
      </c>
      <c r="C549" s="1159" t="s">
        <v>71</v>
      </c>
      <c r="D549" s="1159" t="s">
        <v>566</v>
      </c>
      <c r="E549" s="1159" t="s">
        <v>237</v>
      </c>
      <c r="F549" s="1159"/>
      <c r="G549" s="1159"/>
      <c r="H549" s="1159"/>
      <c r="I549" s="1162" t="s">
        <v>276</v>
      </c>
      <c r="J549" s="1159" t="str">
        <f t="shared" si="235"/>
        <v>lending_Payday_payday_VDS_nfc</v>
      </c>
      <c r="K549" s="1149"/>
      <c r="L549" s="1246" t="s">
        <v>152</v>
      </c>
      <c r="M549" s="1149">
        <f t="shared" si="248"/>
        <v>337213206.50667793</v>
      </c>
      <c r="N549" s="1169"/>
      <c r="O549" s="1169"/>
      <c r="P549" s="1169">
        <v>44403387.011742152</v>
      </c>
      <c r="Q549" s="1169">
        <v>27711856.198913936</v>
      </c>
      <c r="R549" s="1265">
        <v>41084667.622775041</v>
      </c>
      <c r="S549" s="1265">
        <v>34233701.447456285</v>
      </c>
      <c r="T549" s="1169">
        <v>34357565.340415493</v>
      </c>
      <c r="U549" s="1265">
        <v>37304930.75988663</v>
      </c>
      <c r="V549" s="1169">
        <v>27438953.199753683</v>
      </c>
      <c r="W549" s="1169">
        <v>18256869.672304671</v>
      </c>
      <c r="X549" s="1169">
        <v>17554554.358940888</v>
      </c>
      <c r="Y549" s="1169">
        <v>18397942.799043622</v>
      </c>
      <c r="Z549" s="1169">
        <v>16480206.290796345</v>
      </c>
      <c r="AA549" s="1169">
        <v>19988571.804649234</v>
      </c>
      <c r="AB549" s="34">
        <f t="shared" si="245"/>
        <v>-1917736.5082472768</v>
      </c>
    </row>
    <row r="550" spans="2:29">
      <c r="B550" s="1158" t="s">
        <v>189</v>
      </c>
      <c r="C550" s="1159" t="s">
        <v>71</v>
      </c>
      <c r="D550" s="1159" t="s">
        <v>566</v>
      </c>
      <c r="E550" s="1159" t="s">
        <v>237</v>
      </c>
      <c r="F550" s="1159"/>
      <c r="G550" s="1159"/>
      <c r="H550" s="1159"/>
      <c r="I550" s="1162" t="s">
        <v>277</v>
      </c>
      <c r="J550" s="1159" t="str">
        <f t="shared" si="235"/>
        <v>lending_Payday_payday_VDS_collection</v>
      </c>
      <c r="K550" s="1149"/>
      <c r="L550" s="1246" t="s">
        <v>234</v>
      </c>
      <c r="M550" s="1149">
        <f t="shared" si="248"/>
        <v>2492267889.791245</v>
      </c>
      <c r="N550" s="1149">
        <v>227239457.33446279</v>
      </c>
      <c r="O550" s="1149">
        <v>287433899.99039507</v>
      </c>
      <c r="P550" s="1149">
        <v>377920008.06414086</v>
      </c>
      <c r="Q550" s="1149">
        <v>451104189.99645036</v>
      </c>
      <c r="R550" s="1169">
        <v>205328232.38091636</v>
      </c>
      <c r="S550" s="1169">
        <v>197047431.28970414</v>
      </c>
      <c r="T550" s="1169">
        <v>230465627.20273829</v>
      </c>
      <c r="U550" s="1248">
        <v>80676668.105931282</v>
      </c>
      <c r="V550" s="1248">
        <v>120735740</v>
      </c>
      <c r="W550" s="1169">
        <v>83755698.965315849</v>
      </c>
      <c r="X550" s="1149">
        <v>79042770.070431769</v>
      </c>
      <c r="Y550" s="1149">
        <v>197969902.42208788</v>
      </c>
      <c r="Z550" s="1149">
        <v>243216855.95982009</v>
      </c>
      <c r="AA550" s="1149">
        <v>225004765.33370835</v>
      </c>
      <c r="AB550" s="34">
        <f t="shared" si="245"/>
        <v>45246953.537732214</v>
      </c>
    </row>
    <row r="551" spans="2:29">
      <c r="B551" s="1158" t="s">
        <v>189</v>
      </c>
      <c r="C551" s="1159" t="s">
        <v>71</v>
      </c>
      <c r="D551" s="1159" t="s">
        <v>566</v>
      </c>
      <c r="E551" s="1159" t="s">
        <v>237</v>
      </c>
      <c r="F551" s="1159"/>
      <c r="G551" s="1159"/>
      <c r="H551" s="1159"/>
      <c r="I551" s="1162" t="s">
        <v>278</v>
      </c>
      <c r="J551" s="1159" t="str">
        <f t="shared" si="235"/>
        <v>lending_Payday_payday_VDS_promotion</v>
      </c>
      <c r="K551" s="1149"/>
      <c r="L551" s="1246" t="s">
        <v>235</v>
      </c>
      <c r="M551" s="1149"/>
      <c r="N551" s="1149"/>
      <c r="O551" s="1149"/>
      <c r="P551" s="1149"/>
      <c r="Q551" s="1149"/>
      <c r="R551" s="1169"/>
      <c r="S551" s="1169"/>
      <c r="T551" s="1169"/>
      <c r="U551" s="1248"/>
      <c r="V551" s="1169"/>
      <c r="W551" s="1169"/>
      <c r="X551" s="1149"/>
      <c r="Y551" s="1149"/>
      <c r="Z551" s="1149"/>
      <c r="AA551" s="1149"/>
      <c r="AB551" s="34">
        <f t="shared" si="245"/>
        <v>0</v>
      </c>
    </row>
    <row r="552" spans="2:29">
      <c r="B552" s="1158" t="s">
        <v>189</v>
      </c>
      <c r="C552" s="1159" t="s">
        <v>71</v>
      </c>
      <c r="D552" s="1159" t="s">
        <v>566</v>
      </c>
      <c r="E552" s="1159" t="s">
        <v>237</v>
      </c>
      <c r="F552" s="1159"/>
      <c r="G552" s="1159"/>
      <c r="H552" s="1159"/>
      <c r="I552" s="1162" t="s">
        <v>279</v>
      </c>
      <c r="J552" s="1159" t="str">
        <f t="shared" si="235"/>
        <v>lending_Payday_payday_VDS_sms</v>
      </c>
      <c r="K552" s="1149"/>
      <c r="L552" s="1249" t="s">
        <v>163</v>
      </c>
      <c r="M552" s="1149">
        <f>SUM(P552:AA552)</f>
        <v>273726241.27104414</v>
      </c>
      <c r="N552" s="1247">
        <v>7801726.9201634098</v>
      </c>
      <c r="O552" s="1247">
        <v>19082485.589882895</v>
      </c>
      <c r="P552" s="1247">
        <v>28931736.922299597</v>
      </c>
      <c r="Q552" s="1247">
        <v>14507747.657706995</v>
      </c>
      <c r="R552" s="1247">
        <v>19148112.934098724</v>
      </c>
      <c r="S552" s="1247">
        <v>26537590.119952701</v>
      </c>
      <c r="T552" s="1247">
        <v>20272813.755870156</v>
      </c>
      <c r="U552" s="1265">
        <v>17083415.621145226</v>
      </c>
      <c r="V552" s="1169">
        <v>23168780.678925786</v>
      </c>
      <c r="W552" s="1169">
        <v>16267706.363996264</v>
      </c>
      <c r="X552" s="1169">
        <v>22588967.920971673</v>
      </c>
      <c r="Y552" s="1169">
        <v>31292508.561171047</v>
      </c>
      <c r="Z552" s="1169">
        <v>29283571.498465683</v>
      </c>
      <c r="AA552" s="1169">
        <v>24643289.23644029</v>
      </c>
      <c r="AB552" s="34">
        <f t="shared" si="245"/>
        <v>-2008937.0627053641</v>
      </c>
    </row>
    <row r="553" spans="2:29">
      <c r="B553" s="1158" t="s">
        <v>189</v>
      </c>
      <c r="C553" s="1159" t="s">
        <v>71</v>
      </c>
      <c r="D553" s="1159" t="s">
        <v>566</v>
      </c>
      <c r="E553" s="1159" t="s">
        <v>237</v>
      </c>
      <c r="F553" s="1159" t="str">
        <f>E553&amp;"PD"</f>
        <v>VDSPD</v>
      </c>
      <c r="G553" s="1159" t="str">
        <f>L553&amp;F553</f>
        <v>Profit before allocation costVDSPD</v>
      </c>
      <c r="H553" s="1408" t="str">
        <f>L553&amp;E553</f>
        <v>Profit before allocation costVDS</v>
      </c>
      <c r="I553" s="1162" t="s">
        <v>280</v>
      </c>
      <c r="J553" s="1159" t="str">
        <f t="shared" si="235"/>
        <v>lending_Payday_payday_VDS_profit_before_overhead</v>
      </c>
      <c r="K553" s="1149"/>
      <c r="L553" s="1359" t="s">
        <v>236</v>
      </c>
      <c r="M553" s="1359">
        <f t="shared" ref="M553:AA553" si="249">M532-M543-M544</f>
        <v>71276521653.999298</v>
      </c>
      <c r="N553" s="1359">
        <f t="shared" si="249"/>
        <v>5662323140.2971354</v>
      </c>
      <c r="O553" s="1359">
        <f t="shared" si="249"/>
        <v>7894636134.8464823</v>
      </c>
      <c r="P553" s="1359">
        <f t="shared" si="249"/>
        <v>-877980706.61151314</v>
      </c>
      <c r="Q553" s="1359">
        <f t="shared" si="249"/>
        <v>4135173140.0301905</v>
      </c>
      <c r="R553" s="1359">
        <f t="shared" si="249"/>
        <v>5680808379.9629526</v>
      </c>
      <c r="S553" s="1359">
        <f t="shared" si="249"/>
        <v>7463732165.6292601</v>
      </c>
      <c r="T553" s="1359">
        <f t="shared" si="249"/>
        <v>6413891708.3132048</v>
      </c>
      <c r="U553" s="1359">
        <f t="shared" si="249"/>
        <v>5486715292.3223915</v>
      </c>
      <c r="V553" s="1359">
        <f t="shared" si="249"/>
        <v>4950770706.8785343</v>
      </c>
      <c r="W553" s="1359">
        <f t="shared" si="249"/>
        <v>5042445257.205883</v>
      </c>
      <c r="X553" s="1359">
        <f t="shared" si="249"/>
        <v>7011936319.9562683</v>
      </c>
      <c r="Y553" s="1359">
        <f t="shared" si="249"/>
        <v>9963549091.6540508</v>
      </c>
      <c r="Z553" s="1359">
        <f t="shared" si="249"/>
        <v>8347580290.8930779</v>
      </c>
      <c r="AA553" s="1359">
        <f t="shared" si="249"/>
        <v>7657900007.7650051</v>
      </c>
      <c r="AB553" s="34">
        <f t="shared" si="245"/>
        <v>-1615968800.760973</v>
      </c>
      <c r="AC553" s="34">
        <f>SUM(P553:AA553)</f>
        <v>71276521653.999313</v>
      </c>
    </row>
    <row r="554" spans="2:29">
      <c r="B554" s="1158"/>
      <c r="C554" s="1159"/>
      <c r="D554" s="1159"/>
      <c r="E554" s="1159"/>
      <c r="F554" s="1159"/>
      <c r="G554" s="1159"/>
      <c r="H554" s="1159"/>
      <c r="I554" s="1160"/>
      <c r="J554" s="1159"/>
      <c r="K554" s="1149"/>
      <c r="L554" s="1153"/>
      <c r="M554" s="1150"/>
      <c r="N554" s="1150"/>
      <c r="O554" s="1150"/>
      <c r="P554" s="1150"/>
      <c r="Q554" s="1150"/>
      <c r="R554" s="1150"/>
      <c r="S554" s="1150"/>
      <c r="T554" s="1150"/>
      <c r="U554" s="1150"/>
      <c r="V554" s="1150"/>
      <c r="W554" s="1150"/>
      <c r="X554" s="1150"/>
      <c r="Y554" s="1150"/>
      <c r="Z554" s="1150"/>
      <c r="AA554" s="1150"/>
      <c r="AB554" s="34">
        <f t="shared" si="245"/>
        <v>0</v>
      </c>
    </row>
    <row r="555" spans="2:29">
      <c r="B555" s="1158" t="s">
        <v>189</v>
      </c>
      <c r="C555" s="1159" t="s">
        <v>71</v>
      </c>
      <c r="D555" s="1159" t="s">
        <v>566</v>
      </c>
      <c r="E555" s="1159" t="s">
        <v>237</v>
      </c>
      <c r="F555" s="1159"/>
      <c r="G555" s="1159"/>
      <c r="H555" s="1159"/>
      <c r="I555" s="1160"/>
      <c r="J555" s="1159" t="str">
        <f t="shared" ref="J555:J592" si="250">B555&amp;"_"&amp;C555&amp;"_"&amp;D555&amp;"_"&amp;E555&amp;"_"&amp;I555</f>
        <v>lending_Payday_payday_VDS_</v>
      </c>
      <c r="K555" s="1149"/>
      <c r="L555" s="1146" t="s">
        <v>568</v>
      </c>
      <c r="M555" s="1146"/>
      <c r="N555" s="1146"/>
      <c r="O555" s="1146"/>
      <c r="P555" s="1146"/>
      <c r="Q555" s="1146"/>
      <c r="R555" s="1146"/>
      <c r="S555" s="1146"/>
      <c r="T555" s="1146"/>
      <c r="U555" s="1146"/>
      <c r="V555" s="1146"/>
      <c r="W555" s="1146"/>
      <c r="X555" s="1146"/>
      <c r="Y555" s="1146"/>
      <c r="Z555" s="1146"/>
      <c r="AA555" s="1146"/>
      <c r="AB555" s="34">
        <f t="shared" si="245"/>
        <v>0</v>
      </c>
    </row>
    <row r="556" spans="2:29">
      <c r="B556" s="1158" t="s">
        <v>189</v>
      </c>
      <c r="C556" s="1159" t="s">
        <v>71</v>
      </c>
      <c r="D556" s="1159" t="s">
        <v>549</v>
      </c>
      <c r="E556" s="1159" t="s">
        <v>237</v>
      </c>
      <c r="F556" s="1159"/>
      <c r="G556" s="1159"/>
      <c r="H556" s="1159"/>
      <c r="I556" s="1162" t="s">
        <v>239</v>
      </c>
      <c r="J556" s="1159" t="str">
        <f t="shared" si="250"/>
        <v>lending_Payday_payroll_VDS_new_account</v>
      </c>
      <c r="K556" s="1149"/>
      <c r="L556" s="1148" t="s">
        <v>193</v>
      </c>
      <c r="M556" s="1149">
        <f>SUM(P556:AA556)</f>
        <v>2717</v>
      </c>
      <c r="N556" s="1169">
        <v>318</v>
      </c>
      <c r="O556" s="1169">
        <v>248</v>
      </c>
      <c r="P556" s="1267">
        <v>184</v>
      </c>
      <c r="Q556" s="1267">
        <v>254</v>
      </c>
      <c r="R556" s="1169">
        <v>366</v>
      </c>
      <c r="S556" s="1267">
        <v>268</v>
      </c>
      <c r="T556" s="1169">
        <v>191</v>
      </c>
      <c r="U556" s="1267">
        <v>117</v>
      </c>
      <c r="V556" s="1361">
        <v>191</v>
      </c>
      <c r="W556" s="1361">
        <v>216</v>
      </c>
      <c r="X556" s="1169">
        <v>232</v>
      </c>
      <c r="Y556" s="1169">
        <v>180</v>
      </c>
      <c r="Z556" s="1169">
        <v>244</v>
      </c>
      <c r="AA556" s="1169">
        <v>274</v>
      </c>
      <c r="AB556" s="34">
        <f t="shared" si="245"/>
        <v>64</v>
      </c>
    </row>
    <row r="557" spans="2:29">
      <c r="B557" s="1158" t="s">
        <v>189</v>
      </c>
      <c r="C557" s="1159" t="s">
        <v>71</v>
      </c>
      <c r="D557" s="1159" t="s">
        <v>549</v>
      </c>
      <c r="E557" s="1159" t="s">
        <v>237</v>
      </c>
      <c r="F557" s="1159"/>
      <c r="G557" s="1159"/>
      <c r="H557" s="1159"/>
      <c r="I557" s="1169" t="s">
        <v>527</v>
      </c>
      <c r="J557" s="1159" t="str">
        <f t="shared" si="250"/>
        <v>lending_Payday_payroll_VDS_Repeat account</v>
      </c>
      <c r="K557" s="1149"/>
      <c r="L557" s="1169" t="s">
        <v>527</v>
      </c>
      <c r="M557" s="1149">
        <f>SUM(P557:AA557)</f>
        <v>2247</v>
      </c>
      <c r="N557" s="1169">
        <v>196</v>
      </c>
      <c r="O557" s="1169">
        <v>177</v>
      </c>
      <c r="P557" s="1169">
        <v>121</v>
      </c>
      <c r="Q557" s="1267">
        <v>185</v>
      </c>
      <c r="R557" s="1169">
        <v>272</v>
      </c>
      <c r="S557" s="1267">
        <v>196</v>
      </c>
      <c r="T557" s="1169">
        <v>129</v>
      </c>
      <c r="U557" s="1267">
        <v>146</v>
      </c>
      <c r="V557" s="1169">
        <v>146</v>
      </c>
      <c r="W557" s="1169">
        <v>169</v>
      </c>
      <c r="X557" s="1169">
        <v>207</v>
      </c>
      <c r="Y557" s="1169">
        <v>215</v>
      </c>
      <c r="Z557" s="1169">
        <v>217</v>
      </c>
      <c r="AA557" s="1169">
        <v>244</v>
      </c>
      <c r="AB557" s="34">
        <f t="shared" si="245"/>
        <v>2</v>
      </c>
    </row>
    <row r="558" spans="2:29">
      <c r="B558" s="1158" t="s">
        <v>189</v>
      </c>
      <c r="C558" s="1159" t="s">
        <v>71</v>
      </c>
      <c r="D558" s="1159" t="s">
        <v>549</v>
      </c>
      <c r="E558" s="1159" t="s">
        <v>237</v>
      </c>
      <c r="F558" s="1159"/>
      <c r="G558" s="1159"/>
      <c r="H558" s="1159"/>
      <c r="I558" s="1162" t="s">
        <v>241</v>
      </c>
      <c r="J558" s="1159" t="str">
        <f t="shared" si="250"/>
        <v>lending_Payday_payroll_VDS_active_account</v>
      </c>
      <c r="K558" s="1149"/>
      <c r="L558" s="1148" t="s">
        <v>194</v>
      </c>
      <c r="M558" s="1149">
        <f>Z558</f>
        <v>172</v>
      </c>
      <c r="N558" s="1169">
        <v>256</v>
      </c>
      <c r="O558" s="1169">
        <v>161</v>
      </c>
      <c r="P558" s="1169">
        <v>144</v>
      </c>
      <c r="Q558" s="1267">
        <f>200-6</f>
        <v>194</v>
      </c>
      <c r="R558" s="1169">
        <f>255-7</f>
        <v>248</v>
      </c>
      <c r="S558" s="1169">
        <f>195-7</f>
        <v>188</v>
      </c>
      <c r="T558" s="1169">
        <f>143-7</f>
        <v>136</v>
      </c>
      <c r="U558" s="1267">
        <v>93</v>
      </c>
      <c r="V558" s="1169">
        <v>144</v>
      </c>
      <c r="W558" s="1169">
        <v>152</v>
      </c>
      <c r="X558" s="1361">
        <v>177</v>
      </c>
      <c r="Y558" s="1169">
        <v>154</v>
      </c>
      <c r="Z558" s="1169">
        <v>172</v>
      </c>
      <c r="AA558" s="1169">
        <v>190</v>
      </c>
      <c r="AB558" s="34">
        <f t="shared" si="245"/>
        <v>18</v>
      </c>
    </row>
    <row r="559" spans="2:29">
      <c r="B559" s="1158" t="s">
        <v>189</v>
      </c>
      <c r="C559" s="1159" t="s">
        <v>71</v>
      </c>
      <c r="D559" s="1159" t="s">
        <v>549</v>
      </c>
      <c r="E559" s="1159" t="s">
        <v>237</v>
      </c>
      <c r="F559" s="1159" t="str">
        <f>E559&amp;"PRPD"</f>
        <v>VDSPRPD</v>
      </c>
      <c r="G559" s="1159" t="str">
        <f>L559&amp;F559</f>
        <v>DisbursementVDSPRPD</v>
      </c>
      <c r="H559" s="1408" t="str">
        <f>L559&amp;E559</f>
        <v>DisbursementVDS</v>
      </c>
      <c r="I559" s="1162" t="s">
        <v>242</v>
      </c>
      <c r="J559" s="1159" t="str">
        <f t="shared" si="250"/>
        <v>lending_Payday_payroll_VDS_disburse/spend</v>
      </c>
      <c r="K559" s="1149"/>
      <c r="L559" s="1169" t="s">
        <v>80</v>
      </c>
      <c r="M559" s="1149">
        <f>SUM(P559:AA559)</f>
        <v>13884000000</v>
      </c>
      <c r="N559" s="1149">
        <v>1541000000</v>
      </c>
      <c r="O559" s="1149">
        <v>1170000000</v>
      </c>
      <c r="P559" s="1149">
        <v>874000000</v>
      </c>
      <c r="Q559" s="1149">
        <v>1301000000</v>
      </c>
      <c r="R559" s="1169">
        <v>2034000000</v>
      </c>
      <c r="S559" s="1169">
        <v>1527000000</v>
      </c>
      <c r="T559" s="1169">
        <v>954000000</v>
      </c>
      <c r="U559" s="1169">
        <v>536000000</v>
      </c>
      <c r="V559" s="1290">
        <v>894000000</v>
      </c>
      <c r="W559" s="1169">
        <v>1104000000</v>
      </c>
      <c r="X559" s="1169">
        <v>1189000000</v>
      </c>
      <c r="Y559" s="1169">
        <v>942000000</v>
      </c>
      <c r="Z559" s="1149">
        <v>1259000000</v>
      </c>
      <c r="AA559" s="1149">
        <v>1270000000</v>
      </c>
      <c r="AB559" s="34">
        <f>AA559-Z559</f>
        <v>11000000</v>
      </c>
      <c r="AC559" s="34">
        <f>SUM(P559:AA559)</f>
        <v>13884000000</v>
      </c>
    </row>
    <row r="560" spans="2:29">
      <c r="B560" s="1158" t="s">
        <v>189</v>
      </c>
      <c r="C560" s="1159" t="s">
        <v>71</v>
      </c>
      <c r="D560" s="1159" t="s">
        <v>549</v>
      </c>
      <c r="E560" s="1159" t="s">
        <v>237</v>
      </c>
      <c r="F560" s="1159"/>
      <c r="G560" s="1159"/>
      <c r="H560" s="1159"/>
      <c r="I560" s="1160"/>
      <c r="J560" s="1159" t="str">
        <f t="shared" si="250"/>
        <v>lending_Payday_payroll_VDS_</v>
      </c>
      <c r="K560" s="1149"/>
      <c r="L560" s="1169" t="s">
        <v>528</v>
      </c>
      <c r="M560" s="1149">
        <f>SUM(P560:AA560)</f>
        <v>13884000000</v>
      </c>
      <c r="N560" s="1169">
        <f t="shared" ref="N560:AA560" si="251">N559</f>
        <v>1541000000</v>
      </c>
      <c r="O560" s="1169">
        <f t="shared" si="251"/>
        <v>1170000000</v>
      </c>
      <c r="P560" s="1169">
        <f t="shared" si="251"/>
        <v>874000000</v>
      </c>
      <c r="Q560" s="1169">
        <f t="shared" si="251"/>
        <v>1301000000</v>
      </c>
      <c r="R560" s="1169">
        <f t="shared" si="251"/>
        <v>2034000000</v>
      </c>
      <c r="S560" s="1169">
        <f t="shared" si="251"/>
        <v>1527000000</v>
      </c>
      <c r="T560" s="1169">
        <f t="shared" si="251"/>
        <v>954000000</v>
      </c>
      <c r="U560" s="1169">
        <f t="shared" si="251"/>
        <v>536000000</v>
      </c>
      <c r="V560" s="1169">
        <f t="shared" si="251"/>
        <v>894000000</v>
      </c>
      <c r="W560" s="1169">
        <f t="shared" si="251"/>
        <v>1104000000</v>
      </c>
      <c r="X560" s="1169">
        <f t="shared" si="251"/>
        <v>1189000000</v>
      </c>
      <c r="Y560" s="1169">
        <f t="shared" si="251"/>
        <v>942000000</v>
      </c>
      <c r="Z560" s="1169">
        <f t="shared" si="251"/>
        <v>1259000000</v>
      </c>
      <c r="AA560" s="1169">
        <f t="shared" si="251"/>
        <v>1270000000</v>
      </c>
      <c r="AB560" s="34">
        <f t="shared" si="245"/>
        <v>317000000</v>
      </c>
    </row>
    <row r="561" spans="2:30">
      <c r="B561" s="1158" t="s">
        <v>189</v>
      </c>
      <c r="C561" s="1159" t="s">
        <v>71</v>
      </c>
      <c r="D561" s="1159" t="s">
        <v>549</v>
      </c>
      <c r="E561" s="1159" t="s">
        <v>237</v>
      </c>
      <c r="F561" s="1159"/>
      <c r="G561" s="1159"/>
      <c r="H561" s="1159"/>
      <c r="I561" s="1160"/>
      <c r="J561" s="1159" t="str">
        <f t="shared" si="250"/>
        <v>lending_Payday_payroll_VDS_</v>
      </c>
      <c r="K561" s="1149"/>
      <c r="L561" s="1169" t="s">
        <v>529</v>
      </c>
      <c r="M561" s="1149"/>
      <c r="N561" s="1149"/>
      <c r="O561" s="1149"/>
      <c r="P561" s="1149">
        <f>P559-P560</f>
        <v>0</v>
      </c>
      <c r="Q561" s="1149">
        <f>Q559-Q560</f>
        <v>0</v>
      </c>
      <c r="R561" s="1169"/>
      <c r="S561" s="1169"/>
      <c r="T561" s="1169"/>
      <c r="U561" s="1149"/>
      <c r="V561" s="1169"/>
      <c r="W561" s="1169"/>
      <c r="X561" s="1169"/>
      <c r="Y561" s="1169"/>
      <c r="Z561" s="1149"/>
      <c r="AA561" s="1149"/>
      <c r="AB561" s="34">
        <f t="shared" si="245"/>
        <v>0</v>
      </c>
    </row>
    <row r="562" spans="2:30">
      <c r="B562" s="1158" t="s">
        <v>189</v>
      </c>
      <c r="C562" s="1159" t="s">
        <v>71</v>
      </c>
      <c r="D562" s="1159" t="s">
        <v>549</v>
      </c>
      <c r="E562" s="1159" t="s">
        <v>237</v>
      </c>
      <c r="F562" s="1159"/>
      <c r="G562" s="1159"/>
      <c r="H562" s="1159"/>
      <c r="I562" s="1160" t="s">
        <v>243</v>
      </c>
      <c r="J562" s="1159" t="str">
        <f t="shared" si="250"/>
        <v>lending_Payday_payroll_VDS_ENR</v>
      </c>
      <c r="K562" s="1149"/>
      <c r="L562" s="1169" t="s">
        <v>530</v>
      </c>
      <c r="M562" s="1149">
        <f>AA562</f>
        <v>945628618</v>
      </c>
      <c r="N562" s="1169">
        <v>1277510029</v>
      </c>
      <c r="O562" s="1149">
        <v>843613717</v>
      </c>
      <c r="P562" s="1169">
        <v>702546481</v>
      </c>
      <c r="Q562" s="1169">
        <v>1073120069</v>
      </c>
      <c r="R562" s="1169">
        <v>1474133574</v>
      </c>
      <c r="S562" s="1169">
        <v>1096781117</v>
      </c>
      <c r="T562" s="1169">
        <v>703433660</v>
      </c>
      <c r="U562" s="1169">
        <v>456450079</v>
      </c>
      <c r="V562" s="1169">
        <v>725320685</v>
      </c>
      <c r="W562" s="1149">
        <v>829838932</v>
      </c>
      <c r="X562" s="1169">
        <v>960104033</v>
      </c>
      <c r="Y562" s="1169">
        <v>894714178</v>
      </c>
      <c r="Z562" s="1169">
        <v>943729961</v>
      </c>
      <c r="AA562" s="1149">
        <v>945628618</v>
      </c>
      <c r="AB562" s="34">
        <f t="shared" si="245"/>
        <v>49015783</v>
      </c>
    </row>
    <row r="563" spans="2:30">
      <c r="B563" s="1158" t="s">
        <v>189</v>
      </c>
      <c r="C563" s="1159" t="s">
        <v>71</v>
      </c>
      <c r="D563" s="1159" t="s">
        <v>549</v>
      </c>
      <c r="E563" s="1159" t="s">
        <v>237</v>
      </c>
      <c r="F563" s="1159"/>
      <c r="G563" s="1159"/>
      <c r="H563" s="1159"/>
      <c r="I563" s="1160"/>
      <c r="J563" s="1159" t="str">
        <f t="shared" si="250"/>
        <v>lending_Payday_payroll_VDS_</v>
      </c>
      <c r="K563" s="1149"/>
      <c r="L563" s="1235" t="s">
        <v>531</v>
      </c>
      <c r="M563" s="1236"/>
      <c r="N563" s="1255">
        <f t="shared" ref="N563:AA563" si="252">N562-N564</f>
        <v>1194960000</v>
      </c>
      <c r="O563" s="1255">
        <f t="shared" si="252"/>
        <v>772000000</v>
      </c>
      <c r="P563" s="1255">
        <f t="shared" si="252"/>
        <v>640000000</v>
      </c>
      <c r="Q563" s="1255">
        <f t="shared" si="252"/>
        <v>1042000000</v>
      </c>
      <c r="R563" s="1255">
        <f t="shared" si="252"/>
        <v>1410500000</v>
      </c>
      <c r="S563" s="1255">
        <f t="shared" si="252"/>
        <v>1050000000</v>
      </c>
      <c r="T563" s="1255">
        <f t="shared" si="252"/>
        <v>651000000</v>
      </c>
      <c r="U563" s="1255">
        <f t="shared" si="252"/>
        <v>415920214</v>
      </c>
      <c r="V563" s="1255">
        <f t="shared" si="252"/>
        <v>689600000</v>
      </c>
      <c r="W563" s="1255">
        <f t="shared" si="252"/>
        <v>783000000</v>
      </c>
      <c r="X563" s="1255">
        <f t="shared" si="252"/>
        <v>917413997</v>
      </c>
      <c r="Y563" s="1255">
        <f t="shared" si="252"/>
        <v>883500000</v>
      </c>
      <c r="Z563" s="1255">
        <f t="shared" si="252"/>
        <v>929000000</v>
      </c>
      <c r="AA563" s="1255">
        <f t="shared" si="252"/>
        <v>933200000</v>
      </c>
      <c r="AB563" s="34">
        <f t="shared" si="245"/>
        <v>45500000</v>
      </c>
    </row>
    <row r="564" spans="2:30">
      <c r="B564" s="1158" t="s">
        <v>189</v>
      </c>
      <c r="C564" s="1159" t="s">
        <v>71</v>
      </c>
      <c r="D564" s="1159" t="s">
        <v>549</v>
      </c>
      <c r="E564" s="1159" t="s">
        <v>237</v>
      </c>
      <c r="F564" s="1159"/>
      <c r="G564" s="1159"/>
      <c r="H564" s="1159"/>
      <c r="I564" s="1160"/>
      <c r="J564" s="1159" t="str">
        <f t="shared" si="250"/>
        <v>lending_Payday_payroll_VDS_</v>
      </c>
      <c r="K564" s="1149"/>
      <c r="L564" s="1235" t="s">
        <v>532</v>
      </c>
      <c r="M564" s="1236"/>
      <c r="N564" s="1255">
        <v>82550029</v>
      </c>
      <c r="O564" s="1255">
        <v>71613717</v>
      </c>
      <c r="P564" s="1255">
        <v>62546481</v>
      </c>
      <c r="Q564" s="1255">
        <v>31120069</v>
      </c>
      <c r="R564" s="1255">
        <v>63633574</v>
      </c>
      <c r="S564" s="1255">
        <v>46781117</v>
      </c>
      <c r="T564" s="1255">
        <v>52433660</v>
      </c>
      <c r="U564" s="1255">
        <v>40529865</v>
      </c>
      <c r="V564" s="1255">
        <v>35720685</v>
      </c>
      <c r="W564" s="1236">
        <v>46838932</v>
      </c>
      <c r="X564" s="1255">
        <v>42690036</v>
      </c>
      <c r="Y564" s="1255">
        <v>11214178</v>
      </c>
      <c r="Z564" s="1255">
        <v>14729961</v>
      </c>
      <c r="AA564" s="1255">
        <v>12428618</v>
      </c>
      <c r="AB564" s="34">
        <f t="shared" si="245"/>
        <v>3515783</v>
      </c>
    </row>
    <row r="565" spans="2:30">
      <c r="B565" s="1158" t="s">
        <v>189</v>
      </c>
      <c r="C565" s="1159" t="s">
        <v>71</v>
      </c>
      <c r="D565" s="1159" t="s">
        <v>549</v>
      </c>
      <c r="E565" s="1159" t="s">
        <v>237</v>
      </c>
      <c r="F565" s="1159"/>
      <c r="G565" s="1159"/>
      <c r="H565" s="1159"/>
      <c r="I565" s="1160"/>
      <c r="J565" s="1159" t="str">
        <f t="shared" si="250"/>
        <v>lending_Payday_payroll_VDS_</v>
      </c>
      <c r="K565" s="1149"/>
      <c r="L565" s="1148" t="s">
        <v>533</v>
      </c>
      <c r="M565" s="1236"/>
      <c r="N565" s="1255">
        <v>53815869</v>
      </c>
      <c r="O565" s="1255">
        <v>50805536</v>
      </c>
      <c r="P565" s="1255">
        <v>48556183</v>
      </c>
      <c r="Q565" s="1255">
        <v>11805930</v>
      </c>
      <c r="R565" s="1255">
        <v>13490000</v>
      </c>
      <c r="S565" s="1255">
        <v>13990298</v>
      </c>
      <c r="T565" s="1255">
        <v>13990298</v>
      </c>
      <c r="U565" s="1255">
        <v>30071494</v>
      </c>
      <c r="V565" s="1292">
        <v>22581494</v>
      </c>
      <c r="W565" s="1255">
        <v>24524841</v>
      </c>
      <c r="X565" s="1255">
        <v>27253808</v>
      </c>
      <c r="Y565" s="1255">
        <v>8204961</v>
      </c>
      <c r="Z565" s="1255">
        <v>8729961</v>
      </c>
      <c r="AA565" s="1255">
        <v>3000000</v>
      </c>
      <c r="AB565" s="34">
        <f t="shared" si="245"/>
        <v>525000</v>
      </c>
    </row>
    <row r="566" spans="2:30">
      <c r="B566" s="1158" t="s">
        <v>189</v>
      </c>
      <c r="C566" s="1159" t="s">
        <v>71</v>
      </c>
      <c r="D566" s="1159" t="s">
        <v>549</v>
      </c>
      <c r="E566" s="1159" t="s">
        <v>237</v>
      </c>
      <c r="F566" s="1159"/>
      <c r="G566" s="1159"/>
      <c r="H566" s="1159"/>
      <c r="I566" s="1162" t="s">
        <v>247</v>
      </c>
      <c r="J566" s="1159" t="str">
        <f t="shared" si="250"/>
        <v>lending_Payday_payroll_VDS_overdue_balance_10d</v>
      </c>
      <c r="K566" s="1149"/>
      <c r="L566" s="1169" t="s">
        <v>534</v>
      </c>
      <c r="M566" s="1236"/>
      <c r="N566" s="1255">
        <v>67391873</v>
      </c>
      <c r="O566" s="1255">
        <v>63670350</v>
      </c>
      <c r="P566" s="1255">
        <v>62546481</v>
      </c>
      <c r="Q566" s="1255">
        <v>31120069</v>
      </c>
      <c r="R566" s="1255">
        <v>57638574</v>
      </c>
      <c r="S566" s="1255">
        <v>43793158</v>
      </c>
      <c r="T566" s="1169">
        <v>45539857</v>
      </c>
      <c r="U566" s="1169">
        <v>44534038</v>
      </c>
      <c r="V566" s="1290">
        <v>40968249</v>
      </c>
      <c r="W566" s="1236">
        <v>39007238</v>
      </c>
      <c r="X566" s="1255">
        <v>50253808</v>
      </c>
      <c r="Y566" s="1255">
        <v>11204961</v>
      </c>
      <c r="Z566" s="1255">
        <v>13729961</v>
      </c>
      <c r="AA566" s="1255">
        <v>21428618</v>
      </c>
      <c r="AB566" s="34">
        <f t="shared" si="245"/>
        <v>2525000</v>
      </c>
    </row>
    <row r="567" spans="2:30">
      <c r="B567" s="1158" t="s">
        <v>189</v>
      </c>
      <c r="C567" s="1159" t="s">
        <v>71</v>
      </c>
      <c r="D567" s="1159" t="s">
        <v>549</v>
      </c>
      <c r="E567" s="1159" t="s">
        <v>237</v>
      </c>
      <c r="F567" s="1159"/>
      <c r="G567" s="1159"/>
      <c r="H567" s="1159"/>
      <c r="I567" s="1162" t="s">
        <v>248</v>
      </c>
      <c r="J567" s="1159" t="str">
        <f t="shared" si="250"/>
        <v>lending_Payday_payroll_VDS_overdue_balance_90d</v>
      </c>
      <c r="K567" s="1149"/>
      <c r="L567" s="1169" t="s">
        <v>535</v>
      </c>
      <c r="M567" s="1149"/>
      <c r="N567" s="1169">
        <v>53815869</v>
      </c>
      <c r="O567" s="1169">
        <v>50805536</v>
      </c>
      <c r="P567" s="1169">
        <v>62546481</v>
      </c>
      <c r="Q567" s="1169">
        <v>11805930</v>
      </c>
      <c r="R567" s="1169">
        <v>13990298</v>
      </c>
      <c r="S567" s="1255">
        <v>13990298</v>
      </c>
      <c r="T567" s="1169">
        <v>13990298</v>
      </c>
      <c r="U567" s="1169">
        <v>30071494</v>
      </c>
      <c r="V567" s="1290">
        <v>22581494</v>
      </c>
      <c r="W567" s="1169">
        <v>24524841</v>
      </c>
      <c r="X567" s="1169">
        <v>27253808</v>
      </c>
      <c r="Y567" s="1292">
        <v>8204961</v>
      </c>
      <c r="Z567" s="1169">
        <v>8729961</v>
      </c>
      <c r="AA567" s="1169">
        <v>3000000</v>
      </c>
      <c r="AB567" s="34">
        <f t="shared" si="245"/>
        <v>525000</v>
      </c>
    </row>
    <row r="568" spans="2:30">
      <c r="B568" s="1158" t="s">
        <v>189</v>
      </c>
      <c r="C568" s="1159" t="s">
        <v>71</v>
      </c>
      <c r="D568" s="1159" t="s">
        <v>549</v>
      </c>
      <c r="E568" s="1159" t="s">
        <v>237</v>
      </c>
      <c r="F568" s="1159"/>
      <c r="G568" s="1159"/>
      <c r="H568" s="1159"/>
      <c r="I568" s="1160"/>
      <c r="J568" s="1159" t="str">
        <f t="shared" si="250"/>
        <v>lending_Payday_payroll_VDS_</v>
      </c>
      <c r="K568" s="1149"/>
      <c r="L568" s="1169" t="s">
        <v>536</v>
      </c>
      <c r="M568" s="1236"/>
      <c r="N568" s="1255">
        <f t="shared" ref="N568:AA568" si="253">N566-N567</f>
        <v>13576004</v>
      </c>
      <c r="O568" s="1255">
        <f t="shared" si="253"/>
        <v>12864814</v>
      </c>
      <c r="P568" s="1255">
        <f t="shared" si="253"/>
        <v>0</v>
      </c>
      <c r="Q568" s="1255">
        <f t="shared" si="253"/>
        <v>19314139</v>
      </c>
      <c r="R568" s="1255">
        <f t="shared" si="253"/>
        <v>43648276</v>
      </c>
      <c r="S568" s="1255">
        <f t="shared" si="253"/>
        <v>29802860</v>
      </c>
      <c r="T568" s="1255">
        <f t="shared" si="253"/>
        <v>31549559</v>
      </c>
      <c r="U568" s="1255">
        <f t="shared" si="253"/>
        <v>14462544</v>
      </c>
      <c r="V568" s="1255">
        <f t="shared" si="253"/>
        <v>18386755</v>
      </c>
      <c r="W568" s="1255">
        <f t="shared" si="253"/>
        <v>14482397</v>
      </c>
      <c r="X568" s="1255">
        <f t="shared" si="253"/>
        <v>23000000</v>
      </c>
      <c r="Y568" s="1255">
        <f t="shared" si="253"/>
        <v>3000000</v>
      </c>
      <c r="Z568" s="1255">
        <f t="shared" si="253"/>
        <v>5000000</v>
      </c>
      <c r="AA568" s="1255">
        <f t="shared" si="253"/>
        <v>18428618</v>
      </c>
      <c r="AB568" s="34">
        <f t="shared" si="245"/>
        <v>2000000</v>
      </c>
      <c r="AC568" s="34"/>
    </row>
    <row r="569" spans="2:30">
      <c r="B569" s="1158" t="s">
        <v>189</v>
      </c>
      <c r="C569" s="1159" t="s">
        <v>71</v>
      </c>
      <c r="D569" s="1159" t="s">
        <v>549</v>
      </c>
      <c r="E569" s="1159" t="s">
        <v>237</v>
      </c>
      <c r="F569" s="1159"/>
      <c r="G569" s="1159"/>
      <c r="H569" s="1159"/>
      <c r="I569" s="1160"/>
      <c r="J569" s="1159" t="str">
        <f t="shared" si="250"/>
        <v>lending_Payday_payroll_VDS_</v>
      </c>
      <c r="K569" s="1149"/>
      <c r="L569" s="1169" t="s">
        <v>537</v>
      </c>
      <c r="M569" s="1149"/>
      <c r="N569" s="1269">
        <f t="shared" ref="N569:AA569" si="254">N565/N562</f>
        <v>4.2125594146705518E-2</v>
      </c>
      <c r="O569" s="1269">
        <f t="shared" si="254"/>
        <v>6.0223695959652108E-2</v>
      </c>
      <c r="P569" s="1269">
        <f t="shared" si="254"/>
        <v>6.91145487354594E-2</v>
      </c>
      <c r="Q569" s="1269">
        <f t="shared" si="254"/>
        <v>1.1001499590816059E-2</v>
      </c>
      <c r="R569" s="1269">
        <f t="shared" si="254"/>
        <v>9.1511381586645828E-3</v>
      </c>
      <c r="S569" s="1269">
        <f t="shared" si="254"/>
        <v>1.2755779419568545E-2</v>
      </c>
      <c r="T569" s="1269">
        <f t="shared" si="254"/>
        <v>1.9888581959526929E-2</v>
      </c>
      <c r="U569" s="1269">
        <f t="shared" si="254"/>
        <v>6.588123298364025E-2</v>
      </c>
      <c r="V569" s="1269">
        <f t="shared" si="254"/>
        <v>3.1133117346570642E-2</v>
      </c>
      <c r="W569" s="1269">
        <f t="shared" si="254"/>
        <v>2.9553736338800745E-2</v>
      </c>
      <c r="X569" s="1269">
        <f t="shared" si="254"/>
        <v>2.8386307174276811E-2</v>
      </c>
      <c r="Y569" s="1269">
        <f t="shared" si="254"/>
        <v>9.1704828220571695E-3</v>
      </c>
      <c r="Z569" s="1269">
        <f t="shared" si="254"/>
        <v>9.2504862203903263E-3</v>
      </c>
      <c r="AA569" s="1269">
        <f t="shared" si="254"/>
        <v>3.1724928189514673E-3</v>
      </c>
      <c r="AB569" s="34">
        <f t="shared" si="245"/>
        <v>8.0003398333156756E-5</v>
      </c>
    </row>
    <row r="570" spans="2:30">
      <c r="B570" s="1158" t="s">
        <v>189</v>
      </c>
      <c r="C570" s="1159" t="s">
        <v>71</v>
      </c>
      <c r="D570" s="1159" t="s">
        <v>549</v>
      </c>
      <c r="E570" s="1159" t="s">
        <v>237</v>
      </c>
      <c r="F570" s="1159"/>
      <c r="G570" s="1159"/>
      <c r="H570" s="1159"/>
      <c r="I570" s="1162" t="s">
        <v>213</v>
      </c>
      <c r="J570" s="1159" t="str">
        <f t="shared" si="250"/>
        <v>lending_Payday_payroll_VDS_npl</v>
      </c>
      <c r="K570" s="1149"/>
      <c r="L570" s="1169" t="s">
        <v>538</v>
      </c>
      <c r="M570" s="1149"/>
      <c r="N570" s="1237">
        <f t="shared" ref="N570:AA570" si="255">N567/N562</f>
        <v>4.2125594146705518E-2</v>
      </c>
      <c r="O570" s="1237">
        <f t="shared" si="255"/>
        <v>6.0223695959652108E-2</v>
      </c>
      <c r="P570" s="1237">
        <f t="shared" si="255"/>
        <v>8.9028246089812815E-2</v>
      </c>
      <c r="Q570" s="1237">
        <f t="shared" si="255"/>
        <v>1.1001499590816059E-2</v>
      </c>
      <c r="R570" s="1237">
        <f t="shared" si="255"/>
        <v>9.4905226003624017E-3</v>
      </c>
      <c r="S570" s="1237">
        <f t="shared" si="255"/>
        <v>1.2755779419568545E-2</v>
      </c>
      <c r="T570" s="1237">
        <f t="shared" si="255"/>
        <v>1.9888581959526929E-2</v>
      </c>
      <c r="U570" s="1237">
        <f t="shared" si="255"/>
        <v>6.588123298364025E-2</v>
      </c>
      <c r="V570" s="1237">
        <f t="shared" si="255"/>
        <v>3.1133117346570642E-2</v>
      </c>
      <c r="W570" s="1237">
        <f t="shared" si="255"/>
        <v>2.9553736338800745E-2</v>
      </c>
      <c r="X570" s="1237">
        <f t="shared" si="255"/>
        <v>2.8386307174276811E-2</v>
      </c>
      <c r="Y570" s="1237">
        <f t="shared" si="255"/>
        <v>9.1704828220571695E-3</v>
      </c>
      <c r="Z570" s="1237">
        <f t="shared" si="255"/>
        <v>9.2504862203903263E-3</v>
      </c>
      <c r="AA570" s="1237">
        <f t="shared" si="255"/>
        <v>3.1724928189514673E-3</v>
      </c>
      <c r="AB570" s="34">
        <f t="shared" si="245"/>
        <v>8.0003398333156756E-5</v>
      </c>
    </row>
    <row r="571" spans="2:30">
      <c r="B571" s="1158" t="s">
        <v>189</v>
      </c>
      <c r="C571" s="1159" t="s">
        <v>71</v>
      </c>
      <c r="D571" s="1159" t="s">
        <v>549</v>
      </c>
      <c r="E571" s="1159" t="s">
        <v>237</v>
      </c>
      <c r="F571" s="1159" t="str">
        <f>E571&amp;"PRPD"</f>
        <v>VDSPRPD</v>
      </c>
      <c r="G571" s="1159" t="str">
        <f>L571&amp;F571</f>
        <v>TOIVDSPRPD</v>
      </c>
      <c r="H571" s="1408" t="str">
        <f>L571&amp;E571</f>
        <v>TOIVDS</v>
      </c>
      <c r="I571" s="1162" t="s">
        <v>217</v>
      </c>
      <c r="J571" s="1159" t="str">
        <f t="shared" si="250"/>
        <v>lending_Payday_payroll_VDS_TOI</v>
      </c>
      <c r="K571" s="1149"/>
      <c r="L571" s="1238" t="s">
        <v>217</v>
      </c>
      <c r="M571" s="1150">
        <f t="shared" ref="M571:AA571" si="256">M572+M577+M581</f>
        <v>357379858.89899999</v>
      </c>
      <c r="N571" s="1150">
        <f t="shared" si="256"/>
        <v>38574309</v>
      </c>
      <c r="O571" s="1150">
        <f t="shared" si="256"/>
        <v>28080752</v>
      </c>
      <c r="P571" s="1150">
        <f t="shared" si="256"/>
        <v>23143164</v>
      </c>
      <c r="Q571" s="1150">
        <f t="shared" si="256"/>
        <v>34587284</v>
      </c>
      <c r="R571" s="1150">
        <f t="shared" si="256"/>
        <v>52688462.899000004</v>
      </c>
      <c r="S571" s="1150">
        <f t="shared" si="256"/>
        <v>38651293</v>
      </c>
      <c r="T571" s="1150">
        <f t="shared" si="256"/>
        <v>24145103</v>
      </c>
      <c r="U571" s="1150">
        <f t="shared" si="256"/>
        <v>12915028</v>
      </c>
      <c r="V571" s="1150">
        <f t="shared" si="256"/>
        <v>24939333</v>
      </c>
      <c r="W571" s="1150">
        <f t="shared" si="256"/>
        <v>25983537</v>
      </c>
      <c r="X571" s="1150">
        <f t="shared" si="256"/>
        <v>28345670</v>
      </c>
      <c r="Y571" s="1150">
        <f t="shared" si="256"/>
        <v>29015426</v>
      </c>
      <c r="Z571" s="1150">
        <f t="shared" si="256"/>
        <v>31282607</v>
      </c>
      <c r="AA571" s="1150">
        <f t="shared" si="256"/>
        <v>31682951</v>
      </c>
      <c r="AB571" s="34">
        <f t="shared" si="245"/>
        <v>2267181</v>
      </c>
      <c r="AC571" s="34">
        <f>SUM(P571:AA571)</f>
        <v>357379858.89899999</v>
      </c>
    </row>
    <row r="572" spans="2:30">
      <c r="B572" s="1158" t="s">
        <v>189</v>
      </c>
      <c r="C572" s="1159" t="s">
        <v>71</v>
      </c>
      <c r="D572" s="1159" t="s">
        <v>549</v>
      </c>
      <c r="E572" s="1159" t="s">
        <v>237</v>
      </c>
      <c r="F572" s="1159"/>
      <c r="G572" s="1159"/>
      <c r="H572" s="1159"/>
      <c r="I572" s="1162" t="s">
        <v>254</v>
      </c>
      <c r="J572" s="1159" t="str">
        <f t="shared" si="250"/>
        <v>lending_Payday_payroll_VDS_NII</v>
      </c>
      <c r="K572" s="1149"/>
      <c r="L572" s="1239" t="s">
        <v>218</v>
      </c>
      <c r="M572" s="1150">
        <f t="shared" ref="M572:AA572" si="257">M573-M576</f>
        <v>-44726819.100999996</v>
      </c>
      <c r="N572" s="1150">
        <f t="shared" si="257"/>
        <v>-4793688</v>
      </c>
      <c r="O572" s="1150">
        <f t="shared" si="257"/>
        <v>-4473073</v>
      </c>
      <c r="P572" s="1150">
        <f t="shared" si="257"/>
        <v>-2851947</v>
      </c>
      <c r="Q572" s="1150">
        <f t="shared" si="257"/>
        <v>-3078228</v>
      </c>
      <c r="R572" s="1150">
        <f t="shared" si="257"/>
        <v>-5038493.1009999989</v>
      </c>
      <c r="S572" s="1150">
        <f t="shared" si="257"/>
        <v>-5350313</v>
      </c>
      <c r="T572" s="1150">
        <f t="shared" si="257"/>
        <v>-3613840</v>
      </c>
      <c r="U572" s="1150">
        <f t="shared" si="257"/>
        <v>-2188851</v>
      </c>
      <c r="V572" s="1150">
        <f t="shared" si="257"/>
        <v>-2382951</v>
      </c>
      <c r="W572" s="1150">
        <f t="shared" si="257"/>
        <v>-3609017</v>
      </c>
      <c r="X572" s="1150">
        <f t="shared" si="257"/>
        <v>-3828071</v>
      </c>
      <c r="Y572" s="1150">
        <f t="shared" si="257"/>
        <v>-4263426</v>
      </c>
      <c r="Z572" s="1150">
        <f t="shared" si="257"/>
        <v>-3855189</v>
      </c>
      <c r="AA572" s="1150">
        <f t="shared" si="257"/>
        <v>-4666493</v>
      </c>
      <c r="AB572" s="34">
        <f t="shared" si="245"/>
        <v>408237</v>
      </c>
    </row>
    <row r="573" spans="2:30">
      <c r="B573" s="1158" t="s">
        <v>189</v>
      </c>
      <c r="C573" s="1159" t="s">
        <v>71</v>
      </c>
      <c r="D573" s="1159" t="s">
        <v>549</v>
      </c>
      <c r="E573" s="1159" t="s">
        <v>237</v>
      </c>
      <c r="F573" s="1159"/>
      <c r="G573" s="1159"/>
      <c r="H573" s="1159"/>
      <c r="I573" s="1162" t="s">
        <v>255</v>
      </c>
      <c r="J573" s="1159" t="str">
        <f t="shared" si="250"/>
        <v>lending_Payday_payroll_VDS_CII</v>
      </c>
      <c r="K573" s="1149"/>
      <c r="L573" s="1240" t="s">
        <v>20</v>
      </c>
      <c r="M573" s="1149">
        <f>SUM(P573:AA573)</f>
        <v>0</v>
      </c>
      <c r="N573" s="1149">
        <f>N574+M575-N575</f>
        <v>0</v>
      </c>
      <c r="O573" s="1149">
        <f>O574+N575-O575</f>
        <v>0</v>
      </c>
      <c r="P573" s="1169"/>
      <c r="Q573" s="1169"/>
      <c r="R573" s="1149">
        <f>R574-R575</f>
        <v>0</v>
      </c>
      <c r="S573" s="1149">
        <f>S574-S575</f>
        <v>0</v>
      </c>
      <c r="T573" s="1149">
        <f>T574-T575</f>
        <v>0</v>
      </c>
      <c r="U573" s="1149"/>
      <c r="V573" s="1149"/>
      <c r="W573" s="1149"/>
      <c r="X573" s="1149"/>
      <c r="Y573" s="1149"/>
      <c r="Z573" s="1149"/>
      <c r="AA573" s="1149"/>
      <c r="AB573" s="34">
        <f t="shared" si="245"/>
        <v>0</v>
      </c>
    </row>
    <row r="574" spans="2:30">
      <c r="B574" s="1158" t="s">
        <v>189</v>
      </c>
      <c r="C574" s="1159" t="s">
        <v>71</v>
      </c>
      <c r="D574" s="1159" t="s">
        <v>549</v>
      </c>
      <c r="E574" s="1159" t="s">
        <v>237</v>
      </c>
      <c r="F574" s="1159"/>
      <c r="G574" s="1159"/>
      <c r="H574" s="1159"/>
      <c r="I574" s="1162"/>
      <c r="J574" s="1159" t="str">
        <f t="shared" si="250"/>
        <v>lending_Payday_payroll_VDS_</v>
      </c>
      <c r="K574" s="1149"/>
      <c r="L574" s="1285" t="s">
        <v>539</v>
      </c>
      <c r="M574" s="1151">
        <f>SUM(P574:AA574)</f>
        <v>0</v>
      </c>
      <c r="N574" s="1286"/>
      <c r="O574" s="1286"/>
      <c r="P574" s="1152"/>
      <c r="Q574" s="1152"/>
      <c r="R574" s="1152"/>
      <c r="S574" s="1152"/>
      <c r="T574" s="1152"/>
      <c r="U574" s="1242"/>
      <c r="V574" s="1286"/>
      <c r="W574" s="1286"/>
      <c r="X574" s="1286"/>
      <c r="Y574" s="1286"/>
      <c r="Z574" s="1286"/>
      <c r="AA574" s="1286"/>
      <c r="AB574" s="34">
        <f t="shared" si="245"/>
        <v>0</v>
      </c>
    </row>
    <row r="575" spans="2:30">
      <c r="B575" s="1158" t="s">
        <v>189</v>
      </c>
      <c r="C575" s="1159" t="s">
        <v>71</v>
      </c>
      <c r="D575" s="1159" t="s">
        <v>549</v>
      </c>
      <c r="E575" s="1159" t="s">
        <v>237</v>
      </c>
      <c r="F575" s="1159"/>
      <c r="G575" s="1159"/>
      <c r="H575" s="1159"/>
      <c r="I575" s="1160"/>
      <c r="J575" s="1159" t="str">
        <f t="shared" si="250"/>
        <v>lending_Payday_payroll_VDS_</v>
      </c>
      <c r="K575" s="1149"/>
      <c r="L575" s="1285" t="s">
        <v>187</v>
      </c>
      <c r="M575" s="1151"/>
      <c r="N575" s="1287"/>
      <c r="O575" s="1287"/>
      <c r="P575" s="1152"/>
      <c r="Q575" s="1152"/>
      <c r="R575" s="1152"/>
      <c r="S575" s="1152"/>
      <c r="T575" s="1152"/>
      <c r="U575" s="1152"/>
      <c r="V575" s="1152"/>
      <c r="W575" s="1287"/>
      <c r="X575" s="1287"/>
      <c r="Y575" s="1287"/>
      <c r="Z575" s="1287"/>
      <c r="AA575" s="1287"/>
      <c r="AB575" s="34">
        <f t="shared" si="245"/>
        <v>0</v>
      </c>
      <c r="AC575" s="34"/>
      <c r="AD575" s="34"/>
    </row>
    <row r="576" spans="2:30">
      <c r="B576" s="1158" t="s">
        <v>189</v>
      </c>
      <c r="C576" s="1159" t="s">
        <v>71</v>
      </c>
      <c r="D576" s="1159" t="s">
        <v>549</v>
      </c>
      <c r="E576" s="1159" t="s">
        <v>237</v>
      </c>
      <c r="F576" s="1159"/>
      <c r="G576" s="1159"/>
      <c r="H576" s="1159"/>
      <c r="I576" s="1162" t="s">
        <v>219</v>
      </c>
      <c r="J576" s="1159" t="str">
        <f t="shared" si="250"/>
        <v>lending_Payday_payroll_VDS_COF</v>
      </c>
      <c r="K576" s="1149"/>
      <c r="L576" s="1240" t="s">
        <v>219</v>
      </c>
      <c r="M576" s="1149">
        <f>SUM(P576:AA576)</f>
        <v>44726819.100999996</v>
      </c>
      <c r="N576" s="1254">
        <v>4793688</v>
      </c>
      <c r="O576" s="1254">
        <v>4473073</v>
      </c>
      <c r="P576" s="1169">
        <v>2851947</v>
      </c>
      <c r="Q576" s="1169">
        <v>3078228</v>
      </c>
      <c r="R576" s="1169">
        <v>5038493.1009999989</v>
      </c>
      <c r="S576" s="1169">
        <v>5350313</v>
      </c>
      <c r="T576" s="1169">
        <v>3613840</v>
      </c>
      <c r="U576" s="1169">
        <v>2188851</v>
      </c>
      <c r="V576" s="1290">
        <v>2382951</v>
      </c>
      <c r="W576" s="1290">
        <v>3609017</v>
      </c>
      <c r="X576" s="1290">
        <v>3828071</v>
      </c>
      <c r="Y576" s="1248">
        <v>4263426</v>
      </c>
      <c r="Z576" s="1254">
        <v>3855189</v>
      </c>
      <c r="AA576" s="1254">
        <v>4666493</v>
      </c>
      <c r="AB576" s="34">
        <f t="shared" si="245"/>
        <v>-408237</v>
      </c>
    </row>
    <row r="577" spans="2:29">
      <c r="B577" s="1158" t="s">
        <v>189</v>
      </c>
      <c r="C577" s="1159" t="s">
        <v>71</v>
      </c>
      <c r="D577" s="1159" t="s">
        <v>549</v>
      </c>
      <c r="E577" s="1159" t="s">
        <v>237</v>
      </c>
      <c r="F577" s="1159"/>
      <c r="G577" s="1159"/>
      <c r="H577" s="1159"/>
      <c r="I577" s="1162" t="s">
        <v>260</v>
      </c>
      <c r="J577" s="1159" t="str">
        <f t="shared" si="250"/>
        <v>lending_Payday_payroll_VDS_NFI</v>
      </c>
      <c r="K577" s="1149"/>
      <c r="L577" s="1239" t="s">
        <v>220</v>
      </c>
      <c r="M577" s="1150">
        <f t="shared" ref="M577:AA577" si="258">SUM(M578:M580)</f>
        <v>399606678</v>
      </c>
      <c r="N577" s="1150">
        <f t="shared" si="258"/>
        <v>43367997</v>
      </c>
      <c r="O577" s="1150">
        <f t="shared" si="258"/>
        <v>32553825</v>
      </c>
      <c r="P577" s="1150">
        <f t="shared" si="258"/>
        <v>25995111</v>
      </c>
      <c r="Q577" s="1150">
        <f t="shared" si="258"/>
        <v>37665512</v>
      </c>
      <c r="R577" s="1150">
        <f t="shared" si="258"/>
        <v>57726956</v>
      </c>
      <c r="S577" s="1150">
        <f t="shared" si="258"/>
        <v>44001606</v>
      </c>
      <c r="T577" s="1150">
        <f t="shared" si="258"/>
        <v>27758943</v>
      </c>
      <c r="U577" s="1150">
        <f t="shared" si="258"/>
        <v>15103879</v>
      </c>
      <c r="V577" s="1150">
        <f t="shared" si="258"/>
        <v>24822284</v>
      </c>
      <c r="W577" s="1150">
        <f t="shared" si="258"/>
        <v>29592554</v>
      </c>
      <c r="X577" s="1150">
        <f t="shared" si="258"/>
        <v>32173741</v>
      </c>
      <c r="Y577" s="1150">
        <f t="shared" si="258"/>
        <v>33278852</v>
      </c>
      <c r="Z577" s="1150">
        <f t="shared" si="258"/>
        <v>35137796</v>
      </c>
      <c r="AA577" s="1150">
        <f t="shared" si="258"/>
        <v>36349444</v>
      </c>
      <c r="AB577" s="34">
        <f t="shared" si="245"/>
        <v>1858944</v>
      </c>
    </row>
    <row r="578" spans="2:29">
      <c r="B578" s="1158" t="s">
        <v>189</v>
      </c>
      <c r="C578" s="1159" t="s">
        <v>71</v>
      </c>
      <c r="D578" s="1159" t="s">
        <v>549</v>
      </c>
      <c r="E578" s="1159" t="s">
        <v>237</v>
      </c>
      <c r="F578" s="1159"/>
      <c r="G578" s="1159"/>
      <c r="H578" s="1159"/>
      <c r="I578" s="1162" t="s">
        <v>546</v>
      </c>
      <c r="J578" s="1159" t="str">
        <f t="shared" si="250"/>
        <v>lending_Payday_payroll_VDS_insurance_fee</v>
      </c>
      <c r="K578" s="1149"/>
      <c r="L578" s="1240" t="s">
        <v>540</v>
      </c>
      <c r="M578" s="1149">
        <f>SUM(P578:AA578)</f>
        <v>399606678</v>
      </c>
      <c r="N578" s="1248">
        <v>43367997</v>
      </c>
      <c r="O578" s="1248">
        <v>32553825</v>
      </c>
      <c r="P578" s="1248">
        <v>25995111</v>
      </c>
      <c r="Q578" s="1248">
        <v>37665512</v>
      </c>
      <c r="R578" s="1248">
        <v>57726956</v>
      </c>
      <c r="S578" s="1248">
        <v>44001606</v>
      </c>
      <c r="T578" s="1248">
        <v>27758943</v>
      </c>
      <c r="U578" s="1248">
        <v>15103879</v>
      </c>
      <c r="V578" s="1248">
        <v>24822284</v>
      </c>
      <c r="W578" s="1248">
        <v>29592554</v>
      </c>
      <c r="X578" s="1248">
        <v>32173741</v>
      </c>
      <c r="Y578" s="1248">
        <v>33278852</v>
      </c>
      <c r="Z578" s="1248">
        <v>35137796</v>
      </c>
      <c r="AA578" s="1248">
        <v>36349444</v>
      </c>
      <c r="AB578" s="34">
        <f t="shared" si="245"/>
        <v>1858944</v>
      </c>
    </row>
    <row r="579" spans="2:29">
      <c r="B579" s="1158" t="s">
        <v>189</v>
      </c>
      <c r="C579" s="1159" t="s">
        <v>71</v>
      </c>
      <c r="D579" s="1159" t="s">
        <v>549</v>
      </c>
      <c r="E579" s="1159" t="s">
        <v>237</v>
      </c>
      <c r="F579" s="1159"/>
      <c r="G579" s="1159"/>
      <c r="H579" s="1159"/>
      <c r="I579" s="1162" t="s">
        <v>547</v>
      </c>
      <c r="J579" s="1159" t="str">
        <f t="shared" si="250"/>
        <v>lending_Payday_payroll_VDS_early_terminate_fee</v>
      </c>
      <c r="K579" s="1149"/>
      <c r="L579" s="1240" t="s">
        <v>541</v>
      </c>
      <c r="M579" s="1149">
        <f>SUM(P579:AA579)</f>
        <v>0</v>
      </c>
      <c r="N579" s="1151"/>
      <c r="O579" s="1248"/>
      <c r="P579" s="1243"/>
      <c r="Q579" s="1243"/>
      <c r="R579" s="1243"/>
      <c r="S579" s="1243"/>
      <c r="T579" s="1243"/>
      <c r="U579" s="1151"/>
      <c r="V579" s="1261"/>
      <c r="W579" s="1151"/>
      <c r="X579" s="1151"/>
      <c r="Y579" s="1151"/>
      <c r="Z579" s="1151"/>
      <c r="AA579" s="1248"/>
      <c r="AB579" s="34">
        <f t="shared" si="245"/>
        <v>0</v>
      </c>
    </row>
    <row r="580" spans="2:29">
      <c r="B580" s="1158" t="s">
        <v>189</v>
      </c>
      <c r="C580" s="1159" t="s">
        <v>71</v>
      </c>
      <c r="D580" s="1159" t="s">
        <v>549</v>
      </c>
      <c r="E580" s="1159" t="s">
        <v>237</v>
      </c>
      <c r="F580" s="1159"/>
      <c r="G580" s="1159"/>
      <c r="H580" s="1159"/>
      <c r="I580" s="1162" t="s">
        <v>548</v>
      </c>
      <c r="J580" s="1159" t="str">
        <f t="shared" si="250"/>
        <v>lending_Payday_payroll_VDS_loan_grant_fee</v>
      </c>
      <c r="K580" s="1149"/>
      <c r="L580" s="1240" t="s">
        <v>542</v>
      </c>
      <c r="M580" s="1149">
        <f>SUM(P580:AA580)</f>
        <v>0</v>
      </c>
      <c r="N580" s="1151"/>
      <c r="O580" s="1151"/>
      <c r="P580" s="1243"/>
      <c r="Q580" s="1243"/>
      <c r="R580" s="1243"/>
      <c r="S580" s="1243"/>
      <c r="T580" s="1243"/>
      <c r="U580" s="1151"/>
      <c r="V580" s="1272"/>
      <c r="W580" s="1151"/>
      <c r="X580" s="1151"/>
      <c r="Y580" s="1151"/>
      <c r="Z580" s="1151"/>
      <c r="AA580" s="1151"/>
      <c r="AB580" s="34">
        <f t="shared" si="245"/>
        <v>0</v>
      </c>
    </row>
    <row r="581" spans="2:29" s="4" customFormat="1">
      <c r="B581" s="1158" t="s">
        <v>189</v>
      </c>
      <c r="C581" s="1163" t="s">
        <v>71</v>
      </c>
      <c r="D581" s="1159" t="s">
        <v>549</v>
      </c>
      <c r="E581" s="1163" t="s">
        <v>237</v>
      </c>
      <c r="F581" s="1163"/>
      <c r="G581" s="1163"/>
      <c r="H581" s="1163"/>
      <c r="I581" s="1162" t="s">
        <v>269</v>
      </c>
      <c r="J581" s="1163" t="str">
        <f t="shared" si="250"/>
        <v>lending_Payday_payroll_VDS_other_TOI</v>
      </c>
      <c r="K581" s="1149"/>
      <c r="L581" s="1239" t="s">
        <v>89</v>
      </c>
      <c r="M581" s="1150">
        <f>SUM(P581:AA581)</f>
        <v>2500000</v>
      </c>
      <c r="N581" s="1154"/>
      <c r="O581" s="1154"/>
      <c r="P581" s="1270"/>
      <c r="Q581" s="1270"/>
      <c r="R581" s="1270"/>
      <c r="S581" s="1270"/>
      <c r="T581" s="1270"/>
      <c r="U581" s="1154"/>
      <c r="V581" s="1288">
        <v>2500000</v>
      </c>
      <c r="W581" s="1154"/>
      <c r="X581" s="1154"/>
      <c r="Y581" s="1154"/>
      <c r="Z581" s="1154"/>
      <c r="AA581" s="1154"/>
      <c r="AB581" s="34">
        <f t="shared" si="245"/>
        <v>0</v>
      </c>
    </row>
    <row r="582" spans="2:29">
      <c r="B582" s="1158" t="s">
        <v>189</v>
      </c>
      <c r="C582" s="1159" t="s">
        <v>71</v>
      </c>
      <c r="D582" s="1159" t="s">
        <v>549</v>
      </c>
      <c r="E582" s="1159" t="s">
        <v>237</v>
      </c>
      <c r="F582" s="1159"/>
      <c r="G582" s="1159"/>
      <c r="H582" s="1159"/>
      <c r="I582" s="1162" t="s">
        <v>270</v>
      </c>
      <c r="J582" s="1159" t="str">
        <f t="shared" si="250"/>
        <v>lending_Payday_payroll_VDS_provision</v>
      </c>
      <c r="K582" s="1149"/>
      <c r="L582" s="1245" t="s">
        <v>136</v>
      </c>
      <c r="M582" s="1150">
        <f>SUM(P582:AA582)</f>
        <v>72806168</v>
      </c>
      <c r="N582" s="1262">
        <v>-1050423</v>
      </c>
      <c r="O582" s="1262">
        <v>-3493389</v>
      </c>
      <c r="P582" s="1262">
        <v>18842202</v>
      </c>
      <c r="Q582" s="1262">
        <v>8410783</v>
      </c>
      <c r="R582" s="1262">
        <f>5215913+650000</f>
        <v>5865913</v>
      </c>
      <c r="S582" s="1245">
        <v>-3522414</v>
      </c>
      <c r="T582" s="1288">
        <v>1892229</v>
      </c>
      <c r="U582" s="1288">
        <f>7636824+450000</f>
        <v>8086824</v>
      </c>
      <c r="V582" s="1297">
        <v>2268914</v>
      </c>
      <c r="W582" s="1262">
        <v>3459439</v>
      </c>
      <c r="X582" s="1262">
        <f>16867578+800000</f>
        <v>17667578</v>
      </c>
      <c r="Y582" s="1362">
        <f>126379+487500</f>
        <v>613879</v>
      </c>
      <c r="Z582" s="1262">
        <v>6114675</v>
      </c>
      <c r="AA582" s="1262">
        <f>2656146+450000</f>
        <v>3106146</v>
      </c>
      <c r="AB582" s="34">
        <f t="shared" si="245"/>
        <v>5500796</v>
      </c>
    </row>
    <row r="583" spans="2:29">
      <c r="B583" s="1158" t="s">
        <v>189</v>
      </c>
      <c r="C583" s="1159" t="s">
        <v>71</v>
      </c>
      <c r="D583" s="1159" t="s">
        <v>549</v>
      </c>
      <c r="E583" s="1159" t="s">
        <v>237</v>
      </c>
      <c r="F583" s="1159"/>
      <c r="G583" s="1159"/>
      <c r="H583" s="1159"/>
      <c r="I583" s="1162" t="s">
        <v>271</v>
      </c>
      <c r="J583" s="1159" t="str">
        <f t="shared" si="250"/>
        <v>lending_Payday_payroll_VDS_variable_cost</v>
      </c>
      <c r="K583" s="1149"/>
      <c r="L583" s="1245" t="s">
        <v>229</v>
      </c>
      <c r="M583" s="1150">
        <f t="shared" ref="M583:AA583" si="259">SUM(M584:M591)</f>
        <v>183774258.81647447</v>
      </c>
      <c r="N583" s="1150">
        <f t="shared" si="259"/>
        <v>19101272.411148645</v>
      </c>
      <c r="O583" s="1150">
        <f t="shared" si="259"/>
        <v>17207541.697638076</v>
      </c>
      <c r="P583" s="1150">
        <f t="shared" si="259"/>
        <v>20262153.945260271</v>
      </c>
      <c r="Q583" s="1150">
        <f t="shared" si="259"/>
        <v>19295999.524545401</v>
      </c>
      <c r="R583" s="1150">
        <f t="shared" si="259"/>
        <v>23335175.260764353</v>
      </c>
      <c r="S583" s="1150">
        <f t="shared" si="259"/>
        <v>20464455.086971465</v>
      </c>
      <c r="T583" s="1150">
        <f t="shared" si="259"/>
        <v>13370751.861286944</v>
      </c>
      <c r="U583" s="1150">
        <f t="shared" si="259"/>
        <v>1657009.5539867738</v>
      </c>
      <c r="V583" s="1150">
        <f t="shared" si="259"/>
        <v>9132756.6387144942</v>
      </c>
      <c r="W583" s="1150">
        <f t="shared" si="259"/>
        <v>13482508.655655727</v>
      </c>
      <c r="X583" s="1150">
        <f t="shared" si="259"/>
        <v>13001465.261879951</v>
      </c>
      <c r="Y583" s="1150">
        <f t="shared" si="259"/>
        <v>16152069.931210497</v>
      </c>
      <c r="Z583" s="1150">
        <f t="shared" si="259"/>
        <v>15364948.386276077</v>
      </c>
      <c r="AA583" s="1150">
        <f t="shared" si="259"/>
        <v>18254964.709922526</v>
      </c>
      <c r="AB583" s="34">
        <f t="shared" si="245"/>
        <v>-787121.54493441992</v>
      </c>
    </row>
    <row r="584" spans="2:29">
      <c r="B584" s="1158" t="s">
        <v>189</v>
      </c>
      <c r="C584" s="1159" t="s">
        <v>71</v>
      </c>
      <c r="D584" s="1159" t="s">
        <v>549</v>
      </c>
      <c r="E584" s="1159" t="s">
        <v>237</v>
      </c>
      <c r="F584" s="1159"/>
      <c r="G584" s="1159"/>
      <c r="H584" s="1159"/>
      <c r="I584" s="1162" t="s">
        <v>272</v>
      </c>
      <c r="J584" s="1159" t="str">
        <f t="shared" si="250"/>
        <v>lending_Payday_payroll_VDS_marketing_acquisition_cost</v>
      </c>
      <c r="K584" s="1149"/>
      <c r="L584" s="1246" t="s">
        <v>230</v>
      </c>
      <c r="M584" s="1149">
        <f t="shared" ref="M584:M589" si="260">SUM(P584:AA584)</f>
        <v>0</v>
      </c>
      <c r="N584" s="1147"/>
      <c r="O584" s="1147"/>
      <c r="P584" s="1169"/>
      <c r="Q584" s="1169"/>
      <c r="R584" s="1169"/>
      <c r="S584" s="1147"/>
      <c r="T584" s="1169"/>
      <c r="U584" s="1147"/>
      <c r="V584" s="1147"/>
      <c r="W584" s="1149"/>
      <c r="X584" s="1149"/>
      <c r="Y584" s="1147"/>
      <c r="Z584" s="1147"/>
      <c r="AA584" s="1147"/>
      <c r="AB584" s="34">
        <f t="shared" si="245"/>
        <v>0</v>
      </c>
    </row>
    <row r="585" spans="2:29">
      <c r="B585" s="1158" t="s">
        <v>189</v>
      </c>
      <c r="C585" s="1159" t="s">
        <v>71</v>
      </c>
      <c r="D585" s="1159" t="s">
        <v>549</v>
      </c>
      <c r="E585" s="1159" t="s">
        <v>237</v>
      </c>
      <c r="F585" s="1159"/>
      <c r="G585" s="1159"/>
      <c r="H585" s="1159"/>
      <c r="I585" s="1162" t="s">
        <v>273</v>
      </c>
      <c r="J585" s="1159" t="str">
        <f t="shared" si="250"/>
        <v>lending_Payday_payroll_VDS_partner_acquisition_cost</v>
      </c>
      <c r="K585" s="1149"/>
      <c r="L585" s="1246" t="s">
        <v>231</v>
      </c>
      <c r="M585" s="1149">
        <f t="shared" si="260"/>
        <v>142754064</v>
      </c>
      <c r="N585" s="1253">
        <v>14419146</v>
      </c>
      <c r="O585" s="1169">
        <v>11162858</v>
      </c>
      <c r="P585" s="1169">
        <v>14417628</v>
      </c>
      <c r="Q585" s="1169">
        <v>14404555</v>
      </c>
      <c r="R585" s="1169">
        <v>19975279</v>
      </c>
      <c r="S585" s="1169">
        <v>17075424</v>
      </c>
      <c r="T585" s="1169">
        <v>10810782</v>
      </c>
      <c r="U585" s="1245"/>
      <c r="V585" s="1169">
        <f>11341381-5269624</f>
        <v>6071757</v>
      </c>
      <c r="W585" s="1169">
        <v>10424830</v>
      </c>
      <c r="X585" s="1169">
        <v>9845412</v>
      </c>
      <c r="Y585" s="1290">
        <v>12995038</v>
      </c>
      <c r="Z585" s="1290">
        <v>12544131</v>
      </c>
      <c r="AA585" s="1290">
        <v>14189228</v>
      </c>
      <c r="AB585" s="34">
        <f t="shared" si="245"/>
        <v>-450907</v>
      </c>
    </row>
    <row r="586" spans="2:29">
      <c r="B586" s="1158" t="s">
        <v>189</v>
      </c>
      <c r="C586" s="1159" t="s">
        <v>71</v>
      </c>
      <c r="D586" s="1159" t="s">
        <v>549</v>
      </c>
      <c r="E586" s="1159" t="s">
        <v>237</v>
      </c>
      <c r="F586" s="1159"/>
      <c r="G586" s="1159"/>
      <c r="H586" s="1159"/>
      <c r="I586" s="1162" t="s">
        <v>274</v>
      </c>
      <c r="J586" s="1159" t="str">
        <f t="shared" si="250"/>
        <v>lending_Payday_payroll_VDS_underwritting</v>
      </c>
      <c r="K586" s="1149"/>
      <c r="L586" s="1246" t="s">
        <v>232</v>
      </c>
      <c r="M586" s="1149">
        <f t="shared" si="260"/>
        <v>23707451.678930059</v>
      </c>
      <c r="N586" s="1149">
        <v>2862509.551761942</v>
      </c>
      <c r="O586" s="1149">
        <v>3417174.2213739529</v>
      </c>
      <c r="P586" s="1169">
        <v>3185873.3866700148</v>
      </c>
      <c r="Q586" s="1169">
        <v>1442842.8832614694</v>
      </c>
      <c r="R586" s="1169">
        <v>1590697.9579911467</v>
      </c>
      <c r="S586" s="1169">
        <v>1232889.4863738026</v>
      </c>
      <c r="T586" s="1169">
        <v>1039847.6122289476</v>
      </c>
      <c r="U586" s="1149">
        <v>1040878.8093546797</v>
      </c>
      <c r="V586" s="1149">
        <v>2272137.3086558762</v>
      </c>
      <c r="W586" s="1149">
        <v>2245622.192253232</v>
      </c>
      <c r="X586" s="1149">
        <v>2493647.3013300914</v>
      </c>
      <c r="Y586" s="1149">
        <v>2224373.5199588831</v>
      </c>
      <c r="Z586" s="1149">
        <v>1864700.153302745</v>
      </c>
      <c r="AA586" s="1149">
        <v>3073941.0675491723</v>
      </c>
      <c r="AB586" s="34">
        <f t="shared" si="245"/>
        <v>-359673.3666561381</v>
      </c>
    </row>
    <row r="587" spans="2:29">
      <c r="B587" s="1158" t="s">
        <v>189</v>
      </c>
      <c r="C587" s="1159" t="s">
        <v>71</v>
      </c>
      <c r="D587" s="1159" t="s">
        <v>549</v>
      </c>
      <c r="E587" s="1159" t="s">
        <v>237</v>
      </c>
      <c r="F587" s="1159"/>
      <c r="G587" s="1159"/>
      <c r="H587" s="1159"/>
      <c r="I587" s="1162" t="s">
        <v>275</v>
      </c>
      <c r="J587" s="1159" t="str">
        <f t="shared" si="250"/>
        <v>lending_Payday_payroll_VDS_e_contract</v>
      </c>
      <c r="K587" s="1149"/>
      <c r="L587" s="1246" t="s">
        <v>233</v>
      </c>
      <c r="M587" s="1149">
        <f t="shared" si="260"/>
        <v>3102044</v>
      </c>
      <c r="N587" s="1149">
        <v>256094</v>
      </c>
      <c r="O587" s="1149">
        <v>197956</v>
      </c>
      <c r="P587" s="1169">
        <v>141883</v>
      </c>
      <c r="Q587" s="1169">
        <v>190925</v>
      </c>
      <c r="R587" s="1169">
        <v>294267</v>
      </c>
      <c r="S587" s="1169">
        <v>543831</v>
      </c>
      <c r="T587" s="1169">
        <v>150122</v>
      </c>
      <c r="U587" s="1247">
        <v>199625</v>
      </c>
      <c r="V587" s="1149">
        <v>345600</v>
      </c>
      <c r="W587" s="1149">
        <v>390600</v>
      </c>
      <c r="X587" s="1149">
        <v>243681</v>
      </c>
      <c r="Y587" s="1149">
        <v>192969</v>
      </c>
      <c r="Z587" s="1149">
        <v>187551</v>
      </c>
      <c r="AA587" s="1149">
        <v>220990</v>
      </c>
      <c r="AB587" s="34">
        <f t="shared" si="245"/>
        <v>-5418</v>
      </c>
    </row>
    <row r="588" spans="2:29">
      <c r="B588" s="1158" t="s">
        <v>189</v>
      </c>
      <c r="C588" s="1159" t="s">
        <v>71</v>
      </c>
      <c r="D588" s="1159" t="s">
        <v>549</v>
      </c>
      <c r="E588" s="1159" t="s">
        <v>237</v>
      </c>
      <c r="F588" s="1159"/>
      <c r="G588" s="1159"/>
      <c r="H588" s="1159"/>
      <c r="I588" s="1162" t="s">
        <v>276</v>
      </c>
      <c r="J588" s="1159" t="str">
        <f t="shared" si="250"/>
        <v>lending_Payday_payroll_VDS_nfc</v>
      </c>
      <c r="K588" s="1149"/>
      <c r="L588" s="1246" t="s">
        <v>152</v>
      </c>
      <c r="M588" s="1149">
        <f t="shared" si="260"/>
        <v>1780795.2013020006</v>
      </c>
      <c r="N588" s="1149"/>
      <c r="O588" s="1149"/>
      <c r="P588" s="1169">
        <v>218612.98825784808</v>
      </c>
      <c r="Q588" s="1169">
        <v>200518.80108606498</v>
      </c>
      <c r="R588" s="1169">
        <v>361457.37722496246</v>
      </c>
      <c r="S588" s="1169">
        <v>228423.55254371429</v>
      </c>
      <c r="T588" s="1169">
        <v>161934.65958450196</v>
      </c>
      <c r="U588" s="1169">
        <v>118194.24011337564</v>
      </c>
      <c r="V588" s="1169">
        <v>127787.96598929468</v>
      </c>
      <c r="W588" s="1149">
        <v>95389.174166512879</v>
      </c>
      <c r="X588" s="1149">
        <v>67535.430672497445</v>
      </c>
      <c r="Y588" s="1149">
        <v>48591.819812006281</v>
      </c>
      <c r="Z588" s="1149">
        <v>66623.098148587713</v>
      </c>
      <c r="AA588" s="1149">
        <v>85726.093702634127</v>
      </c>
      <c r="AB588" s="34">
        <f t="shared" si="245"/>
        <v>18031.278336581432</v>
      </c>
    </row>
    <row r="589" spans="2:29">
      <c r="B589" s="1158" t="s">
        <v>189</v>
      </c>
      <c r="C589" s="1159" t="s">
        <v>71</v>
      </c>
      <c r="D589" s="1159" t="s">
        <v>549</v>
      </c>
      <c r="E589" s="1159" t="s">
        <v>237</v>
      </c>
      <c r="F589" s="1159"/>
      <c r="G589" s="1159"/>
      <c r="H589" s="1159"/>
      <c r="I589" s="1162" t="s">
        <v>277</v>
      </c>
      <c r="J589" s="1159" t="str">
        <f t="shared" si="250"/>
        <v>lending_Payday_payroll_VDS_collection</v>
      </c>
      <c r="K589" s="1149"/>
      <c r="L589" s="1246" t="s">
        <v>234</v>
      </c>
      <c r="M589" s="1149">
        <f t="shared" si="260"/>
        <v>11534097.035988111</v>
      </c>
      <c r="N589" s="1149">
        <v>1521323.6846725643</v>
      </c>
      <c r="O589" s="1149">
        <v>2320183.5682578087</v>
      </c>
      <c r="P589" s="1169">
        <v>2213269.4738643765</v>
      </c>
      <c r="Q589" s="1169">
        <v>3017504.1376940752</v>
      </c>
      <c r="R589" s="1169">
        <v>1041531.8120296896</v>
      </c>
      <c r="S589" s="1169">
        <v>1238079.3437371254</v>
      </c>
      <c r="T589" s="1169">
        <v>1122645.1540863514</v>
      </c>
      <c r="U589" s="1149">
        <v>246114.41785529256</v>
      </c>
      <c r="V589" s="1149">
        <v>264809</v>
      </c>
      <c r="W589" s="1149">
        <v>273036.03221437265</v>
      </c>
      <c r="X589" s="1149">
        <v>273317.7362642893</v>
      </c>
      <c r="Y589" s="1149">
        <v>596955.19052640675</v>
      </c>
      <c r="Z589" s="1149">
        <v>629439.23587518535</v>
      </c>
      <c r="AA589" s="1149">
        <v>617395.50184094557</v>
      </c>
      <c r="AB589" s="34">
        <f t="shared" si="245"/>
        <v>32484.0453487786</v>
      </c>
    </row>
    <row r="590" spans="2:29">
      <c r="B590" s="1158" t="s">
        <v>189</v>
      </c>
      <c r="C590" s="1159" t="s">
        <v>71</v>
      </c>
      <c r="D590" s="1159" t="s">
        <v>549</v>
      </c>
      <c r="E590" s="1159" t="s">
        <v>237</v>
      </c>
      <c r="F590" s="1159"/>
      <c r="G590" s="1159"/>
      <c r="H590" s="1159"/>
      <c r="I590" s="1162" t="s">
        <v>278</v>
      </c>
      <c r="J590" s="1159" t="str">
        <f t="shared" si="250"/>
        <v>lending_Payday_payroll_VDS_promotion</v>
      </c>
      <c r="K590" s="1149"/>
      <c r="L590" s="1246" t="s">
        <v>235</v>
      </c>
      <c r="M590" s="1149"/>
      <c r="N590" s="1149"/>
      <c r="O590" s="1149"/>
      <c r="P590" s="1169"/>
      <c r="Q590" s="1169"/>
      <c r="R590" s="1169"/>
      <c r="S590" s="1169"/>
      <c r="T590" s="1169"/>
      <c r="U590" s="1149"/>
      <c r="V590" s="1169"/>
      <c r="W590" s="1149"/>
      <c r="X590" s="1149"/>
      <c r="Y590" s="1149"/>
      <c r="Z590" s="1149"/>
      <c r="AA590" s="1149"/>
      <c r="AB590" s="34">
        <f t="shared" si="245"/>
        <v>0</v>
      </c>
    </row>
    <row r="591" spans="2:29">
      <c r="B591" s="1158" t="s">
        <v>189</v>
      </c>
      <c r="C591" s="1159" t="s">
        <v>71</v>
      </c>
      <c r="D591" s="1159" t="s">
        <v>549</v>
      </c>
      <c r="E591" s="1159" t="s">
        <v>237</v>
      </c>
      <c r="F591" s="1159"/>
      <c r="G591" s="1159"/>
      <c r="H591" s="1159"/>
      <c r="I591" s="1162" t="s">
        <v>279</v>
      </c>
      <c r="J591" s="1159" t="str">
        <f t="shared" si="250"/>
        <v>lending_Payday_payroll_VDS_sms</v>
      </c>
      <c r="K591" s="1149"/>
      <c r="L591" s="1249" t="s">
        <v>163</v>
      </c>
      <c r="M591" s="1149">
        <f>SUM(P591:AA591)</f>
        <v>895806.90025430615</v>
      </c>
      <c r="N591" s="1247">
        <v>42199.174714141467</v>
      </c>
      <c r="O591" s="1247">
        <v>109369.90800631401</v>
      </c>
      <c r="P591" s="1247">
        <v>84887.096468030446</v>
      </c>
      <c r="Q591" s="1247">
        <v>39653.702503792556</v>
      </c>
      <c r="R591" s="1247">
        <v>71942.113518555474</v>
      </c>
      <c r="S591" s="1247">
        <v>145807.70431681923</v>
      </c>
      <c r="T591" s="1247">
        <v>85420.435387143953</v>
      </c>
      <c r="U591" s="1247">
        <v>52197.086663425915</v>
      </c>
      <c r="V591" s="1247">
        <v>50665.364069321338</v>
      </c>
      <c r="W591" s="1247">
        <v>53031.257021607358</v>
      </c>
      <c r="X591" s="1247">
        <v>77871.793613074798</v>
      </c>
      <c r="Y591" s="1247">
        <v>94142.400913201127</v>
      </c>
      <c r="Z591" s="1247">
        <v>72503.89894956052</v>
      </c>
      <c r="AA591" s="1247">
        <v>67684.046829773404</v>
      </c>
      <c r="AB591" s="34">
        <f t="shared" si="245"/>
        <v>-21638.501963640607</v>
      </c>
    </row>
    <row r="592" spans="2:29">
      <c r="B592" s="1158" t="s">
        <v>189</v>
      </c>
      <c r="C592" s="1170" t="s">
        <v>71</v>
      </c>
      <c r="D592" s="1159" t="s">
        <v>549</v>
      </c>
      <c r="E592" s="1170" t="s">
        <v>237</v>
      </c>
      <c r="F592" s="1159" t="str">
        <f>E592&amp;"PRPD"</f>
        <v>VDSPRPD</v>
      </c>
      <c r="G592" s="1159" t="str">
        <f>L592&amp;F592</f>
        <v>Profit before allocation costVDSPRPD</v>
      </c>
      <c r="H592" s="1408" t="str">
        <f>L592&amp;E592</f>
        <v>Profit before allocation costVDS</v>
      </c>
      <c r="I592" s="1171" t="s">
        <v>280</v>
      </c>
      <c r="J592" s="1170" t="str">
        <f t="shared" si="250"/>
        <v>lending_Payday_payroll_VDS_profit_before_overhead</v>
      </c>
      <c r="K592" s="1149"/>
      <c r="L592" s="1358" t="s">
        <v>236</v>
      </c>
      <c r="M592" s="1358">
        <f t="shared" ref="M592:AA592" si="261">M571-M582-M583</f>
        <v>100799432.08252552</v>
      </c>
      <c r="N592" s="1358">
        <f t="shared" si="261"/>
        <v>20523459.588851355</v>
      </c>
      <c r="O592" s="1358">
        <f t="shared" si="261"/>
        <v>14366599.302361924</v>
      </c>
      <c r="P592" s="1358">
        <f t="shared" si="261"/>
        <v>-15961191.945260271</v>
      </c>
      <c r="Q592" s="1358">
        <f t="shared" si="261"/>
        <v>6880501.4754545987</v>
      </c>
      <c r="R592" s="1358">
        <f t="shared" si="261"/>
        <v>23487374.638235651</v>
      </c>
      <c r="S592" s="1358">
        <f t="shared" si="261"/>
        <v>21709251.913028535</v>
      </c>
      <c r="T592" s="1358">
        <f t="shared" si="261"/>
        <v>8882122.1387130562</v>
      </c>
      <c r="U592" s="1358">
        <f t="shared" si="261"/>
        <v>3171194.4460132262</v>
      </c>
      <c r="V592" s="1358">
        <f t="shared" si="261"/>
        <v>13537662.361285506</v>
      </c>
      <c r="W592" s="1358">
        <f t="shared" si="261"/>
        <v>9041589.3443442732</v>
      </c>
      <c r="X592" s="1358">
        <f t="shared" si="261"/>
        <v>-2323373.2618799508</v>
      </c>
      <c r="Y592" s="1358">
        <f t="shared" si="261"/>
        <v>12249477.068789503</v>
      </c>
      <c r="Z592" s="1358">
        <f t="shared" si="261"/>
        <v>9802983.6137239225</v>
      </c>
      <c r="AA592" s="1358">
        <f t="shared" si="261"/>
        <v>10321840.290077474</v>
      </c>
      <c r="AB592" s="34">
        <f t="shared" si="245"/>
        <v>-2446493.4550655801</v>
      </c>
      <c r="AC592" s="34">
        <f>SUM(P592:AA592)</f>
        <v>100799432.08252552</v>
      </c>
    </row>
    <row r="593" spans="2:29">
      <c r="B593" s="1158"/>
      <c r="C593" s="1159"/>
      <c r="D593" s="1159"/>
      <c r="E593" s="1159"/>
      <c r="F593" s="1159"/>
      <c r="G593" s="1159"/>
      <c r="H593" s="1159"/>
      <c r="I593" s="1162"/>
      <c r="J593" s="1159"/>
      <c r="K593" s="1149"/>
      <c r="L593" s="286"/>
      <c r="M593" s="286"/>
      <c r="N593" s="286"/>
      <c r="O593" s="286"/>
      <c r="P593" s="286"/>
      <c r="Q593" s="286"/>
      <c r="R593" s="286"/>
      <c r="S593" s="286"/>
      <c r="T593" s="286"/>
      <c r="U593" s="286"/>
      <c r="V593" s="286"/>
      <c r="W593" s="286"/>
      <c r="X593" s="286"/>
      <c r="Y593" s="286"/>
      <c r="Z593" s="286"/>
      <c r="AA593" s="286"/>
      <c r="AB593" s="34">
        <f t="shared" si="245"/>
        <v>0</v>
      </c>
    </row>
    <row r="594" spans="2:29">
      <c r="B594" s="1158" t="s">
        <v>189</v>
      </c>
      <c r="C594" s="1159" t="s">
        <v>71</v>
      </c>
      <c r="D594" s="1159" t="s">
        <v>566</v>
      </c>
      <c r="E594" s="1159" t="s">
        <v>310</v>
      </c>
      <c r="F594" s="1159"/>
      <c r="G594" s="1159"/>
      <c r="H594" s="1159"/>
      <c r="I594" s="1160"/>
      <c r="J594" s="1159" t="str">
        <f t="shared" ref="J594:J625" si="262">B594&amp;"_"&amp;C594&amp;"_"&amp;D594&amp;"_"&amp;E594&amp;"_"&amp;I594</f>
        <v>lending_Payday_payday_CAKE_</v>
      </c>
      <c r="K594" s="1149"/>
      <c r="L594" s="1146" t="s">
        <v>569</v>
      </c>
      <c r="M594" s="1146"/>
      <c r="N594" s="1146"/>
      <c r="O594" s="1146"/>
      <c r="P594" s="1146"/>
      <c r="Q594" s="1146"/>
      <c r="R594" s="1146"/>
      <c r="S594" s="1146"/>
      <c r="T594" s="1146"/>
      <c r="U594" s="1146"/>
      <c r="V594" s="1146"/>
      <c r="W594" s="1146"/>
      <c r="X594" s="1146"/>
      <c r="Y594" s="1146"/>
      <c r="Z594" s="1146"/>
      <c r="AA594" s="1146"/>
      <c r="AB594" s="34">
        <f t="shared" si="245"/>
        <v>0</v>
      </c>
    </row>
    <row r="595" spans="2:29">
      <c r="B595" s="1158" t="s">
        <v>189</v>
      </c>
      <c r="C595" s="1159" t="s">
        <v>71</v>
      </c>
      <c r="D595" s="1159" t="s">
        <v>566</v>
      </c>
      <c r="E595" s="1159" t="s">
        <v>310</v>
      </c>
      <c r="F595" s="1159"/>
      <c r="G595" s="1159"/>
      <c r="H595" s="1159"/>
      <c r="I595" s="1162" t="s">
        <v>239</v>
      </c>
      <c r="J595" s="1159" t="str">
        <f t="shared" si="262"/>
        <v>lending_Payday_payday_CAKE_new_account</v>
      </c>
      <c r="K595" s="1149"/>
      <c r="L595" s="1148" t="s">
        <v>193</v>
      </c>
      <c r="M595" s="1149">
        <f>SUM(P595:AA595)</f>
        <v>475922</v>
      </c>
      <c r="N595" s="1169"/>
      <c r="O595" s="1169"/>
      <c r="P595" s="1267"/>
      <c r="Q595" s="1267"/>
      <c r="R595" s="1169"/>
      <c r="S595" s="1267"/>
      <c r="T595" s="1169"/>
      <c r="U595" s="1267"/>
      <c r="V595" s="1149">
        <v>22130</v>
      </c>
      <c r="W595" s="1169">
        <v>50556</v>
      </c>
      <c r="X595" s="1169">
        <v>77044</v>
      </c>
      <c r="Y595" s="1169">
        <v>99651</v>
      </c>
      <c r="Z595" s="1169">
        <v>105326</v>
      </c>
      <c r="AA595" s="1169">
        <v>121215</v>
      </c>
      <c r="AB595" s="34">
        <f t="shared" si="245"/>
        <v>5675</v>
      </c>
    </row>
    <row r="596" spans="2:29" ht="15" customHeight="1">
      <c r="B596" s="1158" t="s">
        <v>189</v>
      </c>
      <c r="C596" s="1159" t="s">
        <v>71</v>
      </c>
      <c r="D596" s="1159" t="s">
        <v>566</v>
      </c>
      <c r="E596" s="1159" t="s">
        <v>310</v>
      </c>
      <c r="F596" s="1159"/>
      <c r="G596" s="1159"/>
      <c r="H596" s="1159"/>
      <c r="I596" s="1169" t="s">
        <v>527</v>
      </c>
      <c r="J596" s="1159" t="str">
        <f t="shared" si="262"/>
        <v>lending_Payday_payday_CAKE_Repeat account</v>
      </c>
      <c r="K596" s="1149"/>
      <c r="L596" s="1169" t="s">
        <v>527</v>
      </c>
      <c r="M596" s="1149">
        <f>SUM(P596:AA596)</f>
        <v>285140</v>
      </c>
      <c r="N596" s="1169"/>
      <c r="O596" s="1169"/>
      <c r="P596" s="1169"/>
      <c r="Q596" s="1267"/>
      <c r="R596" s="1169"/>
      <c r="S596" s="1267"/>
      <c r="T596" s="1169"/>
      <c r="U596" s="1267"/>
      <c r="V596" s="1149">
        <v>716</v>
      </c>
      <c r="W596" s="1169">
        <v>21979</v>
      </c>
      <c r="X596" s="1169">
        <v>39179</v>
      </c>
      <c r="Y596" s="1290">
        <v>64799</v>
      </c>
      <c r="Z596" s="1169">
        <v>72462</v>
      </c>
      <c r="AA596" s="1169">
        <v>86005</v>
      </c>
      <c r="AB596" s="34">
        <f t="shared" si="245"/>
        <v>7663</v>
      </c>
    </row>
    <row r="597" spans="2:29">
      <c r="B597" s="1158" t="s">
        <v>189</v>
      </c>
      <c r="C597" s="1159" t="s">
        <v>71</v>
      </c>
      <c r="D597" s="1159" t="s">
        <v>566</v>
      </c>
      <c r="E597" s="1159" t="s">
        <v>310</v>
      </c>
      <c r="F597" s="1159"/>
      <c r="G597" s="1159"/>
      <c r="H597" s="1159"/>
      <c r="I597" s="1162" t="s">
        <v>241</v>
      </c>
      <c r="J597" s="1159" t="str">
        <f t="shared" si="262"/>
        <v>lending_Payday_payday_CAKE_active_account</v>
      </c>
      <c r="K597" s="1149"/>
      <c r="L597" s="1148" t="s">
        <v>194</v>
      </c>
      <c r="M597" s="1149">
        <f>Z597</f>
        <v>100854</v>
      </c>
      <c r="N597" s="1169"/>
      <c r="O597" s="1169"/>
      <c r="P597" s="1169"/>
      <c r="Q597" s="1267"/>
      <c r="R597" s="1169"/>
      <c r="S597" s="1169"/>
      <c r="T597" s="1169"/>
      <c r="U597" s="1267"/>
      <c r="V597" s="1149">
        <v>1608</v>
      </c>
      <c r="W597" s="1169">
        <v>39490</v>
      </c>
      <c r="X597" s="1255">
        <v>68100</v>
      </c>
      <c r="Y597" s="1169">
        <v>87775</v>
      </c>
      <c r="Z597" s="1169">
        <v>100854</v>
      </c>
      <c r="AA597" s="1169">
        <v>117298</v>
      </c>
      <c r="AB597" s="34">
        <f t="shared" si="245"/>
        <v>13079</v>
      </c>
    </row>
    <row r="598" spans="2:29">
      <c r="B598" s="1158" t="s">
        <v>189</v>
      </c>
      <c r="C598" s="1159" t="s">
        <v>71</v>
      </c>
      <c r="D598" s="1159" t="s">
        <v>566</v>
      </c>
      <c r="E598" s="1159" t="s">
        <v>310</v>
      </c>
      <c r="F598" s="1159" t="str">
        <f>E598&amp;"PD"</f>
        <v>CAKEPD</v>
      </c>
      <c r="G598" s="1159" t="str">
        <f>L598&amp;F598</f>
        <v>DisbursementCAKEPD</v>
      </c>
      <c r="H598" s="1408" t="str">
        <f>L598&amp;E598</f>
        <v>DisbursementCAKE</v>
      </c>
      <c r="I598" s="1162" t="s">
        <v>242</v>
      </c>
      <c r="J598" s="1159" t="str">
        <f t="shared" si="262"/>
        <v>lending_Payday_payday_CAKE_disburse/spend</v>
      </c>
      <c r="K598" s="1149"/>
      <c r="L598" s="1169" t="s">
        <v>80</v>
      </c>
      <c r="M598" s="1149">
        <f>SUM(P598:AA598)</f>
        <v>1298555716000</v>
      </c>
      <c r="N598" s="1149"/>
      <c r="O598" s="1149"/>
      <c r="P598" s="1149"/>
      <c r="Q598" s="1149"/>
      <c r="R598" s="1169"/>
      <c r="S598" s="1169"/>
      <c r="T598" s="1169"/>
      <c r="U598" s="1169"/>
      <c r="V598" s="1290">
        <v>54643680000</v>
      </c>
      <c r="W598" s="1169">
        <v>124745616000</v>
      </c>
      <c r="X598" s="1169">
        <v>196882488000</v>
      </c>
      <c r="Y598" s="1169">
        <v>261600732000</v>
      </c>
      <c r="Z598" s="1149">
        <v>276096276000</v>
      </c>
      <c r="AA598" s="1149">
        <v>384586924000</v>
      </c>
      <c r="AB598" s="34">
        <f>AA598-Z598</f>
        <v>108490648000</v>
      </c>
      <c r="AC598" s="34">
        <f>SUM(P598:AA598)</f>
        <v>1298555716000</v>
      </c>
    </row>
    <row r="599" spans="2:29">
      <c r="B599" s="1158" t="s">
        <v>189</v>
      </c>
      <c r="C599" s="1159" t="s">
        <v>71</v>
      </c>
      <c r="D599" s="1159" t="s">
        <v>566</v>
      </c>
      <c r="E599" s="1159" t="s">
        <v>310</v>
      </c>
      <c r="F599" s="1159"/>
      <c r="G599" s="1159"/>
      <c r="H599" s="1159"/>
      <c r="I599" s="1160"/>
      <c r="J599" s="1159" t="str">
        <f t="shared" si="262"/>
        <v>lending_Payday_payday_CAKE_</v>
      </c>
      <c r="K599" s="1149"/>
      <c r="L599" s="1169" t="s">
        <v>528</v>
      </c>
      <c r="M599" s="1149">
        <f>SUM(P599:AA599)</f>
        <v>1298551716000</v>
      </c>
      <c r="N599" s="1169">
        <f t="shared" ref="N599:Z599" si="263">N598</f>
        <v>0</v>
      </c>
      <c r="O599" s="1169">
        <f t="shared" si="263"/>
        <v>0</v>
      </c>
      <c r="P599" s="1169">
        <f t="shared" si="263"/>
        <v>0</v>
      </c>
      <c r="Q599" s="1169">
        <f t="shared" si="263"/>
        <v>0</v>
      </c>
      <c r="R599" s="1169">
        <f t="shared" si="263"/>
        <v>0</v>
      </c>
      <c r="S599" s="1169">
        <f t="shared" si="263"/>
        <v>0</v>
      </c>
      <c r="T599" s="1169">
        <f t="shared" si="263"/>
        <v>0</v>
      </c>
      <c r="U599" s="1169">
        <f t="shared" si="263"/>
        <v>0</v>
      </c>
      <c r="V599" s="1169">
        <f t="shared" si="263"/>
        <v>54643680000</v>
      </c>
      <c r="W599" s="1169">
        <f t="shared" si="263"/>
        <v>124745616000</v>
      </c>
      <c r="X599" s="1169">
        <f t="shared" si="263"/>
        <v>196882488000</v>
      </c>
      <c r="Y599" s="1169">
        <f t="shared" si="263"/>
        <v>261600732000</v>
      </c>
      <c r="Z599" s="1169">
        <f t="shared" si="263"/>
        <v>276096276000</v>
      </c>
      <c r="AA599" s="1169">
        <v>384582924000</v>
      </c>
      <c r="AB599" s="34">
        <f t="shared" ref="AB599:AB662" si="264">Z599-Y599</f>
        <v>14495544000</v>
      </c>
    </row>
    <row r="600" spans="2:29" ht="15" customHeight="1">
      <c r="B600" s="1158" t="s">
        <v>189</v>
      </c>
      <c r="C600" s="1159" t="s">
        <v>71</v>
      </c>
      <c r="D600" s="1159" t="s">
        <v>566</v>
      </c>
      <c r="E600" s="1159" t="s">
        <v>310</v>
      </c>
      <c r="F600" s="1159"/>
      <c r="G600" s="1159"/>
      <c r="H600" s="1159"/>
      <c r="I600" s="1160"/>
      <c r="J600" s="1159" t="str">
        <f t="shared" si="262"/>
        <v>lending_Payday_payday_CAKE_</v>
      </c>
      <c r="K600" s="1149"/>
      <c r="L600" s="1169" t="s">
        <v>529</v>
      </c>
      <c r="M600" s="1149"/>
      <c r="N600" s="1149"/>
      <c r="O600" s="1149"/>
      <c r="P600" s="1149">
        <f>P598-P599</f>
        <v>0</v>
      </c>
      <c r="Q600" s="1149">
        <f>Q598-Q599</f>
        <v>0</v>
      </c>
      <c r="R600" s="1169"/>
      <c r="S600" s="1169"/>
      <c r="T600" s="1169"/>
      <c r="U600" s="1149"/>
      <c r="V600" s="1169"/>
      <c r="W600" s="1169"/>
      <c r="X600" s="1169"/>
      <c r="Y600" s="1169"/>
      <c r="Z600" s="1149"/>
      <c r="AA600" s="1149"/>
      <c r="AB600" s="34">
        <f t="shared" si="264"/>
        <v>0</v>
      </c>
    </row>
    <row r="601" spans="2:29" ht="15" customHeight="1">
      <c r="B601" s="1158" t="s">
        <v>189</v>
      </c>
      <c r="C601" s="1159" t="s">
        <v>71</v>
      </c>
      <c r="D601" s="1159" t="s">
        <v>566</v>
      </c>
      <c r="E601" s="1159" t="s">
        <v>310</v>
      </c>
      <c r="F601" s="1159"/>
      <c r="G601" s="1159"/>
      <c r="H601" s="1159"/>
      <c r="I601" s="1160" t="s">
        <v>243</v>
      </c>
      <c r="J601" s="1159" t="str">
        <f t="shared" si="262"/>
        <v>lending_Payday_payday_CAKE_ENR</v>
      </c>
      <c r="K601" s="1149"/>
      <c r="L601" s="1169" t="s">
        <v>530</v>
      </c>
      <c r="M601" s="1149">
        <f>AA601</f>
        <v>347679887886</v>
      </c>
      <c r="N601" s="1169"/>
      <c r="O601" s="1149"/>
      <c r="P601" s="1169"/>
      <c r="Q601" s="1169"/>
      <c r="R601" s="1169"/>
      <c r="S601" s="1169"/>
      <c r="T601" s="1169"/>
      <c r="U601" s="1169"/>
      <c r="V601" s="1149">
        <v>48634267021</v>
      </c>
      <c r="W601" s="1149">
        <v>96267633529</v>
      </c>
      <c r="X601" s="1149">
        <v>170712874053</v>
      </c>
      <c r="Y601" s="1169">
        <v>220126645159</v>
      </c>
      <c r="Z601" s="1169">
        <v>259490838401</v>
      </c>
      <c r="AA601" s="1149">
        <v>347679887886</v>
      </c>
      <c r="AB601" s="34">
        <f t="shared" si="264"/>
        <v>39364193242</v>
      </c>
    </row>
    <row r="602" spans="2:29" ht="15" customHeight="1">
      <c r="B602" s="1158" t="s">
        <v>189</v>
      </c>
      <c r="C602" s="1159" t="s">
        <v>71</v>
      </c>
      <c r="D602" s="1159" t="s">
        <v>566</v>
      </c>
      <c r="E602" s="1159" t="s">
        <v>310</v>
      </c>
      <c r="F602" s="1159"/>
      <c r="G602" s="1159"/>
      <c r="H602" s="1159"/>
      <c r="I602" s="1160"/>
      <c r="J602" s="1159" t="str">
        <f t="shared" si="262"/>
        <v>lending_Payday_payday_CAKE_</v>
      </c>
      <c r="K602" s="1149"/>
      <c r="L602" s="1235" t="s">
        <v>531</v>
      </c>
      <c r="M602" s="1236"/>
      <c r="N602" s="1255">
        <f t="shared" ref="N602:AA602" si="265">N601-N603</f>
        <v>0</v>
      </c>
      <c r="O602" s="1255">
        <f t="shared" si="265"/>
        <v>0</v>
      </c>
      <c r="P602" s="1255">
        <f t="shared" si="265"/>
        <v>0</v>
      </c>
      <c r="Q602" s="1255">
        <f t="shared" si="265"/>
        <v>0</v>
      </c>
      <c r="R602" s="1255">
        <f t="shared" si="265"/>
        <v>0</v>
      </c>
      <c r="S602" s="1255">
        <f t="shared" si="265"/>
        <v>0</v>
      </c>
      <c r="T602" s="1255">
        <f t="shared" si="265"/>
        <v>0</v>
      </c>
      <c r="U602" s="1255">
        <f t="shared" si="265"/>
        <v>0</v>
      </c>
      <c r="V602" s="1255">
        <f t="shared" si="265"/>
        <v>48634267021</v>
      </c>
      <c r="W602" s="1255">
        <f t="shared" si="265"/>
        <v>89518517151</v>
      </c>
      <c r="X602" s="1255">
        <f t="shared" si="265"/>
        <v>158533467201</v>
      </c>
      <c r="Y602" s="1255">
        <f t="shared" si="265"/>
        <v>193387004307</v>
      </c>
      <c r="Z602" s="1255">
        <f t="shared" si="265"/>
        <v>219297187604</v>
      </c>
      <c r="AA602" s="1255">
        <f t="shared" si="265"/>
        <v>294132291985</v>
      </c>
      <c r="AB602" s="34">
        <f t="shared" si="264"/>
        <v>25910183297</v>
      </c>
    </row>
    <row r="603" spans="2:29" ht="15" customHeight="1">
      <c r="B603" s="1158" t="s">
        <v>189</v>
      </c>
      <c r="C603" s="1159" t="s">
        <v>71</v>
      </c>
      <c r="D603" s="1159" t="s">
        <v>566</v>
      </c>
      <c r="E603" s="1159" t="s">
        <v>310</v>
      </c>
      <c r="F603" s="1159"/>
      <c r="G603" s="1159"/>
      <c r="H603" s="1159"/>
      <c r="I603" s="1160"/>
      <c r="J603" s="1159" t="str">
        <f t="shared" si="262"/>
        <v>lending_Payday_payday_CAKE_</v>
      </c>
      <c r="K603" s="1149"/>
      <c r="L603" s="1235" t="s">
        <v>532</v>
      </c>
      <c r="M603" s="1236"/>
      <c r="N603" s="1255"/>
      <c r="O603" s="1255"/>
      <c r="P603" s="1255"/>
      <c r="Q603" s="1255"/>
      <c r="R603" s="1255"/>
      <c r="S603" s="1255"/>
      <c r="T603" s="1255"/>
      <c r="U603" s="1255"/>
      <c r="V603" s="1236"/>
      <c r="W603" s="1236">
        <v>6749116378</v>
      </c>
      <c r="X603" s="1255">
        <v>12179406852</v>
      </c>
      <c r="Y603" s="1255">
        <v>26739640852</v>
      </c>
      <c r="Z603" s="1255">
        <v>40193650797</v>
      </c>
      <c r="AA603" s="1255">
        <v>53547595901</v>
      </c>
      <c r="AB603" s="34">
        <f t="shared" si="264"/>
        <v>13454009945</v>
      </c>
    </row>
    <row r="604" spans="2:29" ht="15" customHeight="1">
      <c r="B604" s="1158" t="s">
        <v>189</v>
      </c>
      <c r="C604" s="1159" t="s">
        <v>71</v>
      </c>
      <c r="D604" s="1159" t="s">
        <v>566</v>
      </c>
      <c r="E604" s="1159" t="s">
        <v>310</v>
      </c>
      <c r="F604" s="1159"/>
      <c r="G604" s="1159"/>
      <c r="H604" s="1159"/>
      <c r="I604" s="1160"/>
      <c r="J604" s="1159" t="str">
        <f t="shared" si="262"/>
        <v>lending_Payday_payday_CAKE_</v>
      </c>
      <c r="K604" s="1149"/>
      <c r="L604" s="1148" t="s">
        <v>533</v>
      </c>
      <c r="M604" s="1236"/>
      <c r="N604" s="1255"/>
      <c r="O604" s="1255"/>
      <c r="P604" s="1255"/>
      <c r="Q604" s="1255"/>
      <c r="R604" s="1255"/>
      <c r="S604" s="1255"/>
      <c r="T604" s="1255"/>
      <c r="U604" s="1255"/>
      <c r="V604" s="1255"/>
      <c r="W604" s="1255"/>
      <c r="X604" s="1169"/>
      <c r="Y604" s="1255"/>
      <c r="Z604" s="1255">
        <v>4674236350</v>
      </c>
      <c r="AA604" s="1255">
        <v>9837390087</v>
      </c>
      <c r="AB604" s="34">
        <f t="shared" si="264"/>
        <v>4674236350</v>
      </c>
    </row>
    <row r="605" spans="2:29" ht="15" customHeight="1">
      <c r="B605" s="1158" t="s">
        <v>189</v>
      </c>
      <c r="C605" s="1159" t="s">
        <v>71</v>
      </c>
      <c r="D605" s="1159" t="s">
        <v>566</v>
      </c>
      <c r="E605" s="1159" t="s">
        <v>310</v>
      </c>
      <c r="F605" s="1159"/>
      <c r="G605" s="1159"/>
      <c r="H605" s="1159"/>
      <c r="I605" s="1162" t="s">
        <v>247</v>
      </c>
      <c r="J605" s="1159" t="str">
        <f t="shared" si="262"/>
        <v>lending_Payday_payday_CAKE_overdue_balance_10d</v>
      </c>
      <c r="K605" s="1149"/>
      <c r="L605" s="1169" t="s">
        <v>534</v>
      </c>
      <c r="M605" s="1236"/>
      <c r="N605" s="1255"/>
      <c r="O605" s="1255"/>
      <c r="P605" s="1255"/>
      <c r="Q605" s="1255"/>
      <c r="R605" s="1255"/>
      <c r="S605" s="1255"/>
      <c r="T605" s="1169"/>
      <c r="U605" s="1169"/>
      <c r="V605" s="1290">
        <v>201560000</v>
      </c>
      <c r="W605" s="1236">
        <v>3430934035</v>
      </c>
      <c r="X605" s="1255">
        <v>16820595477</v>
      </c>
      <c r="Y605" s="1255">
        <v>24441615498</v>
      </c>
      <c r="Z605" s="1255">
        <v>38962172466</v>
      </c>
      <c r="AA605" s="1255">
        <v>60345865900</v>
      </c>
      <c r="AB605" s="34">
        <f t="shared" si="264"/>
        <v>14520556968</v>
      </c>
    </row>
    <row r="606" spans="2:29" ht="15" customHeight="1">
      <c r="B606" s="1158" t="s">
        <v>189</v>
      </c>
      <c r="C606" s="1159" t="s">
        <v>71</v>
      </c>
      <c r="D606" s="1159" t="s">
        <v>566</v>
      </c>
      <c r="E606" s="1159" t="s">
        <v>310</v>
      </c>
      <c r="F606" s="1159"/>
      <c r="G606" s="1159"/>
      <c r="H606" s="1159"/>
      <c r="I606" s="1162" t="s">
        <v>248</v>
      </c>
      <c r="J606" s="1159" t="str">
        <f t="shared" si="262"/>
        <v>lending_Payday_payday_CAKE_overdue_balance_90d</v>
      </c>
      <c r="K606" s="1149"/>
      <c r="L606" s="1169" t="s">
        <v>535</v>
      </c>
      <c r="M606" s="1149"/>
      <c r="N606" s="1169"/>
      <c r="O606" s="1169"/>
      <c r="P606" s="1169"/>
      <c r="Q606" s="1169"/>
      <c r="R606" s="1169"/>
      <c r="S606" s="1255"/>
      <c r="T606" s="1169"/>
      <c r="U606" s="1169"/>
      <c r="V606" s="1149"/>
      <c r="W606" s="1169">
        <v>2160000</v>
      </c>
      <c r="X606" s="1169">
        <v>97639681</v>
      </c>
      <c r="Y606" s="1290">
        <v>220657441</v>
      </c>
      <c r="Z606" s="1169">
        <v>5412778650</v>
      </c>
      <c r="AA606" s="1169">
        <v>14906814965</v>
      </c>
      <c r="AB606" s="34">
        <f t="shared" si="264"/>
        <v>5192121209</v>
      </c>
    </row>
    <row r="607" spans="2:29" ht="15" customHeight="1">
      <c r="B607" s="1158" t="s">
        <v>189</v>
      </c>
      <c r="C607" s="1159" t="s">
        <v>71</v>
      </c>
      <c r="D607" s="1159" t="s">
        <v>566</v>
      </c>
      <c r="E607" s="1159" t="s">
        <v>310</v>
      </c>
      <c r="F607" s="1159"/>
      <c r="G607" s="1159"/>
      <c r="H607" s="1159"/>
      <c r="I607" s="1160"/>
      <c r="J607" s="1159" t="str">
        <f t="shared" si="262"/>
        <v>lending_Payday_payday_CAKE_</v>
      </c>
      <c r="K607" s="1149"/>
      <c r="L607" s="1169" t="s">
        <v>536</v>
      </c>
      <c r="M607" s="1236"/>
      <c r="N607" s="1255">
        <f t="shared" ref="N607:AA607" si="266">N605-N606</f>
        <v>0</v>
      </c>
      <c r="O607" s="1255">
        <f t="shared" si="266"/>
        <v>0</v>
      </c>
      <c r="P607" s="1255">
        <f t="shared" si="266"/>
        <v>0</v>
      </c>
      <c r="Q607" s="1255">
        <f t="shared" si="266"/>
        <v>0</v>
      </c>
      <c r="R607" s="1255">
        <f t="shared" si="266"/>
        <v>0</v>
      </c>
      <c r="S607" s="1255">
        <f t="shared" si="266"/>
        <v>0</v>
      </c>
      <c r="T607" s="1255">
        <f t="shared" si="266"/>
        <v>0</v>
      </c>
      <c r="U607" s="1255">
        <f t="shared" si="266"/>
        <v>0</v>
      </c>
      <c r="V607" s="1255">
        <f t="shared" si="266"/>
        <v>201560000</v>
      </c>
      <c r="W607" s="1255">
        <f t="shared" si="266"/>
        <v>3428774035</v>
      </c>
      <c r="X607" s="1255">
        <f t="shared" si="266"/>
        <v>16722955796</v>
      </c>
      <c r="Y607" s="1255">
        <f t="shared" si="266"/>
        <v>24220958057</v>
      </c>
      <c r="Z607" s="1255">
        <f t="shared" si="266"/>
        <v>33549393816</v>
      </c>
      <c r="AA607" s="1255">
        <f t="shared" si="266"/>
        <v>45439050935</v>
      </c>
      <c r="AB607" s="34">
        <f t="shared" si="264"/>
        <v>9328435759</v>
      </c>
      <c r="AC607" s="34"/>
    </row>
    <row r="608" spans="2:29" ht="15" customHeight="1">
      <c r="B608" s="1158" t="s">
        <v>189</v>
      </c>
      <c r="C608" s="1159" t="s">
        <v>71</v>
      </c>
      <c r="D608" s="1159" t="s">
        <v>566</v>
      </c>
      <c r="E608" s="1159" t="s">
        <v>310</v>
      </c>
      <c r="F608" s="1159"/>
      <c r="G608" s="1159"/>
      <c r="H608" s="1159"/>
      <c r="I608" s="1160"/>
      <c r="J608" s="1159" t="str">
        <f t="shared" si="262"/>
        <v>lending_Payday_payday_CAKE_</v>
      </c>
      <c r="K608" s="1149"/>
      <c r="L608" s="1169" t="s">
        <v>537</v>
      </c>
      <c r="M608" s="1149"/>
      <c r="N608" s="1269" t="e">
        <f t="shared" ref="N608:AA608" si="267">N604/N601</f>
        <v>#DIV/0!</v>
      </c>
      <c r="O608" s="1269" t="e">
        <f t="shared" si="267"/>
        <v>#DIV/0!</v>
      </c>
      <c r="P608" s="1269" t="e">
        <f t="shared" si="267"/>
        <v>#DIV/0!</v>
      </c>
      <c r="Q608" s="1269" t="e">
        <f t="shared" si="267"/>
        <v>#DIV/0!</v>
      </c>
      <c r="R608" s="1269" t="e">
        <f t="shared" si="267"/>
        <v>#DIV/0!</v>
      </c>
      <c r="S608" s="1269" t="e">
        <f t="shared" si="267"/>
        <v>#DIV/0!</v>
      </c>
      <c r="T608" s="1269" t="e">
        <f t="shared" si="267"/>
        <v>#DIV/0!</v>
      </c>
      <c r="U608" s="1269" t="e">
        <f t="shared" si="267"/>
        <v>#DIV/0!</v>
      </c>
      <c r="V608" s="1269">
        <f t="shared" si="267"/>
        <v>0</v>
      </c>
      <c r="W608" s="1269">
        <f t="shared" si="267"/>
        <v>0</v>
      </c>
      <c r="X608" s="1269">
        <f t="shared" si="267"/>
        <v>0</v>
      </c>
      <c r="Y608" s="1269">
        <f t="shared" si="267"/>
        <v>0</v>
      </c>
      <c r="Z608" s="1269">
        <f t="shared" si="267"/>
        <v>1.801310743301366E-2</v>
      </c>
      <c r="AA608" s="1269">
        <f t="shared" si="267"/>
        <v>2.8294389263682575E-2</v>
      </c>
      <c r="AB608" s="34">
        <f t="shared" si="264"/>
        <v>1.801310743301366E-2</v>
      </c>
    </row>
    <row r="609" spans="1:30" ht="15" customHeight="1">
      <c r="B609" s="1158" t="s">
        <v>189</v>
      </c>
      <c r="C609" s="1159" t="s">
        <v>71</v>
      </c>
      <c r="D609" s="1159" t="s">
        <v>566</v>
      </c>
      <c r="E609" s="1159" t="s">
        <v>310</v>
      </c>
      <c r="F609" s="1159"/>
      <c r="G609" s="1159"/>
      <c r="H609" s="1159"/>
      <c r="I609" s="1162" t="s">
        <v>213</v>
      </c>
      <c r="J609" s="1159" t="str">
        <f t="shared" si="262"/>
        <v>lending_Payday_payday_CAKE_npl</v>
      </c>
      <c r="K609" s="1149"/>
      <c r="L609" s="1169" t="s">
        <v>538</v>
      </c>
      <c r="M609" s="1149"/>
      <c r="N609" s="1237" t="e">
        <f t="shared" ref="N609:AA609" si="268">N606/N601</f>
        <v>#DIV/0!</v>
      </c>
      <c r="O609" s="1237" t="e">
        <f t="shared" si="268"/>
        <v>#DIV/0!</v>
      </c>
      <c r="P609" s="1237" t="e">
        <f t="shared" si="268"/>
        <v>#DIV/0!</v>
      </c>
      <c r="Q609" s="1237" t="e">
        <f t="shared" si="268"/>
        <v>#DIV/0!</v>
      </c>
      <c r="R609" s="1237" t="e">
        <f t="shared" si="268"/>
        <v>#DIV/0!</v>
      </c>
      <c r="S609" s="1237" t="e">
        <f t="shared" si="268"/>
        <v>#DIV/0!</v>
      </c>
      <c r="T609" s="1237" t="e">
        <f t="shared" si="268"/>
        <v>#DIV/0!</v>
      </c>
      <c r="U609" s="1237" t="e">
        <f t="shared" si="268"/>
        <v>#DIV/0!</v>
      </c>
      <c r="V609" s="1237">
        <f t="shared" si="268"/>
        <v>0</v>
      </c>
      <c r="W609" s="1237">
        <f t="shared" si="268"/>
        <v>2.2437447777807003E-5</v>
      </c>
      <c r="X609" s="1237">
        <f t="shared" si="268"/>
        <v>5.7195265173548961E-4</v>
      </c>
      <c r="Y609" s="1237">
        <f t="shared" si="268"/>
        <v>1.0024113202680056E-3</v>
      </c>
      <c r="Z609" s="1237">
        <f t="shared" si="268"/>
        <v>2.0859228338672403E-2</v>
      </c>
      <c r="AA609" s="1237">
        <f t="shared" si="268"/>
        <v>4.2875114392258905E-2</v>
      </c>
      <c r="AB609" s="34">
        <f t="shared" si="264"/>
        <v>1.9856817018404398E-2</v>
      </c>
    </row>
    <row r="610" spans="1:30" ht="15" customHeight="1">
      <c r="B610" s="1158" t="s">
        <v>189</v>
      </c>
      <c r="C610" s="1159" t="s">
        <v>71</v>
      </c>
      <c r="D610" s="1159" t="s">
        <v>566</v>
      </c>
      <c r="E610" s="1159" t="s">
        <v>310</v>
      </c>
      <c r="F610" s="1159" t="str">
        <f>E610&amp;"PD"</f>
        <v>CAKEPD</v>
      </c>
      <c r="G610" s="1159" t="str">
        <f>L610&amp;F610</f>
        <v>TOICAKEPD</v>
      </c>
      <c r="H610" s="1408" t="str">
        <f>L610&amp;E610</f>
        <v>TOICAKE</v>
      </c>
      <c r="I610" s="1162" t="s">
        <v>217</v>
      </c>
      <c r="J610" s="1159" t="str">
        <f t="shared" si="262"/>
        <v>lending_Payday_payday_CAKE_TOI</v>
      </c>
      <c r="K610" s="1149"/>
      <c r="L610" s="1238" t="s">
        <v>217</v>
      </c>
      <c r="M610" s="1150">
        <f t="shared" ref="M610:AA610" si="269">M611+M616+M620</f>
        <v>113395085076</v>
      </c>
      <c r="N610" s="1150">
        <f t="shared" si="269"/>
        <v>0</v>
      </c>
      <c r="O610" s="1150">
        <f t="shared" si="269"/>
        <v>0</v>
      </c>
      <c r="P610" s="1150">
        <f t="shared" si="269"/>
        <v>0</v>
      </c>
      <c r="Q610" s="1150">
        <f t="shared" si="269"/>
        <v>0</v>
      </c>
      <c r="R610" s="1150">
        <f t="shared" si="269"/>
        <v>0</v>
      </c>
      <c r="S610" s="1150">
        <f t="shared" si="269"/>
        <v>0</v>
      </c>
      <c r="T610" s="1150">
        <f t="shared" si="269"/>
        <v>0</v>
      </c>
      <c r="U610" s="1150">
        <f t="shared" si="269"/>
        <v>0</v>
      </c>
      <c r="V610" s="1150">
        <f t="shared" si="269"/>
        <v>3746885161</v>
      </c>
      <c r="W610" s="1150">
        <f t="shared" si="269"/>
        <v>10829491213</v>
      </c>
      <c r="X610" s="1150">
        <f t="shared" si="269"/>
        <v>16638366603</v>
      </c>
      <c r="Y610" s="1150">
        <f t="shared" si="269"/>
        <v>23266112691</v>
      </c>
      <c r="Z610" s="1150">
        <f t="shared" si="269"/>
        <v>24765868671</v>
      </c>
      <c r="AA610" s="1150">
        <f t="shared" si="269"/>
        <v>34148360737</v>
      </c>
      <c r="AB610" s="34">
        <f t="shared" si="264"/>
        <v>1499755980</v>
      </c>
      <c r="AC610" s="34">
        <f>SUM(P610:AA610)</f>
        <v>113395085076</v>
      </c>
    </row>
    <row r="611" spans="1:30" ht="15" customHeight="1">
      <c r="B611" s="1158" t="s">
        <v>189</v>
      </c>
      <c r="C611" s="1159" t="s">
        <v>71</v>
      </c>
      <c r="D611" s="1159" t="s">
        <v>566</v>
      </c>
      <c r="E611" s="1159" t="s">
        <v>310</v>
      </c>
      <c r="F611" s="1159"/>
      <c r="G611" s="1159"/>
      <c r="H611" s="1159"/>
      <c r="I611" s="1162" t="s">
        <v>254</v>
      </c>
      <c r="J611" s="1159" t="str">
        <f t="shared" si="262"/>
        <v>lending_Payday_payday_CAKE_NII</v>
      </c>
      <c r="K611" s="1149"/>
      <c r="L611" s="1239" t="s">
        <v>218</v>
      </c>
      <c r="M611" s="1150">
        <f t="shared" ref="M611:AA611" si="270">M612-M615</f>
        <v>32410103351</v>
      </c>
      <c r="N611" s="1150">
        <f t="shared" si="270"/>
        <v>0</v>
      </c>
      <c r="O611" s="1150">
        <f t="shared" si="270"/>
        <v>0</v>
      </c>
      <c r="P611" s="1150">
        <f t="shared" si="270"/>
        <v>0</v>
      </c>
      <c r="Q611" s="1150">
        <f t="shared" si="270"/>
        <v>0</v>
      </c>
      <c r="R611" s="1150">
        <f t="shared" si="270"/>
        <v>0</v>
      </c>
      <c r="S611" s="1150">
        <f t="shared" si="270"/>
        <v>0</v>
      </c>
      <c r="T611" s="1150">
        <f t="shared" si="270"/>
        <v>0</v>
      </c>
      <c r="U611" s="1150">
        <f t="shared" si="270"/>
        <v>0</v>
      </c>
      <c r="V611" s="1150">
        <f t="shared" si="270"/>
        <v>366253187</v>
      </c>
      <c r="W611" s="1150">
        <f t="shared" si="270"/>
        <v>3112074236</v>
      </c>
      <c r="X611" s="1150">
        <f t="shared" si="270"/>
        <v>4457467717</v>
      </c>
      <c r="Y611" s="1150">
        <f t="shared" si="270"/>
        <v>7026576042</v>
      </c>
      <c r="Z611" s="1150">
        <f t="shared" si="270"/>
        <v>7437117491</v>
      </c>
      <c r="AA611" s="1150">
        <f t="shared" si="270"/>
        <v>10010614678</v>
      </c>
      <c r="AB611" s="34">
        <f t="shared" si="264"/>
        <v>410541449</v>
      </c>
    </row>
    <row r="612" spans="1:30" ht="15" customHeight="1">
      <c r="B612" s="1158" t="s">
        <v>189</v>
      </c>
      <c r="C612" s="1159" t="s">
        <v>71</v>
      </c>
      <c r="D612" s="1159" t="s">
        <v>566</v>
      </c>
      <c r="E612" s="1159" t="s">
        <v>310</v>
      </c>
      <c r="F612" s="1159"/>
      <c r="G612" s="1159"/>
      <c r="H612" s="1159"/>
      <c r="I612" s="1162" t="s">
        <v>255</v>
      </c>
      <c r="J612" s="1159" t="str">
        <f t="shared" si="262"/>
        <v>lending_Payday_payday_CAKE_CII</v>
      </c>
      <c r="K612" s="1149"/>
      <c r="L612" s="1240" t="s">
        <v>20</v>
      </c>
      <c r="M612" s="1149">
        <f>SUM(P612:AA612)</f>
        <v>36901064657</v>
      </c>
      <c r="N612" s="1149">
        <f>N613+M614-N614</f>
        <v>0</v>
      </c>
      <c r="O612" s="1149">
        <f>O613+N614-O614</f>
        <v>0</v>
      </c>
      <c r="P612" s="1149">
        <f t="shared" ref="P612:Z612" si="271">P613-P614+O614</f>
        <v>0</v>
      </c>
      <c r="Q612" s="1149">
        <f t="shared" si="271"/>
        <v>0</v>
      </c>
      <c r="R612" s="1149">
        <f t="shared" si="271"/>
        <v>0</v>
      </c>
      <c r="S612" s="1149">
        <f t="shared" si="271"/>
        <v>0</v>
      </c>
      <c r="T612" s="1149">
        <f t="shared" si="271"/>
        <v>0</v>
      </c>
      <c r="U612" s="1149">
        <f t="shared" si="271"/>
        <v>0</v>
      </c>
      <c r="V612" s="1149">
        <f t="shared" si="271"/>
        <v>390240034</v>
      </c>
      <c r="W612" s="1149">
        <f t="shared" si="271"/>
        <v>3436270109</v>
      </c>
      <c r="X612" s="1149">
        <f t="shared" si="271"/>
        <v>5004146738</v>
      </c>
      <c r="Y612" s="1149">
        <f t="shared" si="271"/>
        <v>7965835702</v>
      </c>
      <c r="Z612" s="1149">
        <f t="shared" si="271"/>
        <v>8525449049</v>
      </c>
      <c r="AA612" s="1149">
        <f>AA613-AA614+Z614</f>
        <v>11579123025</v>
      </c>
      <c r="AB612" s="34">
        <f t="shared" si="264"/>
        <v>559613347</v>
      </c>
    </row>
    <row r="613" spans="1:30" ht="15" customHeight="1">
      <c r="B613" s="1158" t="s">
        <v>189</v>
      </c>
      <c r="C613" s="1159" t="s">
        <v>71</v>
      </c>
      <c r="D613" s="1159" t="s">
        <v>566</v>
      </c>
      <c r="E613" s="1159" t="s">
        <v>310</v>
      </c>
      <c r="F613" s="1159"/>
      <c r="G613" s="1159"/>
      <c r="H613" s="1159"/>
      <c r="I613" s="1162"/>
      <c r="J613" s="1159" t="str">
        <f t="shared" si="262"/>
        <v>lending_Payday_payday_CAKE_</v>
      </c>
      <c r="K613" s="1149"/>
      <c r="L613" s="1285" t="s">
        <v>539</v>
      </c>
      <c r="M613" s="1151">
        <f>SUM(P613:AA613)</f>
        <v>37229410075</v>
      </c>
      <c r="N613" s="1286"/>
      <c r="O613" s="1286"/>
      <c r="P613" s="1152"/>
      <c r="Q613" s="1152"/>
      <c r="R613" s="1152"/>
      <c r="S613" s="1152"/>
      <c r="T613" s="1152"/>
      <c r="U613" s="1242"/>
      <c r="V613" s="1149">
        <v>391891006</v>
      </c>
      <c r="W613" s="1149">
        <v>3621267892</v>
      </c>
      <c r="X613" s="1149">
        <v>4957905791</v>
      </c>
      <c r="Y613" s="1149">
        <v>8068998585</v>
      </c>
      <c r="Z613" s="1149">
        <v>8596248464</v>
      </c>
      <c r="AA613" s="1149">
        <v>11593098337</v>
      </c>
      <c r="AB613" s="34">
        <f t="shared" si="264"/>
        <v>527249879</v>
      </c>
    </row>
    <row r="614" spans="1:30" ht="15" customHeight="1">
      <c r="B614" s="1158" t="s">
        <v>189</v>
      </c>
      <c r="C614" s="1159" t="s">
        <v>71</v>
      </c>
      <c r="D614" s="1159" t="s">
        <v>566</v>
      </c>
      <c r="E614" s="1159" t="s">
        <v>310</v>
      </c>
      <c r="F614" s="1159"/>
      <c r="G614" s="1159"/>
      <c r="H614" s="1159"/>
      <c r="I614" s="1160"/>
      <c r="J614" s="1159" t="str">
        <f t="shared" si="262"/>
        <v>lending_Payday_payday_CAKE_</v>
      </c>
      <c r="K614" s="1149"/>
      <c r="L614" s="1285" t="s">
        <v>187</v>
      </c>
      <c r="M614" s="1151"/>
      <c r="N614" s="1287"/>
      <c r="O614" s="1287"/>
      <c r="P614" s="1152"/>
      <c r="Q614" s="1152"/>
      <c r="R614" s="1152"/>
      <c r="S614" s="1152"/>
      <c r="T614" s="1152"/>
      <c r="U614" s="1152"/>
      <c r="V614" s="1149">
        <v>1650972</v>
      </c>
      <c r="W614" s="1149">
        <v>186648755</v>
      </c>
      <c r="X614" s="1149">
        <v>140407808</v>
      </c>
      <c r="Y614" s="1149">
        <f>246677894-3107203</f>
        <v>243570691</v>
      </c>
      <c r="Z614" s="1149">
        <v>314370106</v>
      </c>
      <c r="AA614" s="1149">
        <v>328345418</v>
      </c>
      <c r="AB614" s="34">
        <f t="shared" si="264"/>
        <v>70799415</v>
      </c>
      <c r="AC614" s="34"/>
      <c r="AD614" s="34"/>
    </row>
    <row r="615" spans="1:30" ht="15" customHeight="1">
      <c r="B615" s="1158" t="s">
        <v>189</v>
      </c>
      <c r="C615" s="1159" t="s">
        <v>71</v>
      </c>
      <c r="D615" s="1159" t="s">
        <v>566</v>
      </c>
      <c r="E615" s="1159" t="s">
        <v>310</v>
      </c>
      <c r="F615" s="1159"/>
      <c r="G615" s="1159"/>
      <c r="H615" s="1159"/>
      <c r="I615" s="1162" t="s">
        <v>219</v>
      </c>
      <c r="J615" s="1159" t="str">
        <f t="shared" si="262"/>
        <v>lending_Payday_payday_CAKE_COF</v>
      </c>
      <c r="K615" s="1149"/>
      <c r="L615" s="1240" t="s">
        <v>219</v>
      </c>
      <c r="M615" s="1149">
        <f>SUM(P615:AA615)</f>
        <v>4490961306</v>
      </c>
      <c r="N615" s="1254"/>
      <c r="O615" s="1254"/>
      <c r="P615" s="1169"/>
      <c r="Q615" s="1169"/>
      <c r="R615" s="1169"/>
      <c r="S615" s="1169"/>
      <c r="T615" s="1169"/>
      <c r="U615" s="1169"/>
      <c r="V615" s="1149">
        <v>23986847</v>
      </c>
      <c r="W615" s="1149">
        <v>324195873</v>
      </c>
      <c r="X615" s="1290">
        <v>546679021</v>
      </c>
      <c r="Y615" s="1248">
        <f>962600599-23340939</f>
        <v>939259660</v>
      </c>
      <c r="Z615" s="1254">
        <f>1104935163-16603605</f>
        <v>1088331558</v>
      </c>
      <c r="AA615" s="1254">
        <v>1568508347</v>
      </c>
      <c r="AB615" s="34">
        <f t="shared" si="264"/>
        <v>149071898</v>
      </c>
    </row>
    <row r="616" spans="1:30" ht="15" customHeight="1">
      <c r="B616" s="1158" t="s">
        <v>189</v>
      </c>
      <c r="C616" s="1159" t="s">
        <v>71</v>
      </c>
      <c r="D616" s="1159" t="s">
        <v>566</v>
      </c>
      <c r="E616" s="1159" t="s">
        <v>310</v>
      </c>
      <c r="F616" s="1159"/>
      <c r="G616" s="1159"/>
      <c r="H616" s="1159"/>
      <c r="I616" s="1162" t="s">
        <v>260</v>
      </c>
      <c r="J616" s="1159" t="str">
        <f t="shared" si="262"/>
        <v>lending_Payday_payday_CAKE_NFI</v>
      </c>
      <c r="K616" s="1149"/>
      <c r="L616" s="1239" t="s">
        <v>220</v>
      </c>
      <c r="M616" s="1150">
        <f t="shared" ref="M616:AA616" si="272">SUM(M617:M619)</f>
        <v>80984981725</v>
      </c>
      <c r="N616" s="1150">
        <f t="shared" si="272"/>
        <v>0</v>
      </c>
      <c r="O616" s="1150">
        <f t="shared" si="272"/>
        <v>0</v>
      </c>
      <c r="P616" s="1150">
        <f t="shared" si="272"/>
        <v>0</v>
      </c>
      <c r="Q616" s="1150">
        <f t="shared" si="272"/>
        <v>0</v>
      </c>
      <c r="R616" s="1150">
        <f t="shared" si="272"/>
        <v>0</v>
      </c>
      <c r="S616" s="1150">
        <f t="shared" si="272"/>
        <v>0</v>
      </c>
      <c r="T616" s="1150">
        <f t="shared" si="272"/>
        <v>0</v>
      </c>
      <c r="U616" s="1150">
        <f t="shared" si="272"/>
        <v>0</v>
      </c>
      <c r="V616" s="1150">
        <f t="shared" si="272"/>
        <v>3380631974</v>
      </c>
      <c r="W616" s="1150">
        <f t="shared" si="272"/>
        <v>7717416977</v>
      </c>
      <c r="X616" s="1150">
        <f t="shared" si="272"/>
        <v>12180898886</v>
      </c>
      <c r="Y616" s="1150">
        <f t="shared" si="272"/>
        <v>16239536649</v>
      </c>
      <c r="Z616" s="1150">
        <f t="shared" si="272"/>
        <v>17328751180</v>
      </c>
      <c r="AA616" s="1150">
        <f t="shared" si="272"/>
        <v>24137746059</v>
      </c>
      <c r="AB616" s="34">
        <f t="shared" si="264"/>
        <v>1089214531</v>
      </c>
    </row>
    <row r="617" spans="1:30" ht="15" customHeight="1">
      <c r="B617" s="1158" t="s">
        <v>189</v>
      </c>
      <c r="C617" s="1159" t="s">
        <v>71</v>
      </c>
      <c r="D617" s="1159" t="s">
        <v>566</v>
      </c>
      <c r="E617" s="1159" t="s">
        <v>310</v>
      </c>
      <c r="F617" s="1159"/>
      <c r="G617" s="1159"/>
      <c r="H617" s="1159"/>
      <c r="I617" s="1162" t="s">
        <v>546</v>
      </c>
      <c r="J617" s="1159" t="str">
        <f t="shared" si="262"/>
        <v>lending_Payday_payday_CAKE_insurance_fee</v>
      </c>
      <c r="K617" s="1149"/>
      <c r="L617" s="1240" t="s">
        <v>540</v>
      </c>
      <c r="M617" s="1149">
        <f>SUM(P617:AA617)</f>
        <v>80984981725</v>
      </c>
      <c r="N617" s="1248"/>
      <c r="O617" s="1248"/>
      <c r="P617" s="1248"/>
      <c r="Q617" s="1248"/>
      <c r="R617" s="1248"/>
      <c r="S617" s="1248"/>
      <c r="T617" s="1248"/>
      <c r="U617" s="1248"/>
      <c r="V617" s="1248">
        <v>3380631974</v>
      </c>
      <c r="W617" s="1290">
        <v>7717416977</v>
      </c>
      <c r="X617" s="1290">
        <v>12180898886</v>
      </c>
      <c r="Y617" s="1248">
        <v>16239536649</v>
      </c>
      <c r="Z617" s="1248">
        <v>17328751180</v>
      </c>
      <c r="AA617" s="1248">
        <v>24137746059</v>
      </c>
      <c r="AB617" s="34">
        <f t="shared" si="264"/>
        <v>1089214531</v>
      </c>
    </row>
    <row r="618" spans="1:30" ht="15" customHeight="1">
      <c r="B618" s="1158" t="s">
        <v>189</v>
      </c>
      <c r="C618" s="1159" t="s">
        <v>71</v>
      </c>
      <c r="D618" s="1159" t="s">
        <v>566</v>
      </c>
      <c r="E618" s="1159" t="s">
        <v>310</v>
      </c>
      <c r="F618" s="1159"/>
      <c r="G618" s="1159"/>
      <c r="H618" s="1159"/>
      <c r="I618" s="1162" t="s">
        <v>547</v>
      </c>
      <c r="J618" s="1159" t="str">
        <f t="shared" si="262"/>
        <v>lending_Payday_payday_CAKE_early_terminate_fee</v>
      </c>
      <c r="K618" s="1149"/>
      <c r="L618" s="1240" t="s">
        <v>541</v>
      </c>
      <c r="M618" s="1149">
        <f>SUM(P618:AA618)</f>
        <v>0</v>
      </c>
      <c r="N618" s="1151"/>
      <c r="O618" s="1248"/>
      <c r="P618" s="1243"/>
      <c r="Q618" s="1243"/>
      <c r="R618" s="1243"/>
      <c r="S618" s="1243"/>
      <c r="T618" s="1243"/>
      <c r="U618" s="1151"/>
      <c r="V618" s="1261"/>
      <c r="W618" s="1151"/>
      <c r="X618" s="1151"/>
      <c r="Y618" s="1151"/>
      <c r="Z618" s="1151"/>
      <c r="AA618" s="1248"/>
      <c r="AB618" s="34">
        <f t="shared" si="264"/>
        <v>0</v>
      </c>
    </row>
    <row r="619" spans="1:30" ht="15" customHeight="1">
      <c r="B619" s="1158" t="s">
        <v>189</v>
      </c>
      <c r="C619" s="1159" t="s">
        <v>71</v>
      </c>
      <c r="D619" s="1159" t="s">
        <v>566</v>
      </c>
      <c r="E619" s="1159" t="s">
        <v>310</v>
      </c>
      <c r="F619" s="1159"/>
      <c r="G619" s="1159"/>
      <c r="H619" s="1159"/>
      <c r="I619" s="1162" t="s">
        <v>548</v>
      </c>
      <c r="J619" s="1159" t="str">
        <f t="shared" si="262"/>
        <v>lending_Payday_payday_CAKE_loan_grant_fee</v>
      </c>
      <c r="K619" s="1149"/>
      <c r="L619" s="1240" t="s">
        <v>542</v>
      </c>
      <c r="M619" s="1149">
        <f>SUM(P619:AA619)</f>
        <v>0</v>
      </c>
      <c r="N619" s="1151"/>
      <c r="O619" s="1151"/>
      <c r="P619" s="1243"/>
      <c r="Q619" s="1243"/>
      <c r="R619" s="1243"/>
      <c r="S619" s="1243"/>
      <c r="T619" s="1243"/>
      <c r="U619" s="1151"/>
      <c r="V619" s="1261"/>
      <c r="W619" s="1151"/>
      <c r="X619" s="1151"/>
      <c r="Y619" s="1151"/>
      <c r="Z619" s="1151"/>
      <c r="AA619" s="1151"/>
      <c r="AB619" s="34">
        <f t="shared" si="264"/>
        <v>0</v>
      </c>
    </row>
    <row r="620" spans="1:30" ht="15" customHeight="1">
      <c r="A620" s="4"/>
      <c r="B620" s="1158" t="s">
        <v>189</v>
      </c>
      <c r="C620" s="1163" t="s">
        <v>71</v>
      </c>
      <c r="D620" s="1159" t="s">
        <v>566</v>
      </c>
      <c r="E620" s="1159" t="s">
        <v>310</v>
      </c>
      <c r="F620" s="1159"/>
      <c r="G620" s="1159"/>
      <c r="H620" s="1159"/>
      <c r="I620" s="1162" t="s">
        <v>269</v>
      </c>
      <c r="J620" s="1163" t="str">
        <f t="shared" si="262"/>
        <v>lending_Payday_payday_CAKE_other_TOI</v>
      </c>
      <c r="K620" s="1149"/>
      <c r="L620" s="1239" t="s">
        <v>89</v>
      </c>
      <c r="M620" s="1150">
        <f>SUM(P620:AA620)</f>
        <v>0</v>
      </c>
      <c r="N620" s="1154"/>
      <c r="O620" s="1154"/>
      <c r="P620" s="1270"/>
      <c r="Q620" s="1270"/>
      <c r="R620" s="1270"/>
      <c r="S620" s="1270"/>
      <c r="T620" s="1270"/>
      <c r="U620" s="1154"/>
      <c r="V620" s="1271"/>
      <c r="W620" s="1154"/>
      <c r="X620" s="1154"/>
      <c r="Y620" s="1154"/>
      <c r="Z620" s="1154"/>
      <c r="AA620" s="1154"/>
      <c r="AB620" s="34">
        <f t="shared" si="264"/>
        <v>0</v>
      </c>
    </row>
    <row r="621" spans="1:30" ht="15" customHeight="1">
      <c r="B621" s="1158" t="s">
        <v>189</v>
      </c>
      <c r="C621" s="1159" t="s">
        <v>71</v>
      </c>
      <c r="D621" s="1159" t="s">
        <v>566</v>
      </c>
      <c r="E621" s="1159" t="s">
        <v>310</v>
      </c>
      <c r="F621" s="1159"/>
      <c r="G621" s="1159"/>
      <c r="H621" s="1159"/>
      <c r="I621" s="1162" t="s">
        <v>270</v>
      </c>
      <c r="J621" s="1159" t="str">
        <f t="shared" si="262"/>
        <v>lending_Payday_payday_CAKE_provision</v>
      </c>
      <c r="K621" s="1149"/>
      <c r="L621" s="1245" t="s">
        <v>136</v>
      </c>
      <c r="M621" s="1150">
        <f>SUM(P621:AA621)</f>
        <v>11914951977</v>
      </c>
      <c r="N621" s="1262"/>
      <c r="O621" s="1262"/>
      <c r="P621" s="1262"/>
      <c r="Q621" s="1262"/>
      <c r="R621" s="1262"/>
      <c r="S621" s="1245"/>
      <c r="T621" s="1288"/>
      <c r="U621" s="1288"/>
      <c r="V621" s="1297">
        <v>374835003</v>
      </c>
      <c r="W621" s="1262">
        <v>520754770</v>
      </c>
      <c r="X621" s="1262">
        <f>984001425+260502719</f>
        <v>1244504144</v>
      </c>
      <c r="Y621" s="1362">
        <f>817896054-52854253</f>
        <v>765041801</v>
      </c>
      <c r="Z621" s="1262">
        <f>1801997677+15684743</f>
        <v>1817682420</v>
      </c>
      <c r="AA621" s="1262">
        <f>6206885123+985248716</f>
        <v>7192133839</v>
      </c>
      <c r="AB621" s="34">
        <f>AA621-Z621</f>
        <v>5374451419</v>
      </c>
    </row>
    <row r="622" spans="1:30" ht="15" customHeight="1">
      <c r="B622" s="1158" t="s">
        <v>189</v>
      </c>
      <c r="C622" s="1159" t="s">
        <v>71</v>
      </c>
      <c r="D622" s="1159" t="s">
        <v>566</v>
      </c>
      <c r="E622" s="1159" t="s">
        <v>310</v>
      </c>
      <c r="F622" s="1159"/>
      <c r="G622" s="1159"/>
      <c r="H622" s="1159"/>
      <c r="I622" s="1162" t="s">
        <v>271</v>
      </c>
      <c r="J622" s="1159" t="str">
        <f t="shared" si="262"/>
        <v>lending_Payday_payday_CAKE_variable_cost</v>
      </c>
      <c r="K622" s="1149"/>
      <c r="L622" s="1245" t="s">
        <v>229</v>
      </c>
      <c r="M622" s="1150">
        <f t="shared" ref="M622:AA622" si="273">SUM(M623:M630)</f>
        <v>6073729915.7039623</v>
      </c>
      <c r="N622" s="1150">
        <f t="shared" si="273"/>
        <v>0</v>
      </c>
      <c r="O622" s="1150">
        <f t="shared" si="273"/>
        <v>0</v>
      </c>
      <c r="P622" s="1150">
        <f t="shared" si="273"/>
        <v>0</v>
      </c>
      <c r="Q622" s="1150">
        <f t="shared" si="273"/>
        <v>0</v>
      </c>
      <c r="R622" s="1150">
        <f t="shared" si="273"/>
        <v>0</v>
      </c>
      <c r="S622" s="1150">
        <f t="shared" si="273"/>
        <v>0</v>
      </c>
      <c r="T622" s="1150">
        <f t="shared" si="273"/>
        <v>0</v>
      </c>
      <c r="U622" s="1150">
        <f t="shared" si="273"/>
        <v>0</v>
      </c>
      <c r="V622" s="1150">
        <f t="shared" si="273"/>
        <v>409937781.28281438</v>
      </c>
      <c r="W622" s="1150">
        <f t="shared" si="273"/>
        <v>738387129.45893109</v>
      </c>
      <c r="X622" s="1150">
        <f t="shared" si="273"/>
        <v>944703759.81063247</v>
      </c>
      <c r="Y622" s="1150">
        <f t="shared" si="273"/>
        <v>1222960634.5567141</v>
      </c>
      <c r="Z622" s="1150">
        <f t="shared" si="273"/>
        <v>1324925612.9722681</v>
      </c>
      <c r="AA622" s="1150">
        <f t="shared" si="273"/>
        <v>1432814997.6226029</v>
      </c>
      <c r="AB622" s="34">
        <f t="shared" si="264"/>
        <v>101964978.41555405</v>
      </c>
    </row>
    <row r="623" spans="1:30" ht="15" customHeight="1">
      <c r="B623" s="1158" t="s">
        <v>189</v>
      </c>
      <c r="C623" s="1159" t="s">
        <v>71</v>
      </c>
      <c r="D623" s="1159" t="s">
        <v>566</v>
      </c>
      <c r="E623" s="1159" t="s">
        <v>310</v>
      </c>
      <c r="F623" s="1159"/>
      <c r="G623" s="1159"/>
      <c r="H623" s="1159"/>
      <c r="I623" s="1162" t="s">
        <v>272</v>
      </c>
      <c r="J623" s="1159" t="str">
        <f t="shared" si="262"/>
        <v>lending_Payday_payday_CAKE_marketing_acquisition_cost</v>
      </c>
      <c r="K623" s="1149"/>
      <c r="L623" s="1246" t="s">
        <v>230</v>
      </c>
      <c r="M623" s="1149">
        <f t="shared" ref="M623:M628" si="274">SUM(P623:AA623)</f>
        <v>427503467</v>
      </c>
      <c r="N623" s="1147"/>
      <c r="O623" s="1147"/>
      <c r="P623" s="1169"/>
      <c r="Q623" s="1169"/>
      <c r="R623" s="1169"/>
      <c r="S623" s="1147"/>
      <c r="T623" s="1169"/>
      <c r="U623" s="1147"/>
      <c r="V623" s="1290">
        <v>40000000</v>
      </c>
      <c r="W623" s="1290">
        <v>38824927</v>
      </c>
      <c r="X623" s="1290">
        <v>104403980</v>
      </c>
      <c r="Y623" s="1290">
        <v>94113533</v>
      </c>
      <c r="Z623" s="1290">
        <v>125757047</v>
      </c>
      <c r="AA623" s="1290">
        <v>24403980</v>
      </c>
      <c r="AB623" s="34">
        <f t="shared" si="264"/>
        <v>31643514</v>
      </c>
    </row>
    <row r="624" spans="1:30" ht="15" customHeight="1">
      <c r="B624" s="1158" t="s">
        <v>189</v>
      </c>
      <c r="C624" s="1159" t="s">
        <v>71</v>
      </c>
      <c r="D624" s="1159" t="s">
        <v>566</v>
      </c>
      <c r="E624" s="1159" t="s">
        <v>310</v>
      </c>
      <c r="F624" s="1159"/>
      <c r="G624" s="1159"/>
      <c r="H624" s="1159"/>
      <c r="I624" s="1162" t="s">
        <v>273</v>
      </c>
      <c r="J624" s="1159" t="str">
        <f t="shared" si="262"/>
        <v>lending_Payday_payday_CAKE_partner_acquisition_cost</v>
      </c>
      <c r="K624" s="1149"/>
      <c r="L624" s="1246" t="s">
        <v>231</v>
      </c>
      <c r="M624" s="1149">
        <f t="shared" si="274"/>
        <v>0</v>
      </c>
      <c r="N624" s="1253"/>
      <c r="O624" s="1169"/>
      <c r="P624" s="1169"/>
      <c r="Q624" s="1169"/>
      <c r="R624" s="1169"/>
      <c r="S624" s="1169"/>
      <c r="T624" s="1169"/>
      <c r="U624" s="1245"/>
      <c r="V624" s="1245"/>
      <c r="W624" s="1245"/>
      <c r="X624" s="1245"/>
      <c r="Y624" s="1264"/>
      <c r="Z624" s="1264"/>
      <c r="AA624" s="1245"/>
      <c r="AB624" s="34">
        <f t="shared" si="264"/>
        <v>0</v>
      </c>
    </row>
    <row r="625" spans="2:29" ht="15" customHeight="1">
      <c r="B625" s="1158" t="s">
        <v>189</v>
      </c>
      <c r="C625" s="1159" t="s">
        <v>71</v>
      </c>
      <c r="D625" s="1159" t="s">
        <v>566</v>
      </c>
      <c r="E625" s="1159" t="s">
        <v>310</v>
      </c>
      <c r="F625" s="1159"/>
      <c r="G625" s="1159"/>
      <c r="H625" s="1159"/>
      <c r="I625" s="1162" t="s">
        <v>274</v>
      </c>
      <c r="J625" s="1159" t="str">
        <f t="shared" si="262"/>
        <v>lending_Payday_payday_CAKE_underwritting</v>
      </c>
      <c r="K625" s="1149"/>
      <c r="L625" s="1246" t="s">
        <v>232</v>
      </c>
      <c r="M625" s="1149">
        <f t="shared" si="274"/>
        <v>3970450869.7890625</v>
      </c>
      <c r="N625" s="1149"/>
      <c r="O625" s="1149"/>
      <c r="P625" s="1169">
        <v>0</v>
      </c>
      <c r="Q625" s="1169">
        <v>0</v>
      </c>
      <c r="R625" s="1169">
        <v>0</v>
      </c>
      <c r="S625" s="1169">
        <v>0</v>
      </c>
      <c r="T625" s="1169">
        <v>0</v>
      </c>
      <c r="U625" s="1149">
        <v>0</v>
      </c>
      <c r="V625" s="1149">
        <v>338633977.44855738</v>
      </c>
      <c r="W625" s="1149">
        <v>602161915.01524723</v>
      </c>
      <c r="X625" s="1149">
        <v>670330385.33437216</v>
      </c>
      <c r="Y625" s="1149">
        <v>762503259.48489523</v>
      </c>
      <c r="Z625" s="1149">
        <v>719192140.08755064</v>
      </c>
      <c r="AA625" s="1149">
        <v>877629192.41843998</v>
      </c>
      <c r="AB625" s="34">
        <f t="shared" si="264"/>
        <v>-43311119.397344589</v>
      </c>
    </row>
    <row r="626" spans="2:29" ht="15" customHeight="1">
      <c r="B626" s="1158" t="s">
        <v>189</v>
      </c>
      <c r="C626" s="1159" t="s">
        <v>71</v>
      </c>
      <c r="D626" s="1159" t="s">
        <v>566</v>
      </c>
      <c r="E626" s="1159" t="s">
        <v>310</v>
      </c>
      <c r="F626" s="1159"/>
      <c r="G626" s="1159"/>
      <c r="H626" s="1159"/>
      <c r="I626" s="1162" t="s">
        <v>275</v>
      </c>
      <c r="J626" s="1159" t="str">
        <f t="shared" ref="J626:J658" si="275">B626&amp;"_"&amp;C626&amp;"_"&amp;D626&amp;"_"&amp;E626&amp;"_"&amp;I626</f>
        <v>lending_Payday_payday_CAKE_e_contract</v>
      </c>
      <c r="K626" s="1149"/>
      <c r="L626" s="1246" t="s">
        <v>233</v>
      </c>
      <c r="M626" s="1149">
        <f t="shared" si="274"/>
        <v>353519823</v>
      </c>
      <c r="N626" s="1149"/>
      <c r="O626" s="1149"/>
      <c r="P626" s="1169"/>
      <c r="Q626" s="1169"/>
      <c r="R626" s="1169"/>
      <c r="S626" s="1169"/>
      <c r="T626" s="1169"/>
      <c r="U626" s="1247"/>
      <c r="V626" s="1149">
        <v>16497795</v>
      </c>
      <c r="W626" s="1149">
        <v>37018920</v>
      </c>
      <c r="X626" s="1149">
        <v>56309038</v>
      </c>
      <c r="Y626" s="1149">
        <v>73589575</v>
      </c>
      <c r="Z626" s="1149">
        <v>78132235</v>
      </c>
      <c r="AA626" s="1149">
        <v>91972260</v>
      </c>
      <c r="AB626" s="34">
        <f t="shared" si="264"/>
        <v>4542660</v>
      </c>
    </row>
    <row r="627" spans="2:29" ht="15" customHeight="1">
      <c r="B627" s="1158" t="s">
        <v>189</v>
      </c>
      <c r="C627" s="1159" t="s">
        <v>71</v>
      </c>
      <c r="D627" s="1159" t="s">
        <v>566</v>
      </c>
      <c r="E627" s="1159" t="s">
        <v>310</v>
      </c>
      <c r="F627" s="1159"/>
      <c r="G627" s="1159"/>
      <c r="H627" s="1159"/>
      <c r="I627" s="1162" t="s">
        <v>276</v>
      </c>
      <c r="J627" s="1159" t="str">
        <f t="shared" si="275"/>
        <v>lending_Payday_payday_CAKE_nfc</v>
      </c>
      <c r="K627" s="1149"/>
      <c r="L627" s="1246" t="s">
        <v>152</v>
      </c>
      <c r="M627" s="1149">
        <f t="shared" si="274"/>
        <v>153144400.36777702</v>
      </c>
      <c r="N627" s="1149"/>
      <c r="O627" s="1149"/>
      <c r="P627" s="1169"/>
      <c r="Q627" s="1169"/>
      <c r="R627" s="1169"/>
      <c r="S627" s="1169"/>
      <c r="T627" s="1169"/>
      <c r="U627" s="1169"/>
      <c r="V627" s="1169">
        <v>14806008.834257023</v>
      </c>
      <c r="W627" s="1149">
        <v>22326366.153528817</v>
      </c>
      <c r="X627" s="1149">
        <v>22427585.00315471</v>
      </c>
      <c r="Y627" s="1149">
        <v>26901241.31159021</v>
      </c>
      <c r="Z627" s="1149">
        <v>28758788.670484219</v>
      </c>
      <c r="AA627" s="1149">
        <v>37924410.394762032</v>
      </c>
      <c r="AB627" s="34">
        <f t="shared" si="264"/>
        <v>1857547.3588940091</v>
      </c>
    </row>
    <row r="628" spans="2:29" ht="15" customHeight="1">
      <c r="B628" s="1158" t="s">
        <v>189</v>
      </c>
      <c r="C628" s="1159" t="s">
        <v>71</v>
      </c>
      <c r="D628" s="1159" t="s">
        <v>566</v>
      </c>
      <c r="E628" s="1159" t="s">
        <v>310</v>
      </c>
      <c r="F628" s="1159"/>
      <c r="G628" s="1159"/>
      <c r="H628" s="1159"/>
      <c r="I628" s="1162" t="s">
        <v>277</v>
      </c>
      <c r="J628" s="1159" t="str">
        <f t="shared" si="275"/>
        <v>lending_Payday_payday_CAKE_collection</v>
      </c>
      <c r="K628" s="1149"/>
      <c r="L628" s="1246" t="s">
        <v>234</v>
      </c>
      <c r="M628" s="1149">
        <f t="shared" si="274"/>
        <v>1031054868.8691094</v>
      </c>
      <c r="N628" s="1149"/>
      <c r="O628" s="1149"/>
      <c r="P628" s="1169"/>
      <c r="Q628" s="1169"/>
      <c r="R628" s="1169"/>
      <c r="S628" s="1169"/>
      <c r="T628" s="1169"/>
      <c r="U628" s="1149"/>
      <c r="V628" s="1169"/>
      <c r="W628" s="1149">
        <v>37462818.920080379</v>
      </c>
      <c r="X628" s="1149">
        <v>71001474.566656113</v>
      </c>
      <c r="Y628" s="1149">
        <v>229632135.91735289</v>
      </c>
      <c r="Z628" s="1149">
        <v>331760533.83567697</v>
      </c>
      <c r="AA628" s="1149">
        <v>361197905.62934297</v>
      </c>
      <c r="AB628" s="34">
        <f t="shared" si="264"/>
        <v>102128397.91832408</v>
      </c>
    </row>
    <row r="629" spans="2:29" ht="15" customHeight="1">
      <c r="B629" s="1158" t="s">
        <v>189</v>
      </c>
      <c r="C629" s="1159" t="s">
        <v>71</v>
      </c>
      <c r="D629" s="1159" t="s">
        <v>566</v>
      </c>
      <c r="E629" s="1159" t="s">
        <v>310</v>
      </c>
      <c r="F629" s="1159"/>
      <c r="G629" s="1159"/>
      <c r="H629" s="1159"/>
      <c r="I629" s="1162" t="s">
        <v>278</v>
      </c>
      <c r="J629" s="1159" t="str">
        <f t="shared" si="275"/>
        <v>lending_Payday_payday_CAKE_promotion</v>
      </c>
      <c r="K629" s="1149"/>
      <c r="L629" s="1246" t="s">
        <v>235</v>
      </c>
      <c r="M629" s="1149"/>
      <c r="N629" s="1149"/>
      <c r="O629" s="1149"/>
      <c r="P629" s="1169"/>
      <c r="Q629" s="1169"/>
      <c r="R629" s="1169"/>
      <c r="S629" s="1169"/>
      <c r="T629" s="1169"/>
      <c r="U629" s="1149"/>
      <c r="V629" s="1169"/>
      <c r="W629" s="1149"/>
      <c r="X629" s="1149"/>
      <c r="Y629" s="1149"/>
      <c r="Z629" s="1149"/>
      <c r="AA629" s="1149"/>
      <c r="AB629" s="34">
        <f t="shared" si="264"/>
        <v>0</v>
      </c>
    </row>
    <row r="630" spans="2:29" ht="15" customHeight="1">
      <c r="B630" s="1158" t="s">
        <v>189</v>
      </c>
      <c r="C630" s="1159" t="s">
        <v>71</v>
      </c>
      <c r="D630" s="1159" t="s">
        <v>566</v>
      </c>
      <c r="E630" s="1159" t="s">
        <v>310</v>
      </c>
      <c r="F630" s="1159"/>
      <c r="G630" s="1159"/>
      <c r="H630" s="1159"/>
      <c r="I630" s="1162" t="s">
        <v>279</v>
      </c>
      <c r="J630" s="1159" t="str">
        <f t="shared" si="275"/>
        <v>lending_Payday_payday_CAKE_sms</v>
      </c>
      <c r="K630" s="1149"/>
      <c r="L630" s="1249" t="s">
        <v>163</v>
      </c>
      <c r="M630" s="1149">
        <f>SUM(P630:AA630)</f>
        <v>138056486.67801407</v>
      </c>
      <c r="N630" s="1247"/>
      <c r="O630" s="1247"/>
      <c r="P630" s="1247"/>
      <c r="Q630" s="1247"/>
      <c r="R630" s="1247"/>
      <c r="S630" s="1247"/>
      <c r="T630" s="1247"/>
      <c r="U630" s="1247"/>
      <c r="V630" s="1247"/>
      <c r="W630" s="1247">
        <v>592182.37007461558</v>
      </c>
      <c r="X630" s="1247">
        <v>20231296.906449497</v>
      </c>
      <c r="Y630" s="1247">
        <v>36220889.842875689</v>
      </c>
      <c r="Z630" s="1247">
        <v>41324868.378556333</v>
      </c>
      <c r="AA630" s="1247">
        <v>39687249.180057943</v>
      </c>
      <c r="AB630" s="34">
        <f t="shared" si="264"/>
        <v>5103978.5356806442</v>
      </c>
    </row>
    <row r="631" spans="2:29" ht="15" customHeight="1">
      <c r="B631" s="1158" t="s">
        <v>189</v>
      </c>
      <c r="C631" s="1170" t="s">
        <v>71</v>
      </c>
      <c r="D631" s="1159" t="s">
        <v>566</v>
      </c>
      <c r="E631" s="1159" t="s">
        <v>310</v>
      </c>
      <c r="F631" s="1159" t="str">
        <f>E631&amp;"PD"</f>
        <v>CAKEPD</v>
      </c>
      <c r="G631" s="1159" t="str">
        <f>L631&amp;F631</f>
        <v>Profit before allocation costCAKEPD</v>
      </c>
      <c r="H631" s="1408" t="str">
        <f>L631&amp;E631</f>
        <v>Profit before allocation costCAKE</v>
      </c>
      <c r="I631" s="1171" t="s">
        <v>280</v>
      </c>
      <c r="J631" s="1170" t="str">
        <f t="shared" si="275"/>
        <v>lending_Payday_payday_CAKE_profit_before_overhead</v>
      </c>
      <c r="K631" s="1149"/>
      <c r="L631" s="1358" t="s">
        <v>236</v>
      </c>
      <c r="M631" s="1358">
        <f t="shared" ref="M631:AA631" si="276">M610-M621-M622</f>
        <v>95406403183.296036</v>
      </c>
      <c r="N631" s="1358">
        <f t="shared" si="276"/>
        <v>0</v>
      </c>
      <c r="O631" s="1358">
        <f t="shared" si="276"/>
        <v>0</v>
      </c>
      <c r="P631" s="1358">
        <f t="shared" si="276"/>
        <v>0</v>
      </c>
      <c r="Q631" s="1358">
        <f t="shared" si="276"/>
        <v>0</v>
      </c>
      <c r="R631" s="1358">
        <f t="shared" si="276"/>
        <v>0</v>
      </c>
      <c r="S631" s="1358">
        <f t="shared" si="276"/>
        <v>0</v>
      </c>
      <c r="T631" s="1358">
        <f t="shared" si="276"/>
        <v>0</v>
      </c>
      <c r="U631" s="1358">
        <f t="shared" si="276"/>
        <v>0</v>
      </c>
      <c r="V631" s="1358">
        <f t="shared" si="276"/>
        <v>2962112376.7171855</v>
      </c>
      <c r="W631" s="1358">
        <f t="shared" si="276"/>
        <v>9570349313.541069</v>
      </c>
      <c r="X631" s="1358">
        <f t="shared" si="276"/>
        <v>14449158699.189367</v>
      </c>
      <c r="Y631" s="1358">
        <f t="shared" si="276"/>
        <v>21278110255.443287</v>
      </c>
      <c r="Z631" s="1358">
        <f t="shared" si="276"/>
        <v>21623260638.027733</v>
      </c>
      <c r="AA631" s="1358">
        <f t="shared" si="276"/>
        <v>25523411900.377396</v>
      </c>
      <c r="AB631" s="34">
        <f t="shared" si="264"/>
        <v>345150382.58444595</v>
      </c>
      <c r="AC631" s="34">
        <f>SUM(P631:AA631)</f>
        <v>95406403183.296036</v>
      </c>
    </row>
    <row r="632" spans="2:29" ht="15" customHeight="1">
      <c r="B632" s="1158"/>
      <c r="C632" s="1159"/>
      <c r="D632" s="1159"/>
      <c r="E632" s="1159"/>
      <c r="F632" s="1159"/>
      <c r="G632" s="1159"/>
      <c r="H632" s="1159"/>
      <c r="I632" s="1162"/>
      <c r="J632" s="1159"/>
      <c r="K632" s="1149"/>
      <c r="L632" s="286"/>
      <c r="M632" s="286"/>
      <c r="N632" s="286"/>
      <c r="O632" s="286"/>
      <c r="P632" s="286"/>
      <c r="Q632" s="286"/>
      <c r="R632" s="286"/>
      <c r="S632" s="286"/>
      <c r="T632" s="286"/>
      <c r="U632" s="286"/>
      <c r="V632" s="286"/>
      <c r="W632" s="286"/>
      <c r="X632" s="286"/>
      <c r="Y632" s="286"/>
      <c r="Z632" s="286"/>
      <c r="AA632" s="286"/>
      <c r="AB632" s="34"/>
    </row>
    <row r="633" spans="2:29" ht="15" customHeight="1">
      <c r="B633" s="1158" t="s">
        <v>189</v>
      </c>
      <c r="C633" s="1159" t="s">
        <v>71</v>
      </c>
      <c r="D633" s="1159" t="s">
        <v>566</v>
      </c>
      <c r="E633" s="1159" t="s">
        <v>285</v>
      </c>
      <c r="F633" s="1159"/>
      <c r="G633" s="1159"/>
      <c r="H633" s="1159"/>
      <c r="I633" s="1160"/>
      <c r="J633" s="1159" t="str">
        <f t="shared" si="275"/>
        <v>lending_Payday_payday_VNPAY_</v>
      </c>
      <c r="K633" s="1149"/>
      <c r="L633" s="1146" t="s">
        <v>570</v>
      </c>
      <c r="M633" s="1146"/>
      <c r="N633" s="1146"/>
      <c r="O633" s="1146"/>
      <c r="P633" s="1146"/>
      <c r="Q633" s="1146"/>
      <c r="R633" s="1146"/>
      <c r="S633" s="1146"/>
      <c r="T633" s="1146"/>
      <c r="U633" s="1146"/>
      <c r="V633" s="1146"/>
      <c r="W633" s="1146"/>
      <c r="X633" s="1146"/>
      <c r="Y633" s="1146"/>
      <c r="Z633" s="1146"/>
      <c r="AA633" s="1146"/>
      <c r="AB633" s="34">
        <f t="shared" si="264"/>
        <v>0</v>
      </c>
    </row>
    <row r="634" spans="2:29" ht="15" customHeight="1">
      <c r="B634" s="1158" t="s">
        <v>189</v>
      </c>
      <c r="C634" s="1159" t="s">
        <v>71</v>
      </c>
      <c r="D634" s="1159" t="s">
        <v>566</v>
      </c>
      <c r="E634" s="1159" t="s">
        <v>285</v>
      </c>
      <c r="F634" s="1159"/>
      <c r="G634" s="1159"/>
      <c r="H634" s="1159"/>
      <c r="I634" s="1162" t="s">
        <v>239</v>
      </c>
      <c r="J634" s="1159" t="str">
        <f t="shared" si="275"/>
        <v>lending_Payday_payday_VNPAY_new_account</v>
      </c>
      <c r="K634" s="1149"/>
      <c r="L634" s="1148" t="s">
        <v>193</v>
      </c>
      <c r="M634" s="1149">
        <f>SUM(P634:AA634)</f>
        <v>8214</v>
      </c>
      <c r="N634" s="1169"/>
      <c r="O634" s="1169"/>
      <c r="P634" s="1267"/>
      <c r="Q634" s="1267"/>
      <c r="R634" s="1169"/>
      <c r="S634" s="1267"/>
      <c r="T634" s="1169"/>
      <c r="U634" s="1267"/>
      <c r="V634" s="1149">
        <v>0</v>
      </c>
      <c r="W634" s="1169">
        <v>0</v>
      </c>
      <c r="X634" s="1169">
        <v>309</v>
      </c>
      <c r="Y634" s="1169">
        <v>2661</v>
      </c>
      <c r="Z634" s="1169">
        <v>2593</v>
      </c>
      <c r="AA634" s="1169">
        <v>2651</v>
      </c>
      <c r="AB634" s="34">
        <f t="shared" si="264"/>
        <v>-68</v>
      </c>
    </row>
    <row r="635" spans="2:29" ht="15" customHeight="1">
      <c r="B635" s="1158" t="s">
        <v>189</v>
      </c>
      <c r="C635" s="1159" t="s">
        <v>71</v>
      </c>
      <c r="D635" s="1159" t="s">
        <v>566</v>
      </c>
      <c r="E635" s="1159" t="s">
        <v>285</v>
      </c>
      <c r="F635" s="1159"/>
      <c r="G635" s="1159"/>
      <c r="H635" s="1159"/>
      <c r="I635" s="1169" t="s">
        <v>527</v>
      </c>
      <c r="J635" s="1159" t="str">
        <f t="shared" si="275"/>
        <v>lending_Payday_payday_VNPAY_Repeat account</v>
      </c>
      <c r="K635" s="1149"/>
      <c r="L635" s="1169" t="s">
        <v>527</v>
      </c>
      <c r="M635" s="1149">
        <f>SUM(P635:AA635)</f>
        <v>3832</v>
      </c>
      <c r="N635" s="1169"/>
      <c r="O635" s="1169"/>
      <c r="P635" s="1169"/>
      <c r="Q635" s="1267"/>
      <c r="R635" s="1169"/>
      <c r="S635" s="1267"/>
      <c r="T635" s="1169"/>
      <c r="U635" s="1267"/>
      <c r="V635" s="1149">
        <v>0</v>
      </c>
      <c r="W635" s="1169">
        <v>0</v>
      </c>
      <c r="X635" s="1169">
        <v>15</v>
      </c>
      <c r="Y635" s="1290">
        <v>699</v>
      </c>
      <c r="Z635" s="1169">
        <v>1439</v>
      </c>
      <c r="AA635" s="1169">
        <v>1679</v>
      </c>
      <c r="AB635" s="34">
        <f t="shared" si="264"/>
        <v>740</v>
      </c>
    </row>
    <row r="636" spans="2:29" ht="15" customHeight="1">
      <c r="B636" s="1158" t="s">
        <v>189</v>
      </c>
      <c r="C636" s="1159" t="s">
        <v>71</v>
      </c>
      <c r="D636" s="1159" t="s">
        <v>566</v>
      </c>
      <c r="E636" s="1159" t="s">
        <v>285</v>
      </c>
      <c r="F636" s="1159"/>
      <c r="G636" s="1159"/>
      <c r="H636" s="1159"/>
      <c r="I636" s="1162" t="s">
        <v>241</v>
      </c>
      <c r="J636" s="1159" t="str">
        <f t="shared" si="275"/>
        <v>lending_Payday_payday_VNPAY_active_account</v>
      </c>
      <c r="K636" s="1149"/>
      <c r="L636" s="1148" t="s">
        <v>194</v>
      </c>
      <c r="M636" s="1149">
        <f>Z636</f>
        <v>2172</v>
      </c>
      <c r="N636" s="1169"/>
      <c r="O636" s="1169"/>
      <c r="P636" s="1169"/>
      <c r="Q636" s="1267"/>
      <c r="R636" s="1169"/>
      <c r="S636" s="1169"/>
      <c r="T636" s="1169"/>
      <c r="U636" s="1267"/>
      <c r="V636" s="1149">
        <v>0</v>
      </c>
      <c r="W636" s="1169">
        <v>0</v>
      </c>
      <c r="X636" s="1169">
        <v>277</v>
      </c>
      <c r="Y636" s="1169">
        <v>1771</v>
      </c>
      <c r="Z636" s="1169">
        <v>2172</v>
      </c>
      <c r="AA636" s="1169">
        <v>2451</v>
      </c>
      <c r="AB636" s="34">
        <f t="shared" si="264"/>
        <v>401</v>
      </c>
    </row>
    <row r="637" spans="2:29" ht="15" customHeight="1">
      <c r="B637" s="1158" t="s">
        <v>189</v>
      </c>
      <c r="C637" s="1159" t="s">
        <v>71</v>
      </c>
      <c r="D637" s="1159" t="s">
        <v>566</v>
      </c>
      <c r="E637" s="1159" t="s">
        <v>285</v>
      </c>
      <c r="F637" s="1159" t="str">
        <f>E637&amp;"PD"</f>
        <v>VNPAYPD</v>
      </c>
      <c r="G637" s="1159" t="str">
        <f>L637&amp;F637</f>
        <v>DisbursementVNPAYPD</v>
      </c>
      <c r="H637" s="1408" t="str">
        <f>L637&amp;E637</f>
        <v>DisbursementVNPAY</v>
      </c>
      <c r="I637" s="1162" t="s">
        <v>242</v>
      </c>
      <c r="J637" s="1159" t="str">
        <f t="shared" si="275"/>
        <v>lending_Payday_payday_VNPAY_disburse/spend</v>
      </c>
      <c r="K637" s="1149"/>
      <c r="L637" s="1169" t="s">
        <v>80</v>
      </c>
      <c r="M637" s="1149">
        <f>SUM(P637:AA637)</f>
        <v>22749228000</v>
      </c>
      <c r="N637" s="1149"/>
      <c r="O637" s="1149"/>
      <c r="P637" s="1149"/>
      <c r="Q637" s="1149"/>
      <c r="R637" s="1169"/>
      <c r="S637" s="1169"/>
      <c r="T637" s="1169"/>
      <c r="U637" s="1169"/>
      <c r="V637" s="1290">
        <v>0</v>
      </c>
      <c r="W637" s="1169">
        <v>0</v>
      </c>
      <c r="X637" s="1169">
        <v>756000000</v>
      </c>
      <c r="Y637" s="1169">
        <v>6445440000</v>
      </c>
      <c r="Z637" s="1149">
        <v>6465528000</v>
      </c>
      <c r="AA637" s="1149">
        <v>9082260000</v>
      </c>
      <c r="AB637" s="34">
        <f>AA637-Z637</f>
        <v>2616732000</v>
      </c>
      <c r="AC637" s="34">
        <f>SUM(P637:AA637)</f>
        <v>22749228000</v>
      </c>
    </row>
    <row r="638" spans="2:29" ht="15" customHeight="1">
      <c r="B638" s="1158" t="s">
        <v>189</v>
      </c>
      <c r="C638" s="1159" t="s">
        <v>71</v>
      </c>
      <c r="D638" s="1159" t="s">
        <v>566</v>
      </c>
      <c r="E638" s="1159" t="s">
        <v>285</v>
      </c>
      <c r="F638" s="1159"/>
      <c r="G638" s="1159"/>
      <c r="H638" s="1159"/>
      <c r="I638" s="1160"/>
      <c r="J638" s="1159" t="str">
        <f t="shared" si="275"/>
        <v>lending_Payday_payday_VNPAY_</v>
      </c>
      <c r="K638" s="1149"/>
      <c r="L638" s="1169" t="s">
        <v>528</v>
      </c>
      <c r="M638" s="1149">
        <f>SUM(P638:AA638)</f>
        <v>22749228000</v>
      </c>
      <c r="N638" s="1169">
        <f t="shared" ref="N638:AA638" si="277">N637</f>
        <v>0</v>
      </c>
      <c r="O638" s="1169">
        <f t="shared" si="277"/>
        <v>0</v>
      </c>
      <c r="P638" s="1169">
        <f t="shared" si="277"/>
        <v>0</v>
      </c>
      <c r="Q638" s="1169">
        <f t="shared" si="277"/>
        <v>0</v>
      </c>
      <c r="R638" s="1169">
        <f t="shared" si="277"/>
        <v>0</v>
      </c>
      <c r="S638" s="1169">
        <f t="shared" si="277"/>
        <v>0</v>
      </c>
      <c r="T638" s="1169">
        <f t="shared" si="277"/>
        <v>0</v>
      </c>
      <c r="U638" s="1169">
        <f t="shared" si="277"/>
        <v>0</v>
      </c>
      <c r="V638" s="1169">
        <f t="shared" si="277"/>
        <v>0</v>
      </c>
      <c r="W638" s="1169">
        <f t="shared" si="277"/>
        <v>0</v>
      </c>
      <c r="X638" s="1169">
        <f t="shared" si="277"/>
        <v>756000000</v>
      </c>
      <c r="Y638" s="1169">
        <f t="shared" si="277"/>
        <v>6445440000</v>
      </c>
      <c r="Z638" s="1169">
        <f t="shared" si="277"/>
        <v>6465528000</v>
      </c>
      <c r="AA638" s="1169">
        <f t="shared" si="277"/>
        <v>9082260000</v>
      </c>
      <c r="AB638" s="34">
        <f t="shared" si="264"/>
        <v>20088000</v>
      </c>
    </row>
    <row r="639" spans="2:29" ht="15" customHeight="1">
      <c r="B639" s="1158" t="s">
        <v>189</v>
      </c>
      <c r="C639" s="1159" t="s">
        <v>71</v>
      </c>
      <c r="D639" s="1159" t="s">
        <v>566</v>
      </c>
      <c r="E639" s="1159" t="s">
        <v>285</v>
      </c>
      <c r="F639" s="1159"/>
      <c r="G639" s="1159"/>
      <c r="H639" s="1159"/>
      <c r="I639" s="1160"/>
      <c r="J639" s="1159" t="str">
        <f t="shared" si="275"/>
        <v>lending_Payday_payday_VNPAY_</v>
      </c>
      <c r="K639" s="1149"/>
      <c r="L639" s="1169" t="s">
        <v>529</v>
      </c>
      <c r="M639" s="1149"/>
      <c r="N639" s="1149"/>
      <c r="O639" s="1149"/>
      <c r="P639" s="1149">
        <f>P637-P638</f>
        <v>0</v>
      </c>
      <c r="Q639" s="1149">
        <f>Q637-Q638</f>
        <v>0</v>
      </c>
      <c r="R639" s="1169"/>
      <c r="S639" s="1169"/>
      <c r="T639" s="1169"/>
      <c r="U639" s="1149"/>
      <c r="V639" s="1169">
        <f>V637*8%</f>
        <v>0</v>
      </c>
      <c r="W639" s="1169"/>
      <c r="X639" s="1169"/>
      <c r="Y639" s="1169"/>
      <c r="Z639" s="1149"/>
      <c r="AA639" s="1149"/>
      <c r="AB639" s="34">
        <f t="shared" si="264"/>
        <v>0</v>
      </c>
    </row>
    <row r="640" spans="2:29" ht="15" customHeight="1">
      <c r="B640" s="1158" t="s">
        <v>189</v>
      </c>
      <c r="C640" s="1159" t="s">
        <v>71</v>
      </c>
      <c r="D640" s="1159" t="s">
        <v>566</v>
      </c>
      <c r="E640" s="1159" t="s">
        <v>285</v>
      </c>
      <c r="F640" s="1159"/>
      <c r="G640" s="1159"/>
      <c r="H640" s="1159"/>
      <c r="I640" s="1160" t="s">
        <v>243</v>
      </c>
      <c r="J640" s="1159" t="str">
        <f t="shared" si="275"/>
        <v>lending_Payday_payday_VNPAY_ENR</v>
      </c>
      <c r="K640" s="1149"/>
      <c r="L640" s="1169" t="s">
        <v>530</v>
      </c>
      <c r="M640" s="1149">
        <f>AA640</f>
        <v>7975887517</v>
      </c>
      <c r="N640" s="1169"/>
      <c r="O640" s="1149"/>
      <c r="P640" s="1169"/>
      <c r="Q640" s="1169"/>
      <c r="R640" s="1169"/>
      <c r="S640" s="1169"/>
      <c r="T640" s="1169"/>
      <c r="U640" s="1169"/>
      <c r="V640" s="1149">
        <v>0</v>
      </c>
      <c r="W640" s="1149">
        <v>0</v>
      </c>
      <c r="X640" s="1169">
        <v>674587102</v>
      </c>
      <c r="Y640" s="1169">
        <v>4312758511</v>
      </c>
      <c r="Z640" s="1169">
        <v>5379795732</v>
      </c>
      <c r="AA640" s="1149">
        <v>7975887517</v>
      </c>
      <c r="AB640" s="34">
        <f t="shared" si="264"/>
        <v>1067037221</v>
      </c>
    </row>
    <row r="641" spans="2:30" ht="15" customHeight="1">
      <c r="B641" s="1158" t="s">
        <v>189</v>
      </c>
      <c r="C641" s="1159" t="s">
        <v>71</v>
      </c>
      <c r="D641" s="1159" t="s">
        <v>566</v>
      </c>
      <c r="E641" s="1159" t="s">
        <v>285</v>
      </c>
      <c r="F641" s="1159"/>
      <c r="G641" s="1159"/>
      <c r="H641" s="1159"/>
      <c r="I641" s="1160"/>
      <c r="J641" s="1159" t="str">
        <f t="shared" si="275"/>
        <v>lending_Payday_payday_VNPAY_</v>
      </c>
      <c r="K641" s="1149"/>
      <c r="L641" s="1235" t="s">
        <v>531</v>
      </c>
      <c r="M641" s="1149">
        <f>Z641</f>
        <v>4913849310</v>
      </c>
      <c r="N641" s="1255">
        <f t="shared" ref="N641:AA641" si="278">N640-N642</f>
        <v>0</v>
      </c>
      <c r="O641" s="1255">
        <f t="shared" si="278"/>
        <v>0</v>
      </c>
      <c r="P641" s="1255">
        <f t="shared" si="278"/>
        <v>0</v>
      </c>
      <c r="Q641" s="1255">
        <f t="shared" si="278"/>
        <v>0</v>
      </c>
      <c r="R641" s="1255">
        <f t="shared" si="278"/>
        <v>0</v>
      </c>
      <c r="S641" s="1255">
        <f t="shared" si="278"/>
        <v>0</v>
      </c>
      <c r="T641" s="1255">
        <f t="shared" si="278"/>
        <v>0</v>
      </c>
      <c r="U641" s="1255">
        <f t="shared" si="278"/>
        <v>0</v>
      </c>
      <c r="V641" s="1255">
        <f t="shared" si="278"/>
        <v>0</v>
      </c>
      <c r="W641" s="1255">
        <f t="shared" si="278"/>
        <v>0</v>
      </c>
      <c r="X641" s="1255">
        <f t="shared" si="278"/>
        <v>674587102</v>
      </c>
      <c r="Y641" s="1255">
        <f t="shared" si="278"/>
        <v>4242468730</v>
      </c>
      <c r="Z641" s="1255">
        <f t="shared" si="278"/>
        <v>4913849310</v>
      </c>
      <c r="AA641" s="1255">
        <f t="shared" si="278"/>
        <v>7189051979</v>
      </c>
      <c r="AB641" s="34">
        <f t="shared" si="264"/>
        <v>671380580</v>
      </c>
    </row>
    <row r="642" spans="2:30" ht="15" customHeight="1">
      <c r="B642" s="1158" t="s">
        <v>189</v>
      </c>
      <c r="C642" s="1159" t="s">
        <v>71</v>
      </c>
      <c r="D642" s="1159" t="s">
        <v>566</v>
      </c>
      <c r="E642" s="1159" t="s">
        <v>285</v>
      </c>
      <c r="F642" s="1159"/>
      <c r="G642" s="1159"/>
      <c r="H642" s="1159"/>
      <c r="I642" s="1160"/>
      <c r="J642" s="1159" t="str">
        <f t="shared" si="275"/>
        <v>lending_Payday_payday_VNPAY_</v>
      </c>
      <c r="K642" s="1149"/>
      <c r="L642" s="1235" t="s">
        <v>532</v>
      </c>
      <c r="M642" s="1149">
        <f t="shared" ref="M642:M645" si="279">X642</f>
        <v>0</v>
      </c>
      <c r="N642" s="1255"/>
      <c r="O642" s="1255"/>
      <c r="P642" s="1255"/>
      <c r="Q642" s="1255"/>
      <c r="R642" s="1255"/>
      <c r="S642" s="1255"/>
      <c r="T642" s="1255"/>
      <c r="U642" s="1255"/>
      <c r="V642" s="1236"/>
      <c r="W642" s="1236">
        <v>0</v>
      </c>
      <c r="X642" s="1255"/>
      <c r="Y642" s="1255">
        <v>70289781</v>
      </c>
      <c r="Z642" s="1255">
        <v>465946422</v>
      </c>
      <c r="AA642" s="1255">
        <v>786835538</v>
      </c>
      <c r="AB642" s="34">
        <f t="shared" si="264"/>
        <v>395656641</v>
      </c>
    </row>
    <row r="643" spans="2:30" ht="15" customHeight="1">
      <c r="B643" s="1158" t="s">
        <v>189</v>
      </c>
      <c r="C643" s="1159" t="s">
        <v>71</v>
      </c>
      <c r="D643" s="1159" t="s">
        <v>566</v>
      </c>
      <c r="E643" s="1159" t="s">
        <v>285</v>
      </c>
      <c r="F643" s="1159"/>
      <c r="G643" s="1159"/>
      <c r="H643" s="1159"/>
      <c r="I643" s="1160"/>
      <c r="J643" s="1159" t="str">
        <f t="shared" si="275"/>
        <v>lending_Payday_payday_VNPAY_</v>
      </c>
      <c r="K643" s="1149"/>
      <c r="L643" s="1148" t="s">
        <v>533</v>
      </c>
      <c r="M643" s="1149">
        <f t="shared" si="279"/>
        <v>0</v>
      </c>
      <c r="N643" s="1255"/>
      <c r="O643" s="1255"/>
      <c r="P643" s="1255"/>
      <c r="Q643" s="1255"/>
      <c r="R643" s="1255"/>
      <c r="S643" s="1255"/>
      <c r="T643" s="1255"/>
      <c r="U643" s="1255"/>
      <c r="V643" s="1255"/>
      <c r="W643" s="1255"/>
      <c r="X643" s="1255"/>
      <c r="Y643" s="1255"/>
      <c r="Z643" s="1255"/>
      <c r="AA643" s="1255"/>
      <c r="AB643" s="34">
        <f t="shared" si="264"/>
        <v>0</v>
      </c>
    </row>
    <row r="644" spans="2:30" ht="15" customHeight="1">
      <c r="B644" s="1158" t="s">
        <v>189</v>
      </c>
      <c r="C644" s="1159" t="s">
        <v>71</v>
      </c>
      <c r="D644" s="1159" t="s">
        <v>566</v>
      </c>
      <c r="E644" s="1159" t="s">
        <v>285</v>
      </c>
      <c r="F644" s="1159"/>
      <c r="G644" s="1159"/>
      <c r="H644" s="1159"/>
      <c r="I644" s="1162" t="s">
        <v>247</v>
      </c>
      <c r="J644" s="1159" t="str">
        <f t="shared" si="275"/>
        <v>lending_Payday_payday_VNPAY_overdue_balance_10d</v>
      </c>
      <c r="K644" s="1149"/>
      <c r="L644" s="1169" t="s">
        <v>534</v>
      </c>
      <c r="M644" s="1149">
        <f>Z644</f>
        <v>425452925</v>
      </c>
      <c r="N644" s="1255"/>
      <c r="O644" s="1255"/>
      <c r="P644" s="1255"/>
      <c r="Q644" s="1255"/>
      <c r="R644" s="1255"/>
      <c r="S644" s="1255"/>
      <c r="T644" s="1169"/>
      <c r="U644" s="1169"/>
      <c r="V644" s="1290">
        <v>0</v>
      </c>
      <c r="W644" s="1236">
        <v>0</v>
      </c>
      <c r="X644" s="1255">
        <v>8640000</v>
      </c>
      <c r="Y644" s="1255">
        <v>56160000</v>
      </c>
      <c r="Z644" s="1255">
        <v>425452925</v>
      </c>
      <c r="AA644" s="1255">
        <v>971677757</v>
      </c>
      <c r="AB644" s="34">
        <f t="shared" si="264"/>
        <v>369292925</v>
      </c>
    </row>
    <row r="645" spans="2:30" ht="15" customHeight="1">
      <c r="B645" s="1158" t="s">
        <v>189</v>
      </c>
      <c r="C645" s="1159" t="s">
        <v>71</v>
      </c>
      <c r="D645" s="1159" t="s">
        <v>566</v>
      </c>
      <c r="E645" s="1159" t="s">
        <v>285</v>
      </c>
      <c r="F645" s="1159"/>
      <c r="G645" s="1159"/>
      <c r="H645" s="1159"/>
      <c r="I645" s="1162" t="s">
        <v>248</v>
      </c>
      <c r="J645" s="1159" t="str">
        <f t="shared" si="275"/>
        <v>lending_Payday_payday_VNPAY_overdue_balance_90d</v>
      </c>
      <c r="K645" s="1149"/>
      <c r="L645" s="1169" t="s">
        <v>535</v>
      </c>
      <c r="M645" s="1149">
        <f t="shared" si="279"/>
        <v>0</v>
      </c>
      <c r="N645" s="1169"/>
      <c r="O645" s="1169"/>
      <c r="P645" s="1169"/>
      <c r="Q645" s="1169"/>
      <c r="R645" s="1169"/>
      <c r="S645" s="1255"/>
      <c r="T645" s="1169"/>
      <c r="U645" s="1169"/>
      <c r="V645" s="1149"/>
      <c r="W645" s="1169">
        <v>0</v>
      </c>
      <c r="X645" s="1169"/>
      <c r="Y645" s="1262"/>
      <c r="Z645" s="1169">
        <v>0</v>
      </c>
      <c r="AA645" s="1169">
        <v>23760000</v>
      </c>
      <c r="AB645" s="34">
        <f t="shared" si="264"/>
        <v>0</v>
      </c>
    </row>
    <row r="646" spans="2:30" ht="15" customHeight="1">
      <c r="B646" s="1158" t="s">
        <v>189</v>
      </c>
      <c r="C646" s="1159" t="s">
        <v>71</v>
      </c>
      <c r="D646" s="1159" t="s">
        <v>566</v>
      </c>
      <c r="E646" s="1159" t="s">
        <v>285</v>
      </c>
      <c r="F646" s="1159"/>
      <c r="G646" s="1159"/>
      <c r="H646" s="1159"/>
      <c r="I646" s="1160"/>
      <c r="J646" s="1159" t="str">
        <f t="shared" si="275"/>
        <v>lending_Payday_payday_VNPAY_</v>
      </c>
      <c r="K646" s="1149"/>
      <c r="L646" s="1169" t="s">
        <v>536</v>
      </c>
      <c r="M646" s="1149">
        <f>Z646</f>
        <v>425452925</v>
      </c>
      <c r="N646" s="1255">
        <f t="shared" ref="N646:AA646" si="280">N644-N645</f>
        <v>0</v>
      </c>
      <c r="O646" s="1255">
        <f t="shared" si="280"/>
        <v>0</v>
      </c>
      <c r="P646" s="1255">
        <f t="shared" si="280"/>
        <v>0</v>
      </c>
      <c r="Q646" s="1255">
        <f t="shared" si="280"/>
        <v>0</v>
      </c>
      <c r="R646" s="1255">
        <f t="shared" si="280"/>
        <v>0</v>
      </c>
      <c r="S646" s="1255">
        <f t="shared" si="280"/>
        <v>0</v>
      </c>
      <c r="T646" s="1255">
        <f t="shared" si="280"/>
        <v>0</v>
      </c>
      <c r="U646" s="1255">
        <f t="shared" si="280"/>
        <v>0</v>
      </c>
      <c r="V646" s="1255">
        <f t="shared" si="280"/>
        <v>0</v>
      </c>
      <c r="W646" s="1255">
        <f t="shared" si="280"/>
        <v>0</v>
      </c>
      <c r="X646" s="1255">
        <f t="shared" si="280"/>
        <v>8640000</v>
      </c>
      <c r="Y646" s="1255">
        <f t="shared" si="280"/>
        <v>56160000</v>
      </c>
      <c r="Z646" s="1255">
        <f t="shared" si="280"/>
        <v>425452925</v>
      </c>
      <c r="AA646" s="1255">
        <f t="shared" si="280"/>
        <v>947917757</v>
      </c>
      <c r="AB646" s="34">
        <f t="shared" si="264"/>
        <v>369292925</v>
      </c>
      <c r="AC646" s="34"/>
    </row>
    <row r="647" spans="2:30" ht="15" customHeight="1">
      <c r="B647" s="1158" t="s">
        <v>189</v>
      </c>
      <c r="C647" s="1159" t="s">
        <v>71</v>
      </c>
      <c r="D647" s="1159" t="s">
        <v>566</v>
      </c>
      <c r="E647" s="1159" t="s">
        <v>285</v>
      </c>
      <c r="F647" s="1159"/>
      <c r="G647" s="1159"/>
      <c r="H647" s="1159"/>
      <c r="I647" s="1160"/>
      <c r="J647" s="1159" t="str">
        <f t="shared" si="275"/>
        <v>lending_Payday_payday_VNPAY_</v>
      </c>
      <c r="K647" s="1149"/>
      <c r="L647" s="1169" t="s">
        <v>537</v>
      </c>
      <c r="M647" s="1149"/>
      <c r="N647" s="1269" t="e">
        <f t="shared" ref="N647:AA647" si="281">N643/N640</f>
        <v>#DIV/0!</v>
      </c>
      <c r="O647" s="1269" t="e">
        <f t="shared" si="281"/>
        <v>#DIV/0!</v>
      </c>
      <c r="P647" s="1269" t="e">
        <f t="shared" si="281"/>
        <v>#DIV/0!</v>
      </c>
      <c r="Q647" s="1269" t="e">
        <f t="shared" si="281"/>
        <v>#DIV/0!</v>
      </c>
      <c r="R647" s="1269" t="e">
        <f t="shared" si="281"/>
        <v>#DIV/0!</v>
      </c>
      <c r="S647" s="1269" t="e">
        <f t="shared" si="281"/>
        <v>#DIV/0!</v>
      </c>
      <c r="T647" s="1269" t="e">
        <f t="shared" si="281"/>
        <v>#DIV/0!</v>
      </c>
      <c r="U647" s="1269" t="e">
        <f t="shared" si="281"/>
        <v>#DIV/0!</v>
      </c>
      <c r="V647" s="1269" t="e">
        <f t="shared" si="281"/>
        <v>#DIV/0!</v>
      </c>
      <c r="W647" s="1269" t="e">
        <f t="shared" si="281"/>
        <v>#DIV/0!</v>
      </c>
      <c r="X647" s="1269">
        <f t="shared" si="281"/>
        <v>0</v>
      </c>
      <c r="Y647" s="1269">
        <f t="shared" si="281"/>
        <v>0</v>
      </c>
      <c r="Z647" s="1269">
        <f t="shared" si="281"/>
        <v>0</v>
      </c>
      <c r="AA647" s="1269">
        <f t="shared" si="281"/>
        <v>0</v>
      </c>
      <c r="AB647" s="34">
        <f t="shared" si="264"/>
        <v>0</v>
      </c>
    </row>
    <row r="648" spans="2:30" ht="15" customHeight="1">
      <c r="B648" s="1158" t="s">
        <v>189</v>
      </c>
      <c r="C648" s="1159" t="s">
        <v>71</v>
      </c>
      <c r="D648" s="1159" t="s">
        <v>566</v>
      </c>
      <c r="E648" s="1159" t="s">
        <v>285</v>
      </c>
      <c r="F648" s="1159"/>
      <c r="G648" s="1159"/>
      <c r="H648" s="1159"/>
      <c r="I648" s="1162" t="s">
        <v>213</v>
      </c>
      <c r="J648" s="1159" t="str">
        <f t="shared" si="275"/>
        <v>lending_Payday_payday_VNPAY_npl</v>
      </c>
      <c r="K648" s="1149"/>
      <c r="L648" s="1169" t="s">
        <v>538</v>
      </c>
      <c r="M648" s="1149"/>
      <c r="N648" s="1237" t="e">
        <f t="shared" ref="N648:AA648" si="282">N645/N640</f>
        <v>#DIV/0!</v>
      </c>
      <c r="O648" s="1237" t="e">
        <f t="shared" si="282"/>
        <v>#DIV/0!</v>
      </c>
      <c r="P648" s="1237" t="e">
        <f t="shared" si="282"/>
        <v>#DIV/0!</v>
      </c>
      <c r="Q648" s="1237" t="e">
        <f t="shared" si="282"/>
        <v>#DIV/0!</v>
      </c>
      <c r="R648" s="1237" t="e">
        <f t="shared" si="282"/>
        <v>#DIV/0!</v>
      </c>
      <c r="S648" s="1237" t="e">
        <f t="shared" si="282"/>
        <v>#DIV/0!</v>
      </c>
      <c r="T648" s="1237" t="e">
        <f t="shared" si="282"/>
        <v>#DIV/0!</v>
      </c>
      <c r="U648" s="1237" t="e">
        <f t="shared" si="282"/>
        <v>#DIV/0!</v>
      </c>
      <c r="V648" s="1237" t="e">
        <f t="shared" si="282"/>
        <v>#DIV/0!</v>
      </c>
      <c r="W648" s="1237" t="e">
        <f t="shared" si="282"/>
        <v>#DIV/0!</v>
      </c>
      <c r="X648" s="1237">
        <f t="shared" si="282"/>
        <v>0</v>
      </c>
      <c r="Y648" s="1237">
        <f t="shared" si="282"/>
        <v>0</v>
      </c>
      <c r="Z648" s="1237">
        <f t="shared" si="282"/>
        <v>0</v>
      </c>
      <c r="AA648" s="1237">
        <f t="shared" si="282"/>
        <v>2.978978822025431E-3</v>
      </c>
      <c r="AB648" s="34">
        <f t="shared" si="264"/>
        <v>0</v>
      </c>
    </row>
    <row r="649" spans="2:30" ht="15" customHeight="1">
      <c r="B649" s="1158" t="s">
        <v>189</v>
      </c>
      <c r="C649" s="1159" t="s">
        <v>71</v>
      </c>
      <c r="D649" s="1159" t="s">
        <v>566</v>
      </c>
      <c r="E649" s="1159" t="s">
        <v>285</v>
      </c>
      <c r="F649" s="1159" t="str">
        <f>E649&amp;"PD"</f>
        <v>VNPAYPD</v>
      </c>
      <c r="G649" s="1159" t="str">
        <f>L649&amp;F649</f>
        <v>TOIVNPAYPD</v>
      </c>
      <c r="H649" s="1408" t="str">
        <f>L649&amp;E649</f>
        <v>TOIVNPAY</v>
      </c>
      <c r="I649" s="1162" t="s">
        <v>217</v>
      </c>
      <c r="J649" s="1159" t="str">
        <f t="shared" si="275"/>
        <v>lending_Payday_payday_VNPAY_TOI</v>
      </c>
      <c r="K649" s="1149"/>
      <c r="L649" s="1238" t="s">
        <v>217</v>
      </c>
      <c r="M649" s="1150">
        <f t="shared" ref="M649:AA649" si="283">M650+M655+M659</f>
        <v>1971561043</v>
      </c>
      <c r="N649" s="1150">
        <f t="shared" si="283"/>
        <v>0</v>
      </c>
      <c r="O649" s="1150">
        <f t="shared" si="283"/>
        <v>0</v>
      </c>
      <c r="P649" s="1150">
        <f t="shared" si="283"/>
        <v>0</v>
      </c>
      <c r="Q649" s="1150">
        <f t="shared" si="283"/>
        <v>0</v>
      </c>
      <c r="R649" s="1150">
        <f t="shared" si="283"/>
        <v>0</v>
      </c>
      <c r="S649" s="1150">
        <f t="shared" si="283"/>
        <v>0</v>
      </c>
      <c r="T649" s="1150">
        <f t="shared" si="283"/>
        <v>0</v>
      </c>
      <c r="U649" s="1150">
        <f t="shared" si="283"/>
        <v>0</v>
      </c>
      <c r="V649" s="1150">
        <f t="shared" si="283"/>
        <v>0</v>
      </c>
      <c r="W649" s="1150">
        <f t="shared" si="283"/>
        <v>0</v>
      </c>
      <c r="X649" s="1150">
        <f t="shared" si="283"/>
        <v>47594617</v>
      </c>
      <c r="Y649" s="1150">
        <f t="shared" si="283"/>
        <v>527425447</v>
      </c>
      <c r="Z649" s="1150">
        <f t="shared" si="283"/>
        <v>589093988</v>
      </c>
      <c r="AA649" s="1150">
        <f t="shared" si="283"/>
        <v>807446991</v>
      </c>
      <c r="AB649" s="34">
        <f t="shared" si="264"/>
        <v>61668541</v>
      </c>
      <c r="AC649" s="34">
        <f>SUM(P649:AA649)</f>
        <v>1971561043</v>
      </c>
    </row>
    <row r="650" spans="2:30" ht="15" customHeight="1">
      <c r="B650" s="1158" t="s">
        <v>189</v>
      </c>
      <c r="C650" s="1159" t="s">
        <v>71</v>
      </c>
      <c r="D650" s="1159" t="s">
        <v>566</v>
      </c>
      <c r="E650" s="1159" t="s">
        <v>285</v>
      </c>
      <c r="F650" s="1159"/>
      <c r="G650" s="1159"/>
      <c r="H650" s="1159"/>
      <c r="I650" s="1162" t="s">
        <v>254</v>
      </c>
      <c r="J650" s="1159" t="str">
        <f t="shared" si="275"/>
        <v>lending_Payday_payday_VNPAY_NII</v>
      </c>
      <c r="K650" s="1149"/>
      <c r="L650" s="1239" t="s">
        <v>218</v>
      </c>
      <c r="M650" s="1150">
        <f t="shared" ref="M650:AA650" si="284">M651-M654</f>
        <v>550243015</v>
      </c>
      <c r="N650" s="1150">
        <f t="shared" si="284"/>
        <v>0</v>
      </c>
      <c r="O650" s="1150">
        <f t="shared" si="284"/>
        <v>0</v>
      </c>
      <c r="P650" s="1150">
        <f t="shared" si="284"/>
        <v>0</v>
      </c>
      <c r="Q650" s="1150">
        <f t="shared" si="284"/>
        <v>0</v>
      </c>
      <c r="R650" s="1150">
        <f t="shared" si="284"/>
        <v>0</v>
      </c>
      <c r="S650" s="1150">
        <f t="shared" si="284"/>
        <v>0</v>
      </c>
      <c r="T650" s="1150">
        <f t="shared" si="284"/>
        <v>0</v>
      </c>
      <c r="U650" s="1150">
        <f t="shared" si="284"/>
        <v>0</v>
      </c>
      <c r="V650" s="1150">
        <f t="shared" si="284"/>
        <v>0</v>
      </c>
      <c r="W650" s="1150">
        <f t="shared" si="284"/>
        <v>0</v>
      </c>
      <c r="X650" s="1150">
        <f t="shared" si="284"/>
        <v>2226425</v>
      </c>
      <c r="Y650" s="1150">
        <f t="shared" si="284"/>
        <v>127308221</v>
      </c>
      <c r="Z650" s="1150">
        <f t="shared" si="284"/>
        <v>183295230</v>
      </c>
      <c r="AA650" s="1150">
        <f t="shared" si="284"/>
        <v>237413139</v>
      </c>
      <c r="AB650" s="34">
        <f t="shared" si="264"/>
        <v>55987009</v>
      </c>
    </row>
    <row r="651" spans="2:30" ht="15" customHeight="1">
      <c r="B651" s="1158" t="s">
        <v>189</v>
      </c>
      <c r="C651" s="1159" t="s">
        <v>71</v>
      </c>
      <c r="D651" s="1159" t="s">
        <v>566</v>
      </c>
      <c r="E651" s="1159" t="s">
        <v>285</v>
      </c>
      <c r="F651" s="1159"/>
      <c r="G651" s="1159"/>
      <c r="H651" s="1159"/>
      <c r="I651" s="1162" t="s">
        <v>255</v>
      </c>
      <c r="J651" s="1159" t="str">
        <f t="shared" si="275"/>
        <v>lending_Payday_payday_VNPAY_CII</v>
      </c>
      <c r="K651" s="1149"/>
      <c r="L651" s="1240" t="s">
        <v>20</v>
      </c>
      <c r="M651" s="1149">
        <f>SUM(P651:AA651)</f>
        <v>614971051</v>
      </c>
      <c r="N651" s="1149">
        <f>N652+M653-N653</f>
        <v>0</v>
      </c>
      <c r="O651" s="1149">
        <f>O652+N653-O653</f>
        <v>0</v>
      </c>
      <c r="P651" s="1169"/>
      <c r="Q651" s="1169"/>
      <c r="R651" s="1149">
        <f t="shared" ref="R651:X651" si="285">R652-R653</f>
        <v>0</v>
      </c>
      <c r="S651" s="1149">
        <f t="shared" si="285"/>
        <v>0</v>
      </c>
      <c r="T651" s="1149">
        <f t="shared" si="285"/>
        <v>0</v>
      </c>
      <c r="U651" s="1149">
        <f t="shared" si="285"/>
        <v>0</v>
      </c>
      <c r="V651" s="1149">
        <f t="shared" si="285"/>
        <v>0</v>
      </c>
      <c r="W651" s="1149">
        <f t="shared" si="285"/>
        <v>0</v>
      </c>
      <c r="X651" s="1149">
        <f t="shared" si="285"/>
        <v>2307342</v>
      </c>
      <c r="Y651" s="1149">
        <f>Y652-Y653+X653</f>
        <v>139311019</v>
      </c>
      <c r="Z651" s="1149">
        <f>Z652-Z653+Y653</f>
        <v>204534691</v>
      </c>
      <c r="AA651" s="1149">
        <f>AA652-AA653+Z653</f>
        <v>268817999</v>
      </c>
      <c r="AB651" s="34">
        <f t="shared" si="264"/>
        <v>65223672</v>
      </c>
    </row>
    <row r="652" spans="2:30" ht="15" customHeight="1">
      <c r="B652" s="1158" t="s">
        <v>189</v>
      </c>
      <c r="C652" s="1159" t="s">
        <v>71</v>
      </c>
      <c r="D652" s="1159" t="s">
        <v>566</v>
      </c>
      <c r="E652" s="1159" t="s">
        <v>285</v>
      </c>
      <c r="F652" s="1159"/>
      <c r="G652" s="1159"/>
      <c r="H652" s="1159"/>
      <c r="I652" s="1162"/>
      <c r="J652" s="1159" t="str">
        <f t="shared" si="275"/>
        <v>lending_Payday_payday_VNPAY_</v>
      </c>
      <c r="K652" s="1149"/>
      <c r="L652" s="1285" t="s">
        <v>539</v>
      </c>
      <c r="M652" s="1151">
        <f>SUM(P652:AA652)</f>
        <v>624624961</v>
      </c>
      <c r="N652" s="1286"/>
      <c r="O652" s="1286"/>
      <c r="P652" s="1152"/>
      <c r="Q652" s="1152"/>
      <c r="R652" s="1152"/>
      <c r="S652" s="1152"/>
      <c r="T652" s="1152"/>
      <c r="U652" s="1242"/>
      <c r="V652" s="1149">
        <v>0</v>
      </c>
      <c r="W652" s="1149">
        <v>0</v>
      </c>
      <c r="X652" s="1149">
        <v>2307342</v>
      </c>
      <c r="Y652" s="1149">
        <v>141655360</v>
      </c>
      <c r="Z652" s="1149">
        <v>209418312</v>
      </c>
      <c r="AA652" s="1149">
        <v>271243947</v>
      </c>
      <c r="AB652" s="34">
        <f t="shared" si="264"/>
        <v>67762952</v>
      </c>
    </row>
    <row r="653" spans="2:30" ht="15" customHeight="1">
      <c r="B653" s="1158" t="s">
        <v>189</v>
      </c>
      <c r="C653" s="1159" t="s">
        <v>71</v>
      </c>
      <c r="D653" s="1159" t="s">
        <v>566</v>
      </c>
      <c r="E653" s="1159" t="s">
        <v>285</v>
      </c>
      <c r="F653" s="1159"/>
      <c r="G653" s="1159"/>
      <c r="H653" s="1159"/>
      <c r="I653" s="1160"/>
      <c r="J653" s="1159" t="str">
        <f t="shared" si="275"/>
        <v>lending_Payday_payday_VNPAY_</v>
      </c>
      <c r="K653" s="1149"/>
      <c r="L653" s="1285" t="s">
        <v>187</v>
      </c>
      <c r="M653" s="1151"/>
      <c r="N653" s="1287"/>
      <c r="O653" s="1287"/>
      <c r="P653" s="1152"/>
      <c r="Q653" s="1152"/>
      <c r="R653" s="1152"/>
      <c r="S653" s="1152"/>
      <c r="T653" s="1152"/>
      <c r="U653" s="1152"/>
      <c r="V653" s="1149">
        <v>0</v>
      </c>
      <c r="W653" s="1149">
        <v>0</v>
      </c>
      <c r="X653" s="1287"/>
      <c r="Y653" s="1149">
        <v>2344341</v>
      </c>
      <c r="Z653" s="1149">
        <v>7227962</v>
      </c>
      <c r="AA653" s="1149">
        <v>9653910</v>
      </c>
      <c r="AB653" s="34">
        <f t="shared" si="264"/>
        <v>4883621</v>
      </c>
      <c r="AC653" s="34"/>
      <c r="AD653" s="34"/>
    </row>
    <row r="654" spans="2:30" ht="15" customHeight="1">
      <c r="B654" s="1158" t="s">
        <v>189</v>
      </c>
      <c r="C654" s="1159" t="s">
        <v>71</v>
      </c>
      <c r="D654" s="1159" t="s">
        <v>566</v>
      </c>
      <c r="E654" s="1159" t="s">
        <v>285</v>
      </c>
      <c r="F654" s="1159"/>
      <c r="G654" s="1159"/>
      <c r="H654" s="1159"/>
      <c r="I654" s="1162" t="s">
        <v>219</v>
      </c>
      <c r="J654" s="1159" t="str">
        <f t="shared" si="275"/>
        <v>lending_Payday_payday_VNPAY_COF</v>
      </c>
      <c r="K654" s="1149"/>
      <c r="L654" s="1240" t="s">
        <v>219</v>
      </c>
      <c r="M654" s="1149">
        <f>SUM(P654:AA654)</f>
        <v>64728036</v>
      </c>
      <c r="N654" s="1254"/>
      <c r="O654" s="1254"/>
      <c r="P654" s="1169"/>
      <c r="Q654" s="1169"/>
      <c r="R654" s="1169"/>
      <c r="S654" s="1169"/>
      <c r="T654" s="1169"/>
      <c r="U654" s="1169"/>
      <c r="V654" s="1149">
        <v>0</v>
      </c>
      <c r="W654" s="1149">
        <v>0</v>
      </c>
      <c r="X654" s="1149">
        <v>80917</v>
      </c>
      <c r="Y654" s="1248">
        <v>12002798</v>
      </c>
      <c r="Z654" s="1254">
        <v>21239461</v>
      </c>
      <c r="AA654" s="1254">
        <v>31404860</v>
      </c>
      <c r="AB654" s="34">
        <f t="shared" si="264"/>
        <v>9236663</v>
      </c>
    </row>
    <row r="655" spans="2:30" ht="15" customHeight="1">
      <c r="B655" s="1158" t="s">
        <v>189</v>
      </c>
      <c r="C655" s="1159" t="s">
        <v>71</v>
      </c>
      <c r="D655" s="1159" t="s">
        <v>566</v>
      </c>
      <c r="E655" s="1159" t="s">
        <v>285</v>
      </c>
      <c r="F655" s="1159"/>
      <c r="G655" s="1159"/>
      <c r="H655" s="1159"/>
      <c r="I655" s="1162" t="s">
        <v>260</v>
      </c>
      <c r="J655" s="1159" t="str">
        <f t="shared" si="275"/>
        <v>lending_Payday_payday_VNPAY_NFI</v>
      </c>
      <c r="K655" s="1149"/>
      <c r="L655" s="1239" t="s">
        <v>220</v>
      </c>
      <c r="M655" s="1150">
        <f t="shared" ref="M655:AA655" si="286">SUM(M656:M658)</f>
        <v>1421318028</v>
      </c>
      <c r="N655" s="1150">
        <f t="shared" si="286"/>
        <v>0</v>
      </c>
      <c r="O655" s="1150">
        <f t="shared" si="286"/>
        <v>0</v>
      </c>
      <c r="P655" s="1150">
        <f t="shared" si="286"/>
        <v>0</v>
      </c>
      <c r="Q655" s="1150">
        <f t="shared" si="286"/>
        <v>0</v>
      </c>
      <c r="R655" s="1150">
        <f t="shared" si="286"/>
        <v>0</v>
      </c>
      <c r="S655" s="1150">
        <f t="shared" si="286"/>
        <v>0</v>
      </c>
      <c r="T655" s="1150">
        <f t="shared" si="286"/>
        <v>0</v>
      </c>
      <c r="U655" s="1150">
        <f t="shared" si="286"/>
        <v>0</v>
      </c>
      <c r="V655" s="1150">
        <f t="shared" si="286"/>
        <v>0</v>
      </c>
      <c r="W655" s="1150">
        <f t="shared" si="286"/>
        <v>0</v>
      </c>
      <c r="X655" s="1150">
        <f t="shared" si="286"/>
        <v>45368192</v>
      </c>
      <c r="Y655" s="1150">
        <f t="shared" si="286"/>
        <v>400117226</v>
      </c>
      <c r="Z655" s="1150">
        <f t="shared" si="286"/>
        <v>405798758</v>
      </c>
      <c r="AA655" s="1150">
        <f t="shared" si="286"/>
        <v>570033852</v>
      </c>
      <c r="AB655" s="34">
        <f t="shared" si="264"/>
        <v>5681532</v>
      </c>
    </row>
    <row r="656" spans="2:30" ht="15" customHeight="1">
      <c r="B656" s="1158" t="s">
        <v>189</v>
      </c>
      <c r="C656" s="1159" t="s">
        <v>71</v>
      </c>
      <c r="D656" s="1159" t="s">
        <v>566</v>
      </c>
      <c r="E656" s="1159" t="s">
        <v>285</v>
      </c>
      <c r="F656" s="1159"/>
      <c r="G656" s="1159"/>
      <c r="H656" s="1159"/>
      <c r="I656" s="1162" t="s">
        <v>546</v>
      </c>
      <c r="J656" s="1159" t="str">
        <f t="shared" si="275"/>
        <v>lending_Payday_payday_VNPAY_insurance_fee</v>
      </c>
      <c r="K656" s="1149"/>
      <c r="L656" s="1240" t="s">
        <v>540</v>
      </c>
      <c r="M656" s="1149">
        <f>SUM(P656:AA656)</f>
        <v>1421318028</v>
      </c>
      <c r="N656" s="1248"/>
      <c r="O656" s="1248"/>
      <c r="P656" s="1248"/>
      <c r="Q656" s="1248"/>
      <c r="R656" s="1248"/>
      <c r="S656" s="1248"/>
      <c r="T656" s="1248"/>
      <c r="U656" s="1248"/>
      <c r="V656" s="1290">
        <v>0</v>
      </c>
      <c r="W656" s="1248">
        <v>0</v>
      </c>
      <c r="X656" s="1290">
        <v>45368192</v>
      </c>
      <c r="Y656" s="1290">
        <v>400117226</v>
      </c>
      <c r="Z656" s="1248">
        <v>405798758</v>
      </c>
      <c r="AA656" s="1248">
        <v>570033852</v>
      </c>
      <c r="AB656" s="34">
        <f t="shared" si="264"/>
        <v>5681532</v>
      </c>
    </row>
    <row r="657" spans="1:29" ht="15" customHeight="1">
      <c r="B657" s="1158" t="s">
        <v>189</v>
      </c>
      <c r="C657" s="1159" t="s">
        <v>71</v>
      </c>
      <c r="D657" s="1159" t="s">
        <v>566</v>
      </c>
      <c r="E657" s="1159" t="s">
        <v>285</v>
      </c>
      <c r="F657" s="1159"/>
      <c r="G657" s="1159"/>
      <c r="H657" s="1159"/>
      <c r="I657" s="1162" t="s">
        <v>547</v>
      </c>
      <c r="J657" s="1159" t="str">
        <f t="shared" si="275"/>
        <v>lending_Payday_payday_VNPAY_early_terminate_fee</v>
      </c>
      <c r="K657" s="1149"/>
      <c r="L657" s="1240" t="s">
        <v>541</v>
      </c>
      <c r="M657" s="1149">
        <f>SUM(P657:AA657)</f>
        <v>0</v>
      </c>
      <c r="N657" s="1151"/>
      <c r="O657" s="1248"/>
      <c r="P657" s="1243"/>
      <c r="Q657" s="1243"/>
      <c r="R657" s="1243"/>
      <c r="S657" s="1243"/>
      <c r="T657" s="1243"/>
      <c r="U657" s="1151"/>
      <c r="V657" s="1261"/>
      <c r="W657" s="1151"/>
      <c r="X657" s="1151"/>
      <c r="Y657" s="1151"/>
      <c r="Z657" s="1151"/>
      <c r="AA657" s="1248"/>
      <c r="AB657" s="34">
        <f t="shared" si="264"/>
        <v>0</v>
      </c>
    </row>
    <row r="658" spans="1:29" ht="15" customHeight="1">
      <c r="B658" s="1158" t="s">
        <v>189</v>
      </c>
      <c r="C658" s="1159" t="s">
        <v>71</v>
      </c>
      <c r="D658" s="1159" t="s">
        <v>566</v>
      </c>
      <c r="E658" s="1159" t="s">
        <v>285</v>
      </c>
      <c r="F658" s="1159"/>
      <c r="G658" s="1159"/>
      <c r="H658" s="1159"/>
      <c r="I658" s="1162" t="s">
        <v>548</v>
      </c>
      <c r="J658" s="1159" t="str">
        <f t="shared" si="275"/>
        <v>lending_Payday_payday_VNPAY_loan_grant_fee</v>
      </c>
      <c r="K658" s="1149"/>
      <c r="L658" s="1240" t="s">
        <v>542</v>
      </c>
      <c r="M658" s="1149">
        <f>SUM(P658:AA658)</f>
        <v>0</v>
      </c>
      <c r="N658" s="1151"/>
      <c r="O658" s="1151"/>
      <c r="P658" s="1243"/>
      <c r="Q658" s="1243"/>
      <c r="R658" s="1243"/>
      <c r="S658" s="1243"/>
      <c r="T658" s="1243"/>
      <c r="U658" s="1151"/>
      <c r="V658" s="1261"/>
      <c r="W658" s="1151"/>
      <c r="X658" s="1151"/>
      <c r="Y658" s="1151"/>
      <c r="Z658" s="1151"/>
      <c r="AA658" s="1151"/>
      <c r="AB658" s="34">
        <f t="shared" si="264"/>
        <v>0</v>
      </c>
    </row>
    <row r="659" spans="1:29" ht="15" customHeight="1">
      <c r="A659" s="4"/>
      <c r="B659" s="1158" t="s">
        <v>189</v>
      </c>
      <c r="C659" s="1163" t="s">
        <v>71</v>
      </c>
      <c r="D659" s="1159" t="s">
        <v>566</v>
      </c>
      <c r="E659" s="1159" t="s">
        <v>285</v>
      </c>
      <c r="F659" s="1159"/>
      <c r="G659" s="1159"/>
      <c r="H659" s="1159"/>
      <c r="I659" s="1162" t="s">
        <v>269</v>
      </c>
      <c r="J659" s="1163" t="str">
        <f t="shared" ref="J659:J670" si="287">B659&amp;"_"&amp;C659&amp;"_"&amp;D659&amp;"_"&amp;E659&amp;"_"&amp;I659</f>
        <v>lending_Payday_payday_VNPAY_other_TOI</v>
      </c>
      <c r="K659" s="1149"/>
      <c r="L659" s="1239" t="s">
        <v>89</v>
      </c>
      <c r="M659" s="1150">
        <f>SUM(P659:AA659)</f>
        <v>0</v>
      </c>
      <c r="N659" s="1154"/>
      <c r="O659" s="1154"/>
      <c r="P659" s="1270"/>
      <c r="Q659" s="1270"/>
      <c r="R659" s="1270"/>
      <c r="S659" s="1270"/>
      <c r="T659" s="1270"/>
      <c r="U659" s="1154"/>
      <c r="V659" s="1271"/>
      <c r="W659" s="1154"/>
      <c r="X659" s="1154"/>
      <c r="Y659" s="1154"/>
      <c r="Z659" s="1154"/>
      <c r="AA659" s="1154"/>
      <c r="AB659" s="34">
        <f t="shared" si="264"/>
        <v>0</v>
      </c>
    </row>
    <row r="660" spans="1:29" ht="15" customHeight="1">
      <c r="B660" s="1158" t="s">
        <v>189</v>
      </c>
      <c r="C660" s="1159" t="s">
        <v>71</v>
      </c>
      <c r="D660" s="1159" t="s">
        <v>566</v>
      </c>
      <c r="E660" s="1159" t="s">
        <v>285</v>
      </c>
      <c r="F660" s="1159"/>
      <c r="G660" s="1159"/>
      <c r="H660" s="1159"/>
      <c r="I660" s="1162" t="s">
        <v>270</v>
      </c>
      <c r="J660" s="1159" t="str">
        <f t="shared" si="287"/>
        <v>lending_Payday_payday_VNPAY_provision</v>
      </c>
      <c r="K660" s="1149"/>
      <c r="L660" s="1245" t="s">
        <v>136</v>
      </c>
      <c r="M660" s="1150">
        <f>SUM(P660:AA660)</f>
        <v>111967047</v>
      </c>
      <c r="N660" s="1262"/>
      <c r="O660" s="1262"/>
      <c r="P660" s="1262"/>
      <c r="Q660" s="1262"/>
      <c r="R660" s="1262"/>
      <c r="S660" s="1245"/>
      <c r="T660" s="1288"/>
      <c r="U660" s="1288"/>
      <c r="V660" s="1297">
        <v>0</v>
      </c>
      <c r="W660" s="1262">
        <v>0</v>
      </c>
      <c r="X660" s="1262">
        <f>5059403+432000</f>
        <v>5491403</v>
      </c>
      <c r="Y660" s="1362">
        <v>29662284</v>
      </c>
      <c r="Z660" s="1262">
        <v>26467428</v>
      </c>
      <c r="AA660" s="1262">
        <f>38158482+12187450</f>
        <v>50345932</v>
      </c>
      <c r="AB660" s="34">
        <f t="shared" si="264"/>
        <v>-3194856</v>
      </c>
    </row>
    <row r="661" spans="1:29" ht="15" customHeight="1">
      <c r="B661" s="1158" t="s">
        <v>189</v>
      </c>
      <c r="C661" s="1159" t="s">
        <v>71</v>
      </c>
      <c r="D661" s="1159" t="s">
        <v>566</v>
      </c>
      <c r="E661" s="1159" t="s">
        <v>285</v>
      </c>
      <c r="F661" s="1159"/>
      <c r="G661" s="1159"/>
      <c r="H661" s="1159"/>
      <c r="I661" s="1162" t="s">
        <v>271</v>
      </c>
      <c r="J661" s="1159" t="str">
        <f t="shared" si="287"/>
        <v>lending_Payday_payday_VNPAY_variable_cost</v>
      </c>
      <c r="K661" s="1149"/>
      <c r="L661" s="1245" t="s">
        <v>229</v>
      </c>
      <c r="M661" s="1150">
        <f t="shared" ref="M661:AA661" si="288">SUM(M662:M669)</f>
        <v>305041254.46291971</v>
      </c>
      <c r="N661" s="1150">
        <f t="shared" si="288"/>
        <v>0</v>
      </c>
      <c r="O661" s="1150">
        <f t="shared" si="288"/>
        <v>0</v>
      </c>
      <c r="P661" s="1150">
        <f t="shared" si="288"/>
        <v>0</v>
      </c>
      <c r="Q661" s="1150">
        <f t="shared" si="288"/>
        <v>0</v>
      </c>
      <c r="R661" s="1150">
        <f t="shared" si="288"/>
        <v>0</v>
      </c>
      <c r="S661" s="1150">
        <f t="shared" si="288"/>
        <v>0</v>
      </c>
      <c r="T661" s="1150">
        <f t="shared" si="288"/>
        <v>0</v>
      </c>
      <c r="U661" s="1150">
        <f t="shared" si="288"/>
        <v>0</v>
      </c>
      <c r="V661" s="1150">
        <f t="shared" si="288"/>
        <v>0</v>
      </c>
      <c r="W661" s="1150">
        <f t="shared" si="288"/>
        <v>0</v>
      </c>
      <c r="X661" s="1150">
        <f t="shared" si="288"/>
        <v>11118382.878142534</v>
      </c>
      <c r="Y661" s="1150">
        <f t="shared" si="288"/>
        <v>88584298.709126517</v>
      </c>
      <c r="Z661" s="1150">
        <f t="shared" si="288"/>
        <v>88972670.318425566</v>
      </c>
      <c r="AA661" s="1150">
        <f t="shared" si="288"/>
        <v>116365902.55722509</v>
      </c>
      <c r="AB661" s="34">
        <f t="shared" si="264"/>
        <v>388371.60929904878</v>
      </c>
    </row>
    <row r="662" spans="1:29" ht="15" customHeight="1">
      <c r="B662" s="1158" t="s">
        <v>189</v>
      </c>
      <c r="C662" s="1159" t="s">
        <v>71</v>
      </c>
      <c r="D662" s="1159" t="s">
        <v>566</v>
      </c>
      <c r="E662" s="1159" t="s">
        <v>285</v>
      </c>
      <c r="F662" s="1159"/>
      <c r="G662" s="1159"/>
      <c r="H662" s="1159"/>
      <c r="I662" s="1162" t="s">
        <v>272</v>
      </c>
      <c r="J662" s="1159" t="str">
        <f t="shared" si="287"/>
        <v>lending_Payday_payday_VNPAY_marketing_acquisition_cost</v>
      </c>
      <c r="K662" s="1149"/>
      <c r="L662" s="1246" t="s">
        <v>230</v>
      </c>
      <c r="M662" s="1149">
        <f t="shared" ref="M662:M667" si="289">SUM(P662:AA662)</f>
        <v>0</v>
      </c>
      <c r="N662" s="1147"/>
      <c r="O662" s="1147"/>
      <c r="P662" s="1169"/>
      <c r="Q662" s="1169"/>
      <c r="R662" s="1169"/>
      <c r="S662" s="1147"/>
      <c r="T662" s="1169"/>
      <c r="U662" s="1147"/>
      <c r="V662" s="1290">
        <v>0</v>
      </c>
      <c r="W662" s="1149">
        <v>0</v>
      </c>
      <c r="X662" s="1149"/>
      <c r="Y662" s="1147"/>
      <c r="Z662" s="1147"/>
      <c r="AA662" s="1147"/>
      <c r="AB662" s="34">
        <f t="shared" si="264"/>
        <v>0</v>
      </c>
    </row>
    <row r="663" spans="1:29" ht="15" customHeight="1">
      <c r="B663" s="1158" t="s">
        <v>189</v>
      </c>
      <c r="C663" s="1159" t="s">
        <v>71</v>
      </c>
      <c r="D663" s="1159" t="s">
        <v>566</v>
      </c>
      <c r="E663" s="1159" t="s">
        <v>285</v>
      </c>
      <c r="F663" s="1159"/>
      <c r="G663" s="1159"/>
      <c r="H663" s="1159"/>
      <c r="I663" s="1162" t="s">
        <v>273</v>
      </c>
      <c r="J663" s="1159" t="str">
        <f t="shared" si="287"/>
        <v>lending_Payday_payday_VNPAY_partner_acquisition_cost</v>
      </c>
      <c r="K663" s="1149"/>
      <c r="L663" s="1246" t="s">
        <v>231</v>
      </c>
      <c r="M663" s="1149">
        <f t="shared" si="289"/>
        <v>210641000</v>
      </c>
      <c r="N663" s="1253"/>
      <c r="O663" s="1169"/>
      <c r="P663" s="1169"/>
      <c r="Q663" s="1169"/>
      <c r="R663" s="1169"/>
      <c r="S663" s="1169"/>
      <c r="T663" s="1169"/>
      <c r="U663" s="1245"/>
      <c r="V663" s="1245"/>
      <c r="W663" s="1245"/>
      <c r="X663" s="1290">
        <v>7000000</v>
      </c>
      <c r="Y663" s="1290">
        <v>59680000</v>
      </c>
      <c r="Z663" s="1290">
        <v>59866000</v>
      </c>
      <c r="AA663" s="1290">
        <v>84095000</v>
      </c>
      <c r="AB663" s="34">
        <f t="shared" ref="AB663:AB670" si="290">Z663-Y663</f>
        <v>186000</v>
      </c>
    </row>
    <row r="664" spans="1:29" ht="15" customHeight="1">
      <c r="B664" s="1158" t="s">
        <v>189</v>
      </c>
      <c r="C664" s="1159" t="s">
        <v>71</v>
      </c>
      <c r="D664" s="1159" t="s">
        <v>566</v>
      </c>
      <c r="E664" s="1159" t="s">
        <v>285</v>
      </c>
      <c r="F664" s="1159"/>
      <c r="G664" s="1159"/>
      <c r="H664" s="1159"/>
      <c r="I664" s="1162" t="s">
        <v>274</v>
      </c>
      <c r="J664" s="1159" t="str">
        <f t="shared" si="287"/>
        <v>lending_Payday_payday_VNPAY_underwritting</v>
      </c>
      <c r="K664" s="1149"/>
      <c r="L664" s="1246" t="s">
        <v>232</v>
      </c>
      <c r="M664" s="1149">
        <f t="shared" si="289"/>
        <v>61109556.648638465</v>
      </c>
      <c r="N664" s="1149"/>
      <c r="O664" s="1149"/>
      <c r="P664" s="1169">
        <v>0</v>
      </c>
      <c r="Q664" s="1169">
        <v>0</v>
      </c>
      <c r="R664" s="1169">
        <v>0</v>
      </c>
      <c r="S664" s="1169">
        <v>0</v>
      </c>
      <c r="T664" s="1169">
        <v>0</v>
      </c>
      <c r="U664" s="1149">
        <v>0</v>
      </c>
      <c r="V664" s="1149">
        <v>0</v>
      </c>
      <c r="W664" s="1149">
        <v>0</v>
      </c>
      <c r="X664" s="1149">
        <v>3499997.6709106308</v>
      </c>
      <c r="Y664" s="1149">
        <v>22666890.4315002</v>
      </c>
      <c r="Z664" s="1149">
        <v>16523226.401307</v>
      </c>
      <c r="AA664" s="1149">
        <v>18419442.144920632</v>
      </c>
      <c r="AB664" s="34">
        <f t="shared" si="290"/>
        <v>-6143664.0301932003</v>
      </c>
    </row>
    <row r="665" spans="1:29" ht="15" customHeight="1">
      <c r="B665" s="1158" t="s">
        <v>189</v>
      </c>
      <c r="C665" s="1159" t="s">
        <v>71</v>
      </c>
      <c r="D665" s="1159" t="s">
        <v>566</v>
      </c>
      <c r="E665" s="1159" t="s">
        <v>285</v>
      </c>
      <c r="F665" s="1159"/>
      <c r="G665" s="1159"/>
      <c r="H665" s="1159"/>
      <c r="I665" s="1162" t="s">
        <v>275</v>
      </c>
      <c r="J665" s="1159" t="str">
        <f t="shared" si="287"/>
        <v>lending_Payday_payday_VNPAY_e_contract</v>
      </c>
      <c r="K665" s="1149"/>
      <c r="L665" s="1246" t="s">
        <v>233</v>
      </c>
      <c r="M665" s="1149">
        <f t="shared" si="289"/>
        <v>5912923</v>
      </c>
      <c r="N665" s="1149"/>
      <c r="O665" s="1149"/>
      <c r="P665" s="1169"/>
      <c r="Q665" s="1169"/>
      <c r="R665" s="1169"/>
      <c r="S665" s="1169"/>
      <c r="T665" s="1169"/>
      <c r="U665" s="1247"/>
      <c r="V665" s="1149">
        <v>0</v>
      </c>
      <c r="W665" s="1149">
        <v>0</v>
      </c>
      <c r="X665" s="1149">
        <v>213585</v>
      </c>
      <c r="Y665" s="1149">
        <v>1894289</v>
      </c>
      <c r="Z665" s="1149">
        <v>1851420</v>
      </c>
      <c r="AA665" s="1149">
        <v>1953629</v>
      </c>
      <c r="AB665" s="34">
        <f t="shared" si="290"/>
        <v>-42869</v>
      </c>
    </row>
    <row r="666" spans="1:29" ht="15" customHeight="1">
      <c r="B666" s="1158" t="s">
        <v>189</v>
      </c>
      <c r="C666" s="1159" t="s">
        <v>71</v>
      </c>
      <c r="D666" s="1159" t="s">
        <v>566</v>
      </c>
      <c r="E666" s="1159" t="s">
        <v>285</v>
      </c>
      <c r="F666" s="1159"/>
      <c r="G666" s="1159"/>
      <c r="H666" s="1159"/>
      <c r="I666" s="1162" t="s">
        <v>276</v>
      </c>
      <c r="J666" s="1159" t="str">
        <f t="shared" si="287"/>
        <v>lending_Payday_payday_VNPAY_nfc</v>
      </c>
      <c r="K666" s="1149"/>
      <c r="L666" s="1246" t="s">
        <v>152</v>
      </c>
      <c r="M666" s="1149">
        <f t="shared" si="289"/>
        <v>2345721.8173776567</v>
      </c>
      <c r="N666" s="1149"/>
      <c r="O666" s="1149"/>
      <c r="P666" s="1169"/>
      <c r="Q666" s="1169"/>
      <c r="R666" s="1169"/>
      <c r="S666" s="1169"/>
      <c r="T666" s="1169"/>
      <c r="U666" s="1169"/>
      <c r="V666" s="1169">
        <v>0</v>
      </c>
      <c r="W666" s="1149">
        <v>0</v>
      </c>
      <c r="X666" s="1149">
        <v>89950.207231903929</v>
      </c>
      <c r="Y666" s="1149">
        <v>718349.06955415953</v>
      </c>
      <c r="Z666" s="1149">
        <v>708006.94057085214</v>
      </c>
      <c r="AA666" s="1149">
        <v>829415.60002074123</v>
      </c>
      <c r="AB666" s="34">
        <f t="shared" si="290"/>
        <v>-10342.128983307397</v>
      </c>
    </row>
    <row r="667" spans="1:29" ht="15" customHeight="1">
      <c r="B667" s="1158" t="s">
        <v>189</v>
      </c>
      <c r="C667" s="1159" t="s">
        <v>71</v>
      </c>
      <c r="D667" s="1159" t="s">
        <v>566</v>
      </c>
      <c r="E667" s="1159" t="s">
        <v>285</v>
      </c>
      <c r="F667" s="1159"/>
      <c r="G667" s="1159"/>
      <c r="H667" s="1159"/>
      <c r="I667" s="1162" t="s">
        <v>277</v>
      </c>
      <c r="J667" s="1159" t="str">
        <f t="shared" si="287"/>
        <v>lending_Payday_payday_VNPAY_collection</v>
      </c>
      <c r="K667" s="1149"/>
      <c r="L667" s="1246" t="s">
        <v>234</v>
      </c>
      <c r="M667" s="1149">
        <f t="shared" si="289"/>
        <v>15527807.113768369</v>
      </c>
      <c r="N667" s="1149"/>
      <c r="O667" s="1149"/>
      <c r="P667" s="1169"/>
      <c r="Q667" s="1169"/>
      <c r="R667" s="1169"/>
      <c r="S667" s="1169"/>
      <c r="T667" s="1169"/>
      <c r="U667" s="1149"/>
      <c r="V667" s="1169"/>
      <c r="W667" s="1149">
        <v>0</v>
      </c>
      <c r="X667" s="1149"/>
      <c r="Y667" s="1149">
        <v>934218.01003285137</v>
      </c>
      <c r="Z667" s="1149">
        <v>6797176.1386277629</v>
      </c>
      <c r="AA667" s="1149">
        <v>7796412.9651077548</v>
      </c>
      <c r="AB667" s="34">
        <f t="shared" si="290"/>
        <v>5862958.1285949117</v>
      </c>
    </row>
    <row r="668" spans="1:29" ht="15" customHeight="1">
      <c r="B668" s="1158" t="s">
        <v>189</v>
      </c>
      <c r="C668" s="1159" t="s">
        <v>71</v>
      </c>
      <c r="D668" s="1159" t="s">
        <v>566</v>
      </c>
      <c r="E668" s="1159" t="s">
        <v>285</v>
      </c>
      <c r="F668" s="1159"/>
      <c r="G668" s="1159"/>
      <c r="H668" s="1159"/>
      <c r="I668" s="1162" t="s">
        <v>278</v>
      </c>
      <c r="J668" s="1159" t="str">
        <f t="shared" si="287"/>
        <v>lending_Payday_payday_VNPAY_promotion</v>
      </c>
      <c r="K668" s="1149"/>
      <c r="L668" s="1246" t="s">
        <v>235</v>
      </c>
      <c r="M668" s="1149"/>
      <c r="N668" s="1149"/>
      <c r="O668" s="1149"/>
      <c r="P668" s="1169"/>
      <c r="Q668" s="1169"/>
      <c r="R668" s="1169"/>
      <c r="S668" s="1169"/>
      <c r="T668" s="1169"/>
      <c r="U668" s="1149"/>
      <c r="V668" s="1169"/>
      <c r="W668" s="1149"/>
      <c r="X668" s="1149"/>
      <c r="Y668" s="1149"/>
      <c r="Z668" s="1149"/>
      <c r="AA668" s="1149"/>
      <c r="AB668" s="34">
        <f t="shared" si="290"/>
        <v>0</v>
      </c>
    </row>
    <row r="669" spans="1:29" ht="15" customHeight="1">
      <c r="B669" s="1158" t="s">
        <v>189</v>
      </c>
      <c r="C669" s="1159" t="s">
        <v>71</v>
      </c>
      <c r="D669" s="1159" t="s">
        <v>566</v>
      </c>
      <c r="E669" s="1159" t="s">
        <v>285</v>
      </c>
      <c r="F669" s="1159"/>
      <c r="G669" s="1159"/>
      <c r="H669" s="1159"/>
      <c r="I669" s="1162" t="s">
        <v>279</v>
      </c>
      <c r="J669" s="1159" t="str">
        <f t="shared" si="287"/>
        <v>lending_Payday_payday_VNPAY_sms</v>
      </c>
      <c r="K669" s="1149"/>
      <c r="L669" s="1249" t="s">
        <v>163</v>
      </c>
      <c r="M669" s="1149">
        <f>SUM(P669:AA669)</f>
        <v>9504245.8831352256</v>
      </c>
      <c r="N669" s="1247"/>
      <c r="O669" s="1247"/>
      <c r="P669" s="1247"/>
      <c r="Q669" s="1247"/>
      <c r="R669" s="1247"/>
      <c r="S669" s="1247"/>
      <c r="T669" s="1247"/>
      <c r="U669" s="1247"/>
      <c r="V669" s="1247"/>
      <c r="W669" s="1247">
        <v>0</v>
      </c>
      <c r="X669" s="1247">
        <v>314850</v>
      </c>
      <c r="Y669" s="1247">
        <v>2690552.1980393035</v>
      </c>
      <c r="Z669" s="1247">
        <v>3226840.8379199463</v>
      </c>
      <c r="AA669" s="1247">
        <v>3272002.8471759758</v>
      </c>
      <c r="AB669" s="34">
        <f t="shared" si="290"/>
        <v>536288.63988064276</v>
      </c>
    </row>
    <row r="670" spans="1:29" ht="15" customHeight="1">
      <c r="B670" s="1158" t="s">
        <v>189</v>
      </c>
      <c r="C670" s="1170" t="s">
        <v>71</v>
      </c>
      <c r="D670" s="1159" t="s">
        <v>566</v>
      </c>
      <c r="E670" s="1159" t="s">
        <v>285</v>
      </c>
      <c r="F670" s="1159" t="str">
        <f>E670&amp;"PD"</f>
        <v>VNPAYPD</v>
      </c>
      <c r="G670" s="1159" t="str">
        <f>L670&amp;F670</f>
        <v>Profit before allocation costVNPAYPD</v>
      </c>
      <c r="H670" s="1408" t="str">
        <f>L670&amp;E670</f>
        <v>Profit before allocation costVNPAY</v>
      </c>
      <c r="I670" s="1171" t="s">
        <v>280</v>
      </c>
      <c r="J670" s="1170" t="str">
        <f t="shared" si="287"/>
        <v>lending_Payday_payday_VNPAY_profit_before_overhead</v>
      </c>
      <c r="K670" s="1149"/>
      <c r="L670" s="1358" t="s">
        <v>236</v>
      </c>
      <c r="M670" s="1358">
        <f t="shared" ref="M670:AA670" si="291">M649-M660-M661</f>
        <v>1554552741.5370803</v>
      </c>
      <c r="N670" s="1358">
        <f t="shared" si="291"/>
        <v>0</v>
      </c>
      <c r="O670" s="1358">
        <f t="shared" si="291"/>
        <v>0</v>
      </c>
      <c r="P670" s="1358">
        <f t="shared" si="291"/>
        <v>0</v>
      </c>
      <c r="Q670" s="1358">
        <f t="shared" si="291"/>
        <v>0</v>
      </c>
      <c r="R670" s="1358">
        <f t="shared" si="291"/>
        <v>0</v>
      </c>
      <c r="S670" s="1358">
        <f t="shared" si="291"/>
        <v>0</v>
      </c>
      <c r="T670" s="1358">
        <f t="shared" si="291"/>
        <v>0</v>
      </c>
      <c r="U670" s="1358">
        <f t="shared" si="291"/>
        <v>0</v>
      </c>
      <c r="V670" s="1358">
        <f t="shared" si="291"/>
        <v>0</v>
      </c>
      <c r="W670" s="1358">
        <f t="shared" si="291"/>
        <v>0</v>
      </c>
      <c r="X670" s="1358">
        <f t="shared" si="291"/>
        <v>30984831.121857464</v>
      </c>
      <c r="Y670" s="1358">
        <f t="shared" si="291"/>
        <v>409178864.29087347</v>
      </c>
      <c r="Z670" s="1358">
        <f t="shared" si="291"/>
        <v>473653889.68157446</v>
      </c>
      <c r="AA670" s="1358">
        <f t="shared" si="291"/>
        <v>640735156.44277489</v>
      </c>
      <c r="AB670" s="34">
        <f t="shared" si="290"/>
        <v>64475025.390700996</v>
      </c>
      <c r="AC670" s="34">
        <f>SUM(P670:AA670)</f>
        <v>1554552741.5370803</v>
      </c>
    </row>
    <row r="671" spans="1:29" ht="15" customHeight="1">
      <c r="B671" s="1158" t="s">
        <v>189</v>
      </c>
      <c r="C671" s="1159" t="s">
        <v>71</v>
      </c>
      <c r="D671" s="1159" t="s">
        <v>566</v>
      </c>
      <c r="E671" s="1159" t="s">
        <v>329</v>
      </c>
      <c r="F671" s="1159"/>
      <c r="G671" s="1159"/>
      <c r="H671" s="1159"/>
      <c r="I671" s="1160"/>
      <c r="J671" s="1159" t="str">
        <f t="shared" ref="J671:J708" si="292">B671&amp;"_"&amp;C671&amp;"_"&amp;D671&amp;"_"&amp;E671&amp;"_"&amp;I671</f>
        <v>lending_Payday_payday_ZALOPAY_</v>
      </c>
      <c r="K671" s="1149"/>
      <c r="L671" s="1146" t="s">
        <v>571</v>
      </c>
      <c r="M671" s="1146"/>
      <c r="N671" s="1146"/>
      <c r="O671" s="1146"/>
      <c r="P671" s="1146"/>
      <c r="Q671" s="1146"/>
      <c r="R671" s="1146"/>
      <c r="S671" s="1146"/>
      <c r="T671" s="1146"/>
      <c r="U671" s="1146"/>
      <c r="V671" s="1146"/>
      <c r="W671" s="1146"/>
      <c r="X671" s="1146"/>
      <c r="Y671" s="1146"/>
      <c r="Z671" s="1146"/>
      <c r="AA671" s="1146"/>
      <c r="AB671" s="34">
        <f t="shared" ref="AB671:AB708" si="293">Z671-Y671</f>
        <v>0</v>
      </c>
    </row>
    <row r="672" spans="1:29" ht="15" customHeight="1">
      <c r="B672" s="1158" t="s">
        <v>189</v>
      </c>
      <c r="C672" s="1159" t="s">
        <v>71</v>
      </c>
      <c r="D672" s="1159" t="s">
        <v>566</v>
      </c>
      <c r="E672" s="1159" t="s">
        <v>329</v>
      </c>
      <c r="F672" s="1159"/>
      <c r="G672" s="1159"/>
      <c r="H672" s="1159"/>
      <c r="I672" s="1162" t="s">
        <v>239</v>
      </c>
      <c r="J672" s="1159" t="str">
        <f t="shared" si="292"/>
        <v>lending_Payday_payday_ZALOPAY_new_account</v>
      </c>
      <c r="K672" s="1149"/>
      <c r="L672" s="1148" t="s">
        <v>193</v>
      </c>
      <c r="M672" s="1149">
        <f>SUM(P672:AA672)</f>
        <v>3</v>
      </c>
      <c r="N672" s="1169"/>
      <c r="O672" s="1169"/>
      <c r="P672" s="1267"/>
      <c r="Q672" s="1267"/>
      <c r="R672" s="1169"/>
      <c r="S672" s="1267"/>
      <c r="T672" s="1169"/>
      <c r="U672" s="1267"/>
      <c r="V672" s="1149">
        <v>0</v>
      </c>
      <c r="W672" s="1169">
        <v>0</v>
      </c>
      <c r="X672" s="1169"/>
      <c r="Y672" s="1169"/>
      <c r="Z672" s="1169"/>
      <c r="AA672" s="1361">
        <v>3</v>
      </c>
      <c r="AB672" s="34">
        <f t="shared" si="293"/>
        <v>0</v>
      </c>
    </row>
    <row r="673" spans="2:29" ht="15" customHeight="1">
      <c r="B673" s="1158" t="s">
        <v>189</v>
      </c>
      <c r="C673" s="1159" t="s">
        <v>71</v>
      </c>
      <c r="D673" s="1159" t="s">
        <v>566</v>
      </c>
      <c r="E673" s="1159" t="s">
        <v>329</v>
      </c>
      <c r="F673" s="1159"/>
      <c r="G673" s="1159"/>
      <c r="H673" s="1159"/>
      <c r="I673" s="1169" t="s">
        <v>527</v>
      </c>
      <c r="J673" s="1159" t="str">
        <f t="shared" si="292"/>
        <v>lending_Payday_payday_ZALOPAY_Repeat account</v>
      </c>
      <c r="K673" s="1149"/>
      <c r="L673" s="1169" t="s">
        <v>527</v>
      </c>
      <c r="M673" s="1149">
        <f>SUM(P673:AA673)</f>
        <v>0</v>
      </c>
      <c r="N673" s="1169"/>
      <c r="O673" s="1169"/>
      <c r="P673" s="1169"/>
      <c r="Q673" s="1267"/>
      <c r="R673" s="1169"/>
      <c r="S673" s="1267"/>
      <c r="T673" s="1169"/>
      <c r="U673" s="1267"/>
      <c r="V673" s="1149">
        <v>0</v>
      </c>
      <c r="W673" s="1169">
        <v>0</v>
      </c>
      <c r="X673" s="1169"/>
      <c r="Y673" s="1290"/>
      <c r="Z673" s="1169"/>
      <c r="AA673" s="1169"/>
      <c r="AB673" s="34">
        <f t="shared" si="293"/>
        <v>0</v>
      </c>
    </row>
    <row r="674" spans="2:29" ht="15" customHeight="1">
      <c r="B674" s="1158" t="s">
        <v>189</v>
      </c>
      <c r="C674" s="1159" t="s">
        <v>71</v>
      </c>
      <c r="D674" s="1159" t="s">
        <v>566</v>
      </c>
      <c r="E674" s="1159" t="s">
        <v>329</v>
      </c>
      <c r="F674" s="1159"/>
      <c r="G674" s="1159"/>
      <c r="H674" s="1159"/>
      <c r="I674" s="1162" t="s">
        <v>241</v>
      </c>
      <c r="J674" s="1159" t="str">
        <f t="shared" si="292"/>
        <v>lending_Payday_payday_ZALOPAY_active_account</v>
      </c>
      <c r="K674" s="1149"/>
      <c r="L674" s="1148" t="s">
        <v>194</v>
      </c>
      <c r="M674" s="1149">
        <f>Z674</f>
        <v>0</v>
      </c>
      <c r="N674" s="1169"/>
      <c r="O674" s="1169"/>
      <c r="P674" s="1169"/>
      <c r="Q674" s="1267"/>
      <c r="R674" s="1169"/>
      <c r="S674" s="1169"/>
      <c r="T674" s="1169"/>
      <c r="U674" s="1267"/>
      <c r="V674" s="1149">
        <v>0</v>
      </c>
      <c r="W674" s="1169">
        <v>0</v>
      </c>
      <c r="X674" s="1169"/>
      <c r="Y674" s="1169"/>
      <c r="Z674" s="1169"/>
      <c r="AA674" s="1169">
        <v>3</v>
      </c>
      <c r="AB674" s="34">
        <f t="shared" si="293"/>
        <v>0</v>
      </c>
    </row>
    <row r="675" spans="2:29" ht="15" customHeight="1">
      <c r="B675" s="1158" t="s">
        <v>189</v>
      </c>
      <c r="C675" s="1159" t="s">
        <v>71</v>
      </c>
      <c r="D675" s="1159" t="s">
        <v>566</v>
      </c>
      <c r="E675" s="1159" t="s">
        <v>329</v>
      </c>
      <c r="F675" s="1159" t="str">
        <f>E675&amp;"PD"</f>
        <v>ZALOPAYPD</v>
      </c>
      <c r="G675" s="1159" t="str">
        <f>L675&amp;F675</f>
        <v>DisbursementZALOPAYPD</v>
      </c>
      <c r="H675" s="1408" t="str">
        <f>L675&amp;E675</f>
        <v>DisbursementZALOPAY</v>
      </c>
      <c r="I675" s="1162" t="s">
        <v>242</v>
      </c>
      <c r="J675" s="1159" t="str">
        <f t="shared" si="292"/>
        <v>lending_Payday_payday_ZALOPAY_disburse/spend</v>
      </c>
      <c r="K675" s="1149"/>
      <c r="L675" s="1169" t="s">
        <v>80</v>
      </c>
      <c r="M675" s="1149">
        <f>SUM(P675:AA675)</f>
        <v>10800000</v>
      </c>
      <c r="N675" s="1149"/>
      <c r="O675" s="1149"/>
      <c r="P675" s="1149"/>
      <c r="Q675" s="1149"/>
      <c r="R675" s="1169"/>
      <c r="S675" s="1169"/>
      <c r="T675" s="1169"/>
      <c r="U675" s="1169"/>
      <c r="V675" s="1290">
        <v>0</v>
      </c>
      <c r="W675" s="1169">
        <v>0</v>
      </c>
      <c r="X675" s="1169"/>
      <c r="Y675" s="1169"/>
      <c r="Z675" s="1149"/>
      <c r="AA675" s="1149">
        <v>10800000</v>
      </c>
      <c r="AB675" s="34">
        <f>AA675-Z675</f>
        <v>10800000</v>
      </c>
      <c r="AC675" s="34">
        <f>SUM(P675:AA675)</f>
        <v>10800000</v>
      </c>
    </row>
    <row r="676" spans="2:29" ht="15" customHeight="1">
      <c r="B676" s="1158" t="s">
        <v>189</v>
      </c>
      <c r="C676" s="1159" t="s">
        <v>71</v>
      </c>
      <c r="D676" s="1159" t="s">
        <v>566</v>
      </c>
      <c r="E676" s="1159" t="s">
        <v>329</v>
      </c>
      <c r="F676" s="1159"/>
      <c r="G676" s="1159"/>
      <c r="H676" s="1159"/>
      <c r="I676" s="1160"/>
      <c r="J676" s="1159" t="str">
        <f t="shared" si="292"/>
        <v>lending_Payday_payday_ZALOPAY_</v>
      </c>
      <c r="K676" s="1149"/>
      <c r="L676" s="1169" t="s">
        <v>528</v>
      </c>
      <c r="M676" s="1149">
        <f>SUM(P676:AA676)</f>
        <v>10800000</v>
      </c>
      <c r="N676" s="1169">
        <f t="shared" ref="N676:AA676" si="294">N675</f>
        <v>0</v>
      </c>
      <c r="O676" s="1169">
        <f t="shared" si="294"/>
        <v>0</v>
      </c>
      <c r="P676" s="1169">
        <f t="shared" si="294"/>
        <v>0</v>
      </c>
      <c r="Q676" s="1169">
        <f t="shared" si="294"/>
        <v>0</v>
      </c>
      <c r="R676" s="1169">
        <f t="shared" si="294"/>
        <v>0</v>
      </c>
      <c r="S676" s="1169">
        <f t="shared" si="294"/>
        <v>0</v>
      </c>
      <c r="T676" s="1169">
        <f t="shared" si="294"/>
        <v>0</v>
      </c>
      <c r="U676" s="1169">
        <f t="shared" si="294"/>
        <v>0</v>
      </c>
      <c r="V676" s="1169">
        <f t="shared" si="294"/>
        <v>0</v>
      </c>
      <c r="W676" s="1169">
        <f t="shared" si="294"/>
        <v>0</v>
      </c>
      <c r="X676" s="1169"/>
      <c r="Y676" s="1169"/>
      <c r="Z676" s="1169"/>
      <c r="AA676" s="1169">
        <f t="shared" si="294"/>
        <v>10800000</v>
      </c>
      <c r="AB676" s="34">
        <f t="shared" si="293"/>
        <v>0</v>
      </c>
    </row>
    <row r="677" spans="2:29" ht="15" customHeight="1">
      <c r="B677" s="1158" t="s">
        <v>189</v>
      </c>
      <c r="C677" s="1159" t="s">
        <v>71</v>
      </c>
      <c r="D677" s="1159" t="s">
        <v>566</v>
      </c>
      <c r="E677" s="1159" t="s">
        <v>329</v>
      </c>
      <c r="F677" s="1159"/>
      <c r="G677" s="1159"/>
      <c r="H677" s="1159"/>
      <c r="I677" s="1160"/>
      <c r="J677" s="1159" t="str">
        <f t="shared" si="292"/>
        <v>lending_Payday_payday_ZALOPAY_</v>
      </c>
      <c r="K677" s="1149"/>
      <c r="L677" s="1169" t="s">
        <v>529</v>
      </c>
      <c r="M677" s="1149"/>
      <c r="N677" s="1149"/>
      <c r="O677" s="1149"/>
      <c r="P677" s="1149">
        <f>P675-P676</f>
        <v>0</v>
      </c>
      <c r="Q677" s="1149">
        <f>Q675-Q676</f>
        <v>0</v>
      </c>
      <c r="R677" s="1169"/>
      <c r="S677" s="1169"/>
      <c r="T677" s="1169"/>
      <c r="U677" s="1149"/>
      <c r="V677" s="1169">
        <f>V675*8%</f>
        <v>0</v>
      </c>
      <c r="W677" s="1169"/>
      <c r="X677" s="1169"/>
      <c r="Y677" s="1169"/>
      <c r="Z677" s="1149"/>
      <c r="AA677" s="1149"/>
      <c r="AB677" s="34">
        <f t="shared" si="293"/>
        <v>0</v>
      </c>
    </row>
    <row r="678" spans="2:29" ht="15" customHeight="1">
      <c r="B678" s="1158" t="s">
        <v>189</v>
      </c>
      <c r="C678" s="1159" t="s">
        <v>71</v>
      </c>
      <c r="D678" s="1159" t="s">
        <v>566</v>
      </c>
      <c r="E678" s="1159" t="s">
        <v>329</v>
      </c>
      <c r="F678" s="1159"/>
      <c r="G678" s="1159"/>
      <c r="H678" s="1159"/>
      <c r="I678" s="1160" t="s">
        <v>243</v>
      </c>
      <c r="J678" s="1159" t="str">
        <f t="shared" si="292"/>
        <v>lending_Payday_payday_ZALOPAY_ENR</v>
      </c>
      <c r="K678" s="1149"/>
      <c r="L678" s="1169" t="s">
        <v>530</v>
      </c>
      <c r="M678" s="1149">
        <f>AA678</f>
        <v>10799304</v>
      </c>
      <c r="N678" s="1169"/>
      <c r="O678" s="1149"/>
      <c r="P678" s="1169"/>
      <c r="Q678" s="1169"/>
      <c r="R678" s="1169"/>
      <c r="S678" s="1169"/>
      <c r="T678" s="1169"/>
      <c r="U678" s="1169"/>
      <c r="V678" s="1149">
        <v>0</v>
      </c>
      <c r="W678" s="1149">
        <v>0</v>
      </c>
      <c r="X678" s="1169"/>
      <c r="Y678" s="1169"/>
      <c r="Z678" s="1169"/>
      <c r="AA678" s="1149">
        <v>10799304</v>
      </c>
      <c r="AB678" s="34">
        <f t="shared" si="293"/>
        <v>0</v>
      </c>
    </row>
    <row r="679" spans="2:29" ht="15" customHeight="1">
      <c r="B679" s="1158" t="s">
        <v>189</v>
      </c>
      <c r="C679" s="1159" t="s">
        <v>71</v>
      </c>
      <c r="D679" s="1159" t="s">
        <v>566</v>
      </c>
      <c r="E679" s="1159" t="s">
        <v>329</v>
      </c>
      <c r="F679" s="1159"/>
      <c r="G679" s="1159"/>
      <c r="H679" s="1159"/>
      <c r="I679" s="1160"/>
      <c r="J679" s="1159" t="str">
        <f t="shared" si="292"/>
        <v>lending_Payday_payday_ZALOPAY_</v>
      </c>
      <c r="K679" s="1149"/>
      <c r="L679" s="1235" t="s">
        <v>531</v>
      </c>
      <c r="M679" s="1149">
        <f>Z679</f>
        <v>0</v>
      </c>
      <c r="N679" s="1255">
        <f t="shared" ref="N679:AA679" si="295">N678-N680</f>
        <v>0</v>
      </c>
      <c r="O679" s="1255">
        <f t="shared" si="295"/>
        <v>0</v>
      </c>
      <c r="P679" s="1255">
        <f t="shared" si="295"/>
        <v>0</v>
      </c>
      <c r="Q679" s="1255">
        <f t="shared" si="295"/>
        <v>0</v>
      </c>
      <c r="R679" s="1255">
        <f t="shared" si="295"/>
        <v>0</v>
      </c>
      <c r="S679" s="1255">
        <f t="shared" si="295"/>
        <v>0</v>
      </c>
      <c r="T679" s="1255">
        <f t="shared" si="295"/>
        <v>0</v>
      </c>
      <c r="U679" s="1255">
        <f t="shared" si="295"/>
        <v>0</v>
      </c>
      <c r="V679" s="1255">
        <f t="shared" si="295"/>
        <v>0</v>
      </c>
      <c r="W679" s="1255">
        <f t="shared" si="295"/>
        <v>0</v>
      </c>
      <c r="X679" s="1255">
        <f t="shared" si="295"/>
        <v>0</v>
      </c>
      <c r="Y679" s="1255">
        <f t="shared" si="295"/>
        <v>0</v>
      </c>
      <c r="Z679" s="1255">
        <f t="shared" si="295"/>
        <v>0</v>
      </c>
      <c r="AA679" s="1255">
        <f t="shared" si="295"/>
        <v>10799304</v>
      </c>
      <c r="AB679" s="34">
        <f t="shared" si="293"/>
        <v>0</v>
      </c>
    </row>
    <row r="680" spans="2:29" ht="15" customHeight="1">
      <c r="B680" s="1158" t="s">
        <v>189</v>
      </c>
      <c r="C680" s="1159" t="s">
        <v>71</v>
      </c>
      <c r="D680" s="1159" t="s">
        <v>566</v>
      </c>
      <c r="E680" s="1159" t="s">
        <v>329</v>
      </c>
      <c r="F680" s="1159"/>
      <c r="G680" s="1159"/>
      <c r="H680" s="1159"/>
      <c r="I680" s="1160"/>
      <c r="J680" s="1159" t="str">
        <f t="shared" si="292"/>
        <v>lending_Payday_payday_ZALOPAY_</v>
      </c>
      <c r="K680" s="1149"/>
      <c r="L680" s="1235" t="s">
        <v>532</v>
      </c>
      <c r="M680" s="1149">
        <f t="shared" ref="M680:M681" si="296">X680</f>
        <v>0</v>
      </c>
      <c r="N680" s="1255"/>
      <c r="O680" s="1255"/>
      <c r="P680" s="1255"/>
      <c r="Q680" s="1255"/>
      <c r="R680" s="1255"/>
      <c r="S680" s="1255"/>
      <c r="T680" s="1255"/>
      <c r="U680" s="1255"/>
      <c r="V680" s="1236"/>
      <c r="W680" s="1236">
        <v>0</v>
      </c>
      <c r="X680" s="1255"/>
      <c r="Y680" s="1255"/>
      <c r="Z680" s="1255"/>
      <c r="AA680" s="1255"/>
      <c r="AB680" s="34">
        <f t="shared" si="293"/>
        <v>0</v>
      </c>
    </row>
    <row r="681" spans="2:29" ht="15" customHeight="1">
      <c r="B681" s="1158" t="s">
        <v>189</v>
      </c>
      <c r="C681" s="1159" t="s">
        <v>71</v>
      </c>
      <c r="D681" s="1159" t="s">
        <v>566</v>
      </c>
      <c r="E681" s="1159" t="s">
        <v>329</v>
      </c>
      <c r="F681" s="1159"/>
      <c r="G681" s="1159"/>
      <c r="H681" s="1159"/>
      <c r="I681" s="1160"/>
      <c r="J681" s="1159" t="str">
        <f t="shared" si="292"/>
        <v>lending_Payday_payday_ZALOPAY_</v>
      </c>
      <c r="K681" s="1149"/>
      <c r="L681" s="1148" t="s">
        <v>533</v>
      </c>
      <c r="M681" s="1149">
        <f t="shared" si="296"/>
        <v>0</v>
      </c>
      <c r="N681" s="1255"/>
      <c r="O681" s="1255"/>
      <c r="P681" s="1255"/>
      <c r="Q681" s="1255"/>
      <c r="R681" s="1255"/>
      <c r="S681" s="1255"/>
      <c r="T681" s="1255"/>
      <c r="U681" s="1255"/>
      <c r="V681" s="1255"/>
      <c r="W681" s="1255"/>
      <c r="X681" s="1255"/>
      <c r="Y681" s="1255"/>
      <c r="Z681" s="1255"/>
      <c r="AA681" s="1255"/>
      <c r="AB681" s="34">
        <f t="shared" si="293"/>
        <v>0</v>
      </c>
    </row>
    <row r="682" spans="2:29" ht="15" customHeight="1">
      <c r="B682" s="1158" t="s">
        <v>189</v>
      </c>
      <c r="C682" s="1159" t="s">
        <v>71</v>
      </c>
      <c r="D682" s="1159" t="s">
        <v>566</v>
      </c>
      <c r="E682" s="1159" t="s">
        <v>329</v>
      </c>
      <c r="F682" s="1159"/>
      <c r="G682" s="1159"/>
      <c r="H682" s="1159"/>
      <c r="I682" s="1162" t="s">
        <v>247</v>
      </c>
      <c r="J682" s="1159" t="str">
        <f t="shared" si="292"/>
        <v>lending_Payday_payday_ZALOPAY_overdue_balance_10d</v>
      </c>
      <c r="K682" s="1149"/>
      <c r="L682" s="1169" t="s">
        <v>534</v>
      </c>
      <c r="M682" s="1149">
        <f>Z682</f>
        <v>0</v>
      </c>
      <c r="N682" s="1255"/>
      <c r="O682" s="1255"/>
      <c r="P682" s="1255"/>
      <c r="Q682" s="1255"/>
      <c r="R682" s="1255"/>
      <c r="S682" s="1255"/>
      <c r="T682" s="1169"/>
      <c r="U682" s="1169"/>
      <c r="V682" s="1290">
        <v>0</v>
      </c>
      <c r="W682" s="1236">
        <v>0</v>
      </c>
      <c r="X682" s="1255"/>
      <c r="Y682" s="1255"/>
      <c r="Z682" s="1255"/>
      <c r="AA682" s="1255"/>
      <c r="AB682" s="34">
        <f t="shared" si="293"/>
        <v>0</v>
      </c>
    </row>
    <row r="683" spans="2:29" ht="15" customHeight="1">
      <c r="B683" s="1158" t="s">
        <v>189</v>
      </c>
      <c r="C683" s="1159" t="s">
        <v>71</v>
      </c>
      <c r="D683" s="1159" t="s">
        <v>566</v>
      </c>
      <c r="E683" s="1159" t="s">
        <v>329</v>
      </c>
      <c r="F683" s="1159"/>
      <c r="G683" s="1159"/>
      <c r="H683" s="1159"/>
      <c r="I683" s="1162" t="s">
        <v>248</v>
      </c>
      <c r="J683" s="1159" t="str">
        <f t="shared" si="292"/>
        <v>lending_Payday_payday_ZALOPAY_overdue_balance_90d</v>
      </c>
      <c r="K683" s="1149"/>
      <c r="L683" s="1169" t="s">
        <v>535</v>
      </c>
      <c r="M683" s="1149">
        <f t="shared" ref="M683" si="297">X683</f>
        <v>0</v>
      </c>
      <c r="N683" s="1169"/>
      <c r="O683" s="1169"/>
      <c r="P683" s="1169"/>
      <c r="Q683" s="1169"/>
      <c r="R683" s="1169"/>
      <c r="S683" s="1255"/>
      <c r="T683" s="1169"/>
      <c r="U683" s="1169"/>
      <c r="V683" s="1149"/>
      <c r="W683" s="1169">
        <v>0</v>
      </c>
      <c r="X683" s="1169"/>
      <c r="Y683" s="1262"/>
      <c r="Z683" s="1169"/>
      <c r="AA683" s="1169"/>
      <c r="AB683" s="34">
        <f t="shared" si="293"/>
        <v>0</v>
      </c>
    </row>
    <row r="684" spans="2:29" ht="15" customHeight="1">
      <c r="B684" s="1158" t="s">
        <v>189</v>
      </c>
      <c r="C684" s="1159" t="s">
        <v>71</v>
      </c>
      <c r="D684" s="1159" t="s">
        <v>566</v>
      </c>
      <c r="E684" s="1159" t="s">
        <v>329</v>
      </c>
      <c r="F684" s="1159"/>
      <c r="G684" s="1159"/>
      <c r="H684" s="1159"/>
      <c r="I684" s="1160"/>
      <c r="J684" s="1159" t="str">
        <f t="shared" si="292"/>
        <v>lending_Payday_payday_ZALOPAY_</v>
      </c>
      <c r="K684" s="1149"/>
      <c r="L684" s="1169" t="s">
        <v>536</v>
      </c>
      <c r="M684" s="1149">
        <f>Z684</f>
        <v>0</v>
      </c>
      <c r="N684" s="1255">
        <f t="shared" ref="N684:AA684" si="298">N682-N683</f>
        <v>0</v>
      </c>
      <c r="O684" s="1255">
        <f t="shared" si="298"/>
        <v>0</v>
      </c>
      <c r="P684" s="1255">
        <f t="shared" si="298"/>
        <v>0</v>
      </c>
      <c r="Q684" s="1255">
        <f t="shared" si="298"/>
        <v>0</v>
      </c>
      <c r="R684" s="1255">
        <f t="shared" si="298"/>
        <v>0</v>
      </c>
      <c r="S684" s="1255">
        <f t="shared" si="298"/>
        <v>0</v>
      </c>
      <c r="T684" s="1255">
        <f t="shared" si="298"/>
        <v>0</v>
      </c>
      <c r="U684" s="1255">
        <f t="shared" si="298"/>
        <v>0</v>
      </c>
      <c r="V684" s="1255">
        <f t="shared" si="298"/>
        <v>0</v>
      </c>
      <c r="W684" s="1255">
        <f t="shared" si="298"/>
        <v>0</v>
      </c>
      <c r="X684" s="1255">
        <f t="shared" si="298"/>
        <v>0</v>
      </c>
      <c r="Y684" s="1255">
        <f t="shared" si="298"/>
        <v>0</v>
      </c>
      <c r="Z684" s="1255">
        <f t="shared" si="298"/>
        <v>0</v>
      </c>
      <c r="AA684" s="1255">
        <f t="shared" si="298"/>
        <v>0</v>
      </c>
      <c r="AB684" s="34">
        <f t="shared" si="293"/>
        <v>0</v>
      </c>
      <c r="AC684" s="34"/>
    </row>
    <row r="685" spans="2:29" ht="15" customHeight="1">
      <c r="B685" s="1158" t="s">
        <v>189</v>
      </c>
      <c r="C685" s="1159" t="s">
        <v>71</v>
      </c>
      <c r="D685" s="1159" t="s">
        <v>566</v>
      </c>
      <c r="E685" s="1159" t="s">
        <v>329</v>
      </c>
      <c r="F685" s="1159"/>
      <c r="G685" s="1159"/>
      <c r="H685" s="1159"/>
      <c r="I685" s="1160"/>
      <c r="J685" s="1159" t="str">
        <f t="shared" si="292"/>
        <v>lending_Payday_payday_ZALOPAY_</v>
      </c>
      <c r="K685" s="1149"/>
      <c r="L685" s="1169" t="s">
        <v>537</v>
      </c>
      <c r="M685" s="1149"/>
      <c r="N685" s="1269" t="e">
        <f t="shared" ref="N685:AA685" si="299">N681/N678</f>
        <v>#DIV/0!</v>
      </c>
      <c r="O685" s="1269" t="e">
        <f t="shared" si="299"/>
        <v>#DIV/0!</v>
      </c>
      <c r="P685" s="1269" t="e">
        <f t="shared" si="299"/>
        <v>#DIV/0!</v>
      </c>
      <c r="Q685" s="1269" t="e">
        <f t="shared" si="299"/>
        <v>#DIV/0!</v>
      </c>
      <c r="R685" s="1269" t="e">
        <f t="shared" si="299"/>
        <v>#DIV/0!</v>
      </c>
      <c r="S685" s="1269" t="e">
        <f t="shared" si="299"/>
        <v>#DIV/0!</v>
      </c>
      <c r="T685" s="1269" t="e">
        <f t="shared" si="299"/>
        <v>#DIV/0!</v>
      </c>
      <c r="U685" s="1269" t="e">
        <f t="shared" si="299"/>
        <v>#DIV/0!</v>
      </c>
      <c r="V685" s="1269" t="e">
        <f t="shared" si="299"/>
        <v>#DIV/0!</v>
      </c>
      <c r="W685" s="1269" t="e">
        <f t="shared" si="299"/>
        <v>#DIV/0!</v>
      </c>
      <c r="X685" s="1269" t="e">
        <f t="shared" si="299"/>
        <v>#DIV/0!</v>
      </c>
      <c r="Y685" s="1269" t="e">
        <f t="shared" si="299"/>
        <v>#DIV/0!</v>
      </c>
      <c r="Z685" s="1269" t="e">
        <f t="shared" si="299"/>
        <v>#DIV/0!</v>
      </c>
      <c r="AA685" s="1269">
        <f t="shared" si="299"/>
        <v>0</v>
      </c>
      <c r="AB685" s="34" t="e">
        <f t="shared" si="293"/>
        <v>#DIV/0!</v>
      </c>
    </row>
    <row r="686" spans="2:29" ht="15" customHeight="1">
      <c r="B686" s="1158" t="s">
        <v>189</v>
      </c>
      <c r="C686" s="1159" t="s">
        <v>71</v>
      </c>
      <c r="D686" s="1159" t="s">
        <v>566</v>
      </c>
      <c r="E686" s="1159" t="s">
        <v>329</v>
      </c>
      <c r="F686" s="1159"/>
      <c r="G686" s="1159"/>
      <c r="H686" s="1159"/>
      <c r="I686" s="1162" t="s">
        <v>213</v>
      </c>
      <c r="J686" s="1159" t="str">
        <f t="shared" si="292"/>
        <v>lending_Payday_payday_ZALOPAY_npl</v>
      </c>
      <c r="K686" s="1149"/>
      <c r="L686" s="1169" t="s">
        <v>538</v>
      </c>
      <c r="M686" s="1149"/>
      <c r="N686" s="1237" t="e">
        <f t="shared" ref="N686:AA686" si="300">N683/N678</f>
        <v>#DIV/0!</v>
      </c>
      <c r="O686" s="1237" t="e">
        <f t="shared" si="300"/>
        <v>#DIV/0!</v>
      </c>
      <c r="P686" s="1237" t="e">
        <f t="shared" si="300"/>
        <v>#DIV/0!</v>
      </c>
      <c r="Q686" s="1237" t="e">
        <f t="shared" si="300"/>
        <v>#DIV/0!</v>
      </c>
      <c r="R686" s="1237" t="e">
        <f t="shared" si="300"/>
        <v>#DIV/0!</v>
      </c>
      <c r="S686" s="1237" t="e">
        <f t="shared" si="300"/>
        <v>#DIV/0!</v>
      </c>
      <c r="T686" s="1237" t="e">
        <f t="shared" si="300"/>
        <v>#DIV/0!</v>
      </c>
      <c r="U686" s="1237" t="e">
        <f t="shared" si="300"/>
        <v>#DIV/0!</v>
      </c>
      <c r="V686" s="1237" t="e">
        <f t="shared" si="300"/>
        <v>#DIV/0!</v>
      </c>
      <c r="W686" s="1237" t="e">
        <f t="shared" si="300"/>
        <v>#DIV/0!</v>
      </c>
      <c r="X686" s="1237" t="e">
        <f t="shared" si="300"/>
        <v>#DIV/0!</v>
      </c>
      <c r="Y686" s="1237" t="e">
        <f t="shared" si="300"/>
        <v>#DIV/0!</v>
      </c>
      <c r="Z686" s="1237" t="e">
        <f t="shared" si="300"/>
        <v>#DIV/0!</v>
      </c>
      <c r="AA686" s="1237">
        <f t="shared" si="300"/>
        <v>0</v>
      </c>
      <c r="AB686" s="34" t="e">
        <f t="shared" si="293"/>
        <v>#DIV/0!</v>
      </c>
    </row>
    <row r="687" spans="2:29" ht="15" customHeight="1">
      <c r="B687" s="1158" t="s">
        <v>189</v>
      </c>
      <c r="C687" s="1159" t="s">
        <v>71</v>
      </c>
      <c r="D687" s="1159" t="s">
        <v>566</v>
      </c>
      <c r="E687" s="1159" t="s">
        <v>329</v>
      </c>
      <c r="F687" s="1159" t="str">
        <f>E687&amp;"PD"</f>
        <v>ZALOPAYPD</v>
      </c>
      <c r="G687" s="1159" t="str">
        <f>L687&amp;F687</f>
        <v>TOIZALOPAYPD</v>
      </c>
      <c r="H687" s="1408" t="str">
        <f>L687&amp;E687</f>
        <v>TOIZALOPAY</v>
      </c>
      <c r="I687" s="1162" t="s">
        <v>217</v>
      </c>
      <c r="J687" s="1159" t="str">
        <f t="shared" si="292"/>
        <v>lending_Payday_payday_ZALOPAY_TOI</v>
      </c>
      <c r="K687" s="1149"/>
      <c r="L687" s="1238" t="s">
        <v>217</v>
      </c>
      <c r="M687" s="1150">
        <f t="shared" ref="M687:AA687" si="301">M688+M693+M697</f>
        <v>928863</v>
      </c>
      <c r="N687" s="1150">
        <f t="shared" si="301"/>
        <v>0</v>
      </c>
      <c r="O687" s="1150">
        <f t="shared" si="301"/>
        <v>0</v>
      </c>
      <c r="P687" s="1150">
        <f t="shared" si="301"/>
        <v>0</v>
      </c>
      <c r="Q687" s="1150">
        <f t="shared" si="301"/>
        <v>0</v>
      </c>
      <c r="R687" s="1150">
        <f t="shared" si="301"/>
        <v>0</v>
      </c>
      <c r="S687" s="1150">
        <f t="shared" si="301"/>
        <v>0</v>
      </c>
      <c r="T687" s="1150">
        <f t="shared" si="301"/>
        <v>0</v>
      </c>
      <c r="U687" s="1150">
        <f t="shared" si="301"/>
        <v>0</v>
      </c>
      <c r="V687" s="1150">
        <f t="shared" si="301"/>
        <v>0</v>
      </c>
      <c r="W687" s="1150">
        <f t="shared" si="301"/>
        <v>0</v>
      </c>
      <c r="X687" s="1150">
        <f t="shared" si="301"/>
        <v>0</v>
      </c>
      <c r="Y687" s="1150">
        <f t="shared" si="301"/>
        <v>0</v>
      </c>
      <c r="Z687" s="1150">
        <f t="shared" si="301"/>
        <v>0</v>
      </c>
      <c r="AA687" s="1150">
        <f t="shared" si="301"/>
        <v>928863</v>
      </c>
      <c r="AB687" s="34">
        <f t="shared" si="293"/>
        <v>0</v>
      </c>
      <c r="AC687" s="34">
        <f>SUM(P687:AA687)</f>
        <v>928863</v>
      </c>
    </row>
    <row r="688" spans="2:29" ht="15" customHeight="1">
      <c r="B688" s="1158" t="s">
        <v>189</v>
      </c>
      <c r="C688" s="1159" t="s">
        <v>71</v>
      </c>
      <c r="D688" s="1159" t="s">
        <v>566</v>
      </c>
      <c r="E688" s="1159" t="s">
        <v>329</v>
      </c>
      <c r="F688" s="1159"/>
      <c r="G688" s="1159"/>
      <c r="H688" s="1159"/>
      <c r="I688" s="1162" t="s">
        <v>254</v>
      </c>
      <c r="J688" s="1159" t="str">
        <f t="shared" si="292"/>
        <v>lending_Payday_payday_ZALOPAY_NII</v>
      </c>
      <c r="K688" s="1149"/>
      <c r="L688" s="1239" t="s">
        <v>218</v>
      </c>
      <c r="M688" s="1150">
        <f t="shared" ref="M688:AA688" si="302">M689-M692</f>
        <v>251018</v>
      </c>
      <c r="N688" s="1150">
        <f t="shared" si="302"/>
        <v>0</v>
      </c>
      <c r="O688" s="1150">
        <f t="shared" si="302"/>
        <v>0</v>
      </c>
      <c r="P688" s="1150">
        <f t="shared" si="302"/>
        <v>0</v>
      </c>
      <c r="Q688" s="1150">
        <f t="shared" si="302"/>
        <v>0</v>
      </c>
      <c r="R688" s="1150">
        <f t="shared" si="302"/>
        <v>0</v>
      </c>
      <c r="S688" s="1150">
        <f t="shared" si="302"/>
        <v>0</v>
      </c>
      <c r="T688" s="1150">
        <f t="shared" si="302"/>
        <v>0</v>
      </c>
      <c r="U688" s="1150">
        <f t="shared" si="302"/>
        <v>0</v>
      </c>
      <c r="V688" s="1150">
        <f t="shared" si="302"/>
        <v>0</v>
      </c>
      <c r="W688" s="1150">
        <f t="shared" si="302"/>
        <v>0</v>
      </c>
      <c r="X688" s="1150">
        <f t="shared" si="302"/>
        <v>0</v>
      </c>
      <c r="Y688" s="1150">
        <f t="shared" si="302"/>
        <v>0</v>
      </c>
      <c r="Z688" s="1150">
        <f t="shared" si="302"/>
        <v>0</v>
      </c>
      <c r="AA688" s="1150">
        <f t="shared" si="302"/>
        <v>251018</v>
      </c>
      <c r="AB688" s="34">
        <f t="shared" si="293"/>
        <v>0</v>
      </c>
    </row>
    <row r="689" spans="1:30" ht="15" customHeight="1">
      <c r="B689" s="1158" t="s">
        <v>189</v>
      </c>
      <c r="C689" s="1159" t="s">
        <v>71</v>
      </c>
      <c r="D689" s="1159" t="s">
        <v>566</v>
      </c>
      <c r="E689" s="1159" t="s">
        <v>329</v>
      </c>
      <c r="F689" s="1159"/>
      <c r="G689" s="1159"/>
      <c r="H689" s="1159"/>
      <c r="I689" s="1162" t="s">
        <v>255</v>
      </c>
      <c r="J689" s="1159" t="str">
        <f t="shared" si="292"/>
        <v>lending_Payday_payday_ZALOPAY_CII</v>
      </c>
      <c r="K689" s="1149"/>
      <c r="L689" s="1240" t="s">
        <v>20</v>
      </c>
      <c r="M689" s="1149">
        <f>SUM(P689:AA689)</f>
        <v>276937</v>
      </c>
      <c r="N689" s="1149">
        <f>N690+M691-N691</f>
        <v>0</v>
      </c>
      <c r="O689" s="1149">
        <f>O690+N691-O691</f>
        <v>0</v>
      </c>
      <c r="P689" s="1169"/>
      <c r="Q689" s="1169"/>
      <c r="R689" s="1149">
        <f t="shared" ref="R689:X689" si="303">R690-R691</f>
        <v>0</v>
      </c>
      <c r="S689" s="1149">
        <f t="shared" si="303"/>
        <v>0</v>
      </c>
      <c r="T689" s="1149">
        <f t="shared" si="303"/>
        <v>0</v>
      </c>
      <c r="U689" s="1149">
        <f t="shared" si="303"/>
        <v>0</v>
      </c>
      <c r="V689" s="1149">
        <f t="shared" si="303"/>
        <v>0</v>
      </c>
      <c r="W689" s="1149">
        <f t="shared" si="303"/>
        <v>0</v>
      </c>
      <c r="X689" s="1149">
        <f t="shared" si="303"/>
        <v>0</v>
      </c>
      <c r="Y689" s="1149">
        <f>Y690-Y691+X691</f>
        <v>0</v>
      </c>
      <c r="Z689" s="1149">
        <f>Z690-Z691+Y691</f>
        <v>0</v>
      </c>
      <c r="AA689" s="1149">
        <f>AA690-AA691+Z691</f>
        <v>276937</v>
      </c>
      <c r="AB689" s="34">
        <f t="shared" si="293"/>
        <v>0</v>
      </c>
    </row>
    <row r="690" spans="1:30" ht="15" customHeight="1">
      <c r="B690" s="1158" t="s">
        <v>189</v>
      </c>
      <c r="C690" s="1159" t="s">
        <v>71</v>
      </c>
      <c r="D690" s="1159" t="s">
        <v>566</v>
      </c>
      <c r="E690" s="1159" t="s">
        <v>329</v>
      </c>
      <c r="F690" s="1159"/>
      <c r="G690" s="1159"/>
      <c r="H690" s="1159"/>
      <c r="I690" s="1162"/>
      <c r="J690" s="1159" t="str">
        <f t="shared" si="292"/>
        <v>lending_Payday_payday_ZALOPAY_</v>
      </c>
      <c r="K690" s="1149"/>
      <c r="L690" s="1285" t="s">
        <v>539</v>
      </c>
      <c r="M690" s="1151">
        <f>SUM(P690:AA690)</f>
        <v>276937</v>
      </c>
      <c r="N690" s="1286"/>
      <c r="O690" s="1286"/>
      <c r="P690" s="1152"/>
      <c r="Q690" s="1152"/>
      <c r="R690" s="1152"/>
      <c r="S690" s="1152"/>
      <c r="T690" s="1152"/>
      <c r="U690" s="1242"/>
      <c r="V690" s="1149">
        <v>0</v>
      </c>
      <c r="W690" s="1149">
        <v>0</v>
      </c>
      <c r="X690" s="1149"/>
      <c r="Y690" s="1149"/>
      <c r="Z690" s="1149"/>
      <c r="AA690" s="1149">
        <v>276937</v>
      </c>
      <c r="AB690" s="34">
        <f t="shared" si="293"/>
        <v>0</v>
      </c>
    </row>
    <row r="691" spans="1:30" ht="15" customHeight="1">
      <c r="B691" s="1158" t="s">
        <v>189</v>
      </c>
      <c r="C691" s="1159" t="s">
        <v>71</v>
      </c>
      <c r="D691" s="1159" t="s">
        <v>566</v>
      </c>
      <c r="E691" s="1159" t="s">
        <v>329</v>
      </c>
      <c r="F691" s="1159"/>
      <c r="G691" s="1159"/>
      <c r="H691" s="1159"/>
      <c r="I691" s="1160"/>
      <c r="J691" s="1159" t="str">
        <f t="shared" si="292"/>
        <v>lending_Payday_payday_ZALOPAY_</v>
      </c>
      <c r="K691" s="1149"/>
      <c r="L691" s="1285" t="s">
        <v>187</v>
      </c>
      <c r="M691" s="1151"/>
      <c r="N691" s="1287"/>
      <c r="O691" s="1287"/>
      <c r="P691" s="1152"/>
      <c r="Q691" s="1152"/>
      <c r="R691" s="1152"/>
      <c r="S691" s="1152"/>
      <c r="T691" s="1152"/>
      <c r="U691" s="1152"/>
      <c r="V691" s="1149">
        <v>0</v>
      </c>
      <c r="W691" s="1149">
        <v>0</v>
      </c>
      <c r="X691" s="1287"/>
      <c r="Y691" s="1149"/>
      <c r="Z691" s="1149"/>
      <c r="AA691" s="1287"/>
      <c r="AB691" s="34">
        <f t="shared" si="293"/>
        <v>0</v>
      </c>
      <c r="AC691" s="34"/>
      <c r="AD691" s="34"/>
    </row>
    <row r="692" spans="1:30" ht="15" customHeight="1">
      <c r="B692" s="1158" t="s">
        <v>189</v>
      </c>
      <c r="C692" s="1159" t="s">
        <v>71</v>
      </c>
      <c r="D692" s="1159" t="s">
        <v>566</v>
      </c>
      <c r="E692" s="1159" t="s">
        <v>329</v>
      </c>
      <c r="F692" s="1159"/>
      <c r="G692" s="1159"/>
      <c r="H692" s="1159"/>
      <c r="I692" s="1162" t="s">
        <v>219</v>
      </c>
      <c r="J692" s="1159" t="str">
        <f t="shared" si="292"/>
        <v>lending_Payday_payday_ZALOPAY_COF</v>
      </c>
      <c r="K692" s="1149"/>
      <c r="L692" s="1240" t="s">
        <v>219</v>
      </c>
      <c r="M692" s="1149">
        <f>SUM(P692:AA692)</f>
        <v>25919</v>
      </c>
      <c r="N692" s="1254"/>
      <c r="O692" s="1254"/>
      <c r="P692" s="1169"/>
      <c r="Q692" s="1169"/>
      <c r="R692" s="1169"/>
      <c r="S692" s="1169"/>
      <c r="T692" s="1169"/>
      <c r="U692" s="1169"/>
      <c r="V692" s="1149">
        <v>0</v>
      </c>
      <c r="W692" s="1149">
        <v>0</v>
      </c>
      <c r="X692" s="1149"/>
      <c r="Y692" s="1248"/>
      <c r="Z692" s="1254"/>
      <c r="AA692" s="1254">
        <v>25919</v>
      </c>
      <c r="AB692" s="34">
        <f t="shared" si="293"/>
        <v>0</v>
      </c>
    </row>
    <row r="693" spans="1:30" ht="15" customHeight="1">
      <c r="B693" s="1158" t="s">
        <v>189</v>
      </c>
      <c r="C693" s="1159" t="s">
        <v>71</v>
      </c>
      <c r="D693" s="1159" t="s">
        <v>566</v>
      </c>
      <c r="E693" s="1159" t="s">
        <v>329</v>
      </c>
      <c r="F693" s="1159"/>
      <c r="G693" s="1159"/>
      <c r="H693" s="1159"/>
      <c r="I693" s="1162" t="s">
        <v>260</v>
      </c>
      <c r="J693" s="1159" t="str">
        <f t="shared" si="292"/>
        <v>lending_Payday_payday_ZALOPAY_NFI</v>
      </c>
      <c r="K693" s="1149"/>
      <c r="L693" s="1239" t="s">
        <v>220</v>
      </c>
      <c r="M693" s="1150">
        <f t="shared" ref="M693:AA693" si="304">SUM(M694:M696)</f>
        <v>677845</v>
      </c>
      <c r="N693" s="1150">
        <f t="shared" si="304"/>
        <v>0</v>
      </c>
      <c r="O693" s="1150">
        <f t="shared" si="304"/>
        <v>0</v>
      </c>
      <c r="P693" s="1150">
        <f t="shared" si="304"/>
        <v>0</v>
      </c>
      <c r="Q693" s="1150">
        <f t="shared" si="304"/>
        <v>0</v>
      </c>
      <c r="R693" s="1150">
        <f t="shared" si="304"/>
        <v>0</v>
      </c>
      <c r="S693" s="1150">
        <f t="shared" si="304"/>
        <v>0</v>
      </c>
      <c r="T693" s="1150">
        <f t="shared" si="304"/>
        <v>0</v>
      </c>
      <c r="U693" s="1150">
        <f t="shared" si="304"/>
        <v>0</v>
      </c>
      <c r="V693" s="1150">
        <f t="shared" si="304"/>
        <v>0</v>
      </c>
      <c r="W693" s="1150">
        <f t="shared" si="304"/>
        <v>0</v>
      </c>
      <c r="X693" s="1150">
        <f t="shared" si="304"/>
        <v>0</v>
      </c>
      <c r="Y693" s="1150">
        <f t="shared" si="304"/>
        <v>0</v>
      </c>
      <c r="Z693" s="1150">
        <f t="shared" si="304"/>
        <v>0</v>
      </c>
      <c r="AA693" s="1150">
        <f t="shared" si="304"/>
        <v>677845</v>
      </c>
      <c r="AB693" s="34">
        <f t="shared" si="293"/>
        <v>0</v>
      </c>
    </row>
    <row r="694" spans="1:30" ht="15" customHeight="1">
      <c r="B694" s="1158" t="s">
        <v>189</v>
      </c>
      <c r="C694" s="1159" t="s">
        <v>71</v>
      </c>
      <c r="D694" s="1159" t="s">
        <v>566</v>
      </c>
      <c r="E694" s="1159" t="s">
        <v>329</v>
      </c>
      <c r="F694" s="1159"/>
      <c r="G694" s="1159"/>
      <c r="H694" s="1159"/>
      <c r="I694" s="1162" t="s">
        <v>546</v>
      </c>
      <c r="J694" s="1159" t="str">
        <f t="shared" si="292"/>
        <v>lending_Payday_payday_ZALOPAY_insurance_fee</v>
      </c>
      <c r="K694" s="1149"/>
      <c r="L694" s="1240" t="s">
        <v>540</v>
      </c>
      <c r="M694" s="1149">
        <f>SUM(P694:AA694)</f>
        <v>677845</v>
      </c>
      <c r="N694" s="1248"/>
      <c r="O694" s="1248"/>
      <c r="P694" s="1248"/>
      <c r="Q694" s="1248"/>
      <c r="R694" s="1248"/>
      <c r="S694" s="1248"/>
      <c r="T694" s="1248"/>
      <c r="U694" s="1248"/>
      <c r="V694" s="1290">
        <v>0</v>
      </c>
      <c r="W694" s="1248">
        <v>0</v>
      </c>
      <c r="X694" s="1290"/>
      <c r="Y694" s="1290"/>
      <c r="Z694" s="1248"/>
      <c r="AA694" s="1248">
        <v>677845</v>
      </c>
      <c r="AB694" s="34">
        <f t="shared" si="293"/>
        <v>0</v>
      </c>
    </row>
    <row r="695" spans="1:30" ht="15" customHeight="1">
      <c r="B695" s="1158" t="s">
        <v>189</v>
      </c>
      <c r="C695" s="1159" t="s">
        <v>71</v>
      </c>
      <c r="D695" s="1159" t="s">
        <v>566</v>
      </c>
      <c r="E695" s="1159" t="s">
        <v>329</v>
      </c>
      <c r="F695" s="1159"/>
      <c r="G695" s="1159"/>
      <c r="H695" s="1159"/>
      <c r="I695" s="1162" t="s">
        <v>547</v>
      </c>
      <c r="J695" s="1159" t="str">
        <f t="shared" si="292"/>
        <v>lending_Payday_payday_ZALOPAY_early_terminate_fee</v>
      </c>
      <c r="K695" s="1149"/>
      <c r="L695" s="1240" t="s">
        <v>541</v>
      </c>
      <c r="M695" s="1149">
        <f>SUM(P695:AA695)</f>
        <v>0</v>
      </c>
      <c r="N695" s="1151"/>
      <c r="O695" s="1248"/>
      <c r="P695" s="1243"/>
      <c r="Q695" s="1243"/>
      <c r="R695" s="1243"/>
      <c r="S695" s="1243"/>
      <c r="T695" s="1243"/>
      <c r="U695" s="1151"/>
      <c r="V695" s="1261"/>
      <c r="W695" s="1151"/>
      <c r="X695" s="1151"/>
      <c r="Y695" s="1151"/>
      <c r="Z695" s="1151"/>
      <c r="AA695" s="1248"/>
      <c r="AB695" s="34">
        <f t="shared" si="293"/>
        <v>0</v>
      </c>
    </row>
    <row r="696" spans="1:30" ht="15" customHeight="1">
      <c r="B696" s="1158" t="s">
        <v>189</v>
      </c>
      <c r="C696" s="1159" t="s">
        <v>71</v>
      </c>
      <c r="D696" s="1159" t="s">
        <v>566</v>
      </c>
      <c r="E696" s="1159" t="s">
        <v>329</v>
      </c>
      <c r="F696" s="1159"/>
      <c r="G696" s="1159"/>
      <c r="H696" s="1159"/>
      <c r="I696" s="1162" t="s">
        <v>548</v>
      </c>
      <c r="J696" s="1159" t="str">
        <f t="shared" si="292"/>
        <v>lending_Payday_payday_ZALOPAY_loan_grant_fee</v>
      </c>
      <c r="K696" s="1149"/>
      <c r="L696" s="1240" t="s">
        <v>542</v>
      </c>
      <c r="M696" s="1149">
        <f>SUM(P696:AA696)</f>
        <v>0</v>
      </c>
      <c r="N696" s="1151"/>
      <c r="O696" s="1151"/>
      <c r="P696" s="1243"/>
      <c r="Q696" s="1243"/>
      <c r="R696" s="1243"/>
      <c r="S696" s="1243"/>
      <c r="T696" s="1243"/>
      <c r="U696" s="1151"/>
      <c r="V696" s="1261"/>
      <c r="W696" s="1151"/>
      <c r="X696" s="1151"/>
      <c r="Y696" s="1151"/>
      <c r="Z696" s="1151"/>
      <c r="AA696" s="1151"/>
      <c r="AB696" s="34">
        <f t="shared" si="293"/>
        <v>0</v>
      </c>
    </row>
    <row r="697" spans="1:30" ht="15" customHeight="1">
      <c r="A697" s="4"/>
      <c r="B697" s="1158" t="s">
        <v>189</v>
      </c>
      <c r="C697" s="1163" t="s">
        <v>71</v>
      </c>
      <c r="D697" s="1159" t="s">
        <v>566</v>
      </c>
      <c r="E697" s="1159" t="s">
        <v>329</v>
      </c>
      <c r="F697" s="1159"/>
      <c r="G697" s="1159"/>
      <c r="H697" s="1159"/>
      <c r="I697" s="1162" t="s">
        <v>269</v>
      </c>
      <c r="J697" s="1163" t="str">
        <f t="shared" si="292"/>
        <v>lending_Payday_payday_ZALOPAY_other_TOI</v>
      </c>
      <c r="K697" s="1149"/>
      <c r="L697" s="1239" t="s">
        <v>89</v>
      </c>
      <c r="M697" s="1150">
        <f>SUM(P697:AA697)</f>
        <v>0</v>
      </c>
      <c r="N697" s="1154"/>
      <c r="O697" s="1154"/>
      <c r="P697" s="1270"/>
      <c r="Q697" s="1270"/>
      <c r="R697" s="1270"/>
      <c r="S697" s="1270"/>
      <c r="T697" s="1270"/>
      <c r="U697" s="1154"/>
      <c r="V697" s="1271"/>
      <c r="W697" s="1154"/>
      <c r="X697" s="1154"/>
      <c r="Y697" s="1154"/>
      <c r="Z697" s="1154"/>
      <c r="AA697" s="1154"/>
      <c r="AB697" s="34">
        <f t="shared" si="293"/>
        <v>0</v>
      </c>
    </row>
    <row r="698" spans="1:30" ht="15" customHeight="1">
      <c r="B698" s="1158" t="s">
        <v>189</v>
      </c>
      <c r="C698" s="1159" t="s">
        <v>71</v>
      </c>
      <c r="D698" s="1159" t="s">
        <v>566</v>
      </c>
      <c r="E698" s="1159" t="s">
        <v>329</v>
      </c>
      <c r="F698" s="1159"/>
      <c r="G698" s="1159"/>
      <c r="H698" s="1159"/>
      <c r="I698" s="1162" t="s">
        <v>270</v>
      </c>
      <c r="J698" s="1159" t="str">
        <f t="shared" si="292"/>
        <v>lending_Payday_payday_ZALOPAY_provision</v>
      </c>
      <c r="K698" s="1149"/>
      <c r="L698" s="1245" t="s">
        <v>136</v>
      </c>
      <c r="M698" s="1150">
        <f>SUM(P698:AA698)</f>
        <v>80995</v>
      </c>
      <c r="N698" s="1262"/>
      <c r="O698" s="1262"/>
      <c r="P698" s="1262"/>
      <c r="Q698" s="1262"/>
      <c r="R698" s="1262"/>
      <c r="S698" s="1245"/>
      <c r="T698" s="1288"/>
      <c r="U698" s="1288"/>
      <c r="V698" s="1297">
        <v>0</v>
      </c>
      <c r="W698" s="1262">
        <v>0</v>
      </c>
      <c r="X698" s="1262"/>
      <c r="Y698" s="1362"/>
      <c r="Z698" s="1262"/>
      <c r="AA698" s="1262">
        <v>80995</v>
      </c>
      <c r="AB698" s="34">
        <f t="shared" si="293"/>
        <v>0</v>
      </c>
    </row>
    <row r="699" spans="1:30" ht="15" customHeight="1">
      <c r="B699" s="1158" t="s">
        <v>189</v>
      </c>
      <c r="C699" s="1159" t="s">
        <v>71</v>
      </c>
      <c r="D699" s="1159" t="s">
        <v>566</v>
      </c>
      <c r="E699" s="1159" t="s">
        <v>329</v>
      </c>
      <c r="F699" s="1159"/>
      <c r="G699" s="1159"/>
      <c r="H699" s="1159"/>
      <c r="I699" s="1162" t="s">
        <v>271</v>
      </c>
      <c r="J699" s="1159" t="str">
        <f t="shared" si="292"/>
        <v>lending_Payday_payday_ZALOPAY_variable_cost</v>
      </c>
      <c r="K699" s="1149"/>
      <c r="L699" s="1245" t="s">
        <v>229</v>
      </c>
      <c r="M699" s="1150">
        <f t="shared" ref="M699:AA699" si="305">SUM(M700:M707)</f>
        <v>27472.115757702679</v>
      </c>
      <c r="N699" s="1150">
        <f t="shared" si="305"/>
        <v>0</v>
      </c>
      <c r="O699" s="1150">
        <f t="shared" si="305"/>
        <v>0</v>
      </c>
      <c r="P699" s="1150">
        <f t="shared" si="305"/>
        <v>0</v>
      </c>
      <c r="Q699" s="1150">
        <f t="shared" si="305"/>
        <v>0</v>
      </c>
      <c r="R699" s="1150">
        <f t="shared" si="305"/>
        <v>0</v>
      </c>
      <c r="S699" s="1150">
        <f t="shared" si="305"/>
        <v>0</v>
      </c>
      <c r="T699" s="1150">
        <f t="shared" si="305"/>
        <v>0</v>
      </c>
      <c r="U699" s="1150">
        <f t="shared" si="305"/>
        <v>0</v>
      </c>
      <c r="V699" s="1150">
        <f t="shared" si="305"/>
        <v>0</v>
      </c>
      <c r="W699" s="1150">
        <f t="shared" si="305"/>
        <v>0</v>
      </c>
      <c r="X699" s="1150">
        <f t="shared" si="305"/>
        <v>0</v>
      </c>
      <c r="Y699" s="1150">
        <f t="shared" si="305"/>
        <v>0</v>
      </c>
      <c r="Z699" s="1150">
        <f t="shared" si="305"/>
        <v>0</v>
      </c>
      <c r="AA699" s="1150">
        <f t="shared" si="305"/>
        <v>27472.115757702679</v>
      </c>
      <c r="AB699" s="34">
        <f t="shared" si="293"/>
        <v>0</v>
      </c>
    </row>
    <row r="700" spans="1:30" ht="15" customHeight="1">
      <c r="B700" s="1158" t="s">
        <v>189</v>
      </c>
      <c r="C700" s="1159" t="s">
        <v>71</v>
      </c>
      <c r="D700" s="1159" t="s">
        <v>566</v>
      </c>
      <c r="E700" s="1159" t="s">
        <v>329</v>
      </c>
      <c r="F700" s="1159"/>
      <c r="G700" s="1159"/>
      <c r="H700" s="1159"/>
      <c r="I700" s="1162" t="s">
        <v>272</v>
      </c>
      <c r="J700" s="1159" t="str">
        <f t="shared" si="292"/>
        <v>lending_Payday_payday_ZALOPAY_marketing_acquisition_cost</v>
      </c>
      <c r="K700" s="1149"/>
      <c r="L700" s="1246" t="s">
        <v>230</v>
      </c>
      <c r="M700" s="1149">
        <f t="shared" ref="M700:M705" si="306">SUM(P700:AA700)</f>
        <v>0</v>
      </c>
      <c r="N700" s="1147"/>
      <c r="O700" s="1147"/>
      <c r="P700" s="1169"/>
      <c r="Q700" s="1169"/>
      <c r="R700" s="1169"/>
      <c r="S700" s="1147"/>
      <c r="T700" s="1169"/>
      <c r="U700" s="1147"/>
      <c r="V700" s="1290">
        <v>0</v>
      </c>
      <c r="W700" s="1149">
        <v>0</v>
      </c>
      <c r="X700" s="1149"/>
      <c r="Y700" s="1147"/>
      <c r="Z700" s="1147"/>
      <c r="AA700" s="1147"/>
      <c r="AB700" s="34">
        <f t="shared" si="293"/>
        <v>0</v>
      </c>
    </row>
    <row r="701" spans="1:30" ht="15" customHeight="1">
      <c r="B701" s="1158" t="s">
        <v>189</v>
      </c>
      <c r="C701" s="1159" t="s">
        <v>71</v>
      </c>
      <c r="D701" s="1159" t="s">
        <v>566</v>
      </c>
      <c r="E701" s="1159" t="s">
        <v>329</v>
      </c>
      <c r="F701" s="1159"/>
      <c r="G701" s="1159"/>
      <c r="H701" s="1159"/>
      <c r="I701" s="1162" t="s">
        <v>273</v>
      </c>
      <c r="J701" s="1159" t="str">
        <f t="shared" si="292"/>
        <v>lending_Payday_payday_ZALOPAY_partner_acquisition_cost</v>
      </c>
      <c r="K701" s="1149"/>
      <c r="L701" s="1246" t="s">
        <v>231</v>
      </c>
      <c r="M701" s="1149">
        <f t="shared" si="306"/>
        <v>0</v>
      </c>
      <c r="N701" s="1253"/>
      <c r="O701" s="1169"/>
      <c r="P701" s="1169"/>
      <c r="Q701" s="1169"/>
      <c r="R701" s="1169"/>
      <c r="S701" s="1169"/>
      <c r="T701" s="1169"/>
      <c r="U701" s="1245"/>
      <c r="V701" s="1245"/>
      <c r="W701" s="1245"/>
      <c r="X701" s="1290"/>
      <c r="Y701" s="1290"/>
      <c r="Z701" s="1290"/>
      <c r="AA701" s="1245"/>
      <c r="AB701" s="34">
        <f t="shared" si="293"/>
        <v>0</v>
      </c>
    </row>
    <row r="702" spans="1:30" ht="15" customHeight="1">
      <c r="B702" s="1158" t="s">
        <v>189</v>
      </c>
      <c r="C702" s="1159" t="s">
        <v>71</v>
      </c>
      <c r="D702" s="1159" t="s">
        <v>566</v>
      </c>
      <c r="E702" s="1159" t="s">
        <v>329</v>
      </c>
      <c r="F702" s="1159"/>
      <c r="G702" s="1159"/>
      <c r="H702" s="1159"/>
      <c r="I702" s="1162" t="s">
        <v>274</v>
      </c>
      <c r="J702" s="1159" t="str">
        <f t="shared" si="292"/>
        <v>lending_Payday_payday_ZALOPAY_underwritting</v>
      </c>
      <c r="K702" s="1149"/>
      <c r="L702" s="1246" t="s">
        <v>232</v>
      </c>
      <c r="M702" s="1149">
        <f t="shared" si="306"/>
        <v>20746.50889234537</v>
      </c>
      <c r="N702" s="1149"/>
      <c r="O702" s="1149"/>
      <c r="P702" s="1169">
        <v>0</v>
      </c>
      <c r="Q702" s="1169">
        <v>0</v>
      </c>
      <c r="R702" s="1169">
        <v>0</v>
      </c>
      <c r="S702" s="1169">
        <v>0</v>
      </c>
      <c r="T702" s="1169">
        <v>0</v>
      </c>
      <c r="U702" s="1149">
        <v>0</v>
      </c>
      <c r="V702" s="1149">
        <v>0</v>
      </c>
      <c r="W702" s="1149">
        <v>0</v>
      </c>
      <c r="X702" s="1149"/>
      <c r="Y702" s="1149"/>
      <c r="Z702" s="1149"/>
      <c r="AA702" s="1149">
        <v>20746.50889234537</v>
      </c>
      <c r="AB702" s="34">
        <f t="shared" si="293"/>
        <v>0</v>
      </c>
    </row>
    <row r="703" spans="1:30" ht="15" customHeight="1">
      <c r="B703" s="1158" t="s">
        <v>189</v>
      </c>
      <c r="C703" s="1159" t="s">
        <v>71</v>
      </c>
      <c r="D703" s="1159" t="s">
        <v>566</v>
      </c>
      <c r="E703" s="1159" t="s">
        <v>329</v>
      </c>
      <c r="F703" s="1159"/>
      <c r="G703" s="1159"/>
      <c r="H703" s="1159"/>
      <c r="I703" s="1162" t="s">
        <v>275</v>
      </c>
      <c r="J703" s="1159" t="str">
        <f t="shared" si="292"/>
        <v>lending_Payday_payday_ZALOPAY_e_contract</v>
      </c>
      <c r="K703" s="1149"/>
      <c r="L703" s="1246" t="s">
        <v>233</v>
      </c>
      <c r="M703" s="1149">
        <f t="shared" si="306"/>
        <v>1929</v>
      </c>
      <c r="N703" s="1149"/>
      <c r="O703" s="1149"/>
      <c r="P703" s="1169"/>
      <c r="Q703" s="1169"/>
      <c r="R703" s="1169"/>
      <c r="S703" s="1169"/>
      <c r="T703" s="1169"/>
      <c r="U703" s="1247"/>
      <c r="V703" s="1149">
        <v>0</v>
      </c>
      <c r="W703" s="1149">
        <v>0</v>
      </c>
      <c r="X703" s="1149"/>
      <c r="Y703" s="1149"/>
      <c r="Z703" s="1149"/>
      <c r="AA703" s="1149">
        <v>1929</v>
      </c>
      <c r="AB703" s="34">
        <f t="shared" si="293"/>
        <v>0</v>
      </c>
    </row>
    <row r="704" spans="1:30" ht="15" customHeight="1">
      <c r="B704" s="1158" t="s">
        <v>189</v>
      </c>
      <c r="C704" s="1159" t="s">
        <v>71</v>
      </c>
      <c r="D704" s="1159" t="s">
        <v>566</v>
      </c>
      <c r="E704" s="1159" t="s">
        <v>329</v>
      </c>
      <c r="F704" s="1159"/>
      <c r="G704" s="1159"/>
      <c r="H704" s="1159"/>
      <c r="I704" s="1162" t="s">
        <v>276</v>
      </c>
      <c r="J704" s="1159" t="str">
        <f t="shared" si="292"/>
        <v>lending_Payday_payday_ZALOPAY_nfc</v>
      </c>
      <c r="K704" s="1149"/>
      <c r="L704" s="1246" t="s">
        <v>152</v>
      </c>
      <c r="M704" s="1149">
        <f t="shared" si="306"/>
        <v>938.60686535730804</v>
      </c>
      <c r="N704" s="1149"/>
      <c r="O704" s="1149"/>
      <c r="P704" s="1169"/>
      <c r="Q704" s="1169"/>
      <c r="R704" s="1169"/>
      <c r="S704" s="1169"/>
      <c r="T704" s="1169"/>
      <c r="U704" s="1169"/>
      <c r="V704" s="1169">
        <v>0</v>
      </c>
      <c r="W704" s="1149">
        <v>0</v>
      </c>
      <c r="X704" s="1149"/>
      <c r="Y704" s="1149"/>
      <c r="Z704" s="1149"/>
      <c r="AA704" s="1149">
        <v>938.60686535730804</v>
      </c>
      <c r="AB704" s="34">
        <f t="shared" si="293"/>
        <v>0</v>
      </c>
    </row>
    <row r="705" spans="2:29" ht="15" customHeight="1">
      <c r="B705" s="1158" t="s">
        <v>189</v>
      </c>
      <c r="C705" s="1159" t="s">
        <v>71</v>
      </c>
      <c r="D705" s="1159" t="s">
        <v>566</v>
      </c>
      <c r="E705" s="1159" t="s">
        <v>329</v>
      </c>
      <c r="F705" s="1159"/>
      <c r="G705" s="1159"/>
      <c r="H705" s="1159"/>
      <c r="I705" s="1162" t="s">
        <v>277</v>
      </c>
      <c r="J705" s="1159" t="str">
        <f t="shared" si="292"/>
        <v>lending_Payday_payday_ZALOPAY_collection</v>
      </c>
      <c r="K705" s="1149"/>
      <c r="L705" s="1246" t="s">
        <v>234</v>
      </c>
      <c r="M705" s="1149">
        <f t="shared" si="306"/>
        <v>0</v>
      </c>
      <c r="N705" s="1149"/>
      <c r="O705" s="1149"/>
      <c r="P705" s="1169"/>
      <c r="Q705" s="1169"/>
      <c r="R705" s="1169"/>
      <c r="S705" s="1169"/>
      <c r="T705" s="1169"/>
      <c r="U705" s="1149"/>
      <c r="V705" s="1169"/>
      <c r="W705" s="1149">
        <v>0</v>
      </c>
      <c r="X705" s="1149"/>
      <c r="Y705" s="1149"/>
      <c r="Z705" s="1149"/>
      <c r="AA705" s="1149"/>
      <c r="AB705" s="34">
        <f t="shared" si="293"/>
        <v>0</v>
      </c>
    </row>
    <row r="706" spans="2:29" ht="15" customHeight="1">
      <c r="B706" s="1158" t="s">
        <v>189</v>
      </c>
      <c r="C706" s="1159" t="s">
        <v>71</v>
      </c>
      <c r="D706" s="1159" t="s">
        <v>566</v>
      </c>
      <c r="E706" s="1159" t="s">
        <v>329</v>
      </c>
      <c r="F706" s="1159"/>
      <c r="G706" s="1159"/>
      <c r="H706" s="1159"/>
      <c r="I706" s="1162" t="s">
        <v>278</v>
      </c>
      <c r="J706" s="1159" t="str">
        <f t="shared" si="292"/>
        <v>lending_Payday_payday_ZALOPAY_promotion</v>
      </c>
      <c r="K706" s="1149"/>
      <c r="L706" s="1246" t="s">
        <v>235</v>
      </c>
      <c r="M706" s="1149"/>
      <c r="N706" s="1149"/>
      <c r="O706" s="1149"/>
      <c r="P706" s="1169"/>
      <c r="Q706" s="1169"/>
      <c r="R706" s="1169"/>
      <c r="S706" s="1169"/>
      <c r="T706" s="1169"/>
      <c r="U706" s="1149"/>
      <c r="V706" s="1169"/>
      <c r="W706" s="1149"/>
      <c r="X706" s="1149"/>
      <c r="Y706" s="1149"/>
      <c r="Z706" s="1149"/>
      <c r="AA706" s="1149"/>
      <c r="AB706" s="34">
        <f t="shared" si="293"/>
        <v>0</v>
      </c>
    </row>
    <row r="707" spans="2:29" ht="15" customHeight="1">
      <c r="B707" s="1158" t="s">
        <v>189</v>
      </c>
      <c r="C707" s="1159" t="s">
        <v>71</v>
      </c>
      <c r="D707" s="1159" t="s">
        <v>566</v>
      </c>
      <c r="E707" s="1159" t="s">
        <v>329</v>
      </c>
      <c r="F707" s="1159"/>
      <c r="G707" s="1159"/>
      <c r="H707" s="1159"/>
      <c r="I707" s="1162" t="s">
        <v>279</v>
      </c>
      <c r="J707" s="1159" t="str">
        <f t="shared" si="292"/>
        <v>lending_Payday_payday_ZALOPAY_sms</v>
      </c>
      <c r="K707" s="1149"/>
      <c r="L707" s="1249" t="s">
        <v>163</v>
      </c>
      <c r="M707" s="1149">
        <f>SUM(P707:AA707)</f>
        <v>3858</v>
      </c>
      <c r="N707" s="1247"/>
      <c r="O707" s="1247"/>
      <c r="P707" s="1247"/>
      <c r="Q707" s="1247"/>
      <c r="R707" s="1247"/>
      <c r="S707" s="1247"/>
      <c r="T707" s="1247"/>
      <c r="U707" s="1247"/>
      <c r="V707" s="1247"/>
      <c r="W707" s="1247">
        <v>0</v>
      </c>
      <c r="X707" s="1247"/>
      <c r="Y707" s="1247"/>
      <c r="Z707" s="1247"/>
      <c r="AA707" s="1247">
        <v>3858</v>
      </c>
      <c r="AB707" s="34">
        <f t="shared" si="293"/>
        <v>0</v>
      </c>
    </row>
    <row r="708" spans="2:29" ht="15" customHeight="1">
      <c r="B708" s="1158" t="s">
        <v>189</v>
      </c>
      <c r="C708" s="1170" t="s">
        <v>71</v>
      </c>
      <c r="D708" s="1159" t="s">
        <v>566</v>
      </c>
      <c r="E708" s="1159" t="s">
        <v>329</v>
      </c>
      <c r="F708" s="1159" t="str">
        <f>E708&amp;"PD"</f>
        <v>ZALOPAYPD</v>
      </c>
      <c r="G708" s="1159" t="str">
        <f>L708&amp;F708</f>
        <v>Profit before allocation costZALOPAYPD</v>
      </c>
      <c r="H708" s="1408" t="str">
        <f>L708&amp;E708</f>
        <v>Profit before allocation costZALOPAY</v>
      </c>
      <c r="I708" s="1171" t="s">
        <v>280</v>
      </c>
      <c r="J708" s="1170" t="str">
        <f t="shared" si="292"/>
        <v>lending_Payday_payday_ZALOPAY_profit_before_overhead</v>
      </c>
      <c r="K708" s="1149"/>
      <c r="L708" s="1358" t="s">
        <v>236</v>
      </c>
      <c r="M708" s="1358">
        <f t="shared" ref="M708:AA708" si="307">M687-M698-M699</f>
        <v>820395.88424229727</v>
      </c>
      <c r="N708" s="1358">
        <f t="shared" si="307"/>
        <v>0</v>
      </c>
      <c r="O708" s="1358">
        <f t="shared" si="307"/>
        <v>0</v>
      </c>
      <c r="P708" s="1358">
        <f t="shared" si="307"/>
        <v>0</v>
      </c>
      <c r="Q708" s="1358">
        <f t="shared" si="307"/>
        <v>0</v>
      </c>
      <c r="R708" s="1358">
        <f t="shared" si="307"/>
        <v>0</v>
      </c>
      <c r="S708" s="1358">
        <f t="shared" si="307"/>
        <v>0</v>
      </c>
      <c r="T708" s="1358">
        <f t="shared" si="307"/>
        <v>0</v>
      </c>
      <c r="U708" s="1358">
        <f t="shared" si="307"/>
        <v>0</v>
      </c>
      <c r="V708" s="1358">
        <f t="shared" si="307"/>
        <v>0</v>
      </c>
      <c r="W708" s="1358">
        <f t="shared" si="307"/>
        <v>0</v>
      </c>
      <c r="X708" s="1358">
        <f t="shared" si="307"/>
        <v>0</v>
      </c>
      <c r="Y708" s="1358">
        <f t="shared" si="307"/>
        <v>0</v>
      </c>
      <c r="Z708" s="1358">
        <f t="shared" si="307"/>
        <v>0</v>
      </c>
      <c r="AA708" s="1358">
        <f t="shared" si="307"/>
        <v>820395.88424229727</v>
      </c>
      <c r="AB708" s="34">
        <f t="shared" si="293"/>
        <v>0</v>
      </c>
      <c r="AC708" s="34">
        <f>SUM(P708:AA708)</f>
        <v>820395.88424229727</v>
      </c>
    </row>
    <row r="709" spans="2:29" ht="15" customHeight="1">
      <c r="X709" s="34"/>
      <c r="Y709" s="34"/>
      <c r="Z709" s="34"/>
    </row>
    <row r="710" spans="2:29" ht="15" customHeight="1">
      <c r="O710" s="5" t="e">
        <f>AVERAGE(O1:P1)</f>
        <v>#DIV/0!</v>
      </c>
      <c r="X710" s="34"/>
      <c r="Y710" s="34"/>
      <c r="Z710" s="34"/>
    </row>
    <row r="711" spans="2:29" ht="15" customHeight="1">
      <c r="Y711" s="526"/>
      <c r="Z711" s="526"/>
    </row>
    <row r="712" spans="2:29" ht="15" customHeight="1">
      <c r="Y712" s="80"/>
      <c r="Z712" s="80"/>
    </row>
    <row r="713" spans="2:29" ht="15" customHeight="1">
      <c r="Z713" s="34"/>
    </row>
    <row r="714" spans="2:29" ht="15" customHeight="1">
      <c r="Z714" s="34"/>
    </row>
    <row r="715" spans="2:29" ht="15" customHeight="1">
      <c r="Z715" s="34"/>
    </row>
    <row r="716" spans="2:29" ht="15" customHeight="1">
      <c r="Z716" s="34"/>
    </row>
  </sheetData>
  <autoFilter ref="A2:AK708" xr:uid="{E6758310-DABE-41C6-9706-B993F23809A9}"/>
  <phoneticPr fontId="181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4E32-F087-4852-98A1-8763AC1E8A99}">
  <dimension ref="A1:BG536"/>
  <sheetViews>
    <sheetView topLeftCell="A216" zoomScale="70" zoomScaleNormal="70" workbookViewId="0">
      <selection activeCell="T225" sqref="T225"/>
    </sheetView>
  </sheetViews>
  <sheetFormatPr baseColWidth="10" defaultColWidth="8.6640625" defaultRowHeight="15" customHeight="1"/>
  <cols>
    <col min="1" max="1" width="5.5" style="348" customWidth="1"/>
    <col min="2" max="2" width="29.5" style="348" customWidth="1"/>
    <col min="3" max="3" width="13.5" style="348" hidden="1" customWidth="1"/>
    <col min="4" max="7" width="12.33203125" style="348" hidden="1" customWidth="1"/>
    <col min="8" max="10" width="13" style="348" hidden="1" customWidth="1"/>
    <col min="11" max="11" width="12.33203125" style="348" hidden="1" customWidth="1"/>
    <col min="12" max="12" width="11.5" style="348" hidden="1" customWidth="1"/>
    <col min="13" max="13" width="10.6640625" style="348" hidden="1" customWidth="1"/>
    <col min="14" max="15" width="10.1640625" style="348" customWidth="1"/>
    <col min="16" max="16" width="11" style="348" customWidth="1"/>
    <col min="17" max="17" width="11.1640625" style="348" customWidth="1"/>
    <col min="18" max="20" width="10.5" style="348" customWidth="1"/>
    <col min="21" max="21" width="10.5" style="348" hidden="1" customWidth="1"/>
    <col min="22" max="22" width="10.5" style="348" customWidth="1"/>
    <col min="23" max="23" width="11.1640625" style="348" customWidth="1"/>
    <col min="24" max="24" width="9.5" style="348" customWidth="1"/>
    <col min="25" max="25" width="0.83203125" style="348" hidden="1" customWidth="1"/>
    <col min="26" max="26" width="7.1640625" style="348" customWidth="1"/>
    <col min="27" max="27" width="10.5" style="348" bestFit="1" customWidth="1"/>
    <col min="28" max="28" width="7.33203125" style="348" bestFit="1" customWidth="1"/>
    <col min="29" max="29" width="8.6640625" style="348" bestFit="1"/>
    <col min="30" max="30" width="26.5" style="348" customWidth="1"/>
    <col min="31" max="32" width="11.1640625" style="348" hidden="1" customWidth="1"/>
    <col min="33" max="34" width="9.5" style="348" hidden="1" customWidth="1"/>
    <col min="35" max="35" width="9.1640625" style="348" hidden="1" customWidth="1"/>
    <col min="36" max="36" width="9.1640625" style="348" customWidth="1"/>
    <col min="37" max="37" width="9.5" style="348" bestFit="1" customWidth="1"/>
    <col min="38" max="38" width="8.5" style="348" bestFit="1" customWidth="1"/>
    <col min="39" max="40" width="9.1640625" style="348" bestFit="1" customWidth="1"/>
    <col min="41" max="41" width="9.5" style="348" bestFit="1" customWidth="1"/>
    <col min="42" max="42" width="9.33203125" style="348" bestFit="1" customWidth="1"/>
    <col min="43" max="43" width="9.1640625" style="348" bestFit="1" customWidth="1"/>
    <col min="44" max="44" width="9" style="348" bestFit="1" customWidth="1"/>
    <col min="45" max="46" width="8.6640625" style="348" bestFit="1"/>
    <col min="47" max="47" width="11" style="348" bestFit="1" customWidth="1"/>
    <col min="48" max="48" width="7.33203125" style="348" bestFit="1" customWidth="1"/>
    <col min="49" max="49" width="10.1640625" style="348" bestFit="1" customWidth="1"/>
    <col min="50" max="50" width="11" style="348" bestFit="1" customWidth="1"/>
    <col min="51" max="51" width="11" style="348" customWidth="1"/>
    <col min="52" max="52" width="10.1640625" style="348" bestFit="1" customWidth="1"/>
    <col min="53" max="53" width="9.5" style="348" bestFit="1" customWidth="1"/>
    <col min="54" max="54" width="8.6640625" style="348" bestFit="1"/>
    <col min="55" max="16384" width="8.6640625" style="348"/>
  </cols>
  <sheetData>
    <row r="1" spans="2:26" customFormat="1" ht="18.75" customHeight="1">
      <c r="B1" s="347" t="s">
        <v>572</v>
      </c>
      <c r="C1" s="347"/>
      <c r="D1" s="347"/>
    </row>
    <row r="2" spans="2:26" customFormat="1" ht="29.25" customHeight="1">
      <c r="B2" s="346" t="s">
        <v>573</v>
      </c>
      <c r="C2" s="346"/>
      <c r="D2" s="346"/>
    </row>
    <row r="4" spans="2:26" s="404" customFormat="1" ht="31">
      <c r="B4" s="360" t="s">
        <v>574</v>
      </c>
      <c r="C4" s="75">
        <v>45597</v>
      </c>
      <c r="D4" s="75">
        <v>45627</v>
      </c>
      <c r="E4" s="75">
        <v>45658</v>
      </c>
      <c r="F4" s="75">
        <v>45689</v>
      </c>
      <c r="G4" s="75">
        <v>45717</v>
      </c>
      <c r="H4" s="75">
        <v>45748</v>
      </c>
      <c r="I4" s="75">
        <v>45778</v>
      </c>
      <c r="J4" s="75">
        <v>45809</v>
      </c>
      <c r="K4" s="90">
        <v>45839</v>
      </c>
      <c r="L4" s="90">
        <v>45870</v>
      </c>
      <c r="M4" s="90">
        <v>45901</v>
      </c>
      <c r="N4" s="90">
        <v>45931</v>
      </c>
      <c r="O4" s="90">
        <v>45962</v>
      </c>
      <c r="P4" s="90">
        <v>45992</v>
      </c>
      <c r="Q4" s="90" t="s">
        <v>575</v>
      </c>
      <c r="R4" s="76" t="s">
        <v>172</v>
      </c>
      <c r="S4" s="76" t="s">
        <v>173</v>
      </c>
      <c r="T4" s="78" t="s">
        <v>76</v>
      </c>
      <c r="U4" s="78" t="s">
        <v>174</v>
      </c>
      <c r="V4" s="78" t="s">
        <v>175</v>
      </c>
      <c r="W4" s="79" t="s">
        <v>173</v>
      </c>
      <c r="X4" s="77" t="s">
        <v>576</v>
      </c>
    </row>
    <row r="5" spans="2:26" s="404" customFormat="1" ht="13" customHeight="1">
      <c r="B5" s="361" t="s">
        <v>215</v>
      </c>
      <c r="C5" s="362">
        <f>Card!K3/10^9</f>
        <v>26.096359526000001</v>
      </c>
      <c r="D5" s="362">
        <f>Card!L3/10^9</f>
        <v>22.124430760999999</v>
      </c>
      <c r="E5" s="362">
        <f>Card!M3/10^9</f>
        <v>22.910260875999999</v>
      </c>
      <c r="F5" s="362">
        <f>Card!N3/10^9</f>
        <v>20.869617858000002</v>
      </c>
      <c r="G5" s="362">
        <f>Card!O3/10^9</f>
        <v>21.974283357000001</v>
      </c>
      <c r="H5" s="362">
        <f>Card!P3/10^9</f>
        <v>25.648737891</v>
      </c>
      <c r="I5" s="362">
        <f>Card!Q3/10^9</f>
        <v>31.762053391999999</v>
      </c>
      <c r="J5" s="362">
        <f>Card!R3/10^9</f>
        <v>35.477691344</v>
      </c>
      <c r="K5" s="362">
        <f>Card!S3/10^9</f>
        <v>30.607408156999998</v>
      </c>
      <c r="L5" s="362">
        <f>Card!T3/10^9</f>
        <v>40.972283531000002</v>
      </c>
      <c r="M5" s="362">
        <f>Card!U3/10^9</f>
        <v>51.185413752000002</v>
      </c>
      <c r="N5" s="362">
        <f>Card!V3/10^9</f>
        <v>44.185816279999997</v>
      </c>
      <c r="O5" s="362">
        <f>Card!W3/10^9</f>
        <v>46.272238807999997</v>
      </c>
      <c r="P5" s="362">
        <f>Card!X3/10^9</f>
        <v>50.713919242999999</v>
      </c>
      <c r="Q5" s="362">
        <f>Q59+Q62+Q88</f>
        <v>39.849782437143553</v>
      </c>
      <c r="R5" s="362">
        <f>P5-O5</f>
        <v>4.4416804350000021</v>
      </c>
      <c r="S5" s="362">
        <f>P5-Q5</f>
        <v>10.864136805856447</v>
      </c>
      <c r="T5" s="362">
        <f>Card!J3/10^9</f>
        <v>422.579724489</v>
      </c>
      <c r="U5" s="362">
        <f>U59+U62+U88</f>
        <v>383.2051498678656</v>
      </c>
      <c r="V5" s="362">
        <f>V59+V62+V88</f>
        <v>383.2051498678656</v>
      </c>
      <c r="W5" s="362">
        <f t="shared" ref="W5:W16" si="0">T5-U5</f>
        <v>39.3745746211344</v>
      </c>
      <c r="X5" s="363">
        <f>T5/V5</f>
        <v>1.1027506405764935</v>
      </c>
    </row>
    <row r="6" spans="2:26" s="404" customFormat="1" ht="13" customHeight="1">
      <c r="B6" s="361" t="s">
        <v>99</v>
      </c>
      <c r="C6" s="362">
        <f>Card!K4/10^9</f>
        <v>6.4989848027862074</v>
      </c>
      <c r="D6" s="362">
        <f>Card!L4/10^9</f>
        <v>7.8194201061867812</v>
      </c>
      <c r="E6" s="362">
        <f>Card!M4/10^9</f>
        <v>8.3575005119999997</v>
      </c>
      <c r="F6" s="362">
        <f>Card!N4/10^9</f>
        <v>7.9996920979999997</v>
      </c>
      <c r="G6" s="362">
        <f>Card!O4/10^9</f>
        <v>8.9194057612234108</v>
      </c>
      <c r="H6" s="362">
        <f>Card!P4/10^9</f>
        <v>8.5619789265902302</v>
      </c>
      <c r="I6" s="362">
        <f>Card!Q4/10^9</f>
        <v>8.5753076235385208</v>
      </c>
      <c r="J6" s="362">
        <f>Card!R4/10^9</f>
        <v>68.215230459846453</v>
      </c>
      <c r="K6" s="362">
        <f>Card!S4/10^9</f>
        <v>67.858393544657886</v>
      </c>
      <c r="L6" s="362">
        <f>Card!T4/10^9</f>
        <v>87.889979504773507</v>
      </c>
      <c r="M6" s="362">
        <f>Card!U4/10^9</f>
        <v>103.21602330066666</v>
      </c>
      <c r="N6" s="362">
        <f>Card!V4/10^9</f>
        <v>92.696242425376838</v>
      </c>
      <c r="O6" s="362">
        <f>Card!W4/10^9</f>
        <v>99.47723085943997</v>
      </c>
      <c r="P6" s="362">
        <f>Card!X4/10^9</f>
        <v>110.38242556738302</v>
      </c>
      <c r="Q6" s="362">
        <f>Q60+Q63+Q89</f>
        <v>11.49610706004427</v>
      </c>
      <c r="R6" s="362">
        <f t="shared" ref="R6:R17" si="1">P6-O6</f>
        <v>10.905194707943053</v>
      </c>
      <c r="S6" s="362">
        <f t="shared" ref="S6:S17" si="2">P6-Q6</f>
        <v>98.886318507338757</v>
      </c>
      <c r="T6" s="362">
        <f>Card!J4/10^9</f>
        <v>672.14941058349643</v>
      </c>
      <c r="U6" s="362">
        <f>U60+U63+U89</f>
        <v>109.10532213636328</v>
      </c>
      <c r="V6" s="362">
        <f>V60+V63+V89</f>
        <v>109.10532213636328</v>
      </c>
      <c r="W6" s="362">
        <f t="shared" si="0"/>
        <v>563.04408844713316</v>
      </c>
      <c r="X6" s="363">
        <f t="shared" ref="X6:X16" si="3">T6/V6</f>
        <v>6.1605556669675821</v>
      </c>
    </row>
    <row r="7" spans="2:26" s="404" customFormat="1" ht="13" customHeight="1">
      <c r="B7" s="361" t="s">
        <v>217</v>
      </c>
      <c r="C7" s="364">
        <f t="shared" ref="C7" si="4">C5-C6</f>
        <v>19.597374723213793</v>
      </c>
      <c r="D7" s="364">
        <f t="shared" ref="D7:I7" si="5">D5-D6</f>
        <v>14.305010654813218</v>
      </c>
      <c r="E7" s="364">
        <f t="shared" si="5"/>
        <v>14.552760363999999</v>
      </c>
      <c r="F7" s="364">
        <f t="shared" si="5"/>
        <v>12.869925760000001</v>
      </c>
      <c r="G7" s="364">
        <f t="shared" si="5"/>
        <v>13.05487759577659</v>
      </c>
      <c r="H7" s="364">
        <f t="shared" si="5"/>
        <v>17.086758964409768</v>
      </c>
      <c r="I7" s="364">
        <f t="shared" si="5"/>
        <v>23.186745768461478</v>
      </c>
      <c r="J7" s="364">
        <f>Card!R5/10^9</f>
        <v>29.578144920153544</v>
      </c>
      <c r="K7" s="364">
        <f>Card!S5/10^9</f>
        <v>20.938956427342116</v>
      </c>
      <c r="L7" s="364">
        <f>Card!T5/10^9</f>
        <v>30.396118373226486</v>
      </c>
      <c r="M7" s="364">
        <f>Card!U5/10^9</f>
        <v>40.049814502333334</v>
      </c>
      <c r="N7" s="364">
        <f>Card!V5/10^9</f>
        <v>32.39148095162318</v>
      </c>
      <c r="O7" s="364">
        <f>Card!W5/10^9</f>
        <v>34.103821501560027</v>
      </c>
      <c r="P7" s="364">
        <f>Card!X5/10^9</f>
        <v>36.192048919616973</v>
      </c>
      <c r="Q7" s="364">
        <f t="shared" ref="Q7" si="6">Q5-Q6</f>
        <v>28.353675377099282</v>
      </c>
      <c r="R7" s="362">
        <f t="shared" si="1"/>
        <v>2.0882274180569453</v>
      </c>
      <c r="S7" s="362">
        <f t="shared" si="2"/>
        <v>7.8383735425176901</v>
      </c>
      <c r="T7" s="364">
        <f>T5-T6</f>
        <v>-249.56968609449643</v>
      </c>
      <c r="U7" s="364">
        <f>U5-U6</f>
        <v>274.09982773150233</v>
      </c>
      <c r="V7" s="364">
        <f>V5-V6</f>
        <v>274.09982773150233</v>
      </c>
      <c r="W7" s="362">
        <f t="shared" si="0"/>
        <v>-523.66951382599882</v>
      </c>
      <c r="X7" s="363">
        <f t="shared" si="3"/>
        <v>-0.9105065412115666</v>
      </c>
    </row>
    <row r="8" spans="2:26" s="404" customFormat="1" ht="13" customHeight="1">
      <c r="B8" s="361" t="s">
        <v>577</v>
      </c>
      <c r="C8" s="362">
        <f>Card!K10/10^9</f>
        <v>2.5917846888824307</v>
      </c>
      <c r="D8" s="362">
        <f>Card!L10/10^9</f>
        <v>3.0269680752720194</v>
      </c>
      <c r="E8" s="362">
        <f>Card!M10/10^9</f>
        <v>2.7624172647617318</v>
      </c>
      <c r="F8" s="362">
        <f>Card!N10/10^9</f>
        <v>2.5952406699185371</v>
      </c>
      <c r="G8" s="362">
        <f>Card!O10/10^9</f>
        <v>3.0382552763192034</v>
      </c>
      <c r="H8" s="362">
        <f>Card!P10/10^9</f>
        <v>2.8149020201112811</v>
      </c>
      <c r="I8" s="362">
        <f>Card!Q10/10^9</f>
        <v>2.9984768861603168</v>
      </c>
      <c r="J8" s="362">
        <f>Card!R10/10^9</f>
        <v>2.3690853222274884</v>
      </c>
      <c r="K8" s="362">
        <f>Card!S10/10^9</f>
        <v>2.6092611091182976</v>
      </c>
      <c r="L8" s="362">
        <f>Card!T10/10^9</f>
        <v>2.9962975513914216</v>
      </c>
      <c r="M8" s="362">
        <f>Card!U10/10^9</f>
        <v>2.8770952225701083</v>
      </c>
      <c r="N8" s="362">
        <f>Card!V10/10^9</f>
        <v>2.8447685044703346</v>
      </c>
      <c r="O8" s="362">
        <f>Card!W10/10^9</f>
        <v>3.5109069743804131</v>
      </c>
      <c r="P8" s="362">
        <f>Card!X10/10^9</f>
        <v>3.1998029626099038</v>
      </c>
      <c r="Q8" s="362">
        <f>Q65+Q95</f>
        <v>4.2144660770516333</v>
      </c>
      <c r="R8" s="362">
        <f t="shared" si="1"/>
        <v>-0.31110401177050928</v>
      </c>
      <c r="S8" s="362">
        <f t="shared" si="2"/>
        <v>-1.0146631144417295</v>
      </c>
      <c r="T8" s="365">
        <f>Card!J10/10^9</f>
        <v>34.61650976403903</v>
      </c>
      <c r="U8" s="362">
        <f>U65+U95</f>
        <v>42.289063533532477</v>
      </c>
      <c r="V8" s="365">
        <f>V65+V95</f>
        <v>42.289063533532477</v>
      </c>
      <c r="W8" s="362">
        <f t="shared" si="0"/>
        <v>-7.6725537694934474</v>
      </c>
      <c r="X8" s="363">
        <f t="shared" si="3"/>
        <v>0.81856884195580237</v>
      </c>
    </row>
    <row r="9" spans="2:26" s="404" customFormat="1" ht="13" hidden="1" customHeight="1">
      <c r="B9" s="361" t="s">
        <v>578</v>
      </c>
      <c r="C9" s="365">
        <f>Card!K152/10^9</f>
        <v>0</v>
      </c>
      <c r="D9" s="365">
        <f>Card!L152/10^9</f>
        <v>0</v>
      </c>
      <c r="E9" s="365">
        <f>Card!M152/10^9</f>
        <v>0</v>
      </c>
      <c r="F9" s="365">
        <f>Card!N152/10^9</f>
        <v>0</v>
      </c>
      <c r="G9" s="365">
        <f>Card!O152/10^9</f>
        <v>0.123255614</v>
      </c>
      <c r="H9" s="365">
        <f>Card!P152/10^9</f>
        <v>0.26477743349999999</v>
      </c>
      <c r="I9" s="365">
        <f>Card!Q152/10^9</f>
        <v>0.28159460450000001</v>
      </c>
      <c r="J9" s="365"/>
      <c r="K9" s="365">
        <f>Card!S152/10^9</f>
        <v>0.327744598</v>
      </c>
      <c r="L9" s="365">
        <f>Card!T152/10^9</f>
        <v>0.19052246</v>
      </c>
      <c r="M9" s="365">
        <f>Card!U152/10^9</f>
        <v>0.286696285</v>
      </c>
      <c r="N9" s="365">
        <f>Card!V152/10^9</f>
        <v>0.2069885135</v>
      </c>
      <c r="O9" s="365">
        <f>Card!W152/10^9</f>
        <v>0.29916015699999998</v>
      </c>
      <c r="P9" s="365">
        <f>Card!X152/10^9</f>
        <v>0.24324999999999999</v>
      </c>
      <c r="Q9" s="365">
        <f>Q74</f>
        <v>0.58173311838952213</v>
      </c>
      <c r="R9" s="362">
        <f t="shared" si="1"/>
        <v>-5.5910156999999988E-2</v>
      </c>
      <c r="S9" s="362">
        <f t="shared" si="2"/>
        <v>-0.33848311838952216</v>
      </c>
      <c r="T9" s="365">
        <f>Card!J152/10^9</f>
        <v>2.5085581590000001</v>
      </c>
      <c r="U9" s="365">
        <f>U74</f>
        <v>2.2611718322824736</v>
      </c>
      <c r="V9" s="365">
        <f>V74</f>
        <v>2.2611718322824736</v>
      </c>
      <c r="W9" s="362">
        <f t="shared" si="0"/>
        <v>0.24738632671752647</v>
      </c>
      <c r="X9" s="363">
        <f t="shared" si="3"/>
        <v>1.1094062482052987</v>
      </c>
    </row>
    <row r="10" spans="2:26" s="404" customFormat="1" ht="13" customHeight="1">
      <c r="B10" s="361" t="s">
        <v>136</v>
      </c>
      <c r="C10" s="365">
        <f>Card!K9/10^9</f>
        <v>8.6237829119999994</v>
      </c>
      <c r="D10" s="365">
        <f>Card!L9/10^9</f>
        <v>11.466797117</v>
      </c>
      <c r="E10" s="365">
        <f>Card!M9/10^9</f>
        <v>25.264429823</v>
      </c>
      <c r="F10" s="365">
        <f>Card!N9/10^9</f>
        <v>13.064743689</v>
      </c>
      <c r="G10" s="365">
        <f>Card!O9/10^9</f>
        <v>16.55037033</v>
      </c>
      <c r="H10" s="365">
        <f>Card!P9/10^9</f>
        <v>11.182551451</v>
      </c>
      <c r="I10" s="365">
        <f>Card!Q9/10^9</f>
        <v>9.4179846260000009</v>
      </c>
      <c r="J10" s="365">
        <f>Card!R9/10^9</f>
        <v>20.051120515000001</v>
      </c>
      <c r="K10" s="365">
        <f>Card!S9/10^9</f>
        <v>12.950560114</v>
      </c>
      <c r="L10" s="365">
        <f>Card!T9/10^9</f>
        <v>26.62426001</v>
      </c>
      <c r="M10" s="365">
        <f>Card!U9/10^9</f>
        <v>25.098786740000001</v>
      </c>
      <c r="N10" s="365">
        <f>Card!V9/10^9</f>
        <v>21.789423335999999</v>
      </c>
      <c r="O10" s="365">
        <f>Card!W9/10^9</f>
        <v>24.826685539</v>
      </c>
      <c r="P10" s="365">
        <f>Card!X9/10^9</f>
        <v>29.162626762999999</v>
      </c>
      <c r="Q10" s="365">
        <f>Q75</f>
        <v>17.35638993995639</v>
      </c>
      <c r="R10" s="362">
        <f t="shared" si="1"/>
        <v>4.335941223999999</v>
      </c>
      <c r="S10" s="362">
        <f t="shared" si="2"/>
        <v>11.806236823043609</v>
      </c>
      <c r="T10" s="365">
        <f>Card!J9/10^9</f>
        <v>235.98354293599999</v>
      </c>
      <c r="U10" s="365">
        <f>U75</f>
        <v>196.65659732189238</v>
      </c>
      <c r="V10" s="365">
        <f>V75</f>
        <v>196.65659732189238</v>
      </c>
      <c r="W10" s="362">
        <f t="shared" si="0"/>
        <v>39.326945614107615</v>
      </c>
      <c r="X10" s="363">
        <f t="shared" si="3"/>
        <v>1.1999777589446252</v>
      </c>
    </row>
    <row r="11" spans="2:26" s="404" customFormat="1" ht="13" customHeight="1">
      <c r="B11" s="361" t="s">
        <v>236</v>
      </c>
      <c r="C11" s="365">
        <f t="shared" ref="C11" si="7">C7-C8-C9-C10</f>
        <v>8.381807122331363</v>
      </c>
      <c r="D11" s="365">
        <f t="shared" ref="D11:G11" si="8">D7-D8-D9-D10</f>
        <v>-0.18875453745880222</v>
      </c>
      <c r="E11" s="365">
        <f t="shared" si="8"/>
        <v>-13.474086723761733</v>
      </c>
      <c r="F11" s="365">
        <f t="shared" si="8"/>
        <v>-2.7900585989185362</v>
      </c>
      <c r="G11" s="365">
        <f t="shared" si="8"/>
        <v>-6.6570036245426127</v>
      </c>
      <c r="H11" s="365">
        <f>H7-H8-H10</f>
        <v>3.089305493298486</v>
      </c>
      <c r="I11" s="365">
        <f t="shared" ref="I11" si="9">I7-I8-I10</f>
        <v>10.770284256301158</v>
      </c>
      <c r="J11" s="365">
        <f t="shared" ref="J11:P11" si="10">J7-J8-J10</f>
        <v>7.1579390829260561</v>
      </c>
      <c r="K11" s="365">
        <f t="shared" si="10"/>
        <v>5.3791352042238199</v>
      </c>
      <c r="L11" s="365">
        <f t="shared" si="10"/>
        <v>0.77556081183506365</v>
      </c>
      <c r="M11" s="365">
        <f t="shared" si="10"/>
        <v>12.073932539763227</v>
      </c>
      <c r="N11" s="365">
        <f t="shared" si="10"/>
        <v>7.757289111152847</v>
      </c>
      <c r="O11" s="365">
        <f t="shared" si="10"/>
        <v>5.7662289881796163</v>
      </c>
      <c r="P11" s="365">
        <f t="shared" si="10"/>
        <v>3.8296191940070727</v>
      </c>
      <c r="Q11" s="365">
        <f t="shared" ref="Q11" si="11">Q7-Q8-Q9-Q10</f>
        <v>6.2010862417017378</v>
      </c>
      <c r="R11" s="362">
        <f t="shared" si="1"/>
        <v>-1.9366097941725435</v>
      </c>
      <c r="S11" s="362">
        <f t="shared" si="2"/>
        <v>-2.3714670476946651</v>
      </c>
      <c r="T11" s="365">
        <f t="shared" ref="T11:V11" si="12">T7-T8-T9-T10</f>
        <v>-522.67829695353544</v>
      </c>
      <c r="U11" s="365">
        <f t="shared" si="12"/>
        <v>32.892995043794997</v>
      </c>
      <c r="V11" s="365">
        <f t="shared" si="12"/>
        <v>32.892995043794997</v>
      </c>
      <c r="W11" s="362">
        <f t="shared" si="0"/>
        <v>-555.57129199733049</v>
      </c>
      <c r="X11" s="363">
        <f t="shared" si="3"/>
        <v>-15.890261627365385</v>
      </c>
    </row>
    <row r="12" spans="2:26" s="404" customFormat="1" ht="13" customHeight="1">
      <c r="B12" s="405" t="s">
        <v>301</v>
      </c>
      <c r="C12" s="365">
        <f>Card!K12/10^9</f>
        <v>2.4248818220000001</v>
      </c>
      <c r="D12" s="365">
        <f>Card!L12/10^9</f>
        <v>2.4778800649999999</v>
      </c>
      <c r="E12" s="365">
        <f>Card!M12/10^9</f>
        <v>2.5383295470000005</v>
      </c>
      <c r="F12" s="365">
        <f>Card!N12/10^9</f>
        <v>2.5911104954903212</v>
      </c>
      <c r="G12" s="365">
        <f>Card!O12/10^9</f>
        <v>2.7150482809371428</v>
      </c>
      <c r="H12" s="365">
        <f>Card!P12/10^9</f>
        <v>2.6074324044399995</v>
      </c>
      <c r="I12" s="365">
        <f>Card!Q12/10^9</f>
        <v>2.5977889424000002</v>
      </c>
      <c r="J12" s="365">
        <f>Card!R12/10^9</f>
        <v>2.618516606846101</v>
      </c>
      <c r="K12" s="365">
        <f>Card!S12/10^9</f>
        <v>2.6513123333863633</v>
      </c>
      <c r="L12" s="365">
        <f>Card!T12/10^9</f>
        <v>3.255940253173994</v>
      </c>
      <c r="M12" s="365">
        <f>Card!U12/10^9</f>
        <v>3.017544024792616</v>
      </c>
      <c r="N12" s="365">
        <f>Card!V12/10^9</f>
        <v>3.0789601466622343</v>
      </c>
      <c r="O12" s="365">
        <f>Card!W12/10^9</f>
        <v>3.2034142885686752</v>
      </c>
      <c r="P12" s="365">
        <f>Card!X12/10^9</f>
        <v>3.1005791981025466</v>
      </c>
      <c r="Q12" s="365">
        <f>Q77+Q100</f>
        <v>4.4843818608075896</v>
      </c>
      <c r="R12" s="362">
        <f t="shared" si="1"/>
        <v>-0.1028350904661286</v>
      </c>
      <c r="S12" s="362">
        <f t="shared" si="2"/>
        <v>-1.383802662705043</v>
      </c>
      <c r="T12" s="365">
        <f>Card!J12/10^9</f>
        <v>33.9759765218</v>
      </c>
      <c r="U12" s="365">
        <f>U77+U100</f>
        <v>53.812582329691089</v>
      </c>
      <c r="V12" s="365">
        <f>V77+V100</f>
        <v>53.812582329691089</v>
      </c>
      <c r="W12" s="362">
        <f t="shared" si="0"/>
        <v>-19.83660580789109</v>
      </c>
      <c r="X12" s="363">
        <f t="shared" si="3"/>
        <v>0.63137606579890437</v>
      </c>
    </row>
    <row r="13" spans="2:26" s="404" customFormat="1" ht="13" customHeight="1">
      <c r="B13" s="361" t="s">
        <v>579</v>
      </c>
      <c r="C13" s="365">
        <f t="shared" ref="C13" si="13">C11-C12</f>
        <v>5.9569253003313634</v>
      </c>
      <c r="D13" s="365">
        <f t="shared" ref="D13:J13" si="14">D11-D12</f>
        <v>-2.6666346024588021</v>
      </c>
      <c r="E13" s="365">
        <f t="shared" si="14"/>
        <v>-16.012416270761733</v>
      </c>
      <c r="F13" s="365">
        <f t="shared" si="14"/>
        <v>-5.3811690944088575</v>
      </c>
      <c r="G13" s="365">
        <f t="shared" si="14"/>
        <v>-9.372051905479756</v>
      </c>
      <c r="H13" s="365">
        <f>H11-H12</f>
        <v>0.48187308885848656</v>
      </c>
      <c r="I13" s="365">
        <f t="shared" si="14"/>
        <v>8.1724953139011589</v>
      </c>
      <c r="J13" s="365">
        <f t="shared" si="14"/>
        <v>4.5394224760799551</v>
      </c>
      <c r="K13" s="365">
        <f t="shared" ref="K13:P13" si="15">K11-K12</f>
        <v>2.7278228708374566</v>
      </c>
      <c r="L13" s="365">
        <f t="shared" si="15"/>
        <v>-2.4803794413389304</v>
      </c>
      <c r="M13" s="365">
        <f t="shared" si="15"/>
        <v>9.0563885149706103</v>
      </c>
      <c r="N13" s="365">
        <f t="shared" si="15"/>
        <v>4.6783289644906123</v>
      </c>
      <c r="O13" s="365">
        <f t="shared" si="15"/>
        <v>2.5628146996109411</v>
      </c>
      <c r="P13" s="365">
        <f t="shared" si="15"/>
        <v>0.72903999590452617</v>
      </c>
      <c r="Q13" s="365">
        <f t="shared" ref="Q13" si="16">Q11-Q12</f>
        <v>1.7167043808941482</v>
      </c>
      <c r="R13" s="362">
        <f t="shared" si="1"/>
        <v>-1.8337747037064149</v>
      </c>
      <c r="S13" s="362">
        <f t="shared" si="2"/>
        <v>-0.98766438498962206</v>
      </c>
      <c r="T13" s="365">
        <f t="shared" ref="T13:V13" si="17">T11-T12</f>
        <v>-556.65427347533546</v>
      </c>
      <c r="U13" s="365">
        <f t="shared" si="17"/>
        <v>-20.919587285896093</v>
      </c>
      <c r="V13" s="365">
        <f t="shared" si="17"/>
        <v>-20.919587285896093</v>
      </c>
      <c r="W13" s="362">
        <f t="shared" si="0"/>
        <v>-535.73468618943934</v>
      </c>
      <c r="X13" s="363">
        <f t="shared" si="3"/>
        <v>26.609237833799412</v>
      </c>
    </row>
    <row r="14" spans="2:26" s="404" customFormat="1" ht="13" customHeight="1" thickBot="1">
      <c r="B14" s="407" t="s">
        <v>580</v>
      </c>
      <c r="C14" s="368">
        <f>Card!K13/10^9+Card!K14/10^9+Card!K15/10^9</f>
        <v>1.5059411139000001</v>
      </c>
      <c r="D14" s="368">
        <f>Card!L13/10^9+Card!L14/10^9+Card!L15/10^9</f>
        <v>4.7455918030520596</v>
      </c>
      <c r="E14" s="368">
        <f>Card!M13/10^9+Card!M14/10^9+Card!M15/10^9</f>
        <v>1.6580831229911113</v>
      </c>
      <c r="F14" s="368">
        <f>Card!N13/10^9+Card!N14/10^9+Card!N15/10^9</f>
        <v>1.8009879131978668</v>
      </c>
      <c r="G14" s="368">
        <f>Card!O13/10^9+Card!O14/10^9+Card!O15/10^9</f>
        <v>1.6657773264901237</v>
      </c>
      <c r="H14" s="368">
        <f>Card!P13/10^9+Card!P14/10^9+Card!P15/10^9</f>
        <v>2.0057227282277861</v>
      </c>
      <c r="I14" s="368">
        <f>Card!Q13/10^9+Card!Q14/10^9+Card!Q15/10^9</f>
        <v>1.5792091314622221</v>
      </c>
      <c r="J14" s="368">
        <f>Card!R13/10^9+Card!R14/10^9+Card!R15/10^9</f>
        <v>1.9991966974522462</v>
      </c>
      <c r="K14" s="368">
        <f>Card!S13/10^9+Card!S14/10^9+Card!S15/10^9</f>
        <v>3.6740409880383793</v>
      </c>
      <c r="L14" s="368">
        <f>Card!T13/10^9+Card!T14/10^9+Card!T15/10^9</f>
        <v>2.7470530719607451</v>
      </c>
      <c r="M14" s="368">
        <f>Card!U13/10^9+Card!U14/10^9+Card!U15/10^9</f>
        <v>2.7203195036711447</v>
      </c>
      <c r="N14" s="368">
        <f>Card!V13/10^9+Card!V14/10^9+Card!V15/10^9</f>
        <v>5.7380257068135689</v>
      </c>
      <c r="O14" s="368">
        <f>Card!W13/10^9+Card!W14/10^9+Card!W15/10^9</f>
        <v>2.3382270817117661</v>
      </c>
      <c r="P14" s="368">
        <f>Card!X13/10^9+Card!X14/10^9+Card!X15/10^9</f>
        <v>2.0165098455063299</v>
      </c>
      <c r="Q14" s="368">
        <f>Q79+Q102</f>
        <v>2.6524238403070663</v>
      </c>
      <c r="R14" s="369">
        <f t="shared" si="1"/>
        <v>-0.32171723620543613</v>
      </c>
      <c r="S14" s="369">
        <f t="shared" si="2"/>
        <v>-0.6359139948007364</v>
      </c>
      <c r="T14" s="368">
        <f>Card!J13/10^9+Card!J14/10^9+Card!J15/10^9</f>
        <v>29.943153117523295</v>
      </c>
      <c r="U14" s="368">
        <f>U79+U102</f>
        <v>31.829086083684789</v>
      </c>
      <c r="V14" s="368">
        <v>11</v>
      </c>
      <c r="W14" s="369">
        <f t="shared" si="0"/>
        <v>-1.8859329661614943</v>
      </c>
      <c r="X14" s="370">
        <f t="shared" si="3"/>
        <v>2.7221048288657541</v>
      </c>
    </row>
    <row r="15" spans="2:26" s="404" customFormat="1" ht="13" hidden="1" customHeight="1">
      <c r="B15" s="406"/>
      <c r="C15" s="366"/>
      <c r="D15" s="366"/>
      <c r="E15" s="366"/>
      <c r="F15" s="366">
        <f>Card!N14/10^9</f>
        <v>0.67804186381111109</v>
      </c>
      <c r="G15" s="366">
        <f>Card!O14/10^9</f>
        <v>0.59208219412222229</v>
      </c>
      <c r="H15" s="366">
        <f>Card!P14/10^9</f>
        <v>0.73438461170000002</v>
      </c>
      <c r="I15" s="366">
        <f>Card!Q14/10^9</f>
        <v>0.55048757726999997</v>
      </c>
      <c r="J15" s="366">
        <f>Card!R14/10^9</f>
        <v>0.78219327102222214</v>
      </c>
      <c r="K15" s="366">
        <f>Card!S14/10^9</f>
        <v>0.72988109080000008</v>
      </c>
      <c r="L15" s="366">
        <f>Card!T14/10^9</f>
        <v>0.75864779016666672</v>
      </c>
      <c r="M15" s="366">
        <f>Card!U14/10^9</f>
        <v>0.81849414610000004</v>
      </c>
      <c r="N15" s="366">
        <f>Card!V14/10^9</f>
        <v>0.8526093327333335</v>
      </c>
      <c r="O15" s="366">
        <f>Card!W14/10^9</f>
        <v>0.71266098144444445</v>
      </c>
      <c r="P15" s="366">
        <f>Card!X14/10^9</f>
        <v>1.3067698892000001</v>
      </c>
      <c r="Q15" s="366"/>
      <c r="R15" s="362">
        <f t="shared" si="1"/>
        <v>0.59410890775555569</v>
      </c>
      <c r="S15" s="362">
        <f t="shared" si="2"/>
        <v>1.3067698892000001</v>
      </c>
      <c r="T15" s="366"/>
      <c r="U15" s="365"/>
      <c r="V15" s="366"/>
      <c r="W15" s="367">
        <f t="shared" si="0"/>
        <v>0</v>
      </c>
      <c r="X15" s="363" t="e">
        <f t="shared" si="3"/>
        <v>#DIV/0!</v>
      </c>
      <c r="Z15" s="424"/>
    </row>
    <row r="16" spans="2:26" s="404" customFormat="1" ht="13" hidden="1" customHeight="1">
      <c r="B16" s="407"/>
      <c r="C16" s="368"/>
      <c r="D16" s="368"/>
      <c r="E16" s="368"/>
      <c r="F16" s="368">
        <f>Card!N15/10^9</f>
        <v>0.57066323626666626</v>
      </c>
      <c r="G16" s="368">
        <f>Card!O15/10^9</f>
        <v>0.5335098845666667</v>
      </c>
      <c r="H16" s="368">
        <f>Card!P15/10^9</f>
        <v>0.72351321555778614</v>
      </c>
      <c r="I16" s="368">
        <f>Card!Q15/10^9</f>
        <v>0.46579570192222208</v>
      </c>
      <c r="J16" s="368">
        <f>Card!R15/10^9</f>
        <v>0.64996992633333373</v>
      </c>
      <c r="K16" s="368">
        <f>Card!S15/10^9</f>
        <v>0.72444387513333319</v>
      </c>
      <c r="L16" s="368">
        <f>Card!T15/10^9</f>
        <v>0.76657067570000026</v>
      </c>
      <c r="M16" s="368">
        <f>Card!U15/10^9</f>
        <v>1.0023814647956357</v>
      </c>
      <c r="N16" s="368">
        <f>Card!V15/10^9</f>
        <v>1.5772314864999981</v>
      </c>
      <c r="O16" s="368">
        <f>Card!W15/10^9</f>
        <v>0.7009962989777786</v>
      </c>
      <c r="P16" s="368">
        <f>Card!X15/10^9</f>
        <v>3.1265701591109224E-2</v>
      </c>
      <c r="Q16" s="368"/>
      <c r="R16" s="362">
        <f t="shared" si="1"/>
        <v>-0.6697305973866694</v>
      </c>
      <c r="S16" s="362">
        <f t="shared" si="2"/>
        <v>3.1265701591109224E-2</v>
      </c>
      <c r="T16" s="368"/>
      <c r="U16" s="368"/>
      <c r="V16" s="368"/>
      <c r="W16" s="369">
        <f t="shared" si="0"/>
        <v>0</v>
      </c>
      <c r="X16" s="370" t="e">
        <f t="shared" si="3"/>
        <v>#DIV/0!</v>
      </c>
    </row>
    <row r="17" spans="2:53" s="404" customFormat="1" ht="34.5" customHeight="1" thickTop="1">
      <c r="B17" s="371" t="s">
        <v>581</v>
      </c>
      <c r="C17" s="367">
        <f t="shared" ref="C17:D17" si="18">C13-SUM(C14:C16)</f>
        <v>4.4509841864313628</v>
      </c>
      <c r="D17" s="367">
        <f t="shared" si="18"/>
        <v>-7.4122264055108618</v>
      </c>
      <c r="E17" s="367">
        <f t="shared" ref="E17:G17" si="19">E13-SUM(E14:E16)</f>
        <v>-17.670499393752845</v>
      </c>
      <c r="F17" s="367">
        <f t="shared" si="19"/>
        <v>-8.4308621076845007</v>
      </c>
      <c r="G17" s="367">
        <f t="shared" si="19"/>
        <v>-12.163421310658769</v>
      </c>
      <c r="H17" s="367">
        <f>H13-H14</f>
        <v>-1.5238496393692995</v>
      </c>
      <c r="I17" s="367">
        <f t="shared" ref="I17" si="20">I13-I14</f>
        <v>6.5932861824389368</v>
      </c>
      <c r="J17" s="367">
        <f t="shared" ref="J17:P17" si="21">J13-J14</f>
        <v>2.5402257786277089</v>
      </c>
      <c r="K17" s="367">
        <f t="shared" si="21"/>
        <v>-0.94621811720092275</v>
      </c>
      <c r="L17" s="367">
        <f t="shared" si="21"/>
        <v>-5.2274325132996751</v>
      </c>
      <c r="M17" s="367">
        <f t="shared" si="21"/>
        <v>6.3360690112994655</v>
      </c>
      <c r="N17" s="367">
        <f t="shared" si="21"/>
        <v>-1.0596967423229566</v>
      </c>
      <c r="O17" s="367">
        <f t="shared" si="21"/>
        <v>0.22458761789917503</v>
      </c>
      <c r="P17" s="367">
        <f t="shared" si="21"/>
        <v>-1.2874698496018038</v>
      </c>
      <c r="Q17" s="367">
        <f t="shared" ref="Q17" si="22">Q13-SUM(Q14:Q16)</f>
        <v>-0.93571945941291812</v>
      </c>
      <c r="R17" s="362">
        <f t="shared" si="1"/>
        <v>-1.5120574675009788</v>
      </c>
      <c r="S17" s="362">
        <f t="shared" si="2"/>
        <v>-0.35175039018888565</v>
      </c>
      <c r="T17" s="367">
        <f>T13-SUM(T14:T16)</f>
        <v>-586.59742659285871</v>
      </c>
      <c r="U17" s="367">
        <f>U13-SUM(U14:U16)</f>
        <v>-52.748673369580885</v>
      </c>
      <c r="V17" s="367">
        <f>V13-SUM(V14:V16)</f>
        <v>-31.919587285896093</v>
      </c>
      <c r="W17" s="367">
        <f>W13-SUM(W14:W16)</f>
        <v>-533.84875322327787</v>
      </c>
      <c r="X17" s="363">
        <f>T17/V17</f>
        <v>18.377349974448169</v>
      </c>
    </row>
    <row r="18" spans="2:53" s="404" customFormat="1" ht="22.5" customHeight="1"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8"/>
      <c r="O18" s="358"/>
      <c r="P18" s="358"/>
      <c r="Q18" s="358"/>
      <c r="R18" s="358"/>
      <c r="S18" s="358"/>
      <c r="T18" s="358"/>
      <c r="U18" s="358"/>
      <c r="V18" s="358"/>
      <c r="W18" s="358"/>
      <c r="X18" s="358"/>
    </row>
    <row r="19" spans="2:53" s="404" customFormat="1" ht="34.5" hidden="1" customHeight="1">
      <c r="B19" s="360" t="s">
        <v>582</v>
      </c>
      <c r="C19" s="75">
        <v>45597</v>
      </c>
      <c r="D19" s="75">
        <v>45627</v>
      </c>
      <c r="E19" s="75">
        <v>45658</v>
      </c>
      <c r="F19" s="75">
        <v>45689</v>
      </c>
      <c r="G19" s="75">
        <v>45717</v>
      </c>
      <c r="H19" s="75">
        <v>45748</v>
      </c>
      <c r="I19" s="75">
        <v>45778</v>
      </c>
      <c r="J19" s="75">
        <v>45809</v>
      </c>
      <c r="K19" s="90">
        <v>45839</v>
      </c>
      <c r="L19" s="90">
        <v>45870</v>
      </c>
      <c r="M19" s="90">
        <v>45901</v>
      </c>
      <c r="N19" s="90">
        <v>45931</v>
      </c>
      <c r="O19" s="90">
        <v>45962</v>
      </c>
      <c r="P19" s="90">
        <v>45992</v>
      </c>
      <c r="Q19" s="90" t="s">
        <v>583</v>
      </c>
      <c r="R19" s="76" t="s">
        <v>172</v>
      </c>
      <c r="S19" s="76" t="s">
        <v>173</v>
      </c>
      <c r="T19" s="78" t="s">
        <v>76</v>
      </c>
      <c r="U19" s="78" t="s">
        <v>174</v>
      </c>
      <c r="V19" s="78" t="s">
        <v>175</v>
      </c>
      <c r="W19" s="79" t="s">
        <v>173</v>
      </c>
      <c r="X19" s="77" t="s">
        <v>576</v>
      </c>
      <c r="AD19" s="1191" t="s">
        <v>584</v>
      </c>
      <c r="AE19" s="1199" t="s">
        <v>585</v>
      </c>
      <c r="AF19" s="1199"/>
      <c r="AG19" s="1199"/>
      <c r="AH19" s="1199"/>
      <c r="AI19" s="1199"/>
      <c r="AJ19" s="1199"/>
      <c r="AK19" s="1199"/>
      <c r="AL19" s="1199" t="s">
        <v>172</v>
      </c>
      <c r="AM19" s="1199" t="s">
        <v>173</v>
      </c>
      <c r="AN19" s="1200" t="s">
        <v>8</v>
      </c>
      <c r="AO19" s="1200"/>
      <c r="AP19" s="1200" t="s">
        <v>586</v>
      </c>
      <c r="AQ19" s="1200" t="s">
        <v>173</v>
      </c>
      <c r="AR19" s="1192" t="s">
        <v>587</v>
      </c>
    </row>
    <row r="20" spans="2:53" s="404" customFormat="1" ht="16.5" hidden="1" customHeight="1">
      <c r="B20" s="361" t="s">
        <v>199</v>
      </c>
      <c r="C20" s="364">
        <f t="shared" ref="C20:Q20" si="23">C55+C106</f>
        <v>434.99130000000002</v>
      </c>
      <c r="D20" s="364">
        <f t="shared" si="23"/>
        <v>519.10541999999998</v>
      </c>
      <c r="E20" s="364">
        <f t="shared" si="23"/>
        <v>541.84827110499998</v>
      </c>
      <c r="F20" s="364">
        <f t="shared" si="23"/>
        <v>435.44809575900001</v>
      </c>
      <c r="G20" s="364">
        <f t="shared" si="23"/>
        <v>609.24609979000002</v>
      </c>
      <c r="H20" s="364">
        <f t="shared" si="23"/>
        <v>634.22855361499887</v>
      </c>
      <c r="I20" s="364">
        <f t="shared" si="23"/>
        <v>637.11812562600005</v>
      </c>
      <c r="J20" s="364">
        <f t="shared" si="23"/>
        <v>652.16198813599999</v>
      </c>
      <c r="K20" s="364">
        <f t="shared" si="23"/>
        <v>777.44341532600004</v>
      </c>
      <c r="L20" s="364">
        <f t="shared" si="23"/>
        <v>834.78916325099908</v>
      </c>
      <c r="M20" s="364">
        <f t="shared" si="23"/>
        <v>742.49331671899995</v>
      </c>
      <c r="N20" s="364">
        <f t="shared" si="23"/>
        <v>906.17148230299995</v>
      </c>
      <c r="O20" s="364">
        <f t="shared" si="23"/>
        <v>901.68860493800003</v>
      </c>
      <c r="P20" s="364">
        <f t="shared" si="23"/>
        <v>1217.347344817</v>
      </c>
      <c r="Q20" s="364">
        <f t="shared" si="23"/>
        <v>769.97738250000009</v>
      </c>
      <c r="R20" s="349">
        <f>J20-I20</f>
        <v>15.04386250999994</v>
      </c>
      <c r="S20" s="364">
        <f>J20-Q20</f>
        <v>-117.8153943640001</v>
      </c>
      <c r="T20" s="364">
        <f t="shared" ref="T20:V21" si="24">T55+T106</f>
        <v>8889.9844613849982</v>
      </c>
      <c r="U20" s="364">
        <f t="shared" si="24"/>
        <v>7415.684733750003</v>
      </c>
      <c r="V20" s="364">
        <f t="shared" si="24"/>
        <v>7415.684733750003</v>
      </c>
      <c r="W20" s="362">
        <f>T20-U20</f>
        <v>1474.2997276349952</v>
      </c>
      <c r="X20" s="517">
        <f>T20/V20</f>
        <v>1.1988083070637043</v>
      </c>
      <c r="AD20" s="1193" t="s">
        <v>199</v>
      </c>
      <c r="AE20" s="1194">
        <f>J20</f>
        <v>652.16198813599999</v>
      </c>
      <c r="AF20" s="1194"/>
      <c r="AG20" s="1194"/>
      <c r="AH20" s="1194"/>
      <c r="AI20" s="1194"/>
      <c r="AJ20" s="1194"/>
      <c r="AK20" s="1194"/>
      <c r="AL20" s="1194">
        <f t="shared" ref="AL20:AN21" si="25">R20</f>
        <v>15.04386250999994</v>
      </c>
      <c r="AM20" s="1194">
        <f t="shared" si="25"/>
        <v>-117.8153943640001</v>
      </c>
      <c r="AN20" s="1194">
        <f t="shared" si="25"/>
        <v>8889.9844613849982</v>
      </c>
      <c r="AO20" s="1194"/>
      <c r="AP20" s="1194">
        <f>U20</f>
        <v>7415.684733750003</v>
      </c>
      <c r="AQ20" s="1194">
        <f>W20</f>
        <v>1474.2997276349952</v>
      </c>
      <c r="AR20" s="1195">
        <f>AN20/AP20</f>
        <v>1.1988083070637043</v>
      </c>
      <c r="AS20" s="1194"/>
      <c r="AT20" s="1194"/>
      <c r="AX20" s="1194"/>
      <c r="AY20" s="1194"/>
      <c r="AZ20" s="1194"/>
    </row>
    <row r="21" spans="2:53" s="404" customFormat="1" ht="16.5" hidden="1" customHeight="1">
      <c r="B21" s="361" t="s">
        <v>82</v>
      </c>
      <c r="C21" s="364">
        <f t="shared" ref="C21:Q21" si="26">C56+C107</f>
        <v>789.83881296100003</v>
      </c>
      <c r="D21" s="364">
        <f t="shared" si="26"/>
        <v>822.22429168899998</v>
      </c>
      <c r="E21" s="364">
        <f t="shared" si="26"/>
        <v>912.34687291600005</v>
      </c>
      <c r="F21" s="364">
        <f t="shared" si="26"/>
        <v>913.00374752499999</v>
      </c>
      <c r="G21" s="364">
        <f t="shared" si="26"/>
        <v>948.87136123599998</v>
      </c>
      <c r="H21" s="372">
        <f t="shared" si="26"/>
        <v>1016.76525193</v>
      </c>
      <c r="I21" s="372">
        <f t="shared" si="26"/>
        <v>1073.2535468139999</v>
      </c>
      <c r="J21" s="372">
        <f>J56+J107</f>
        <v>1124.4446277950001</v>
      </c>
      <c r="K21" s="372">
        <f t="shared" si="26"/>
        <v>1228.8294530019998</v>
      </c>
      <c r="L21" s="372">
        <f t="shared" si="26"/>
        <v>1329.7551914800001</v>
      </c>
      <c r="M21" s="372">
        <f t="shared" si="26"/>
        <v>1410.4505759199999</v>
      </c>
      <c r="N21" s="372">
        <f t="shared" si="26"/>
        <v>1475.0990995960001</v>
      </c>
      <c r="O21" s="372">
        <f t="shared" si="26"/>
        <v>1613.1297989119998</v>
      </c>
      <c r="P21" s="372">
        <f t="shared" si="26"/>
        <v>1695.9704644640001</v>
      </c>
      <c r="Q21" s="372">
        <f t="shared" si="26"/>
        <v>1496.1302391594631</v>
      </c>
      <c r="R21" s="349">
        <f>J21-I21</f>
        <v>51.191080981000141</v>
      </c>
      <c r="S21" s="364">
        <f>J21-Q21</f>
        <v>-371.68561136446306</v>
      </c>
      <c r="T21" s="364">
        <f>T56+T107</f>
        <v>1695.9704644640001</v>
      </c>
      <c r="U21" s="364">
        <f t="shared" si="24"/>
        <v>1496.1302391594631</v>
      </c>
      <c r="V21" s="364">
        <f t="shared" si="24"/>
        <v>1496.1302391594631</v>
      </c>
      <c r="W21" s="362">
        <f>T21-U21</f>
        <v>199.84022530453694</v>
      </c>
      <c r="X21" s="517">
        <f>T21/V21</f>
        <v>1.1335714098104244</v>
      </c>
      <c r="AD21" s="1193" t="s">
        <v>82</v>
      </c>
      <c r="AE21" s="1194">
        <f>J21</f>
        <v>1124.4446277950001</v>
      </c>
      <c r="AF21" s="1194"/>
      <c r="AG21" s="1194"/>
      <c r="AH21" s="1194"/>
      <c r="AI21" s="1194"/>
      <c r="AJ21" s="1194"/>
      <c r="AK21" s="1194"/>
      <c r="AL21" s="1194">
        <f t="shared" si="25"/>
        <v>51.191080981000141</v>
      </c>
      <c r="AM21" s="1194">
        <f t="shared" si="25"/>
        <v>-371.68561136446306</v>
      </c>
      <c r="AN21" s="1194">
        <f t="shared" si="25"/>
        <v>1695.9704644640001</v>
      </c>
      <c r="AO21" s="1194"/>
      <c r="AP21" s="1194">
        <f>U21</f>
        <v>1496.1302391594631</v>
      </c>
      <c r="AQ21" s="1194">
        <f>W21</f>
        <v>199.84022530453694</v>
      </c>
      <c r="AR21" s="1195">
        <f>AN21/AP21</f>
        <v>1.1335714098104244</v>
      </c>
      <c r="AS21" s="1194"/>
      <c r="AT21" s="1194"/>
      <c r="AX21" s="1194"/>
      <c r="AY21" s="1194"/>
      <c r="AZ21" s="1194"/>
    </row>
    <row r="22" spans="2:53" s="404" customFormat="1" ht="16.5" hidden="1" customHeight="1">
      <c r="B22" s="409" t="s">
        <v>588</v>
      </c>
      <c r="C22" s="364">
        <f>Card!K112/10^9+Paylater!N15/10^9</f>
        <v>64.219396633000002</v>
      </c>
      <c r="D22" s="364">
        <f>Card!L112/10^9+Paylater!O15/10^9</f>
        <v>71.377098430000004</v>
      </c>
      <c r="E22" s="364">
        <f>Card!M112/10^9+Paylater!P15/10^9</f>
        <v>77.880640774</v>
      </c>
      <c r="F22" s="364">
        <f>Card!N112/10^9+Paylater!Q15/10^9</f>
        <v>86.524040970999991</v>
      </c>
      <c r="G22" s="364">
        <f>Card!O112/10^9+Paylater!R15/10^9</f>
        <v>95.071551393999997</v>
      </c>
      <c r="H22" s="364">
        <f>Card!P112/10^9+Paylater!S15/10^9</f>
        <v>92.138447342000006</v>
      </c>
      <c r="I22" s="364">
        <f>Card!Q112/10^9+Paylater!T15/10^9</f>
        <v>92.190665945999996</v>
      </c>
      <c r="J22" s="364">
        <f>Card!R112/10^9+Paylater!U15/10^9</f>
        <v>99.618972472999999</v>
      </c>
      <c r="K22" s="364">
        <f>Card!S112/10^9+Paylater!V15/10^9</f>
        <v>123.67711650300001</v>
      </c>
      <c r="L22" s="364">
        <f>Card!T112/10^9+Paylater!W15/10^9</f>
        <v>123.29202468</v>
      </c>
      <c r="M22" s="364">
        <f>Card!U112/10^9+Paylater!X15/10^9</f>
        <v>137.242515185</v>
      </c>
      <c r="N22" s="364">
        <f>Card!V112/10^9+Paylater!Y15/10^9</f>
        <v>145.06653084199999</v>
      </c>
      <c r="O22" s="364">
        <f>Card!W112/10^9+Paylater!Z15/10^9</f>
        <v>157.79634831300001</v>
      </c>
      <c r="P22" s="364">
        <f>Card!X112/10^9+Paylater!AA15/10^9</f>
        <v>161.995959223</v>
      </c>
      <c r="Q22" s="364"/>
      <c r="R22" s="349"/>
      <c r="S22" s="364"/>
      <c r="T22" s="364"/>
      <c r="U22" s="364"/>
      <c r="V22" s="364"/>
      <c r="W22" s="362"/>
      <c r="X22" s="517"/>
      <c r="AD22" s="1196" t="s">
        <v>217</v>
      </c>
      <c r="AE22" s="1197">
        <f>J25</f>
        <v>31.341778758086878</v>
      </c>
      <c r="AF22" s="1197"/>
      <c r="AG22" s="1197"/>
      <c r="AH22" s="1197"/>
      <c r="AI22" s="1197"/>
      <c r="AJ22" s="1197"/>
      <c r="AK22" s="1197"/>
      <c r="AL22" s="1197">
        <f t="shared" ref="AL22:AN23" si="27">R25</f>
        <v>6.5766092509765954</v>
      </c>
      <c r="AM22" s="1197">
        <f t="shared" si="27"/>
        <v>0.20901825614928882</v>
      </c>
      <c r="AN22" s="1197">
        <f t="shared" si="27"/>
        <v>330.75432087285299</v>
      </c>
      <c r="AO22" s="1197"/>
      <c r="AP22" s="1197">
        <f>U25</f>
        <v>294.33226615918556</v>
      </c>
      <c r="AQ22" s="1197">
        <f>W25</f>
        <v>36.422054713667421</v>
      </c>
      <c r="AR22" s="1195">
        <f>AN22/AP22</f>
        <v>1.1237446889155165</v>
      </c>
      <c r="AS22" s="1197"/>
      <c r="AT22" s="1197"/>
      <c r="AX22" s="1197"/>
      <c r="AY22" s="1197"/>
      <c r="AZ22" s="1197"/>
    </row>
    <row r="23" spans="2:53" s="404" customFormat="1" ht="16.5" hidden="1" customHeight="1">
      <c r="B23" s="409" t="s">
        <v>589</v>
      </c>
      <c r="C23" s="364">
        <f>Card!K113/10^9+Paylater!N16/10^9</f>
        <v>80.883759351000009</v>
      </c>
      <c r="D23" s="364">
        <f>Card!L113/10^9+Paylater!O16/10^9</f>
        <v>94.292623171999992</v>
      </c>
      <c r="E23" s="364">
        <f>Card!M113/10^9+Paylater!P16/10^9</f>
        <v>96.436050799</v>
      </c>
      <c r="F23" s="364">
        <f>Card!N113/10^9+Paylater!Q16/10^9</f>
        <v>72.223227488999996</v>
      </c>
      <c r="G23" s="364">
        <f>Card!O113/10^9+Paylater!R16/10^9</f>
        <v>83.124872952999993</v>
      </c>
      <c r="H23" s="364">
        <f>Card!P113/10^9+Paylater!S16/10^9</f>
        <v>84.477172942999999</v>
      </c>
      <c r="I23" s="364">
        <f>Card!Q113/10^9+Paylater!T16/10^9</f>
        <v>92.683663562999996</v>
      </c>
      <c r="J23" s="364">
        <f>Card!R113/10^9+Paylater!U16/10^9</f>
        <v>116.975624103</v>
      </c>
      <c r="K23" s="364">
        <f>Card!S113/10^9+Paylater!V16/10^9</f>
        <v>112.87340229</v>
      </c>
      <c r="L23" s="364">
        <f>Card!T113/10^9+Paylater!W16/10^9</f>
        <v>119.347267495</v>
      </c>
      <c r="M23" s="364">
        <f>Card!U113/10^9+Paylater!X16/10^9</f>
        <v>122.19326120299999</v>
      </c>
      <c r="N23" s="364">
        <f>Card!V113/10^9+Paylater!Y16/10^9</f>
        <v>98.165556737000003</v>
      </c>
      <c r="O23" s="364">
        <f>Card!W113/10^9+Paylater!Z16/10^9</f>
        <v>96.928790684000006</v>
      </c>
      <c r="P23" s="364">
        <f>Card!X113/10^9+Paylater!AA16/10^9</f>
        <v>108.615164662</v>
      </c>
      <c r="Q23" s="364"/>
      <c r="R23" s="349"/>
      <c r="S23" s="364"/>
      <c r="T23" s="364"/>
      <c r="U23" s="364"/>
      <c r="V23" s="364"/>
      <c r="W23" s="362"/>
      <c r="X23" s="517"/>
      <c r="AD23" s="1198" t="s">
        <v>254</v>
      </c>
      <c r="AE23" s="1194">
        <f>J26</f>
        <v>13.986199390753544</v>
      </c>
      <c r="AF23" s="1194"/>
      <c r="AG23" s="1194"/>
      <c r="AH23" s="1194"/>
      <c r="AI23" s="1194"/>
      <c r="AJ23" s="1194"/>
      <c r="AK23" s="1194"/>
      <c r="AL23" s="1194">
        <f t="shared" si="27"/>
        <v>1.9800515486432637</v>
      </c>
      <c r="AM23" s="1194">
        <f t="shared" si="27"/>
        <v>-4.6538792187120457</v>
      </c>
      <c r="AN23" s="1194">
        <f t="shared" si="27"/>
        <v>165.78730218079383</v>
      </c>
      <c r="AO23" s="1194"/>
      <c r="AP23" s="1194">
        <f>U26</f>
        <v>172.85956658886067</v>
      </c>
      <c r="AQ23" s="1194">
        <f>W26</f>
        <v>-7.0722644080668431</v>
      </c>
      <c r="AR23" s="1195">
        <f>AN23/AP23</f>
        <v>0.95908664734253368</v>
      </c>
      <c r="AS23" s="1194"/>
      <c r="AT23" s="1194"/>
      <c r="AX23" s="1194"/>
      <c r="AY23" s="1194"/>
      <c r="AZ23" s="1194"/>
    </row>
    <row r="24" spans="2:53" s="404" customFormat="1" ht="16.5" hidden="1" customHeight="1">
      <c r="B24" s="409" t="s">
        <v>590</v>
      </c>
      <c r="C24" s="364">
        <f>Card!K115/10^9+Paylater!N17/10^9</f>
        <v>63.423136513999999</v>
      </c>
      <c r="D24" s="364">
        <f>Card!L115/10^9+Paylater!O17/10^9</f>
        <v>69.636842203</v>
      </c>
      <c r="E24" s="364">
        <f>Card!M115/10^9+Paylater!P17/10^9</f>
        <v>75.997148862000003</v>
      </c>
      <c r="F24" s="364">
        <f>Card!N115/10^9+Paylater!Q17/10^9</f>
        <v>50.463492198000004</v>
      </c>
      <c r="G24" s="364">
        <f>Card!O115/10^9+Paylater!R17/10^9</f>
        <v>53.423889696000003</v>
      </c>
      <c r="H24" s="364">
        <f>Card!P115/10^9+Paylater!S17/10^9</f>
        <v>61.008620221999998</v>
      </c>
      <c r="I24" s="364">
        <f>Card!Q115/10^9+Paylater!T17/10^9</f>
        <v>67.239246102999999</v>
      </c>
      <c r="J24" s="364">
        <f>Card!R115/10^9+Paylater!U17/10^9</f>
        <v>83.243440383000006</v>
      </c>
      <c r="K24" s="364">
        <f>Card!S115/10^9+Paylater!V17/10^9</f>
        <v>86.502205855</v>
      </c>
      <c r="L24" s="364">
        <f>Card!T115/10^9+Paylater!W17/10^9</f>
        <v>91.401548876999996</v>
      </c>
      <c r="M24" s="364">
        <f>Card!U115/10^9+Paylater!X17/10^9</f>
        <v>78.150147078000003</v>
      </c>
      <c r="N24" s="364">
        <f>Card!V115/10^9+Paylater!Y17/10^9</f>
        <v>66.302420041999994</v>
      </c>
      <c r="O24" s="364">
        <f>Card!W115/10^9+Paylater!Z17/10^9</f>
        <v>59.382085280000005</v>
      </c>
      <c r="P24" s="364">
        <f>Card!X115/10^9+Paylater!AA17/10^9</f>
        <v>54.181585589000001</v>
      </c>
      <c r="Q24" s="364"/>
      <c r="R24" s="349"/>
      <c r="S24" s="364"/>
      <c r="T24" s="364"/>
      <c r="U24" s="364"/>
      <c r="V24" s="364"/>
      <c r="W24" s="362"/>
      <c r="X24" s="517"/>
      <c r="AD24" s="1198" t="s">
        <v>260</v>
      </c>
      <c r="AE24" s="1194">
        <f>J29</f>
        <v>16.560017709333334</v>
      </c>
      <c r="AF24" s="1194"/>
      <c r="AG24" s="1194"/>
      <c r="AH24" s="1194"/>
      <c r="AI24" s="1194"/>
      <c r="AJ24" s="1194"/>
      <c r="AK24" s="1194"/>
      <c r="AL24" s="1194">
        <f>R29</f>
        <v>7.1482388573333324</v>
      </c>
      <c r="AM24" s="1194">
        <f>S29</f>
        <v>4.0673358168613341</v>
      </c>
      <c r="AN24" s="1194">
        <f>T29</f>
        <v>150.49734853405917</v>
      </c>
      <c r="AO24" s="1194"/>
      <c r="AP24" s="1194">
        <f>U29</f>
        <v>121.47269957032489</v>
      </c>
      <c r="AQ24" s="1194">
        <f>W29</f>
        <v>29.024648963734279</v>
      </c>
      <c r="AR24" s="1195">
        <f>AN24/AP24</f>
        <v>1.2389396882295423</v>
      </c>
      <c r="AS24" s="1194"/>
      <c r="AT24" s="1208">
        <f>AN22-AN26-AN28</f>
        <v>10.446808623708762</v>
      </c>
      <c r="AX24" s="1194"/>
      <c r="AY24" s="1194"/>
      <c r="AZ24" s="1194"/>
    </row>
    <row r="25" spans="2:53" s="404" customFormat="1" ht="16.5" hidden="1" customHeight="1">
      <c r="B25" s="361" t="s">
        <v>217</v>
      </c>
      <c r="C25" s="364">
        <f t="shared" ref="C25:Q25" si="28">C26+C29+C32</f>
        <v>20.363264105461834</v>
      </c>
      <c r="D25" s="364">
        <f t="shared" si="28"/>
        <v>14.196370900146551</v>
      </c>
      <c r="E25" s="364">
        <f t="shared" si="28"/>
        <v>15.725648265390486</v>
      </c>
      <c r="F25" s="364">
        <f t="shared" si="28"/>
        <v>14.251353149402505</v>
      </c>
      <c r="G25" s="364">
        <f t="shared" si="28"/>
        <v>14.850604151367007</v>
      </c>
      <c r="H25" s="364">
        <f t="shared" si="28"/>
        <v>18.616857278758921</v>
      </c>
      <c r="I25" s="364">
        <f t="shared" si="28"/>
        <v>24.765169507110283</v>
      </c>
      <c r="J25" s="364">
        <f t="shared" si="28"/>
        <v>31.341778758086878</v>
      </c>
      <c r="K25" s="364">
        <f t="shared" si="28"/>
        <v>22.856760049337119</v>
      </c>
      <c r="L25" s="364">
        <f t="shared" si="28"/>
        <v>32.791060137438336</v>
      </c>
      <c r="M25" s="364">
        <f t="shared" si="28"/>
        <v>38.389992665941165</v>
      </c>
      <c r="N25" s="364">
        <f t="shared" si="28"/>
        <v>35.629908409254675</v>
      </c>
      <c r="O25" s="364">
        <f t="shared" si="28"/>
        <v>38.080499871024131</v>
      </c>
      <c r="P25" s="364">
        <f t="shared" si="28"/>
        <v>40.291832583741467</v>
      </c>
      <c r="Q25" s="364">
        <f t="shared" si="28"/>
        <v>31.132760501937589</v>
      </c>
      <c r="R25" s="349">
        <f t="shared" ref="R25:R50" si="29">J25-I25</f>
        <v>6.5766092509765954</v>
      </c>
      <c r="S25" s="364">
        <f t="shared" ref="S25:S47" si="30">J25-Q25</f>
        <v>0.20901825614928882</v>
      </c>
      <c r="T25" s="364">
        <f>T26+T29+T32</f>
        <v>330.75432087285299</v>
      </c>
      <c r="U25" s="364">
        <f>U26+U29+U32</f>
        <v>294.33226615918556</v>
      </c>
      <c r="V25" s="364">
        <f>V26+V29+V32</f>
        <v>294.33226615918556</v>
      </c>
      <c r="W25" s="362">
        <f t="shared" ref="W25:W47" si="31">T25-U25</f>
        <v>36.422054713667421</v>
      </c>
      <c r="X25" s="517">
        <f t="shared" ref="X25:X47" si="32">T25/V25</f>
        <v>1.1237446889155165</v>
      </c>
      <c r="AD25" s="1198" t="s">
        <v>89</v>
      </c>
      <c r="AE25" s="1194">
        <f>J32</f>
        <v>0.795561658</v>
      </c>
      <c r="AF25" s="1194"/>
      <c r="AG25" s="1194"/>
      <c r="AH25" s="1194"/>
      <c r="AI25" s="1194"/>
      <c r="AJ25" s="1194"/>
      <c r="AK25" s="1194"/>
      <c r="AL25" s="1194">
        <f>R32</f>
        <v>-2.5516811549999998</v>
      </c>
      <c r="AM25" s="1194">
        <f>S32</f>
        <v>0.795561658</v>
      </c>
      <c r="AN25" s="1194">
        <f>T32</f>
        <v>14.469670158</v>
      </c>
      <c r="AO25" s="1194"/>
      <c r="AP25" s="1194">
        <f>U32</f>
        <v>0</v>
      </c>
      <c r="AQ25" s="1194">
        <f>W32</f>
        <v>14.469670158</v>
      </c>
      <c r="AR25" s="1195"/>
      <c r="AS25" s="1194"/>
      <c r="AT25" s="1194"/>
      <c r="AX25" s="1194"/>
      <c r="AY25" s="1194"/>
      <c r="AZ25" s="1194"/>
    </row>
    <row r="26" spans="2:53" s="404" customFormat="1" ht="16.5" hidden="1" customHeight="1">
      <c r="B26" s="361" t="s">
        <v>591</v>
      </c>
      <c r="C26" s="362">
        <f t="shared" ref="C26:Q26" si="33">C27-C28</f>
        <v>8.6483655180000021</v>
      </c>
      <c r="D26" s="362">
        <f t="shared" si="33"/>
        <v>7.8727237089999997</v>
      </c>
      <c r="E26" s="362">
        <f t="shared" si="33"/>
        <v>9.5145717909999998</v>
      </c>
      <c r="F26" s="362">
        <f t="shared" si="33"/>
        <v>9.7258744230000005</v>
      </c>
      <c r="G26" s="362">
        <f t="shared" si="33"/>
        <v>8.8148770702429875</v>
      </c>
      <c r="H26" s="362">
        <f t="shared" si="33"/>
        <v>11.982573779616772</v>
      </c>
      <c r="I26" s="362">
        <f t="shared" si="33"/>
        <v>12.006147842110281</v>
      </c>
      <c r="J26" s="362">
        <f t="shared" si="33"/>
        <v>13.986199390753544</v>
      </c>
      <c r="K26" s="362">
        <f t="shared" si="33"/>
        <v>13.31890676531712</v>
      </c>
      <c r="L26" s="362">
        <f t="shared" si="33"/>
        <v>16.810284198438335</v>
      </c>
      <c r="M26" s="362">
        <f t="shared" si="33"/>
        <v>17.313855307274498</v>
      </c>
      <c r="N26" s="362">
        <f t="shared" si="33"/>
        <v>17.378297444254674</v>
      </c>
      <c r="O26" s="362">
        <f t="shared" si="33"/>
        <v>18.033678911044134</v>
      </c>
      <c r="P26" s="362">
        <f t="shared" si="33"/>
        <v>16.902035257741474</v>
      </c>
      <c r="Q26" s="362">
        <f t="shared" si="33"/>
        <v>18.64007860946559</v>
      </c>
      <c r="R26" s="349">
        <f t="shared" si="29"/>
        <v>1.9800515486432637</v>
      </c>
      <c r="S26" s="364">
        <f t="shared" si="30"/>
        <v>-4.6538792187120457</v>
      </c>
      <c r="T26" s="362">
        <f>T27-T28</f>
        <v>165.78730218079383</v>
      </c>
      <c r="U26" s="362">
        <f>U27-U28</f>
        <v>172.85956658886067</v>
      </c>
      <c r="V26" s="362">
        <f>V27-V28</f>
        <v>172.85956658886067</v>
      </c>
      <c r="W26" s="362">
        <f t="shared" si="31"/>
        <v>-7.0722644080668431</v>
      </c>
      <c r="X26" s="517">
        <f t="shared" si="32"/>
        <v>0.95908664734253368</v>
      </c>
      <c r="AD26" s="1196" t="s">
        <v>592</v>
      </c>
      <c r="AE26" s="1197">
        <f>J43</f>
        <v>22.386476491</v>
      </c>
      <c r="AF26" s="1197"/>
      <c r="AG26" s="1197"/>
      <c r="AH26" s="1197"/>
      <c r="AI26" s="1197"/>
      <c r="AJ26" s="1197"/>
      <c r="AK26" s="1197"/>
      <c r="AL26" s="1197">
        <f>R43</f>
        <v>11.394551189</v>
      </c>
      <c r="AM26" s="1197">
        <f>S43</f>
        <v>1.3696334419957878</v>
      </c>
      <c r="AN26" s="1197">
        <f>T43</f>
        <v>273.83427258799998</v>
      </c>
      <c r="AO26" s="1197"/>
      <c r="AP26" s="1197">
        <f>U43</f>
        <v>221.53002250926522</v>
      </c>
      <c r="AQ26" s="1197">
        <f>W43</f>
        <v>52.304250078734754</v>
      </c>
      <c r="AR26" s="1195">
        <f>AN26/AP26</f>
        <v>1.2361045671655957</v>
      </c>
      <c r="AS26" s="1197"/>
      <c r="AT26" s="1197"/>
      <c r="AX26" s="1197"/>
      <c r="AY26" s="1197"/>
      <c r="AZ26" s="1197"/>
    </row>
    <row r="27" spans="2:53" s="404" customFormat="1" ht="16.5" hidden="1" customHeight="1">
      <c r="B27" s="409" t="s">
        <v>255</v>
      </c>
      <c r="C27" s="365">
        <f t="shared" ref="C27:Q27" si="34">C59+C113</f>
        <v>11.284608654000001</v>
      </c>
      <c r="D27" s="365">
        <f t="shared" si="34"/>
        <v>10.839243646</v>
      </c>
      <c r="E27" s="365">
        <f t="shared" si="34"/>
        <v>12.85221376</v>
      </c>
      <c r="F27" s="365">
        <f t="shared" si="34"/>
        <v>12.907680669000001</v>
      </c>
      <c r="G27" s="365">
        <f t="shared" si="34"/>
        <v>12.390712791999999</v>
      </c>
      <c r="H27" s="365">
        <f t="shared" si="34"/>
        <v>15.474993272999999</v>
      </c>
      <c r="I27" s="365">
        <f t="shared" si="34"/>
        <v>16.053406218999999</v>
      </c>
      <c r="J27" s="365">
        <f t="shared" si="34"/>
        <v>18.217002762</v>
      </c>
      <c r="K27" s="365">
        <f t="shared" si="34"/>
        <v>18.359132206000002</v>
      </c>
      <c r="L27" s="365">
        <f t="shared" si="34"/>
        <v>22.599524604999999</v>
      </c>
      <c r="M27" s="365">
        <f t="shared" si="34"/>
        <v>23.40707518</v>
      </c>
      <c r="N27" s="365">
        <f t="shared" si="34"/>
        <v>24.257568974999998</v>
      </c>
      <c r="O27" s="365">
        <f t="shared" si="34"/>
        <v>24.951518432</v>
      </c>
      <c r="P27" s="365">
        <f t="shared" si="34"/>
        <v>26.011083691</v>
      </c>
      <c r="Q27" s="365">
        <f t="shared" si="34"/>
        <v>25.35400541117211</v>
      </c>
      <c r="R27" s="349">
        <f t="shared" si="29"/>
        <v>2.1635965430000006</v>
      </c>
      <c r="S27" s="364">
        <f t="shared" si="30"/>
        <v>-7.1370026491721106</v>
      </c>
      <c r="T27" s="365">
        <f t="shared" ref="T27:V28" si="35">T59+T113</f>
        <v>227.481912564</v>
      </c>
      <c r="U27" s="365">
        <f t="shared" si="35"/>
        <v>236.06901343644913</v>
      </c>
      <c r="V27" s="365">
        <f t="shared" si="35"/>
        <v>236.06901343644913</v>
      </c>
      <c r="W27" s="362">
        <f t="shared" si="31"/>
        <v>-8.5871008724491276</v>
      </c>
      <c r="X27" s="517">
        <f t="shared" si="32"/>
        <v>0.96362461660068399</v>
      </c>
      <c r="AD27" s="1196" t="s">
        <v>577</v>
      </c>
      <c r="AE27" s="1197">
        <f t="shared" ref="AE27:AQ27" si="36">SUM(AE28:AE29)</f>
        <v>6.8311144036860751</v>
      </c>
      <c r="AF27" s="1197"/>
      <c r="AG27" s="1197"/>
      <c r="AH27" s="1197"/>
      <c r="AI27" s="1197"/>
      <c r="AJ27" s="1197"/>
      <c r="AK27" s="1197"/>
      <c r="AL27" s="1197">
        <f t="shared" si="36"/>
        <v>0.14272092044002949</v>
      </c>
      <c r="AM27" s="1197">
        <f t="shared" si="36"/>
        <v>-4.6076438442470842</v>
      </c>
      <c r="AN27" s="1197">
        <f t="shared" si="36"/>
        <v>97.608543372602881</v>
      </c>
      <c r="AO27" s="1197"/>
      <c r="AP27" s="1197">
        <f t="shared" si="36"/>
        <v>124.98152783423319</v>
      </c>
      <c r="AQ27" s="1197">
        <f t="shared" si="36"/>
        <v>-27.372984461630303</v>
      </c>
      <c r="AR27" s="1195">
        <f>AN27/AP27</f>
        <v>0.78098375867243408</v>
      </c>
      <c r="AS27" s="1197"/>
      <c r="AT27" s="1197"/>
      <c r="AX27" s="1197"/>
      <c r="AY27" s="1197"/>
      <c r="AZ27" s="1197"/>
    </row>
    <row r="28" spans="2:53" s="404" customFormat="1" ht="16.5" hidden="1" customHeight="1">
      <c r="B28" s="409" t="s">
        <v>219</v>
      </c>
      <c r="C28" s="365">
        <f t="shared" ref="C28:Q28" si="37">C60+C114</f>
        <v>2.636243136</v>
      </c>
      <c r="D28" s="365">
        <f t="shared" si="37"/>
        <v>2.9665199370000002</v>
      </c>
      <c r="E28" s="365">
        <f t="shared" si="37"/>
        <v>3.3376419690000003</v>
      </c>
      <c r="F28" s="365">
        <f t="shared" si="37"/>
        <v>3.1818062459999998</v>
      </c>
      <c r="G28" s="365">
        <f t="shared" si="37"/>
        <v>3.5758357217570111</v>
      </c>
      <c r="H28" s="365">
        <f t="shared" si="37"/>
        <v>3.492419493383228</v>
      </c>
      <c r="I28" s="365">
        <f t="shared" si="37"/>
        <v>4.0472583768897197</v>
      </c>
      <c r="J28" s="365">
        <f t="shared" si="37"/>
        <v>4.2308033712464548</v>
      </c>
      <c r="K28" s="365">
        <f t="shared" si="37"/>
        <v>5.0402254406828826</v>
      </c>
      <c r="L28" s="365">
        <f t="shared" si="37"/>
        <v>5.7892404065616647</v>
      </c>
      <c r="M28" s="365">
        <f t="shared" si="37"/>
        <v>6.0932198727255011</v>
      </c>
      <c r="N28" s="365">
        <f t="shared" si="37"/>
        <v>6.8792715307453243</v>
      </c>
      <c r="O28" s="365">
        <f t="shared" si="37"/>
        <v>6.917839520955865</v>
      </c>
      <c r="P28" s="365">
        <f t="shared" si="37"/>
        <v>9.1090484332585273</v>
      </c>
      <c r="Q28" s="365">
        <f t="shared" si="37"/>
        <v>6.7139268017065206</v>
      </c>
      <c r="R28" s="349">
        <f t="shared" si="29"/>
        <v>0.1835449943567351</v>
      </c>
      <c r="S28" s="364">
        <f t="shared" si="30"/>
        <v>-2.4831234304600658</v>
      </c>
      <c r="T28" s="365">
        <f t="shared" si="35"/>
        <v>61.694610383206168</v>
      </c>
      <c r="U28" s="365">
        <f t="shared" si="35"/>
        <v>63.20944684758846</v>
      </c>
      <c r="V28" s="365">
        <f t="shared" si="35"/>
        <v>63.20944684758846</v>
      </c>
      <c r="W28" s="362">
        <f t="shared" si="31"/>
        <v>-1.5148364643822916</v>
      </c>
      <c r="X28" s="517">
        <f t="shared" si="32"/>
        <v>0.97603465083257435</v>
      </c>
      <c r="AD28" s="1198" t="s">
        <v>229</v>
      </c>
      <c r="AE28" s="1194">
        <f>J33</f>
        <v>3.1369437602473971</v>
      </c>
      <c r="AF28" s="1194"/>
      <c r="AG28" s="1194"/>
      <c r="AH28" s="1194"/>
      <c r="AI28" s="1194"/>
      <c r="AJ28" s="1194"/>
      <c r="AK28" s="1194"/>
      <c r="AL28" s="1194">
        <f>R33</f>
        <v>-0.20985126390887032</v>
      </c>
      <c r="AM28" s="1194">
        <f>S33</f>
        <v>-2.5923699267940368</v>
      </c>
      <c r="AN28" s="1194">
        <f>T33</f>
        <v>46.473239661144248</v>
      </c>
      <c r="AO28" s="1194"/>
      <c r="AP28" s="1194">
        <f>U33</f>
        <v>56.468193103532478</v>
      </c>
      <c r="AQ28" s="1194">
        <f>W33</f>
        <v>-9.9949534423882298</v>
      </c>
      <c r="AR28" s="1195">
        <f>AN28/AP28</f>
        <v>0.82299852548738672</v>
      </c>
      <c r="AS28" s="1194"/>
      <c r="AT28" s="1194"/>
      <c r="AX28" s="1194"/>
      <c r="AY28" s="1194"/>
      <c r="AZ28" s="1194"/>
    </row>
    <row r="29" spans="2:53" s="404" customFormat="1" ht="16.5" hidden="1" customHeight="1">
      <c r="B29" s="361" t="s">
        <v>593</v>
      </c>
      <c r="C29" s="362">
        <f t="shared" ref="C29:Q29" si="38">C30-C31</f>
        <v>11.556590622461833</v>
      </c>
      <c r="D29" s="362">
        <f t="shared" si="38"/>
        <v>2.9673269411465526</v>
      </c>
      <c r="E29" s="362">
        <f t="shared" si="38"/>
        <v>5.9156666923904861</v>
      </c>
      <c r="F29" s="362">
        <f t="shared" si="38"/>
        <v>4.1177284564025047</v>
      </c>
      <c r="G29" s="362">
        <f t="shared" si="38"/>
        <v>5.065206603124019</v>
      </c>
      <c r="H29" s="362">
        <f t="shared" si="38"/>
        <v>5.1578996971421471</v>
      </c>
      <c r="I29" s="362">
        <f t="shared" si="38"/>
        <v>9.4117788520000012</v>
      </c>
      <c r="J29" s="362">
        <f t="shared" si="38"/>
        <v>16.560017709333334</v>
      </c>
      <c r="K29" s="362">
        <f t="shared" si="38"/>
        <v>8.6226353600199985</v>
      </c>
      <c r="L29" s="362">
        <f t="shared" si="38"/>
        <v>14.903556804999999</v>
      </c>
      <c r="M29" s="362">
        <f t="shared" si="38"/>
        <v>19.815658886666668</v>
      </c>
      <c r="N29" s="362">
        <f t="shared" si="38"/>
        <v>16.869696634</v>
      </c>
      <c r="O29" s="362">
        <f t="shared" si="38"/>
        <v>18.975010514979999</v>
      </c>
      <c r="P29" s="362">
        <f t="shared" si="38"/>
        <v>21.919636276999995</v>
      </c>
      <c r="Q29" s="362">
        <f t="shared" si="38"/>
        <v>12.492681892472</v>
      </c>
      <c r="R29" s="349">
        <f t="shared" si="29"/>
        <v>7.1482388573333324</v>
      </c>
      <c r="S29" s="364">
        <f t="shared" si="30"/>
        <v>4.0673358168613341</v>
      </c>
      <c r="T29" s="362">
        <f>T30-T31</f>
        <v>150.49734853405917</v>
      </c>
      <c r="U29" s="362">
        <f>U30-U31</f>
        <v>121.47269957032489</v>
      </c>
      <c r="V29" s="362">
        <f>V30-V31</f>
        <v>121.47269957032489</v>
      </c>
      <c r="W29" s="362">
        <f t="shared" si="31"/>
        <v>29.024648963734279</v>
      </c>
      <c r="X29" s="517">
        <f t="shared" si="32"/>
        <v>1.2389396882295423</v>
      </c>
      <c r="AD29" s="1198" t="s">
        <v>299</v>
      </c>
      <c r="AE29" s="1194">
        <f>J45+J47</f>
        <v>3.6941706434386781</v>
      </c>
      <c r="AF29" s="1194"/>
      <c r="AG29" s="1194"/>
      <c r="AH29" s="1194"/>
      <c r="AI29" s="1194"/>
      <c r="AJ29" s="1194"/>
      <c r="AK29" s="1194"/>
      <c r="AL29" s="1194">
        <f>R45+R47</f>
        <v>0.35257218434889981</v>
      </c>
      <c r="AM29" s="1194">
        <f>S45+S47</f>
        <v>-2.015273917453047</v>
      </c>
      <c r="AN29" s="1194">
        <f>T45+T47</f>
        <v>51.135303711458633</v>
      </c>
      <c r="AO29" s="1194"/>
      <c r="AP29" s="1194">
        <f>U45+U47</f>
        <v>68.513334730700706</v>
      </c>
      <c r="AQ29" s="1194">
        <f>W45+W47</f>
        <v>-17.378031019242073</v>
      </c>
      <c r="AR29" s="1195">
        <f>AN29/AP29</f>
        <v>0.74635549287524305</v>
      </c>
      <c r="AS29" s="1194"/>
      <c r="AT29" s="1194"/>
      <c r="AX29" s="1194"/>
      <c r="AY29" s="1194"/>
      <c r="AZ29" s="1194"/>
    </row>
    <row r="30" spans="2:53" s="404" customFormat="1" ht="16.5" hidden="1" customHeight="1">
      <c r="B30" s="409" t="s">
        <v>22</v>
      </c>
      <c r="C30" s="365">
        <f t="shared" ref="C30:Q30" si="39">C62+C116</f>
        <v>14.772332631999999</v>
      </c>
      <c r="D30" s="365">
        <f t="shared" si="39"/>
        <v>6.9402213780000004</v>
      </c>
      <c r="E30" s="365">
        <f t="shared" si="39"/>
        <v>10.231497614</v>
      </c>
      <c r="F30" s="365">
        <f t="shared" si="39"/>
        <v>8.1038618739999997</v>
      </c>
      <c r="G30" s="365">
        <f t="shared" si="39"/>
        <v>9.4665193580000011</v>
      </c>
      <c r="H30" s="365">
        <f t="shared" si="39"/>
        <v>9.4577218790000011</v>
      </c>
      <c r="I30" s="365">
        <f t="shared" si="39"/>
        <v>13.307931314000001</v>
      </c>
      <c r="J30" s="365">
        <f t="shared" si="39"/>
        <v>17.535712983</v>
      </c>
      <c r="K30" s="365">
        <f t="shared" si="39"/>
        <v>12.536652585999999</v>
      </c>
      <c r="L30" s="365">
        <f t="shared" si="39"/>
        <v>19.123049650999999</v>
      </c>
      <c r="M30" s="365">
        <f t="shared" si="39"/>
        <v>24.370824112000001</v>
      </c>
      <c r="N30" s="365">
        <f t="shared" si="39"/>
        <v>21.501502479999999</v>
      </c>
      <c r="O30" s="365">
        <f t="shared" si="39"/>
        <v>23.601168828999999</v>
      </c>
      <c r="P30" s="365">
        <f t="shared" si="39"/>
        <v>26.602383571999997</v>
      </c>
      <c r="Q30" s="365">
        <f t="shared" si="39"/>
        <v>17.250621106299853</v>
      </c>
      <c r="R30" s="349">
        <f t="shared" si="29"/>
        <v>4.2277816689999987</v>
      </c>
      <c r="S30" s="364">
        <f t="shared" si="30"/>
        <v>0.28509187670014668</v>
      </c>
      <c r="T30" s="365">
        <f t="shared" ref="T30:V31" si="40">T62+T116</f>
        <v>195.83882625200002</v>
      </c>
      <c r="U30" s="365">
        <f t="shared" si="40"/>
        <v>164.59325280796338</v>
      </c>
      <c r="V30" s="365">
        <f t="shared" si="40"/>
        <v>164.59325280796338</v>
      </c>
      <c r="W30" s="362">
        <f t="shared" si="31"/>
        <v>31.245573444036637</v>
      </c>
      <c r="X30" s="517">
        <f t="shared" si="32"/>
        <v>1.189835080788469</v>
      </c>
      <c r="AD30" s="1196" t="s">
        <v>489</v>
      </c>
      <c r="AE30" s="1197">
        <f>AE22-AE26-AE27</f>
        <v>2.1241878634008033</v>
      </c>
      <c r="AF30" s="1197"/>
      <c r="AG30" s="1197"/>
      <c r="AH30" s="1197"/>
      <c r="AI30" s="1197"/>
      <c r="AJ30" s="1197"/>
      <c r="AK30" s="1197"/>
      <c r="AL30" s="1197">
        <f>AL22-AL26-AL27</f>
        <v>-4.9606628584634338</v>
      </c>
      <c r="AM30" s="1197">
        <f>AM22-AM26-AM27</f>
        <v>3.4470286584005851</v>
      </c>
      <c r="AN30" s="1197">
        <f>AN22-AN26-AN27</f>
        <v>-40.688495087749871</v>
      </c>
      <c r="AO30" s="1197"/>
      <c r="AP30" s="1197">
        <f>AP22-AP26-AP27</f>
        <v>-52.179284184312849</v>
      </c>
      <c r="AQ30" s="1197">
        <f>W51</f>
        <v>9.147296928111885</v>
      </c>
      <c r="AR30" s="1195">
        <f>AN30/AP30</f>
        <v>0.77978254634590094</v>
      </c>
      <c r="AS30" s="1197"/>
      <c r="AT30" s="1197"/>
      <c r="AX30" s="1197"/>
      <c r="AY30" s="1197"/>
      <c r="AZ30" s="1197"/>
      <c r="BA30" s="1197"/>
    </row>
    <row r="31" spans="2:53" s="404" customFormat="1" ht="16.5" hidden="1" customHeight="1">
      <c r="B31" s="409" t="s">
        <v>295</v>
      </c>
      <c r="C31" s="365">
        <f t="shared" ref="C31:Q31" si="41">C63+C117</f>
        <v>3.2157420095381664</v>
      </c>
      <c r="D31" s="365">
        <f t="shared" si="41"/>
        <v>3.9728944368534478</v>
      </c>
      <c r="E31" s="365">
        <f t="shared" si="41"/>
        <v>4.3158309216095141</v>
      </c>
      <c r="F31" s="365">
        <f t="shared" si="41"/>
        <v>3.9861334175974945</v>
      </c>
      <c r="G31" s="365">
        <f t="shared" si="41"/>
        <v>4.4013127548759821</v>
      </c>
      <c r="H31" s="365">
        <f t="shared" si="41"/>
        <v>4.2998221818578539</v>
      </c>
      <c r="I31" s="365">
        <f t="shared" si="41"/>
        <v>3.8961524619999999</v>
      </c>
      <c r="J31" s="365">
        <f t="shared" si="41"/>
        <v>0.97569527366666664</v>
      </c>
      <c r="K31" s="365">
        <f t="shared" si="41"/>
        <v>3.9140172259799999</v>
      </c>
      <c r="L31" s="365">
        <f t="shared" si="41"/>
        <v>4.2194928459999996</v>
      </c>
      <c r="M31" s="365">
        <f t="shared" si="41"/>
        <v>4.555165225333333</v>
      </c>
      <c r="N31" s="365">
        <f t="shared" si="41"/>
        <v>4.6318058459999998</v>
      </c>
      <c r="O31" s="365">
        <f t="shared" si="41"/>
        <v>4.6261583140200004</v>
      </c>
      <c r="P31" s="365">
        <f t="shared" si="41"/>
        <v>4.6827472950000004</v>
      </c>
      <c r="Q31" s="365">
        <f t="shared" si="41"/>
        <v>4.7579392138278536</v>
      </c>
      <c r="R31" s="349">
        <f t="shared" si="29"/>
        <v>-2.9204571883333332</v>
      </c>
      <c r="S31" s="364">
        <f t="shared" si="30"/>
        <v>-3.7822439401611869</v>
      </c>
      <c r="T31" s="365">
        <f t="shared" si="40"/>
        <v>45.34147771794084</v>
      </c>
      <c r="U31" s="365">
        <f t="shared" si="40"/>
        <v>43.120553237638482</v>
      </c>
      <c r="V31" s="365">
        <f t="shared" si="40"/>
        <v>43.120553237638482</v>
      </c>
      <c r="W31" s="362">
        <f t="shared" si="31"/>
        <v>2.220924480302358</v>
      </c>
      <c r="X31" s="517">
        <f t="shared" si="32"/>
        <v>1.0515050089469582</v>
      </c>
    </row>
    <row r="32" spans="2:53" s="404" customFormat="1" ht="16.5" hidden="1" customHeight="1">
      <c r="B32" s="361" t="s">
        <v>89</v>
      </c>
      <c r="C32" s="365">
        <f t="shared" ref="C32:Q32" si="42">C64</f>
        <v>0.15830796499999999</v>
      </c>
      <c r="D32" s="365">
        <f t="shared" si="42"/>
        <v>3.35632025</v>
      </c>
      <c r="E32" s="365">
        <f t="shared" si="42"/>
        <v>0.29540978200000001</v>
      </c>
      <c r="F32" s="365">
        <f t="shared" si="42"/>
        <v>0.40775027000000003</v>
      </c>
      <c r="G32" s="365">
        <f t="shared" si="42"/>
        <v>0.97052047799999996</v>
      </c>
      <c r="H32" s="365">
        <f t="shared" si="42"/>
        <v>1.476383802</v>
      </c>
      <c r="I32" s="365">
        <f t="shared" si="42"/>
        <v>3.3472428129999998</v>
      </c>
      <c r="J32" s="365">
        <f t="shared" si="42"/>
        <v>0.795561658</v>
      </c>
      <c r="K32" s="365">
        <f t="shared" si="42"/>
        <v>0.91521792400000002</v>
      </c>
      <c r="L32" s="365">
        <f t="shared" si="42"/>
        <v>1.0772191339999999</v>
      </c>
      <c r="M32" s="365">
        <f t="shared" si="42"/>
        <v>1.260478472</v>
      </c>
      <c r="N32" s="365">
        <f t="shared" si="42"/>
        <v>1.3819143309999999</v>
      </c>
      <c r="O32" s="365">
        <f t="shared" si="42"/>
        <v>1.0718104449999999</v>
      </c>
      <c r="P32" s="365">
        <f t="shared" si="42"/>
        <v>1.4701610490000001</v>
      </c>
      <c r="Q32" s="365">
        <f t="shared" si="42"/>
        <v>0</v>
      </c>
      <c r="R32" s="349">
        <f t="shared" si="29"/>
        <v>-2.5516811549999998</v>
      </c>
      <c r="S32" s="364">
        <f t="shared" si="30"/>
        <v>0.795561658</v>
      </c>
      <c r="T32" s="365">
        <f>T64</f>
        <v>14.469670158</v>
      </c>
      <c r="U32" s="365">
        <f>U64</f>
        <v>0</v>
      </c>
      <c r="V32" s="365">
        <f>V64</f>
        <v>0</v>
      </c>
      <c r="W32" s="362">
        <f t="shared" si="31"/>
        <v>14.469670158</v>
      </c>
      <c r="X32" s="517" t="e">
        <f t="shared" si="32"/>
        <v>#DIV/0!</v>
      </c>
    </row>
    <row r="33" spans="2:24" s="404" customFormat="1" ht="16.5" hidden="1" customHeight="1">
      <c r="B33" s="361" t="s">
        <v>577</v>
      </c>
      <c r="C33" s="349">
        <f t="shared" ref="C33:Q33" si="43">C65+C119</f>
        <v>2.8798870235913467</v>
      </c>
      <c r="D33" s="349">
        <f t="shared" si="43"/>
        <v>3.434792671101647</v>
      </c>
      <c r="E33" s="349">
        <f t="shared" si="43"/>
        <v>3.1109318482559698</v>
      </c>
      <c r="F33" s="349">
        <f t="shared" si="43"/>
        <v>3.6225054211115602</v>
      </c>
      <c r="G33" s="349">
        <f t="shared" si="43"/>
        <v>3.3807008785142019</v>
      </c>
      <c r="H33" s="349">
        <f t="shared" si="43"/>
        <v>3.0950282738141586</v>
      </c>
      <c r="I33" s="349">
        <f t="shared" si="43"/>
        <v>3.3467950241562674</v>
      </c>
      <c r="J33" s="349">
        <f t="shared" si="43"/>
        <v>3.1369437602473971</v>
      </c>
      <c r="K33" s="349">
        <f t="shared" si="43"/>
        <v>3.4536580541467612</v>
      </c>
      <c r="L33" s="349">
        <f t="shared" si="43"/>
        <v>3.8753922072747637</v>
      </c>
      <c r="M33" s="349">
        <f t="shared" si="43"/>
        <v>3.941840020853363</v>
      </c>
      <c r="N33" s="349">
        <f t="shared" si="43"/>
        <v>4.1570731536887555</v>
      </c>
      <c r="O33" s="349">
        <f t="shared" si="43"/>
        <v>5.4641672732990045</v>
      </c>
      <c r="P33" s="349">
        <f t="shared" si="43"/>
        <v>4.894360006282044</v>
      </c>
      <c r="Q33" s="349">
        <f t="shared" si="43"/>
        <v>5.7293136870414338</v>
      </c>
      <c r="R33" s="349">
        <f t="shared" si="29"/>
        <v>-0.20985126390887032</v>
      </c>
      <c r="S33" s="364">
        <f t="shared" si="30"/>
        <v>-2.5923699267940368</v>
      </c>
      <c r="T33" s="349">
        <f t="shared" ref="T33:V35" si="44">T65+T119</f>
        <v>46.473239661144248</v>
      </c>
      <c r="U33" s="349">
        <f t="shared" si="44"/>
        <v>56.468193103532478</v>
      </c>
      <c r="V33" s="349">
        <f t="shared" si="44"/>
        <v>56.468193103532478</v>
      </c>
      <c r="W33" s="362">
        <f t="shared" si="31"/>
        <v>-9.9949534423882298</v>
      </c>
      <c r="X33" s="517">
        <f t="shared" si="32"/>
        <v>0.82299852548738672</v>
      </c>
    </row>
    <row r="34" spans="2:24" s="404" customFormat="1" ht="16.5" hidden="1" customHeight="1">
      <c r="B34" s="409" t="s">
        <v>232</v>
      </c>
      <c r="C34" s="365">
        <f t="shared" ref="C34:Q34" si="45">C66+C120</f>
        <v>0.70791115099999991</v>
      </c>
      <c r="D34" s="365">
        <f t="shared" si="45"/>
        <v>0.93438787799999989</v>
      </c>
      <c r="E34" s="365">
        <f t="shared" si="45"/>
        <v>0.76092817000000001</v>
      </c>
      <c r="F34" s="365">
        <f t="shared" si="45"/>
        <v>1.261680497</v>
      </c>
      <c r="G34" s="365">
        <f t="shared" si="45"/>
        <v>0.84271013699999997</v>
      </c>
      <c r="H34" s="365">
        <f t="shared" si="45"/>
        <v>0.81354774200000002</v>
      </c>
      <c r="I34" s="365">
        <f t="shared" si="45"/>
        <v>0.90686656399999999</v>
      </c>
      <c r="J34" s="365">
        <f t="shared" si="45"/>
        <v>1.1557090370000003</v>
      </c>
      <c r="K34" s="365">
        <f t="shared" si="45"/>
        <v>1.152201789</v>
      </c>
      <c r="L34" s="365">
        <f t="shared" si="45"/>
        <v>1.2199143279999998</v>
      </c>
      <c r="M34" s="365">
        <f t="shared" si="45"/>
        <v>1.2142800229999999</v>
      </c>
      <c r="N34" s="365">
        <f t="shared" si="45"/>
        <v>1.1484886719999998</v>
      </c>
      <c r="O34" s="365">
        <f t="shared" si="45"/>
        <v>1.1496749040000001</v>
      </c>
      <c r="P34" s="365">
        <f t="shared" si="45"/>
        <v>1.236537574</v>
      </c>
      <c r="Q34" s="365">
        <f t="shared" si="45"/>
        <v>1.4730093750000002</v>
      </c>
      <c r="R34" s="349">
        <f t="shared" si="29"/>
        <v>0.24884247300000029</v>
      </c>
      <c r="S34" s="364">
        <f t="shared" si="30"/>
        <v>-0.3173003379999999</v>
      </c>
      <c r="T34" s="365">
        <f t="shared" si="44"/>
        <v>12.862539437000001</v>
      </c>
      <c r="U34" s="365">
        <f t="shared" si="44"/>
        <v>15.968347031249998</v>
      </c>
      <c r="V34" s="365">
        <f t="shared" si="44"/>
        <v>15.968347031249998</v>
      </c>
      <c r="W34" s="362">
        <f t="shared" si="31"/>
        <v>-3.1058075942499972</v>
      </c>
      <c r="X34" s="517">
        <f t="shared" si="32"/>
        <v>0.80550224840605333</v>
      </c>
    </row>
    <row r="35" spans="2:24" s="404" customFormat="1" ht="16.5" hidden="1" customHeight="1">
      <c r="B35" s="409" t="s">
        <v>234</v>
      </c>
      <c r="C35" s="365">
        <f t="shared" ref="C35:Q35" si="46">C67+C121</f>
        <v>0.66724667561147344</v>
      </c>
      <c r="D35" s="365">
        <f t="shared" si="46"/>
        <v>0.94057014024462426</v>
      </c>
      <c r="E35" s="365">
        <f t="shared" si="46"/>
        <v>0.93119432868149543</v>
      </c>
      <c r="F35" s="365">
        <f t="shared" si="46"/>
        <v>1.2622349023124153</v>
      </c>
      <c r="G35" s="365">
        <f t="shared" si="46"/>
        <v>1.0924459062331369</v>
      </c>
      <c r="H35" s="365">
        <f t="shared" si="46"/>
        <v>1.1385980682931391</v>
      </c>
      <c r="I35" s="365">
        <f t="shared" si="46"/>
        <v>1.1343801635146151</v>
      </c>
      <c r="J35" s="365">
        <f t="shared" si="46"/>
        <v>0.45687913110342637</v>
      </c>
      <c r="K35" s="365">
        <f t="shared" si="46"/>
        <v>0.67811821605547962</v>
      </c>
      <c r="L35" s="365">
        <f t="shared" si="46"/>
        <v>0.76941622259774234</v>
      </c>
      <c r="M35" s="365">
        <f t="shared" si="46"/>
        <v>0.9519737570385981</v>
      </c>
      <c r="N35" s="365">
        <f t="shared" si="46"/>
        <v>0.35110899126000011</v>
      </c>
      <c r="O35" s="365">
        <f t="shared" si="46"/>
        <v>0.42529036656600006</v>
      </c>
      <c r="P35" s="365">
        <f t="shared" si="46"/>
        <v>0.41364624656000004</v>
      </c>
      <c r="Q35" s="365">
        <f t="shared" si="46"/>
        <v>1.1488962866666668</v>
      </c>
      <c r="R35" s="349">
        <f t="shared" si="29"/>
        <v>-0.67750103241118875</v>
      </c>
      <c r="S35" s="364">
        <f t="shared" si="30"/>
        <v>-0.69201715556324039</v>
      </c>
      <c r="T35" s="365">
        <f t="shared" si="44"/>
        <v>9.6052863002160471</v>
      </c>
      <c r="U35" s="365">
        <f t="shared" si="44"/>
        <v>10.821085856666667</v>
      </c>
      <c r="V35" s="365">
        <f t="shared" si="44"/>
        <v>10.821085856666667</v>
      </c>
      <c r="W35" s="362">
        <f t="shared" si="31"/>
        <v>-1.2157995564506194</v>
      </c>
      <c r="X35" s="517">
        <f t="shared" si="32"/>
        <v>0.88764532759883907</v>
      </c>
    </row>
    <row r="36" spans="2:24" s="404" customFormat="1" ht="16.5" hidden="1" customHeight="1">
      <c r="B36" s="409" t="s">
        <v>594</v>
      </c>
      <c r="C36" s="365">
        <f t="shared" ref="C36:Q36" si="47">C68</f>
        <v>0.53000378766666667</v>
      </c>
      <c r="D36" s="365">
        <f t="shared" si="47"/>
        <v>0.74515444466666658</v>
      </c>
      <c r="E36" s="365">
        <f t="shared" si="47"/>
        <v>0.553186807</v>
      </c>
      <c r="F36" s="365">
        <f t="shared" si="47"/>
        <v>0.487114769</v>
      </c>
      <c r="G36" s="365">
        <f t="shared" si="47"/>
        <v>0.55419495600000002</v>
      </c>
      <c r="H36" s="365">
        <f t="shared" si="47"/>
        <v>0.594495416</v>
      </c>
      <c r="I36" s="365">
        <f t="shared" si="47"/>
        <v>0.62192293399999998</v>
      </c>
      <c r="J36" s="365">
        <f t="shared" si="47"/>
        <v>0.61902833599999996</v>
      </c>
      <c r="K36" s="365">
        <f t="shared" si="47"/>
        <v>0.61366398499999997</v>
      </c>
      <c r="L36" s="365">
        <f t="shared" si="47"/>
        <v>0.89604228900000005</v>
      </c>
      <c r="M36" s="365">
        <f t="shared" si="47"/>
        <v>0.718358575</v>
      </c>
      <c r="N36" s="365">
        <f t="shared" si="47"/>
        <v>0.80126615800000001</v>
      </c>
      <c r="O36" s="365">
        <f t="shared" si="47"/>
        <v>1.4579204649999999</v>
      </c>
      <c r="P36" s="365">
        <f t="shared" si="47"/>
        <v>1.1143976980000001</v>
      </c>
      <c r="Q36" s="365">
        <f t="shared" si="47"/>
        <v>0.6</v>
      </c>
      <c r="R36" s="349">
        <f t="shared" si="29"/>
        <v>-2.894598000000026E-3</v>
      </c>
      <c r="S36" s="364">
        <f t="shared" si="30"/>
        <v>1.9028335999999979E-2</v>
      </c>
      <c r="T36" s="365">
        <f t="shared" ref="T36:V38" si="48">T68</f>
        <v>9.031592388</v>
      </c>
      <c r="U36" s="365">
        <f t="shared" si="48"/>
        <v>7.1999999999999984</v>
      </c>
      <c r="V36" s="365">
        <f t="shared" si="48"/>
        <v>7.1999999999999984</v>
      </c>
      <c r="W36" s="362">
        <f t="shared" si="31"/>
        <v>1.8315923880000016</v>
      </c>
      <c r="X36" s="517">
        <f t="shared" si="32"/>
        <v>1.254387831666667</v>
      </c>
    </row>
    <row r="37" spans="2:24" s="404" customFormat="1" ht="16.5" hidden="1" customHeight="1">
      <c r="B37" s="409" t="s">
        <v>235</v>
      </c>
      <c r="C37" s="365">
        <f t="shared" ref="C37:Q37" si="49">C69</f>
        <v>0.34590757550000001</v>
      </c>
      <c r="D37" s="365">
        <f t="shared" si="49"/>
        <v>2.3893646500000001E-2</v>
      </c>
      <c r="E37" s="365">
        <f t="shared" si="49"/>
        <v>0.218520134</v>
      </c>
      <c r="F37" s="365">
        <f t="shared" si="49"/>
        <v>7.3079563E-2</v>
      </c>
      <c r="G37" s="365">
        <f t="shared" si="49"/>
        <v>0.31395174300000001</v>
      </c>
      <c r="H37" s="365">
        <f t="shared" si="49"/>
        <v>9.6006800000000003E-3</v>
      </c>
      <c r="I37" s="365">
        <f t="shared" si="49"/>
        <v>8.2322810999999996E-2</v>
      </c>
      <c r="J37" s="365">
        <f t="shared" si="49"/>
        <v>1.5177374E-2</v>
      </c>
      <c r="K37" s="365">
        <f t="shared" si="49"/>
        <v>2.0318553E-2</v>
      </c>
      <c r="L37" s="365">
        <f t="shared" si="49"/>
        <v>0.17444067699999999</v>
      </c>
      <c r="M37" s="365">
        <f t="shared" si="49"/>
        <v>3.0132234000000001E-2</v>
      </c>
      <c r="N37" s="365">
        <f t="shared" si="49"/>
        <v>0.50884709800000005</v>
      </c>
      <c r="O37" s="365">
        <f t="shared" si="49"/>
        <v>0.17146797999999999</v>
      </c>
      <c r="P37" s="365">
        <f t="shared" si="49"/>
        <v>0.49635093000000002</v>
      </c>
      <c r="Q37" s="365">
        <f t="shared" si="49"/>
        <v>0.77785559027777773</v>
      </c>
      <c r="R37" s="349">
        <f t="shared" si="29"/>
        <v>-6.7145437000000002E-2</v>
      </c>
      <c r="S37" s="364">
        <f t="shared" si="30"/>
        <v>-0.76267821627777777</v>
      </c>
      <c r="T37" s="365">
        <f t="shared" si="48"/>
        <v>2.1142097770000001</v>
      </c>
      <c r="U37" s="365">
        <f t="shared" si="48"/>
        <v>7.4129337500000005</v>
      </c>
      <c r="V37" s="365">
        <f t="shared" si="48"/>
        <v>7.4129337500000005</v>
      </c>
      <c r="W37" s="362">
        <f t="shared" si="31"/>
        <v>-5.2987239730000004</v>
      </c>
      <c r="X37" s="517">
        <f t="shared" si="32"/>
        <v>0.28520554051896119</v>
      </c>
    </row>
    <row r="38" spans="2:24" s="404" customFormat="1" ht="16.5" hidden="1" customHeight="1">
      <c r="B38" s="409" t="s">
        <v>595</v>
      </c>
      <c r="C38" s="365">
        <f t="shared" ref="C38:Q38" si="50">C70</f>
        <v>0.379864329</v>
      </c>
      <c r="D38" s="365">
        <f t="shared" si="50"/>
        <v>0.38379689099999997</v>
      </c>
      <c r="E38" s="365">
        <f t="shared" si="50"/>
        <v>0.248161665</v>
      </c>
      <c r="F38" s="365">
        <f t="shared" si="50"/>
        <v>0.21597804488888889</v>
      </c>
      <c r="G38" s="365">
        <f t="shared" si="50"/>
        <v>0.22569198700000001</v>
      </c>
      <c r="H38" s="365">
        <f t="shared" si="50"/>
        <v>0.229298367</v>
      </c>
      <c r="I38" s="365">
        <f t="shared" si="50"/>
        <v>0.29151231300000002</v>
      </c>
      <c r="J38" s="365">
        <f t="shared" si="50"/>
        <v>0.28750110099999998</v>
      </c>
      <c r="K38" s="365">
        <f t="shared" si="50"/>
        <v>0.30063216100000001</v>
      </c>
      <c r="L38" s="365">
        <f t="shared" si="50"/>
        <v>0.29708876200000001</v>
      </c>
      <c r="M38" s="365">
        <f t="shared" si="50"/>
        <v>0.297990545</v>
      </c>
      <c r="N38" s="365">
        <f t="shared" si="50"/>
        <v>0.293942904</v>
      </c>
      <c r="O38" s="365">
        <f t="shared" si="50"/>
        <v>0.46378599999999998</v>
      </c>
      <c r="P38" s="365">
        <f t="shared" si="50"/>
        <v>0.31710063399999999</v>
      </c>
      <c r="Q38" s="365">
        <f t="shared" si="50"/>
        <v>0.40950000000000003</v>
      </c>
      <c r="R38" s="349">
        <f t="shared" si="29"/>
        <v>-4.0112120000000417E-3</v>
      </c>
      <c r="S38" s="364">
        <f t="shared" si="30"/>
        <v>-0.12199889900000005</v>
      </c>
      <c r="T38" s="365">
        <f t="shared" si="48"/>
        <v>3.4686844838888886</v>
      </c>
      <c r="U38" s="365">
        <f t="shared" si="48"/>
        <v>4.5207500000000005</v>
      </c>
      <c r="V38" s="365">
        <f t="shared" si="48"/>
        <v>4.5207500000000005</v>
      </c>
      <c r="W38" s="362">
        <f t="shared" si="31"/>
        <v>-1.0520655161111119</v>
      </c>
      <c r="X38" s="517">
        <f t="shared" si="32"/>
        <v>0.76728075737187151</v>
      </c>
    </row>
    <row r="39" spans="2:24" s="404" customFormat="1" ht="16.5" hidden="1" customHeight="1">
      <c r="B39" s="409" t="s">
        <v>233</v>
      </c>
      <c r="C39" s="365">
        <f t="shared" ref="C39:Q39" si="51">C71+C122</f>
        <v>9.2153339999999986E-3</v>
      </c>
      <c r="D39" s="365">
        <f t="shared" si="51"/>
        <v>9.7288370000000006E-3</v>
      </c>
      <c r="E39" s="365">
        <f t="shared" si="51"/>
        <v>8.1997760000000006E-3</v>
      </c>
      <c r="F39" s="365">
        <f t="shared" si="51"/>
        <v>1.3696804E-2</v>
      </c>
      <c r="G39" s="365">
        <f t="shared" si="51"/>
        <v>1.9809291999999999E-2</v>
      </c>
      <c r="H39" s="365">
        <f t="shared" si="51"/>
        <v>1.8529473000000001E-2</v>
      </c>
      <c r="I39" s="365">
        <f t="shared" si="51"/>
        <v>6.2324060000000002E-3</v>
      </c>
      <c r="J39" s="365">
        <f t="shared" si="51"/>
        <v>1.2261134999999999E-2</v>
      </c>
      <c r="K39" s="365">
        <f t="shared" si="51"/>
        <v>1.3608176E-2</v>
      </c>
      <c r="L39" s="365">
        <f t="shared" si="51"/>
        <v>1.4451266000000001E-2</v>
      </c>
      <c r="M39" s="365">
        <f t="shared" si="51"/>
        <v>1.0308851000000001E-2</v>
      </c>
      <c r="N39" s="365">
        <f t="shared" si="51"/>
        <v>9.9633080000000006E-3</v>
      </c>
      <c r="O39" s="365">
        <f t="shared" si="51"/>
        <v>1.2158065000000001E-2</v>
      </c>
      <c r="P39" s="365">
        <f t="shared" si="51"/>
        <v>1.3133246000000001E-2</v>
      </c>
      <c r="Q39" s="365">
        <f t="shared" si="51"/>
        <v>0.110679</v>
      </c>
      <c r="R39" s="349">
        <f t="shared" si="29"/>
        <v>6.0287289999999992E-3</v>
      </c>
      <c r="S39" s="364">
        <f t="shared" si="30"/>
        <v>-9.8417864999999993E-2</v>
      </c>
      <c r="T39" s="365">
        <f t="shared" ref="T39:V41" si="52">T71+T122</f>
        <v>0.15235179800000001</v>
      </c>
      <c r="U39" s="365">
        <f t="shared" si="52"/>
        <v>1.2079015000000002</v>
      </c>
      <c r="V39" s="365">
        <f t="shared" si="52"/>
        <v>1.2079015000000002</v>
      </c>
      <c r="W39" s="362">
        <f t="shared" si="31"/>
        <v>-1.0555497020000002</v>
      </c>
      <c r="X39" s="517">
        <f t="shared" si="32"/>
        <v>0.12612932263102578</v>
      </c>
    </row>
    <row r="40" spans="2:24" s="404" customFormat="1" ht="16.5" hidden="1" customHeight="1">
      <c r="B40" s="409" t="s">
        <v>163</v>
      </c>
      <c r="C40" s="365">
        <f t="shared" ref="C40:Q40" si="53">C72+C123</f>
        <v>0.23973817081320614</v>
      </c>
      <c r="D40" s="365">
        <f t="shared" si="53"/>
        <v>0.39726083369035647</v>
      </c>
      <c r="E40" s="365">
        <f t="shared" si="53"/>
        <v>0.38181656757447457</v>
      </c>
      <c r="F40" s="365">
        <f t="shared" si="53"/>
        <v>0.30313836591025611</v>
      </c>
      <c r="G40" s="365">
        <f t="shared" si="53"/>
        <v>0.32360763228106543</v>
      </c>
      <c r="H40" s="365">
        <f t="shared" si="53"/>
        <v>0.28406610252101921</v>
      </c>
      <c r="I40" s="365">
        <f t="shared" si="53"/>
        <v>0.23716659764165221</v>
      </c>
      <c r="J40" s="365">
        <f t="shared" si="53"/>
        <v>0.21658884764397032</v>
      </c>
      <c r="K40" s="365">
        <f t="shared" si="53"/>
        <v>0.2370294990912819</v>
      </c>
      <c r="L40" s="365">
        <f t="shared" si="53"/>
        <v>0.20419454067702175</v>
      </c>
      <c r="M40" s="365">
        <f t="shared" si="53"/>
        <v>0.21589225781476501</v>
      </c>
      <c r="N40" s="365">
        <f t="shared" si="53"/>
        <v>0.2149913970578361</v>
      </c>
      <c r="O40" s="365">
        <f t="shared" si="53"/>
        <v>0.22129062666252411</v>
      </c>
      <c r="P40" s="365">
        <f t="shared" si="53"/>
        <v>0.22666979692986344</v>
      </c>
      <c r="Q40" s="365">
        <f t="shared" si="53"/>
        <v>0.61914031666666669</v>
      </c>
      <c r="R40" s="349">
        <f t="shared" si="29"/>
        <v>-2.0577749997681888E-2</v>
      </c>
      <c r="S40" s="364">
        <f t="shared" si="30"/>
        <v>-0.40255146902269634</v>
      </c>
      <c r="T40" s="365">
        <f t="shared" si="52"/>
        <v>3.0664522318057301</v>
      </c>
      <c r="U40" s="365">
        <f t="shared" si="52"/>
        <v>5.7884031333333326</v>
      </c>
      <c r="V40" s="365">
        <f t="shared" si="52"/>
        <v>5.7884031333333326</v>
      </c>
      <c r="W40" s="362">
        <f t="shared" si="31"/>
        <v>-2.7219509015276024</v>
      </c>
      <c r="X40" s="517">
        <f t="shared" si="32"/>
        <v>0.52975789024560749</v>
      </c>
    </row>
    <row r="41" spans="2:24" s="404" customFormat="1" ht="16.5" hidden="1" customHeight="1">
      <c r="B41" s="409" t="s">
        <v>152</v>
      </c>
      <c r="C41" s="365">
        <f t="shared" ref="C41:Q41" si="54">C73+C124</f>
        <v>0</v>
      </c>
      <c r="D41" s="365">
        <f t="shared" si="54"/>
        <v>0</v>
      </c>
      <c r="E41" s="365">
        <f t="shared" si="54"/>
        <v>5.1761519999999998E-2</v>
      </c>
      <c r="F41" s="365">
        <f t="shared" si="54"/>
        <v>3.2378354999999998E-2</v>
      </c>
      <c r="G41" s="365">
        <f t="shared" si="54"/>
        <v>4.8077505E-2</v>
      </c>
      <c r="H41" s="365">
        <f t="shared" si="54"/>
        <v>3.9976064999999998E-2</v>
      </c>
      <c r="I41" s="365">
        <f t="shared" si="54"/>
        <v>4.0042620000000001E-2</v>
      </c>
      <c r="J41" s="365">
        <f t="shared" si="54"/>
        <v>4.3410825E-2</v>
      </c>
      <c r="K41" s="365">
        <f t="shared" si="54"/>
        <v>4.9152390000000004E-2</v>
      </c>
      <c r="L41" s="365">
        <f t="shared" si="54"/>
        <v>4.7187204999999996E-2</v>
      </c>
      <c r="M41" s="365">
        <f t="shared" si="54"/>
        <v>4.6561964999999997E-2</v>
      </c>
      <c r="N41" s="365">
        <f t="shared" si="54"/>
        <v>5.3436705000000001E-2</v>
      </c>
      <c r="O41" s="365">
        <f t="shared" si="54"/>
        <v>5.3375805000000005E-2</v>
      </c>
      <c r="P41" s="365">
        <f t="shared" si="54"/>
        <v>6.8241712499999996E-2</v>
      </c>
      <c r="Q41" s="365">
        <f t="shared" si="54"/>
        <v>8.5000000408000011E-3</v>
      </c>
      <c r="R41" s="349">
        <f t="shared" si="29"/>
        <v>3.3682049999999991E-3</v>
      </c>
      <c r="S41" s="364">
        <f t="shared" si="30"/>
        <v>3.4910824959199997E-2</v>
      </c>
      <c r="T41" s="365">
        <f t="shared" si="52"/>
        <v>0.57360267249999997</v>
      </c>
      <c r="U41" s="365">
        <f t="shared" si="52"/>
        <v>1.2875999999999999</v>
      </c>
      <c r="V41" s="365">
        <f t="shared" si="52"/>
        <v>1.2875999999999999</v>
      </c>
      <c r="W41" s="362">
        <f t="shared" si="31"/>
        <v>-0.71399732749999989</v>
      </c>
      <c r="X41" s="517">
        <f t="shared" si="32"/>
        <v>0.44548203828828831</v>
      </c>
    </row>
    <row r="42" spans="2:24" s="404" customFormat="1" ht="16.5" hidden="1" customHeight="1">
      <c r="B42" s="409" t="s">
        <v>578</v>
      </c>
      <c r="C42" s="365">
        <f t="shared" ref="C42:Q42" si="55">C74+C126</f>
        <v>1.2690352E-2</v>
      </c>
      <c r="D42" s="365">
        <f t="shared" si="55"/>
        <v>0</v>
      </c>
      <c r="E42" s="365">
        <f t="shared" si="55"/>
        <v>7.0114089999999997E-3</v>
      </c>
      <c r="F42" s="365">
        <f t="shared" si="55"/>
        <v>1.68489005E-2</v>
      </c>
      <c r="G42" s="365">
        <f t="shared" si="55"/>
        <v>0.175675736</v>
      </c>
      <c r="H42" s="365">
        <f t="shared" si="55"/>
        <v>0.33706944950000001</v>
      </c>
      <c r="I42" s="365">
        <f t="shared" si="55"/>
        <v>0.34108193949999999</v>
      </c>
      <c r="J42" s="365">
        <f t="shared" si="55"/>
        <v>0.33038797350000004</v>
      </c>
      <c r="K42" s="365">
        <f t="shared" si="55"/>
        <v>0.38893328500000002</v>
      </c>
      <c r="L42" s="365">
        <f t="shared" si="55"/>
        <v>0.25265691699999998</v>
      </c>
      <c r="M42" s="365">
        <f t="shared" si="55"/>
        <v>0.45634181299999999</v>
      </c>
      <c r="N42" s="365">
        <f t="shared" si="55"/>
        <v>0.77502792037091994</v>
      </c>
      <c r="O42" s="365">
        <f t="shared" si="55"/>
        <v>0.79655306107048018</v>
      </c>
      <c r="P42" s="365">
        <f t="shared" si="55"/>
        <v>0.72707559629217999</v>
      </c>
      <c r="Q42" s="365">
        <f t="shared" si="55"/>
        <v>0.58173311838952213</v>
      </c>
      <c r="R42" s="349">
        <f t="shared" si="29"/>
        <v>-1.0693965999999944E-2</v>
      </c>
      <c r="S42" s="364">
        <f t="shared" si="30"/>
        <v>-0.25134514488952209</v>
      </c>
      <c r="T42" s="365">
        <f t="shared" ref="T42:V43" si="56">T74+T126</f>
        <v>4.60466400073358</v>
      </c>
      <c r="U42" s="365">
        <f t="shared" si="56"/>
        <v>2.2611718322824736</v>
      </c>
      <c r="V42" s="365">
        <f t="shared" si="56"/>
        <v>2.2611718322824736</v>
      </c>
      <c r="W42" s="362">
        <f t="shared" si="31"/>
        <v>2.3434921684511063</v>
      </c>
      <c r="X42" s="517">
        <f t="shared" si="32"/>
        <v>2.0364060506120567</v>
      </c>
    </row>
    <row r="43" spans="2:24" s="404" customFormat="1" ht="16.5" hidden="1" customHeight="1">
      <c r="B43" s="361" t="s">
        <v>136</v>
      </c>
      <c r="C43" s="365">
        <f t="shared" ref="C43:Q43" si="57">C75+C127</f>
        <v>8.9296429509999999</v>
      </c>
      <c r="D43" s="365">
        <f t="shared" si="57"/>
        <v>12.027598974</v>
      </c>
      <c r="E43" s="365">
        <f t="shared" si="57"/>
        <v>26.006597927000001</v>
      </c>
      <c r="F43" s="365">
        <f t="shared" si="57"/>
        <v>14.148911855</v>
      </c>
      <c r="G43" s="365">
        <f t="shared" si="57"/>
        <v>18.113495325999999</v>
      </c>
      <c r="H43" s="365">
        <f t="shared" si="57"/>
        <v>12.076249763</v>
      </c>
      <c r="I43" s="365">
        <f t="shared" si="57"/>
        <v>10.991925302</v>
      </c>
      <c r="J43" s="365">
        <f t="shared" si="57"/>
        <v>22.386476491</v>
      </c>
      <c r="K43" s="365">
        <f t="shared" si="57"/>
        <v>14.912208334999999</v>
      </c>
      <c r="L43" s="365">
        <f t="shared" si="57"/>
        <v>30.211285439000001</v>
      </c>
      <c r="M43" s="365">
        <f t="shared" si="57"/>
        <v>30.393189878000001</v>
      </c>
      <c r="N43" s="365">
        <f t="shared" si="57"/>
        <v>28.475637250999998</v>
      </c>
      <c r="O43" s="365">
        <f t="shared" si="57"/>
        <v>29.563390998999999</v>
      </c>
      <c r="P43" s="365">
        <f t="shared" si="57"/>
        <v>36.554904022000002</v>
      </c>
      <c r="Q43" s="365">
        <f t="shared" si="57"/>
        <v>21.016843049004212</v>
      </c>
      <c r="R43" s="349">
        <f t="shared" si="29"/>
        <v>11.394551189</v>
      </c>
      <c r="S43" s="364">
        <f t="shared" si="30"/>
        <v>1.3696334419957878</v>
      </c>
      <c r="T43" s="365">
        <f t="shared" si="56"/>
        <v>273.83427258799998</v>
      </c>
      <c r="U43" s="365">
        <f t="shared" si="56"/>
        <v>221.53002250926522</v>
      </c>
      <c r="V43" s="365">
        <f t="shared" si="56"/>
        <v>221.53002250926522</v>
      </c>
      <c r="W43" s="362">
        <f t="shared" si="31"/>
        <v>52.304250078734754</v>
      </c>
      <c r="X43" s="517">
        <f t="shared" si="32"/>
        <v>1.2361045671655957</v>
      </c>
    </row>
    <row r="44" spans="2:24" s="404" customFormat="1" ht="16.5" hidden="1" customHeight="1">
      <c r="B44" s="361" t="s">
        <v>236</v>
      </c>
      <c r="C44" s="365">
        <f t="shared" ref="C44:Q44" si="58">C25-C33-C42-C43</f>
        <v>8.5410437788704865</v>
      </c>
      <c r="D44" s="365">
        <f t="shared" si="58"/>
        <v>-1.266020744955096</v>
      </c>
      <c r="E44" s="365">
        <f t="shared" si="58"/>
        <v>-13.398892918865485</v>
      </c>
      <c r="F44" s="365">
        <f t="shared" si="58"/>
        <v>-3.5369130272090548</v>
      </c>
      <c r="G44" s="365">
        <f t="shared" si="58"/>
        <v>-6.8192677891471956</v>
      </c>
      <c r="H44" s="365">
        <f t="shared" si="58"/>
        <v>3.1085097924447638</v>
      </c>
      <c r="I44" s="365">
        <f t="shared" si="58"/>
        <v>10.085367241454014</v>
      </c>
      <c r="J44" s="365">
        <f t="shared" si="58"/>
        <v>5.4879705333394817</v>
      </c>
      <c r="K44" s="365">
        <f t="shared" si="58"/>
        <v>4.1019603751903588</v>
      </c>
      <c r="L44" s="365">
        <f t="shared" si="58"/>
        <v>-1.5482744258364285</v>
      </c>
      <c r="M44" s="365">
        <f t="shared" si="58"/>
        <v>3.5986209540877994</v>
      </c>
      <c r="N44" s="365">
        <f t="shared" si="58"/>
        <v>2.2221700841949996</v>
      </c>
      <c r="O44" s="365">
        <f t="shared" si="58"/>
        <v>2.2563885376546473</v>
      </c>
      <c r="P44" s="365">
        <f t="shared" si="58"/>
        <v>-1.8845070408327587</v>
      </c>
      <c r="Q44" s="365">
        <f t="shared" si="58"/>
        <v>3.8048706475024225</v>
      </c>
      <c r="R44" s="349">
        <f t="shared" si="29"/>
        <v>-4.5973967081145322</v>
      </c>
      <c r="S44" s="364">
        <f t="shared" si="30"/>
        <v>1.6830998858370592</v>
      </c>
      <c r="T44" s="365">
        <f>T25-T33-T42-T43</f>
        <v>5.8421446229751837</v>
      </c>
      <c r="U44" s="365">
        <f>U25-U33-U42-U43</f>
        <v>14.072878714105372</v>
      </c>
      <c r="V44" s="365">
        <f>V25-V33-V42-V43</f>
        <v>14.072878714105372</v>
      </c>
      <c r="W44" s="362">
        <f t="shared" si="31"/>
        <v>-8.2307340911301878</v>
      </c>
      <c r="X44" s="517">
        <f t="shared" si="32"/>
        <v>0.41513500838457096</v>
      </c>
    </row>
    <row r="45" spans="2:24" s="404" customFormat="1" ht="16.5" hidden="1" customHeight="1">
      <c r="B45" s="351" t="s">
        <v>596</v>
      </c>
      <c r="C45" s="365">
        <f t="shared" ref="C45:Q45" si="59">80%*C12</f>
        <v>1.9399054576000001</v>
      </c>
      <c r="D45" s="365">
        <f t="shared" si="59"/>
        <v>1.9823040519999999</v>
      </c>
      <c r="E45" s="365">
        <f t="shared" si="59"/>
        <v>2.0306636376000005</v>
      </c>
      <c r="F45" s="365">
        <f t="shared" si="59"/>
        <v>2.0728883963922571</v>
      </c>
      <c r="G45" s="365">
        <f t="shared" si="59"/>
        <v>2.1720386247497143</v>
      </c>
      <c r="H45" s="365">
        <f t="shared" si="59"/>
        <v>2.0859459235519995</v>
      </c>
      <c r="I45" s="365">
        <f t="shared" si="59"/>
        <v>2.0782311539200005</v>
      </c>
      <c r="J45" s="365">
        <f t="shared" si="59"/>
        <v>2.0948132854768811</v>
      </c>
      <c r="K45" s="365">
        <f t="shared" si="59"/>
        <v>2.1210498667090909</v>
      </c>
      <c r="L45" s="365">
        <f t="shared" si="59"/>
        <v>2.6047522025391956</v>
      </c>
      <c r="M45" s="365">
        <f t="shared" si="59"/>
        <v>2.4140352198340929</v>
      </c>
      <c r="N45" s="365">
        <f t="shared" si="59"/>
        <v>2.4631681173297877</v>
      </c>
      <c r="O45" s="365">
        <f t="shared" si="59"/>
        <v>2.5627314308549405</v>
      </c>
      <c r="P45" s="365">
        <f t="shared" si="59"/>
        <v>2.4804633584820373</v>
      </c>
      <c r="Q45" s="365">
        <f t="shared" si="59"/>
        <v>3.5875054886460718</v>
      </c>
      <c r="R45" s="349">
        <f t="shared" si="29"/>
        <v>1.6582131556880597E-2</v>
      </c>
      <c r="S45" s="364">
        <f t="shared" si="30"/>
        <v>-1.4926922031691907</v>
      </c>
      <c r="T45" s="365">
        <f>80%*T12</f>
        <v>27.18078121744</v>
      </c>
      <c r="U45" s="365">
        <f>80%*U12</f>
        <v>43.050065863752877</v>
      </c>
      <c r="V45" s="365">
        <f>80%*V12</f>
        <v>43.050065863752877</v>
      </c>
      <c r="W45" s="362">
        <f t="shared" si="31"/>
        <v>-15.869284646312877</v>
      </c>
      <c r="X45" s="517">
        <f t="shared" si="32"/>
        <v>0.63137606579890426</v>
      </c>
    </row>
    <row r="46" spans="2:24" s="404" customFormat="1" ht="16.5" hidden="1" customHeight="1">
      <c r="B46" s="361" t="s">
        <v>579</v>
      </c>
      <c r="C46" s="365">
        <f t="shared" ref="C46:Q46" si="60">C44-C45</f>
        <v>6.6011383212704864</v>
      </c>
      <c r="D46" s="365">
        <f t="shared" si="60"/>
        <v>-3.2483247969550959</v>
      </c>
      <c r="E46" s="365">
        <f t="shared" si="60"/>
        <v>-15.429556556465485</v>
      </c>
      <c r="F46" s="365">
        <f t="shared" si="60"/>
        <v>-5.6098014236013114</v>
      </c>
      <c r="G46" s="365">
        <f t="shared" si="60"/>
        <v>-8.9913064138969094</v>
      </c>
      <c r="H46" s="365">
        <f t="shared" si="60"/>
        <v>1.0225638688927643</v>
      </c>
      <c r="I46" s="365">
        <f t="shared" si="60"/>
        <v>8.007136087534013</v>
      </c>
      <c r="J46" s="365">
        <f t="shared" si="60"/>
        <v>3.3931572478626006</v>
      </c>
      <c r="K46" s="365">
        <f t="shared" si="60"/>
        <v>1.9809105084812679</v>
      </c>
      <c r="L46" s="365">
        <f t="shared" si="60"/>
        <v>-4.1530266283756241</v>
      </c>
      <c r="M46" s="365">
        <f t="shared" si="60"/>
        <v>1.1845857342537065</v>
      </c>
      <c r="N46" s="365">
        <f t="shared" si="60"/>
        <v>-0.24099803313478807</v>
      </c>
      <c r="O46" s="365">
        <f t="shared" si="60"/>
        <v>-0.30634289320029318</v>
      </c>
      <c r="P46" s="365">
        <f t="shared" si="60"/>
        <v>-4.3649703993147959</v>
      </c>
      <c r="Q46" s="365">
        <f t="shared" si="60"/>
        <v>0.21736515885635077</v>
      </c>
      <c r="R46" s="349">
        <f t="shared" si="29"/>
        <v>-4.6139788396714128</v>
      </c>
      <c r="S46" s="364">
        <f t="shared" si="30"/>
        <v>3.1757920890062499</v>
      </c>
      <c r="T46" s="365">
        <f>T44-T45</f>
        <v>-21.338636594464816</v>
      </c>
      <c r="U46" s="365">
        <f>U44-U45</f>
        <v>-28.977187149647506</v>
      </c>
      <c r="V46" s="365">
        <f>V44-V45</f>
        <v>-28.977187149647506</v>
      </c>
      <c r="W46" s="362">
        <f t="shared" si="31"/>
        <v>7.6385505551826895</v>
      </c>
      <c r="X46" s="517">
        <f t="shared" si="32"/>
        <v>0.73639433959774081</v>
      </c>
    </row>
    <row r="47" spans="2:24" s="404" customFormat="1" ht="26.25" hidden="1" customHeight="1">
      <c r="B47" s="1179" t="s">
        <v>580</v>
      </c>
      <c r="C47" s="365">
        <f t="shared" ref="C47:Q47" si="61">80%*C14</f>
        <v>1.2047528911200001</v>
      </c>
      <c r="D47" s="365">
        <f t="shared" si="61"/>
        <v>3.796473442441648</v>
      </c>
      <c r="E47" s="365">
        <f t="shared" si="61"/>
        <v>1.3264664983928891</v>
      </c>
      <c r="F47" s="365">
        <f t="shared" si="61"/>
        <v>1.4407903305582934</v>
      </c>
      <c r="G47" s="365">
        <f t="shared" si="61"/>
        <v>1.332621861192099</v>
      </c>
      <c r="H47" s="365">
        <f t="shared" si="61"/>
        <v>1.604578182582229</v>
      </c>
      <c r="I47" s="365">
        <f t="shared" si="61"/>
        <v>1.2633673051697778</v>
      </c>
      <c r="J47" s="365">
        <f t="shared" si="61"/>
        <v>1.599357357961797</v>
      </c>
      <c r="K47" s="365">
        <f t="shared" si="61"/>
        <v>2.9392327904307036</v>
      </c>
      <c r="L47" s="365">
        <f t="shared" si="61"/>
        <v>2.197642457568596</v>
      </c>
      <c r="M47" s="365">
        <f t="shared" si="61"/>
        <v>2.1762556029369158</v>
      </c>
      <c r="N47" s="365">
        <f t="shared" si="61"/>
        <v>4.590420565450855</v>
      </c>
      <c r="O47" s="365">
        <f t="shared" si="61"/>
        <v>1.8705816653694129</v>
      </c>
      <c r="P47" s="365">
        <f t="shared" si="61"/>
        <v>1.6132078764050641</v>
      </c>
      <c r="Q47" s="365">
        <f t="shared" si="61"/>
        <v>2.1219390722456533</v>
      </c>
      <c r="R47" s="349">
        <f t="shared" si="29"/>
        <v>0.33599005279201921</v>
      </c>
      <c r="S47" s="364">
        <f t="shared" si="30"/>
        <v>-0.52258171428385625</v>
      </c>
      <c r="T47" s="365">
        <f>80%*T14</f>
        <v>23.954522494018637</v>
      </c>
      <c r="U47" s="365">
        <f>80%*U14</f>
        <v>25.463268866947832</v>
      </c>
      <c r="V47" s="365">
        <f>80%*V14</f>
        <v>8.8000000000000007</v>
      </c>
      <c r="W47" s="362">
        <f t="shared" si="31"/>
        <v>-1.5087463729291954</v>
      </c>
      <c r="X47" s="517">
        <f t="shared" si="32"/>
        <v>2.7221048288657541</v>
      </c>
    </row>
    <row r="48" spans="2:24" s="404" customFormat="1" ht="16.5" hidden="1" customHeight="1">
      <c r="B48" s="1172" t="s">
        <v>211</v>
      </c>
      <c r="C48" s="543">
        <f t="shared" ref="C48:J48" si="62">C22/C21</f>
        <v>8.1306964888506902E-2</v>
      </c>
      <c r="D48" s="543">
        <f t="shared" si="62"/>
        <v>8.6809766083872697E-2</v>
      </c>
      <c r="E48" s="543">
        <f t="shared" si="62"/>
        <v>8.5362972226869768E-2</v>
      </c>
      <c r="F48" s="543">
        <f t="shared" si="62"/>
        <v>9.4768549642377867E-2</v>
      </c>
      <c r="G48" s="543">
        <f t="shared" si="62"/>
        <v>0.1001943522356495</v>
      </c>
      <c r="H48" s="543">
        <f t="shared" si="62"/>
        <v>9.0619193729432598E-2</v>
      </c>
      <c r="I48" s="543">
        <f t="shared" si="62"/>
        <v>8.5898310068177289E-2</v>
      </c>
      <c r="J48" s="543">
        <f t="shared" si="62"/>
        <v>8.8593933405462233E-2</v>
      </c>
      <c r="K48" s="543"/>
      <c r="L48" s="543"/>
      <c r="M48" s="543"/>
      <c r="N48" s="543"/>
      <c r="O48" s="543"/>
      <c r="P48" s="543"/>
      <c r="Q48" s="1137"/>
      <c r="R48" s="1118">
        <f t="shared" si="29"/>
        <v>2.6956233372849442E-3</v>
      </c>
      <c r="S48" s="568"/>
      <c r="T48" s="365"/>
      <c r="U48" s="362"/>
      <c r="V48" s="362"/>
      <c r="W48" s="362"/>
      <c r="X48" s="517"/>
    </row>
    <row r="49" spans="2:44" s="404" customFormat="1" ht="16.5" hidden="1" customHeight="1">
      <c r="B49" s="1172" t="s">
        <v>597</v>
      </c>
      <c r="C49" s="517">
        <f t="shared" ref="C49:J49" si="63">C23/C21</f>
        <v>0.10240539971412346</v>
      </c>
      <c r="D49" s="517">
        <f t="shared" si="63"/>
        <v>0.1146799287312536</v>
      </c>
      <c r="E49" s="517">
        <f t="shared" si="63"/>
        <v>0.10570108109295716</v>
      </c>
      <c r="F49" s="517">
        <f t="shared" si="63"/>
        <v>7.9105072333804816E-2</v>
      </c>
      <c r="G49" s="517">
        <f t="shared" si="63"/>
        <v>8.7603943325596345E-2</v>
      </c>
      <c r="H49" s="517">
        <f t="shared" si="63"/>
        <v>8.3084244650028519E-2</v>
      </c>
      <c r="I49" s="517">
        <f t="shared" si="63"/>
        <v>8.635765876398499E-2</v>
      </c>
      <c r="J49" s="517">
        <f t="shared" si="63"/>
        <v>0.10402968826698515</v>
      </c>
      <c r="K49" s="517"/>
      <c r="L49" s="517"/>
      <c r="M49" s="517"/>
      <c r="N49" s="517"/>
      <c r="O49" s="517"/>
      <c r="P49" s="517"/>
      <c r="Q49" s="1173"/>
      <c r="R49" s="1118">
        <f t="shared" si="29"/>
        <v>1.7672029503000161E-2</v>
      </c>
      <c r="S49" s="568"/>
      <c r="T49" s="1174"/>
      <c r="U49" s="382"/>
      <c r="V49" s="384"/>
      <c r="W49" s="392"/>
      <c r="X49" s="787"/>
    </row>
    <row r="50" spans="2:44" s="404" customFormat="1" ht="16.5" hidden="1" customHeight="1" thickBot="1">
      <c r="B50" s="357" t="s">
        <v>598</v>
      </c>
      <c r="C50" s="519">
        <f t="shared" ref="C50:J50" si="64">C24/C21</f>
        <v>8.0298834994237803E-2</v>
      </c>
      <c r="D50" s="519">
        <f t="shared" si="64"/>
        <v>8.4693243567339899E-2</v>
      </c>
      <c r="E50" s="519">
        <f t="shared" si="64"/>
        <v>8.3298525065473722E-2</v>
      </c>
      <c r="F50" s="519">
        <f t="shared" si="64"/>
        <v>5.5271944211398985E-2</v>
      </c>
      <c r="G50" s="519">
        <f t="shared" si="64"/>
        <v>5.6302563106562765E-2</v>
      </c>
      <c r="H50" s="519">
        <f t="shared" si="64"/>
        <v>6.0002660502210182E-2</v>
      </c>
      <c r="I50" s="519">
        <f t="shared" si="64"/>
        <v>6.2649917442716724E-2</v>
      </c>
      <c r="J50" s="519">
        <f t="shared" si="64"/>
        <v>7.4030715541980693E-2</v>
      </c>
      <c r="K50" s="354"/>
      <c r="L50" s="354"/>
      <c r="M50" s="354"/>
      <c r="N50" s="354"/>
      <c r="O50" s="354"/>
      <c r="P50" s="354"/>
      <c r="Q50" s="1140"/>
      <c r="R50" s="1139">
        <f t="shared" si="29"/>
        <v>1.138079809926397E-2</v>
      </c>
      <c r="S50" s="1133"/>
      <c r="T50" s="355"/>
      <c r="U50" s="355"/>
      <c r="V50" s="374"/>
      <c r="W50" s="356"/>
      <c r="X50" s="520"/>
    </row>
    <row r="51" spans="2:44" s="404" customFormat="1" ht="16.5" hidden="1" customHeight="1" thickTop="1">
      <c r="B51" s="409" t="s">
        <v>309</v>
      </c>
      <c r="C51" s="362">
        <f t="shared" ref="C51:V51" si="65">C46-C47</f>
        <v>5.3963854301504863</v>
      </c>
      <c r="D51" s="362">
        <f t="shared" si="65"/>
        <v>-7.0447982393967443</v>
      </c>
      <c r="E51" s="362">
        <f t="shared" si="65"/>
        <v>-16.756023054858375</v>
      </c>
      <c r="F51" s="362">
        <f t="shared" si="65"/>
        <v>-7.0505917541596048</v>
      </c>
      <c r="G51" s="362">
        <f t="shared" si="65"/>
        <v>-10.323928275089008</v>
      </c>
      <c r="H51" s="1136">
        <f t="shared" si="65"/>
        <v>-0.58201431368946466</v>
      </c>
      <c r="I51" s="1136">
        <f t="shared" si="65"/>
        <v>6.7437687823642349</v>
      </c>
      <c r="J51" s="1136">
        <f t="shared" si="65"/>
        <v>1.7937998899008036</v>
      </c>
      <c r="K51" s="1136">
        <f t="shared" si="65"/>
        <v>-0.95832228194943569</v>
      </c>
      <c r="L51" s="1136">
        <f t="shared" si="65"/>
        <v>-6.3506690859442205</v>
      </c>
      <c r="M51" s="1136">
        <f t="shared" si="65"/>
        <v>-0.99166986868320928</v>
      </c>
      <c r="N51" s="1136">
        <f t="shared" si="65"/>
        <v>-4.8314185985856426</v>
      </c>
      <c r="O51" s="1136">
        <f t="shared" si="65"/>
        <v>-2.1769245585697061</v>
      </c>
      <c r="P51" s="1136">
        <f t="shared" si="65"/>
        <v>-5.97817827571986</v>
      </c>
      <c r="Q51" s="1136">
        <f t="shared" si="65"/>
        <v>-1.9045739133893025</v>
      </c>
      <c r="R51" s="1136">
        <f t="shared" si="65"/>
        <v>-4.9499688924634322</v>
      </c>
      <c r="S51" s="1136">
        <f t="shared" si="65"/>
        <v>3.6983738032901061</v>
      </c>
      <c r="T51" s="1136">
        <f t="shared" si="65"/>
        <v>-45.293159088483449</v>
      </c>
      <c r="U51" s="1136">
        <f t="shared" si="65"/>
        <v>-54.440456016595334</v>
      </c>
      <c r="V51" s="1136">
        <f t="shared" si="65"/>
        <v>-37.777187149647503</v>
      </c>
      <c r="W51" s="362">
        <f>T51-U51</f>
        <v>9.147296928111885</v>
      </c>
      <c r="X51" s="517">
        <f>T51/V51</f>
        <v>1.198955308902772</v>
      </c>
    </row>
    <row r="52" spans="2:44" s="404" customFormat="1" ht="22.5" hidden="1" customHeight="1">
      <c r="B52" s="358"/>
      <c r="C52" s="358"/>
      <c r="D52" s="358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</row>
    <row r="53" spans="2:44" s="404" customFormat="1" ht="14">
      <c r="B53" s="358"/>
      <c r="C53" s="358"/>
      <c r="D53" s="358"/>
      <c r="E53" s="358"/>
      <c r="F53" s="358"/>
      <c r="G53" s="358"/>
      <c r="H53" s="358"/>
      <c r="I53" s="408"/>
      <c r="J53" s="408"/>
      <c r="K53" s="408"/>
      <c r="L53" s="408"/>
      <c r="M53" s="408"/>
      <c r="N53" s="408"/>
      <c r="O53" s="408"/>
      <c r="P53" s="408"/>
      <c r="Q53" s="408"/>
      <c r="R53" s="408"/>
      <c r="S53" s="408"/>
      <c r="T53" s="408"/>
      <c r="U53" s="408"/>
      <c r="V53" s="408"/>
      <c r="W53" s="408"/>
      <c r="X53" s="408"/>
    </row>
    <row r="54" spans="2:44" s="404" customFormat="1" ht="36" customHeight="1">
      <c r="B54" s="360" t="s">
        <v>599</v>
      </c>
      <c r="C54" s="75">
        <v>45597</v>
      </c>
      <c r="D54" s="75">
        <v>45627</v>
      </c>
      <c r="E54" s="75">
        <v>45658</v>
      </c>
      <c r="F54" s="75">
        <v>45689</v>
      </c>
      <c r="G54" s="75">
        <v>45717</v>
      </c>
      <c r="H54" s="75">
        <v>45748</v>
      </c>
      <c r="I54" s="75">
        <v>45778</v>
      </c>
      <c r="J54" s="1204">
        <v>45809</v>
      </c>
      <c r="K54" s="90">
        <v>45839</v>
      </c>
      <c r="L54" s="90">
        <v>45870</v>
      </c>
      <c r="M54" s="90">
        <v>45901</v>
      </c>
      <c r="N54" s="90">
        <v>45931</v>
      </c>
      <c r="O54" s="90">
        <v>45962</v>
      </c>
      <c r="P54" s="90">
        <v>45992</v>
      </c>
      <c r="Q54" s="90" t="s">
        <v>575</v>
      </c>
      <c r="R54" s="1205" t="s">
        <v>172</v>
      </c>
      <c r="S54" s="1205" t="s">
        <v>173</v>
      </c>
      <c r="T54" s="78" t="s">
        <v>76</v>
      </c>
      <c r="U54" s="78" t="s">
        <v>174</v>
      </c>
      <c r="V54" s="78" t="s">
        <v>175</v>
      </c>
      <c r="W54" s="1206" t="s">
        <v>173</v>
      </c>
      <c r="X54" s="558" t="s">
        <v>576</v>
      </c>
      <c r="AD54" s="1191" t="s">
        <v>584</v>
      </c>
      <c r="AE54" s="1199" t="s">
        <v>585</v>
      </c>
      <c r="AF54" s="1199" t="s">
        <v>585</v>
      </c>
      <c r="AG54" s="1199" t="s">
        <v>585</v>
      </c>
      <c r="AH54" s="1199" t="s">
        <v>585</v>
      </c>
      <c r="AI54" s="1199" t="s">
        <v>585</v>
      </c>
      <c r="AJ54" s="1199" t="s">
        <v>585</v>
      </c>
      <c r="AK54" s="1199" t="s">
        <v>600</v>
      </c>
      <c r="AL54" s="1199" t="s">
        <v>172</v>
      </c>
      <c r="AM54" s="1199" t="s">
        <v>173</v>
      </c>
      <c r="AN54" s="1200" t="s">
        <v>8</v>
      </c>
      <c r="AO54" s="1364" t="s">
        <v>601</v>
      </c>
      <c r="AP54" s="1200" t="s">
        <v>586</v>
      </c>
      <c r="AQ54" s="1200" t="s">
        <v>173</v>
      </c>
      <c r="AR54" s="1192" t="s">
        <v>587</v>
      </c>
    </row>
    <row r="55" spans="2:44" s="404" customFormat="1" ht="13" customHeight="1">
      <c r="B55" s="361" t="s">
        <v>199</v>
      </c>
      <c r="C55" s="364">
        <f>Card!K106/10^9</f>
        <v>419.3843</v>
      </c>
      <c r="D55" s="364">
        <f>Card!L106/10^9</f>
        <v>499.09642000000002</v>
      </c>
      <c r="E55" s="364">
        <f>Card!M106/10^9</f>
        <v>517.17627110499996</v>
      </c>
      <c r="F55" s="364">
        <f>Card!N106/10^9</f>
        <v>398.201740159</v>
      </c>
      <c r="G55" s="364">
        <f>Card!O106/10^9</f>
        <v>575.51066255600006</v>
      </c>
      <c r="H55" s="1207">
        <f>Card!P106/10^9</f>
        <v>600.98669323199886</v>
      </c>
      <c r="I55" s="1207">
        <f>Card!Q106/10^9</f>
        <v>599.76838908800005</v>
      </c>
      <c r="J55" s="1207">
        <f>Card!R106/10^9</f>
        <v>608.85162113000001</v>
      </c>
      <c r="K55" s="1207">
        <f>Card!S106/10^9</f>
        <v>729.09517357000004</v>
      </c>
      <c r="L55" s="1207">
        <f>Card!T106/10^9</f>
        <v>787.76998799599903</v>
      </c>
      <c r="M55" s="1207">
        <f>Card!U106/10^9</f>
        <v>696.40920533799999</v>
      </c>
      <c r="N55" s="1207">
        <f>Card!V106/10^9</f>
        <v>850.15952309099998</v>
      </c>
      <c r="O55" s="1207">
        <f>Card!W106/10^9</f>
        <v>836.34223754100003</v>
      </c>
      <c r="P55" s="1207">
        <f>Card!X106/10^9</f>
        <v>1149.6200771650001</v>
      </c>
      <c r="Q55" s="373">
        <f>'BG 2025 CC_PL'!BC7</f>
        <v>706.4513975000001</v>
      </c>
      <c r="R55" s="365">
        <f>P55-O55</f>
        <v>313.27783962400008</v>
      </c>
      <c r="S55" s="375">
        <f>P55-Q55</f>
        <v>443.16867966500001</v>
      </c>
      <c r="T55" s="1207">
        <f>Card!J106/10^9</f>
        <v>8349.8915819709982</v>
      </c>
      <c r="U55" s="1207">
        <f>SUM('BG 2025 CC_PL'!AR7:BC7)</f>
        <v>6929.8258304166693</v>
      </c>
      <c r="V55" s="1207">
        <f>SUM('BG 2025 CC_PL'!AR7:BC7)</f>
        <v>6929.8258304166693</v>
      </c>
      <c r="W55" s="373">
        <f t="shared" ref="W55:W65" si="66">T55-U55</f>
        <v>1420.0657515543289</v>
      </c>
      <c r="X55" s="1046">
        <f>T55/V55</f>
        <v>1.2049208430782372</v>
      </c>
      <c r="Z55" s="496"/>
      <c r="AD55" s="1193" t="s">
        <v>199</v>
      </c>
      <c r="AE55" s="1194">
        <f t="shared" ref="AE55:AH56" si="67">K55</f>
        <v>729.09517357000004</v>
      </c>
      <c r="AF55" s="1194">
        <f t="shared" si="67"/>
        <v>787.76998799599903</v>
      </c>
      <c r="AG55" s="1194">
        <f t="shared" si="67"/>
        <v>696.40920533799999</v>
      </c>
      <c r="AH55" s="1194">
        <f t="shared" si="67"/>
        <v>850.15952309099998</v>
      </c>
      <c r="AI55" s="1194">
        <f>O55</f>
        <v>836.34223754100003</v>
      </c>
      <c r="AJ55" s="1194">
        <f>P55</f>
        <v>1149.6200771650001</v>
      </c>
      <c r="AK55" s="1194"/>
      <c r="AL55" s="1194">
        <f t="shared" ref="AL55:AN56" si="68">R55</f>
        <v>313.27783962400008</v>
      </c>
      <c r="AM55" s="1194">
        <f t="shared" si="68"/>
        <v>443.16867966500001</v>
      </c>
      <c r="AN55" s="1194">
        <f t="shared" si="68"/>
        <v>8349.8915819709982</v>
      </c>
      <c r="AO55" s="1194"/>
      <c r="AP55" s="1194">
        <f>U55</f>
        <v>6929.8258304166693</v>
      </c>
      <c r="AQ55" s="1194">
        <f t="shared" ref="AQ55:AQ58" si="69">W55</f>
        <v>1420.0657515543289</v>
      </c>
      <c r="AR55" s="1389">
        <f>AN55/AP55</f>
        <v>1.2049208430782372</v>
      </c>
    </row>
    <row r="56" spans="2:44" s="404" customFormat="1" ht="13" customHeight="1">
      <c r="B56" s="361" t="s">
        <v>82</v>
      </c>
      <c r="C56" s="364">
        <f>Card!K107/10^9</f>
        <v>769.93705952100004</v>
      </c>
      <c r="D56" s="364">
        <f>Card!L107/10^9</f>
        <v>796.20494322900004</v>
      </c>
      <c r="E56" s="364">
        <f>Card!M107/10^9</f>
        <v>879.57390655200004</v>
      </c>
      <c r="F56" s="364">
        <f>Card!N107/10^9</f>
        <v>865.349290215</v>
      </c>
      <c r="G56" s="364">
        <f>Card!O107/10^9</f>
        <v>898.40717012300001</v>
      </c>
      <c r="H56" s="1207">
        <f>Card!P107/10^9</f>
        <v>959.66834463299995</v>
      </c>
      <c r="I56" s="1207">
        <f>Card!Q107/10^9</f>
        <v>1009.0625172269999</v>
      </c>
      <c r="J56" s="1207">
        <f>Card!R107/10^9</f>
        <v>1049.327817055</v>
      </c>
      <c r="K56" s="1207">
        <f>Card!S107/10^9</f>
        <v>1137.9579011809999</v>
      </c>
      <c r="L56" s="1207">
        <f>Card!T107/10^9</f>
        <v>1222.8727416730001</v>
      </c>
      <c r="M56" s="1207">
        <f>Card!U107/10^9</f>
        <v>1288.685931838</v>
      </c>
      <c r="N56" s="1207">
        <f>Card!V107/10^9</f>
        <v>1345.398043554</v>
      </c>
      <c r="O56" s="373">
        <f>Card!W107/10^9</f>
        <v>1462.7889964579999</v>
      </c>
      <c r="P56" s="1207">
        <f>Card!X107/10^9</f>
        <v>1526.717218023</v>
      </c>
      <c r="Q56" s="373">
        <f>'BG 2025 CC_PL'!BC8</f>
        <v>1376.0992908874225</v>
      </c>
      <c r="R56" s="365">
        <f t="shared" ref="R56:R84" si="70">P56-O56</f>
        <v>63.928221565000058</v>
      </c>
      <c r="S56" s="375">
        <f t="shared" ref="S56:S84" si="71">P56-Q56</f>
        <v>150.61792713557747</v>
      </c>
      <c r="T56" s="373">
        <f>P56</f>
        <v>1526.717218023</v>
      </c>
      <c r="U56" s="373">
        <f>'BG 2025 CC_PL'!BC8</f>
        <v>1376.0992908874225</v>
      </c>
      <c r="V56" s="373">
        <f>'BG 2025 CC_PL'!BC8</f>
        <v>1376.0992908874225</v>
      </c>
      <c r="W56" s="365">
        <f t="shared" si="66"/>
        <v>150.61792713557747</v>
      </c>
      <c r="X56" s="1046">
        <f t="shared" ref="X56:X63" si="72">T56/V56</f>
        <v>1.1094528048469865</v>
      </c>
      <c r="Z56" s="432"/>
      <c r="AD56" s="1193" t="s">
        <v>82</v>
      </c>
      <c r="AE56" s="1194">
        <f t="shared" si="67"/>
        <v>1137.9579011809999</v>
      </c>
      <c r="AF56" s="1194">
        <f t="shared" si="67"/>
        <v>1222.8727416730001</v>
      </c>
      <c r="AG56" s="1194">
        <f t="shared" si="67"/>
        <v>1288.685931838</v>
      </c>
      <c r="AH56" s="1194">
        <f t="shared" si="67"/>
        <v>1345.398043554</v>
      </c>
      <c r="AI56" s="1194">
        <f>O56</f>
        <v>1462.7889964579999</v>
      </c>
      <c r="AJ56" s="1194">
        <f>P56</f>
        <v>1526.717218023</v>
      </c>
      <c r="AK56" s="1194"/>
      <c r="AL56" s="1194">
        <f t="shared" si="68"/>
        <v>63.928221565000058</v>
      </c>
      <c r="AM56" s="1194">
        <f t="shared" si="68"/>
        <v>150.61792713557747</v>
      </c>
      <c r="AN56" s="1194">
        <f t="shared" si="68"/>
        <v>1526.717218023</v>
      </c>
      <c r="AO56" s="1194"/>
      <c r="AP56" s="1194">
        <f>U56</f>
        <v>1376.0992908874225</v>
      </c>
      <c r="AQ56" s="1194">
        <f t="shared" si="69"/>
        <v>150.61792713557747</v>
      </c>
      <c r="AR56" s="1389">
        <f>AN56/AP56</f>
        <v>1.1094528048469865</v>
      </c>
    </row>
    <row r="57" spans="2:44" s="404" customFormat="1" ht="13" customHeight="1">
      <c r="B57" s="361" t="s">
        <v>217</v>
      </c>
      <c r="C57" s="364">
        <f t="shared" ref="C57:P57" si="73">C58+C61+C64</f>
        <v>19.72023864846183</v>
      </c>
      <c r="D57" s="364">
        <f t="shared" si="73"/>
        <v>13.562786437146553</v>
      </c>
      <c r="E57" s="364">
        <f t="shared" si="73"/>
        <v>14.911210113390487</v>
      </c>
      <c r="F57" s="364">
        <f t="shared" si="73"/>
        <v>13.319389692402504</v>
      </c>
      <c r="G57" s="364">
        <f t="shared" si="73"/>
        <v>13.611344274900604</v>
      </c>
      <c r="H57" s="364">
        <f t="shared" si="73"/>
        <v>17.454741119551915</v>
      </c>
      <c r="I57" s="364">
        <f t="shared" si="73"/>
        <v>23.34122206646148</v>
      </c>
      <c r="J57" s="364">
        <f t="shared" si="73"/>
        <v>29.751431714486881</v>
      </c>
      <c r="K57" s="364">
        <f t="shared" si="73"/>
        <v>21.099748456342116</v>
      </c>
      <c r="L57" s="364">
        <f t="shared" si="73"/>
        <v>30.455802414226486</v>
      </c>
      <c r="M57" s="364">
        <f t="shared" si="73"/>
        <v>35.307415901666673</v>
      </c>
      <c r="N57" s="364">
        <f t="shared" si="73"/>
        <v>32.235569458623175</v>
      </c>
      <c r="O57" s="364">
        <f t="shared" si="73"/>
        <v>34.063521449560028</v>
      </c>
      <c r="P57" s="364">
        <f t="shared" si="73"/>
        <v>36.009318946616972</v>
      </c>
      <c r="Q57" s="362">
        <f t="shared" ref="Q57" si="74">Q58+Q61</f>
        <v>27.973825015099276</v>
      </c>
      <c r="R57" s="365">
        <f t="shared" si="70"/>
        <v>1.9457974970569438</v>
      </c>
      <c r="S57" s="375">
        <f t="shared" si="71"/>
        <v>8.0354939315176956</v>
      </c>
      <c r="T57" s="362">
        <f>T58+T61+T64</f>
        <v>304.72357165422932</v>
      </c>
      <c r="U57" s="362">
        <f>U58+U61+U64</f>
        <v>271.35926338750227</v>
      </c>
      <c r="V57" s="362">
        <f>V58+V61+V64</f>
        <v>271.35926338750227</v>
      </c>
      <c r="W57" s="362">
        <f t="shared" si="66"/>
        <v>33.364308266727051</v>
      </c>
      <c r="X57" s="568">
        <f>T57/V57</f>
        <v>1.1229525310845301</v>
      </c>
      <c r="Z57" s="432"/>
      <c r="AD57" s="1196" t="s">
        <v>217</v>
      </c>
      <c r="AE57" s="1197">
        <f t="shared" ref="AE57:AP57" si="75">SUM(AE58:AE60)</f>
        <v>21.099748456342116</v>
      </c>
      <c r="AF57" s="1197">
        <f t="shared" si="75"/>
        <v>30.455802414226486</v>
      </c>
      <c r="AG57" s="1197">
        <f t="shared" ref="AG57:AH57" si="76">SUM(AG58:AG60)</f>
        <v>35.307415901666673</v>
      </c>
      <c r="AH57" s="1197">
        <f t="shared" si="76"/>
        <v>32.235569458623175</v>
      </c>
      <c r="AI57" s="1197">
        <f>SUM(AI58:AI60)</f>
        <v>34.063521449560028</v>
      </c>
      <c r="AJ57" s="1197">
        <f>SUM(AJ58:AJ60)</f>
        <v>36.009318946616972</v>
      </c>
      <c r="AK57" s="1388">
        <f t="shared" ref="AK57:AK62" si="77">AI57/$AI$57</f>
        <v>1</v>
      </c>
      <c r="AL57" s="1197">
        <f t="shared" si="75"/>
        <v>1.9457974970569396</v>
      </c>
      <c r="AM57" s="1197">
        <f t="shared" si="75"/>
        <v>8.0354939315176939</v>
      </c>
      <c r="AN57" s="1197">
        <f t="shared" si="75"/>
        <v>304.72357165422932</v>
      </c>
      <c r="AO57" s="1388">
        <f>AN57/$AN$57</f>
        <v>1</v>
      </c>
      <c r="AP57" s="1197">
        <f t="shared" si="75"/>
        <v>271.35926338750227</v>
      </c>
      <c r="AQ57" s="1197">
        <f t="shared" si="69"/>
        <v>33.364308266727051</v>
      </c>
      <c r="AR57" s="1389">
        <f>AN57/AP57</f>
        <v>1.1229525310845301</v>
      </c>
    </row>
    <row r="58" spans="2:44" s="404" customFormat="1" ht="13" customHeight="1">
      <c r="B58" s="361" t="s">
        <v>591</v>
      </c>
      <c r="C58" s="367">
        <f t="shared" ref="C58" si="78">C59-C60</f>
        <v>8.684887518</v>
      </c>
      <c r="D58" s="367">
        <f t="shared" ref="D58:P58" si="79">D59-D60</f>
        <v>7.917145283</v>
      </c>
      <c r="E58" s="367">
        <f t="shared" si="79"/>
        <v>9.5077900920000005</v>
      </c>
      <c r="F58" s="367">
        <f t="shared" si="79"/>
        <v>9.6677690490000003</v>
      </c>
      <c r="G58" s="367">
        <f t="shared" si="79"/>
        <v>8.5168324377765856</v>
      </c>
      <c r="H58" s="362">
        <f t="shared" si="79"/>
        <v>11.74537725940977</v>
      </c>
      <c r="I58" s="362">
        <f t="shared" si="79"/>
        <v>11.748332635461479</v>
      </c>
      <c r="J58" s="362">
        <f t="shared" si="79"/>
        <v>13.671065580153543</v>
      </c>
      <c r="K58" s="362">
        <f t="shared" si="79"/>
        <v>12.963637657322117</v>
      </c>
      <c r="L58" s="362">
        <f t="shared" si="79"/>
        <v>16.103771665226486</v>
      </c>
      <c r="M58" s="362">
        <f t="shared" si="79"/>
        <v>16.100224885999999</v>
      </c>
      <c r="N58" s="362">
        <f t="shared" si="79"/>
        <v>16.102734122623175</v>
      </c>
      <c r="O58" s="362">
        <f t="shared" si="79"/>
        <v>16.517094009580031</v>
      </c>
      <c r="P58" s="362">
        <f t="shared" si="79"/>
        <v>15.16376875061697</v>
      </c>
      <c r="Q58" s="362">
        <f t="shared" ref="Q58" si="80">Q59-Q60</f>
        <v>18.136049178169493</v>
      </c>
      <c r="R58" s="365">
        <f t="shared" si="70"/>
        <v>-1.3533252589630607</v>
      </c>
      <c r="S58" s="375">
        <f t="shared" si="71"/>
        <v>-2.9722804275525228</v>
      </c>
      <c r="T58" s="362">
        <f t="shared" ref="T58" si="81">T59-T60</f>
        <v>157.80839814517017</v>
      </c>
      <c r="U58" s="362">
        <f t="shared" ref="U58:V58" si="82">U59-U60</f>
        <v>169.5736690567781</v>
      </c>
      <c r="V58" s="362">
        <f t="shared" si="82"/>
        <v>169.5736690567781</v>
      </c>
      <c r="W58" s="362">
        <f t="shared" si="66"/>
        <v>-11.765270911607928</v>
      </c>
      <c r="X58" s="568">
        <f t="shared" si="72"/>
        <v>0.930618527174354</v>
      </c>
      <c r="AD58" s="1198" t="s">
        <v>254</v>
      </c>
      <c r="AE58" s="1194">
        <f t="shared" ref="AE58:AJ58" si="83">K58</f>
        <v>12.963637657322117</v>
      </c>
      <c r="AF58" s="1194">
        <f t="shared" si="83"/>
        <v>16.103771665226486</v>
      </c>
      <c r="AG58" s="1194">
        <f t="shared" si="83"/>
        <v>16.100224885999999</v>
      </c>
      <c r="AH58" s="1194">
        <f t="shared" si="83"/>
        <v>16.102734122623175</v>
      </c>
      <c r="AI58" s="1194">
        <f t="shared" si="83"/>
        <v>16.517094009580031</v>
      </c>
      <c r="AJ58" s="1194">
        <f t="shared" si="83"/>
        <v>15.16376875061697</v>
      </c>
      <c r="AK58" s="1389">
        <f t="shared" si="77"/>
        <v>0.484890971534987</v>
      </c>
      <c r="AL58" s="1194">
        <f>R58</f>
        <v>-1.3533252589630607</v>
      </c>
      <c r="AM58" s="1194">
        <f>S58</f>
        <v>-2.9722804275525228</v>
      </c>
      <c r="AN58" s="1194">
        <f>T58</f>
        <v>157.80839814517017</v>
      </c>
      <c r="AO58" s="1389">
        <f t="shared" ref="AO58:AO65" si="84">AN58/$AN$57</f>
        <v>0.51787394486251226</v>
      </c>
      <c r="AP58" s="1194">
        <f>U58</f>
        <v>169.5736690567781</v>
      </c>
      <c r="AQ58" s="1194">
        <f t="shared" si="69"/>
        <v>-11.765270911607928</v>
      </c>
      <c r="AR58" s="1389">
        <f>AN58/AP58</f>
        <v>0.930618527174354</v>
      </c>
    </row>
    <row r="59" spans="2:44" s="404" customFormat="1" ht="13" customHeight="1">
      <c r="B59" s="409" t="s">
        <v>255</v>
      </c>
      <c r="C59" s="366">
        <f>Card!K126/10^9</f>
        <v>11.262027417000001</v>
      </c>
      <c r="D59" s="366">
        <f>Card!L126/10^9</f>
        <v>10.800645626</v>
      </c>
      <c r="E59" s="366">
        <f>Card!M126/10^9</f>
        <v>12.736325266</v>
      </c>
      <c r="F59" s="366">
        <f>Card!N126/10^9</f>
        <v>12.711793072000001</v>
      </c>
      <c r="G59" s="366">
        <f>Card!O126/10^9</f>
        <v>11.905428047999999</v>
      </c>
      <c r="H59" s="365">
        <f>Card!P126/10^9</f>
        <v>15.04877999</v>
      </c>
      <c r="I59" s="365">
        <f>Card!Q126/10^9</f>
        <v>15.563152891</v>
      </c>
      <c r="J59" s="365">
        <f>Card!R126/10^9</f>
        <v>17.647741505999999</v>
      </c>
      <c r="K59" s="365">
        <f>Card!S126/10^9</f>
        <v>17.669830163</v>
      </c>
      <c r="L59" s="365">
        <f>Card!T126/10^9</f>
        <v>21.451679111000001</v>
      </c>
      <c r="M59" s="365">
        <f>Card!U126/10^9</f>
        <v>21.69872805</v>
      </c>
      <c r="N59" s="365">
        <f>Card!V126/10^9</f>
        <v>22.363626754999999</v>
      </c>
      <c r="O59" s="365">
        <f>Card!W126/10^9</f>
        <v>22.786261396</v>
      </c>
      <c r="P59" s="365">
        <f>Card!X126/10^9</f>
        <v>23.398090372999999</v>
      </c>
      <c r="Q59" s="365">
        <f>'BG 2025 CC_PL'!BC14</f>
        <v>24.32008698638591</v>
      </c>
      <c r="R59" s="365">
        <f t="shared" si="70"/>
        <v>0.61182897699999828</v>
      </c>
      <c r="S59" s="375">
        <f t="shared" si="71"/>
        <v>-0.92199661338591099</v>
      </c>
      <c r="T59" s="365">
        <f>Card!J126/10^9</f>
        <v>214.981436621</v>
      </c>
      <c r="U59" s="365">
        <f>SUM('BG 2025 CC_PL'!AR14:BC14)</f>
        <v>228.90887749950292</v>
      </c>
      <c r="V59" s="365">
        <f>SUM('BG 2025 CC_PL'!AR14:BC14)</f>
        <v>228.90887749950292</v>
      </c>
      <c r="W59" s="362">
        <f t="shared" si="66"/>
        <v>-13.927440878502921</v>
      </c>
      <c r="X59" s="568">
        <f t="shared" si="72"/>
        <v>0.93915727065441945</v>
      </c>
      <c r="AB59" s="412"/>
      <c r="AD59" s="1198" t="s">
        <v>260</v>
      </c>
      <c r="AE59" s="1194">
        <f t="shared" ref="AE59:AJ59" si="85">K61</f>
        <v>7.2208928750199988</v>
      </c>
      <c r="AF59" s="1194">
        <f t="shared" si="85"/>
        <v>13.274811614999999</v>
      </c>
      <c r="AG59" s="1194">
        <f t="shared" si="85"/>
        <v>17.946712543666667</v>
      </c>
      <c r="AH59" s="1194">
        <f t="shared" si="85"/>
        <v>14.750921005000002</v>
      </c>
      <c r="AI59" s="1194">
        <f t="shared" si="85"/>
        <v>16.47461699498</v>
      </c>
      <c r="AJ59" s="1194">
        <f t="shared" si="85"/>
        <v>19.375389147</v>
      </c>
      <c r="AK59" s="1389">
        <f t="shared" si="77"/>
        <v>0.48364397730795355</v>
      </c>
      <c r="AL59" s="1194">
        <f>R61</f>
        <v>2.90077215202</v>
      </c>
      <c r="AM59" s="1194">
        <f>S61</f>
        <v>9.537613310070217</v>
      </c>
      <c r="AN59" s="1194">
        <f>T61</f>
        <v>132.44550335105916</v>
      </c>
      <c r="AO59" s="1389">
        <f t="shared" si="84"/>
        <v>0.43464147729715324</v>
      </c>
      <c r="AP59" s="1194">
        <f>U61</f>
        <v>101.78559433072417</v>
      </c>
      <c r="AQ59" s="1194">
        <f>W61</f>
        <v>30.659909020334993</v>
      </c>
      <c r="AR59" s="1389">
        <f>AN59/AP59</f>
        <v>1.3012205137862052</v>
      </c>
    </row>
    <row r="60" spans="2:44" s="404" customFormat="1" ht="13" customHeight="1">
      <c r="B60" s="409" t="s">
        <v>219</v>
      </c>
      <c r="C60" s="366">
        <f>Card!K130/10^9</f>
        <v>2.5771398990000001</v>
      </c>
      <c r="D60" s="366">
        <f>Card!L130/10^9</f>
        <v>2.8835003430000001</v>
      </c>
      <c r="E60" s="366">
        <f>Card!M130/10^9</f>
        <v>3.2285351740000001</v>
      </c>
      <c r="F60" s="366">
        <f>Card!N130/10^9</f>
        <v>3.044024023</v>
      </c>
      <c r="G60" s="366">
        <f>Card!O130/10^9</f>
        <v>3.3885956102234127</v>
      </c>
      <c r="H60" s="365">
        <f>Card!P130/10^9</f>
        <v>3.3034027305902298</v>
      </c>
      <c r="I60" s="365">
        <f>Card!Q130/10^9</f>
        <v>3.8148202555385211</v>
      </c>
      <c r="J60" s="365">
        <f>Card!R130/10^9</f>
        <v>3.9766759258464557</v>
      </c>
      <c r="K60" s="365">
        <f>Card!S130/10^9</f>
        <v>4.7061925056778842</v>
      </c>
      <c r="L60" s="365">
        <f>Card!T130/10^9</f>
        <v>5.3479074457735161</v>
      </c>
      <c r="M60" s="365">
        <f>Card!U130/10^9</f>
        <v>5.5985031640000003</v>
      </c>
      <c r="N60" s="365">
        <f>Card!V130/10^9</f>
        <v>6.260892632376823</v>
      </c>
      <c r="O60" s="365">
        <f>Card!W130/10^9</f>
        <v>6.2691673864199702</v>
      </c>
      <c r="P60" s="365">
        <f>Card!X130/10^9</f>
        <v>8.2343216223830282</v>
      </c>
      <c r="Q60" s="365">
        <f>-'BG 2025 CC_PL'!BC15</f>
        <v>6.1840378082164165</v>
      </c>
      <c r="R60" s="365">
        <f t="shared" si="70"/>
        <v>1.965154235963058</v>
      </c>
      <c r="S60" s="375">
        <f t="shared" si="71"/>
        <v>2.0502838141666118</v>
      </c>
      <c r="T60" s="365">
        <f>Card!J130/10^9</f>
        <v>57.173038475829834</v>
      </c>
      <c r="U60" s="365">
        <f>-SUM('BG 2025 CC_PL'!AR15:BC15)</f>
        <v>59.335208442724806</v>
      </c>
      <c r="V60" s="365">
        <f>-SUM('BG 2025 CC_PL'!AR15:BC15)</f>
        <v>59.335208442724806</v>
      </c>
      <c r="W60" s="362">
        <f t="shared" si="66"/>
        <v>-2.1621699668949717</v>
      </c>
      <c r="X60" s="568">
        <f t="shared" si="72"/>
        <v>0.96356008475166854</v>
      </c>
      <c r="AD60" s="1198" t="s">
        <v>89</v>
      </c>
      <c r="AE60" s="1194">
        <f t="shared" ref="AE60:AJ60" si="86">K64</f>
        <v>0.91521792400000002</v>
      </c>
      <c r="AF60" s="1194">
        <f t="shared" si="86"/>
        <v>1.0772191339999999</v>
      </c>
      <c r="AG60" s="1194">
        <f t="shared" si="86"/>
        <v>1.260478472</v>
      </c>
      <c r="AH60" s="1194">
        <f t="shared" si="86"/>
        <v>1.3819143309999999</v>
      </c>
      <c r="AI60" s="1194">
        <f t="shared" si="86"/>
        <v>1.0718104449999999</v>
      </c>
      <c r="AJ60" s="1194">
        <f t="shared" si="86"/>
        <v>1.4701610490000001</v>
      </c>
      <c r="AK60" s="1389">
        <f t="shared" si="77"/>
        <v>3.1465051157059498E-2</v>
      </c>
      <c r="AL60" s="1194">
        <f>R64</f>
        <v>0.39835060400000022</v>
      </c>
      <c r="AM60" s="1194">
        <f>S64</f>
        <v>1.4701610490000001</v>
      </c>
      <c r="AN60" s="1194">
        <f>T64</f>
        <v>14.469670158</v>
      </c>
      <c r="AO60" s="1389">
        <f t="shared" si="84"/>
        <v>4.7484577840334496E-2</v>
      </c>
      <c r="AP60" s="1194">
        <f>U64</f>
        <v>0</v>
      </c>
      <c r="AQ60" s="1194">
        <f>W64</f>
        <v>0</v>
      </c>
      <c r="AR60" s="1389"/>
    </row>
    <row r="61" spans="2:44" s="404" customFormat="1" ht="13" customHeight="1">
      <c r="B61" s="361" t="s">
        <v>593</v>
      </c>
      <c r="C61" s="367">
        <f t="shared" ref="C61" si="87">C62-C63</f>
        <v>10.877043165461833</v>
      </c>
      <c r="D61" s="367">
        <f t="shared" ref="D61:P61" si="88">D62-D63</f>
        <v>2.2893209041465523</v>
      </c>
      <c r="E61" s="367">
        <f t="shared" si="88"/>
        <v>5.1080102393904863</v>
      </c>
      <c r="F61" s="367">
        <f t="shared" si="88"/>
        <v>3.2438703734025052</v>
      </c>
      <c r="G61" s="367">
        <f t="shared" si="88"/>
        <v>4.1239913591240187</v>
      </c>
      <c r="H61" s="362">
        <f t="shared" si="88"/>
        <v>4.2329800581421466</v>
      </c>
      <c r="I61" s="362">
        <f t="shared" si="88"/>
        <v>8.2456466180000003</v>
      </c>
      <c r="J61" s="362">
        <f t="shared" si="88"/>
        <v>15.284804476333335</v>
      </c>
      <c r="K61" s="362">
        <f t="shared" si="88"/>
        <v>7.2208928750199988</v>
      </c>
      <c r="L61" s="362">
        <f t="shared" si="88"/>
        <v>13.274811614999999</v>
      </c>
      <c r="M61" s="362">
        <f t="shared" si="88"/>
        <v>17.946712543666667</v>
      </c>
      <c r="N61" s="362">
        <f t="shared" si="88"/>
        <v>14.750921005000002</v>
      </c>
      <c r="O61" s="362">
        <f t="shared" si="88"/>
        <v>16.47461699498</v>
      </c>
      <c r="P61" s="362">
        <f t="shared" si="88"/>
        <v>19.375389147</v>
      </c>
      <c r="Q61" s="362">
        <f t="shared" ref="Q61" si="89">Q62-Q63</f>
        <v>9.837775836929783</v>
      </c>
      <c r="R61" s="365">
        <f t="shared" si="70"/>
        <v>2.90077215202</v>
      </c>
      <c r="S61" s="375">
        <f t="shared" si="71"/>
        <v>9.537613310070217</v>
      </c>
      <c r="T61" s="362">
        <f t="shared" ref="T61" si="90">T62-T63</f>
        <v>132.44550335105916</v>
      </c>
      <c r="U61" s="362">
        <f t="shared" ref="U61:V61" si="91">U62-U63</f>
        <v>101.78559433072417</v>
      </c>
      <c r="V61" s="362">
        <f t="shared" si="91"/>
        <v>101.78559433072417</v>
      </c>
      <c r="W61" s="362">
        <f t="shared" si="66"/>
        <v>30.659909020334993</v>
      </c>
      <c r="X61" s="568">
        <f t="shared" si="72"/>
        <v>1.3012205137862052</v>
      </c>
      <c r="AD61" s="1196" t="s">
        <v>592</v>
      </c>
      <c r="AE61" s="1197">
        <f t="shared" ref="AE61:AJ61" si="92">K75</f>
        <v>12.950560114</v>
      </c>
      <c r="AF61" s="1197">
        <f t="shared" si="92"/>
        <v>26.62426001</v>
      </c>
      <c r="AG61" s="1197">
        <f t="shared" si="92"/>
        <v>25.098786740000001</v>
      </c>
      <c r="AH61" s="1197">
        <f t="shared" si="92"/>
        <v>21.789423335999999</v>
      </c>
      <c r="AI61" s="1197">
        <f t="shared" si="92"/>
        <v>24.826685539</v>
      </c>
      <c r="AJ61" s="1197">
        <f t="shared" si="92"/>
        <v>29.162626762999999</v>
      </c>
      <c r="AK61" s="1388">
        <f t="shared" si="77"/>
        <v>0.72883496721742103</v>
      </c>
      <c r="AL61" s="1197">
        <f>R75</f>
        <v>4.335941223999999</v>
      </c>
      <c r="AM61" s="1197">
        <f>S75</f>
        <v>11.806236823043609</v>
      </c>
      <c r="AN61" s="1197">
        <f>T75</f>
        <v>235.98354293599999</v>
      </c>
      <c r="AO61" s="1388">
        <f t="shared" si="84"/>
        <v>0.77441840700059517</v>
      </c>
      <c r="AP61" s="1197">
        <f>U75</f>
        <v>196.65659732189238</v>
      </c>
      <c r="AQ61" s="1197">
        <f>W75</f>
        <v>39.326945614107615</v>
      </c>
      <c r="AR61" s="1389">
        <f>AN61/AP61</f>
        <v>1.1999777589446252</v>
      </c>
    </row>
    <row r="62" spans="2:44" s="404" customFormat="1" ht="13" customHeight="1">
      <c r="B62" s="409" t="s">
        <v>22</v>
      </c>
      <c r="C62" s="366">
        <f>Card!K132/10^9</f>
        <v>14.092785174999999</v>
      </c>
      <c r="D62" s="366">
        <f>Card!L132/10^9</f>
        <v>6.2622153410000001</v>
      </c>
      <c r="E62" s="366">
        <f>Card!M132/10^9</f>
        <v>9.4238411610000004</v>
      </c>
      <c r="F62" s="366">
        <f>Card!N132/10^9</f>
        <v>7.2300037909999997</v>
      </c>
      <c r="G62" s="366">
        <f>Card!O132/10^9</f>
        <v>8.5253041140000008</v>
      </c>
      <c r="H62" s="365">
        <f>Card!P132/10^9</f>
        <v>8.5328022400000005</v>
      </c>
      <c r="I62" s="365">
        <f>Card!Q132/10^9</f>
        <v>12.14179908</v>
      </c>
      <c r="J62" s="365">
        <f>Card!R132/10^9</f>
        <v>16.260499750000001</v>
      </c>
      <c r="K62" s="365">
        <f>Card!S132/10^9</f>
        <v>11.134910100999999</v>
      </c>
      <c r="L62" s="365">
        <f>Card!T132/10^9</f>
        <v>17.494304460999999</v>
      </c>
      <c r="M62" s="365">
        <f>Card!U132/10^9</f>
        <v>22.501877769</v>
      </c>
      <c r="N62" s="365">
        <f>Card!V132/10^9</f>
        <v>19.382726851000001</v>
      </c>
      <c r="O62" s="365">
        <f>Card!W132/10^9</f>
        <v>21.100775308999999</v>
      </c>
      <c r="P62" s="365">
        <f>Card!X132/10^9</f>
        <v>24.058136441999999</v>
      </c>
      <c r="Q62" s="365">
        <f>SUM('BG 2025 CC_PL'!BC18:BC22)</f>
        <v>14.595715050757637</v>
      </c>
      <c r="R62" s="365">
        <f t="shared" si="70"/>
        <v>2.9573611329999991</v>
      </c>
      <c r="S62" s="375">
        <f t="shared" si="71"/>
        <v>9.462421391242362</v>
      </c>
      <c r="T62" s="365">
        <f>Card!J132/10^9</f>
        <v>177.78698106900001</v>
      </c>
      <c r="U62" s="365">
        <f>SUM('BG 2025 CC_PL'!AR18:BC22)+'BG 2025 CC_PL'!AZ32</f>
        <v>144.90614756836266</v>
      </c>
      <c r="V62" s="365">
        <f>SUM('BG 2025 CC_PL'!AR18:BC22)+'BG 2025 CC_PL'!AZ32</f>
        <v>144.90614756836266</v>
      </c>
      <c r="W62" s="362">
        <f t="shared" si="66"/>
        <v>32.880833500637351</v>
      </c>
      <c r="X62" s="568">
        <f t="shared" si="72"/>
        <v>1.2269112391185826</v>
      </c>
      <c r="AD62" s="1196" t="s">
        <v>577</v>
      </c>
      <c r="AE62" s="1197">
        <f t="shared" ref="AE62:AQ62" si="93">SUM(AE63:AE64)</f>
        <v>7.566565804258091</v>
      </c>
      <c r="AF62" s="1197">
        <f t="shared" ref="AF62:AG62" si="94">SUM(AF63:AF64)</f>
        <v>7.7093976064992136</v>
      </c>
      <c r="AG62" s="1197">
        <f t="shared" si="94"/>
        <v>7.3899426713411165</v>
      </c>
      <c r="AH62" s="1197">
        <f t="shared" ref="AH62" si="95">SUM(AH63:AH64)</f>
        <v>9.8239466812509786</v>
      </c>
      <c r="AI62" s="1197">
        <f>SUM(AI63:AI64)</f>
        <v>7.8803519796047663</v>
      </c>
      <c r="AJ62" s="1197">
        <f>SUM(AJ63:AJ64)</f>
        <v>7.2410387084970056</v>
      </c>
      <c r="AK62" s="1388">
        <f t="shared" si="77"/>
        <v>0.23134284549158232</v>
      </c>
      <c r="AL62" s="1197">
        <f t="shared" si="93"/>
        <v>-0.63931327110776048</v>
      </c>
      <c r="AM62" s="1197">
        <f t="shared" si="93"/>
        <v>-2.5602202794361526</v>
      </c>
      <c r="AN62" s="1197">
        <f t="shared" si="93"/>
        <v>84.760226151997671</v>
      </c>
      <c r="AO62" s="1388">
        <f t="shared" si="84"/>
        <v>0.27815447847328112</v>
      </c>
      <c r="AP62" s="1197">
        <f t="shared" si="93"/>
        <v>109.09363096423318</v>
      </c>
      <c r="AQ62" s="1197">
        <f t="shared" si="93"/>
        <v>-24.333404812235514</v>
      </c>
      <c r="AR62" s="1389">
        <f>AN62/AP62</f>
        <v>0.77694935444752655</v>
      </c>
    </row>
    <row r="63" spans="2:44" s="404" customFormat="1" ht="13" customHeight="1">
      <c r="B63" s="409" t="s">
        <v>295</v>
      </c>
      <c r="C63" s="366">
        <f>Card!K143/10^9</f>
        <v>3.2157420095381664</v>
      </c>
      <c r="D63" s="366">
        <f>Card!L143/10^9</f>
        <v>3.9728944368534478</v>
      </c>
      <c r="E63" s="366">
        <f>Card!M143/10^9</f>
        <v>4.3158309216095141</v>
      </c>
      <c r="F63" s="366">
        <f>Card!N143/10^9</f>
        <v>3.9861334175974945</v>
      </c>
      <c r="G63" s="366">
        <f>Card!O143/10^9</f>
        <v>4.4013127548759821</v>
      </c>
      <c r="H63" s="365">
        <f>Card!P143/10^9</f>
        <v>4.2998221818578539</v>
      </c>
      <c r="I63" s="365">
        <f>Card!Q143/10^9</f>
        <v>3.8961524619999999</v>
      </c>
      <c r="J63" s="365">
        <f>Card!R143/10^9</f>
        <v>0.97569527366666664</v>
      </c>
      <c r="K63" s="365">
        <f>Card!S143/10^9</f>
        <v>3.9140172259799999</v>
      </c>
      <c r="L63" s="365">
        <f>Card!T143/10^9</f>
        <v>4.2194928459999996</v>
      </c>
      <c r="M63" s="365">
        <f>Card!U143/10^9</f>
        <v>4.555165225333333</v>
      </c>
      <c r="N63" s="365">
        <f>Card!V143/10^9</f>
        <v>4.6318058459999998</v>
      </c>
      <c r="O63" s="365">
        <f>Card!W143/10^9</f>
        <v>4.6261583140200004</v>
      </c>
      <c r="P63" s="365">
        <f>Card!X143/10^9</f>
        <v>4.6827472950000004</v>
      </c>
      <c r="Q63" s="365">
        <f>-('BG 2025 CC_PL'!BC25+'BG 2025 CC_PL'!BC28+'BG 2025 CC_PL'!BC29+'BG 2025 CC_PL'!BC30)</f>
        <v>4.7579392138278536</v>
      </c>
      <c r="R63" s="365">
        <f t="shared" si="70"/>
        <v>5.6588980979999981E-2</v>
      </c>
      <c r="S63" s="375">
        <f t="shared" si="71"/>
        <v>-7.5191918827853144E-2</v>
      </c>
      <c r="T63" s="365">
        <f>SUM(Card!J144:J146)/10^9</f>
        <v>45.34147771794084</v>
      </c>
      <c r="U63" s="365">
        <f>-SUM('BG 2025 CC_PL'!AR25:BC25)-SUM('BG 2025 CC_PL'!AR28:BC30)</f>
        <v>43.120553237638482</v>
      </c>
      <c r="V63" s="365">
        <f>-SUM('BG 2025 CC_PL'!AR25:BC25)-SUM('BG 2025 CC_PL'!AR28:BC30)</f>
        <v>43.120553237638482</v>
      </c>
      <c r="W63" s="362">
        <f t="shared" si="66"/>
        <v>2.220924480302358</v>
      </c>
      <c r="X63" s="568">
        <f t="shared" si="72"/>
        <v>1.0515050089469582</v>
      </c>
      <c r="AD63" s="1198" t="s">
        <v>229</v>
      </c>
      <c r="AE63" s="1194">
        <f t="shared" ref="AE63:AJ63" si="96">K65</f>
        <v>2.5062831471182969</v>
      </c>
      <c r="AF63" s="1194">
        <f t="shared" si="96"/>
        <v>2.9070029463914215</v>
      </c>
      <c r="AG63" s="1194">
        <f t="shared" si="96"/>
        <v>2.7996518485701083</v>
      </c>
      <c r="AH63" s="1194">
        <f t="shared" si="96"/>
        <v>2.7703579984703341</v>
      </c>
      <c r="AI63" s="1194">
        <f t="shared" si="96"/>
        <v>3.4470388833804133</v>
      </c>
      <c r="AJ63" s="1194">
        <f t="shared" si="96"/>
        <v>3.1473674736099042</v>
      </c>
      <c r="AK63" s="1389">
        <f t="shared" ref="AK63:AK65" si="97">AI63/$AI$57</f>
        <v>0.101194437236463</v>
      </c>
      <c r="AL63" s="1194">
        <f>R65</f>
        <v>-0.2996714097705091</v>
      </c>
      <c r="AM63" s="1194">
        <f>S65</f>
        <v>-0.9444469534315294</v>
      </c>
      <c r="AN63" s="1194">
        <f>T65</f>
        <v>33.624922440539038</v>
      </c>
      <c r="AO63" s="1389">
        <f t="shared" si="84"/>
        <v>0.11034565609086956</v>
      </c>
      <c r="AP63" s="1194">
        <f>U65</f>
        <v>40.580296233532479</v>
      </c>
      <c r="AQ63" s="1194">
        <f>W65</f>
        <v>-6.9553737929934414</v>
      </c>
      <c r="AR63" s="1389">
        <f>AN63/AP63</f>
        <v>0.82860219272509772</v>
      </c>
    </row>
    <row r="64" spans="2:44" s="404" customFormat="1" ht="13" customHeight="1">
      <c r="B64" s="361" t="s">
        <v>89</v>
      </c>
      <c r="C64" s="366">
        <f>Card!K148/10^9</f>
        <v>0.15830796499999999</v>
      </c>
      <c r="D64" s="366">
        <f>Card!L148/10^9</f>
        <v>3.35632025</v>
      </c>
      <c r="E64" s="366">
        <f>Card!M148/10^9</f>
        <v>0.29540978200000001</v>
      </c>
      <c r="F64" s="366">
        <f>Card!N148/10^9</f>
        <v>0.40775027000000003</v>
      </c>
      <c r="G64" s="366">
        <f>Card!O148/10^9</f>
        <v>0.97052047799999996</v>
      </c>
      <c r="H64" s="365">
        <f>Card!P148/10^9</f>
        <v>1.476383802</v>
      </c>
      <c r="I64" s="365">
        <f>Card!Q148/10^9</f>
        <v>3.3472428129999998</v>
      </c>
      <c r="J64" s="365">
        <f>Card!R148/10^9</f>
        <v>0.795561658</v>
      </c>
      <c r="K64" s="365">
        <f>Card!S148/10^9</f>
        <v>0.91521792400000002</v>
      </c>
      <c r="L64" s="365">
        <f>Card!T148/10^9</f>
        <v>1.0772191339999999</v>
      </c>
      <c r="M64" s="365">
        <f>Card!U148/10^9</f>
        <v>1.260478472</v>
      </c>
      <c r="N64" s="365">
        <f>Card!V148/10^9</f>
        <v>1.3819143309999999</v>
      </c>
      <c r="O64" s="365">
        <f>Card!W148/10^9</f>
        <v>1.0718104449999999</v>
      </c>
      <c r="P64" s="365">
        <f>Card!X148/10^9</f>
        <v>1.4701610490000001</v>
      </c>
      <c r="Q64" s="365">
        <f>'BG 2025 CC_PL'!BC24/10^9</f>
        <v>0</v>
      </c>
      <c r="R64" s="365">
        <f t="shared" si="70"/>
        <v>0.39835060400000022</v>
      </c>
      <c r="S64" s="375">
        <f t="shared" si="71"/>
        <v>1.4701610490000001</v>
      </c>
      <c r="T64" s="365">
        <f>Card!J148/10^9</f>
        <v>14.469670158</v>
      </c>
      <c r="U64" s="365"/>
      <c r="V64" s="365"/>
      <c r="W64" s="362"/>
      <c r="X64" s="568"/>
      <c r="AD64" s="1198" t="s">
        <v>299</v>
      </c>
      <c r="AE64" s="1194">
        <f t="shared" ref="AE64:AJ64" si="98">K77+K79</f>
        <v>5.0602826571397941</v>
      </c>
      <c r="AF64" s="1194">
        <f t="shared" si="98"/>
        <v>4.802394660107792</v>
      </c>
      <c r="AG64" s="1194">
        <f t="shared" si="98"/>
        <v>4.5902908227710082</v>
      </c>
      <c r="AH64" s="1194">
        <f t="shared" si="98"/>
        <v>7.053588682780644</v>
      </c>
      <c r="AI64" s="1194">
        <f t="shared" si="98"/>
        <v>4.433313096224353</v>
      </c>
      <c r="AJ64" s="1194">
        <f t="shared" si="98"/>
        <v>4.0936712348871014</v>
      </c>
      <c r="AK64" s="1389">
        <f t="shared" si="97"/>
        <v>0.13014840825511934</v>
      </c>
      <c r="AL64" s="1194">
        <f>R77+R79</f>
        <v>-0.33964186133725138</v>
      </c>
      <c r="AM64" s="1194">
        <f>S77+S79</f>
        <v>-1.6157733260046234</v>
      </c>
      <c r="AN64" s="1194">
        <f>T77+T79</f>
        <v>51.135303711458633</v>
      </c>
      <c r="AO64" s="1389">
        <f t="shared" si="84"/>
        <v>0.16780882238241157</v>
      </c>
      <c r="AP64" s="1194">
        <f>U77+U79</f>
        <v>68.513334730700706</v>
      </c>
      <c r="AQ64" s="1194">
        <f>W77+W79</f>
        <v>-17.378031019242073</v>
      </c>
      <c r="AR64" s="1389">
        <f>AN64/AP64</f>
        <v>0.74635549287524305</v>
      </c>
    </row>
    <row r="65" spans="2:44" s="404" customFormat="1" ht="13" customHeight="1">
      <c r="B65" s="361" t="s">
        <v>577</v>
      </c>
      <c r="C65" s="349">
        <f t="shared" ref="C65" si="99">SUM(C66:C72)</f>
        <v>2.5263906638824309</v>
      </c>
      <c r="D65" s="349">
        <f t="shared" ref="D65:I65" si="100">SUM(D66:D72)</f>
        <v>2.9607062342720187</v>
      </c>
      <c r="E65" s="349">
        <f t="shared" si="100"/>
        <v>2.632915604761731</v>
      </c>
      <c r="F65" s="349">
        <f t="shared" si="100"/>
        <v>2.4767971724185371</v>
      </c>
      <c r="G65" s="349">
        <f t="shared" si="100"/>
        <v>2.7956888053192035</v>
      </c>
      <c r="H65" s="364">
        <f t="shared" si="100"/>
        <v>2.4408726856112812</v>
      </c>
      <c r="I65" s="364">
        <f t="shared" si="100"/>
        <v>2.5753839736603172</v>
      </c>
      <c r="J65" s="364">
        <f t="shared" ref="J65:Q65" si="101">SUM(J66:J74)</f>
        <v>2.2802906092274888</v>
      </c>
      <c r="K65" s="364">
        <f t="shared" si="101"/>
        <v>2.5062831471182969</v>
      </c>
      <c r="L65" s="364">
        <f t="shared" si="101"/>
        <v>2.9070029463914215</v>
      </c>
      <c r="M65" s="364">
        <f t="shared" si="101"/>
        <v>2.7996518485701083</v>
      </c>
      <c r="N65" s="364">
        <f t="shared" si="101"/>
        <v>2.7703579984703341</v>
      </c>
      <c r="O65" s="364">
        <f t="shared" si="101"/>
        <v>3.4470388833804133</v>
      </c>
      <c r="P65" s="364">
        <f t="shared" si="101"/>
        <v>3.1473674736099042</v>
      </c>
      <c r="Q65" s="362">
        <f t="shared" si="101"/>
        <v>4.0918144270414336</v>
      </c>
      <c r="R65" s="365">
        <f t="shared" si="70"/>
        <v>-0.2996714097705091</v>
      </c>
      <c r="S65" s="375">
        <f t="shared" si="71"/>
        <v>-0.9444469534315294</v>
      </c>
      <c r="T65" s="362">
        <f>SUM(T66:T74)</f>
        <v>33.624922440539038</v>
      </c>
      <c r="U65" s="362">
        <f>SUM(U66:U74)</f>
        <v>40.580296233532479</v>
      </c>
      <c r="V65" s="362">
        <f>SUM(V66:V74)</f>
        <v>40.580296233532479</v>
      </c>
      <c r="W65" s="362">
        <f t="shared" si="66"/>
        <v>-6.9553737929934414</v>
      </c>
      <c r="X65" s="568">
        <f>T65/V65</f>
        <v>0.82860219272509772</v>
      </c>
      <c r="Z65" s="412"/>
      <c r="AD65" s="1196" t="s">
        <v>489</v>
      </c>
      <c r="AE65" s="1197">
        <f t="shared" ref="AE65:AQ65" si="102">AE57-AE61-AE62</f>
        <v>0.58262253808402509</v>
      </c>
      <c r="AF65" s="1197">
        <f t="shared" ref="AF65:AG65" si="103">AF57-AF61-AF62</f>
        <v>-3.8778552022727277</v>
      </c>
      <c r="AG65" s="1197">
        <f t="shared" si="103"/>
        <v>2.8186864903255548</v>
      </c>
      <c r="AH65" s="1197">
        <f t="shared" ref="AH65" si="104">AH57-AH61-AH62</f>
        <v>0.62219944137219763</v>
      </c>
      <c r="AI65" s="1197">
        <f>AI57-AI61-AI62</f>
        <v>1.3564839309552621</v>
      </c>
      <c r="AJ65" s="1197">
        <f>AJ57-AJ61-AJ62</f>
        <v>-0.39434652488003241</v>
      </c>
      <c r="AK65" s="1388">
        <f t="shared" si="97"/>
        <v>3.982218729099668E-2</v>
      </c>
      <c r="AL65" s="1197">
        <f t="shared" si="102"/>
        <v>-1.7508304558352992</v>
      </c>
      <c r="AM65" s="1197">
        <f t="shared" si="102"/>
        <v>-1.2105226120897621</v>
      </c>
      <c r="AN65" s="1197">
        <f t="shared" si="102"/>
        <v>-16.020197433768345</v>
      </c>
      <c r="AO65" s="1388">
        <f t="shared" si="84"/>
        <v>-5.2572885473876327E-2</v>
      </c>
      <c r="AP65" s="1197">
        <f t="shared" si="102"/>
        <v>-34.390964898623295</v>
      </c>
      <c r="AQ65" s="1197">
        <f t="shared" si="102"/>
        <v>18.37076746485495</v>
      </c>
      <c r="AR65" s="1389">
        <f>AN65/AP65</f>
        <v>0.46582576211491089</v>
      </c>
    </row>
    <row r="66" spans="2:44" s="404" customFormat="1" ht="13" customHeight="1">
      <c r="B66" s="409" t="s">
        <v>232</v>
      </c>
      <c r="C66" s="366">
        <f>Card!K153/10^9</f>
        <v>0.54010910299999992</v>
      </c>
      <c r="D66" s="366">
        <f>Card!L153/10^9</f>
        <v>0.75263570599999985</v>
      </c>
      <c r="E66" s="366">
        <f>Card!M153/10^9</f>
        <v>0.62292364300000003</v>
      </c>
      <c r="F66" s="366">
        <f>Card!N153/10^9</f>
        <v>0.54728579300000002</v>
      </c>
      <c r="G66" s="366">
        <f>Card!O153/10^9</f>
        <v>0.67595508999999998</v>
      </c>
      <c r="H66" s="365">
        <f>Card!P153/10^9</f>
        <v>0.618498082</v>
      </c>
      <c r="I66" s="365">
        <f>Card!Q153/10^9</f>
        <v>0.64786063500000002</v>
      </c>
      <c r="J66" s="365">
        <f>Card!R153/10^9</f>
        <v>0.64120333500000004</v>
      </c>
      <c r="K66" s="365">
        <f>Card!S153/10^9</f>
        <v>0.633336907</v>
      </c>
      <c r="L66" s="365">
        <f>Card!T153/10^9</f>
        <v>0.72849302599999988</v>
      </c>
      <c r="M66" s="365">
        <f>Card!U153/10^9</f>
        <v>0.736913441</v>
      </c>
      <c r="N66" s="365">
        <f>Card!V153/10^9</f>
        <v>0.62834489999999987</v>
      </c>
      <c r="O66" s="365">
        <f>Card!W153/10^9</f>
        <v>0.68020840400000004</v>
      </c>
      <c r="P66" s="365">
        <f>Card!X153/10^9</f>
        <v>0.62458308600000001</v>
      </c>
      <c r="Q66" s="365">
        <f>-'BG 2025 CC_PL'!BC35</f>
        <v>0.530009375</v>
      </c>
      <c r="R66" s="365">
        <f t="shared" si="70"/>
        <v>-5.5625318000000035E-2</v>
      </c>
      <c r="S66" s="375">
        <f t="shared" si="71"/>
        <v>9.4573711000000005E-2</v>
      </c>
      <c r="T66" s="365">
        <f>Card!J153/10^9</f>
        <v>7.7856063420000003</v>
      </c>
      <c r="U66" s="365">
        <f>-SUM('BG 2025 CC_PL'!AR35:BC35)</f>
        <v>5.9200970312500001</v>
      </c>
      <c r="V66" s="365">
        <f>-SUM('BG 2025 CC_PL'!AR35:BC35)</f>
        <v>5.9200970312500001</v>
      </c>
      <c r="W66" s="362">
        <f t="shared" ref="W66:W75" si="105">T66-U66</f>
        <v>1.8655093107500003</v>
      </c>
      <c r="X66" s="568">
        <f t="shared" ref="X66:X71" si="106">T66/V66</f>
        <v>1.3151146511455247</v>
      </c>
      <c r="Z66" s="424"/>
    </row>
    <row r="67" spans="2:44" s="404" customFormat="1" ht="13" customHeight="1">
      <c r="B67" s="409" t="s">
        <v>234</v>
      </c>
      <c r="C67" s="366">
        <f>Card!K158/10^9</f>
        <v>0.57124290244744458</v>
      </c>
      <c r="D67" s="366">
        <f>Card!L158/10^9</f>
        <v>0.75063879741499628</v>
      </c>
      <c r="E67" s="366">
        <f>Card!M158/10^9</f>
        <v>0.7249622663327645</v>
      </c>
      <c r="F67" s="366">
        <f>Card!N158/10^9</f>
        <v>0.95763990446247671</v>
      </c>
      <c r="G67" s="366">
        <f>Card!O158/10^9</f>
        <v>0.82400289260482851</v>
      </c>
      <c r="H67" s="365">
        <f>Card!P158/10^9</f>
        <v>0.84999632826653593</v>
      </c>
      <c r="I67" s="365">
        <f>Card!Q158/10^9</f>
        <v>0.83073299884928176</v>
      </c>
      <c r="J67" s="365">
        <f>Card!R158/10^9</f>
        <v>0.31059477994429491</v>
      </c>
      <c r="K67" s="365">
        <f>Card!S158/10^9</f>
        <v>0.46319628521262207</v>
      </c>
      <c r="L67" s="365">
        <f>Card!T158/10^9</f>
        <v>0.4944767960482146</v>
      </c>
      <c r="M67" s="365">
        <f>Card!U158/10^9</f>
        <v>0.59856322690528574</v>
      </c>
      <c r="N67" s="365">
        <f>Card!V158/10^9</f>
        <v>0.19506055070000008</v>
      </c>
      <c r="O67" s="365">
        <f>Card!W158/10^9</f>
        <v>0.235670457906</v>
      </c>
      <c r="P67" s="365">
        <f>Card!X158/10^9</f>
        <v>0.20682312327999999</v>
      </c>
      <c r="Q67" s="365">
        <f>-'BG 2025 CC_PL'!BC38</f>
        <v>0.79320858666666672</v>
      </c>
      <c r="R67" s="365">
        <f t="shared" si="70"/>
        <v>-2.8847334626000004E-2</v>
      </c>
      <c r="S67" s="375">
        <f t="shared" si="71"/>
        <v>-0.58638546338666675</v>
      </c>
      <c r="T67" s="365">
        <f>Card!J158/10^9</f>
        <v>6.6917196105123047</v>
      </c>
      <c r="U67" s="365">
        <f>-SUM('BG 2025 CC_PL'!AR38:BC38)</f>
        <v>8.083751040000001</v>
      </c>
      <c r="V67" s="365">
        <f>-SUM('BG 2025 CC_PL'!AR38:BC38)</f>
        <v>8.083751040000001</v>
      </c>
      <c r="W67" s="362">
        <f t="shared" si="105"/>
        <v>-1.3920314294876963</v>
      </c>
      <c r="X67" s="568">
        <f t="shared" si="106"/>
        <v>0.82779882475355204</v>
      </c>
      <c r="Z67" s="424"/>
    </row>
    <row r="68" spans="2:44" s="404" customFormat="1" ht="13" customHeight="1">
      <c r="B68" s="409" t="s">
        <v>594</v>
      </c>
      <c r="C68" s="366">
        <f>Card!K151/10^9</f>
        <v>0.53000378766666667</v>
      </c>
      <c r="D68" s="366">
        <f>Card!L151/10^9</f>
        <v>0.74515444466666658</v>
      </c>
      <c r="E68" s="366">
        <f>Card!M151/10^9</f>
        <v>0.553186807</v>
      </c>
      <c r="F68" s="366">
        <f>Card!N151/10^9</f>
        <v>0.487114769</v>
      </c>
      <c r="G68" s="366">
        <f>Card!O151/10^9</f>
        <v>0.55419495600000002</v>
      </c>
      <c r="H68" s="365">
        <f>Card!P151/10^9</f>
        <v>0.594495416</v>
      </c>
      <c r="I68" s="365">
        <f>Card!Q151/10^9</f>
        <v>0.62192293399999998</v>
      </c>
      <c r="J68" s="365">
        <f>Card!R151/10^9</f>
        <v>0.61902833599999996</v>
      </c>
      <c r="K68" s="365">
        <f>Card!S151/10^9</f>
        <v>0.61366398499999997</v>
      </c>
      <c r="L68" s="365">
        <f>Card!T151/10^9</f>
        <v>0.89604228900000005</v>
      </c>
      <c r="M68" s="365">
        <f>Card!U151/10^9</f>
        <v>0.718358575</v>
      </c>
      <c r="N68" s="365">
        <f>Card!V151/10^9</f>
        <v>0.80126615800000001</v>
      </c>
      <c r="O68" s="365">
        <f>Card!W151/10^9</f>
        <v>1.4579204649999999</v>
      </c>
      <c r="P68" s="365">
        <f>Card!X151/10^9</f>
        <v>1.1143976980000001</v>
      </c>
      <c r="Q68" s="365">
        <f>-'BG 2025 CC_PL'!BC39</f>
        <v>0.6</v>
      </c>
      <c r="R68" s="365">
        <f t="shared" si="70"/>
        <v>-0.34352276699999984</v>
      </c>
      <c r="S68" s="375">
        <f t="shared" si="71"/>
        <v>0.51439769800000013</v>
      </c>
      <c r="T68" s="365">
        <f>Card!J151/10^9</f>
        <v>9.031592388</v>
      </c>
      <c r="U68" s="365">
        <f>-SUM('BG 2025 CC_PL'!AR39:BC39)</f>
        <v>7.1999999999999984</v>
      </c>
      <c r="V68" s="365">
        <f>-SUM('BG 2025 CC_PL'!AR39:BC39)</f>
        <v>7.1999999999999984</v>
      </c>
      <c r="W68" s="362">
        <f t="shared" si="105"/>
        <v>1.8315923880000016</v>
      </c>
      <c r="X68" s="568">
        <f t="shared" si="106"/>
        <v>1.254387831666667</v>
      </c>
      <c r="Z68" s="424"/>
    </row>
    <row r="69" spans="2:44" s="404" customFormat="1" ht="13" customHeight="1">
      <c r="B69" s="409" t="s">
        <v>235</v>
      </c>
      <c r="C69" s="366">
        <f>Card!K159/10^9</f>
        <v>0.34590757550000001</v>
      </c>
      <c r="D69" s="366">
        <f>Card!L159/10^9</f>
        <v>2.3893646500000001E-2</v>
      </c>
      <c r="E69" s="366">
        <f>Card!M159/10^9</f>
        <v>0.218520134</v>
      </c>
      <c r="F69" s="366">
        <f>Card!N159/10^9</f>
        <v>7.3079563E-2</v>
      </c>
      <c r="G69" s="366">
        <f>Card!O159/10^9</f>
        <v>0.31395174300000001</v>
      </c>
      <c r="H69" s="365">
        <f>Card!P159/10^9</f>
        <v>9.6006800000000003E-3</v>
      </c>
      <c r="I69" s="365">
        <f>Card!Q159/10^9</f>
        <v>8.2322810999999996E-2</v>
      </c>
      <c r="J69" s="365">
        <f>Card!R159/10^9</f>
        <v>1.5177374E-2</v>
      </c>
      <c r="K69" s="365">
        <f>Card!S159/10^9</f>
        <v>2.0318553E-2</v>
      </c>
      <c r="L69" s="365">
        <f>Card!T159/10^9</f>
        <v>0.17444067699999999</v>
      </c>
      <c r="M69" s="365">
        <f>Card!U159/10^9</f>
        <v>3.0132234000000001E-2</v>
      </c>
      <c r="N69" s="365">
        <f>Card!V159/10^9</f>
        <v>0.50884709800000005</v>
      </c>
      <c r="O69" s="365">
        <f>Card!W159/10^9</f>
        <v>0.17146797999999999</v>
      </c>
      <c r="P69" s="365">
        <f>Card!X159/10^9</f>
        <v>0.49635093000000002</v>
      </c>
      <c r="Q69" s="365">
        <f>-'BG 2025 CC_PL'!BC40</f>
        <v>0.77785559027777773</v>
      </c>
      <c r="R69" s="365">
        <f t="shared" si="70"/>
        <v>0.32488295</v>
      </c>
      <c r="S69" s="375">
        <f t="shared" si="71"/>
        <v>-0.28150466027777771</v>
      </c>
      <c r="T69" s="365">
        <f>Card!J159/10^9</f>
        <v>2.1142097770000001</v>
      </c>
      <c r="U69" s="365">
        <f>-SUM('BG 2025 CC_PL'!AR40:BC40)</f>
        <v>7.4129337500000005</v>
      </c>
      <c r="V69" s="365">
        <f>-SUM('BG 2025 CC_PL'!AR40:BC40)</f>
        <v>7.4129337500000005</v>
      </c>
      <c r="W69" s="362">
        <f t="shared" si="105"/>
        <v>-5.2987239730000004</v>
      </c>
      <c r="X69" s="568">
        <f t="shared" si="106"/>
        <v>0.28520554051896119</v>
      </c>
      <c r="Z69" s="424"/>
    </row>
    <row r="70" spans="2:44" s="404" customFormat="1" ht="13" customHeight="1">
      <c r="B70" s="409" t="s">
        <v>595</v>
      </c>
      <c r="C70" s="366">
        <f>(Card!K157+Card!K156)/10^9</f>
        <v>0.379864329</v>
      </c>
      <c r="D70" s="366">
        <f>(Card!L157+Card!L156)/10^9</f>
        <v>0.38379689099999997</v>
      </c>
      <c r="E70" s="366">
        <f>(Card!M157+Card!M156)/10^9</f>
        <v>0.248161665</v>
      </c>
      <c r="F70" s="366">
        <f>(Card!N157+Card!N156)/10^9</f>
        <v>0.21597804488888889</v>
      </c>
      <c r="G70" s="366">
        <f>(Card!O157+Card!O156)/10^9</f>
        <v>0.22569198700000001</v>
      </c>
      <c r="H70" s="365">
        <f>(Card!P157+Card!P156)/10^9</f>
        <v>0.229298367</v>
      </c>
      <c r="I70" s="365">
        <f>(Card!Q157+Card!Q156)/10^9</f>
        <v>0.29151231300000002</v>
      </c>
      <c r="J70" s="365">
        <f>(Card!R157+Card!R156)/10^9</f>
        <v>0.28750110099999998</v>
      </c>
      <c r="K70" s="365">
        <f>(Card!S157+Card!S156)/10^9</f>
        <v>0.30063216100000001</v>
      </c>
      <c r="L70" s="365">
        <f>(Card!T157+Card!T156)/10^9</f>
        <v>0.29708876200000001</v>
      </c>
      <c r="M70" s="365">
        <f>(Card!U157+Card!U156)/10^9</f>
        <v>0.297990545</v>
      </c>
      <c r="N70" s="365">
        <f>(Card!V157+Card!V156)/10^9</f>
        <v>0.293942904</v>
      </c>
      <c r="O70" s="365">
        <f>(Card!W157+Card!W156)/10^9</f>
        <v>0.46378599999999998</v>
      </c>
      <c r="P70" s="365">
        <f>(Card!X157+Card!X156)/10^9</f>
        <v>0.31710063399999999</v>
      </c>
      <c r="Q70" s="365">
        <f>-'BG 2025 CC_PL'!BC37</f>
        <v>0.40950000000000003</v>
      </c>
      <c r="R70" s="365">
        <f t="shared" si="70"/>
        <v>-0.14668536599999998</v>
      </c>
      <c r="S70" s="375">
        <f t="shared" si="71"/>
        <v>-9.2399366000000038E-2</v>
      </c>
      <c r="T70" s="365">
        <f>(Card!J157+Card!J156)/10^9</f>
        <v>3.4686844838888886</v>
      </c>
      <c r="U70" s="365">
        <f>-SUM('BG 2025 CC_PL'!AR37:BC37)</f>
        <v>4.5207500000000005</v>
      </c>
      <c r="V70" s="365">
        <f>-SUM('BG 2025 CC_PL'!AR37:BC37)</f>
        <v>4.5207500000000005</v>
      </c>
      <c r="W70" s="362">
        <f t="shared" si="105"/>
        <v>-1.0520655161111119</v>
      </c>
      <c r="X70" s="568">
        <f t="shared" si="106"/>
        <v>0.76728075737187151</v>
      </c>
      <c r="Z70" s="424"/>
    </row>
    <row r="71" spans="2:44" s="404" customFormat="1" ht="13" customHeight="1">
      <c r="B71" s="409" t="s">
        <v>233</v>
      </c>
      <c r="C71" s="366">
        <f>Card!K154/10^9</f>
        <v>4.2011829999999998E-3</v>
      </c>
      <c r="D71" s="366">
        <f>Card!L154/10^9</f>
        <v>4.3845150000000003E-3</v>
      </c>
      <c r="E71" s="366">
        <f>Card!M154/10^9</f>
        <v>3.0992190000000003E-3</v>
      </c>
      <c r="F71" s="366">
        <f>Card!N154/10^9</f>
        <v>2.3025279999999999E-3</v>
      </c>
      <c r="G71" s="366">
        <f>Card!O154/10^9</f>
        <v>3.739479E-3</v>
      </c>
      <c r="H71" s="365">
        <f>Card!P154/10^9</f>
        <v>3.2097670000000001E-3</v>
      </c>
      <c r="I71" s="365">
        <f>Card!Q154/10^9</f>
        <v>3.2851920000000001E-3</v>
      </c>
      <c r="J71" s="365">
        <f>Card!R154/10^9</f>
        <v>3.2959259999999998E-3</v>
      </c>
      <c r="K71" s="365">
        <f>Card!S154/10^9</f>
        <v>3.2462390000000002E-3</v>
      </c>
      <c r="L71" s="365">
        <f>Card!T154/10^9</f>
        <v>3.2158569999999999E-3</v>
      </c>
      <c r="M71" s="365">
        <f>Card!U154/10^9</f>
        <v>2.8986210000000001E-3</v>
      </c>
      <c r="N71" s="365">
        <f>Card!V154/10^9</f>
        <v>2.8241249999999998E-3</v>
      </c>
      <c r="O71" s="365">
        <f>Card!W154/10^9</f>
        <v>5.1633770000000011E-3</v>
      </c>
      <c r="P71" s="365">
        <f>Card!X154/10^9</f>
        <v>4.111394E-3</v>
      </c>
      <c r="Q71" s="365">
        <f>-'BG 2025 CC_PL'!BC36</f>
        <v>5.2479000000000005E-2</v>
      </c>
      <c r="R71" s="365">
        <f t="shared" si="70"/>
        <v>-1.0519830000000011E-3</v>
      </c>
      <c r="S71" s="375">
        <f t="shared" si="71"/>
        <v>-4.8367606000000007E-2</v>
      </c>
      <c r="T71" s="365">
        <f>Card!J154/10^9</f>
        <v>4.0391723999999997E-2</v>
      </c>
      <c r="U71" s="365">
        <f>-SUM('BG 2025 CC_PL'!AR36:BC36)</f>
        <v>0.57935150000000013</v>
      </c>
      <c r="V71" s="365">
        <f>-SUM('BG 2025 CC_PL'!AR36:BC36)</f>
        <v>0.57935150000000013</v>
      </c>
      <c r="W71" s="362">
        <f t="shared" si="105"/>
        <v>-0.53895977600000011</v>
      </c>
      <c r="X71" s="568">
        <f t="shared" si="106"/>
        <v>6.9718856341961635E-2</v>
      </c>
      <c r="Z71" s="424"/>
    </row>
    <row r="72" spans="2:44" s="404" customFormat="1" ht="13" customHeight="1">
      <c r="B72" s="409" t="s">
        <v>163</v>
      </c>
      <c r="C72" s="366">
        <f>Card!K160/10^9</f>
        <v>0.15506178326831949</v>
      </c>
      <c r="D72" s="366">
        <f>Card!L160/10^9</f>
        <v>0.30020223369035648</v>
      </c>
      <c r="E72" s="366">
        <f>Card!M160/10^9</f>
        <v>0.262061870428967</v>
      </c>
      <c r="F72" s="366">
        <f>Card!N160/10^9</f>
        <v>0.1933965700671717</v>
      </c>
      <c r="G72" s="366">
        <f>Card!O160/10^9</f>
        <v>0.19815265771437524</v>
      </c>
      <c r="H72" s="365">
        <f>Card!P160/10^9</f>
        <v>0.1357740453447451</v>
      </c>
      <c r="I72" s="365">
        <f>Card!Q160/10^9</f>
        <v>9.7747089811035345E-2</v>
      </c>
      <c r="J72" s="365">
        <f>Card!R160/10^9</f>
        <v>8.2995063783193823E-2</v>
      </c>
      <c r="K72" s="365">
        <f>Card!S160/10^9</f>
        <v>0.10346657890567536</v>
      </c>
      <c r="L72" s="365">
        <f>Card!T160/10^9</f>
        <v>8.367159934320724E-2</v>
      </c>
      <c r="M72" s="365">
        <f>Card!U160/10^9</f>
        <v>8.9564880664822391E-2</v>
      </c>
      <c r="N72" s="365">
        <f>Card!V160/10^9</f>
        <v>8.8860269270334399E-2</v>
      </c>
      <c r="O72" s="365">
        <f>Card!W160/10^9</f>
        <v>8.9488962474412764E-2</v>
      </c>
      <c r="P72" s="365">
        <f>Card!X160/10^9</f>
        <v>8.4274708329903539E-2</v>
      </c>
      <c r="Q72" s="365">
        <f>-'BG 2025 CC_PL'!BC42</f>
        <v>0.34702875666666666</v>
      </c>
      <c r="R72" s="365">
        <f t="shared" si="70"/>
        <v>-5.2142541445092255E-3</v>
      </c>
      <c r="S72" s="375">
        <f t="shared" si="71"/>
        <v>-0.26275404833676314</v>
      </c>
      <c r="T72" s="365">
        <f>Card!J160/10^9</f>
        <v>1.5094542961378439</v>
      </c>
      <c r="U72" s="365">
        <f>-SUM('BG 2025 CC_PL'!AR42:BC42)</f>
        <v>3.5366410799999999</v>
      </c>
      <c r="V72" s="365">
        <f>-SUM('BG 2025 CC_PL'!AR42:BC42)</f>
        <v>3.5366410799999999</v>
      </c>
      <c r="W72" s="362">
        <f t="shared" si="105"/>
        <v>-2.027186783862156</v>
      </c>
      <c r="X72" s="568">
        <f t="shared" ref="X72:X75" si="107">T72/V72</f>
        <v>0.42680449103923318</v>
      </c>
      <c r="Z72" s="424"/>
    </row>
    <row r="73" spans="2:44" s="404" customFormat="1" ht="13" customHeight="1">
      <c r="B73" s="409" t="s">
        <v>152</v>
      </c>
      <c r="C73" s="366">
        <f>Card!K155/10^9</f>
        <v>0</v>
      </c>
      <c r="D73" s="366">
        <f>Card!L155/10^9</f>
        <v>0</v>
      </c>
      <c r="E73" s="366">
        <f>Card!M155/10^9</f>
        <v>4.2837119999999999E-2</v>
      </c>
      <c r="F73" s="366">
        <f>Card!N155/10^9</f>
        <v>2.6795880000000001E-2</v>
      </c>
      <c r="G73" s="366">
        <f>Card!O155/10^9</f>
        <v>3.9788280000000002E-2</v>
      </c>
      <c r="H73" s="365">
        <f>Card!P155/10^9</f>
        <v>3.3083639999999997E-2</v>
      </c>
      <c r="I73" s="365">
        <f>Card!Q155/10^9</f>
        <v>3.3138720000000003E-2</v>
      </c>
      <c r="J73" s="365">
        <f>Card!R155/10^9</f>
        <v>3.5926199999999998E-2</v>
      </c>
      <c r="K73" s="365">
        <f>Card!S155/10^9</f>
        <v>4.067784E-2</v>
      </c>
      <c r="L73" s="365">
        <f>Card!T155/10^9</f>
        <v>3.905148E-2</v>
      </c>
      <c r="M73" s="365">
        <f>Card!U155/10^9</f>
        <v>3.8534039999999999E-2</v>
      </c>
      <c r="N73" s="365">
        <f>Card!V155/10^9</f>
        <v>4.4223480000000003E-2</v>
      </c>
      <c r="O73" s="365">
        <f>Card!W155/10^9</f>
        <v>4.4173080000000003E-2</v>
      </c>
      <c r="P73" s="365">
        <f>Card!X155/10^9</f>
        <v>5.6475900000000002E-2</v>
      </c>
      <c r="Q73" s="365">
        <f>-'BG 2025 CC_PL'!BC43/10^9</f>
        <v>4.0800000000000004E-11</v>
      </c>
      <c r="R73" s="365">
        <f t="shared" si="70"/>
        <v>1.2302819999999999E-2</v>
      </c>
      <c r="S73" s="375">
        <f t="shared" si="71"/>
        <v>5.64758999592E-2</v>
      </c>
      <c r="T73" s="365">
        <f>Card!J155/10^9</f>
        <v>0.47470565999999997</v>
      </c>
      <c r="U73" s="365">
        <f>-SUM('BG 2025 CC_PL'!AR43:BC43)</f>
        <v>1.0655999999999999</v>
      </c>
      <c r="V73" s="365">
        <f>-SUM('BG 2025 CC_PL'!AR43:BC43)</f>
        <v>1.0655999999999999</v>
      </c>
      <c r="W73" s="362">
        <f>T73-U73</f>
        <v>-0.59089433999999996</v>
      </c>
      <c r="X73" s="568">
        <f>T73/V73</f>
        <v>0.44548203828828831</v>
      </c>
      <c r="Z73" s="424"/>
    </row>
    <row r="74" spans="2:44" s="404" customFormat="1" ht="13" customHeight="1">
      <c r="B74" s="409" t="s">
        <v>578</v>
      </c>
      <c r="C74" s="366">
        <f>Card!K152/10^9</f>
        <v>0</v>
      </c>
      <c r="D74" s="366">
        <f>Card!L152/10^9</f>
        <v>0</v>
      </c>
      <c r="E74" s="366">
        <f>Card!M152/10^9</f>
        <v>0</v>
      </c>
      <c r="F74" s="366">
        <f>Card!N152/10^9</f>
        <v>0</v>
      </c>
      <c r="G74" s="366">
        <f>Card!O152/10^9</f>
        <v>0.123255614</v>
      </c>
      <c r="H74" s="365">
        <f>Card!P152/10^9</f>
        <v>0.26477743349999999</v>
      </c>
      <c r="I74" s="365">
        <f>Card!Q152/10^9</f>
        <v>0.28159460450000001</v>
      </c>
      <c r="J74" s="365">
        <f>Card!R152/10^9</f>
        <v>0.28456849350000002</v>
      </c>
      <c r="K74" s="365">
        <f>Card!S152/10^9</f>
        <v>0.327744598</v>
      </c>
      <c r="L74" s="365">
        <f>Card!T152/10^9</f>
        <v>0.19052246</v>
      </c>
      <c r="M74" s="365">
        <f>Card!U152/10^9</f>
        <v>0.286696285</v>
      </c>
      <c r="N74" s="365">
        <f>Card!V152/10^9</f>
        <v>0.2069885135</v>
      </c>
      <c r="O74" s="365">
        <f>Card!W152/10^9</f>
        <v>0.29916015699999998</v>
      </c>
      <c r="P74" s="365">
        <f>Card!X152/10^9</f>
        <v>0.24324999999999999</v>
      </c>
      <c r="Q74" s="365">
        <f>-'BG 2025 CC_PL'!BC44</f>
        <v>0.58173311838952213</v>
      </c>
      <c r="R74" s="365">
        <f t="shared" si="70"/>
        <v>-5.5910156999999988E-2</v>
      </c>
      <c r="S74" s="375">
        <f t="shared" si="71"/>
        <v>-0.33848311838952216</v>
      </c>
      <c r="T74" s="365">
        <f>Card!J152/10^9</f>
        <v>2.5085581590000001</v>
      </c>
      <c r="U74" s="365">
        <f>-SUM('BG 2025 CC_PL'!AR44:BC44)</f>
        <v>2.2611718322824736</v>
      </c>
      <c r="V74" s="365">
        <f>-SUM('BG 2025 CC_PL'!AR44:BC44)</f>
        <v>2.2611718322824736</v>
      </c>
      <c r="W74" s="362">
        <f t="shared" si="105"/>
        <v>0.24738632671752647</v>
      </c>
      <c r="X74" s="568">
        <f t="shared" si="107"/>
        <v>1.1094062482052987</v>
      </c>
      <c r="Z74" s="424"/>
    </row>
    <row r="75" spans="2:44" s="404" customFormat="1" ht="13" customHeight="1">
      <c r="B75" s="361" t="s">
        <v>136</v>
      </c>
      <c r="C75" s="366">
        <f>Card!K149/10^9</f>
        <v>8.6237829119999994</v>
      </c>
      <c r="D75" s="366">
        <f>Card!L149/10^9</f>
        <v>11.466797117</v>
      </c>
      <c r="E75" s="366">
        <f>Card!M149/10^9</f>
        <v>25.264429823</v>
      </c>
      <c r="F75" s="366">
        <f>Card!N149/10^9</f>
        <v>13.064743689</v>
      </c>
      <c r="G75" s="366">
        <f>Card!O149/10^9</f>
        <v>16.55037033</v>
      </c>
      <c r="H75" s="365">
        <f>Card!P149/10^9</f>
        <v>11.182551451</v>
      </c>
      <c r="I75" s="365">
        <f>Card!Q149/10^9</f>
        <v>9.4179846260000009</v>
      </c>
      <c r="J75" s="365">
        <f>Card!R149/10^9</f>
        <v>20.051120515000001</v>
      </c>
      <c r="K75" s="365">
        <f>Card!S149/10^9</f>
        <v>12.950560114</v>
      </c>
      <c r="L75" s="365">
        <f>Card!T149/10^9</f>
        <v>26.62426001</v>
      </c>
      <c r="M75" s="365">
        <f>Card!U149/10^9</f>
        <v>25.098786740000001</v>
      </c>
      <c r="N75" s="365">
        <f>Card!V149/10^9</f>
        <v>21.789423335999999</v>
      </c>
      <c r="O75" s="365">
        <f>Card!W149/10^9</f>
        <v>24.826685539</v>
      </c>
      <c r="P75" s="365">
        <f>Card!X149/10^9</f>
        <v>29.162626762999999</v>
      </c>
      <c r="Q75" s="365">
        <f>-'BG 2025 CC_PL'!BC33</f>
        <v>17.35638993995639</v>
      </c>
      <c r="R75" s="365">
        <f t="shared" si="70"/>
        <v>4.335941223999999</v>
      </c>
      <c r="S75" s="375">
        <f t="shared" si="71"/>
        <v>11.806236823043609</v>
      </c>
      <c r="T75" s="362">
        <f>Card!J149/10^9</f>
        <v>235.98354293599999</v>
      </c>
      <c r="U75" s="362">
        <f>-SUM('BG 2025 CC_PL'!AR33:BC33)</f>
        <v>196.65659732189238</v>
      </c>
      <c r="V75" s="362">
        <f>-SUM('BG 2025 CC_PL'!AR33:BC33)</f>
        <v>196.65659732189238</v>
      </c>
      <c r="W75" s="362">
        <f t="shared" si="105"/>
        <v>39.326945614107615</v>
      </c>
      <c r="X75" s="568">
        <f t="shared" si="107"/>
        <v>1.1999777589446252</v>
      </c>
    </row>
    <row r="76" spans="2:44" s="404" customFormat="1" ht="17.25" customHeight="1">
      <c r="B76" s="361" t="s">
        <v>236</v>
      </c>
      <c r="C76" s="366">
        <f t="shared" ref="C76" si="108">C57-C65-C74-C75</f>
        <v>8.5700650725793999</v>
      </c>
      <c r="D76" s="366">
        <f t="shared" ref="D76:G76" si="109">D57-D65-D74-D75</f>
        <v>-0.86471691412546647</v>
      </c>
      <c r="E76" s="366">
        <f t="shared" si="109"/>
        <v>-12.986135314371245</v>
      </c>
      <c r="F76" s="366">
        <f t="shared" si="109"/>
        <v>-2.2221511690160334</v>
      </c>
      <c r="G76" s="366">
        <f t="shared" si="109"/>
        <v>-5.8579704744185985</v>
      </c>
      <c r="H76" s="365">
        <f t="shared" ref="H76:I76" si="110">H57-H65-H75</f>
        <v>3.8313169829406331</v>
      </c>
      <c r="I76" s="365">
        <f t="shared" si="110"/>
        <v>11.34785346680116</v>
      </c>
      <c r="J76" s="365">
        <f t="shared" ref="J76:Q76" si="111">J57-J65-J75</f>
        <v>7.4200205902593908</v>
      </c>
      <c r="K76" s="365">
        <f t="shared" si="111"/>
        <v>5.6429051952238201</v>
      </c>
      <c r="L76" s="365">
        <f t="shared" si="111"/>
        <v>0.92453945783506342</v>
      </c>
      <c r="M76" s="365">
        <f t="shared" si="111"/>
        <v>7.4089773130965639</v>
      </c>
      <c r="N76" s="365">
        <f t="shared" si="111"/>
        <v>7.6757881241528416</v>
      </c>
      <c r="O76" s="365">
        <f t="shared" si="111"/>
        <v>5.7897970271796133</v>
      </c>
      <c r="P76" s="365">
        <f t="shared" si="111"/>
        <v>3.699324710007069</v>
      </c>
      <c r="Q76" s="365">
        <f t="shared" si="111"/>
        <v>6.5256206481014516</v>
      </c>
      <c r="R76" s="365">
        <f t="shared" si="70"/>
        <v>-2.0904723171725443</v>
      </c>
      <c r="S76" s="375">
        <f t="shared" si="71"/>
        <v>-2.8262959380943826</v>
      </c>
      <c r="T76" s="365">
        <f>T57-T65-T75</f>
        <v>35.115106277690302</v>
      </c>
      <c r="U76" s="365">
        <f>U57-U65-U75</f>
        <v>34.122369832077425</v>
      </c>
      <c r="V76" s="365">
        <f>V57-V65-V75</f>
        <v>34.122369832077425</v>
      </c>
      <c r="W76" s="365">
        <f>W57-W65-W75</f>
        <v>0.99273644561287711</v>
      </c>
      <c r="X76" s="568">
        <f>T76/V76</f>
        <v>1.0290934202547573</v>
      </c>
    </row>
    <row r="77" spans="2:44" s="404" customFormat="1" ht="18" customHeight="1">
      <c r="B77" s="351" t="s">
        <v>596</v>
      </c>
      <c r="C77" s="366">
        <f>Card!K162/10^9</f>
        <v>1.9399054576000001</v>
      </c>
      <c r="D77" s="366">
        <f>Card!L162/10^9</f>
        <v>1.9823040519999999</v>
      </c>
      <c r="E77" s="366">
        <f>Card!M162/10^9</f>
        <v>2.0306636376000005</v>
      </c>
      <c r="F77" s="366">
        <f>Card!N162/10^9</f>
        <v>2.0728883963922571</v>
      </c>
      <c r="G77" s="366">
        <f>Card!O162/10^9</f>
        <v>2.1720386247497143</v>
      </c>
      <c r="H77" s="365">
        <f>Card!P162/10^9</f>
        <v>2.0859459235519999</v>
      </c>
      <c r="I77" s="365">
        <f>Card!Q162/10^9</f>
        <v>2.07823115392</v>
      </c>
      <c r="J77" s="365">
        <f>Card!R162/10^9</f>
        <v>2.0948132854768806</v>
      </c>
      <c r="K77" s="365">
        <f>Card!S162/10^9</f>
        <v>2.1210498667090909</v>
      </c>
      <c r="L77" s="365">
        <f>Card!T162/10^9</f>
        <v>2.6047522025391956</v>
      </c>
      <c r="M77" s="365">
        <f>Card!U162/10^9</f>
        <v>2.4140352198340924</v>
      </c>
      <c r="N77" s="365">
        <f>Card!V162/10^9</f>
        <v>2.4631681173297877</v>
      </c>
      <c r="O77" s="365">
        <f>Card!W162/10^9</f>
        <v>2.56273143085494</v>
      </c>
      <c r="P77" s="365">
        <f>Card!X162/10^9</f>
        <v>2.4804633584820377</v>
      </c>
      <c r="Q77" s="362">
        <f>-'BG 2025 CC_PL'!BC46</f>
        <v>3.5875054886460718</v>
      </c>
      <c r="R77" s="365">
        <f t="shared" si="70"/>
        <v>-8.2268072372902346E-2</v>
      </c>
      <c r="S77" s="375">
        <f t="shared" si="71"/>
        <v>-1.1070421301640341</v>
      </c>
      <c r="T77" s="365">
        <f>Card!J162/10^9</f>
        <v>27.180781217439996</v>
      </c>
      <c r="U77" s="362">
        <f>-SUM('BG 2025 CC_PL'!AR46:BC46)</f>
        <v>43.05006586375287</v>
      </c>
      <c r="V77" s="362">
        <f>-SUM('BG 2025 CC_PL'!AR46:BC46)</f>
        <v>43.05006586375287</v>
      </c>
      <c r="W77" s="362">
        <f>T77-U77</f>
        <v>-15.869284646312874</v>
      </c>
      <c r="X77" s="568">
        <f>T77/V77</f>
        <v>0.63137606579890426</v>
      </c>
    </row>
    <row r="78" spans="2:44" s="404" customFormat="1" ht="16.5" customHeight="1">
      <c r="B78" s="361" t="s">
        <v>579</v>
      </c>
      <c r="C78" s="366">
        <f t="shared" ref="C78" si="112">C76-C77</f>
        <v>6.6301596149793998</v>
      </c>
      <c r="D78" s="366">
        <f t="shared" ref="D78:Q78" si="113">D76-D77</f>
        <v>-2.8470209661254664</v>
      </c>
      <c r="E78" s="366">
        <f t="shared" si="113"/>
        <v>-15.016798951971245</v>
      </c>
      <c r="F78" s="366">
        <f t="shared" si="113"/>
        <v>-4.29503956540829</v>
      </c>
      <c r="G78" s="366">
        <f t="shared" si="113"/>
        <v>-8.0300090991683124</v>
      </c>
      <c r="H78" s="365">
        <f t="shared" si="113"/>
        <v>1.7453710593886331</v>
      </c>
      <c r="I78" s="365">
        <f t="shared" si="113"/>
        <v>9.269622312881161</v>
      </c>
      <c r="J78" s="365">
        <f t="shared" si="113"/>
        <v>5.3252073047825101</v>
      </c>
      <c r="K78" s="365">
        <f t="shared" si="113"/>
        <v>3.5218553285147292</v>
      </c>
      <c r="L78" s="365">
        <f t="shared" si="113"/>
        <v>-1.6802127447041322</v>
      </c>
      <c r="M78" s="365">
        <f t="shared" si="113"/>
        <v>4.9949420932624715</v>
      </c>
      <c r="N78" s="365">
        <f t="shared" si="113"/>
        <v>5.2126200068230535</v>
      </c>
      <c r="O78" s="365">
        <f t="shared" si="113"/>
        <v>3.2270655963246733</v>
      </c>
      <c r="P78" s="365">
        <f t="shared" si="113"/>
        <v>1.2188613515250313</v>
      </c>
      <c r="Q78" s="365">
        <f t="shared" si="113"/>
        <v>2.9381151594553798</v>
      </c>
      <c r="R78" s="365">
        <f t="shared" si="70"/>
        <v>-2.008204244799642</v>
      </c>
      <c r="S78" s="375">
        <f t="shared" si="71"/>
        <v>-1.7192538079303485</v>
      </c>
      <c r="T78" s="365">
        <f>T76-T77</f>
        <v>7.9343250602503055</v>
      </c>
      <c r="U78" s="365">
        <f>U76-U77</f>
        <v>-8.9276960316754455</v>
      </c>
      <c r="V78" s="365">
        <f>V76-V77</f>
        <v>-8.9276960316754455</v>
      </c>
      <c r="W78" s="362">
        <f>T78-U78</f>
        <v>16.862021091925751</v>
      </c>
      <c r="X78" s="568">
        <f>T78/V78</f>
        <v>-0.88873154194535053</v>
      </c>
    </row>
    <row r="79" spans="2:44" s="404" customFormat="1" ht="13.5" customHeight="1">
      <c r="B79" s="465" t="s">
        <v>580</v>
      </c>
      <c r="C79" s="365">
        <f>SUM(Card!K163:K165)/10^9</f>
        <v>1.2047528911199998</v>
      </c>
      <c r="D79" s="365">
        <f>SUM(Card!L163:L165)/10^9</f>
        <v>3.7964734424416484</v>
      </c>
      <c r="E79" s="365">
        <f>SUM(Card!M163:M165)/10^9</f>
        <v>1.3264664983928891</v>
      </c>
      <c r="F79" s="365">
        <f>SUM(Card!N163:N165)/10^9</f>
        <v>1.4407903305582934</v>
      </c>
      <c r="G79" s="365">
        <f>SUM(Card!O163:O165)/10^9</f>
        <v>1.332621861192099</v>
      </c>
      <c r="H79" s="365">
        <f>SUM(Card!P163:P165)/10^9</f>
        <v>1.604578182582229</v>
      </c>
      <c r="I79" s="365">
        <f>SUM(Card!Q163:Q165)/10^9</f>
        <v>1.2633673051697776</v>
      </c>
      <c r="J79" s="365">
        <f>SUM(Card!R163:R165)/10^9</f>
        <v>1.5993573579617972</v>
      </c>
      <c r="K79" s="365">
        <f>SUM(Card!S163:S165)/10^9</f>
        <v>2.9392327904307032</v>
      </c>
      <c r="L79" s="365">
        <f>SUM(Card!T163:T165)/10^9</f>
        <v>2.1976424575685964</v>
      </c>
      <c r="M79" s="365">
        <f>SUM(Card!U163:U165)/10^9</f>
        <v>2.1762556029369162</v>
      </c>
      <c r="N79" s="365">
        <f>SUM(Card!V163:V165)/10^9</f>
        <v>4.5904205654508559</v>
      </c>
      <c r="O79" s="365">
        <f>SUM(Card!W163:W165)/10^9</f>
        <v>1.8705816653694129</v>
      </c>
      <c r="P79" s="365">
        <f>SUM(Card!X163:X165)/10^9</f>
        <v>1.6132078764050639</v>
      </c>
      <c r="Q79" s="362">
        <f>-SUM('BG 2025 CC_PL'!BC47:BC49)</f>
        <v>2.1219390722456533</v>
      </c>
      <c r="R79" s="365">
        <f t="shared" si="70"/>
        <v>-0.25737378896434904</v>
      </c>
      <c r="S79" s="375">
        <f t="shared" si="71"/>
        <v>-0.50873119584058935</v>
      </c>
      <c r="T79" s="365">
        <f>Card!J163/10^9+Card!J164/10^9+Card!J165/10^9</f>
        <v>23.954522494018633</v>
      </c>
      <c r="U79" s="362">
        <f>-SUM('BG 2025 CC_PL'!AR47:BC49)</f>
        <v>25.463268866947832</v>
      </c>
      <c r="V79" s="362">
        <f>-SUM('BG 2025 CC_PL'!AR47:BC49)</f>
        <v>25.463268866947832</v>
      </c>
      <c r="W79" s="362">
        <f>T79-U79</f>
        <v>-1.508746372929199</v>
      </c>
      <c r="X79" s="568">
        <f>T79/V79</f>
        <v>0.94074812700550003</v>
      </c>
    </row>
    <row r="80" spans="2:44" s="404" customFormat="1" ht="15" customHeight="1">
      <c r="B80" s="1172" t="s">
        <v>211</v>
      </c>
      <c r="C80" s="543">
        <f>Card!K119</f>
        <v>7.8039433597833163E-2</v>
      </c>
      <c r="D80" s="543">
        <f>Card!L119</f>
        <v>8.3208102351539082E-2</v>
      </c>
      <c r="E80" s="543">
        <f>Card!M119</f>
        <v>8.1930083120013111E-2</v>
      </c>
      <c r="F80" s="543">
        <f>Card!N119</f>
        <v>9.0879572337155198E-2</v>
      </c>
      <c r="G80" s="543">
        <f>Card!O119</f>
        <v>9.2139114192139507E-2</v>
      </c>
      <c r="H80" s="543">
        <f>Card!P119</f>
        <v>8.3024680728080141E-2</v>
      </c>
      <c r="I80" s="543">
        <f>Card!Q119</f>
        <v>7.8922780473357462E-2</v>
      </c>
      <c r="J80" s="543">
        <f>Card!R119</f>
        <v>8.3215811688925362E-2</v>
      </c>
      <c r="K80" s="1315">
        <f>Card!S119</f>
        <v>9.6219285660185686E-2</v>
      </c>
      <c r="L80" s="1315">
        <f>Card!T119</f>
        <v>8.765270324314943E-2</v>
      </c>
      <c r="M80" s="1299">
        <f>Card!U119</f>
        <v>9.0725891798357577E-2</v>
      </c>
      <c r="N80" s="1299">
        <f>Card!V119</f>
        <v>9.0896907070678046E-2</v>
      </c>
      <c r="O80" s="1315">
        <f>Card!W119</f>
        <v>9.0329472482324508E-2</v>
      </c>
      <c r="P80" s="543">
        <f>Card!X119</f>
        <v>8.6989833131625324E-2</v>
      </c>
      <c r="Q80" s="365"/>
      <c r="R80" s="365">
        <f t="shared" si="70"/>
        <v>-3.3396393506991834E-3</v>
      </c>
      <c r="S80" s="375">
        <f t="shared" si="71"/>
        <v>8.6989833131625324E-2</v>
      </c>
      <c r="T80" s="365"/>
      <c r="U80" s="362"/>
      <c r="V80" s="362"/>
      <c r="W80" s="362"/>
      <c r="X80" s="568"/>
    </row>
    <row r="81" spans="1:24" s="404" customFormat="1" ht="13" hidden="1" customHeight="1">
      <c r="B81" s="1172" t="s">
        <v>212</v>
      </c>
      <c r="C81" s="365"/>
      <c r="D81" s="365"/>
      <c r="E81" s="365"/>
      <c r="F81" s="365"/>
      <c r="G81" s="365"/>
      <c r="H81" s="386"/>
      <c r="I81" s="386"/>
      <c r="J81" s="386"/>
      <c r="K81" s="1137"/>
      <c r="L81" s="1137"/>
      <c r="M81" s="365"/>
      <c r="N81" s="365"/>
      <c r="O81" s="1137"/>
      <c r="P81" s="365"/>
      <c r="Q81" s="365"/>
      <c r="R81" s="365">
        <f t="shared" si="70"/>
        <v>0</v>
      </c>
      <c r="S81" s="375">
        <f t="shared" si="71"/>
        <v>0</v>
      </c>
      <c r="T81" s="365"/>
      <c r="U81" s="362"/>
      <c r="V81" s="362"/>
      <c r="W81" s="362"/>
      <c r="X81" s="568"/>
    </row>
    <row r="82" spans="1:24" s="404" customFormat="1" ht="15.75" customHeight="1">
      <c r="A82" s="352"/>
      <c r="B82" s="1172" t="s">
        <v>597</v>
      </c>
      <c r="C82" s="517">
        <f>Card!K121</f>
        <v>0.10243773812117536</v>
      </c>
      <c r="D82" s="517">
        <f>Card!L121</f>
        <v>0.11398882205243552</v>
      </c>
      <c r="E82" s="517">
        <f>Card!M121</f>
        <v>0.10460907819979802</v>
      </c>
      <c r="F82" s="517">
        <f>Card!N121</f>
        <v>7.6875609645986706E-2</v>
      </c>
      <c r="G82" s="517">
        <f>Card!O121</f>
        <v>8.3704348886378954E-2</v>
      </c>
      <c r="H82" s="517">
        <f>Card!P121</f>
        <v>7.8375680057222133E-2</v>
      </c>
      <c r="I82" s="517">
        <f>Card!Q121</f>
        <v>7.9379706194141392E-2</v>
      </c>
      <c r="J82" s="517">
        <f>Card!R121</f>
        <v>9.3918595598266194E-2</v>
      </c>
      <c r="K82" s="1118">
        <f>Card!S121</f>
        <v>8.136860866373323E-2</v>
      </c>
      <c r="L82" s="1118">
        <f>Card!T121</f>
        <v>7.8340181153221944E-2</v>
      </c>
      <c r="M82" s="1299">
        <f>Card!U121</f>
        <v>7.2241280657282053E-2</v>
      </c>
      <c r="N82" s="1299">
        <f>Card!V121</f>
        <v>6.0109489461847944E-2</v>
      </c>
      <c r="O82" s="1118">
        <f>Card!W121</f>
        <v>5.6511849188888463E-2</v>
      </c>
      <c r="P82" s="1118">
        <f>Card!X121</f>
        <v>5.8677384789702698E-2</v>
      </c>
      <c r="Q82" s="1300"/>
      <c r="R82" s="365">
        <f t="shared" si="70"/>
        <v>2.1655356008142349E-3</v>
      </c>
      <c r="S82" s="375">
        <f t="shared" si="71"/>
        <v>5.8677384789702698E-2</v>
      </c>
      <c r="T82" s="362"/>
      <c r="U82" s="362"/>
      <c r="V82" s="372"/>
      <c r="W82" s="1177"/>
      <c r="X82" s="1175"/>
    </row>
    <row r="83" spans="1:24" s="404" customFormat="1" ht="13" customHeight="1" thickBot="1">
      <c r="A83" s="411"/>
      <c r="B83" s="357" t="s">
        <v>598</v>
      </c>
      <c r="C83" s="354">
        <v>0.114</v>
      </c>
      <c r="D83" s="519">
        <v>8.461467155400873E-2</v>
      </c>
      <c r="E83" s="519">
        <v>8.2640778050073596E-2</v>
      </c>
      <c r="F83" s="519">
        <v>5.3209010013239931E-2</v>
      </c>
      <c r="G83" s="519">
        <f>Card!O115/Card!O107</f>
        <v>5.2946550112114056E-2</v>
      </c>
      <c r="H83" s="519">
        <f>Card!P115/Card!P107</f>
        <v>5.5540437671082438E-2</v>
      </c>
      <c r="I83" s="519">
        <f>Card!Q115/Card!Q107</f>
        <v>5.687219242144341E-2</v>
      </c>
      <c r="J83" s="519">
        <f>Card!R115/Card!R107</f>
        <v>6.5268269066968088E-2</v>
      </c>
      <c r="K83" s="1139">
        <f>Card!S115/Card!S107</f>
        <v>6.0746274445881217E-2</v>
      </c>
      <c r="L83" s="1139">
        <f>Card!T115/Card!T107</f>
        <v>5.8180557515464713E-2</v>
      </c>
      <c r="M83" s="1301">
        <f>Card!U115/Card!U107</f>
        <v>4.2802510047059324E-2</v>
      </c>
      <c r="N83" s="1301">
        <f>Card!V115/Card!V107</f>
        <v>4.0384401278356137E-2</v>
      </c>
      <c r="O83" s="1139">
        <f>Card!W115/Card!W107</f>
        <v>3.5400322496537739E-2</v>
      </c>
      <c r="P83" s="1139">
        <f>Card!X115/Card!X107</f>
        <v>2.9881506722034445E-2</v>
      </c>
      <c r="Q83" s="1301">
        <f>'BG 2025 CC_PL'!BC53</f>
        <v>4.4501784848079262E-2</v>
      </c>
      <c r="R83" s="368">
        <f t="shared" si="70"/>
        <v>-5.5188157745032947E-3</v>
      </c>
      <c r="S83" s="1391">
        <f t="shared" si="71"/>
        <v>-1.4620278126044817E-2</v>
      </c>
      <c r="T83" s="369"/>
      <c r="U83" s="369"/>
      <c r="V83" s="369"/>
      <c r="W83" s="1176"/>
      <c r="X83" s="771"/>
    </row>
    <row r="84" spans="1:24" s="404" customFormat="1" ht="15" customHeight="1" thickTop="1">
      <c r="B84" s="409" t="s">
        <v>309</v>
      </c>
      <c r="C84" s="362">
        <f t="shared" ref="C84" si="114">C78-C79</f>
        <v>5.4254067238593997</v>
      </c>
      <c r="D84" s="362">
        <f t="shared" ref="D84:G84" si="115">D78-D79</f>
        <v>-6.6434944085671148</v>
      </c>
      <c r="E84" s="362">
        <f t="shared" si="115"/>
        <v>-16.343265450364132</v>
      </c>
      <c r="F84" s="362">
        <f t="shared" si="115"/>
        <v>-5.7358298959665834</v>
      </c>
      <c r="G84" s="362">
        <f t="shared" si="115"/>
        <v>-9.362630960360411</v>
      </c>
      <c r="H84" s="362">
        <f t="shared" ref="H84:W84" si="116">H78-H79</f>
        <v>0.14079287680640418</v>
      </c>
      <c r="I84" s="362">
        <f t="shared" si="116"/>
        <v>8.006255007711383</v>
      </c>
      <c r="J84" s="362">
        <f t="shared" si="116"/>
        <v>3.7258499468207127</v>
      </c>
      <c r="K84" s="362">
        <f t="shared" si="116"/>
        <v>0.58262253808402598</v>
      </c>
      <c r="L84" s="362">
        <f t="shared" si="116"/>
        <v>-3.8778552022727286</v>
      </c>
      <c r="M84" s="362">
        <f t="shared" si="116"/>
        <v>2.8186864903255553</v>
      </c>
      <c r="N84" s="362">
        <f t="shared" si="116"/>
        <v>0.62219944137219763</v>
      </c>
      <c r="O84" s="362">
        <f t="shared" si="116"/>
        <v>1.3564839309552603</v>
      </c>
      <c r="P84" s="362">
        <f t="shared" si="116"/>
        <v>-0.39434652488003263</v>
      </c>
      <c r="Q84" s="362">
        <f t="shared" si="116"/>
        <v>0.81617608720972656</v>
      </c>
      <c r="R84" s="365">
        <f t="shared" si="70"/>
        <v>-1.750830455835293</v>
      </c>
      <c r="S84" s="375">
        <f t="shared" si="71"/>
        <v>-1.2105226120897592</v>
      </c>
      <c r="T84" s="362">
        <f t="shared" si="116"/>
        <v>-16.020197433768327</v>
      </c>
      <c r="U84" s="362">
        <f t="shared" si="116"/>
        <v>-34.390964898623281</v>
      </c>
      <c r="V84" s="362">
        <f t="shared" si="116"/>
        <v>-34.390964898623281</v>
      </c>
      <c r="W84" s="362">
        <f t="shared" si="116"/>
        <v>18.37076746485495</v>
      </c>
      <c r="X84" s="568">
        <f>T84/V84</f>
        <v>0.46582576211491056</v>
      </c>
    </row>
    <row r="85" spans="1:24" s="404" customFormat="1" ht="14">
      <c r="B85" s="358"/>
      <c r="C85" s="358"/>
      <c r="D85" s="358"/>
      <c r="E85" s="358"/>
      <c r="F85" s="358"/>
      <c r="G85" s="358"/>
      <c r="H85" s="358"/>
      <c r="I85" s="359"/>
      <c r="J85" s="358"/>
      <c r="K85" s="358"/>
      <c r="L85" s="358"/>
      <c r="M85" s="358"/>
      <c r="N85" s="358"/>
      <c r="O85" s="358"/>
      <c r="P85" s="358"/>
      <c r="Q85" s="358"/>
      <c r="R85" s="358"/>
      <c r="S85" s="358"/>
      <c r="T85" s="358"/>
      <c r="U85" s="358"/>
      <c r="V85" s="358"/>
      <c r="W85" s="358"/>
      <c r="X85" s="358"/>
    </row>
    <row r="86" spans="1:24" s="404" customFormat="1" ht="31">
      <c r="B86" s="360" t="s">
        <v>602</v>
      </c>
      <c r="C86" s="75">
        <v>45597</v>
      </c>
      <c r="D86" s="75">
        <v>45627</v>
      </c>
      <c r="E86" s="75">
        <v>45658</v>
      </c>
      <c r="F86" s="75">
        <v>45689</v>
      </c>
      <c r="G86" s="75">
        <v>45717</v>
      </c>
      <c r="H86" s="75">
        <v>45748</v>
      </c>
      <c r="I86" s="75">
        <v>45778</v>
      </c>
      <c r="J86" s="75">
        <v>45809</v>
      </c>
      <c r="K86" s="90">
        <v>45839</v>
      </c>
      <c r="L86" s="90">
        <v>45870</v>
      </c>
      <c r="M86" s="90">
        <v>45901</v>
      </c>
      <c r="N86" s="90">
        <v>45931</v>
      </c>
      <c r="O86" s="90">
        <v>45962</v>
      </c>
      <c r="P86" s="90">
        <v>45992</v>
      </c>
      <c r="Q86" s="90" t="s">
        <v>575</v>
      </c>
      <c r="R86" s="76" t="s">
        <v>172</v>
      </c>
      <c r="S86" s="76" t="s">
        <v>173</v>
      </c>
      <c r="T86" s="78" t="s">
        <v>76</v>
      </c>
      <c r="U86" s="78" t="s">
        <v>174</v>
      </c>
      <c r="V86" s="78" t="s">
        <v>175</v>
      </c>
      <c r="W86" s="79" t="s">
        <v>173</v>
      </c>
      <c r="X86" s="77" t="s">
        <v>576</v>
      </c>
    </row>
    <row r="87" spans="1:24" s="404" customFormat="1" ht="12" customHeight="1">
      <c r="B87" s="549" t="s">
        <v>217</v>
      </c>
      <c r="C87" s="362">
        <f t="shared" ref="C87" si="117">C88-C89</f>
        <v>-0.12286392524804057</v>
      </c>
      <c r="D87" s="362">
        <f t="shared" ref="D87:J87" si="118">D88-D89</f>
        <v>0.74222421766666669</v>
      </c>
      <c r="E87" s="362">
        <f t="shared" si="118"/>
        <v>-0.35844974939048557</v>
      </c>
      <c r="F87" s="362">
        <f t="shared" si="118"/>
        <v>-0.44946393240250559</v>
      </c>
      <c r="G87" s="362">
        <f t="shared" si="118"/>
        <v>-0.55646667912401782</v>
      </c>
      <c r="H87" s="1136">
        <f t="shared" si="118"/>
        <v>-0.36798215514214627</v>
      </c>
      <c r="I87" s="1136">
        <f t="shared" si="118"/>
        <v>-0.15447629799999996</v>
      </c>
      <c r="J87" s="1136">
        <f t="shared" si="118"/>
        <v>-0.17328679433333327</v>
      </c>
      <c r="K87" s="1136">
        <f t="shared" ref="K87:P87" si="119">K88-K89</f>
        <v>-0.160792029</v>
      </c>
      <c r="L87" s="362">
        <f t="shared" si="119"/>
        <v>-5.968404099999991E-2</v>
      </c>
      <c r="M87" s="362">
        <f t="shared" si="119"/>
        <v>4.7423986006666663</v>
      </c>
      <c r="N87" s="362">
        <f t="shared" si="119"/>
        <v>0.15591149299999985</v>
      </c>
      <c r="O87" s="362">
        <f t="shared" si="119"/>
        <v>4.0300052000000086E-2</v>
      </c>
      <c r="P87" s="362">
        <f t="shared" si="119"/>
        <v>0.18272997300000005</v>
      </c>
      <c r="Q87" s="382">
        <f>Q88-Q89</f>
        <v>0.379850362</v>
      </c>
      <c r="R87" s="382">
        <f>P87-O87</f>
        <v>0.14242992099999996</v>
      </c>
      <c r="S87" s="382">
        <f>P87-Q87</f>
        <v>-0.19712038899999995</v>
      </c>
      <c r="T87" s="382">
        <f>T88-T89</f>
        <v>2.840738440274178</v>
      </c>
      <c r="U87" s="382">
        <f>U88-U89+'BG 2025 CC_PL'!AZ291</f>
        <v>8.0251251069999938</v>
      </c>
      <c r="V87" s="382">
        <f>V88-V89+'BG 2025 CC_PL'!AZ291</f>
        <v>8.0251251069999938</v>
      </c>
      <c r="W87" s="382">
        <f t="shared" ref="W87:W95" si="120">T87-U87</f>
        <v>-5.1843866667258158</v>
      </c>
      <c r="X87" s="385">
        <f>T87/V87</f>
        <v>0.3539805800405923</v>
      </c>
    </row>
    <row r="88" spans="1:24" s="404" customFormat="1" ht="12" customHeight="1">
      <c r="B88" s="545" t="s">
        <v>22</v>
      </c>
      <c r="C88" s="365">
        <f>Card!K25/10^9</f>
        <v>0.58323896900000005</v>
      </c>
      <c r="D88" s="365">
        <f>Card!L25/10^9</f>
        <v>1.705249544</v>
      </c>
      <c r="E88" s="365">
        <f>Card!M25/10^9</f>
        <v>0.45468466699999999</v>
      </c>
      <c r="F88" s="365">
        <f>Card!N25/10^9</f>
        <v>0.52007072499999996</v>
      </c>
      <c r="G88" s="365">
        <f>Card!O25/10^9</f>
        <v>0.57303071699999997</v>
      </c>
      <c r="H88" s="1137">
        <f>Card!P25/10^9</f>
        <v>0.59077185899999995</v>
      </c>
      <c r="I88" s="1137">
        <f>Card!Q25/10^9</f>
        <v>0.709858608</v>
      </c>
      <c r="J88" s="1137">
        <f>Card!R25/10^9</f>
        <v>0.77388842999999996</v>
      </c>
      <c r="K88" s="1137">
        <f>Card!S25/10^9</f>
        <v>0.88744996899999995</v>
      </c>
      <c r="L88" s="365">
        <f>Card!T25/10^9</f>
        <v>0.94908082500000002</v>
      </c>
      <c r="M88" s="365">
        <f>Card!U25/10^9</f>
        <v>5.724329461</v>
      </c>
      <c r="N88" s="365">
        <f>Card!V25/10^9</f>
        <v>1.0575483429999999</v>
      </c>
      <c r="O88" s="365">
        <f>Card!W25/10^9</f>
        <v>1.313391658</v>
      </c>
      <c r="P88" s="365">
        <f>Card!X25/10^9</f>
        <v>1.787531379</v>
      </c>
      <c r="Q88" s="382">
        <f>'BG 2025 CC_PL'!BC278</f>
        <v>0.93398040000000004</v>
      </c>
      <c r="R88" s="382">
        <f t="shared" ref="R88:R103" si="121">P88-O88</f>
        <v>0.47413972100000001</v>
      </c>
      <c r="S88" s="382">
        <f t="shared" ref="S88:S103" si="122">P88-Q88</f>
        <v>0.85355097899999999</v>
      </c>
      <c r="T88" s="382">
        <f>Card!J25/10^9</f>
        <v>15.341636640999999</v>
      </c>
      <c r="U88" s="382">
        <f>SUM('BG 2025 CC_PL'!AR278:BC278)</f>
        <v>9.3901247999999971</v>
      </c>
      <c r="V88" s="382">
        <f>SUM('BG 2025 CC_PL'!AR278:BC278)</f>
        <v>9.3901247999999971</v>
      </c>
      <c r="W88" s="382">
        <f t="shared" si="120"/>
        <v>5.9515118410000021</v>
      </c>
      <c r="X88" s="385">
        <f t="shared" ref="X88:X95" si="123">T88/V88</f>
        <v>1.6338054038429823</v>
      </c>
    </row>
    <row r="89" spans="1:24" s="404" customFormat="1" ht="12" customHeight="1">
      <c r="B89" s="545" t="s">
        <v>295</v>
      </c>
      <c r="C89" s="375">
        <f>Card!K26/10^9</f>
        <v>0.70610289424804062</v>
      </c>
      <c r="D89" s="375">
        <f>Card!L26/10^9</f>
        <v>0.96302532633333326</v>
      </c>
      <c r="E89" s="375">
        <f>Card!M26/10^9</f>
        <v>0.81313441639048556</v>
      </c>
      <c r="F89" s="375">
        <f>Card!N26/10^9</f>
        <v>0.96953465740250555</v>
      </c>
      <c r="G89" s="375">
        <f>Card!O26/10^9</f>
        <v>1.1294973961240178</v>
      </c>
      <c r="H89" s="986">
        <f>Card!P26/10^9</f>
        <v>0.95875401414214623</v>
      </c>
      <c r="I89" s="986">
        <f>Card!Q26/10^9</f>
        <v>0.86433490599999996</v>
      </c>
      <c r="J89" s="986">
        <f>Card!R26/10^9</f>
        <v>0.94717522433333323</v>
      </c>
      <c r="K89" s="986">
        <f>Card!S26/10^9</f>
        <v>1.048241998</v>
      </c>
      <c r="L89" s="375">
        <f>Card!T26/10^9</f>
        <v>1.0087648659999999</v>
      </c>
      <c r="M89" s="375">
        <f>Card!U26/10^9</f>
        <v>0.98193086033333332</v>
      </c>
      <c r="N89" s="375">
        <f>Card!V26/10^9</f>
        <v>0.90163685000000005</v>
      </c>
      <c r="O89" s="375">
        <f>Card!W26/10^9</f>
        <v>1.2730916059999999</v>
      </c>
      <c r="P89" s="375">
        <f>Card!X26/10^9</f>
        <v>1.604801406</v>
      </c>
      <c r="Q89" s="383">
        <f>-'BG 2025 CC_PL'!BC284</f>
        <v>0.55413003800000005</v>
      </c>
      <c r="R89" s="382">
        <f t="shared" si="121"/>
        <v>0.33170980000000005</v>
      </c>
      <c r="S89" s="382">
        <f t="shared" si="122"/>
        <v>1.0506713679999999</v>
      </c>
      <c r="T89" s="383">
        <f>Card!J26/10^9</f>
        <v>12.500898200725821</v>
      </c>
      <c r="U89" s="383">
        <f>-SUM('BG 2025 CC_PL'!AR284:BC284)</f>
        <v>6.6495604560000023</v>
      </c>
      <c r="V89" s="383">
        <f>-SUM('BG 2025 CC_PL'!AR284:BC284)</f>
        <v>6.6495604560000023</v>
      </c>
      <c r="W89" s="382">
        <f t="shared" si="120"/>
        <v>5.8513377447258188</v>
      </c>
      <c r="X89" s="385">
        <f t="shared" si="123"/>
        <v>1.87995857522373</v>
      </c>
    </row>
    <row r="90" spans="1:24" s="404" customFormat="1" ht="12" customHeight="1">
      <c r="B90" s="544" t="s">
        <v>402</v>
      </c>
      <c r="C90" s="375">
        <f>Card!K60/10^9</f>
        <v>0.38673966399999998</v>
      </c>
      <c r="D90" s="375">
        <f>Card!L60/10^9</f>
        <v>0.38090852400000003</v>
      </c>
      <c r="E90" s="375">
        <f>Card!M60/10^9</f>
        <v>0.27531471200000002</v>
      </c>
      <c r="F90" s="375">
        <f>Card!N60/10^9</f>
        <v>0.27211923500000001</v>
      </c>
      <c r="G90" s="375">
        <f>Card!O60/10^9</f>
        <v>0.37677744600000002</v>
      </c>
      <c r="H90" s="986">
        <f>Card!P60/10^9</f>
        <v>0.27509296</v>
      </c>
      <c r="I90" s="986">
        <f>Card!Q60/10^9</f>
        <v>0.25719624200000002</v>
      </c>
      <c r="J90" s="986">
        <f>Card!R60/10^9</f>
        <v>0.284624035</v>
      </c>
      <c r="K90" s="986">
        <f>Card!S60/10^9</f>
        <v>0.31301606199999998</v>
      </c>
      <c r="L90" s="375">
        <f>Card!T60/10^9</f>
        <v>0.24422612699999999</v>
      </c>
      <c r="M90" s="375">
        <f>Card!U60/10^9</f>
        <v>0.26231048899999998</v>
      </c>
      <c r="N90" s="375">
        <f>Card!V60/10^9</f>
        <v>9.8587418999999996E-2</v>
      </c>
      <c r="O90" s="375">
        <f>Card!W60/10^9</f>
        <v>8.8932315999999997E-2</v>
      </c>
      <c r="P90" s="375">
        <f>Card!X60/10^9</f>
        <v>0.25490557000000003</v>
      </c>
      <c r="Q90" s="383"/>
      <c r="R90" s="382">
        <f t="shared" si="121"/>
        <v>0.16597325400000001</v>
      </c>
      <c r="S90" s="382">
        <f t="shared" si="122"/>
        <v>0.25490557000000003</v>
      </c>
      <c r="T90" s="383"/>
      <c r="U90" s="383"/>
      <c r="V90" s="383"/>
      <c r="W90" s="383"/>
      <c r="X90" s="385"/>
    </row>
    <row r="91" spans="1:24" s="404" customFormat="1" ht="12" customHeight="1">
      <c r="B91" s="544" t="s">
        <v>413</v>
      </c>
      <c r="C91" s="375">
        <f>Card!K87/10^9</f>
        <v>9.5634896999999996E-2</v>
      </c>
      <c r="D91" s="375">
        <f>Card!L87/10^9</f>
        <v>0.36967794500000001</v>
      </c>
      <c r="E91" s="375">
        <f>Card!M87/10^9</f>
        <v>0.386112601</v>
      </c>
      <c r="F91" s="375">
        <f>Card!N87/10^9</f>
        <v>0.457357295</v>
      </c>
      <c r="G91" s="375">
        <f>Card!O87/10^9</f>
        <v>0.55669530499999997</v>
      </c>
      <c r="H91" s="986">
        <f>Card!P87/10^9</f>
        <v>0.54433932500000004</v>
      </c>
      <c r="I91" s="986">
        <f>Card!Q87/10^9</f>
        <v>0.60633960899999995</v>
      </c>
      <c r="J91" s="986">
        <f>Card!R87/10^9</f>
        <v>0.6619754006666666</v>
      </c>
      <c r="K91" s="986">
        <f>Card!S87/10^9</f>
        <v>0.734799058</v>
      </c>
      <c r="L91" s="375">
        <f>Card!T87/10^9</f>
        <v>0.764210681</v>
      </c>
      <c r="M91" s="375">
        <f>Card!U87/10^9</f>
        <v>0.71906752233333338</v>
      </c>
      <c r="N91" s="375">
        <f>Card!V87/10^9</f>
        <v>0.80186946199999998</v>
      </c>
      <c r="O91" s="375">
        <f>Card!W87/10^9</f>
        <v>1.182625053</v>
      </c>
      <c r="P91" s="375">
        <f>Card!X87/10^9</f>
        <v>1.30294534</v>
      </c>
      <c r="Q91" s="383"/>
      <c r="R91" s="382">
        <f t="shared" si="121"/>
        <v>0.12032028699999997</v>
      </c>
      <c r="S91" s="382">
        <f t="shared" si="122"/>
        <v>1.30294534</v>
      </c>
      <c r="T91" s="383"/>
      <c r="U91" s="383"/>
      <c r="V91" s="383"/>
      <c r="W91" s="383"/>
      <c r="X91" s="385"/>
    </row>
    <row r="92" spans="1:24" s="404" customFormat="1" ht="12" customHeight="1">
      <c r="B92" s="544" t="s">
        <v>411</v>
      </c>
      <c r="C92" s="375">
        <f>Card!K86/10^9</f>
        <v>4.8320248248040661E-2</v>
      </c>
      <c r="D92" s="375">
        <f>Card!L86/10^9</f>
        <v>3.9486984000000003E-2</v>
      </c>
      <c r="E92" s="375">
        <f>Card!M86/10^9</f>
        <v>3.4715282390485561E-2</v>
      </c>
      <c r="F92" s="375">
        <f>Card!N86/10^9</f>
        <v>4.4455339402505546E-2</v>
      </c>
      <c r="G92" s="375">
        <f>Card!O86/10^9</f>
        <v>4.1716188124017839E-2</v>
      </c>
      <c r="H92" s="986">
        <f>Card!P86/10^9</f>
        <v>2.6993934142146271E-2</v>
      </c>
      <c r="I92" s="986">
        <f>Card!Q86/10^9</f>
        <v>0</v>
      </c>
      <c r="J92" s="986">
        <f>Card!R86/10^9</f>
        <v>0</v>
      </c>
      <c r="K92" s="986">
        <f>Card!S86/10^9</f>
        <v>0</v>
      </c>
      <c r="L92" s="375">
        <f>Card!T86/10^9</f>
        <v>0</v>
      </c>
      <c r="M92" s="375">
        <f>Card!U86/10^9</f>
        <v>0</v>
      </c>
      <c r="N92" s="375">
        <f>Card!V86/10^9</f>
        <v>0</v>
      </c>
      <c r="O92" s="375">
        <f>Card!W86/10^9</f>
        <v>0</v>
      </c>
      <c r="P92" s="375">
        <f>Card!X86/10^9</f>
        <v>0</v>
      </c>
      <c r="Q92" s="383"/>
      <c r="R92" s="382">
        <f t="shared" si="121"/>
        <v>0</v>
      </c>
      <c r="S92" s="382">
        <f t="shared" si="122"/>
        <v>0</v>
      </c>
      <c r="T92" s="383"/>
      <c r="U92" s="383"/>
      <c r="V92" s="383"/>
      <c r="W92" s="383"/>
      <c r="X92" s="385"/>
    </row>
    <row r="93" spans="1:24" s="404" customFormat="1" ht="12" customHeight="1">
      <c r="B93" s="544" t="s">
        <v>603</v>
      </c>
      <c r="C93" s="375">
        <f>Card!K59/10^9+Card!K61/10^9</f>
        <v>0.17540808499999999</v>
      </c>
      <c r="D93" s="375">
        <f>Card!L59/10^9+Card!L61/10^9</f>
        <v>0.154382886</v>
      </c>
      <c r="E93" s="375">
        <f>Card!M59/10^9+Card!M61/10^9</f>
        <v>0.116434016</v>
      </c>
      <c r="F93" s="375">
        <f>Card!N59/10^9+Card!N61/10^9</f>
        <v>0.19526041500000002</v>
      </c>
      <c r="G93" s="375">
        <f>Card!O59/10^9+Card!O61/10^9</f>
        <v>0.153836045</v>
      </c>
      <c r="H93" s="986">
        <f>Card!P59/10^9+Card!P61/10^9</f>
        <v>0.11175529200000001</v>
      </c>
      <c r="I93" s="986">
        <f>Card!Q59/10^9+Card!Q61/10^9</f>
        <v>0</v>
      </c>
      <c r="J93" s="986">
        <f>Card!R59/10^9+Card!R61/10^9</f>
        <v>0</v>
      </c>
      <c r="K93" s="986">
        <f>Card!S59/10^9+Card!S61/10^9</f>
        <v>0</v>
      </c>
      <c r="L93" s="375">
        <f>Card!T59/10^9+Card!T61/10^9</f>
        <v>0</v>
      </c>
      <c r="M93" s="375">
        <f>Card!U59/10^9+Card!U61/10^9</f>
        <v>0</v>
      </c>
      <c r="N93" s="375">
        <f>Card!V59/10^9+Card!V61/10^9</f>
        <v>0</v>
      </c>
      <c r="O93" s="375">
        <f>Card!W59/10^9+Card!W61/10^9</f>
        <v>0</v>
      </c>
      <c r="P93" s="375">
        <f>Card!X59/10^9+Card!X61/10^9</f>
        <v>0</v>
      </c>
      <c r="Q93" s="383"/>
      <c r="R93" s="382">
        <f t="shared" si="121"/>
        <v>0</v>
      </c>
      <c r="S93" s="382">
        <f t="shared" si="122"/>
        <v>0</v>
      </c>
      <c r="T93" s="383"/>
      <c r="U93" s="383"/>
      <c r="V93" s="383"/>
      <c r="W93" s="383"/>
      <c r="X93" s="385"/>
    </row>
    <row r="94" spans="1:24" s="404" customFormat="1" ht="12" customHeight="1">
      <c r="B94" s="544" t="s">
        <v>604</v>
      </c>
      <c r="C94" s="375"/>
      <c r="D94" s="375"/>
      <c r="E94" s="375"/>
      <c r="F94" s="375"/>
      <c r="G94" s="375"/>
      <c r="H94" s="986"/>
      <c r="I94" s="986"/>
      <c r="J94" s="986"/>
      <c r="K94" s="986"/>
      <c r="L94" s="375"/>
      <c r="M94" s="375">
        <f>Card!U84/10^9</f>
        <v>4.8107880060000001</v>
      </c>
      <c r="N94" s="375"/>
      <c r="O94" s="375"/>
      <c r="P94" s="375"/>
      <c r="Q94" s="383"/>
      <c r="R94" s="382">
        <f t="shared" si="121"/>
        <v>0</v>
      </c>
      <c r="S94" s="382">
        <f t="shared" si="122"/>
        <v>0</v>
      </c>
      <c r="T94" s="383"/>
      <c r="U94" s="383"/>
      <c r="V94" s="383"/>
      <c r="W94" s="382"/>
      <c r="X94" s="385"/>
    </row>
    <row r="95" spans="1:24" s="404" customFormat="1" ht="12" customHeight="1">
      <c r="B95" s="549" t="s">
        <v>145</v>
      </c>
      <c r="C95" s="367">
        <f t="shared" ref="C95:J95" si="124">SUM(C96:C97)</f>
        <v>6.5394025000000008E-2</v>
      </c>
      <c r="D95" s="367">
        <f t="shared" si="124"/>
        <v>6.6261841000000002E-2</v>
      </c>
      <c r="E95" s="367">
        <f t="shared" si="124"/>
        <v>7.5955259999999997E-2</v>
      </c>
      <c r="F95" s="367">
        <f>SUM(F96:F98)</f>
        <v>9.16476175E-2</v>
      </c>
      <c r="G95" s="367">
        <f t="shared" si="124"/>
        <v>6.9575506999999995E-2</v>
      </c>
      <c r="H95" s="1138">
        <f t="shared" si="124"/>
        <v>6.7897350999999995E-2</v>
      </c>
      <c r="I95" s="1138">
        <f t="shared" si="124"/>
        <v>0.100074908</v>
      </c>
      <c r="J95" s="1138">
        <f t="shared" si="124"/>
        <v>1.9812163000000001E-2</v>
      </c>
      <c r="K95" s="1138">
        <f t="shared" ref="K95:P95" si="125">SUM(K96:K97)</f>
        <v>2.2529001999999999E-2</v>
      </c>
      <c r="L95" s="367">
        <f t="shared" si="125"/>
        <v>1.8879659E-2</v>
      </c>
      <c r="M95" s="367">
        <f t="shared" si="125"/>
        <v>1.6518267999999999E-2</v>
      </c>
      <c r="N95" s="367">
        <f t="shared" si="125"/>
        <v>1.6698136000000002E-2</v>
      </c>
      <c r="O95" s="367">
        <f t="shared" si="125"/>
        <v>1.2482821E-2</v>
      </c>
      <c r="P95" s="367">
        <f t="shared" si="125"/>
        <v>1.3348937999999999E-2</v>
      </c>
      <c r="Q95" s="382">
        <f>SUM(Q96:Q98)</f>
        <v>0.12265165001020001</v>
      </c>
      <c r="R95" s="382">
        <f t="shared" si="121"/>
        <v>8.6611699999999958E-4</v>
      </c>
      <c r="S95" s="382">
        <f t="shared" si="122"/>
        <v>-0.1093027120102</v>
      </c>
      <c r="T95" s="561">
        <f>SUM(T96:T97)</f>
        <v>0.87291090849999997</v>
      </c>
      <c r="U95" s="382">
        <f>SUM(U96:U98)</f>
        <v>1.7087673000000003</v>
      </c>
      <c r="V95" s="561">
        <f>SUM(V96:V98)</f>
        <v>1.7087673000000003</v>
      </c>
      <c r="W95" s="382">
        <f t="shared" si="120"/>
        <v>-0.83585639150000035</v>
      </c>
      <c r="X95" s="385">
        <f t="shared" si="123"/>
        <v>0.51084247018303763</v>
      </c>
    </row>
    <row r="96" spans="1:24" s="404" customFormat="1" ht="12" customHeight="1">
      <c r="B96" s="544" t="s">
        <v>605</v>
      </c>
      <c r="C96" s="366">
        <f>Card!K34/10^9+Card!K35/10^9</f>
        <v>6.4646058000000006E-2</v>
      </c>
      <c r="D96" s="366">
        <f>Card!L34/10^9+Card!L35/10^9</f>
        <v>6.5506828000000003E-2</v>
      </c>
      <c r="E96" s="366">
        <f>Card!M34/10^9+Card!M35/10^9</f>
        <v>7.5076188000000002E-2</v>
      </c>
      <c r="F96" s="366">
        <f>Card!N34/10^9+Card!N35/10^9</f>
        <v>8.4149724499999995E-2</v>
      </c>
      <c r="G96" s="366">
        <f>Card!O34/10^9+Card!O35/10^9</f>
        <v>6.8728136999999995E-2</v>
      </c>
      <c r="H96" s="376">
        <f>Card!P34/10^9+Card!P35/10^9</f>
        <v>6.5448991999999998E-2</v>
      </c>
      <c r="I96" s="376">
        <f>Card!Q34/10^9+Card!Q35/10^9</f>
        <v>9.7238666000000001E-2</v>
      </c>
      <c r="J96" s="376">
        <f>Card!R34/10^9</f>
        <v>1.7680606000000001E-2</v>
      </c>
      <c r="K96" s="376">
        <f>Card!S34/10^9</f>
        <v>2.1166147999999999E-2</v>
      </c>
      <c r="L96" s="366">
        <f>Card!T34/10^9</f>
        <v>1.7498886000000002E-2</v>
      </c>
      <c r="M96" s="366">
        <f>Card!U34/10^9</f>
        <v>1.5365072E-2</v>
      </c>
      <c r="N96" s="366">
        <f>Card!V34/10^9</f>
        <v>1.5422529000000001E-2</v>
      </c>
      <c r="O96" s="366">
        <f>Card!W34/10^9</f>
        <v>1.1324499999999999E-2</v>
      </c>
      <c r="P96" s="366">
        <f>Card!X34/10^9</f>
        <v>9.9587129999999992E-3</v>
      </c>
      <c r="Q96" s="383">
        <f>-'BG 2025 CC_PL'!BC293</f>
        <v>0.11050000000000001</v>
      </c>
      <c r="R96" s="382">
        <f t="shared" si="121"/>
        <v>-1.3657870000000003E-3</v>
      </c>
      <c r="S96" s="382">
        <f t="shared" si="122"/>
        <v>-0.10054128700000002</v>
      </c>
      <c r="T96" s="386">
        <f>Card!J34/10^9+Card!J35/10^9</f>
        <v>0.85324840950000003</v>
      </c>
      <c r="U96" s="386">
        <f>-SUM('BG 2025 CC_PL'!AR293:BC293)</f>
        <v>1.3260000000000003</v>
      </c>
      <c r="V96" s="386">
        <f>-SUM('BG 2025 CC_PL'!AR293:BC293)</f>
        <v>1.3260000000000003</v>
      </c>
      <c r="W96" s="382">
        <f t="shared" ref="W96:W98" si="126">T96-U96</f>
        <v>-0.47275159050000026</v>
      </c>
      <c r="X96" s="385">
        <f t="shared" ref="X96:X98" si="127">T96/V96</f>
        <v>0.64347542194570129</v>
      </c>
    </row>
    <row r="97" spans="2:28" s="404" customFormat="1" ht="12" customHeight="1">
      <c r="B97" s="550" t="s">
        <v>163</v>
      </c>
      <c r="C97" s="376">
        <f>Card!K36/10^9</f>
        <v>7.4796699999999999E-4</v>
      </c>
      <c r="D97" s="376">
        <f>Card!L36/10^9</f>
        <v>7.5501300000000002E-4</v>
      </c>
      <c r="E97" s="376">
        <f>Card!M36/10^9</f>
        <v>8.7907199999999995E-4</v>
      </c>
      <c r="F97" s="376">
        <f>Card!N36/10^9</f>
        <v>7.9892299999999999E-4</v>
      </c>
      <c r="G97" s="376">
        <f>Card!O36/10^9</f>
        <v>8.4736999999999996E-4</v>
      </c>
      <c r="H97" s="376">
        <f>Card!P36/10^9</f>
        <v>2.4483590000000002E-3</v>
      </c>
      <c r="I97" s="376">
        <f>Card!Q36/10^9</f>
        <v>2.8362420000000001E-3</v>
      </c>
      <c r="J97" s="376">
        <f>Card!R36/10^9</f>
        <v>2.1315570000000001E-3</v>
      </c>
      <c r="K97" s="376">
        <f>Card!S36/10^9</f>
        <v>1.3628539999999999E-3</v>
      </c>
      <c r="L97" s="376">
        <f>Card!T36/10^9</f>
        <v>1.3807730000000001E-3</v>
      </c>
      <c r="M97" s="376">
        <f>Card!U36/10^9</f>
        <v>1.153196E-3</v>
      </c>
      <c r="N97" s="376">
        <f>Card!V36/10^9</f>
        <v>1.275607E-3</v>
      </c>
      <c r="O97" s="376">
        <f>Card!W36/10^9</f>
        <v>1.1583209999999999E-3</v>
      </c>
      <c r="P97" s="376">
        <f>Card!X36/10^9</f>
        <v>3.3902250000000002E-3</v>
      </c>
      <c r="Q97" s="561">
        <f>-'BG 2025 CC_PL'!BC297</f>
        <v>1.2151649999999998E-2</v>
      </c>
      <c r="R97" s="382">
        <f t="shared" si="121"/>
        <v>2.2319040000000003E-3</v>
      </c>
      <c r="S97" s="382">
        <f t="shared" si="122"/>
        <v>-8.761424999999998E-3</v>
      </c>
      <c r="T97" s="561">
        <f>Card!J36/10^9</f>
        <v>1.9662499E-2</v>
      </c>
      <c r="U97" s="561">
        <f>-SUM('BG 2025 CC_PL'!AR297:BC297)</f>
        <v>0.11636729999999997</v>
      </c>
      <c r="V97" s="561">
        <f>-SUM('BG 2025 CC_PL'!AR297:BC297)</f>
        <v>0.11636729999999997</v>
      </c>
      <c r="W97" s="560">
        <f t="shared" si="126"/>
        <v>-9.6704800999999965E-2</v>
      </c>
      <c r="X97" s="385">
        <f t="shared" si="127"/>
        <v>0.16896928088904706</v>
      </c>
    </row>
    <row r="98" spans="2:28" s="404" customFormat="1" ht="12" customHeight="1">
      <c r="B98" s="550" t="s">
        <v>152</v>
      </c>
      <c r="C98" s="376"/>
      <c r="D98" s="376"/>
      <c r="E98" s="376">
        <f>Card!M37/10^9</f>
        <v>1.070928E-2</v>
      </c>
      <c r="F98" s="376">
        <f>Card!N37/10^9</f>
        <v>6.6989700000000003E-3</v>
      </c>
      <c r="G98" s="376">
        <f>Card!O37/10^9</f>
        <v>9.9470700000000006E-3</v>
      </c>
      <c r="H98" s="376">
        <f>Card!P37/10^9</f>
        <v>8.2709099999999994E-3</v>
      </c>
      <c r="I98" s="376">
        <f>Card!Q37/10^9</f>
        <v>8.2846800000000009E-3</v>
      </c>
      <c r="J98" s="376">
        <f>Card!R37/10^9</f>
        <v>8.9815499999999996E-3</v>
      </c>
      <c r="K98" s="376">
        <f>Card!S37/10^9</f>
        <v>1.016946E-2</v>
      </c>
      <c r="L98" s="376"/>
      <c r="M98" s="376"/>
      <c r="N98" s="376"/>
      <c r="O98" s="376"/>
      <c r="P98" s="376"/>
      <c r="Q98" s="561">
        <f>-'BG 2025 CC_PL'!BC296/10^9</f>
        <v>1.0200000000000001E-11</v>
      </c>
      <c r="R98" s="382">
        <f t="shared" si="121"/>
        <v>0</v>
      </c>
      <c r="S98" s="382">
        <f t="shared" si="122"/>
        <v>-1.0200000000000001E-11</v>
      </c>
      <c r="T98" s="561">
        <f>Card!J37/10^9</f>
        <v>0.11867641499999999</v>
      </c>
      <c r="U98" s="561">
        <f>-SUM('BG 2025 CC_PL'!AR296:BC296)</f>
        <v>0.26639999999999997</v>
      </c>
      <c r="V98" s="561">
        <f>-SUM('BG 2025 CC_PL'!AR296:BC296)</f>
        <v>0.26639999999999997</v>
      </c>
      <c r="W98" s="560">
        <f t="shared" si="126"/>
        <v>-0.14772358499999999</v>
      </c>
      <c r="X98" s="385">
        <f t="shared" si="127"/>
        <v>0.44548203828828831</v>
      </c>
    </row>
    <row r="99" spans="2:28" s="404" customFormat="1" ht="12" customHeight="1">
      <c r="B99" s="545" t="s">
        <v>236</v>
      </c>
      <c r="C99" s="376">
        <f t="shared" ref="C99:J99" si="128">C87-C95</f>
        <v>-0.1882579502480406</v>
      </c>
      <c r="D99" s="376">
        <f t="shared" si="128"/>
        <v>0.6759623766666667</v>
      </c>
      <c r="E99" s="376">
        <f t="shared" si="128"/>
        <v>-0.43440500939048554</v>
      </c>
      <c r="F99" s="376">
        <f t="shared" si="128"/>
        <v>-0.54111154990250565</v>
      </c>
      <c r="G99" s="376">
        <f t="shared" si="128"/>
        <v>-0.62604218612401785</v>
      </c>
      <c r="H99" s="376">
        <f t="shared" si="128"/>
        <v>-0.43587950614214627</v>
      </c>
      <c r="I99" s="376">
        <f t="shared" si="128"/>
        <v>-0.25455120599999997</v>
      </c>
      <c r="J99" s="376">
        <f t="shared" si="128"/>
        <v>-0.19309895733333327</v>
      </c>
      <c r="K99" s="376">
        <f t="shared" ref="K99:P99" si="129">K87-K95</f>
        <v>-0.183321031</v>
      </c>
      <c r="L99" s="376">
        <f t="shared" si="129"/>
        <v>-7.8563699999999903E-2</v>
      </c>
      <c r="M99" s="376">
        <f t="shared" si="129"/>
        <v>4.7258803326666667</v>
      </c>
      <c r="N99" s="376">
        <f t="shared" si="129"/>
        <v>0.13921335699999984</v>
      </c>
      <c r="O99" s="376">
        <f t="shared" si="129"/>
        <v>2.7817231000000088E-2</v>
      </c>
      <c r="P99" s="376">
        <f t="shared" si="129"/>
        <v>0.16938103500000004</v>
      </c>
      <c r="Q99" s="386">
        <f>Q87-Q95</f>
        <v>0.25719871198979999</v>
      </c>
      <c r="R99" s="382">
        <f t="shared" si="121"/>
        <v>0.14156380399999996</v>
      </c>
      <c r="S99" s="382">
        <f t="shared" si="122"/>
        <v>-8.7817676989799948E-2</v>
      </c>
      <c r="T99" s="386">
        <f>T87-T95</f>
        <v>1.967827531774178</v>
      </c>
      <c r="U99" s="386">
        <f>U87-U95</f>
        <v>6.3163578069999939</v>
      </c>
      <c r="V99" s="386">
        <f>V87-V95</f>
        <v>6.3163578069999939</v>
      </c>
      <c r="W99" s="560">
        <f>T99-U99</f>
        <v>-4.3485302752258157</v>
      </c>
      <c r="X99" s="471">
        <f>T99/V99</f>
        <v>0.3115446578395808</v>
      </c>
    </row>
    <row r="100" spans="2:28" s="404" customFormat="1" ht="12" customHeight="1">
      <c r="B100" s="546" t="s">
        <v>596</v>
      </c>
      <c r="C100" s="376">
        <f>Card!K39/10^9</f>
        <v>0.48497636440000003</v>
      </c>
      <c r="D100" s="376">
        <f>Card!L39/10^9</f>
        <v>0.49557601299999998</v>
      </c>
      <c r="E100" s="376">
        <f>Card!M39/10^9</f>
        <v>0.50766590940000011</v>
      </c>
      <c r="F100" s="376">
        <f>Card!N39/10^9</f>
        <v>0.51822209909806427</v>
      </c>
      <c r="G100" s="376">
        <f>Card!O39/10^9</f>
        <v>0.54300965618742858</v>
      </c>
      <c r="H100" s="376">
        <f>Card!P39/10^9</f>
        <v>0.52148648088799998</v>
      </c>
      <c r="I100" s="376">
        <f>Card!Q39/10^9</f>
        <v>0.51955778848</v>
      </c>
      <c r="J100" s="376">
        <f>Card!R39/10^9</f>
        <v>0.52370332136922015</v>
      </c>
      <c r="K100" s="376">
        <f>Card!S39/10^9</f>
        <v>0.53026246667727273</v>
      </c>
      <c r="L100" s="376">
        <f>Card!T39/10^9</f>
        <v>0.6511880506347989</v>
      </c>
      <c r="M100" s="376">
        <f>Card!U39/10^9</f>
        <v>0.6035088049585231</v>
      </c>
      <c r="N100" s="376">
        <f>Card!V39/10^9</f>
        <v>0.61579202933244692</v>
      </c>
      <c r="O100" s="376">
        <f>Card!W39/10^9</f>
        <v>0.64068285771373501</v>
      </c>
      <c r="P100" s="376">
        <f>Card!X39/10^9</f>
        <v>0.62011583962050942</v>
      </c>
      <c r="Q100" s="386">
        <f>-'BG 2025 CC_PL'!BC299</f>
        <v>0.89687637216151794</v>
      </c>
      <c r="R100" s="382">
        <f t="shared" si="121"/>
        <v>-2.0567018093225586E-2</v>
      </c>
      <c r="S100" s="382">
        <f t="shared" si="122"/>
        <v>-0.27676053254100852</v>
      </c>
      <c r="T100" s="386">
        <f>Card!J39/10^9</f>
        <v>6.7951953043599991</v>
      </c>
      <c r="U100" s="561">
        <f>-SUM('BG 2025 CC_PL'!AR299:BC299)</f>
        <v>10.762516465938218</v>
      </c>
      <c r="V100" s="561">
        <f>-SUM('BG 2025 CC_PL'!AR299:BC299)</f>
        <v>10.762516465938218</v>
      </c>
      <c r="W100" s="560">
        <f>T100-U100</f>
        <v>-3.9673211615782185</v>
      </c>
      <c r="X100" s="471">
        <f>T100/V100</f>
        <v>0.63137606579890426</v>
      </c>
    </row>
    <row r="101" spans="2:28" s="404" customFormat="1" ht="12" customHeight="1">
      <c r="B101" s="547" t="s">
        <v>579</v>
      </c>
      <c r="C101" s="376">
        <f t="shared" ref="C101" si="130">C99-C100</f>
        <v>-0.67323431464804062</v>
      </c>
      <c r="D101" s="376">
        <f t="shared" ref="D101:J101" si="131">D99-D100</f>
        <v>0.18038636366666672</v>
      </c>
      <c r="E101" s="376">
        <f t="shared" si="131"/>
        <v>-0.94207091879048566</v>
      </c>
      <c r="F101" s="376">
        <f t="shared" si="131"/>
        <v>-1.0593336490005698</v>
      </c>
      <c r="G101" s="376">
        <f t="shared" si="131"/>
        <v>-1.1690518423114464</v>
      </c>
      <c r="H101" s="376">
        <f t="shared" si="131"/>
        <v>-0.9573659870301463</v>
      </c>
      <c r="I101" s="376">
        <f t="shared" si="131"/>
        <v>-0.77410899447999992</v>
      </c>
      <c r="J101" s="376">
        <f t="shared" si="131"/>
        <v>-0.71680227870255342</v>
      </c>
      <c r="K101" s="376">
        <f t="shared" ref="K101:P101" si="132">K99-K100</f>
        <v>-0.71358349767727269</v>
      </c>
      <c r="L101" s="376">
        <f t="shared" si="132"/>
        <v>-0.7297517506347988</v>
      </c>
      <c r="M101" s="376">
        <f t="shared" si="132"/>
        <v>4.1223715277081432</v>
      </c>
      <c r="N101" s="376">
        <f t="shared" si="132"/>
        <v>-0.47657867233244711</v>
      </c>
      <c r="O101" s="376">
        <f t="shared" si="132"/>
        <v>-0.6128656267137349</v>
      </c>
      <c r="P101" s="376">
        <f t="shared" si="132"/>
        <v>-0.45073480462050941</v>
      </c>
      <c r="Q101" s="386">
        <f>Q99-Q100</f>
        <v>-0.63967766017171801</v>
      </c>
      <c r="R101" s="382">
        <f t="shared" si="121"/>
        <v>0.16213082209322549</v>
      </c>
      <c r="S101" s="382">
        <f t="shared" si="122"/>
        <v>0.1889428555512086</v>
      </c>
      <c r="T101" s="386">
        <f>T99-T100</f>
        <v>-4.8273677725858208</v>
      </c>
      <c r="U101" s="386">
        <f>U99-U100</f>
        <v>-4.4461586589382236</v>
      </c>
      <c r="V101" s="386">
        <f>V99-V100</f>
        <v>-4.4461586589382236</v>
      </c>
      <c r="W101" s="560">
        <f>T101-U101</f>
        <v>-0.38120911364759724</v>
      </c>
      <c r="X101" s="471">
        <f>T101/V101</f>
        <v>1.085738981194754</v>
      </c>
    </row>
    <row r="102" spans="2:28" s="404" customFormat="1" ht="12" customHeight="1" thickBot="1">
      <c r="B102" s="548" t="s">
        <v>580</v>
      </c>
      <c r="C102" s="377">
        <f>SUM(Card!K40:K42)/10^9</f>
        <v>0.30118822277999996</v>
      </c>
      <c r="D102" s="377">
        <f>SUM(Card!L40:L42)/10^9</f>
        <v>0.9491183606104121</v>
      </c>
      <c r="E102" s="377">
        <f>SUM(Card!M40:M42)/10^9</f>
        <v>0.33161662459822228</v>
      </c>
      <c r="F102" s="377">
        <f>SUM(Card!N40:N42)/10^9</f>
        <v>0.36019758263957335</v>
      </c>
      <c r="G102" s="377">
        <f>SUM(Card!O40:O42)/10^9</f>
        <v>0.33315546529802476</v>
      </c>
      <c r="H102" s="377">
        <f>SUM(Card!P40:P42)/10^9</f>
        <v>0.40114454564555724</v>
      </c>
      <c r="I102" s="377">
        <f>SUM(Card!Q40:Q42)/10^9</f>
        <v>0.31584182629244439</v>
      </c>
      <c r="J102" s="377">
        <f>SUM(Card!R40:R42)/10^9</f>
        <v>0.39983933949044931</v>
      </c>
      <c r="K102" s="377">
        <f>SUM(Card!S40:S42)/10^9</f>
        <v>0.73480819760767579</v>
      </c>
      <c r="L102" s="377">
        <f>SUM(Card!T40:T42)/10^9</f>
        <v>0.54941061439214911</v>
      </c>
      <c r="M102" s="377">
        <f>SUM(Card!U40:U42)/10^9</f>
        <v>0.54406390073422906</v>
      </c>
      <c r="N102" s="377">
        <f>SUM(Card!V40:V42)/10^9</f>
        <v>1.147605141362714</v>
      </c>
      <c r="O102" s="377">
        <f>SUM(Card!W40:W42)/10^9</f>
        <v>0.46764541634235324</v>
      </c>
      <c r="P102" s="377">
        <f>SUM(Card!X40:X42)/10^9</f>
        <v>0.40330196910126598</v>
      </c>
      <c r="Q102" s="562">
        <f>-SUM('BG 2025 CC_PL'!BC300:BC302)</f>
        <v>0.53048476806141331</v>
      </c>
      <c r="R102" s="374">
        <f t="shared" si="121"/>
        <v>-6.4343447241087259E-2</v>
      </c>
      <c r="S102" s="374">
        <f t="shared" si="122"/>
        <v>-0.12718279896014734</v>
      </c>
      <c r="T102" s="562">
        <f>SUM(Card!J40:J42)/10^9</f>
        <v>5.9886306235046591</v>
      </c>
      <c r="U102" s="562">
        <f>-SUM('BG 2025 CC_PL'!AR300:BC302)</f>
        <v>6.365817216736958</v>
      </c>
      <c r="V102" s="562">
        <f>-SUM('BG 2025 CC_PL'!AR300:BC302)</f>
        <v>6.365817216736958</v>
      </c>
      <c r="W102" s="374">
        <f>T102-U102</f>
        <v>-0.37718659323229886</v>
      </c>
      <c r="X102" s="354">
        <f>T102/V102</f>
        <v>0.94074812700550015</v>
      </c>
    </row>
    <row r="103" spans="2:28" s="404" customFormat="1" ht="16.5" customHeight="1" thickTop="1">
      <c r="B103" s="547" t="s">
        <v>309</v>
      </c>
      <c r="C103" s="364">
        <f t="shared" ref="C103" si="133">C101-C102</f>
        <v>-0.97442253742804064</v>
      </c>
      <c r="D103" s="364">
        <f t="shared" ref="D103:J103" si="134">D101-D102</f>
        <v>-0.76873199694374539</v>
      </c>
      <c r="E103" s="364">
        <f t="shared" si="134"/>
        <v>-1.273687543388708</v>
      </c>
      <c r="F103" s="364">
        <f t="shared" si="134"/>
        <v>-1.4195312316401432</v>
      </c>
      <c r="G103" s="364">
        <f t="shared" si="134"/>
        <v>-1.5022073076094711</v>
      </c>
      <c r="H103" s="349">
        <f t="shared" si="134"/>
        <v>-1.3585105326757034</v>
      </c>
      <c r="I103" s="349">
        <f t="shared" si="134"/>
        <v>-1.0899508207724442</v>
      </c>
      <c r="J103" s="349">
        <f t="shared" si="134"/>
        <v>-1.1166416181930028</v>
      </c>
      <c r="K103" s="349">
        <f t="shared" ref="K103:P103" si="135">K101-K102</f>
        <v>-1.4483916952849485</v>
      </c>
      <c r="L103" s="364">
        <f t="shared" si="135"/>
        <v>-1.2791623650269479</v>
      </c>
      <c r="M103" s="364">
        <f t="shared" si="135"/>
        <v>3.5783076269739142</v>
      </c>
      <c r="N103" s="364">
        <f t="shared" si="135"/>
        <v>-1.624183813695161</v>
      </c>
      <c r="O103" s="364">
        <f t="shared" si="135"/>
        <v>-1.080511043056088</v>
      </c>
      <c r="P103" s="364">
        <f t="shared" si="135"/>
        <v>-0.85403677372177533</v>
      </c>
      <c r="Q103" s="383">
        <f t="shared" ref="Q103:W103" si="136">Q101-Q102</f>
        <v>-1.1701624282331313</v>
      </c>
      <c r="R103" s="382">
        <f t="shared" si="121"/>
        <v>0.22647426933431269</v>
      </c>
      <c r="S103" s="382">
        <f t="shared" si="122"/>
        <v>0.31612565451135599</v>
      </c>
      <c r="T103" s="383">
        <f t="shared" si="136"/>
        <v>-10.81599839609048</v>
      </c>
      <c r="U103" s="383">
        <f t="shared" si="136"/>
        <v>-10.811975875675181</v>
      </c>
      <c r="V103" s="383">
        <f t="shared" si="136"/>
        <v>-10.811975875675181</v>
      </c>
      <c r="W103" s="383">
        <f t="shared" si="136"/>
        <v>-4.0225204152983807E-3</v>
      </c>
      <c r="X103" s="385">
        <f>T103/V103</f>
        <v>1.0003720430438945</v>
      </c>
    </row>
    <row r="104" spans="2:28" s="404" customFormat="1" ht="14">
      <c r="I104" s="412"/>
    </row>
    <row r="105" spans="2:28" s="404" customFormat="1" ht="48.5" customHeight="1">
      <c r="B105" s="360" t="s">
        <v>606</v>
      </c>
      <c r="C105" s="75">
        <v>45597</v>
      </c>
      <c r="D105" s="75">
        <v>45627</v>
      </c>
      <c r="E105" s="75">
        <v>45658</v>
      </c>
      <c r="F105" s="75">
        <v>45689</v>
      </c>
      <c r="G105" s="75">
        <v>45717</v>
      </c>
      <c r="H105" s="75">
        <v>45748</v>
      </c>
      <c r="I105" s="75">
        <v>45778</v>
      </c>
      <c r="J105" s="75">
        <v>45809</v>
      </c>
      <c r="K105" s="379">
        <v>45839</v>
      </c>
      <c r="L105" s="379">
        <v>45870</v>
      </c>
      <c r="M105" s="379">
        <v>45901</v>
      </c>
      <c r="N105" s="90">
        <v>45931</v>
      </c>
      <c r="O105" s="90">
        <v>45962</v>
      </c>
      <c r="P105" s="90">
        <v>45992</v>
      </c>
      <c r="Q105" s="90" t="s">
        <v>575</v>
      </c>
      <c r="R105" s="76" t="s">
        <v>172</v>
      </c>
      <c r="S105" s="76" t="s">
        <v>173</v>
      </c>
      <c r="T105" s="78" t="s">
        <v>76</v>
      </c>
      <c r="U105" s="78" t="s">
        <v>174</v>
      </c>
      <c r="V105" s="78" t="s">
        <v>175</v>
      </c>
      <c r="W105" s="79" t="s">
        <v>173</v>
      </c>
      <c r="X105" s="77" t="s">
        <v>576</v>
      </c>
    </row>
    <row r="106" spans="2:28" s="404" customFormat="1" ht="12" customHeight="1">
      <c r="B106" s="409" t="s">
        <v>199</v>
      </c>
      <c r="C106" s="528">
        <f>Paylater!N9/10^9</f>
        <v>15.606999999999999</v>
      </c>
      <c r="D106" s="528">
        <f>Paylater!O9/10^9</f>
        <v>20.009</v>
      </c>
      <c r="E106" s="365">
        <f>Paylater!P9/10^9</f>
        <v>24.672000000000001</v>
      </c>
      <c r="F106" s="386">
        <f>Paylater!Q9/10^9</f>
        <v>37.246355600000001</v>
      </c>
      <c r="G106" s="386">
        <f>Paylater!R9/10^9</f>
        <v>33.735437234000003</v>
      </c>
      <c r="H106" s="365">
        <f>Paylater!S9/10^9</f>
        <v>33.241860383000002</v>
      </c>
      <c r="I106" s="365">
        <f>Paylater!T9/10^9</f>
        <v>37.349736538000002</v>
      </c>
      <c r="J106" s="365">
        <f>Paylater!U9/10^9</f>
        <v>43.310367006</v>
      </c>
      <c r="K106" s="365">
        <f>Paylater!V9/10^9</f>
        <v>48.348241756</v>
      </c>
      <c r="L106" s="365">
        <f>Paylater!W9/10^9</f>
        <v>47.019175255</v>
      </c>
      <c r="M106" s="1137">
        <f>Paylater!X9/10^9</f>
        <v>46.084111381</v>
      </c>
      <c r="N106" s="1137">
        <f>Paylater!Y9/10^9</f>
        <v>56.011959212000001</v>
      </c>
      <c r="O106" s="1137">
        <f>Paylater!Z9/10^9</f>
        <v>65.346367396999995</v>
      </c>
      <c r="P106" s="1137">
        <f>Paylater!AA9/10^9</f>
        <v>67.727267651999995</v>
      </c>
      <c r="Q106" s="1137">
        <f>'BG 2025 CC_PL'!BC314</f>
        <v>63.525984999999999</v>
      </c>
      <c r="R106" s="1137">
        <f t="shared" ref="R106:R117" si="137">P106-O106</f>
        <v>2.3809002550000002</v>
      </c>
      <c r="S106" s="1137">
        <f t="shared" ref="S106:S117" si="138">P106-Q106</f>
        <v>4.2012826519999962</v>
      </c>
      <c r="T106" s="1137">
        <f>Paylater!M9/10^9</f>
        <v>540.09287941399998</v>
      </c>
      <c r="U106" s="1137">
        <f>SUM('BG 2025 CC_PL'!AR314:BC314)</f>
        <v>485.85890333333333</v>
      </c>
      <c r="V106" s="1137">
        <f>SUM('BG 2025 CC_PL'!AR314:BC314)</f>
        <v>485.85890333333333</v>
      </c>
      <c r="W106" s="1136">
        <f t="shared" ref="W106:W127" si="139">T106-U106</f>
        <v>54.23397608066665</v>
      </c>
      <c r="X106" s="1118">
        <f>T106/V106</f>
        <v>1.1116249505948814</v>
      </c>
    </row>
    <row r="107" spans="2:28" s="404" customFormat="1" ht="12" customHeight="1">
      <c r="B107" s="409" t="s">
        <v>82</v>
      </c>
      <c r="C107" s="528">
        <f>Paylater!N10/10^9</f>
        <v>19.90175344</v>
      </c>
      <c r="D107" s="528">
        <f>Paylater!O10/10^9</f>
        <v>26.01934846</v>
      </c>
      <c r="E107" s="365">
        <f>Paylater!P10/10^9</f>
        <v>32.772966363999998</v>
      </c>
      <c r="F107" s="386">
        <f>Paylater!Q10/10^9</f>
        <v>47.654457309999998</v>
      </c>
      <c r="G107" s="386">
        <f>Paylater!R10/10^9</f>
        <v>50.464191112999998</v>
      </c>
      <c r="H107" s="365">
        <f>Paylater!S10/10^9</f>
        <v>57.096907297000001</v>
      </c>
      <c r="I107" s="365">
        <f>Paylater!T10/10^9</f>
        <v>64.191029587000003</v>
      </c>
      <c r="J107" s="365">
        <f>Paylater!U10/10^9</f>
        <v>75.116810740000005</v>
      </c>
      <c r="K107" s="365">
        <f>Paylater!V10/10^9</f>
        <v>90.871551820999997</v>
      </c>
      <c r="L107" s="365">
        <f>Paylater!W10/10^9</f>
        <v>106.882449807</v>
      </c>
      <c r="M107" s="1137">
        <f>Paylater!X10/10^9</f>
        <v>121.764644082</v>
      </c>
      <c r="N107" s="1137">
        <f>Paylater!Y10/10^9</f>
        <v>129.701056042</v>
      </c>
      <c r="O107" s="1137">
        <f>Paylater!Z10/10^9</f>
        <v>150.340802454</v>
      </c>
      <c r="P107" s="1137">
        <f>Paylater!AA10/10^9</f>
        <v>169.25324644099999</v>
      </c>
      <c r="Q107" s="1137">
        <f>'BG 2025 CC_PL'!BC315</f>
        <v>120.03094827204075</v>
      </c>
      <c r="R107" s="1137">
        <f t="shared" si="137"/>
        <v>18.912443986999989</v>
      </c>
      <c r="S107" s="1137">
        <f t="shared" si="138"/>
        <v>49.222298168959242</v>
      </c>
      <c r="T107" s="1137">
        <f>P107</f>
        <v>169.25324644099999</v>
      </c>
      <c r="U107" s="1137">
        <f>'BG 2025 CC_PL'!BC315</f>
        <v>120.03094827204075</v>
      </c>
      <c r="V107" s="1137">
        <f>'BG 2025 CC_PL'!BC315</f>
        <v>120.03094827204075</v>
      </c>
      <c r="W107" s="1136">
        <f t="shared" si="139"/>
        <v>49.222298168959242</v>
      </c>
      <c r="X107" s="1118">
        <f t="shared" ref="X107:X121" si="140">T107/V107</f>
        <v>1.4100800574981776</v>
      </c>
      <c r="AB107" s="424"/>
    </row>
    <row r="108" spans="2:28" s="404" customFormat="1" ht="12" customHeight="1">
      <c r="B108" s="409" t="s">
        <v>607</v>
      </c>
      <c r="C108" s="528">
        <f t="shared" ref="C108:H108" si="141">C107-C109</f>
        <v>13.754660359999999</v>
      </c>
      <c r="D108" s="528">
        <f t="shared" si="141"/>
        <v>17.358792858000001</v>
      </c>
      <c r="E108" s="365">
        <f t="shared" si="141"/>
        <v>22.531253637999999</v>
      </c>
      <c r="F108" s="386">
        <f t="shared" si="141"/>
        <v>34.074016508999996</v>
      </c>
      <c r="G108" s="386">
        <f t="shared" si="141"/>
        <v>30.246794814999998</v>
      </c>
      <c r="H108" s="365">
        <f t="shared" si="141"/>
        <v>35.372104070000006</v>
      </c>
      <c r="I108" s="365">
        <f>I107-I109</f>
        <v>39.053805758000003</v>
      </c>
      <c r="J108" s="365">
        <f>J107-J109</f>
        <v>44.394275088000001</v>
      </c>
      <c r="K108" s="365">
        <f>K107-K109</f>
        <v>56.408580527999995</v>
      </c>
      <c r="L108" s="365">
        <f>L107-L109</f>
        <v>67.231331272000006</v>
      </c>
      <c r="M108" s="1137">
        <f>M107-M109</f>
        <v>72.342370189000007</v>
      </c>
      <c r="N108" s="1137">
        <f t="shared" ref="N108:P108" si="142">N107-N109</f>
        <v>89.632678921999997</v>
      </c>
      <c r="O108" s="1137">
        <f t="shared" si="142"/>
        <v>110.413533023</v>
      </c>
      <c r="P108" s="1137">
        <f t="shared" si="142"/>
        <v>121.03477225799999</v>
      </c>
      <c r="Q108" s="1137"/>
      <c r="R108" s="1137">
        <f t="shared" si="137"/>
        <v>10.62123923499999</v>
      </c>
      <c r="S108" s="1137">
        <f t="shared" si="138"/>
        <v>121.03477225799999</v>
      </c>
      <c r="T108" s="1137"/>
      <c r="U108" s="1137"/>
      <c r="V108" s="1137"/>
      <c r="W108" s="1136"/>
      <c r="X108" s="1118"/>
    </row>
    <row r="109" spans="2:28" s="404" customFormat="1" ht="12" customHeight="1">
      <c r="B109" s="409" t="s">
        <v>608</v>
      </c>
      <c r="C109" s="528">
        <f>Paylater!N14/10^9</f>
        <v>6.1470930800000003</v>
      </c>
      <c r="D109" s="528">
        <f>Paylater!O14/10^9</f>
        <v>8.6605556020000005</v>
      </c>
      <c r="E109" s="365">
        <f>Paylater!P14/10^9</f>
        <v>10.241712725999999</v>
      </c>
      <c r="F109" s="386">
        <f>Paylater!Q14/10^9</f>
        <v>13.580440801</v>
      </c>
      <c r="G109" s="386">
        <f>Paylater!R14/10^9</f>
        <v>20.217396298000001</v>
      </c>
      <c r="H109" s="365">
        <f>Paylater!S14/10^9</f>
        <v>21.724803226999999</v>
      </c>
      <c r="I109" s="365">
        <f>Paylater!T14/10^9</f>
        <v>25.137223829</v>
      </c>
      <c r="J109" s="365">
        <f>Paylater!U14/10^9</f>
        <v>30.722535652000001</v>
      </c>
      <c r="K109" s="365">
        <f>Paylater!V14/10^9</f>
        <v>34.462971293000003</v>
      </c>
      <c r="L109" s="365">
        <f>Paylater!W14/10^9</f>
        <v>39.651118535000002</v>
      </c>
      <c r="M109" s="1137">
        <f>Paylater!X14/10^9</f>
        <v>49.422273893000003</v>
      </c>
      <c r="N109" s="1137">
        <f>Paylater!Y14/10^9</f>
        <v>40.068377120000001</v>
      </c>
      <c r="O109" s="1137">
        <f>Paylater!Z14/10^9</f>
        <v>39.927269430999999</v>
      </c>
      <c r="P109" s="1137">
        <f>Paylater!AA14/10^9</f>
        <v>48.218474182999998</v>
      </c>
      <c r="Q109" s="1137"/>
      <c r="R109" s="1137">
        <f t="shared" si="137"/>
        <v>8.2912047519999987</v>
      </c>
      <c r="S109" s="1137">
        <f t="shared" si="138"/>
        <v>48.218474182999998</v>
      </c>
      <c r="T109" s="1137"/>
      <c r="U109" s="1137"/>
      <c r="V109" s="1137"/>
      <c r="W109" s="1136"/>
      <c r="X109" s="1118"/>
    </row>
    <row r="110" spans="2:28" s="404" customFormat="1" ht="12" customHeight="1">
      <c r="B110" s="409" t="s">
        <v>609</v>
      </c>
      <c r="C110" s="528">
        <f>Paylater!N65/10^9</f>
        <v>3.622845517</v>
      </c>
      <c r="D110" s="528">
        <f>Paylater!O65/10^9</f>
        <v>4.1046867279999999</v>
      </c>
      <c r="E110" s="365">
        <f>Paylater!P15/10^9</f>
        <v>5.8170774999999999</v>
      </c>
      <c r="F110" s="365">
        <f>Paylater!Q15/10^9</f>
        <v>7.8814675540000003</v>
      </c>
      <c r="G110" s="365">
        <f>Paylater!R15/10^9</f>
        <v>12.293110555</v>
      </c>
      <c r="H110" s="365">
        <f>Paylater!S15/10^9</f>
        <v>12.462289424</v>
      </c>
      <c r="I110" s="365">
        <f>Paylater!T15/10^9</f>
        <v>12.552646415</v>
      </c>
      <c r="J110" s="365">
        <f>Paylater!U15/10^9</f>
        <v>12.298306449</v>
      </c>
      <c r="K110" s="365">
        <f>Paylater!V15/10^9</f>
        <v>14.18362014</v>
      </c>
      <c r="L110" s="365">
        <f>Paylater!W15/10^9</f>
        <v>16.10392315</v>
      </c>
      <c r="M110" s="1137">
        <f>Paylater!X15/10^9</f>
        <v>20.325334771000001</v>
      </c>
      <c r="N110" s="1137">
        <f>Paylater!Y15/10^9</f>
        <v>22.774009904</v>
      </c>
      <c r="O110" s="1137">
        <f>Paylater!Z15/10^9</f>
        <v>25.663389909999999</v>
      </c>
      <c r="P110" s="1137">
        <f>Paylater!AA15/10^9</f>
        <v>29.187083187999999</v>
      </c>
      <c r="Q110" s="1137"/>
      <c r="R110" s="1137">
        <f t="shared" si="137"/>
        <v>3.5236932779999997</v>
      </c>
      <c r="S110" s="1137">
        <f t="shared" si="138"/>
        <v>29.187083187999999</v>
      </c>
      <c r="T110" s="1137"/>
      <c r="U110" s="1137"/>
      <c r="V110" s="1137"/>
      <c r="W110" s="1136"/>
      <c r="X110" s="1118"/>
    </row>
    <row r="111" spans="2:28" s="414" customFormat="1" ht="12" customHeight="1">
      <c r="B111" s="352" t="s">
        <v>217</v>
      </c>
      <c r="C111" s="527">
        <f t="shared" ref="C111" si="143">C112+C115</f>
        <v>0.64302545700000002</v>
      </c>
      <c r="D111" s="527">
        <f t="shared" ref="D111:J111" si="144">D112+D115</f>
        <v>0.63358446299999993</v>
      </c>
      <c r="E111" s="362">
        <f t="shared" si="144"/>
        <v>0.81443815200000003</v>
      </c>
      <c r="F111" s="382">
        <f t="shared" si="144"/>
        <v>0.93196345699999994</v>
      </c>
      <c r="G111" s="362">
        <f t="shared" si="144"/>
        <v>1.2392598764664013</v>
      </c>
      <c r="H111" s="362">
        <f t="shared" si="144"/>
        <v>1.1621161592070017</v>
      </c>
      <c r="I111" s="362">
        <f t="shared" si="144"/>
        <v>1.4239474406488011</v>
      </c>
      <c r="J111" s="362">
        <f t="shared" si="144"/>
        <v>1.5903470436000009</v>
      </c>
      <c r="K111" s="362">
        <f t="shared" ref="K111:N111" si="145">K112+K115</f>
        <v>1.7570115929950019</v>
      </c>
      <c r="L111" s="362">
        <f t="shared" si="145"/>
        <v>2.3352577232118512</v>
      </c>
      <c r="M111" s="1136">
        <f t="shared" si="145"/>
        <v>3.0825767642744992</v>
      </c>
      <c r="N111" s="1136">
        <f t="shared" si="145"/>
        <v>3.3943389506314992</v>
      </c>
      <c r="O111" s="1136">
        <f>O112+O115+O118</f>
        <v>4.1075596114641044</v>
      </c>
      <c r="P111" s="1136">
        <f>P112+P115+P118</f>
        <v>4.4216257541245003</v>
      </c>
      <c r="Q111" s="1136">
        <f>Q112+Q115+Q118</f>
        <v>3.1589354868383159</v>
      </c>
      <c r="R111" s="1136">
        <f t="shared" si="137"/>
        <v>0.3140661426603959</v>
      </c>
      <c r="S111" s="1136">
        <f t="shared" si="138"/>
        <v>1.2626902672861844</v>
      </c>
      <c r="T111" s="1136">
        <f>T112+T115+T118</f>
        <v>26.264320587623661</v>
      </c>
      <c r="U111" s="1136">
        <f>U112+U115</f>
        <v>22.973002771683294</v>
      </c>
      <c r="V111" s="1136">
        <f>V112+V115</f>
        <v>22.973002771683294</v>
      </c>
      <c r="W111" s="1136">
        <f t="shared" si="139"/>
        <v>3.2913178159403671</v>
      </c>
      <c r="X111" s="1118">
        <f t="shared" si="140"/>
        <v>1.1432689426215223</v>
      </c>
      <c r="Z111" s="1303"/>
    </row>
    <row r="112" spans="2:28" s="414" customFormat="1" ht="12" customHeight="1">
      <c r="B112" s="352" t="s">
        <v>591</v>
      </c>
      <c r="C112" s="527">
        <f t="shared" ref="C112" si="146">C113-C114</f>
        <v>-3.6521999999999999E-2</v>
      </c>
      <c r="D112" s="527">
        <f t="shared" ref="D112:J112" si="147">D113-D114</f>
        <v>-4.4421574000000005E-2</v>
      </c>
      <c r="E112" s="362">
        <f t="shared" si="147"/>
        <v>6.7816989999999883E-3</v>
      </c>
      <c r="F112" s="382">
        <f t="shared" si="147"/>
        <v>5.8105373999999987E-2</v>
      </c>
      <c r="G112" s="362">
        <f t="shared" si="147"/>
        <v>0.29804463246640145</v>
      </c>
      <c r="H112" s="362">
        <f t="shared" si="147"/>
        <v>0.23719652020700172</v>
      </c>
      <c r="I112" s="362">
        <f t="shared" si="147"/>
        <v>0.25781520664880114</v>
      </c>
      <c r="J112" s="362">
        <f t="shared" si="147"/>
        <v>0.31513381060000095</v>
      </c>
      <c r="K112" s="362">
        <f t="shared" ref="K112:P112" si="148">K113-K114</f>
        <v>0.35526910799500189</v>
      </c>
      <c r="L112" s="362">
        <f t="shared" si="148"/>
        <v>0.70651253321185115</v>
      </c>
      <c r="M112" s="1136">
        <f t="shared" si="148"/>
        <v>1.2136304212744995</v>
      </c>
      <c r="N112" s="1136">
        <f t="shared" si="148"/>
        <v>1.2755633216314992</v>
      </c>
      <c r="O112" s="1136">
        <f t="shared" si="148"/>
        <v>1.5165849014641051</v>
      </c>
      <c r="P112" s="1136">
        <f t="shared" si="148"/>
        <v>1.7382665071245003</v>
      </c>
      <c r="Q112" s="1136">
        <f>Q113-Q114</f>
        <v>0.50402943129609734</v>
      </c>
      <c r="R112" s="1136">
        <f t="shared" si="137"/>
        <v>0.22168160566039519</v>
      </c>
      <c r="S112" s="1136">
        <f t="shared" si="138"/>
        <v>1.2342370758284029</v>
      </c>
      <c r="T112" s="1136">
        <f>T113-T114</f>
        <v>7.9789040356236622</v>
      </c>
      <c r="U112" s="1136">
        <f>U113-U114</f>
        <v>3.2858975320825556</v>
      </c>
      <c r="V112" s="1136">
        <f>V113-V114</f>
        <v>3.2858975320825556</v>
      </c>
      <c r="W112" s="1136">
        <f t="shared" si="139"/>
        <v>4.6930065035411062</v>
      </c>
      <c r="X112" s="1118">
        <f t="shared" si="140"/>
        <v>2.4282266740578318</v>
      </c>
    </row>
    <row r="113" spans="2:26" s="404" customFormat="1" ht="12" customHeight="1">
      <c r="B113" s="409" t="s">
        <v>255</v>
      </c>
      <c r="C113" s="528">
        <f>Paylater!N28/10^9</f>
        <v>2.2581237000000001E-2</v>
      </c>
      <c r="D113" s="528">
        <f>Paylater!O28/10^9</f>
        <v>3.8598019999999997E-2</v>
      </c>
      <c r="E113" s="365">
        <f>Paylater!P28/10^9</f>
        <v>0.11588849399999999</v>
      </c>
      <c r="F113" s="386">
        <f>Paylater!Q28/10^9</f>
        <v>0.195887597</v>
      </c>
      <c r="G113" s="365">
        <f>Paylater!R28/10^9</f>
        <v>0.48528474399999999</v>
      </c>
      <c r="H113" s="365">
        <f>Paylater!S28/10^9</f>
        <v>0.426213283</v>
      </c>
      <c r="I113" s="365">
        <f>Paylater!T28/10^9</f>
        <v>0.49025332799999999</v>
      </c>
      <c r="J113" s="365">
        <f>Paylater!U28/10^9</f>
        <v>0.56926125599999999</v>
      </c>
      <c r="K113" s="365">
        <f>Paylater!V28/10^9</f>
        <v>0.68930204299999998</v>
      </c>
      <c r="L113" s="365">
        <f>Paylater!W28/10^9</f>
        <v>1.147845494</v>
      </c>
      <c r="M113" s="1137">
        <f>Paylater!X28/10^9</f>
        <v>1.7083471299999999</v>
      </c>
      <c r="N113" s="1137">
        <f>Paylater!Y28/10^9</f>
        <v>1.89394222</v>
      </c>
      <c r="O113" s="1137">
        <f>Paylater!Z28/10^9</f>
        <v>2.1652570359999999</v>
      </c>
      <c r="P113" s="1137">
        <f>Paylater!AA28/10^9</f>
        <v>2.612993318</v>
      </c>
      <c r="Q113" s="1137">
        <f>'BG 2025 CC_PL'!BC320</f>
        <v>1.0339184247862019</v>
      </c>
      <c r="R113" s="1137">
        <f t="shared" si="137"/>
        <v>0.44773628200000015</v>
      </c>
      <c r="S113" s="1137">
        <f t="shared" si="138"/>
        <v>1.5790748932137981</v>
      </c>
      <c r="T113" s="1137">
        <f>Paylater!M28/10^9</f>
        <v>12.500475943</v>
      </c>
      <c r="U113" s="1137">
        <f>SUM('BG 2025 CC_PL'!AR320:BC320)</f>
        <v>7.1601359369462108</v>
      </c>
      <c r="V113" s="1137">
        <f>SUM('BG 2025 CC_PL'!AR320:BC320)</f>
        <v>7.1601359369462108</v>
      </c>
      <c r="W113" s="1136">
        <f t="shared" si="139"/>
        <v>5.3403400060537889</v>
      </c>
      <c r="X113" s="1118">
        <f t="shared" si="140"/>
        <v>1.7458433824555903</v>
      </c>
    </row>
    <row r="114" spans="2:26" s="404" customFormat="1" ht="12" customHeight="1">
      <c r="B114" s="409" t="s">
        <v>219</v>
      </c>
      <c r="C114" s="528">
        <f>Paylater!N29/10^9</f>
        <v>5.9103237000000003E-2</v>
      </c>
      <c r="D114" s="528">
        <f>Paylater!O29/10^9</f>
        <v>8.3019594000000002E-2</v>
      </c>
      <c r="E114" s="365">
        <f>Paylater!P29/10^9</f>
        <v>0.10910679500000001</v>
      </c>
      <c r="F114" s="386">
        <f>Paylater!Q29/10^9</f>
        <v>0.13778222300000001</v>
      </c>
      <c r="G114" s="365">
        <f>Paylater!R29/10^9</f>
        <v>0.18724011153359857</v>
      </c>
      <c r="H114" s="365">
        <f>Paylater!S29/10^9</f>
        <v>0.18901676279299828</v>
      </c>
      <c r="I114" s="365">
        <f>Paylater!T29/10^9</f>
        <v>0.23243812135119885</v>
      </c>
      <c r="J114" s="365">
        <f>Paylater!U29/10^9</f>
        <v>0.25412744539999904</v>
      </c>
      <c r="K114" s="365">
        <f>Paylater!V29/10^9</f>
        <v>0.33403293500499809</v>
      </c>
      <c r="L114" s="365">
        <f>Paylater!W29/10^9</f>
        <v>0.44133296078814893</v>
      </c>
      <c r="M114" s="1137">
        <f>Paylater!X29/10^9</f>
        <v>0.4947167087255005</v>
      </c>
      <c r="N114" s="1137">
        <f>Paylater!Y29/10^9</f>
        <v>0.6183788983685008</v>
      </c>
      <c r="O114" s="1137">
        <f>Paylater!Z29/10^9</f>
        <v>0.6486721345358949</v>
      </c>
      <c r="P114" s="1137">
        <f>Paylater!AA29/10^9</f>
        <v>0.87472681087549975</v>
      </c>
      <c r="Q114" s="1137">
        <f>-'BG 2025 CC_PL'!BC321</f>
        <v>0.52988899349010454</v>
      </c>
      <c r="R114" s="1137">
        <f t="shared" si="137"/>
        <v>0.22605467633960485</v>
      </c>
      <c r="S114" s="1137">
        <f t="shared" si="138"/>
        <v>0.34483781738539521</v>
      </c>
      <c r="T114" s="1137">
        <f>Paylater!M29/10^9</f>
        <v>4.5215719073763374</v>
      </c>
      <c r="U114" s="1137">
        <f>-SUM('BG 2025 CC_PL'!AR321:BC321)</f>
        <v>3.8742384048636551</v>
      </c>
      <c r="V114" s="1137">
        <f>-SUM('BG 2025 CC_PL'!AR321:BC321)</f>
        <v>3.8742384048636551</v>
      </c>
      <c r="W114" s="1136">
        <f t="shared" si="139"/>
        <v>0.64733350251268229</v>
      </c>
      <c r="X114" s="1118">
        <f t="shared" si="140"/>
        <v>1.1670866464232119</v>
      </c>
    </row>
    <row r="115" spans="2:26" s="414" customFormat="1" ht="12" customHeight="1">
      <c r="B115" s="352" t="s">
        <v>593</v>
      </c>
      <c r="C115" s="527">
        <f t="shared" ref="C115" si="149">C116-C117</f>
        <v>0.67954745699999997</v>
      </c>
      <c r="D115" s="527">
        <f t="shared" ref="D115:J115" si="150">D116-D117</f>
        <v>0.67800603699999995</v>
      </c>
      <c r="E115" s="362">
        <f t="shared" si="150"/>
        <v>0.807656453</v>
      </c>
      <c r="F115" s="382">
        <f t="shared" si="150"/>
        <v>0.87385808300000001</v>
      </c>
      <c r="G115" s="362">
        <f t="shared" si="150"/>
        <v>0.94121524400000001</v>
      </c>
      <c r="H115" s="362">
        <f t="shared" si="150"/>
        <v>0.92491963899999996</v>
      </c>
      <c r="I115" s="362">
        <f t="shared" si="150"/>
        <v>1.166132234</v>
      </c>
      <c r="J115" s="362">
        <f t="shared" si="150"/>
        <v>1.2752132329999999</v>
      </c>
      <c r="K115" s="362">
        <f t="shared" ref="K115:P115" si="151">K116-K117</f>
        <v>1.401742485</v>
      </c>
      <c r="L115" s="362">
        <f t="shared" si="151"/>
        <v>1.6287451900000001</v>
      </c>
      <c r="M115" s="1136">
        <f t="shared" si="151"/>
        <v>1.868946343</v>
      </c>
      <c r="N115" s="1136">
        <f t="shared" si="151"/>
        <v>2.1187756289999999</v>
      </c>
      <c r="O115" s="1136">
        <f t="shared" si="151"/>
        <v>2.5003935199999998</v>
      </c>
      <c r="P115" s="1136">
        <f t="shared" si="151"/>
        <v>2.54424713</v>
      </c>
      <c r="Q115" s="1136">
        <f>Q116-Q117</f>
        <v>2.6549060555422184</v>
      </c>
      <c r="R115" s="1136">
        <f t="shared" si="137"/>
        <v>4.3853610000000209E-2</v>
      </c>
      <c r="S115" s="1136">
        <f t="shared" si="138"/>
        <v>-0.11065892554221834</v>
      </c>
      <c r="T115" s="1136">
        <f>T116-T117</f>
        <v>18.051845183000001</v>
      </c>
      <c r="U115" s="1136">
        <f>U116-U117</f>
        <v>19.68710523960074</v>
      </c>
      <c r="V115" s="1136">
        <f>V116-V117</f>
        <v>19.68710523960074</v>
      </c>
      <c r="W115" s="1136">
        <f t="shared" si="139"/>
        <v>-1.6352600566007389</v>
      </c>
      <c r="X115" s="1118">
        <f t="shared" si="140"/>
        <v>0.91693750621541847</v>
      </c>
    </row>
    <row r="116" spans="2:26" s="404" customFormat="1" ht="12" customHeight="1">
      <c r="B116" s="409" t="s">
        <v>22</v>
      </c>
      <c r="C116" s="528">
        <f>Paylater!N30/10^9</f>
        <v>0.67954745699999997</v>
      </c>
      <c r="D116" s="528">
        <f>Paylater!O30/10^9</f>
        <v>0.67800603699999995</v>
      </c>
      <c r="E116" s="528">
        <f>Paylater!P30/10^9</f>
        <v>0.807656453</v>
      </c>
      <c r="F116" s="528">
        <f>Paylater!Q30/10^9</f>
        <v>0.87385808300000001</v>
      </c>
      <c r="G116" s="528">
        <f>Paylater!R30/10^9</f>
        <v>0.94121524400000001</v>
      </c>
      <c r="H116" s="365">
        <f>Paylater!S30/10^9</f>
        <v>0.92491963899999996</v>
      </c>
      <c r="I116" s="365">
        <f>Paylater!T30/10^9</f>
        <v>1.166132234</v>
      </c>
      <c r="J116" s="365">
        <f>Paylater!U30/10^9</f>
        <v>1.2752132329999999</v>
      </c>
      <c r="K116" s="528">
        <f>Paylater!V30/10^9</f>
        <v>1.401742485</v>
      </c>
      <c r="L116" s="528">
        <f>Paylater!W30/10^9</f>
        <v>1.6287451900000001</v>
      </c>
      <c r="M116" s="1311">
        <f>Paylater!X30/10^9</f>
        <v>1.868946343</v>
      </c>
      <c r="N116" s="1311">
        <f>Paylater!Y30/10^9</f>
        <v>2.1187756289999999</v>
      </c>
      <c r="O116" s="1137">
        <f>Paylater!Z30/10^9</f>
        <v>2.5003935199999998</v>
      </c>
      <c r="P116" s="1311">
        <f>Paylater!AA30/10^9</f>
        <v>2.54424713</v>
      </c>
      <c r="Q116" s="1137">
        <f>'BG 2025 CC_PL'!BC322</f>
        <v>2.6549060555422184</v>
      </c>
      <c r="R116" s="1137">
        <f t="shared" si="137"/>
        <v>4.3853610000000209E-2</v>
      </c>
      <c r="S116" s="1137">
        <f t="shared" si="138"/>
        <v>-0.11065892554221834</v>
      </c>
      <c r="T116" s="1137">
        <f>Paylater!M30/10^9</f>
        <v>18.051845183000001</v>
      </c>
      <c r="U116" s="1137">
        <f>SUM('BG 2025 CC_PL'!AR322:BC322)</f>
        <v>19.68710523960074</v>
      </c>
      <c r="V116" s="1137">
        <f>SUM('BG 2025 CC_PL'!AR322:BC322)</f>
        <v>19.68710523960074</v>
      </c>
      <c r="W116" s="1136">
        <f t="shared" si="139"/>
        <v>-1.6352600566007389</v>
      </c>
      <c r="X116" s="1118">
        <f t="shared" si="140"/>
        <v>0.91693750621541847</v>
      </c>
    </row>
    <row r="117" spans="2:26" s="404" customFormat="1" ht="12" customHeight="1">
      <c r="B117" s="409" t="s">
        <v>295</v>
      </c>
      <c r="C117" s="528">
        <v>0</v>
      </c>
      <c r="D117" s="528">
        <v>0</v>
      </c>
      <c r="E117" s="365">
        <v>0</v>
      </c>
      <c r="F117" s="386">
        <v>0</v>
      </c>
      <c r="G117" s="365">
        <v>0</v>
      </c>
      <c r="H117" s="365">
        <v>0</v>
      </c>
      <c r="I117" s="365">
        <v>0</v>
      </c>
      <c r="J117" s="365">
        <v>0</v>
      </c>
      <c r="K117" s="365">
        <v>0</v>
      </c>
      <c r="L117" s="365">
        <v>0</v>
      </c>
      <c r="M117" s="1137">
        <v>0</v>
      </c>
      <c r="N117" s="1137">
        <v>0</v>
      </c>
      <c r="O117" s="1137">
        <v>0</v>
      </c>
      <c r="P117" s="1137">
        <v>0</v>
      </c>
      <c r="Q117" s="1137">
        <v>0</v>
      </c>
      <c r="R117" s="1137">
        <f t="shared" si="137"/>
        <v>0</v>
      </c>
      <c r="S117" s="1137">
        <f t="shared" si="138"/>
        <v>0</v>
      </c>
      <c r="T117" s="1137">
        <v>0</v>
      </c>
      <c r="U117" s="1137">
        <v>0</v>
      </c>
      <c r="V117" s="1137">
        <v>0</v>
      </c>
      <c r="W117" s="1136">
        <f t="shared" si="139"/>
        <v>0</v>
      </c>
      <c r="X117" s="1118"/>
    </row>
    <row r="118" spans="2:26" s="404" customFormat="1" ht="12" customHeight="1">
      <c r="B118" s="352" t="s">
        <v>89</v>
      </c>
      <c r="C118" s="528"/>
      <c r="D118" s="528"/>
      <c r="E118" s="365"/>
      <c r="F118" s="386"/>
      <c r="G118" s="365"/>
      <c r="H118" s="365"/>
      <c r="I118" s="365"/>
      <c r="J118" s="365"/>
      <c r="K118" s="365"/>
      <c r="L118" s="365"/>
      <c r="M118" s="1137"/>
      <c r="N118" s="1311">
        <f>Paylater!Y39/10^9</f>
        <v>3.8780619999999998E-3</v>
      </c>
      <c r="O118" s="1137">
        <f>Paylater!Z39/10^9</f>
        <v>9.0581190000000006E-2</v>
      </c>
      <c r="P118" s="1137">
        <f>Paylater!AA39/10^9</f>
        <v>0.13911211700000001</v>
      </c>
      <c r="Q118" s="1137"/>
      <c r="R118" s="1137"/>
      <c r="S118" s="1137"/>
      <c r="T118" s="1137">
        <f>Paylater!M39/10^9</f>
        <v>0.233571369</v>
      </c>
      <c r="U118" s="1137"/>
      <c r="V118" s="1137"/>
      <c r="W118" s="1136"/>
      <c r="X118" s="1118"/>
    </row>
    <row r="119" spans="2:26" s="414" customFormat="1" ht="12" customHeight="1">
      <c r="B119" s="352" t="s">
        <v>577</v>
      </c>
      <c r="C119" s="362">
        <f t="shared" ref="C119:D119" si="152">SUM(C120:C124)</f>
        <v>0.35349635970891563</v>
      </c>
      <c r="D119" s="362">
        <f t="shared" si="152"/>
        <v>0.47408643682962803</v>
      </c>
      <c r="E119" s="362">
        <f>SUM(E120:E124)</f>
        <v>0.4780162434942386</v>
      </c>
      <c r="F119" s="362">
        <f t="shared" ref="F119:H119" si="153">SUM(F120:F124)</f>
        <v>1.145708248693023</v>
      </c>
      <c r="G119" s="362">
        <f t="shared" si="153"/>
        <v>0.58501207319499848</v>
      </c>
      <c r="H119" s="362">
        <f t="shared" si="153"/>
        <v>0.65415558820287723</v>
      </c>
      <c r="I119" s="362">
        <f t="shared" ref="I119:Q119" si="154">SUM(I120:I126)</f>
        <v>0.77141105049595016</v>
      </c>
      <c r="J119" s="362">
        <f t="shared" si="154"/>
        <v>0.85665315101990813</v>
      </c>
      <c r="K119" s="362">
        <f t="shared" si="154"/>
        <v>0.94737490702846416</v>
      </c>
      <c r="L119" s="362">
        <f t="shared" si="154"/>
        <v>0.96838926088334221</v>
      </c>
      <c r="M119" s="1136">
        <f t="shared" si="154"/>
        <v>1.1421881722832548</v>
      </c>
      <c r="N119" s="1136">
        <f t="shared" si="154"/>
        <v>1.3867151552184216</v>
      </c>
      <c r="O119" s="1136">
        <f t="shared" si="154"/>
        <v>2.0171283899185917</v>
      </c>
      <c r="P119" s="1136">
        <f t="shared" si="154"/>
        <v>1.7469925326721398</v>
      </c>
      <c r="Q119" s="1136">
        <f t="shared" si="154"/>
        <v>1.63749926</v>
      </c>
      <c r="R119" s="1136">
        <f t="shared" ref="R119:R132" si="155">P119-O119</f>
        <v>-0.27013585724645184</v>
      </c>
      <c r="S119" s="1136">
        <f t="shared" ref="S119:S124" si="156">P119-Q119</f>
        <v>0.10949327267213982</v>
      </c>
      <c r="T119" s="1136">
        <f>SUM(T120:T126)</f>
        <v>12.84831722060521</v>
      </c>
      <c r="U119" s="1136">
        <f>SUM(U120:U126)</f>
        <v>15.887896869999997</v>
      </c>
      <c r="V119" s="1136">
        <f>SUM(V120:V126)</f>
        <v>15.887896869999997</v>
      </c>
      <c r="W119" s="1136">
        <f t="shared" si="139"/>
        <v>-3.0395796493947866</v>
      </c>
      <c r="X119" s="1118">
        <f t="shared" si="140"/>
        <v>0.80868583965104834</v>
      </c>
    </row>
    <row r="120" spans="2:26" s="404" customFormat="1" ht="12" customHeight="1">
      <c r="B120" s="409" t="s">
        <v>232</v>
      </c>
      <c r="C120" s="528">
        <f>Paylater!N44/10^9</f>
        <v>0.16780204800000001</v>
      </c>
      <c r="D120" s="528">
        <f>Paylater!O44/10^9</f>
        <v>0.18175217199999999</v>
      </c>
      <c r="E120" s="365">
        <f>Paylater!P44/10^9</f>
        <v>0.13800452699999999</v>
      </c>
      <c r="F120" s="386">
        <f>Paylater!Q44/10^9</f>
        <v>0.71439470400000005</v>
      </c>
      <c r="G120" s="365">
        <f>Paylater!R44/10^9</f>
        <v>0.16675504699999999</v>
      </c>
      <c r="H120" s="365">
        <f>Paylater!S44/10^9</f>
        <v>0.19504966000000001</v>
      </c>
      <c r="I120" s="365">
        <f>Paylater!T44/10^9</f>
        <v>0.25900592900000002</v>
      </c>
      <c r="J120" s="365">
        <f>Paylater!U44/10^9</f>
        <v>0.51450570200000012</v>
      </c>
      <c r="K120" s="365">
        <f>Paylater!V44/10^9</f>
        <v>0.51886488200000003</v>
      </c>
      <c r="L120" s="365">
        <f>Paylater!W44/10^9</f>
        <v>0.491421302</v>
      </c>
      <c r="M120" s="1137">
        <f>Paylater!X44/10^9</f>
        <v>0.47736658199999998</v>
      </c>
      <c r="N120" s="1137">
        <f>Paylater!Y44/10^9</f>
        <v>0.52014377199999995</v>
      </c>
      <c r="O120" s="1137">
        <f>Paylater!Z44/10^9</f>
        <v>0.46946650000000001</v>
      </c>
      <c r="P120" s="1137">
        <f>Paylater!AA44/10^9</f>
        <v>0.61195448799999996</v>
      </c>
      <c r="Q120" s="1137">
        <f>-'BG 2025 CC_PL'!BC336</f>
        <v>0.94300000000000006</v>
      </c>
      <c r="R120" s="1137">
        <f t="shared" si="155"/>
        <v>0.14248798799999995</v>
      </c>
      <c r="S120" s="1137">
        <f t="shared" si="156"/>
        <v>-0.3310455120000001</v>
      </c>
      <c r="T120" s="1137">
        <f>Paylater!M44/10^9</f>
        <v>5.0769330950000002</v>
      </c>
      <c r="U120" s="1137">
        <f>-SUM('BG 2025 CC_PL'!AR336:BC336)</f>
        <v>10.048249999999998</v>
      </c>
      <c r="V120" s="1137">
        <f>-SUM('BG 2025 CC_PL'!AR336:BC336)</f>
        <v>10.048249999999998</v>
      </c>
      <c r="W120" s="1136">
        <f t="shared" si="139"/>
        <v>-4.9713169049999975</v>
      </c>
      <c r="X120" s="1118">
        <f t="shared" si="140"/>
        <v>0.50525545194436861</v>
      </c>
    </row>
    <row r="121" spans="2:26" s="404" customFormat="1" ht="12" customHeight="1">
      <c r="B121" s="409" t="s">
        <v>234</v>
      </c>
      <c r="C121" s="528">
        <f>Paylater!N47/10^9</f>
        <v>9.6003773164028916E-2</v>
      </c>
      <c r="D121" s="528">
        <f>Paylater!O47/10^9</f>
        <v>0.18993134282962801</v>
      </c>
      <c r="E121" s="365">
        <f>Paylater!P47/10^9</f>
        <v>0.20623206234873098</v>
      </c>
      <c r="F121" s="386">
        <f>Paylater!Q47/10^9</f>
        <v>0.30459499784993849</v>
      </c>
      <c r="G121" s="365">
        <f>Paylater!R47/10^9</f>
        <v>0.26844301362830836</v>
      </c>
      <c r="H121" s="365">
        <f>Paylater!S47/10^9</f>
        <v>0.28860174002660316</v>
      </c>
      <c r="I121" s="365">
        <f>Paylater!T47/10^9</f>
        <v>0.30364716466533337</v>
      </c>
      <c r="J121" s="365">
        <f>Paylater!U47/10^9</f>
        <v>0.14628435115913149</v>
      </c>
      <c r="K121" s="365">
        <f>Paylater!V47/10^9</f>
        <v>0.21492193084285757</v>
      </c>
      <c r="L121" s="365">
        <f>Paylater!W47/10^9</f>
        <v>0.2749394265495278</v>
      </c>
      <c r="M121" s="1137">
        <f>Paylater!X47/10^9</f>
        <v>0.35341053013331236</v>
      </c>
      <c r="N121" s="1137">
        <f>Paylater!Y47/10^9</f>
        <v>0.15604844056000003</v>
      </c>
      <c r="O121" s="1137">
        <f>Paylater!Z47/10^9</f>
        <v>0.18961990866000003</v>
      </c>
      <c r="P121" s="1137">
        <f>Paylater!AA47/10^9</f>
        <v>0.20682312328000002</v>
      </c>
      <c r="Q121" s="1137">
        <f>-'BG 2025 CC_PL'!BC337</f>
        <v>0.3556877</v>
      </c>
      <c r="R121" s="1137">
        <f t="shared" si="155"/>
        <v>1.720321461999999E-2</v>
      </c>
      <c r="S121" s="1137">
        <f t="shared" si="156"/>
        <v>-0.14886457671999997</v>
      </c>
      <c r="T121" s="1137">
        <f>Paylater!M47/10^9</f>
        <v>2.9135666897037433</v>
      </c>
      <c r="U121" s="1137">
        <f>-SUM('BG 2025 CC_PL'!AR337:BC337)</f>
        <v>2.7373348166666664</v>
      </c>
      <c r="V121" s="1137">
        <f>-SUM('BG 2025 CC_PL'!AR337:BC337)</f>
        <v>2.7373348166666664</v>
      </c>
      <c r="W121" s="1136">
        <f t="shared" si="139"/>
        <v>0.17623187303707688</v>
      </c>
      <c r="X121" s="1118">
        <f t="shared" si="140"/>
        <v>1.0643808247219386</v>
      </c>
    </row>
    <row r="122" spans="2:26" s="404" customFormat="1" ht="12" customHeight="1">
      <c r="B122" s="409" t="s">
        <v>233</v>
      </c>
      <c r="C122" s="528">
        <f>Paylater!N45/10^9</f>
        <v>5.0141509999999997E-3</v>
      </c>
      <c r="D122" s="528">
        <f>Paylater!O45/10^9</f>
        <v>5.3443220000000003E-3</v>
      </c>
      <c r="E122" s="365">
        <f>Paylater!P45/10^9</f>
        <v>5.1005570000000004E-3</v>
      </c>
      <c r="F122" s="386">
        <f>Paylater!Q45/10^9</f>
        <v>1.1394276E-2</v>
      </c>
      <c r="G122" s="365">
        <f>Paylater!R45/10^9</f>
        <v>1.6069812999999999E-2</v>
      </c>
      <c r="H122" s="365">
        <f>Paylater!S45/10^9</f>
        <v>1.5319706000000001E-2</v>
      </c>
      <c r="I122" s="365">
        <f>Paylater!T45/10^9</f>
        <v>2.9472140000000001E-3</v>
      </c>
      <c r="J122" s="365">
        <f>Paylater!U45/10^9</f>
        <v>8.965209E-3</v>
      </c>
      <c r="K122" s="365">
        <f>Paylater!V45/10^9</f>
        <v>1.0361937E-2</v>
      </c>
      <c r="L122" s="365">
        <f>Paylater!W45/10^9</f>
        <v>1.1235409E-2</v>
      </c>
      <c r="M122" s="1137">
        <f>Paylater!X45/10^9</f>
        <v>7.4102300000000003E-3</v>
      </c>
      <c r="N122" s="1137">
        <f>Paylater!Y45/10^9</f>
        <v>7.1391830000000003E-3</v>
      </c>
      <c r="O122" s="1137">
        <f>Paylater!Z45/10^9</f>
        <v>6.9946879999999998E-3</v>
      </c>
      <c r="P122" s="1137">
        <f>Paylater!AA45/10^9</f>
        <v>9.0218520000000003E-3</v>
      </c>
      <c r="Q122" s="1137">
        <f>-'BG 2025 CC_PL'!BC338</f>
        <v>5.8200000000000002E-2</v>
      </c>
      <c r="R122" s="1137">
        <f t="shared" si="155"/>
        <v>2.0271640000000006E-3</v>
      </c>
      <c r="S122" s="1137">
        <f t="shared" si="156"/>
        <v>-4.9178148000000005E-2</v>
      </c>
      <c r="T122" s="1137">
        <f>Paylater!M45/10^9</f>
        <v>0.11196007400000001</v>
      </c>
      <c r="U122" s="1137">
        <f>-SUM('BG 2025 CC_PL'!AR338:BC338)</f>
        <v>0.62854999999999994</v>
      </c>
      <c r="V122" s="1137">
        <f>-SUM('BG 2025 CC_PL'!AR338:BC338)</f>
        <v>0.62854999999999994</v>
      </c>
      <c r="W122" s="1136">
        <f t="shared" si="139"/>
        <v>-0.51658992599999998</v>
      </c>
      <c r="X122" s="1118">
        <f>T122/V122</f>
        <v>0.17812437196722619</v>
      </c>
      <c r="Z122" s="424"/>
    </row>
    <row r="123" spans="2:26" s="404" customFormat="1" ht="12" customHeight="1">
      <c r="B123" s="409" t="s">
        <v>163</v>
      </c>
      <c r="C123" s="528">
        <f>Paylater!N49/10^9</f>
        <v>8.4676387544886669E-2</v>
      </c>
      <c r="D123" s="528">
        <f>Paylater!O49/10^9</f>
        <v>9.7058599999999995E-2</v>
      </c>
      <c r="E123" s="365">
        <f>Paylater!P49/10^9</f>
        <v>0.1197546971455076</v>
      </c>
      <c r="F123" s="386">
        <f>Paylater!Q49/10^9</f>
        <v>0.1097417958430844</v>
      </c>
      <c r="G123" s="365">
        <f>Paylater!R49/10^9</f>
        <v>0.12545497456669019</v>
      </c>
      <c r="H123" s="365">
        <f>Paylater!S49/10^9</f>
        <v>0.14829205717627411</v>
      </c>
      <c r="I123" s="365">
        <f>Paylater!T49/10^9</f>
        <v>0.13941950783061685</v>
      </c>
      <c r="J123" s="365">
        <f>Paylater!U49/10^9</f>
        <v>0.1335937838607765</v>
      </c>
      <c r="K123" s="365">
        <f>Paylater!V49/10^9</f>
        <v>0.13356292018560656</v>
      </c>
      <c r="L123" s="365">
        <f>Paylater!W49/10^9</f>
        <v>0.12052294133381453</v>
      </c>
      <c r="M123" s="1137">
        <f>Paylater!X49/10^9</f>
        <v>0.12632737714994263</v>
      </c>
      <c r="N123" s="1137">
        <f>Paylater!Y49/10^9</f>
        <v>0.12613112778750168</v>
      </c>
      <c r="O123" s="1137">
        <f>Paylater!Z49/10^9</f>
        <v>0.13180166418811134</v>
      </c>
      <c r="P123" s="1137">
        <f>Paylater!AA49/10^9</f>
        <v>0.14239508859995992</v>
      </c>
      <c r="Q123" s="1137">
        <f>-'BG 2025 CC_PL'!BC341</f>
        <v>0.27211156000000003</v>
      </c>
      <c r="R123" s="1137">
        <f t="shared" si="155"/>
        <v>1.0593424411848573E-2</v>
      </c>
      <c r="S123" s="1137">
        <f t="shared" si="156"/>
        <v>-0.12971647140004011</v>
      </c>
      <c r="T123" s="1137">
        <f>Paylater!M49/10^9</f>
        <v>1.5569979356678862</v>
      </c>
      <c r="U123" s="1137">
        <f>-SUM('BG 2025 CC_PL'!AR341:BC341)</f>
        <v>2.2517620533333331</v>
      </c>
      <c r="V123" s="1137">
        <f>-SUM('BG 2025 CC_PL'!AR341:BC341)</f>
        <v>2.2517620533333331</v>
      </c>
      <c r="W123" s="1136">
        <f t="shared" si="139"/>
        <v>-0.69476411766544688</v>
      </c>
      <c r="X123" s="1118">
        <f>T123/V123</f>
        <v>0.69145757801674812</v>
      </c>
    </row>
    <row r="124" spans="2:26" s="404" customFormat="1" ht="12" customHeight="1">
      <c r="B124" s="409" t="s">
        <v>152</v>
      </c>
      <c r="C124" s="365">
        <f>Paylater!N46/10^9</f>
        <v>0</v>
      </c>
      <c r="D124" s="365">
        <f>Paylater!O46/10^9</f>
        <v>0</v>
      </c>
      <c r="E124" s="365">
        <f>Paylater!P46/10^9</f>
        <v>8.9244000000000007E-3</v>
      </c>
      <c r="F124" s="365">
        <f>Paylater!Q46/10^9</f>
        <v>5.5824749999999999E-3</v>
      </c>
      <c r="G124" s="365">
        <f>Paylater!R46/10^9</f>
        <v>8.289224999999999E-3</v>
      </c>
      <c r="H124" s="365">
        <f>Paylater!S46/10^9</f>
        <v>6.8924249999999989E-3</v>
      </c>
      <c r="I124" s="365">
        <f>Paylater!T46/10^9</f>
        <v>6.9039000000000001E-3</v>
      </c>
      <c r="J124" s="365">
        <f>Paylater!U46/10^9</f>
        <v>7.484625E-3</v>
      </c>
      <c r="K124" s="365">
        <f>Paylater!V46/10^9</f>
        <v>8.4745500000000008E-3</v>
      </c>
      <c r="L124" s="365">
        <f>Paylater!W46/10^9</f>
        <v>8.1357249999999999E-3</v>
      </c>
      <c r="M124" s="1137">
        <f>Paylater!X46/10^9</f>
        <v>8.0279249999999983E-3</v>
      </c>
      <c r="N124" s="1137">
        <f>Paylater!Y46/10^9</f>
        <v>9.2132250000000002E-3</v>
      </c>
      <c r="O124" s="1137">
        <f>Paylater!Z46/10^9</f>
        <v>9.2027250000000001E-3</v>
      </c>
      <c r="P124" s="1137">
        <f>Paylater!AA46/10^9</f>
        <v>1.17658125E-2</v>
      </c>
      <c r="Q124" s="1137">
        <f>-'BG 2025 CC_PL'!BC342</f>
        <v>8.5000000000000006E-3</v>
      </c>
      <c r="R124" s="1137">
        <f t="shared" si="155"/>
        <v>2.5630875000000001E-3</v>
      </c>
      <c r="S124" s="1137">
        <f t="shared" si="156"/>
        <v>3.2658124999999996E-3</v>
      </c>
      <c r="T124" s="1137">
        <f>Paylater!M46/10^9</f>
        <v>9.8897012500000006E-2</v>
      </c>
      <c r="U124" s="1137">
        <f>-SUM('BG 2025 CC_PL'!AR342:BC342)</f>
        <v>0.22200000000000006</v>
      </c>
      <c r="V124" s="1137">
        <f>-SUM('BG 2025 CC_PL'!AR342:BC342)</f>
        <v>0.22200000000000006</v>
      </c>
      <c r="W124" s="1136">
        <f t="shared" ref="W124" si="157">T124-U124</f>
        <v>-0.12310298750000005</v>
      </c>
      <c r="X124" s="1118">
        <f>T124/V124</f>
        <v>0.4454820382882882</v>
      </c>
    </row>
    <row r="125" spans="2:26" s="404" customFormat="1" ht="12" customHeight="1">
      <c r="B125" s="409" t="s">
        <v>235</v>
      </c>
      <c r="C125" s="365"/>
      <c r="D125" s="365"/>
      <c r="E125" s="365"/>
      <c r="F125" s="365"/>
      <c r="G125" s="365"/>
      <c r="H125" s="365"/>
      <c r="I125" s="365"/>
      <c r="J125" s="365"/>
      <c r="K125" s="365"/>
      <c r="L125" s="365"/>
      <c r="M125" s="1137"/>
      <c r="N125" s="1137">
        <f>Paylater!Y48/10^9</f>
        <v>0</v>
      </c>
      <c r="O125" s="1137">
        <f>Paylater!Z48/10^9</f>
        <v>0.71265000000000001</v>
      </c>
      <c r="P125" s="1137">
        <f>Paylater!AA48/10^9</f>
        <v>0.28120657199999999</v>
      </c>
      <c r="Q125" s="1137"/>
      <c r="R125" s="1137">
        <f t="shared" si="155"/>
        <v>-0.43144342800000002</v>
      </c>
      <c r="S125" s="1137"/>
      <c r="T125" s="1137">
        <f>Paylater!M48/10^9</f>
        <v>0.99385657199999999</v>
      </c>
      <c r="U125" s="1137"/>
      <c r="V125" s="1137"/>
      <c r="W125" s="1136"/>
      <c r="X125" s="1118"/>
    </row>
    <row r="126" spans="2:26" s="404" customFormat="1" ht="12" customHeight="1">
      <c r="B126" s="409" t="s">
        <v>610</v>
      </c>
      <c r="C126" s="528">
        <f>Paylater!N43/10^9</f>
        <v>1.2690352E-2</v>
      </c>
      <c r="D126" s="528">
        <f>Paylater!O43/10^9</f>
        <v>0</v>
      </c>
      <c r="E126" s="365">
        <f>Paylater!P43/10^9</f>
        <v>7.0114089999999997E-3</v>
      </c>
      <c r="F126" s="386">
        <f>Paylater!Q43/10^9</f>
        <v>1.68489005E-2</v>
      </c>
      <c r="G126" s="365">
        <f>Paylater!R43/10^9</f>
        <v>5.2420122E-2</v>
      </c>
      <c r="H126" s="365">
        <f>Paylater!S43/10^9</f>
        <v>7.2292016000000001E-2</v>
      </c>
      <c r="I126" s="365">
        <f>Paylater!T43/10^9</f>
        <v>5.9487335000000002E-2</v>
      </c>
      <c r="J126" s="365">
        <f>Paylater!U43/10^9</f>
        <v>4.5819480000000003E-2</v>
      </c>
      <c r="K126" s="365">
        <f>Paylater!V43/10^9</f>
        <v>6.1188686999999999E-2</v>
      </c>
      <c r="L126" s="365">
        <f>Paylater!W43/10^9</f>
        <v>6.2134456999999997E-2</v>
      </c>
      <c r="M126" s="1137">
        <f>Paylater!X43/10^9</f>
        <v>0.16964552799999999</v>
      </c>
      <c r="N126" s="1137">
        <f>Paylater!Y43/10^9</f>
        <v>0.56803940687091992</v>
      </c>
      <c r="O126" s="1137">
        <f>Paylater!Z43/10^9</f>
        <v>0.4973929040704802</v>
      </c>
      <c r="P126" s="1137">
        <f>Paylater!AA43/10^9</f>
        <v>0.48382559629218003</v>
      </c>
      <c r="Q126" s="1137">
        <f>'BG 2025 CC_PL'!BC344</f>
        <v>0</v>
      </c>
      <c r="R126" s="1137">
        <f t="shared" si="155"/>
        <v>-1.3567307778300175E-2</v>
      </c>
      <c r="S126" s="1137">
        <f>P126-Q126</f>
        <v>0.48382559629218003</v>
      </c>
      <c r="T126" s="1137">
        <f>Paylater!M43/10^9</f>
        <v>2.0961058417335803</v>
      </c>
      <c r="U126" s="1137">
        <f>SUM('BG 2025 CC_PL'!AR344:BC344)</f>
        <v>0</v>
      </c>
      <c r="V126" s="1137">
        <f>SUM('BG 2025 CC_PL'!AR344:BC344)</f>
        <v>0</v>
      </c>
      <c r="W126" s="1137">
        <f t="shared" si="139"/>
        <v>2.0961058417335803</v>
      </c>
      <c r="X126" s="1321">
        <v>0</v>
      </c>
    </row>
    <row r="127" spans="2:26" s="414" customFormat="1" ht="12" customHeight="1">
      <c r="B127" s="352" t="s">
        <v>136</v>
      </c>
      <c r="C127" s="527">
        <f>Paylater!N40/10^9</f>
        <v>0.30586003899999997</v>
      </c>
      <c r="D127" s="527">
        <f>Paylater!O40/10^9</f>
        <v>0.56080185699999996</v>
      </c>
      <c r="E127" s="362">
        <f>Paylater!P40/10^9</f>
        <v>0.742168104</v>
      </c>
      <c r="F127" s="560">
        <f>Paylater!Q40/10^9</f>
        <v>1.084168166</v>
      </c>
      <c r="G127" s="367">
        <f>Paylater!R40/10^9</f>
        <v>1.563124996</v>
      </c>
      <c r="H127" s="367">
        <f>Paylater!S40/10^9</f>
        <v>0.89369831200000005</v>
      </c>
      <c r="I127" s="367">
        <f>Paylater!T40/10^9</f>
        <v>1.5739406760000001</v>
      </c>
      <c r="J127" s="367">
        <f>Paylater!U40/10^9</f>
        <v>2.3353559759999998</v>
      </c>
      <c r="K127" s="367">
        <f>Paylater!V40/10^9</f>
        <v>1.9616482209999999</v>
      </c>
      <c r="L127" s="367">
        <f>Paylater!W40/10^9</f>
        <v>3.5870254290000001</v>
      </c>
      <c r="M127" s="1138">
        <f>Paylater!X40/10^9</f>
        <v>5.2944031379999998</v>
      </c>
      <c r="N127" s="1138">
        <f>Paylater!Y40/10^9</f>
        <v>6.6862139149999997</v>
      </c>
      <c r="O127" s="1138">
        <f>Paylater!Z40/10^9</f>
        <v>4.7367054599999996</v>
      </c>
      <c r="P127" s="1138">
        <f>Paylater!AA40/10^9</f>
        <v>7.3922772590000001</v>
      </c>
      <c r="Q127" s="1136">
        <f>-'BG 2025 CC_PL'!BC334</f>
        <v>3.6604531090478223</v>
      </c>
      <c r="R127" s="1136">
        <f t="shared" si="155"/>
        <v>2.6555717990000005</v>
      </c>
      <c r="S127" s="1136">
        <f>P127-Q127</f>
        <v>3.7318241499521778</v>
      </c>
      <c r="T127" s="1138">
        <f>Paylater!M40/10^9</f>
        <v>37.850729651999998</v>
      </c>
      <c r="U127" s="1136">
        <f>-SUM('BG 2025 CC_PL'!AR334:BC334)</f>
        <v>24.873425187372831</v>
      </c>
      <c r="V127" s="1138">
        <f>-SUM('BG 2025 CC_PL'!AR334:BC334)</f>
        <v>24.873425187372831</v>
      </c>
      <c r="W127" s="1138">
        <f t="shared" si="139"/>
        <v>12.977304464627167</v>
      </c>
      <c r="X127" s="1379">
        <f>T127/V127</f>
        <v>1.5217337124609274</v>
      </c>
      <c r="Z127" s="831"/>
    </row>
    <row r="128" spans="2:26" s="404" customFormat="1" ht="12" customHeight="1">
      <c r="B128" s="352" t="s">
        <v>611</v>
      </c>
      <c r="C128" s="770">
        <f>Paylater!N21</f>
        <v>0.20771760711753648</v>
      </c>
      <c r="D128" s="770">
        <f>Paylater!O21</f>
        <v>0.19702245922417691</v>
      </c>
      <c r="E128" s="770">
        <f>Paylater!P21</f>
        <v>0.17749621549027261</v>
      </c>
      <c r="F128" s="788">
        <f>Paylater!Q21</f>
        <v>0.16538783565889276</v>
      </c>
      <c r="G128" s="788">
        <f>Paylater!R21</f>
        <v>0.24360066581614526</v>
      </c>
      <c r="H128" s="788">
        <f>Paylater!S21</f>
        <v>0.21826557713844505</v>
      </c>
      <c r="I128" s="439">
        <f>Paylater!T21</f>
        <v>0.19555141108909971</v>
      </c>
      <c r="J128" s="788">
        <f>Paylater!U21</f>
        <v>0.16372242548432775</v>
      </c>
      <c r="K128" s="788">
        <f>Paylater!V21</f>
        <v>0.1560842734141823</v>
      </c>
      <c r="L128" s="1328">
        <f>Paylater!W21</f>
        <v>0.15066948015393744</v>
      </c>
      <c r="M128" s="1328">
        <f>Paylater!X21</f>
        <v>0.16692312390214276</v>
      </c>
      <c r="N128" s="1328">
        <f>Paylater!Y21</f>
        <v>0.17558846935390629</v>
      </c>
      <c r="O128" s="1328">
        <f>Paylater!Z21</f>
        <v>0.17070142962588128</v>
      </c>
      <c r="P128" s="1328">
        <f>Paylater!AA21</f>
        <v>0.1724462236425954</v>
      </c>
      <c r="Q128" s="1138"/>
      <c r="R128" s="1188">
        <f t="shared" si="155"/>
        <v>1.744794016714124E-3</v>
      </c>
      <c r="S128" s="1137"/>
      <c r="T128" s="1138"/>
      <c r="U128" s="1138"/>
      <c r="V128" s="1138"/>
      <c r="W128" s="1138"/>
      <c r="X128" s="1379"/>
    </row>
    <row r="129" spans="2:24" s="404" customFormat="1" ht="12" hidden="1" customHeight="1">
      <c r="B129" s="352" t="s">
        <v>212</v>
      </c>
      <c r="C129" s="770"/>
      <c r="D129" s="770"/>
      <c r="E129" s="770"/>
      <c r="F129" s="788"/>
      <c r="G129" s="788"/>
      <c r="H129" s="788"/>
      <c r="I129" s="439"/>
      <c r="J129" s="788"/>
      <c r="K129" s="525"/>
      <c r="L129" s="1328"/>
      <c r="M129" s="1328"/>
      <c r="N129" s="1328"/>
      <c r="O129" s="1328"/>
      <c r="P129" s="1328"/>
      <c r="Q129" s="376"/>
      <c r="R129" s="1188">
        <f t="shared" si="155"/>
        <v>0</v>
      </c>
      <c r="S129" s="1137"/>
      <c r="T129" s="376"/>
      <c r="U129" s="376"/>
      <c r="V129" s="376"/>
      <c r="W129" s="1138"/>
      <c r="X129" s="1379"/>
    </row>
    <row r="130" spans="2:24" s="404" customFormat="1" ht="12" customHeight="1">
      <c r="B130" s="352" t="s">
        <v>538</v>
      </c>
      <c r="C130" s="770">
        <f>Paylater!N23</f>
        <v>0.1</v>
      </c>
      <c r="D130" s="770">
        <f>Paylater!O23</f>
        <v>0.13582813522149201</v>
      </c>
      <c r="E130" s="770">
        <f>Paylater!P23</f>
        <v>0.13500868907796862</v>
      </c>
      <c r="F130" s="788">
        <f>Paylater!Q23</f>
        <v>0.11958951100685612</v>
      </c>
      <c r="G130" s="788">
        <f>Paylater!R23</f>
        <v>0.15702789578566409</v>
      </c>
      <c r="H130" s="788">
        <f>Paylater!S23</f>
        <v>0.162224439842588</v>
      </c>
      <c r="I130" s="439">
        <f>Paylater!T23</f>
        <v>0.19604884817969387</v>
      </c>
      <c r="J130" s="788">
        <f>Paylater!U23</f>
        <v>0.24527438028181653</v>
      </c>
      <c r="K130" s="788">
        <f>Paylater!V23</f>
        <v>0.22316501420539772</v>
      </c>
      <c r="L130" s="1328">
        <f>Paylater!W23</f>
        <v>0.22030927834756492</v>
      </c>
      <c r="M130" s="1328">
        <f>Paylater!X23</f>
        <v>0.23896049088276594</v>
      </c>
      <c r="N130" s="1328">
        <f>Paylater!Y23</f>
        <v>0.13334021899096729</v>
      </c>
      <c r="O130" s="1328">
        <f>Paylater!Z23</f>
        <v>9.487696811625268E-2</v>
      </c>
      <c r="P130" s="1328">
        <f>Paylater!AA23</f>
        <v>0.11244328481246682</v>
      </c>
      <c r="Q130" s="1379"/>
      <c r="R130" s="1188">
        <f t="shared" si="155"/>
        <v>1.756631669621414E-2</v>
      </c>
      <c r="S130" s="1137"/>
      <c r="T130" s="376"/>
      <c r="U130" s="1328"/>
      <c r="V130" s="376"/>
      <c r="W130" s="1138"/>
      <c r="X130" s="1379"/>
    </row>
    <row r="131" spans="2:24" s="404" customFormat="1" ht="12" customHeight="1" thickBot="1">
      <c r="B131" s="357" t="s">
        <v>537</v>
      </c>
      <c r="C131" s="771"/>
      <c r="D131" s="771">
        <v>8.7097586070762054E-2</v>
      </c>
      <c r="E131" s="771">
        <v>0.10095140108019793</v>
      </c>
      <c r="F131" s="520">
        <v>9.2732419996999438E-2</v>
      </c>
      <c r="G131" s="520">
        <f>Paylater!R17/Paylater!R10</f>
        <v>0.11604920861381568</v>
      </c>
      <c r="H131" s="520">
        <f>Paylater!S17/Paylater!S10</f>
        <v>0.1350024144373404</v>
      </c>
      <c r="I131" s="520">
        <f>Paylater!T17/Paylater!T10</f>
        <v>0.15347391249812825</v>
      </c>
      <c r="J131" s="520">
        <f>Paylater!U17/Paylater!U10</f>
        <v>0.19643579026635336</v>
      </c>
      <c r="K131" s="520">
        <f>Paylater!V17/Paylater!V10</f>
        <v>0.19120948782988209</v>
      </c>
      <c r="L131" s="1329">
        <f>Paylater!W17/Paylater!W10</f>
        <v>0.18949912761705343</v>
      </c>
      <c r="M131" s="1329">
        <f>Paylater!X17/Paylater!X10</f>
        <v>0.18881634078868625</v>
      </c>
      <c r="N131" s="1329">
        <f>Paylater!Y17/Paylater!Y10</f>
        <v>9.2283948467806409E-2</v>
      </c>
      <c r="O131" s="1329">
        <f>Paylater!Z17/Paylater!Z10</f>
        <v>5.0544382742170352E-2</v>
      </c>
      <c r="P131" s="1329">
        <f>Paylater!AA17/Paylater!AA10</f>
        <v>5.0580860078121286E-2</v>
      </c>
      <c r="Q131" s="1329">
        <f>'BG 2025 CC_PL'!BC348</f>
        <v>9.0595633637654951E-2</v>
      </c>
      <c r="R131" s="1380">
        <f t="shared" si="155"/>
        <v>3.6477335950933776E-5</v>
      </c>
      <c r="S131" s="377"/>
      <c r="T131" s="377"/>
      <c r="U131" s="1329"/>
      <c r="V131" s="377"/>
      <c r="W131" s="1381"/>
      <c r="X131" s="1139"/>
    </row>
    <row r="132" spans="2:24" s="404" customFormat="1" ht="12" customHeight="1" thickTop="1">
      <c r="B132" s="352" t="s">
        <v>236</v>
      </c>
      <c r="C132" s="527">
        <f>C111-C119-C127-C126</f>
        <v>-2.9021293708915583E-2</v>
      </c>
      <c r="D132" s="527">
        <f t="shared" ref="D132:H132" si="158">D111-D119-D127-D126</f>
        <v>-0.40130383082962806</v>
      </c>
      <c r="E132" s="362">
        <f t="shared" si="158"/>
        <v>-0.41275760449423859</v>
      </c>
      <c r="F132" s="362">
        <f t="shared" si="158"/>
        <v>-1.3147618581930232</v>
      </c>
      <c r="G132" s="362">
        <f t="shared" si="158"/>
        <v>-0.96129731472859714</v>
      </c>
      <c r="H132" s="362">
        <f t="shared" si="158"/>
        <v>-0.45802975699587556</v>
      </c>
      <c r="I132" s="362">
        <f t="shared" ref="I132:Q132" si="159">I111-I119-I127</f>
        <v>-0.92140428584714917</v>
      </c>
      <c r="J132" s="362">
        <f t="shared" si="159"/>
        <v>-1.6016620834199071</v>
      </c>
      <c r="K132" s="362">
        <f t="shared" si="159"/>
        <v>-1.1520115350334623</v>
      </c>
      <c r="L132" s="362">
        <f t="shared" si="159"/>
        <v>-2.2201569666714911</v>
      </c>
      <c r="M132" s="1136">
        <f t="shared" si="159"/>
        <v>-3.3540145460087554</v>
      </c>
      <c r="N132" s="1136">
        <f t="shared" si="159"/>
        <v>-4.6785901195869224</v>
      </c>
      <c r="O132" s="574">
        <f t="shared" si="159"/>
        <v>-2.6462742384544868</v>
      </c>
      <c r="P132" s="1136">
        <f t="shared" si="159"/>
        <v>-4.7176440375476396</v>
      </c>
      <c r="Q132" s="1136">
        <f t="shared" si="159"/>
        <v>-2.1390168822095061</v>
      </c>
      <c r="R132" s="1136">
        <f t="shared" si="155"/>
        <v>-2.0713697990931528</v>
      </c>
      <c r="S132" s="1136">
        <f>P132-Q132</f>
        <v>-2.5786271553381335</v>
      </c>
      <c r="T132" s="1136">
        <f>T111-T119-T127</f>
        <v>-24.434726284981547</v>
      </c>
      <c r="U132" s="1136">
        <f>U111-U119-U127</f>
        <v>-17.788319285689532</v>
      </c>
      <c r="V132" s="1136">
        <f>V111-V119-V127</f>
        <v>-17.788319285689532</v>
      </c>
      <c r="W132" s="1136">
        <f>W111-W119-W127</f>
        <v>-6.6464069992920134</v>
      </c>
      <c r="X132" s="1402">
        <f>T132/V132</f>
        <v>1.3736388408903231</v>
      </c>
    </row>
    <row r="133" spans="2:24" s="404" customFormat="1" ht="14">
      <c r="D133" s="424"/>
      <c r="E133" s="571"/>
      <c r="I133" s="412"/>
      <c r="R133" s="432"/>
    </row>
    <row r="134" spans="2:24" s="404" customFormat="1" ht="14">
      <c r="H134" s="413"/>
      <c r="I134" s="413"/>
      <c r="J134" s="413"/>
      <c r="K134" s="413"/>
      <c r="L134" s="413"/>
      <c r="M134" s="413"/>
      <c r="N134" s="413"/>
      <c r="O134" s="413"/>
      <c r="P134" s="413"/>
    </row>
    <row r="135" spans="2:24" s="404" customFormat="1" ht="27.75" customHeight="1">
      <c r="B135" s="378" t="s">
        <v>612</v>
      </c>
      <c r="C135" s="90" t="s">
        <v>613</v>
      </c>
      <c r="D135" s="90" t="s">
        <v>614</v>
      </c>
      <c r="E135" s="579">
        <v>45658</v>
      </c>
      <c r="F135" s="579">
        <v>45689</v>
      </c>
      <c r="G135" s="579">
        <v>45717</v>
      </c>
      <c r="H135" s="579">
        <v>45748</v>
      </c>
      <c r="I135" s="579">
        <v>45778</v>
      </c>
      <c r="J135" s="579">
        <v>45809</v>
      </c>
      <c r="K135" s="579">
        <v>45839</v>
      </c>
      <c r="L135" s="579">
        <v>45870</v>
      </c>
      <c r="M135" s="579">
        <v>45901</v>
      </c>
      <c r="N135" s="579">
        <v>45931</v>
      </c>
      <c r="O135" s="579">
        <v>45962</v>
      </c>
      <c r="P135" s="579">
        <v>45992</v>
      </c>
      <c r="Q135" s="90" t="s">
        <v>575</v>
      </c>
      <c r="R135" s="380" t="s">
        <v>172</v>
      </c>
      <c r="S135" s="380" t="s">
        <v>173</v>
      </c>
      <c r="T135" s="78" t="s">
        <v>615</v>
      </c>
      <c r="U135" s="78" t="s">
        <v>174</v>
      </c>
      <c r="V135" s="78" t="s">
        <v>175</v>
      </c>
      <c r="W135" s="381" t="s">
        <v>173</v>
      </c>
      <c r="X135" s="78" t="s">
        <v>576</v>
      </c>
    </row>
    <row r="136" spans="2:24" s="414" customFormat="1" ht="13" customHeight="1">
      <c r="B136" s="361" t="s">
        <v>80</v>
      </c>
      <c r="C136" s="492">
        <f>Sheet2!D7/10^9</f>
        <v>335.76762000000002</v>
      </c>
      <c r="D136" s="492">
        <f>Sheet2!E7/10^9</f>
        <v>364.06533000000002</v>
      </c>
      <c r="E136" s="492">
        <f>Sheet2!F7/10^9</f>
        <v>357.04995000000002</v>
      </c>
      <c r="F136" s="492">
        <f>Sheet2!G7/10^9</f>
        <v>266.70821000000001</v>
      </c>
      <c r="G136" s="492">
        <f>Sheet2!H7/10^9</f>
        <v>412.64192000000003</v>
      </c>
      <c r="H136" s="492">
        <f>Sheet2!I7/10^9</f>
        <v>519.90500999999995</v>
      </c>
      <c r="I136" s="492">
        <f>Sheet2!J7/10^9</f>
        <v>553.55529000000001</v>
      </c>
      <c r="J136" s="492">
        <f>Sheet2!K7/10^9</f>
        <v>640.59497999999996</v>
      </c>
      <c r="K136" s="492">
        <f>Sheet2!L7/10^9</f>
        <v>913.80154000000005</v>
      </c>
      <c r="L136" s="492">
        <f>Sheet2!M7/10^9</f>
        <v>847.45432000000005</v>
      </c>
      <c r="M136" s="492">
        <f>Sheet2!N7/10^9</f>
        <v>1159.8267800000001</v>
      </c>
      <c r="N136" s="492">
        <f>Sheet2!O7/10^9</f>
        <v>1240.75281</v>
      </c>
      <c r="O136" s="492">
        <f>Sheet2!P7/10^9</f>
        <v>1332.39544</v>
      </c>
      <c r="P136" s="492">
        <f>Sheet2!Q7/10^9</f>
        <v>1364.7344800000001</v>
      </c>
      <c r="Q136" s="450">
        <f>BG_25_LEND!BE59</f>
        <v>973.49999999999989</v>
      </c>
      <c r="R136" s="450">
        <f>P136-O136</f>
        <v>32.339040000000068</v>
      </c>
      <c r="S136" s="450">
        <f>P136-Q136</f>
        <v>391.23448000000019</v>
      </c>
      <c r="T136" s="492">
        <f>Sheet2!C7/10^9</f>
        <v>9609.4207299999998</v>
      </c>
      <c r="U136" s="384">
        <f>V136</f>
        <v>7545.5249999999987</v>
      </c>
      <c r="V136" s="384">
        <f>BG_25_LEND!DE59</f>
        <v>7545.5249999999987</v>
      </c>
      <c r="W136" s="492">
        <f>T136-U136</f>
        <v>2063.8957300000011</v>
      </c>
      <c r="X136" s="385">
        <f>T136/V136</f>
        <v>1.2735257957531121</v>
      </c>
    </row>
    <row r="137" spans="2:24" s="414" customFormat="1" ht="13" customHeight="1">
      <c r="B137" s="361" t="s">
        <v>82</v>
      </c>
      <c r="C137" s="492">
        <f>Sheet2!D10/10^9</f>
        <v>1663.126743373</v>
      </c>
      <c r="D137" s="492">
        <f>Sheet2!E10/10^9</f>
        <v>1777.9693733439999</v>
      </c>
      <c r="E137" s="492">
        <f>Sheet2!F10/10^9</f>
        <v>1925.2586079119999</v>
      </c>
      <c r="F137" s="492">
        <f>Sheet2!G10/10^9</f>
        <v>1863.369305036</v>
      </c>
      <c r="G137" s="492">
        <f>Sheet2!H10/10^9</f>
        <v>1965.791861879</v>
      </c>
      <c r="H137" s="492">
        <f>Sheet2!I10/10^9</f>
        <v>2160.3370191479999</v>
      </c>
      <c r="I137" s="492">
        <f>Sheet2!J10/10^9</f>
        <v>2375.8697579029999</v>
      </c>
      <c r="J137" s="492">
        <f>Sheet2!K10/10^9</f>
        <v>2609.4723186880001</v>
      </c>
      <c r="K137" s="492">
        <f>Sheet2!L10/10^9</f>
        <v>3086.4231466850001</v>
      </c>
      <c r="L137" s="492">
        <f>Sheet2!M10/10^9</f>
        <v>3452.8609649310001</v>
      </c>
      <c r="M137" s="492">
        <f>Sheet2!N10/10^9</f>
        <v>4048.7570881470001</v>
      </c>
      <c r="N137" s="492">
        <f>Sheet2!O10/10^9</f>
        <v>4622.1436661199996</v>
      </c>
      <c r="O137" s="492">
        <f>Sheet2!P10/10^9</f>
        <v>5243.982808103</v>
      </c>
      <c r="P137" s="492">
        <f>Sheet2!Q10/10^9</f>
        <v>5801.0432118560002</v>
      </c>
      <c r="Q137" s="450">
        <f>BG_25_LEND!BE60</f>
        <v>5351.6661340829232</v>
      </c>
      <c r="R137" s="450">
        <f>P137-O137</f>
        <v>557.06040375300017</v>
      </c>
      <c r="S137" s="450">
        <f>P137-Q137</f>
        <v>449.37707777307696</v>
      </c>
      <c r="T137" s="384">
        <f>P137</f>
        <v>5801.0432118560002</v>
      </c>
      <c r="U137" s="384">
        <f>Q137</f>
        <v>5351.6661340829232</v>
      </c>
      <c r="V137" s="384">
        <f>BG_25_LEND!DE60</f>
        <v>5351.6661340829232</v>
      </c>
      <c r="W137" s="492">
        <f>T137-U137</f>
        <v>449.37707777307696</v>
      </c>
      <c r="X137" s="385">
        <f>T137/V137</f>
        <v>1.083969565087618</v>
      </c>
    </row>
    <row r="138" spans="2:24" s="415" customFormat="1" ht="13" customHeight="1">
      <c r="B138" s="409" t="s">
        <v>616</v>
      </c>
      <c r="C138" s="427">
        <f>C137-C139</f>
        <v>1327.3619825189999</v>
      </c>
      <c r="D138" s="427">
        <f t="shared" ref="D138:P138" si="160">D137-D139</f>
        <v>1403.4503726559999</v>
      </c>
      <c r="E138" s="427">
        <f t="shared" si="160"/>
        <v>1533.3332367039998</v>
      </c>
      <c r="F138" s="427">
        <f t="shared" si="160"/>
        <v>1503.968207335</v>
      </c>
      <c r="G138" s="427">
        <f t="shared" si="160"/>
        <v>1577.2872735619999</v>
      </c>
      <c r="H138" s="427">
        <f t="shared" si="160"/>
        <v>1784.106234204</v>
      </c>
      <c r="I138" s="427">
        <f t="shared" si="160"/>
        <v>1980.5918090119999</v>
      </c>
      <c r="J138" s="427">
        <f t="shared" si="160"/>
        <v>2175.9978522870001</v>
      </c>
      <c r="K138" s="427">
        <f t="shared" si="160"/>
        <v>2617.9897633099999</v>
      </c>
      <c r="L138" s="427">
        <f t="shared" si="160"/>
        <v>2943.9633195179999</v>
      </c>
      <c r="M138" s="427">
        <f t="shared" si="160"/>
        <v>3434.8948333560002</v>
      </c>
      <c r="N138" s="427">
        <f t="shared" si="160"/>
        <v>3979.2914803729996</v>
      </c>
      <c r="O138" s="427">
        <f t="shared" si="160"/>
        <v>4517.0975199670002</v>
      </c>
      <c r="P138" s="427">
        <f t="shared" si="160"/>
        <v>4921.0114439870003</v>
      </c>
      <c r="Q138" s="387"/>
      <c r="R138" s="387"/>
      <c r="S138" s="387"/>
      <c r="T138" s="389"/>
      <c r="U138" s="384"/>
      <c r="V138" s="389"/>
      <c r="W138" s="493"/>
      <c r="X138" s="390"/>
    </row>
    <row r="139" spans="2:24" s="415" customFormat="1" ht="13" customHeight="1">
      <c r="B139" s="409" t="s">
        <v>617</v>
      </c>
      <c r="C139" s="427">
        <f>Sheet2!D14/10^9</f>
        <v>335.76476085399997</v>
      </c>
      <c r="D139" s="427">
        <f>Sheet2!E14/10^9</f>
        <v>374.51900068800001</v>
      </c>
      <c r="E139" s="427">
        <f>Sheet2!F14/10^9</f>
        <v>391.925371208</v>
      </c>
      <c r="F139" s="427">
        <f>Sheet2!G14/10^9</f>
        <v>359.40109770100003</v>
      </c>
      <c r="G139" s="427">
        <f>Sheet2!H14/10^9</f>
        <v>388.50458831700001</v>
      </c>
      <c r="H139" s="427">
        <f>Sheet2!I14/10^9</f>
        <v>376.23078494399999</v>
      </c>
      <c r="I139" s="427">
        <f>Sheet2!J14/10^9</f>
        <v>395.27794889099999</v>
      </c>
      <c r="J139" s="427">
        <f>Sheet2!K14/10^9</f>
        <v>433.47446640099997</v>
      </c>
      <c r="K139" s="427">
        <f>Sheet2!L14/10^9</f>
        <v>468.43338337500001</v>
      </c>
      <c r="L139" s="427">
        <f>Sheet2!M14/10^9</f>
        <v>508.89764541300002</v>
      </c>
      <c r="M139" s="427">
        <f>Sheet2!N14/10^9</f>
        <v>613.86225479100005</v>
      </c>
      <c r="N139" s="427">
        <f>Sheet2!O14/10^9</f>
        <v>642.85218574700002</v>
      </c>
      <c r="O139" s="427">
        <f>Sheet2!P14/10^9</f>
        <v>726.88528813599999</v>
      </c>
      <c r="P139" s="427">
        <f>Sheet2!Q14/10^9</f>
        <v>880.03176786899996</v>
      </c>
      <c r="Q139" s="387"/>
      <c r="R139" s="387"/>
      <c r="S139" s="387"/>
      <c r="T139" s="389"/>
      <c r="U139" s="384"/>
      <c r="V139" s="389"/>
      <c r="W139" s="493"/>
      <c r="X139" s="390"/>
    </row>
    <row r="140" spans="2:24" s="415" customFormat="1" ht="13" hidden="1" customHeight="1">
      <c r="B140" s="409" t="s">
        <v>609</v>
      </c>
      <c r="C140" s="427">
        <f>Sheet2!D16/10^9</f>
        <v>162.07807482800001</v>
      </c>
      <c r="D140" s="427">
        <f>Sheet2!E16/10^9</f>
        <v>185.26143722</v>
      </c>
      <c r="E140" s="427">
        <f>Sheet2!F16/10^9</f>
        <v>179.73809591</v>
      </c>
      <c r="F140" s="427">
        <f>Sheet2!G16/10^9</f>
        <v>183.12500694400001</v>
      </c>
      <c r="G140" s="427">
        <f>Sheet2!H16/10^9</f>
        <v>193.18979002200001</v>
      </c>
      <c r="H140" s="427">
        <f>Sheet2!I16/10^9</f>
        <v>184.907698431</v>
      </c>
      <c r="I140" s="427">
        <f>Sheet2!J16/10^9</f>
        <v>189.77355597900001</v>
      </c>
      <c r="J140" s="427">
        <f>Sheet2!K16/10^9</f>
        <v>224.93617829300001</v>
      </c>
      <c r="K140" s="427">
        <f>Sheet2!L16/10^9</f>
        <v>262.27303379400001</v>
      </c>
      <c r="L140" s="427">
        <f>Sheet2!M16/10^9</f>
        <v>297.74002531500003</v>
      </c>
      <c r="M140" s="427">
        <f>Sheet2!N16/10^9</f>
        <v>377.03788392000001</v>
      </c>
      <c r="N140" s="427">
        <f>Sheet2!O16/10^9</f>
        <v>424.16856259899998</v>
      </c>
      <c r="O140" s="427">
        <f>Sheet2!P16/10^9</f>
        <v>490.111345594</v>
      </c>
      <c r="P140" s="427">
        <f>Sheet2!Q16/10^9</f>
        <v>594.42151414</v>
      </c>
      <c r="Q140" s="387"/>
      <c r="R140" s="387"/>
      <c r="S140" s="387"/>
      <c r="T140" s="389"/>
      <c r="U140" s="384"/>
      <c r="V140" s="389"/>
      <c r="W140" s="493"/>
      <c r="X140" s="390"/>
    </row>
    <row r="141" spans="2:24" s="404" customFormat="1" ht="13" customHeight="1">
      <c r="B141" s="361" t="s">
        <v>217</v>
      </c>
      <c r="C141" s="383">
        <f>C142+C143</f>
        <v>602.44192459499993</v>
      </c>
      <c r="D141" s="383">
        <f t="shared" ref="D141:Q141" si="161">D142+D143+D144</f>
        <v>67.274444903000003</v>
      </c>
      <c r="E141" s="383">
        <f t="shared" si="161"/>
        <v>72.44812847</v>
      </c>
      <c r="F141" s="383">
        <f t="shared" si="161"/>
        <v>63.843469606999996</v>
      </c>
      <c r="G141" s="383">
        <f t="shared" si="161"/>
        <v>79.661951204672675</v>
      </c>
      <c r="H141" s="383">
        <f t="shared" si="161"/>
        <v>89.130890663999992</v>
      </c>
      <c r="I141" s="383">
        <f t="shared" si="161"/>
        <v>97.491877975999998</v>
      </c>
      <c r="J141" s="383">
        <f t="shared" si="161"/>
        <v>111.07686733200001</v>
      </c>
      <c r="K141" s="383">
        <f t="shared" si="161"/>
        <v>138.76217572100001</v>
      </c>
      <c r="L141" s="383">
        <f t="shared" si="161"/>
        <v>153.38645804199999</v>
      </c>
      <c r="M141" s="383">
        <f t="shared" si="161"/>
        <v>181.78198911000001</v>
      </c>
      <c r="N141" s="383">
        <f>N142+N143+N144</f>
        <v>211.33400138599998</v>
      </c>
      <c r="O141" s="383">
        <f t="shared" si="161"/>
        <v>226.629915235</v>
      </c>
      <c r="P141" s="383">
        <f t="shared" si="161"/>
        <v>252.91222279000002</v>
      </c>
      <c r="Q141" s="383">
        <f t="shared" si="161"/>
        <v>192.31637184000067</v>
      </c>
      <c r="R141" s="383">
        <f>R142+R143+R144</f>
        <v>26.28230755500001</v>
      </c>
      <c r="S141" s="383">
        <f>S142+S143+S144</f>
        <v>60.59585094999931</v>
      </c>
      <c r="T141" s="384">
        <f>T142+T143+T144</f>
        <v>1678.4599475376726</v>
      </c>
      <c r="U141" s="384">
        <f>U142+U143+U144</f>
        <v>1477.1434846831478</v>
      </c>
      <c r="V141" s="384">
        <f>V142+V143+V144</f>
        <v>1477.1434846831478</v>
      </c>
      <c r="W141" s="382">
        <f>T141-U141</f>
        <v>201.31646285452484</v>
      </c>
      <c r="X141" s="385">
        <f>T141/V141</f>
        <v>1.1362876829109854</v>
      </c>
    </row>
    <row r="142" spans="2:24" s="404" customFormat="1" ht="13" customHeight="1">
      <c r="B142" s="409" t="s">
        <v>618</v>
      </c>
      <c r="C142" s="391">
        <f>Sheet2!D20/10^9</f>
        <v>42.791779357999999</v>
      </c>
      <c r="D142" s="391">
        <f>Sheet2!E20/10^9</f>
        <v>47.221789360000002</v>
      </c>
      <c r="E142" s="391">
        <f>Sheet2!F20/10^9</f>
        <v>52.905172894000003</v>
      </c>
      <c r="F142" s="391">
        <f>Sheet2!G20/10^9</f>
        <v>48.964464532999997</v>
      </c>
      <c r="G142" s="391">
        <f>Sheet2!H20/10^9</f>
        <v>56.105890255672669</v>
      </c>
      <c r="H142" s="391">
        <f>Sheet2!I20/10^9</f>
        <v>59.785776460000001</v>
      </c>
      <c r="I142" s="391">
        <f>Sheet2!J20/10^9</f>
        <v>67.939453397999998</v>
      </c>
      <c r="J142" s="391">
        <f>Sheet2!K20/10^9</f>
        <v>73.495097298000005</v>
      </c>
      <c r="K142" s="391">
        <f>Sheet2!L20/10^9</f>
        <v>87.751771704999996</v>
      </c>
      <c r="L142" s="391">
        <f>Sheet2!M20/10^9</f>
        <v>101.292392396</v>
      </c>
      <c r="M142" s="391">
        <f>Sheet2!N20/10^9</f>
        <v>111.845176219</v>
      </c>
      <c r="N142" s="391">
        <f>Sheet2!O20/10^9</f>
        <v>133.372337055</v>
      </c>
      <c r="O142" s="391">
        <f>Sheet2!P20/10^9</f>
        <v>144.71081374799999</v>
      </c>
      <c r="P142" s="391">
        <f>Sheet2!Q20/10^9</f>
        <v>167.541880972</v>
      </c>
      <c r="Q142" s="391">
        <f>BG_25_LEND!BE64</f>
        <v>142.89002720388174</v>
      </c>
      <c r="R142" s="391">
        <f>P142-O142</f>
        <v>22.831067224000009</v>
      </c>
      <c r="S142" s="391">
        <f>P142-Q142</f>
        <v>24.651853768118258</v>
      </c>
      <c r="T142" s="391">
        <f>Sheet2!C20/10^9</f>
        <v>1105.7102269336726</v>
      </c>
      <c r="U142" s="425">
        <f>V142</f>
        <v>1097.8939330006078</v>
      </c>
      <c r="V142" s="425">
        <f>BG_25_LEND!DE64</f>
        <v>1097.8939330006078</v>
      </c>
      <c r="W142" s="386">
        <f t="shared" ref="W142:W160" si="162">T142-U142</f>
        <v>7.8162939330647987</v>
      </c>
      <c r="X142" s="392">
        <f>T142/V142</f>
        <v>1.0071193525149578</v>
      </c>
    </row>
    <row r="143" spans="2:24" s="404" customFormat="1" ht="13" customHeight="1">
      <c r="B143" s="409" t="s">
        <v>619</v>
      </c>
      <c r="C143" s="391">
        <f>Sheet2!D25/10^9</f>
        <v>559.65014523699995</v>
      </c>
      <c r="D143" s="391">
        <f>Sheet2!E25/10^9</f>
        <v>20.046415070999998</v>
      </c>
      <c r="E143" s="391">
        <f>Sheet2!F25/10^9</f>
        <v>19.525655638</v>
      </c>
      <c r="F143" s="391">
        <f>Sheet2!G25/10^9</f>
        <v>14.764350635</v>
      </c>
      <c r="G143" s="391">
        <f>Sheet2!H25/10^9</f>
        <v>22.950014536000001</v>
      </c>
      <c r="H143" s="391">
        <f>Sheet2!I25/10^9</f>
        <v>28.823422605000001</v>
      </c>
      <c r="I143" s="391">
        <f>Sheet2!J25/10^9</f>
        <v>28.757815681</v>
      </c>
      <c r="J143" s="391">
        <f>Sheet2!K25/10^9</f>
        <v>36.531285001000001</v>
      </c>
      <c r="K143" s="391">
        <f>Sheet2!L25/10^9</f>
        <v>49.591351750999998</v>
      </c>
      <c r="L143" s="391">
        <f>Sheet2!M25/10^9</f>
        <v>50.659711815999998</v>
      </c>
      <c r="M143" s="391">
        <f>Sheet2!N25/10^9</f>
        <v>68.521806415</v>
      </c>
      <c r="N143" s="391">
        <f>Sheet2!O25/10^9</f>
        <v>76.168193919999993</v>
      </c>
      <c r="O143" s="391">
        <f>Sheet2!P25/10^9</f>
        <v>80.356855851999995</v>
      </c>
      <c r="P143" s="391">
        <f>Sheet2!Q25/10^9</f>
        <v>82.999681386999995</v>
      </c>
      <c r="Q143" s="391">
        <f>BG_25_LEND!BE67-Q144</f>
        <v>49.189575000000005</v>
      </c>
      <c r="R143" s="391">
        <f>P143-O143</f>
        <v>2.6428255350000001</v>
      </c>
      <c r="S143" s="391">
        <f>P143-Q143</f>
        <v>33.81010638699999</v>
      </c>
      <c r="T143" s="391">
        <f>Sheet2!C25/10^9</f>
        <v>559.65014523699995</v>
      </c>
      <c r="U143" s="391">
        <f>V143</f>
        <v>377.29885125000004</v>
      </c>
      <c r="V143" s="391">
        <f>BG_25_LEND!DE67-V144</f>
        <v>377.29885125000004</v>
      </c>
      <c r="W143" s="386">
        <f>T143-U143</f>
        <v>182.35129398699991</v>
      </c>
      <c r="X143" s="392">
        <f>T143/V143</f>
        <v>1.4833073129771419</v>
      </c>
    </row>
    <row r="144" spans="2:24" s="404" customFormat="1" ht="13" customHeight="1">
      <c r="B144" s="409" t="s">
        <v>620</v>
      </c>
      <c r="C144" s="391">
        <f>Sheet2!D29/10^9</f>
        <v>0</v>
      </c>
      <c r="D144" s="391">
        <f>Sheet2!E29/10^9</f>
        <v>6.2404720000000004E-3</v>
      </c>
      <c r="E144" s="391">
        <f>Sheet2!F29/10^9</f>
        <v>1.7299938000000001E-2</v>
      </c>
      <c r="F144" s="391">
        <f>Sheet2!G29/10^9</f>
        <v>0.114654439</v>
      </c>
      <c r="G144" s="391">
        <f>Sheet2!H29/10^9</f>
        <v>0.60604641299999995</v>
      </c>
      <c r="H144" s="391">
        <f>Sheet2!I29/10^9</f>
        <v>0.52169159899999995</v>
      </c>
      <c r="I144" s="391">
        <f>Sheet2!J29/10^9</f>
        <v>0.79460889700000004</v>
      </c>
      <c r="J144" s="391">
        <f>Sheet2!K29/10^9</f>
        <v>1.050485033</v>
      </c>
      <c r="K144" s="391">
        <f>Sheet2!L29/10^9</f>
        <v>1.4190522649999999</v>
      </c>
      <c r="L144" s="391">
        <f>Sheet2!M29/10^9</f>
        <v>1.4343538300000001</v>
      </c>
      <c r="M144" s="391">
        <f>Sheet2!N29/10^9</f>
        <v>1.4150064760000001</v>
      </c>
      <c r="N144" s="391">
        <f>Sheet2!O29/10^9</f>
        <v>1.7934704109999999</v>
      </c>
      <c r="O144" s="391">
        <f>Sheet2!P29/10^9</f>
        <v>1.562245635</v>
      </c>
      <c r="P144" s="391">
        <f>Sheet2!Q29/10^9</f>
        <v>2.3706604310000001</v>
      </c>
      <c r="Q144" s="391">
        <f>BG_25_LEND!BE73</f>
        <v>0.23676963611893598</v>
      </c>
      <c r="R144" s="391">
        <f>P144-O144</f>
        <v>0.8084147960000001</v>
      </c>
      <c r="S144" s="391">
        <f>P144-Q144</f>
        <v>2.1338907948810641</v>
      </c>
      <c r="T144" s="391">
        <f>Sheet2!C29/10^9</f>
        <v>13.099575367</v>
      </c>
      <c r="U144" s="391">
        <f>V144</f>
        <v>1.9507004325398043</v>
      </c>
      <c r="V144" s="391">
        <f>BG_25_LEND!DE73</f>
        <v>1.9507004325398043</v>
      </c>
      <c r="W144" s="386">
        <f>T144-U144</f>
        <v>11.148874934460196</v>
      </c>
      <c r="X144" s="392">
        <f>T144/V144</f>
        <v>6.7153188405994273</v>
      </c>
    </row>
    <row r="145" spans="2:26" s="414" customFormat="1" ht="13" customHeight="1">
      <c r="B145" s="361" t="s">
        <v>621</v>
      </c>
      <c r="C145" s="383">
        <f>Sheet2!D30/10^9</f>
        <v>16.513141633</v>
      </c>
      <c r="D145" s="383">
        <f>Sheet2!E30/10^9</f>
        <v>23.752078871999998</v>
      </c>
      <c r="E145" s="383">
        <f>Sheet2!F30/10^9</f>
        <v>55.301753056999999</v>
      </c>
      <c r="F145" s="383">
        <f>Sheet2!G30/10^9</f>
        <v>37.430629384</v>
      </c>
      <c r="G145" s="383">
        <f>Sheet2!H30/10^9</f>
        <v>45.279395127999997</v>
      </c>
      <c r="H145" s="383">
        <f>Sheet2!I30/10^9</f>
        <v>32.170289324000002</v>
      </c>
      <c r="I145" s="383">
        <f>Sheet2!J30/10^9</f>
        <v>52.529617864000002</v>
      </c>
      <c r="J145" s="383">
        <f>Sheet2!K30/10^9</f>
        <v>50.388423621999998</v>
      </c>
      <c r="K145" s="383">
        <f>Sheet2!L30/10^9</f>
        <v>42.280600683999999</v>
      </c>
      <c r="L145" s="383">
        <f>Sheet2!M30/10^9</f>
        <v>58.964410430999997</v>
      </c>
      <c r="M145" s="383">
        <f>Sheet2!N30/10^9</f>
        <v>79.115698465999998</v>
      </c>
      <c r="N145" s="383">
        <f>Sheet2!O30/10^9</f>
        <v>74.759341724999999</v>
      </c>
      <c r="O145" s="383">
        <f>Sheet2!P30/10^9</f>
        <v>96.800353317000003</v>
      </c>
      <c r="P145" s="383">
        <f>Sheet2!Q30/10^9</f>
        <v>127.327084825</v>
      </c>
      <c r="Q145" s="383">
        <f>-BG_25_LEND!BE79</f>
        <v>88.862752139827592</v>
      </c>
      <c r="R145" s="450">
        <f>P145-O145</f>
        <v>30.526731507999997</v>
      </c>
      <c r="S145" s="559">
        <f>P145-Q145</f>
        <v>38.464332685172408</v>
      </c>
      <c r="T145" s="383">
        <f>Sheet2!C30/10^9</f>
        <v>752.34759782699996</v>
      </c>
      <c r="U145" s="382">
        <f>V145</f>
        <v>761.76718618248105</v>
      </c>
      <c r="V145" s="383">
        <f>-BG_25_LEND!DE79</f>
        <v>761.76718618248105</v>
      </c>
      <c r="W145" s="382">
        <f t="shared" si="162"/>
        <v>-9.4195883554810962</v>
      </c>
      <c r="X145" s="385">
        <f t="shared" ref="X145:X155" si="163">T145/V145</f>
        <v>0.98763455747853035</v>
      </c>
    </row>
    <row r="146" spans="2:26" s="414" customFormat="1" ht="13" customHeight="1">
      <c r="B146" s="361" t="s">
        <v>622</v>
      </c>
      <c r="C146" s="383">
        <f>SUM(C147:C154)</f>
        <v>15.181482827714023</v>
      </c>
      <c r="D146" s="383">
        <f t="shared" ref="D146:P146" si="164">SUM(D147:D154)</f>
        <v>14.620181304418653</v>
      </c>
      <c r="E146" s="383">
        <f t="shared" si="164"/>
        <v>13.197475166776192</v>
      </c>
      <c r="F146" s="383">
        <f t="shared" si="164"/>
        <v>13.236317685364208</v>
      </c>
      <c r="G146" s="383">
        <f t="shared" si="164"/>
        <v>13.53668055993572</v>
      </c>
      <c r="H146" s="383">
        <f t="shared" si="164"/>
        <v>24.292594939094222</v>
      </c>
      <c r="I146" s="383">
        <f t="shared" si="164"/>
        <v>18.68465494754961</v>
      </c>
      <c r="J146" s="383">
        <f t="shared" si="164"/>
        <v>25.547484264829976</v>
      </c>
      <c r="K146" s="383">
        <f t="shared" si="164"/>
        <v>40.946158247983917</v>
      </c>
      <c r="L146" s="383">
        <f t="shared" si="164"/>
        <v>32.327099095018355</v>
      </c>
      <c r="M146" s="383">
        <f t="shared" si="164"/>
        <v>42.351922074988003</v>
      </c>
      <c r="N146" s="383">
        <f t="shared" si="164"/>
        <v>47.519624402175104</v>
      </c>
      <c r="O146" s="383">
        <f t="shared" si="164"/>
        <v>51.450514632256883</v>
      </c>
      <c r="P146" s="383">
        <f t="shared" si="164"/>
        <v>56.957045907238729</v>
      </c>
      <c r="Q146" s="383">
        <f>SUM(Q147:Q154)</f>
        <v>48.5382204224682</v>
      </c>
      <c r="R146" s="383">
        <f>SUM(R147:R154)</f>
        <v>5.5065312749818309</v>
      </c>
      <c r="S146" s="383">
        <f>SUM(S147:S154)</f>
        <v>8.4188254847705188</v>
      </c>
      <c r="T146" s="383">
        <f t="shared" ref="T146:U146" si="165">SUM(T147:T154)</f>
        <v>380.04757192321085</v>
      </c>
      <c r="U146" s="383">
        <f t="shared" si="165"/>
        <v>377.25927605851399</v>
      </c>
      <c r="V146" s="383">
        <f>SUM(V147:V154)</f>
        <v>377.25927605851399</v>
      </c>
      <c r="W146" s="383">
        <f>SUM(W147:W154)</f>
        <v>2.7882958646969191</v>
      </c>
      <c r="X146" s="385">
        <f>T146/V146</f>
        <v>1.0073909272525465</v>
      </c>
    </row>
    <row r="147" spans="2:26" s="414" customFormat="1" ht="13" customHeight="1">
      <c r="B147" s="409" t="s">
        <v>231</v>
      </c>
      <c r="C147" s="391">
        <f>Sheet2!D32/10^9</f>
        <v>10.923385146999999</v>
      </c>
      <c r="D147" s="391">
        <f>Sheet2!E32/10^9</f>
        <v>9.1668533120000006</v>
      </c>
      <c r="E147" s="391">
        <f>Sheet2!F32/10^9</f>
        <v>8.1948013999999993</v>
      </c>
      <c r="F147" s="391">
        <f>Sheet2!G32/10^9</f>
        <v>8.7394792070000005</v>
      </c>
      <c r="G147" s="391">
        <f>Sheet2!H32/10^9</f>
        <v>8.6854060470000007</v>
      </c>
      <c r="H147" s="391">
        <f>Sheet2!I32/10^9</f>
        <v>18.537863223999999</v>
      </c>
      <c r="I147" s="391">
        <f>Sheet2!J32/10^9</f>
        <v>13.377977067</v>
      </c>
      <c r="J147" s="391">
        <f>Sheet2!K32/10^9</f>
        <v>19.322962075</v>
      </c>
      <c r="K147" s="391">
        <f>Sheet2!L32/10^9</f>
        <v>31.527627808999998</v>
      </c>
      <c r="L147" s="391">
        <f>Sheet2!M32/10^9</f>
        <v>22.974615279999998</v>
      </c>
      <c r="M147" s="391">
        <f>Sheet2!N32/10^9</f>
        <v>33.351649307000002</v>
      </c>
      <c r="N147" s="391">
        <f>Sheet2!O32/10^9</f>
        <v>37.587870121999998</v>
      </c>
      <c r="O147" s="391">
        <f>Sheet2!P32/10^9</f>
        <v>41.000633139000001</v>
      </c>
      <c r="P147" s="391">
        <f>Sheet2!Q32/10^9</f>
        <v>45.2546423</v>
      </c>
      <c r="Q147" s="391">
        <f>-BG_25_LEND!BE89</f>
        <v>36.15058530784713</v>
      </c>
      <c r="R147" s="391">
        <f t="shared" ref="R147:R155" si="166">P147-O147</f>
        <v>4.254009160999999</v>
      </c>
      <c r="S147" s="391">
        <f t="shared" ref="S147:S155" si="167">P147-Q147</f>
        <v>9.10405699215287</v>
      </c>
      <c r="T147" s="391">
        <f>Sheet2!C32/10^9</f>
        <v>288.555526977</v>
      </c>
      <c r="U147" s="386">
        <f t="shared" ref="U147:U155" si="168">V147</f>
        <v>257.62036734399334</v>
      </c>
      <c r="V147" s="391">
        <f>-BG_25_LEND!DE89</f>
        <v>257.62036734399334</v>
      </c>
      <c r="W147" s="386">
        <f t="shared" ref="W147:W151" si="169">T147-U147</f>
        <v>30.935159633006663</v>
      </c>
      <c r="X147" s="392">
        <f t="shared" ref="X147:X151" si="170">T147/V147</f>
        <v>1.1200804111566993</v>
      </c>
    </row>
    <row r="148" spans="2:26" s="414" customFormat="1" ht="13" customHeight="1">
      <c r="B148" s="409" t="s">
        <v>230</v>
      </c>
      <c r="C148" s="391">
        <f>Sheet2!D33/10^9</f>
        <v>1.0465212800000001</v>
      </c>
      <c r="D148" s="391">
        <f>Sheet2!E33/10^9</f>
        <v>1.3472753660000001</v>
      </c>
      <c r="E148" s="391">
        <f>Sheet2!F33/10^9</f>
        <v>1.18147917</v>
      </c>
      <c r="F148" s="391">
        <f>Sheet2!G33/10^9</f>
        <v>0.88575711899999998</v>
      </c>
      <c r="G148" s="391">
        <f>Sheet2!H33/10^9</f>
        <v>1.489077794</v>
      </c>
      <c r="H148" s="391">
        <f>Sheet2!I33/10^9</f>
        <v>2.0782543420000001</v>
      </c>
      <c r="I148" s="391">
        <f>Sheet2!J33/10^9</f>
        <v>1.4141972380000001</v>
      </c>
      <c r="J148" s="391">
        <f>Sheet2!K33/10^9</f>
        <v>2.978507515</v>
      </c>
      <c r="K148" s="391">
        <f>Sheet2!L33/10^9</f>
        <v>5.2044466549999999</v>
      </c>
      <c r="L148" s="391">
        <f>Sheet2!M33/10^9</f>
        <v>3.8098094570000001</v>
      </c>
      <c r="M148" s="391">
        <f>Sheet2!N33/10^9</f>
        <v>2.5503194979999999</v>
      </c>
      <c r="N148" s="391">
        <f>Sheet2!O33/10^9</f>
        <v>3.5212682860000002</v>
      </c>
      <c r="O148" s="391">
        <f>Sheet2!P33/10^9</f>
        <v>3.5726591339999998</v>
      </c>
      <c r="P148" s="391">
        <f>Sheet2!Q33/10^9</f>
        <v>4.4340686270000003</v>
      </c>
      <c r="Q148" s="391">
        <f>-BG_25_LEND!BE84</f>
        <v>3.6209999999999991</v>
      </c>
      <c r="R148" s="391">
        <f t="shared" si="166"/>
        <v>0.86140949300000047</v>
      </c>
      <c r="S148" s="391">
        <f t="shared" si="167"/>
        <v>0.81306862700000115</v>
      </c>
      <c r="T148" s="391">
        <f>Sheet2!C33/10^9</f>
        <v>33.119844835000002</v>
      </c>
      <c r="U148" s="386">
        <f t="shared" si="168"/>
        <v>38.228999999999999</v>
      </c>
      <c r="V148" s="391">
        <f>-BG_25_LEND!DE84</f>
        <v>38.228999999999999</v>
      </c>
      <c r="W148" s="386">
        <f t="shared" si="169"/>
        <v>-5.1091551649999971</v>
      </c>
      <c r="X148" s="392">
        <f t="shared" si="170"/>
        <v>0.86635394164116253</v>
      </c>
    </row>
    <row r="149" spans="2:26" s="414" customFormat="1" ht="13" customHeight="1">
      <c r="B149" s="409" t="s">
        <v>232</v>
      </c>
      <c r="C149" s="391">
        <f>Sheet2!D34/10^9</f>
        <v>1.9656135009999955</v>
      </c>
      <c r="D149" s="391">
        <f>Sheet2!E34/10^9</f>
        <v>2.3914301097522506</v>
      </c>
      <c r="E149" s="391">
        <f>Sheet2!F34/10^9</f>
        <v>2.0641823860000001</v>
      </c>
      <c r="F149" s="391">
        <f>Sheet2!G34/10^9</f>
        <v>1.514575612</v>
      </c>
      <c r="G149" s="391">
        <f>Sheet2!H34/10^9</f>
        <v>1.807353878</v>
      </c>
      <c r="H149" s="391">
        <f>Sheet2!I34/10^9</f>
        <v>1.9498380379999998</v>
      </c>
      <c r="I149" s="391">
        <f>Sheet2!J34/10^9</f>
        <v>2.0287329669999998</v>
      </c>
      <c r="J149" s="391">
        <f>Sheet2!K34/10^9</f>
        <v>2.3523621470000005</v>
      </c>
      <c r="K149" s="391">
        <f>Sheet2!L34/10^9</f>
        <v>2.9004765909999999</v>
      </c>
      <c r="L149" s="391">
        <f>Sheet2!M34/10^9</f>
        <v>4.1922509999999997</v>
      </c>
      <c r="M149" s="391">
        <f>Sheet2!N34/10^9</f>
        <v>4.8143679830000012</v>
      </c>
      <c r="N149" s="391">
        <f>Sheet2!O34/10^9</f>
        <v>5.0026574239999997</v>
      </c>
      <c r="O149" s="391">
        <f>Sheet2!P34/10^9</f>
        <v>4.9082001140000013</v>
      </c>
      <c r="P149" s="391">
        <f>Sheet2!Q34/10^9</f>
        <v>5.3627126879999993</v>
      </c>
      <c r="Q149" s="391">
        <f>-BG_25_LEND!BE81</f>
        <v>3.4331249999999991</v>
      </c>
      <c r="R149" s="391">
        <f t="shared" si="166"/>
        <v>0.454512573999998</v>
      </c>
      <c r="S149" s="391">
        <f t="shared" si="167"/>
        <v>1.9295876880000002</v>
      </c>
      <c r="T149" s="391">
        <f>Sheet2!C34/10^9</f>
        <v>38.897710828000008</v>
      </c>
      <c r="U149" s="386">
        <f t="shared" si="168"/>
        <v>33.757124999999995</v>
      </c>
      <c r="V149" s="391">
        <f>-BG_25_LEND!DE81</f>
        <v>33.757124999999995</v>
      </c>
      <c r="W149" s="386">
        <f t="shared" si="169"/>
        <v>5.1405858280000132</v>
      </c>
      <c r="X149" s="392">
        <f t="shared" si="170"/>
        <v>1.1522815058450628</v>
      </c>
    </row>
    <row r="150" spans="2:26" s="414" customFormat="1" ht="13" customHeight="1">
      <c r="B150" s="409" t="s">
        <v>233</v>
      </c>
      <c r="C150" s="391">
        <f>Sheet2!D35/10^9</f>
        <v>2.4706971000000001E-2</v>
      </c>
      <c r="D150" s="391">
        <f>Sheet2!E35/10^9</f>
        <v>2.4889643999999999E-2</v>
      </c>
      <c r="E150" s="391">
        <f>Sheet2!F35/10^9</f>
        <v>2.3665783999999999E-2</v>
      </c>
      <c r="F150" s="391">
        <f>Sheet2!G35/10^9</f>
        <v>1.8613926999999999E-2</v>
      </c>
      <c r="G150" s="391">
        <f>Sheet2!H35/10^9</f>
        <v>3.1499612000000003E-2</v>
      </c>
      <c r="H150" s="391">
        <f>Sheet2!I35/10^9</f>
        <v>8.8422096000000006E-2</v>
      </c>
      <c r="I150" s="391">
        <f>Sheet2!J35/10^9</f>
        <v>3.3180900999999999E-2</v>
      </c>
      <c r="J150" s="391">
        <f>Sheet2!K35/10^9</f>
        <v>3.8591991999999999E-2</v>
      </c>
      <c r="K150" s="391">
        <f>Sheet2!L35/10^9</f>
        <v>5.4682426999999999E-2</v>
      </c>
      <c r="L150" s="391">
        <f>Sheet2!M35/10^9</f>
        <v>0.10112998099999999</v>
      </c>
      <c r="M150" s="391">
        <f>Sheet2!N35/10^9</f>
        <v>5.6765432999999997E-2</v>
      </c>
      <c r="N150" s="391">
        <f>Sheet2!O35/10^9</f>
        <v>5.5104127000000003E-2</v>
      </c>
      <c r="O150" s="391">
        <f>Sheet2!P35/10^9</f>
        <v>6.0824362999999999E-2</v>
      </c>
      <c r="P150" s="391">
        <f>Sheet2!Q35/10^9</f>
        <v>6.6226199999999999E-2</v>
      </c>
      <c r="Q150" s="391">
        <f>-BG_25_LEND!BE83</f>
        <v>0.53918499999999991</v>
      </c>
      <c r="R150" s="391">
        <f t="shared" si="166"/>
        <v>5.4018369999999996E-3</v>
      </c>
      <c r="S150" s="391">
        <f t="shared" si="167"/>
        <v>-0.4729587999999999</v>
      </c>
      <c r="T150" s="391">
        <f>Sheet2!C35/10^9</f>
        <v>0.62870684300000002</v>
      </c>
      <c r="U150" s="386">
        <f t="shared" si="168"/>
        <v>4.1728722500000002</v>
      </c>
      <c r="V150" s="391">
        <f>-BG_25_LEND!DE83</f>
        <v>4.1728722500000002</v>
      </c>
      <c r="W150" s="386">
        <f t="shared" si="169"/>
        <v>-3.5441654070000004</v>
      </c>
      <c r="X150" s="392">
        <f t="shared" si="170"/>
        <v>0.15066525053576707</v>
      </c>
    </row>
    <row r="151" spans="2:26" s="404" customFormat="1" ht="13" hidden="1" customHeight="1">
      <c r="B151" s="409" t="s">
        <v>152</v>
      </c>
      <c r="C151" s="391">
        <f>Sheet2!D36/10^9</f>
        <v>0</v>
      </c>
      <c r="D151" s="391">
        <f>Sheet2!E36/10^9</f>
        <v>0</v>
      </c>
      <c r="E151" s="391">
        <f>Sheet2!F36/10^9</f>
        <v>0.10709279999999999</v>
      </c>
      <c r="F151" s="391">
        <f>Sheet2!G36/10^9</f>
        <v>6.6989699999999999E-2</v>
      </c>
      <c r="G151" s="391">
        <f>Sheet2!H36/10^9</f>
        <v>9.9470699999999981E-2</v>
      </c>
      <c r="H151" s="391">
        <f>Sheet2!I36/10^9</f>
        <v>8.2709099999999994E-2</v>
      </c>
      <c r="I151" s="391">
        <f>Sheet2!J36/10^9</f>
        <v>8.2846800000000012E-2</v>
      </c>
      <c r="J151" s="391">
        <f>Sheet2!K36/10^9</f>
        <v>8.9815500000000006E-2</v>
      </c>
      <c r="K151" s="391">
        <f>Sheet2!L36/10^9</f>
        <v>0.1016946</v>
      </c>
      <c r="L151" s="391">
        <f>Sheet2!M36/10^9</f>
        <v>9.7628699999999999E-2</v>
      </c>
      <c r="M151" s="391">
        <f>Sheet2!N36/10^9</f>
        <v>9.6335099999999979E-2</v>
      </c>
      <c r="N151" s="391">
        <f>Sheet2!O36/10^9</f>
        <v>0.1105587</v>
      </c>
      <c r="O151" s="391">
        <f>Sheet2!P36/10^9</f>
        <v>0.11043269999999998</v>
      </c>
      <c r="P151" s="391">
        <f>Sheet2!Q36/10^9</f>
        <v>0.14118975000000003</v>
      </c>
      <c r="Q151" s="391">
        <f>-BG_25_LEND!BE87</f>
        <v>8.5000000000000006E-2</v>
      </c>
      <c r="R151" s="391">
        <f t="shared" si="166"/>
        <v>3.075705000000005E-2</v>
      </c>
      <c r="S151" s="391">
        <f t="shared" si="167"/>
        <v>5.6189750000000024E-2</v>
      </c>
      <c r="T151" s="391">
        <f>Sheet2!C36/10^9</f>
        <v>1.1867641499999997</v>
      </c>
      <c r="U151" s="386">
        <f t="shared" si="168"/>
        <v>2.2200000000000002</v>
      </c>
      <c r="V151" s="391">
        <f>-BG_25_LEND!DE87</f>
        <v>2.2200000000000002</v>
      </c>
      <c r="W151" s="386">
        <f t="shared" si="169"/>
        <v>-1.0332358500000005</v>
      </c>
      <c r="X151" s="392">
        <f t="shared" si="170"/>
        <v>0.53457844594594572</v>
      </c>
      <c r="Z151" s="494"/>
    </row>
    <row r="152" spans="2:26" s="404" customFormat="1" ht="13" customHeight="1">
      <c r="B152" s="409" t="s">
        <v>234</v>
      </c>
      <c r="C152" s="391">
        <f>Sheet2!D37/10^9</f>
        <v>1.1831724854727463</v>
      </c>
      <c r="D152" s="391">
        <f>Sheet2!E37/10^9</f>
        <v>1.6011658152416735</v>
      </c>
      <c r="E152" s="391">
        <f>Sheet2!F37/10^9</f>
        <v>1.5087244560470756</v>
      </c>
      <c r="F152" s="391">
        <f>Sheet2!G37/10^9</f>
        <v>1.9420423902557093</v>
      </c>
      <c r="G152" s="391">
        <f>Sheet2!H37/10^9</f>
        <v>1.3324504797309187</v>
      </c>
      <c r="H152" s="391">
        <f>Sheet2!I37/10^9</f>
        <v>1.4126088581515361</v>
      </c>
      <c r="I152" s="391">
        <f>Sheet2!J37/10^9</f>
        <v>1.6267286081806203</v>
      </c>
      <c r="J152" s="391">
        <f>Sheet2!K37/10^9</f>
        <v>0.6546682921138729</v>
      </c>
      <c r="K152" s="391">
        <f>Sheet2!L37/10^9</f>
        <v>0.99800919300000002</v>
      </c>
      <c r="L152" s="391">
        <f>Sheet2!M37/10^9</f>
        <v>1.0510490966975574</v>
      </c>
      <c r="M152" s="391">
        <f>Sheet2!N37/10^9</f>
        <v>1.3004289850258408</v>
      </c>
      <c r="N152" s="391">
        <f>Sheet2!O37/10^9</f>
        <v>1.0338209187100003</v>
      </c>
      <c r="O152" s="391">
        <f>Sheet2!P37/10^9</f>
        <v>1.590098376906</v>
      </c>
      <c r="P152" s="391">
        <f>Sheet2!Q37/10^9</f>
        <v>1.4736147533699997</v>
      </c>
      <c r="Q152" s="391">
        <f>-BG_25_LEND!BE82</f>
        <v>4.3444232865845187</v>
      </c>
      <c r="R152" s="391">
        <f t="shared" si="166"/>
        <v>-0.11648362353600028</v>
      </c>
      <c r="S152" s="391">
        <f t="shared" si="167"/>
        <v>-2.870808533214519</v>
      </c>
      <c r="T152" s="391">
        <f>Sheet2!C37/10^9</f>
        <v>15.924244408189132</v>
      </c>
      <c r="U152" s="386">
        <f t="shared" si="168"/>
        <v>38.637566114383233</v>
      </c>
      <c r="V152" s="391">
        <f>-BG_25_LEND!DE82</f>
        <v>38.637566114383233</v>
      </c>
      <c r="W152" s="386">
        <f t="shared" si="162"/>
        <v>-22.713321706194101</v>
      </c>
      <c r="X152" s="392">
        <f t="shared" si="163"/>
        <v>0.41214408695016552</v>
      </c>
      <c r="Z152" s="494"/>
    </row>
    <row r="153" spans="2:26" s="404" customFormat="1" ht="13" hidden="1" customHeight="1">
      <c r="B153" s="409" t="s">
        <v>235</v>
      </c>
      <c r="C153" s="391">
        <f>Sheet2!D38/10^9</f>
        <v>0</v>
      </c>
      <c r="D153" s="391">
        <f>Sheet2!E38/10^9</f>
        <v>0</v>
      </c>
      <c r="E153" s="391">
        <f>Sheet2!F38/10^9</f>
        <v>0</v>
      </c>
      <c r="F153" s="391">
        <f>Sheet2!G38/10^9</f>
        <v>0</v>
      </c>
      <c r="G153" s="391">
        <f>Sheet2!H38/10^9</f>
        <v>0</v>
      </c>
      <c r="H153" s="391">
        <f>Sheet2!I38/10^9</f>
        <v>0</v>
      </c>
      <c r="I153" s="391">
        <f>Sheet2!J38/10^9</f>
        <v>0</v>
      </c>
      <c r="J153" s="391">
        <f>Sheet2!K38/10^9</f>
        <v>0</v>
      </c>
      <c r="K153" s="391">
        <f>Sheet2!L38/10^9</f>
        <v>0</v>
      </c>
      <c r="L153" s="391">
        <f>Sheet2!M38/10^9</f>
        <v>0</v>
      </c>
      <c r="M153" s="391">
        <f>Sheet2!N38/10^9</f>
        <v>0</v>
      </c>
      <c r="N153" s="391">
        <f>Sheet2!O38/10^9</f>
        <v>0</v>
      </c>
      <c r="O153" s="391">
        <f>Sheet2!P38/10^9</f>
        <v>0</v>
      </c>
      <c r="P153" s="391">
        <f>Sheet2!Q38/10^9</f>
        <v>0</v>
      </c>
      <c r="Q153" s="391">
        <v>0</v>
      </c>
      <c r="R153" s="391">
        <f t="shared" si="166"/>
        <v>0</v>
      </c>
      <c r="S153" s="391">
        <f t="shared" si="167"/>
        <v>0</v>
      </c>
      <c r="T153" s="391">
        <f>Sheet2!C38/10^9</f>
        <v>0</v>
      </c>
      <c r="U153" s="386" t="str">
        <f t="shared" si="168"/>
        <v>-</v>
      </c>
      <c r="V153" s="391" t="s">
        <v>623</v>
      </c>
      <c r="W153" s="386"/>
      <c r="X153" s="392"/>
    </row>
    <row r="154" spans="2:26" s="404" customFormat="1" ht="13" hidden="1" customHeight="1">
      <c r="B154" s="409" t="s">
        <v>163</v>
      </c>
      <c r="C154" s="391">
        <f>Sheet2!D39/10^9</f>
        <v>3.8083443241282197E-2</v>
      </c>
      <c r="D154" s="391">
        <f>Sheet2!E39/10^9</f>
        <v>8.8567057424727424E-2</v>
      </c>
      <c r="E154" s="391">
        <f>Sheet2!F39/10^9</f>
        <v>0.11752917072911492</v>
      </c>
      <c r="F154" s="391">
        <f>Sheet2!G39/10^9</f>
        <v>6.8859730108497677E-2</v>
      </c>
      <c r="G154" s="391">
        <f>Sheet2!H39/10^9</f>
        <v>9.1422049204799308E-2</v>
      </c>
      <c r="H154" s="391">
        <f>Sheet2!I39/10^9</f>
        <v>0.14289928094268872</v>
      </c>
      <c r="I154" s="391">
        <f>Sheet2!J39/10^9</f>
        <v>0.12099136636898966</v>
      </c>
      <c r="J154" s="391">
        <f>Sheet2!K39/10^9</f>
        <v>0.1105767437161034</v>
      </c>
      <c r="K154" s="391">
        <f>Sheet2!L39/10^9</f>
        <v>0.15922097298391072</v>
      </c>
      <c r="L154" s="391">
        <f>Sheet2!M39/10^9</f>
        <v>0.10061558032080085</v>
      </c>
      <c r="M154" s="391">
        <f>Sheet2!N39/10^9</f>
        <v>0.18205576896216005</v>
      </c>
      <c r="N154" s="391">
        <f>Sheet2!O39/10^9</f>
        <v>0.20834482446510588</v>
      </c>
      <c r="O154" s="391">
        <f>Sheet2!P39/10^9</f>
        <v>0.20766680535088353</v>
      </c>
      <c r="P154" s="391">
        <f>Sheet2!Q39/10^9</f>
        <v>0.22459158886871761</v>
      </c>
      <c r="Q154" s="391">
        <f>-BG_25_LEND!BE86</f>
        <v>0.3649018280365498</v>
      </c>
      <c r="R154" s="391">
        <f t="shared" si="166"/>
        <v>1.692478351783408E-2</v>
      </c>
      <c r="S154" s="391">
        <f t="shared" si="167"/>
        <v>-0.1403102391678322</v>
      </c>
      <c r="T154" s="391">
        <f>Sheet2!C39/10^9</f>
        <v>1.7347738820217722</v>
      </c>
      <c r="U154" s="386">
        <f t="shared" si="168"/>
        <v>2.622345350137429</v>
      </c>
      <c r="V154" s="391">
        <f>-BG_25_LEND!DE86</f>
        <v>2.622345350137429</v>
      </c>
      <c r="W154" s="386">
        <f t="shared" si="162"/>
        <v>-0.88757146811565679</v>
      </c>
      <c r="X154" s="392">
        <f t="shared" si="163"/>
        <v>0.66153524818188347</v>
      </c>
    </row>
    <row r="155" spans="2:26" s="404" customFormat="1" ht="13" customHeight="1">
      <c r="B155" s="409" t="s">
        <v>624</v>
      </c>
      <c r="C155" s="391">
        <f>C150+C151</f>
        <v>2.4706971000000001E-2</v>
      </c>
      <c r="D155" s="391">
        <f>D150+D151</f>
        <v>2.4889643999999999E-2</v>
      </c>
      <c r="E155" s="391">
        <f t="shared" ref="E155:P155" si="171">E150+E151</f>
        <v>0.13075858399999998</v>
      </c>
      <c r="F155" s="391">
        <f t="shared" si="171"/>
        <v>8.5603627000000002E-2</v>
      </c>
      <c r="G155" s="391">
        <f t="shared" si="171"/>
        <v>0.13097031199999998</v>
      </c>
      <c r="H155" s="391">
        <f t="shared" si="171"/>
        <v>0.17113119599999999</v>
      </c>
      <c r="I155" s="391">
        <f t="shared" si="171"/>
        <v>0.11602770100000001</v>
      </c>
      <c r="J155" s="391">
        <f>J151+J154</f>
        <v>0.20039224371610342</v>
      </c>
      <c r="K155" s="391">
        <f t="shared" si="171"/>
        <v>0.156377027</v>
      </c>
      <c r="L155" s="391">
        <f t="shared" si="171"/>
        <v>0.19875868099999999</v>
      </c>
      <c r="M155" s="391">
        <f t="shared" si="171"/>
        <v>0.15310053299999998</v>
      </c>
      <c r="N155" s="391">
        <f t="shared" si="171"/>
        <v>0.16566282700000001</v>
      </c>
      <c r="O155" s="391">
        <f t="shared" si="171"/>
        <v>0.17125706299999999</v>
      </c>
      <c r="P155" s="391">
        <f t="shared" si="171"/>
        <v>0.20741595000000002</v>
      </c>
      <c r="Q155" s="391">
        <f>Q150+Q151</f>
        <v>0.62418499999999988</v>
      </c>
      <c r="R155" s="391">
        <f t="shared" si="166"/>
        <v>3.6158887000000028E-2</v>
      </c>
      <c r="S155" s="391">
        <f t="shared" si="167"/>
        <v>-0.41676904999999986</v>
      </c>
      <c r="T155" s="391">
        <f t="shared" ref="T155" si="172">T150+T151</f>
        <v>1.8154709929999997</v>
      </c>
      <c r="U155" s="386">
        <f t="shared" si="168"/>
        <v>6.3928722499999999</v>
      </c>
      <c r="V155" s="391">
        <f>V150+V151</f>
        <v>6.3928722499999999</v>
      </c>
      <c r="W155" s="386">
        <f t="shared" si="162"/>
        <v>-4.577401257</v>
      </c>
      <c r="X155" s="392">
        <f t="shared" si="163"/>
        <v>0.28398361831804159</v>
      </c>
    </row>
    <row r="156" spans="2:26" s="404" customFormat="1" ht="13" hidden="1" customHeight="1">
      <c r="B156" s="409" t="s">
        <v>625</v>
      </c>
      <c r="C156" s="469">
        <f t="shared" ref="C156:P156" si="173">C139/C137</f>
        <v>0.20188765660338845</v>
      </c>
      <c r="D156" s="469">
        <f t="shared" si="173"/>
        <v>0.21064423622978706</v>
      </c>
      <c r="E156" s="469">
        <f t="shared" si="173"/>
        <v>0.20357024744486388</v>
      </c>
      <c r="F156" s="469">
        <f t="shared" si="173"/>
        <v>0.19287700872267854</v>
      </c>
      <c r="G156" s="469">
        <f t="shared" si="173"/>
        <v>0.19763261607240978</v>
      </c>
      <c r="H156" s="469">
        <f t="shared" si="173"/>
        <v>0.17415374620223792</v>
      </c>
      <c r="I156" s="469">
        <f t="shared" si="173"/>
        <v>0.16637189289360788</v>
      </c>
      <c r="J156" s="469">
        <f t="shared" si="173"/>
        <v>0.16611575577814286</v>
      </c>
      <c r="K156" s="469">
        <f t="shared" si="173"/>
        <v>0.15177224933597488</v>
      </c>
      <c r="L156" s="469">
        <f t="shared" si="173"/>
        <v>0.14738434318138538</v>
      </c>
      <c r="M156" s="469">
        <f t="shared" si="173"/>
        <v>0.15161745726561907</v>
      </c>
      <c r="N156" s="469">
        <f t="shared" si="173"/>
        <v>0.13908096160209452</v>
      </c>
      <c r="O156" s="469">
        <f t="shared" si="173"/>
        <v>0.13861320960336046</v>
      </c>
      <c r="P156" s="469">
        <f t="shared" si="173"/>
        <v>0.15170232934490421</v>
      </c>
      <c r="Q156" s="391"/>
      <c r="R156" s="391"/>
      <c r="S156" s="391"/>
      <c r="T156" s="391"/>
      <c r="U156" s="391"/>
      <c r="V156" s="391"/>
      <c r="W156" s="386"/>
      <c r="X156" s="392"/>
    </row>
    <row r="157" spans="2:26" s="404" customFormat="1" ht="13" customHeight="1">
      <c r="B157" s="829" t="s">
        <v>626</v>
      </c>
      <c r="C157" s="469">
        <f t="shared" ref="C157:P157" si="174">C140/C137</f>
        <v>9.7453832351518943E-2</v>
      </c>
      <c r="D157" s="469">
        <f t="shared" si="174"/>
        <v>0.10419832872124271</v>
      </c>
      <c r="E157" s="469">
        <f t="shared" si="174"/>
        <v>9.335789756833307E-2</v>
      </c>
      <c r="F157" s="469">
        <f t="shared" si="174"/>
        <v>9.8276281813315616E-2</v>
      </c>
      <c r="G157" s="469">
        <f t="shared" si="174"/>
        <v>9.8275811274007294E-2</v>
      </c>
      <c r="H157" s="469">
        <f t="shared" si="174"/>
        <v>8.5592061234929184E-2</v>
      </c>
      <c r="I157" s="469">
        <f t="shared" si="174"/>
        <v>7.987540366964338E-2</v>
      </c>
      <c r="J157" s="469">
        <f t="shared" si="174"/>
        <v>8.6199871400089903E-2</v>
      </c>
      <c r="K157" s="469">
        <f t="shared" si="174"/>
        <v>8.4976369515533431E-2</v>
      </c>
      <c r="L157" s="469">
        <f t="shared" si="174"/>
        <v>8.622994911726771E-2</v>
      </c>
      <c r="M157" s="469">
        <f>M140/M137</f>
        <v>9.3124352909144129E-2</v>
      </c>
      <c r="N157" s="469">
        <f t="shared" si="174"/>
        <v>9.1768796739947062E-2</v>
      </c>
      <c r="O157" s="469">
        <f t="shared" si="174"/>
        <v>9.3461661399171669E-2</v>
      </c>
      <c r="P157" s="469">
        <f t="shared" si="174"/>
        <v>0.10246803763246219</v>
      </c>
      <c r="Q157" s="391"/>
      <c r="R157" s="391"/>
      <c r="S157" s="391"/>
      <c r="T157" s="391"/>
      <c r="U157" s="391"/>
      <c r="V157" s="391"/>
      <c r="W157" s="386"/>
      <c r="X157" s="392"/>
    </row>
    <row r="158" spans="2:26" s="404" customFormat="1" ht="13" customHeight="1">
      <c r="B158" s="352" t="s">
        <v>627</v>
      </c>
      <c r="C158" s="469">
        <f>Sheet2!D40</f>
        <v>9.6749906672574187E-2</v>
      </c>
      <c r="D158" s="469">
        <f>Sheet2!E40</f>
        <v>9.3256078694511857E-2</v>
      </c>
      <c r="E158" s="469">
        <f>Sheet2!F40</f>
        <v>0.10205075272307546</v>
      </c>
      <c r="F158" s="469">
        <f>Sheet2!G40</f>
        <v>8.5596570124846255E-2</v>
      </c>
      <c r="G158" s="469">
        <f>Sheet2!H40</f>
        <v>8.4693327516811079E-2</v>
      </c>
      <c r="H158" s="469">
        <f>Sheet2!I40</f>
        <v>7.8584215685918182E-2</v>
      </c>
      <c r="I158" s="469">
        <f>Sheet2!J40</f>
        <v>7.7667636903998069E-2</v>
      </c>
      <c r="J158" s="469">
        <f>Sheet2!K40</f>
        <v>7.7667636903998069E-2</v>
      </c>
      <c r="K158" s="469">
        <f>Sheet2!L40</f>
        <v>5.8523351081009388E-2</v>
      </c>
      <c r="L158" s="469">
        <f>Sheet2!M40</f>
        <v>5.3201937638595577E-2</v>
      </c>
      <c r="M158" s="469">
        <f>Sheet2!N40</f>
        <v>4.6245221346359507E-2</v>
      </c>
      <c r="N158" s="469">
        <f>Sheet2!O40</f>
        <v>4.0668908171085767E-2</v>
      </c>
      <c r="O158" s="469">
        <f>Sheet2!P40</f>
        <v>3.800316834278334E-2</v>
      </c>
      <c r="P158" s="469">
        <f>Sheet2!Q40</f>
        <v>3.6007091561583257E-2</v>
      </c>
      <c r="Q158" s="391"/>
      <c r="R158" s="391"/>
      <c r="S158" s="391"/>
      <c r="T158" s="391"/>
      <c r="U158" s="391"/>
      <c r="V158" s="391"/>
      <c r="W158" s="386"/>
      <c r="X158" s="392"/>
    </row>
    <row r="159" spans="2:26" s="404" customFormat="1" ht="13" customHeight="1" thickBot="1">
      <c r="B159" s="393" t="s">
        <v>628</v>
      </c>
      <c r="C159" s="394">
        <f>Sheet2!D41</f>
        <v>0.10443382425186953</v>
      </c>
      <c r="D159" s="394">
        <f>Sheet2!E41</f>
        <v>0.10630616865267604</v>
      </c>
      <c r="E159" s="394">
        <f>Sheet2!F41</f>
        <v>0.11021234987653081</v>
      </c>
      <c r="F159" s="394">
        <f>Sheet2!G41</f>
        <v>9.4600726909362914E-2</v>
      </c>
      <c r="G159" s="394">
        <f>Sheet2!H41</f>
        <v>9.935680479840249E-2</v>
      </c>
      <c r="H159" s="394">
        <f>Sheet2!I41</f>
        <v>8.8561684967308735E-2</v>
      </c>
      <c r="I159" s="394">
        <f>Sheet2!J41</f>
        <v>8.6496489223964509E-2</v>
      </c>
      <c r="J159" s="394">
        <f>Sheet2!K41</f>
        <v>8.6496489223964509E-2</v>
      </c>
      <c r="K159" s="394">
        <f>Sheet2!L41</f>
        <v>6.6795879820441453E-2</v>
      </c>
      <c r="L159" s="394">
        <f>Sheet2!M41</f>
        <v>6.1154394064117684E-2</v>
      </c>
      <c r="M159" s="394">
        <f>Sheet2!N41</f>
        <v>5.8493104356474923E-2</v>
      </c>
      <c r="N159" s="394">
        <f>Sheet2!O41</f>
        <v>4.7264987217367944E-2</v>
      </c>
      <c r="O159" s="394">
        <f>Sheet2!P41</f>
        <v>4.4986818423102343E-2</v>
      </c>
      <c r="P159" s="394">
        <f>Sheet2!Q41</f>
        <v>4.8770775770774072E-2</v>
      </c>
      <c r="Q159" s="395"/>
      <c r="R159" s="395"/>
      <c r="S159" s="395"/>
      <c r="T159" s="395"/>
      <c r="U159" s="395"/>
      <c r="V159" s="395"/>
      <c r="W159" s="396"/>
      <c r="X159" s="397"/>
    </row>
    <row r="160" spans="2:26" s="404" customFormat="1" ht="21.75" customHeight="1">
      <c r="B160" s="361" t="s">
        <v>236</v>
      </c>
      <c r="C160" s="383">
        <f>C141-C145-C146</f>
        <v>570.74730013428587</v>
      </c>
      <c r="D160" s="383">
        <f t="shared" ref="D160:P160" si="175">D141-D145-D146</f>
        <v>28.902184726581353</v>
      </c>
      <c r="E160" s="383">
        <f t="shared" si="175"/>
        <v>3.9489002462238094</v>
      </c>
      <c r="F160" s="383">
        <f t="shared" si="175"/>
        <v>13.176522537635789</v>
      </c>
      <c r="G160" s="383">
        <f t="shared" si="175"/>
        <v>20.84587551673696</v>
      </c>
      <c r="H160" s="383">
        <f t="shared" si="175"/>
        <v>32.668006400905767</v>
      </c>
      <c r="I160" s="383">
        <f t="shared" si="175"/>
        <v>26.277605164450385</v>
      </c>
      <c r="J160" s="383">
        <f t="shared" si="175"/>
        <v>35.140959445170033</v>
      </c>
      <c r="K160" s="383">
        <f t="shared" si="175"/>
        <v>55.535416789016082</v>
      </c>
      <c r="L160" s="383">
        <f t="shared" si="175"/>
        <v>62.094948515981628</v>
      </c>
      <c r="M160" s="383">
        <f t="shared" si="175"/>
        <v>60.314368569012011</v>
      </c>
      <c r="N160" s="383">
        <f t="shared" si="175"/>
        <v>89.055035258824887</v>
      </c>
      <c r="O160" s="383">
        <f t="shared" si="175"/>
        <v>78.379047285743113</v>
      </c>
      <c r="P160" s="383">
        <f t="shared" si="175"/>
        <v>68.628092057761279</v>
      </c>
      <c r="Q160" s="383">
        <f t="shared" ref="Q160:V160" si="176">Q141-Q145-Q146</f>
        <v>54.915399277704879</v>
      </c>
      <c r="R160" s="383">
        <f t="shared" si="176"/>
        <v>-9.7509552279818195</v>
      </c>
      <c r="S160" s="383">
        <f t="shared" si="176"/>
        <v>13.712692780056383</v>
      </c>
      <c r="T160" s="383">
        <f>T141-T145-T146</f>
        <v>546.06477778746182</v>
      </c>
      <c r="U160" s="383">
        <f t="shared" si="176"/>
        <v>338.11702244215275</v>
      </c>
      <c r="V160" s="383">
        <f t="shared" si="176"/>
        <v>338.11702244215275</v>
      </c>
      <c r="W160" s="382">
        <f t="shared" si="162"/>
        <v>207.94775534530908</v>
      </c>
      <c r="X160" s="385">
        <f t="shared" ref="X160" si="177">T160/V160</f>
        <v>1.6150171140256215</v>
      </c>
    </row>
    <row r="161" spans="1:24" s="404" customFormat="1" ht="14">
      <c r="B161" s="414"/>
      <c r="C161" s="414"/>
      <c r="D161" s="414"/>
      <c r="E161" s="414"/>
      <c r="F161" s="414"/>
      <c r="G161" s="414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416"/>
    </row>
    <row r="162" spans="1:24" s="404" customFormat="1" ht="14">
      <c r="B162" s="414"/>
      <c r="C162" s="414"/>
      <c r="D162" s="414"/>
      <c r="E162" s="414"/>
      <c r="F162" s="414"/>
      <c r="G162" s="1029"/>
      <c r="R162" s="424"/>
      <c r="S162" s="424"/>
    </row>
    <row r="163" spans="1:24" s="404" customFormat="1" ht="14">
      <c r="B163" s="414"/>
      <c r="C163" s="414"/>
      <c r="D163" s="414"/>
      <c r="E163" s="414"/>
      <c r="F163" s="414"/>
      <c r="G163" s="414"/>
      <c r="Q163" s="96"/>
      <c r="R163" s="96"/>
      <c r="S163" s="96"/>
      <c r="T163" s="96"/>
      <c r="U163" s="96"/>
      <c r="V163" s="96"/>
      <c r="W163" s="96"/>
      <c r="X163" s="416"/>
    </row>
    <row r="164" spans="1:24" s="404" customFormat="1" ht="27" customHeight="1">
      <c r="B164" s="378" t="s">
        <v>629</v>
      </c>
      <c r="C164" s="90" t="s">
        <v>613</v>
      </c>
      <c r="D164" s="90" t="s">
        <v>614</v>
      </c>
      <c r="E164" s="579">
        <v>45658</v>
      </c>
      <c r="F164" s="579">
        <v>45689</v>
      </c>
      <c r="G164" s="579">
        <v>45717</v>
      </c>
      <c r="H164" s="579">
        <v>45748</v>
      </c>
      <c r="I164" s="579">
        <v>45778</v>
      </c>
      <c r="J164" s="579">
        <v>45809</v>
      </c>
      <c r="K164" s="579">
        <v>45839</v>
      </c>
      <c r="L164" s="579">
        <v>45870</v>
      </c>
      <c r="M164" s="579">
        <v>45901</v>
      </c>
      <c r="N164" s="579">
        <v>45931</v>
      </c>
      <c r="O164" s="579">
        <v>45962</v>
      </c>
      <c r="P164" s="579">
        <v>45992</v>
      </c>
      <c r="Q164" s="90" t="s">
        <v>575</v>
      </c>
      <c r="R164" s="380" t="s">
        <v>172</v>
      </c>
      <c r="S164" s="380" t="s">
        <v>173</v>
      </c>
      <c r="T164" s="78" t="s">
        <v>615</v>
      </c>
      <c r="U164" s="78" t="s">
        <v>174</v>
      </c>
      <c r="V164" s="78" t="s">
        <v>175</v>
      </c>
      <c r="W164" s="381" t="s">
        <v>173</v>
      </c>
      <c r="X164" s="78" t="s">
        <v>576</v>
      </c>
    </row>
    <row r="165" spans="1:24" s="414" customFormat="1" ht="13" customHeight="1">
      <c r="A165" s="417"/>
      <c r="B165" s="361" t="s">
        <v>80</v>
      </c>
      <c r="C165" s="383">
        <f>Lending!N481/10^9</f>
        <v>105.677557155</v>
      </c>
      <c r="D165" s="384">
        <f>Lending!O481/10^9</f>
        <v>113.50214044800001</v>
      </c>
      <c r="E165" s="384">
        <f>Lending!P481/10^9</f>
        <v>109.061423275</v>
      </c>
      <c r="F165" s="384">
        <f>Lending!Q481/10^9</f>
        <v>95.253172206000002</v>
      </c>
      <c r="G165" s="384">
        <f>Lending!R481/10^9</f>
        <v>112.073329818</v>
      </c>
      <c r="H165" s="384">
        <f>Lending!S481/10^9</f>
        <v>114.487336129</v>
      </c>
      <c r="I165" s="384">
        <f>Lending!T481/10^9</f>
        <v>119.537601659</v>
      </c>
      <c r="J165" s="384">
        <f>Lending!U481/10^9</f>
        <v>118.75950131899999</v>
      </c>
      <c r="K165" s="384">
        <f>Lending!V481/10^9</f>
        <v>118.080713257</v>
      </c>
      <c r="L165" s="384">
        <f>Lending!W481/10^9</f>
        <v>97.304269148000003</v>
      </c>
      <c r="M165" s="384">
        <f>Lending!X481/10^9</f>
        <v>86.259163135999998</v>
      </c>
      <c r="N165" s="384">
        <f>Lending!Y481/10^9</f>
        <v>84.239414746999998</v>
      </c>
      <c r="O165" s="384">
        <f>Lending!Z481/10^9</f>
        <v>73.074848767000006</v>
      </c>
      <c r="P165" s="384">
        <f>Lending!AA481/10^9</f>
        <v>71.004297401000002</v>
      </c>
      <c r="Q165" s="384">
        <f>BG_25_LEND!BE354</f>
        <v>120</v>
      </c>
      <c r="R165" s="383">
        <f>P165-O165</f>
        <v>-2.0705513660000037</v>
      </c>
      <c r="S165" s="383">
        <f>P165-Q165</f>
        <v>-48.995702598999998</v>
      </c>
      <c r="T165" s="384">
        <f>Lending!M481/10^9</f>
        <v>1199.135070862</v>
      </c>
      <c r="U165" s="384">
        <f>V165</f>
        <v>1329.9999999999995</v>
      </c>
      <c r="V165" s="384">
        <f>BG_25_LEND!DE354</f>
        <v>1329.9999999999995</v>
      </c>
      <c r="W165" s="382">
        <f>T165-U165</f>
        <v>-130.86492913799952</v>
      </c>
      <c r="X165" s="385">
        <f>T165/V165</f>
        <v>0.90160531643759434</v>
      </c>
    </row>
    <row r="166" spans="1:24" s="414" customFormat="1" ht="13" customHeight="1">
      <c r="A166" s="417"/>
      <c r="B166" s="361" t="s">
        <v>82</v>
      </c>
      <c r="C166" s="383">
        <f>Lending!N482/10^9</f>
        <v>237.493673143</v>
      </c>
      <c r="D166" s="384">
        <f>Lending!O482/10^9</f>
        <v>243.58018335899999</v>
      </c>
      <c r="E166" s="384">
        <f>Lending!P482/10^9</f>
        <v>252.285832879</v>
      </c>
      <c r="F166" s="384">
        <f>Lending!Q482/10^9</f>
        <v>245.08414068100001</v>
      </c>
      <c r="G166" s="384">
        <f>Lending!R482/10^9</f>
        <v>249.773690332</v>
      </c>
      <c r="H166" s="384">
        <f>Lending!S482/10^9</f>
        <v>253.637572799</v>
      </c>
      <c r="I166" s="384">
        <f>Lending!T482/10^9</f>
        <v>257.49781338100001</v>
      </c>
      <c r="J166" s="384">
        <f>Lending!U482/10^9</f>
        <v>261.23972706000001</v>
      </c>
      <c r="K166" s="384">
        <f>Lending!V482/10^9</f>
        <v>260.970710242</v>
      </c>
      <c r="L166" s="384">
        <f>Lending!W482/10^9</f>
        <v>240.63309901900001</v>
      </c>
      <c r="M166" s="384">
        <f>Lending!X482/10^9</f>
        <v>219.49516700300001</v>
      </c>
      <c r="N166" s="384">
        <f>Lending!Y482/10^9</f>
        <v>200.07631660199999</v>
      </c>
      <c r="O166" s="384">
        <f>Lending!Z482/10^9</f>
        <v>183.797394363</v>
      </c>
      <c r="P166" s="384">
        <f>Lending!AA482/10^9</f>
        <v>156.024064745</v>
      </c>
      <c r="Q166" s="384">
        <f>BG_25_LEND!BE355</f>
        <v>533.74381531639995</v>
      </c>
      <c r="R166" s="383">
        <f>P166-O166</f>
        <v>-27.773329617999991</v>
      </c>
      <c r="S166" s="383">
        <f>P166-Q166</f>
        <v>-377.71975057139991</v>
      </c>
      <c r="T166" s="384">
        <f>P166</f>
        <v>156.024064745</v>
      </c>
      <c r="U166" s="384">
        <f>Q166</f>
        <v>533.74381531639995</v>
      </c>
      <c r="V166" s="384">
        <f>BG_25_LEND!DE355</f>
        <v>533.74381531639995</v>
      </c>
      <c r="W166" s="492">
        <f t="shared" ref="W166:W177" si="178">T166-U166</f>
        <v>-377.71975057139991</v>
      </c>
      <c r="X166" s="385">
        <f>T166/V166</f>
        <v>0.2923201361171931</v>
      </c>
    </row>
    <row r="167" spans="1:24" s="415" customFormat="1" ht="12" customHeight="1">
      <c r="A167" s="418"/>
      <c r="B167" s="409" t="s">
        <v>616</v>
      </c>
      <c r="C167" s="391">
        <f t="shared" ref="C167:P167" si="179">C166-C168</f>
        <v>189.108327202</v>
      </c>
      <c r="D167" s="425">
        <f t="shared" si="179"/>
        <v>191.71688493099998</v>
      </c>
      <c r="E167" s="425">
        <f t="shared" si="179"/>
        <v>198.26826420999998</v>
      </c>
      <c r="F167" s="425">
        <f t="shared" si="179"/>
        <v>196.908175228</v>
      </c>
      <c r="G167" s="425">
        <f t="shared" si="179"/>
        <v>196.70618960299998</v>
      </c>
      <c r="H167" s="425">
        <f t="shared" si="179"/>
        <v>202.658706929</v>
      </c>
      <c r="I167" s="425">
        <f t="shared" si="179"/>
        <v>205.55455199800002</v>
      </c>
      <c r="J167" s="425">
        <f t="shared" si="179"/>
        <v>203.89991223600001</v>
      </c>
      <c r="K167" s="425">
        <f t="shared" si="179"/>
        <v>200.21263599899999</v>
      </c>
      <c r="L167" s="425">
        <f t="shared" si="179"/>
        <v>184.51531331200002</v>
      </c>
      <c r="M167" s="425">
        <f t="shared" si="179"/>
        <v>163.70727980300001</v>
      </c>
      <c r="N167" s="425">
        <f t="shared" si="179"/>
        <v>149.35021585300001</v>
      </c>
      <c r="O167" s="425">
        <f t="shared" si="179"/>
        <v>133.59990297299998</v>
      </c>
      <c r="P167" s="425">
        <f t="shared" si="179"/>
        <v>113.37862609300001</v>
      </c>
      <c r="Q167" s="388"/>
      <c r="R167" s="383"/>
      <c r="S167" s="388"/>
      <c r="T167" s="388"/>
      <c r="U167" s="398"/>
      <c r="V167" s="398"/>
      <c r="W167" s="399"/>
      <c r="X167" s="400"/>
    </row>
    <row r="168" spans="1:24" s="415" customFormat="1" ht="12" customHeight="1">
      <c r="A168" s="418"/>
      <c r="B168" s="409" t="s">
        <v>617</v>
      </c>
      <c r="C168" s="391">
        <f>Lending!N488/10^9</f>
        <v>48.385345940999997</v>
      </c>
      <c r="D168" s="425">
        <f>Lending!O488/10^9</f>
        <v>51.863298428</v>
      </c>
      <c r="E168" s="425">
        <f>Lending!P488/10^9</f>
        <v>54.017568668999999</v>
      </c>
      <c r="F168" s="425">
        <f>Lending!Q488/10^9</f>
        <v>48.175965453000003</v>
      </c>
      <c r="G168" s="425">
        <f>Lending!R488/10^9</f>
        <v>53.067500729000002</v>
      </c>
      <c r="H168" s="425">
        <f>Lending!S488/10^9</f>
        <v>50.97886587</v>
      </c>
      <c r="I168" s="425">
        <f>Lending!T488/10^9</f>
        <v>51.943261382999999</v>
      </c>
      <c r="J168" s="425">
        <f>Lending!U488/10^9</f>
        <v>57.339814824000001</v>
      </c>
      <c r="K168" s="425">
        <f>Lending!V488/10^9</f>
        <v>60.758074243000003</v>
      </c>
      <c r="L168" s="425">
        <f>Lending!W488/10^9</f>
        <v>56.117785707000003</v>
      </c>
      <c r="M168" s="425">
        <f>Lending!X488/10^9</f>
        <v>55.7878872</v>
      </c>
      <c r="N168" s="425">
        <f>Lending!Y488/10^9</f>
        <v>50.726100748999997</v>
      </c>
      <c r="O168" s="425">
        <f>Lending!Z488/10^9</f>
        <v>50.197491390000003</v>
      </c>
      <c r="P168" s="425">
        <f>Lending!AA488/10^9</f>
        <v>42.645438652000003</v>
      </c>
      <c r="Q168" s="388"/>
      <c r="R168" s="383"/>
      <c r="S168" s="388"/>
      <c r="T168" s="398"/>
      <c r="U168" s="401"/>
      <c r="V168" s="398"/>
      <c r="W168" s="399"/>
      <c r="X168" s="400"/>
    </row>
    <row r="169" spans="1:24" s="415" customFormat="1" ht="24.75" hidden="1" customHeight="1">
      <c r="A169" s="418"/>
      <c r="B169" s="409" t="s">
        <v>609</v>
      </c>
      <c r="C169" s="391">
        <f>Lending!N490/10^9</f>
        <v>20.102499820999999</v>
      </c>
      <c r="D169" s="425">
        <f>Lending!O490/10^9</f>
        <v>24.110953064</v>
      </c>
      <c r="E169" s="425">
        <f>Lending!P490/10^9</f>
        <v>24.043339409000001</v>
      </c>
      <c r="F169" s="425">
        <f>Lending!Q490/10^9</f>
        <v>25.979333547</v>
      </c>
      <c r="G169" s="425">
        <f>Lending!R490/10^9</f>
        <v>27.215113649999999</v>
      </c>
      <c r="H169" s="391">
        <f>Lending!S490/10^9</f>
        <v>25.223133854</v>
      </c>
      <c r="I169" s="391">
        <f>Lending!T490/10^9</f>
        <v>24.815723125000002</v>
      </c>
      <c r="J169" s="391">
        <f>Lending!U490/10^9</f>
        <v>26.367332768000001</v>
      </c>
      <c r="K169" s="391">
        <f>Lending!V490/10^9</f>
        <v>28.895342709000001</v>
      </c>
      <c r="L169" s="391">
        <f>Lending!W490/10^9</f>
        <v>27.645870591000001</v>
      </c>
      <c r="M169" s="391">
        <f>Lending!X490/10^9</f>
        <v>27.5101494</v>
      </c>
      <c r="N169" s="391">
        <f>Lending!Y490/10^9</f>
        <v>25.828551592</v>
      </c>
      <c r="O169" s="391">
        <f>Lending!Z490/10^9</f>
        <v>23.142110532</v>
      </c>
      <c r="P169" s="391">
        <f>Lending!AA490/10^9</f>
        <v>18.729516496999999</v>
      </c>
      <c r="Q169" s="388"/>
      <c r="R169" s="383"/>
      <c r="S169" s="388"/>
      <c r="T169" s="398"/>
      <c r="U169" s="401"/>
      <c r="V169" s="398"/>
      <c r="W169" s="399"/>
      <c r="X169" s="400"/>
    </row>
    <row r="170" spans="1:24" s="415" customFormat="1" ht="13" customHeight="1">
      <c r="A170" s="418"/>
      <c r="B170" s="451" t="s">
        <v>630</v>
      </c>
      <c r="C170" s="388">
        <f>Lending!N483/10^9</f>
        <v>16.144536044999999</v>
      </c>
      <c r="D170" s="398">
        <f>Lending!O483/10^9</f>
        <v>15.670833005</v>
      </c>
      <c r="E170" s="398">
        <f>Lending!P483/10^9</f>
        <v>14.489382141</v>
      </c>
      <c r="F170" s="398">
        <f>Lending!Q483/10^9</f>
        <v>13.113413889</v>
      </c>
      <c r="G170" s="398">
        <f>Lending!R483/10^9</f>
        <v>12.990673185</v>
      </c>
      <c r="H170" s="398">
        <f>Lending!S483/10^9</f>
        <v>13.002165181000001</v>
      </c>
      <c r="I170" s="398">
        <f>Lending!T483/10^9</f>
        <v>11.973560878000001</v>
      </c>
      <c r="J170" s="398">
        <f>Lending!U483/10^9</f>
        <v>12.004251953000001</v>
      </c>
      <c r="K170" s="398">
        <f>Lending!V483/10^9</f>
        <v>11.627065174</v>
      </c>
      <c r="L170" s="398">
        <f>Lending!W483/10^9</f>
        <v>12.186414762</v>
      </c>
      <c r="M170" s="398">
        <f>Lending!X483/10^9</f>
        <v>12.447511641</v>
      </c>
      <c r="N170" s="398">
        <f>Lending!Y483/10^9</f>
        <v>12.971428713</v>
      </c>
      <c r="O170" s="398">
        <f>Lending!Z483/10^9</f>
        <v>12.985927616</v>
      </c>
      <c r="P170" s="398">
        <f>Lending!AA483/10^9</f>
        <v>12.689814252</v>
      </c>
      <c r="Q170" s="388"/>
      <c r="R170" s="383"/>
      <c r="S170" s="388"/>
      <c r="T170" s="388"/>
      <c r="U170" s="401"/>
      <c r="V170" s="401"/>
      <c r="W170" s="399"/>
      <c r="X170" s="400"/>
    </row>
    <row r="171" spans="1:24" s="415" customFormat="1" ht="13" customHeight="1">
      <c r="B171" s="451" t="s">
        <v>631</v>
      </c>
      <c r="C171" s="388">
        <f>Lending!N484/10^9</f>
        <v>221.349137098</v>
      </c>
      <c r="D171" s="398">
        <f>Lending!O484/10^9</f>
        <v>227.909350354</v>
      </c>
      <c r="E171" s="398">
        <f>Lending!P484/10^9</f>
        <v>237.796450738</v>
      </c>
      <c r="F171" s="398">
        <f>Lending!Q484/10^9</f>
        <v>231.97072679199999</v>
      </c>
      <c r="G171" s="398">
        <f>Lending!R484/10^9</f>
        <v>236.78301714700001</v>
      </c>
      <c r="H171" s="398">
        <f>Lending!S484/10^9</f>
        <v>240.63540761799999</v>
      </c>
      <c r="I171" s="398">
        <f>Lending!T484/10^9</f>
        <v>245.52425250300001</v>
      </c>
      <c r="J171" s="398">
        <f>Lending!U484/10^9</f>
        <v>249.23547510700001</v>
      </c>
      <c r="K171" s="398">
        <f>Lending!V484/10^9</f>
        <v>249.343645068</v>
      </c>
      <c r="L171" s="398">
        <f>Lending!W484/10^9</f>
        <v>228.44668425699999</v>
      </c>
      <c r="M171" s="398">
        <f>Lending!X484/10^9</f>
        <v>207.047655362</v>
      </c>
      <c r="N171" s="398">
        <f>Lending!Y484/10^9</f>
        <v>187.104887889</v>
      </c>
      <c r="O171" s="398">
        <f>Lending!Z484/10^9</f>
        <v>170.811466747</v>
      </c>
      <c r="P171" s="398">
        <f>Lending!AA484/10^9</f>
        <v>143.33425049300001</v>
      </c>
      <c r="Q171" s="388"/>
      <c r="R171" s="383"/>
      <c r="S171" s="388"/>
      <c r="T171" s="388"/>
      <c r="U171" s="401"/>
      <c r="V171" s="401"/>
      <c r="W171" s="399"/>
      <c r="X171" s="400"/>
    </row>
    <row r="172" spans="1:24" s="404" customFormat="1" ht="13" customHeight="1">
      <c r="A172" s="417"/>
      <c r="B172" s="361" t="s">
        <v>217</v>
      </c>
      <c r="C172" s="383">
        <f>C173+C174</f>
        <v>5.2127064369999996</v>
      </c>
      <c r="D172" s="383">
        <f t="shared" ref="D172:V172" si="180">D173+D174+D175</f>
        <v>5.788217071</v>
      </c>
      <c r="E172" s="383">
        <f t="shared" si="180"/>
        <v>6.0033602110000004</v>
      </c>
      <c r="F172" s="383">
        <f t="shared" si="180"/>
        <v>5.4738971110000003</v>
      </c>
      <c r="G172" s="383">
        <f t="shared" si="180"/>
        <v>6.3746954265861344</v>
      </c>
      <c r="H172" s="383">
        <f t="shared" si="180"/>
        <v>6.3344924429999994</v>
      </c>
      <c r="I172" s="383">
        <f t="shared" si="180"/>
        <v>6.7495102740000004</v>
      </c>
      <c r="J172" s="383">
        <f t="shared" si="180"/>
        <v>6.5902580899999998</v>
      </c>
      <c r="K172" s="383">
        <f t="shared" si="180"/>
        <v>6.5997893039999997</v>
      </c>
      <c r="L172" s="383">
        <f t="shared" si="180"/>
        <v>6.0447435350000003</v>
      </c>
      <c r="M172" s="383">
        <f t="shared" si="180"/>
        <v>5.3432508490000004</v>
      </c>
      <c r="N172" s="383">
        <f t="shared" si="180"/>
        <v>4.9298629439999999</v>
      </c>
      <c r="O172" s="383">
        <f t="shared" si="180"/>
        <v>4.4005278640000007</v>
      </c>
      <c r="P172" s="383">
        <f t="shared" si="180"/>
        <v>3.8467388399999995</v>
      </c>
      <c r="Q172" s="383">
        <f t="shared" si="180"/>
        <v>13.504824041474313</v>
      </c>
      <c r="R172" s="383">
        <f t="shared" si="180"/>
        <v>-0.5537890240000003</v>
      </c>
      <c r="S172" s="383">
        <f t="shared" si="180"/>
        <v>-9.6580852014743126</v>
      </c>
      <c r="T172" s="383">
        <f t="shared" si="180"/>
        <v>68.552146389586127</v>
      </c>
      <c r="U172" s="383">
        <f t="shared" si="180"/>
        <v>124.82777328821162</v>
      </c>
      <c r="V172" s="383">
        <f t="shared" si="180"/>
        <v>124.82777328821162</v>
      </c>
      <c r="W172" s="382">
        <f t="shared" si="178"/>
        <v>-56.27562689862549</v>
      </c>
      <c r="X172" s="385">
        <f t="shared" ref="X172:X177" si="181">T172/V172</f>
        <v>0.54917383034068745</v>
      </c>
    </row>
    <row r="173" spans="1:24" s="404" customFormat="1" ht="13" customHeight="1">
      <c r="B173" s="409" t="s">
        <v>618</v>
      </c>
      <c r="C173" s="391">
        <f>Lending!N494/10^9</f>
        <v>4.762456437</v>
      </c>
      <c r="D173" s="391">
        <f>Lending!O494/10^9</f>
        <v>5.0627780710000003</v>
      </c>
      <c r="E173" s="391">
        <f>Lending!P494/10^9</f>
        <v>5.4166552250000004</v>
      </c>
      <c r="F173" s="391">
        <f>Lending!Q494/10^9</f>
        <v>5.0200949179999999</v>
      </c>
      <c r="G173" s="391">
        <f>Lending!R494/10^9</f>
        <v>5.7243211875861348</v>
      </c>
      <c r="H173" s="391">
        <f>Lending!S494/10^9</f>
        <v>5.7126286369999999</v>
      </c>
      <c r="I173" s="391">
        <f>Lending!T494/10^9</f>
        <v>6.0589472410000003</v>
      </c>
      <c r="J173" s="391">
        <f>Lending!U494/10^9</f>
        <v>5.9604860359999998</v>
      </c>
      <c r="K173" s="391">
        <f>Lending!V494/10^9</f>
        <v>5.9830927389999999</v>
      </c>
      <c r="L173" s="391">
        <f>Lending!W494/10^9</f>
        <v>5.6385032260000001</v>
      </c>
      <c r="M173" s="391">
        <f>Lending!X494/10^9</f>
        <v>4.8863378449999999</v>
      </c>
      <c r="N173" s="391">
        <f>Lending!Y494/10^9</f>
        <v>4.4969220679999999</v>
      </c>
      <c r="O173" s="391">
        <f>Lending!Z494/10^9</f>
        <v>3.8408917040000001</v>
      </c>
      <c r="P173" s="391">
        <f>Lending!AA494/10^9</f>
        <v>3.4388149659999998</v>
      </c>
      <c r="Q173" s="391">
        <f>BG_25_LEND!BE361</f>
        <v>12.11525101594698</v>
      </c>
      <c r="R173" s="391">
        <f>P173-O173</f>
        <v>-0.40207673800000032</v>
      </c>
      <c r="S173" s="391">
        <f>P173-Q173</f>
        <v>-8.6764360499469788</v>
      </c>
      <c r="T173" s="391">
        <f>Lending!M494/10^9</f>
        <v>62.177695792586135</v>
      </c>
      <c r="U173" s="391">
        <f>V173</f>
        <v>110.05910272197694</v>
      </c>
      <c r="V173" s="391">
        <f>BG_25_LEND!DE361</f>
        <v>110.05910272197694</v>
      </c>
      <c r="W173" s="386">
        <f t="shared" si="178"/>
        <v>-47.881406929390806</v>
      </c>
      <c r="X173" s="392">
        <f t="shared" si="181"/>
        <v>0.56494823467400757</v>
      </c>
    </row>
    <row r="174" spans="1:24" s="404" customFormat="1" ht="13" customHeight="1">
      <c r="B174" s="409" t="s">
        <v>619</v>
      </c>
      <c r="C174" s="391">
        <f>Lending!N499/10^9</f>
        <v>0.45024999999999998</v>
      </c>
      <c r="D174" s="391">
        <f>Lending!O499/10^9</f>
        <v>0.72460000000000002</v>
      </c>
      <c r="E174" s="391">
        <f>Lending!P499/10^9</f>
        <v>0.58104999999999996</v>
      </c>
      <c r="F174" s="391">
        <f>Lending!Q499/10^9</f>
        <v>0.42780000000000001</v>
      </c>
      <c r="G174" s="391">
        <f>Lending!R499/10^9</f>
        <v>0.51234999999999997</v>
      </c>
      <c r="H174" s="391">
        <f>Lending!S499/10^9</f>
        <v>0.51454999999999995</v>
      </c>
      <c r="I174" s="391">
        <f>Lending!T499/10^9</f>
        <v>0.51785000000000003</v>
      </c>
      <c r="J174" s="391">
        <f>Lending!U499/10^9</f>
        <v>0.52700000000000002</v>
      </c>
      <c r="K174" s="391">
        <f>Lending!V499/10^9</f>
        <v>0.42535000000000001</v>
      </c>
      <c r="L174" s="391">
        <f>Lending!W499/10^9</f>
        <v>7.8350000000000003E-2</v>
      </c>
      <c r="M174" s="391">
        <f>Lending!X499/10^9</f>
        <v>8.6800000000000002E-2</v>
      </c>
      <c r="N174" s="391">
        <f>Lending!Y499/10^9</f>
        <v>0.1043</v>
      </c>
      <c r="O174" s="391">
        <f>Lending!Z499/10^9</f>
        <v>8.5099999999999995E-2</v>
      </c>
      <c r="P174" s="391">
        <f>Lending!AA499/10^9</f>
        <v>6.9949999999999998E-2</v>
      </c>
      <c r="Q174" s="391">
        <f>BG_25_LEND!BE364-Q175</f>
        <v>1.3895730255273331</v>
      </c>
      <c r="R174" s="391">
        <f>P174-O174</f>
        <v>-1.5149999999999997E-2</v>
      </c>
      <c r="S174" s="391">
        <f>P174-Q174</f>
        <v>-1.3196230255273331</v>
      </c>
      <c r="T174" s="391">
        <f>Lending!M499/10^9</f>
        <v>3.93045</v>
      </c>
      <c r="U174" s="391">
        <f>V174</f>
        <v>14.768670566234679</v>
      </c>
      <c r="V174" s="391">
        <f>BG_25_LEND!DE364-V175</f>
        <v>14.768670566234679</v>
      </c>
      <c r="W174" s="386">
        <f t="shared" si="178"/>
        <v>-10.838220566234678</v>
      </c>
      <c r="X174" s="392">
        <f t="shared" si="181"/>
        <v>0.2661343133339375</v>
      </c>
    </row>
    <row r="175" spans="1:24" s="404" customFormat="1" ht="13" customHeight="1">
      <c r="B175" s="409" t="s">
        <v>620</v>
      </c>
      <c r="C175" s="391">
        <f>Lending!N503/10^9</f>
        <v>0</v>
      </c>
      <c r="D175" s="391">
        <f>Lending!O503/10^9</f>
        <v>8.3900000000000001E-4</v>
      </c>
      <c r="E175" s="391">
        <f>Lending!P503/10^9</f>
        <v>5.6549859999999999E-3</v>
      </c>
      <c r="F175" s="391">
        <f>Lending!Q503/10^9</f>
        <v>2.6002193E-2</v>
      </c>
      <c r="G175" s="391">
        <f>Lending!R503/10^9</f>
        <v>0.13802423899999999</v>
      </c>
      <c r="H175" s="391">
        <f>Lending!S503/10^9</f>
        <v>0.107313806</v>
      </c>
      <c r="I175" s="391">
        <f>Lending!T503/10^9</f>
        <v>0.17271303299999999</v>
      </c>
      <c r="J175" s="391">
        <f>Lending!U503/10^9</f>
        <v>0.102772054</v>
      </c>
      <c r="K175" s="391">
        <f>Lending!V503/10^9</f>
        <v>0.191346565</v>
      </c>
      <c r="L175" s="391">
        <f>Lending!W503/10^9</f>
        <v>0.32789030899999999</v>
      </c>
      <c r="M175" s="391">
        <f>Lending!X503/10^9</f>
        <v>0.37011300400000002</v>
      </c>
      <c r="N175" s="391">
        <f>Lending!Y503/10^9</f>
        <v>0.32864087600000003</v>
      </c>
      <c r="O175" s="391">
        <f>Lending!Z542/10^9</f>
        <v>0.47453615999999998</v>
      </c>
      <c r="P175" s="391">
        <f>Lending!AA503/10^9</f>
        <v>0.33797387400000001</v>
      </c>
      <c r="Q175" s="391">
        <f>BG_25_LEND!BE370</f>
        <v>0</v>
      </c>
      <c r="R175" s="391">
        <f>P175-O175</f>
        <v>-0.13656228599999998</v>
      </c>
      <c r="S175" s="391">
        <f>P175-Q175</f>
        <v>0.33797387400000001</v>
      </c>
      <c r="T175" s="391">
        <f>Lending!M503/10^9</f>
        <v>2.4440005970000001</v>
      </c>
      <c r="U175" s="391">
        <f>V175</f>
        <v>0</v>
      </c>
      <c r="V175" s="391">
        <f>BG_25_LEND!DE370</f>
        <v>0</v>
      </c>
      <c r="W175" s="386">
        <f t="shared" si="178"/>
        <v>2.4440005970000001</v>
      </c>
      <c r="X175" s="392"/>
    </row>
    <row r="176" spans="1:24" s="414" customFormat="1" ht="13" customHeight="1">
      <c r="A176" s="419"/>
      <c r="B176" s="361" t="s">
        <v>621</v>
      </c>
      <c r="C176" s="383">
        <f>Lending!N504/10^9</f>
        <v>2.2289590920000002</v>
      </c>
      <c r="D176" s="383">
        <f>Lending!O504/10^9</f>
        <v>3.3987395970000001</v>
      </c>
      <c r="E176" s="383">
        <f>Lending!P504/10^9</f>
        <v>8.2913018869999995</v>
      </c>
      <c r="F176" s="383">
        <f>Lending!Q504/10^9</f>
        <v>4.2143479309999998</v>
      </c>
      <c r="G176" s="383">
        <f>Lending!R504/10^9</f>
        <v>5.5216150400000004</v>
      </c>
      <c r="H176" s="383">
        <f>Lending!S504/10^9</f>
        <v>3.531652013</v>
      </c>
      <c r="I176" s="383">
        <f>Lending!T504/10^9</f>
        <v>5.0714418300000004</v>
      </c>
      <c r="J176" s="383">
        <f>Lending!U504/10^9</f>
        <v>6.323915145</v>
      </c>
      <c r="K176" s="383">
        <f>Lending!V504/10^9</f>
        <v>5.225046131</v>
      </c>
      <c r="L176" s="383">
        <f>Lending!W504/10^9</f>
        <v>7.7726996650000002</v>
      </c>
      <c r="M176" s="383">
        <f>Lending!X504/10^9</f>
        <v>7.6804602690000001</v>
      </c>
      <c r="N176" s="383">
        <f>Lending!Y504/10^9</f>
        <v>5.9613424769999996</v>
      </c>
      <c r="O176" s="383">
        <f>Lending!Z504/10^9</f>
        <v>8.6051013479999998</v>
      </c>
      <c r="P176" s="383">
        <f>Lending!AA504/10^9</f>
        <v>8.2688654459999995</v>
      </c>
      <c r="Q176" s="383">
        <f>-BG_25_LEND!BE376</f>
        <v>8.5390870704074544</v>
      </c>
      <c r="R176" s="383">
        <f>P176-O176</f>
        <v>-0.33623590200000031</v>
      </c>
      <c r="S176" s="383">
        <f>P176-Q176</f>
        <v>-0.2702216244074549</v>
      </c>
      <c r="T176" s="383">
        <f>Lending!M504/10^9</f>
        <v>76.467789182000004</v>
      </c>
      <c r="U176" s="383">
        <f>V176</f>
        <v>80.255419267379949</v>
      </c>
      <c r="V176" s="383">
        <f>-BG_25_LEND!DE376</f>
        <v>80.255419267379949</v>
      </c>
      <c r="W176" s="382">
        <f t="shared" si="178"/>
        <v>-3.7876300853799449</v>
      </c>
      <c r="X176" s="385">
        <f t="shared" si="181"/>
        <v>0.95280530436504196</v>
      </c>
    </row>
    <row r="177" spans="1:26" s="414" customFormat="1" ht="13" customHeight="1">
      <c r="A177" s="419"/>
      <c r="B177" s="361" t="s">
        <v>632</v>
      </c>
      <c r="C177" s="383">
        <f t="shared" ref="C177:V177" si="182">SUM(C178:C185)</f>
        <v>0.2637828098054058</v>
      </c>
      <c r="D177" s="383">
        <f t="shared" si="182"/>
        <v>0.31660891920804024</v>
      </c>
      <c r="E177" s="383">
        <f t="shared" si="182"/>
        <v>0.24068173684478761</v>
      </c>
      <c r="F177" s="383">
        <f t="shared" si="182"/>
        <v>0.49918137271290053</v>
      </c>
      <c r="G177" s="383">
        <f t="shared" si="182"/>
        <v>0.44261254188633348</v>
      </c>
      <c r="H177" s="383">
        <f t="shared" si="182"/>
        <v>0.43220064307319001</v>
      </c>
      <c r="I177" s="383">
        <f t="shared" si="182"/>
        <v>0.4499714504187175</v>
      </c>
      <c r="J177" s="383">
        <f t="shared" si="182"/>
        <v>0.225169000523086</v>
      </c>
      <c r="K177" s="383">
        <f t="shared" si="182"/>
        <v>0.28986416041460511</v>
      </c>
      <c r="L177" s="383">
        <f t="shared" si="182"/>
        <v>0.20621899109817404</v>
      </c>
      <c r="M177" s="383">
        <f t="shared" si="182"/>
        <v>0.25027782531424958</v>
      </c>
      <c r="N177" s="383">
        <f t="shared" si="182"/>
        <v>0.19887155803405882</v>
      </c>
      <c r="O177" s="383">
        <f t="shared" si="182"/>
        <v>0.14911736473070084</v>
      </c>
      <c r="P177" s="383">
        <f t="shared" si="182"/>
        <v>0.14237400853091497</v>
      </c>
      <c r="Q177" s="383">
        <f>SUM(Q178:Q185)</f>
        <v>0.13509231569855393</v>
      </c>
      <c r="R177" s="383">
        <f t="shared" si="182"/>
        <v>-6.7433561997858743E-3</v>
      </c>
      <c r="S177" s="383">
        <f t="shared" si="182"/>
        <v>7.2816928323610197E-3</v>
      </c>
      <c r="T177" s="383">
        <f t="shared" si="182"/>
        <v>3.5265406535817179</v>
      </c>
      <c r="U177" s="383">
        <f t="shared" si="182"/>
        <v>9.2679988742682173</v>
      </c>
      <c r="V177" s="383">
        <f t="shared" si="182"/>
        <v>9.2679988742682173</v>
      </c>
      <c r="W177" s="382">
        <f t="shared" si="178"/>
        <v>-5.7414582206864999</v>
      </c>
      <c r="X177" s="385">
        <f t="shared" si="181"/>
        <v>0.38050723801584047</v>
      </c>
      <c r="Z177" s="774"/>
    </row>
    <row r="178" spans="1:26" s="414" customFormat="1" ht="13" customHeight="1">
      <c r="A178" s="419"/>
      <c r="B178" s="409" t="s">
        <v>230</v>
      </c>
      <c r="C178" s="391">
        <f>Lending!N506/10^9</f>
        <v>1.0819775E-2</v>
      </c>
      <c r="D178" s="391">
        <f>Lending!O506/10^9</f>
        <v>1.0819775E-2</v>
      </c>
      <c r="E178" s="391">
        <f>Lending!P506/10^9</f>
        <v>0</v>
      </c>
      <c r="F178" s="391">
        <f>Lending!Q506/10^9</f>
        <v>0</v>
      </c>
      <c r="G178" s="391">
        <f>Lending!R506/10^9</f>
        <v>1.4E-2</v>
      </c>
      <c r="H178" s="391">
        <f>Lending!S506/10^9</f>
        <v>0</v>
      </c>
      <c r="I178" s="391">
        <f>Lending!T506/10^9</f>
        <v>0</v>
      </c>
      <c r="J178" s="391">
        <f>Lending!U506/10^9</f>
        <v>0</v>
      </c>
      <c r="K178" s="391">
        <f>Lending!V506/10^9</f>
        <v>0</v>
      </c>
      <c r="L178" s="391">
        <f>Lending!W506/10^9</f>
        <v>0</v>
      </c>
      <c r="M178" s="391">
        <f>Lending!X506/10^9</f>
        <v>0</v>
      </c>
      <c r="N178" s="391">
        <f>Lending!Y506/10^9</f>
        <v>0</v>
      </c>
      <c r="O178" s="391">
        <f>Lending!Z506/10^9</f>
        <v>0</v>
      </c>
      <c r="P178" s="391">
        <f>Lending!AA506/10^9</f>
        <v>0</v>
      </c>
      <c r="Q178" s="391">
        <f>-BG_25_LEND!BE381</f>
        <v>0.1</v>
      </c>
      <c r="R178" s="391">
        <f t="shared" ref="R178:R186" si="183">P178-O178</f>
        <v>0</v>
      </c>
      <c r="S178" s="391">
        <f t="shared" ref="S178:S186" si="184">P178-Q178</f>
        <v>-0.1</v>
      </c>
      <c r="T178" s="391">
        <f>Lending!M506/10^9</f>
        <v>1.4E-2</v>
      </c>
      <c r="U178" s="391">
        <f t="shared" ref="U178:U185" si="185">V178</f>
        <v>1.2</v>
      </c>
      <c r="V178" s="391">
        <f>-BG_25_LEND!DE381</f>
        <v>1.2</v>
      </c>
      <c r="W178" s="386">
        <f t="shared" ref="W178:W185" si="186">T178-U178</f>
        <v>-1.1859999999999999</v>
      </c>
      <c r="X178" s="392">
        <f t="shared" ref="X178:X186" si="187">T178/V178</f>
        <v>1.1666666666666667E-2</v>
      </c>
      <c r="Z178" s="774"/>
    </row>
    <row r="179" spans="1:26" s="414" customFormat="1" ht="13" hidden="1" customHeight="1">
      <c r="A179" s="419"/>
      <c r="B179" s="409" t="s">
        <v>231</v>
      </c>
      <c r="C179" s="391">
        <f>Lending!N507/10^9</f>
        <v>0</v>
      </c>
      <c r="D179" s="391">
        <f>Lending!O507/10^9</f>
        <v>0</v>
      </c>
      <c r="E179" s="391">
        <f>Lending!P507/10^9</f>
        <v>0</v>
      </c>
      <c r="F179" s="391">
        <f>Lending!Q507/10^9</f>
        <v>0</v>
      </c>
      <c r="G179" s="391">
        <f>Lending!R507/10^9</f>
        <v>0</v>
      </c>
      <c r="H179" s="391">
        <f>Lending!S507/10^9</f>
        <v>0</v>
      </c>
      <c r="I179" s="391">
        <f>Lending!T507/10^9</f>
        <v>0</v>
      </c>
      <c r="J179" s="391">
        <f>Lending!U507/10^9</f>
        <v>0</v>
      </c>
      <c r="K179" s="391">
        <f>Lending!V507/10^9</f>
        <v>0</v>
      </c>
      <c r="L179" s="391">
        <f>Lending!W507/10^9</f>
        <v>0</v>
      </c>
      <c r="M179" s="391">
        <f>Lending!X507/10^9</f>
        <v>0</v>
      </c>
      <c r="N179" s="391">
        <f>Lending!Y507/10^9</f>
        <v>0</v>
      </c>
      <c r="O179" s="391">
        <f>Lending!Z507/10^9</f>
        <v>0</v>
      </c>
      <c r="P179" s="391">
        <f>Lending!AA507/10^9</f>
        <v>0</v>
      </c>
      <c r="Q179" s="391">
        <f>-BG_25_LEND!BE382</f>
        <v>0</v>
      </c>
      <c r="R179" s="391">
        <f t="shared" si="183"/>
        <v>0</v>
      </c>
      <c r="S179" s="391">
        <f t="shared" si="184"/>
        <v>0</v>
      </c>
      <c r="T179" s="391">
        <f>Lending!M507/10^9</f>
        <v>0</v>
      </c>
      <c r="U179" s="391">
        <f t="shared" si="185"/>
        <v>0</v>
      </c>
      <c r="V179" s="383"/>
      <c r="W179" s="386">
        <f t="shared" si="186"/>
        <v>0</v>
      </c>
      <c r="X179" s="392" t="e">
        <f>T179/V179</f>
        <v>#DIV/0!</v>
      </c>
      <c r="Z179" s="774"/>
    </row>
    <row r="180" spans="1:26" s="414" customFormat="1" ht="13" customHeight="1">
      <c r="A180" s="419"/>
      <c r="B180" s="409" t="s">
        <v>232</v>
      </c>
      <c r="C180" s="391">
        <f>Lending!N508/10^9</f>
        <v>0.137274383</v>
      </c>
      <c r="D180" s="391">
        <f>Lending!O508/10^9</f>
        <v>0.168219704</v>
      </c>
      <c r="E180" s="391">
        <f>Lending!P508/10^9</f>
        <v>0.123044978</v>
      </c>
      <c r="F180" s="391">
        <f>Lending!Q508/10^9</f>
        <v>0.108680682</v>
      </c>
      <c r="G180" s="391">
        <f>Lending!R508/10^9</f>
        <v>0.118745842</v>
      </c>
      <c r="H180" s="391">
        <f>Lending!S508/10^9</f>
        <v>0.12040814900000001</v>
      </c>
      <c r="I180" s="391">
        <f>Lending!T508/10^9</f>
        <v>0.121952572</v>
      </c>
      <c r="J180" s="391">
        <f>Lending!U508/10^9</f>
        <v>0.12989437100000001</v>
      </c>
      <c r="K180" s="391">
        <f>Lending!V508/10^9</f>
        <v>9.5842918999999999E-2</v>
      </c>
      <c r="L180" s="391">
        <f>Lending!W508/10^9</f>
        <v>6.7410969999999997E-3</v>
      </c>
      <c r="M180" s="391">
        <f>Lending!X508/10^9</f>
        <v>7.2235800000000003E-3</v>
      </c>
      <c r="N180" s="391">
        <f>Lending!Y508/10^9</f>
        <v>8.3200840000000002E-3</v>
      </c>
      <c r="O180" s="391">
        <f>Lending!Z508/10^9</f>
        <v>6.821372E-3</v>
      </c>
      <c r="P180" s="391">
        <f>Lending!AA508/10^9</f>
        <v>5.5701040000000002E-3</v>
      </c>
      <c r="Q180" s="391">
        <f>-BG_25_LEND!BE383</f>
        <v>1.8092315698553924E-2</v>
      </c>
      <c r="R180" s="391">
        <f t="shared" si="183"/>
        <v>-1.2512679999999998E-3</v>
      </c>
      <c r="S180" s="391">
        <f t="shared" si="184"/>
        <v>-1.2522211698553925E-2</v>
      </c>
      <c r="T180" s="391">
        <f>Lending!M508/10^9</f>
        <v>0.85324575000000003</v>
      </c>
      <c r="U180" s="391">
        <f t="shared" si="185"/>
        <v>3</v>
      </c>
      <c r="V180" s="391">
        <f>-BG_25_LEND!DE378</f>
        <v>3</v>
      </c>
      <c r="W180" s="386">
        <f t="shared" si="186"/>
        <v>-2.1467542499999999</v>
      </c>
      <c r="X180" s="392">
        <f t="shared" si="187"/>
        <v>0.28441525000000001</v>
      </c>
      <c r="Z180" s="774"/>
    </row>
    <row r="181" spans="1:26" s="414" customFormat="1" ht="13" customHeight="1">
      <c r="A181" s="419"/>
      <c r="B181" s="409" t="s">
        <v>233</v>
      </c>
      <c r="C181" s="391">
        <f>Lending!N509/10^9</f>
        <v>2.8728400000000002E-3</v>
      </c>
      <c r="D181" s="391">
        <f>Lending!O509/10^9</f>
        <v>3.7372339999999999E-3</v>
      </c>
      <c r="E181" s="391">
        <f>Lending!P509/10^9</f>
        <v>2.9070469999999998E-3</v>
      </c>
      <c r="F181" s="391">
        <f>Lending!Q509/10^9</f>
        <v>2.215758E-3</v>
      </c>
      <c r="G181" s="391">
        <f>Lending!R509/10^9</f>
        <v>2.6259209999999998E-3</v>
      </c>
      <c r="H181" s="391">
        <f>Lending!S509/10^9</f>
        <v>2.6106910000000001E-3</v>
      </c>
      <c r="I181" s="391">
        <f>Lending!T509/10^9</f>
        <v>2.6689859999999999E-3</v>
      </c>
      <c r="J181" s="391">
        <f>Lending!U509/10^9</f>
        <v>2.77166E-3</v>
      </c>
      <c r="K181" s="391">
        <f>Lending!V509/10^9</f>
        <v>2.1908050000000001E-3</v>
      </c>
      <c r="L181" s="391">
        <f>Lending!W509/10^9</f>
        <v>3.9981000000000001E-4</v>
      </c>
      <c r="M181" s="391">
        <f>Lending!X509/10^9</f>
        <v>4.5237800000000002E-4</v>
      </c>
      <c r="N181" s="391">
        <f>Lending!Y509/10^9</f>
        <v>5.50122E-4</v>
      </c>
      <c r="O181" s="391">
        <f>Lending!Z509/10^9</f>
        <v>4.4094000000000002E-4</v>
      </c>
      <c r="P181" s="391">
        <f>Lending!AA509/10^9</f>
        <v>3.5541700000000002E-4</v>
      </c>
      <c r="Q181" s="391">
        <f>-BG_25_LEND!BE384</f>
        <v>1.7000000000000001E-2</v>
      </c>
      <c r="R181" s="391">
        <f t="shared" si="183"/>
        <v>-8.5523000000000001E-5</v>
      </c>
      <c r="S181" s="391">
        <f t="shared" si="184"/>
        <v>-1.6644583000000001E-2</v>
      </c>
      <c r="T181" s="391">
        <f>Lending!M509/10^9</f>
        <v>2.0189535000000002E-2</v>
      </c>
      <c r="U181" s="391">
        <f t="shared" si="185"/>
        <v>0.23999999999999996</v>
      </c>
      <c r="V181" s="391">
        <f>-BG_25_LEND!DE380</f>
        <v>0.23999999999999996</v>
      </c>
      <c r="W181" s="386">
        <f t="shared" si="186"/>
        <v>-0.21981046499999995</v>
      </c>
      <c r="X181" s="392">
        <f t="shared" si="187"/>
        <v>8.4123062500000026E-2</v>
      </c>
      <c r="Z181" s="774"/>
    </row>
    <row r="182" spans="1:26" s="414" customFormat="1" ht="13" customHeight="1">
      <c r="A182" s="419"/>
      <c r="B182" s="409" t="s">
        <v>234</v>
      </c>
      <c r="C182" s="391">
        <f>Lending!N511/10^9</f>
        <v>0.10746268795477172</v>
      </c>
      <c r="D182" s="391">
        <f>Lending!O511/10^9</f>
        <v>0.12068838382101334</v>
      </c>
      <c r="E182" s="391">
        <f>Lending!P511/10^9</f>
        <v>8.0867163167144721E-2</v>
      </c>
      <c r="F182" s="391">
        <f>Lending!Q511/10^9</f>
        <v>0.36809305509186513</v>
      </c>
      <c r="G182" s="391">
        <f>Lending!R511/10^9</f>
        <v>0.27861858441981541</v>
      </c>
      <c r="H182" s="391">
        <f>Lending!S511/10^9</f>
        <v>0.27697195240114997</v>
      </c>
      <c r="I182" s="391">
        <f>Lending!T511/10^9</f>
        <v>0.29689234138702836</v>
      </c>
      <c r="J182" s="391">
        <f>Lending!U511/10^9</f>
        <v>6.3389927073693828E-2</v>
      </c>
      <c r="K182" s="391">
        <f>Lending!V511/10^9</f>
        <v>0.15558986799999999</v>
      </c>
      <c r="L182" s="391">
        <f>Lending!W511/10^9</f>
        <v>0.16972020608708915</v>
      </c>
      <c r="M182" s="391">
        <f>Lending!X511/10^9</f>
        <v>0.20998931071220883</v>
      </c>
      <c r="N182" s="391">
        <f>Lending!Y511/10^9</f>
        <v>0.15604844056</v>
      </c>
      <c r="O182" s="391">
        <f>Lending!Z511/10^9</f>
        <v>0.11106308935800001</v>
      </c>
      <c r="P182" s="391">
        <f>Lending!AA511/10^9</f>
        <v>0.10341156164</v>
      </c>
      <c r="Q182" s="391">
        <f>-BG_25_LEND!BE385</f>
        <v>0</v>
      </c>
      <c r="R182" s="391">
        <f t="shared" si="183"/>
        <v>-7.6515277180000119E-3</v>
      </c>
      <c r="S182" s="391">
        <f t="shared" si="184"/>
        <v>0.10341156164</v>
      </c>
      <c r="T182" s="391">
        <f>Lending!M511/10^9</f>
        <v>2.2706554998979951</v>
      </c>
      <c r="U182" s="391">
        <f t="shared" si="185"/>
        <v>4.2072925856700731</v>
      </c>
      <c r="V182" s="391">
        <f>-BG_25_LEND!DE379</f>
        <v>4.2072925856700731</v>
      </c>
      <c r="W182" s="386">
        <f>T182-U182</f>
        <v>-1.936637085772078</v>
      </c>
      <c r="X182" s="392">
        <f>T182/V182</f>
        <v>0.53969517300312975</v>
      </c>
      <c r="Z182" s="774"/>
    </row>
    <row r="183" spans="1:26" s="414" customFormat="1" ht="13" hidden="1" customHeight="1">
      <c r="A183" s="419"/>
      <c r="B183" s="409" t="s">
        <v>235</v>
      </c>
      <c r="C183" s="391">
        <f>Lending!N512/10^9</f>
        <v>0</v>
      </c>
      <c r="D183" s="391">
        <f>Lending!O512/10^9</f>
        <v>0</v>
      </c>
      <c r="E183" s="391">
        <f>Lending!P512/10^9</f>
        <v>0</v>
      </c>
      <c r="F183" s="391">
        <f>Lending!Q512/10^9</f>
        <v>0</v>
      </c>
      <c r="G183" s="391">
        <f>Lending!R512/10^9</f>
        <v>0</v>
      </c>
      <c r="H183" s="391">
        <f>Lending!S512/10^9</f>
        <v>0</v>
      </c>
      <c r="I183" s="391">
        <f>Lending!T512/10^9</f>
        <v>0</v>
      </c>
      <c r="J183" s="391">
        <f>Lending!U512/10^9</f>
        <v>0</v>
      </c>
      <c r="K183" s="391">
        <f>Lending!V512/10^9</f>
        <v>0</v>
      </c>
      <c r="L183" s="391">
        <f>Lending!W512/10^9</f>
        <v>0</v>
      </c>
      <c r="M183" s="391">
        <f>Lending!X512/10^9</f>
        <v>0</v>
      </c>
      <c r="N183" s="391">
        <f>Lending!Y512/10^9</f>
        <v>0</v>
      </c>
      <c r="O183" s="391">
        <f>Lending!Z512/10^9</f>
        <v>0</v>
      </c>
      <c r="P183" s="391">
        <f>Lending!AA512/10^9</f>
        <v>0</v>
      </c>
      <c r="Q183" s="391">
        <f>-BG_25_LEND!BE386</f>
        <v>0</v>
      </c>
      <c r="R183" s="391">
        <f t="shared" si="183"/>
        <v>0</v>
      </c>
      <c r="S183" s="391">
        <f t="shared" si="184"/>
        <v>0</v>
      </c>
      <c r="T183" s="391">
        <f>Lending!M512/10^9</f>
        <v>0</v>
      </c>
      <c r="U183" s="391">
        <f t="shared" si="185"/>
        <v>0</v>
      </c>
      <c r="V183" s="383"/>
      <c r="W183" s="386">
        <f>T183-U183</f>
        <v>0</v>
      </c>
      <c r="X183" s="392" t="e">
        <f>T183/V183</f>
        <v>#DIV/0!</v>
      </c>
      <c r="Z183" s="774"/>
    </row>
    <row r="184" spans="1:26" s="414" customFormat="1" ht="13" hidden="1" customHeight="1">
      <c r="A184" s="419"/>
      <c r="B184" s="409" t="s">
        <v>152</v>
      </c>
      <c r="C184" s="391">
        <f>Lending!N510/10^9</f>
        <v>0</v>
      </c>
      <c r="D184" s="391">
        <f>Lending!O510/10^9</f>
        <v>0</v>
      </c>
      <c r="E184" s="391">
        <f>Lending!P510/10^9</f>
        <v>1.7848800000000001E-2</v>
      </c>
      <c r="F184" s="391">
        <f>Lending!Q510/10^9</f>
        <v>1.116495E-2</v>
      </c>
      <c r="G184" s="391">
        <f>Lending!R510/10^9</f>
        <v>1.6578450000000002E-2</v>
      </c>
      <c r="H184" s="391">
        <f>Lending!S510/10^9</f>
        <v>1.378485E-2</v>
      </c>
      <c r="I184" s="391">
        <f>Lending!T510/10^9</f>
        <v>1.38078E-2</v>
      </c>
      <c r="J184" s="391">
        <f>Lending!U510/10^9</f>
        <v>1.496925E-2</v>
      </c>
      <c r="K184" s="391">
        <f>Lending!V510/10^9</f>
        <v>1.6949100000000002E-2</v>
      </c>
      <c r="L184" s="391">
        <f>Lending!W510/10^9</f>
        <v>1.627145E-2</v>
      </c>
      <c r="M184" s="391">
        <f>Lending!X510/10^9</f>
        <v>1.605585E-2</v>
      </c>
      <c r="N184" s="391">
        <f>Lending!Y510/10^9</f>
        <v>1.842645E-2</v>
      </c>
      <c r="O184" s="391">
        <f>Lending!Z510/10^9</f>
        <v>1.840545E-2</v>
      </c>
      <c r="P184" s="391">
        <f>Lending!AA510/10^9</f>
        <v>2.3531625E-2</v>
      </c>
      <c r="Q184" s="391">
        <f>-BG_25_LEND!BE387</f>
        <v>0</v>
      </c>
      <c r="R184" s="391">
        <f t="shared" si="183"/>
        <v>5.1261750000000002E-3</v>
      </c>
      <c r="S184" s="391">
        <f t="shared" si="184"/>
        <v>2.3531625E-2</v>
      </c>
      <c r="T184" s="391">
        <f>Lending!M510/10^9</f>
        <v>0.19779402500000001</v>
      </c>
      <c r="U184" s="391">
        <f t="shared" si="185"/>
        <v>0.44400000000000012</v>
      </c>
      <c r="V184" s="391">
        <f>-BG_25_LEND!DE384</f>
        <v>0.44400000000000012</v>
      </c>
      <c r="W184" s="386">
        <f t="shared" si="186"/>
        <v>-0.2462059750000001</v>
      </c>
      <c r="X184" s="392">
        <f t="shared" si="187"/>
        <v>0.4454820382882882</v>
      </c>
      <c r="Z184" s="774"/>
    </row>
    <row r="185" spans="1:26" s="414" customFormat="1" ht="13" hidden="1" customHeight="1">
      <c r="A185" s="419"/>
      <c r="B185" s="409" t="s">
        <v>163</v>
      </c>
      <c r="C185" s="391">
        <f>Lending!N513/10^9</f>
        <v>5.3531238506340914E-3</v>
      </c>
      <c r="D185" s="391">
        <f>Lending!O513/10^9</f>
        <v>1.3143822387026908E-2</v>
      </c>
      <c r="E185" s="391">
        <f>Lending!P513/10^9</f>
        <v>1.6013748677642881E-2</v>
      </c>
      <c r="F185" s="391">
        <f>Lending!Q513/10^9</f>
        <v>9.0269276210354268E-3</v>
      </c>
      <c r="G185" s="391">
        <f>Lending!R513/10^9</f>
        <v>1.2043744466518012E-2</v>
      </c>
      <c r="H185" s="391">
        <f>Lending!S513/10^9</f>
        <v>1.8425000672039983E-2</v>
      </c>
      <c r="I185" s="391">
        <f>Lending!T513/10^9</f>
        <v>1.4649751031689218E-2</v>
      </c>
      <c r="J185" s="391">
        <f>Lending!U513/10^9</f>
        <v>1.4143792449392139E-2</v>
      </c>
      <c r="K185" s="391">
        <f>Lending!V513/10^9</f>
        <v>1.9291468414605106E-2</v>
      </c>
      <c r="L185" s="391">
        <f>Lending!W513/10^9</f>
        <v>1.3086428011084904E-2</v>
      </c>
      <c r="M185" s="391">
        <f>Lending!X513/10^9</f>
        <v>1.6556706602040703E-2</v>
      </c>
      <c r="N185" s="391">
        <f>Lending!Y513/10^9</f>
        <v>1.5526461474058822E-2</v>
      </c>
      <c r="O185" s="391">
        <f>Lending!Z513/10^9</f>
        <v>1.2386513372700823E-2</v>
      </c>
      <c r="P185" s="391">
        <f>Lending!AA513/10^9</f>
        <v>9.5053008909149611E-3</v>
      </c>
      <c r="Q185" s="391">
        <f>-BG_25_LEND!BE388</f>
        <v>0</v>
      </c>
      <c r="R185" s="391">
        <f t="shared" si="183"/>
        <v>-2.8812124817858623E-3</v>
      </c>
      <c r="S185" s="391">
        <f t="shared" si="184"/>
        <v>9.5053008909149611E-3</v>
      </c>
      <c r="T185" s="391">
        <f>Lending!M513/10^9</f>
        <v>0.17065584368372297</v>
      </c>
      <c r="U185" s="391">
        <f t="shared" si="185"/>
        <v>0.17670628859814311</v>
      </c>
      <c r="V185" s="391">
        <f>-BG_25_LEND!DE383</f>
        <v>0.17670628859814311</v>
      </c>
      <c r="W185" s="386">
        <f t="shared" si="186"/>
        <v>-6.0504449144201389E-3</v>
      </c>
      <c r="X185" s="392">
        <f t="shared" si="187"/>
        <v>0.96575987780389771</v>
      </c>
      <c r="Z185" s="774"/>
    </row>
    <row r="186" spans="1:26" s="404" customFormat="1" ht="13" customHeight="1">
      <c r="A186" s="420"/>
      <c r="B186" s="409" t="s">
        <v>624</v>
      </c>
      <c r="C186" s="391">
        <f t="shared" ref="C186:V186" si="188">C184+C185</f>
        <v>5.3531238506340914E-3</v>
      </c>
      <c r="D186" s="391">
        <f t="shared" si="188"/>
        <v>1.3143822387026908E-2</v>
      </c>
      <c r="E186" s="391">
        <f t="shared" si="188"/>
        <v>3.3862548677642879E-2</v>
      </c>
      <c r="F186" s="391">
        <f t="shared" si="188"/>
        <v>2.0191877621035428E-2</v>
      </c>
      <c r="G186" s="391">
        <f t="shared" si="188"/>
        <v>2.8622194466518015E-2</v>
      </c>
      <c r="H186" s="391">
        <f t="shared" si="188"/>
        <v>3.2209850672039984E-2</v>
      </c>
      <c r="I186" s="391">
        <f t="shared" si="188"/>
        <v>2.8457551031689218E-2</v>
      </c>
      <c r="J186" s="391">
        <f t="shared" si="188"/>
        <v>2.911304244939214E-2</v>
      </c>
      <c r="K186" s="391">
        <f t="shared" si="188"/>
        <v>3.6240568414605108E-2</v>
      </c>
      <c r="L186" s="391">
        <f t="shared" si="188"/>
        <v>2.9357878011084904E-2</v>
      </c>
      <c r="M186" s="391">
        <f t="shared" si="188"/>
        <v>3.2612556602040703E-2</v>
      </c>
      <c r="N186" s="391">
        <f t="shared" si="188"/>
        <v>3.3952911474058822E-2</v>
      </c>
      <c r="O186" s="391">
        <f t="shared" si="188"/>
        <v>3.0791963372700824E-2</v>
      </c>
      <c r="P186" s="391">
        <f t="shared" si="188"/>
        <v>3.3036925890914962E-2</v>
      </c>
      <c r="Q186" s="391">
        <f>Q184+Q185</f>
        <v>0</v>
      </c>
      <c r="R186" s="391">
        <f t="shared" si="183"/>
        <v>2.2449625182141379E-3</v>
      </c>
      <c r="S186" s="391">
        <f t="shared" si="184"/>
        <v>3.3036925890914962E-2</v>
      </c>
      <c r="T186" s="391">
        <f t="shared" si="188"/>
        <v>0.36844986868372298</v>
      </c>
      <c r="U186" s="391">
        <f>U184+U185</f>
        <v>0.62070628859814325</v>
      </c>
      <c r="V186" s="391">
        <f t="shared" si="188"/>
        <v>0.62070628859814325</v>
      </c>
      <c r="W186" s="386">
        <f>T184-U184</f>
        <v>-0.2462059750000001</v>
      </c>
      <c r="X186" s="392">
        <f t="shared" si="187"/>
        <v>0.59359776991443414</v>
      </c>
    </row>
    <row r="187" spans="1:26" s="404" customFormat="1" ht="13" hidden="1" customHeight="1">
      <c r="A187" s="420"/>
      <c r="B187" s="409" t="s">
        <v>625</v>
      </c>
      <c r="C187" s="409"/>
      <c r="D187" s="409"/>
      <c r="E187" s="469">
        <f t="shared" ref="E187:P187" si="189">E168/E166</f>
        <v>0.2141125724443973</v>
      </c>
      <c r="F187" s="469">
        <f t="shared" si="189"/>
        <v>0.19656908569904383</v>
      </c>
      <c r="G187" s="469">
        <f t="shared" si="189"/>
        <v>0.21246233203530168</v>
      </c>
      <c r="H187" s="469">
        <f t="shared" si="189"/>
        <v>0.20099098610440966</v>
      </c>
      <c r="I187" s="469">
        <f t="shared" si="189"/>
        <v>0.20172311640620999</v>
      </c>
      <c r="J187" s="469">
        <f t="shared" si="189"/>
        <v>0.21949117566958157</v>
      </c>
      <c r="K187" s="469">
        <f t="shared" si="189"/>
        <v>0.23281568336407793</v>
      </c>
      <c r="L187" s="469">
        <f t="shared" si="189"/>
        <v>0.23320892236262572</v>
      </c>
      <c r="M187" s="469">
        <f t="shared" si="189"/>
        <v>0.25416453565575547</v>
      </c>
      <c r="N187" s="469">
        <f t="shared" si="189"/>
        <v>0.25353375956988672</v>
      </c>
      <c r="O187" s="469">
        <f t="shared" si="189"/>
        <v>0.27311318293696762</v>
      </c>
      <c r="P187" s="469">
        <f t="shared" si="189"/>
        <v>0.27332603288920937</v>
      </c>
      <c r="Q187" s="391"/>
      <c r="R187" s="391"/>
      <c r="S187" s="391"/>
      <c r="T187" s="391"/>
      <c r="U187" s="391"/>
      <c r="V187" s="391"/>
      <c r="W187" s="386"/>
      <c r="X187" s="392"/>
    </row>
    <row r="188" spans="1:26" s="404" customFormat="1" ht="13" customHeight="1">
      <c r="A188" s="420"/>
      <c r="B188" s="352" t="s">
        <v>626</v>
      </c>
      <c r="C188" s="469">
        <f t="shared" ref="C188:P188" si="190">C169/C166</f>
        <v>8.4644359384242862E-2</v>
      </c>
      <c r="D188" s="469">
        <f t="shared" si="190"/>
        <v>9.8985692232869932E-2</v>
      </c>
      <c r="E188" s="469">
        <f t="shared" si="190"/>
        <v>9.5301980038377906E-2</v>
      </c>
      <c r="F188" s="469">
        <f t="shared" si="190"/>
        <v>0.1060016918059767</v>
      </c>
      <c r="G188" s="469">
        <f t="shared" si="190"/>
        <v>0.10895908858064908</v>
      </c>
      <c r="H188" s="469">
        <f t="shared" si="190"/>
        <v>9.9445573365380541E-2</v>
      </c>
      <c r="I188" s="469">
        <f t="shared" si="190"/>
        <v>9.6372558660457658E-2</v>
      </c>
      <c r="J188" s="469">
        <f t="shared" si="190"/>
        <v>0.10093155839940113</v>
      </c>
      <c r="K188" s="469">
        <f t="shared" si="190"/>
        <v>0.11072255074987206</v>
      </c>
      <c r="L188" s="469">
        <f t="shared" si="190"/>
        <v>0.11488806279645314</v>
      </c>
      <c r="M188" s="469">
        <f t="shared" si="190"/>
        <v>0.12533373638984951</v>
      </c>
      <c r="N188" s="469">
        <f t="shared" si="190"/>
        <v>0.12909349807443332</v>
      </c>
      <c r="O188" s="469">
        <f t="shared" si="190"/>
        <v>0.12591098264589276</v>
      </c>
      <c r="P188" s="469">
        <f t="shared" si="190"/>
        <v>0.12004248528975855</v>
      </c>
      <c r="Q188" s="391"/>
      <c r="R188" s="391"/>
      <c r="S188" s="391"/>
      <c r="T188" s="391"/>
      <c r="U188" s="391"/>
      <c r="V188" s="391"/>
      <c r="W188" s="386"/>
      <c r="X188" s="392"/>
    </row>
    <row r="189" spans="1:26" s="404" customFormat="1" ht="13" customHeight="1">
      <c r="A189" s="420"/>
      <c r="B189" s="352" t="s">
        <v>627</v>
      </c>
      <c r="C189" s="469"/>
      <c r="D189" s="469">
        <f>Lending!O491</f>
        <v>0.10091553189189995</v>
      </c>
      <c r="E189" s="469">
        <f>Lending!P491</f>
        <v>9.6912477862862834E-2</v>
      </c>
      <c r="F189" s="469">
        <f>Lending!Q491</f>
        <v>5.2553853575391808E-2</v>
      </c>
      <c r="G189" s="469">
        <f>Lending!R491</f>
        <v>5.436067344784095E-2</v>
      </c>
      <c r="H189" s="469">
        <f>Lending!S491</f>
        <v>5.8542111837535063E-2</v>
      </c>
      <c r="I189" s="469">
        <f>Lending!T491</f>
        <v>6.0015488908770259E-2</v>
      </c>
      <c r="J189" s="469">
        <f>Lending!U491</f>
        <v>6.1347889443779453E-2</v>
      </c>
      <c r="K189" s="469">
        <f>Lending!V491</f>
        <v>7.2350036463828801E-2</v>
      </c>
      <c r="L189" s="469">
        <f>Lending!W491</f>
        <v>6.3059150087253282E-2</v>
      </c>
      <c r="M189" s="469">
        <f>Lending!X491</f>
        <v>5.5872169690334837E-2</v>
      </c>
      <c r="N189" s="469">
        <f>Lending!Y491</f>
        <v>8.362151416592381E-2</v>
      </c>
      <c r="O189" s="469">
        <f>Lending!Z491</f>
        <v>7.38000630803861E-2</v>
      </c>
      <c r="P189" s="469">
        <f>Lending!AA491</f>
        <v>5.7060068846112408E-2</v>
      </c>
      <c r="Q189" s="391"/>
      <c r="R189" s="391"/>
      <c r="S189" s="391"/>
      <c r="T189" s="391"/>
      <c r="U189" s="391"/>
      <c r="V189" s="391"/>
      <c r="W189" s="386"/>
      <c r="X189" s="392"/>
    </row>
    <row r="190" spans="1:26" s="404" customFormat="1" ht="13" customHeight="1" thickBot="1">
      <c r="A190" s="420"/>
      <c r="B190" s="393" t="s">
        <v>628</v>
      </c>
      <c r="C190" s="394">
        <f>Lending!N492</f>
        <v>0.11908884032868655</v>
      </c>
      <c r="D190" s="394">
        <f>Lending!O492</f>
        <v>0.11393515261090546</v>
      </c>
      <c r="E190" s="394">
        <f>Lending!P492</f>
        <v>0.11881059240601942</v>
      </c>
      <c r="F190" s="394">
        <f>Lending!Q492</f>
        <v>9.0567393893067116E-2</v>
      </c>
      <c r="G190" s="394">
        <f>Lending!R492</f>
        <v>0.10350324345465259</v>
      </c>
      <c r="H190" s="394">
        <f>Lending!S492</f>
        <v>0.10154541273902912</v>
      </c>
      <c r="I190" s="394">
        <f>Lending!T492</f>
        <v>0.10535055774575235</v>
      </c>
      <c r="J190" s="394">
        <f>Lending!U492</f>
        <v>0.11855961727018044</v>
      </c>
      <c r="K190" s="394">
        <f>Lending!V492</f>
        <v>0.12209313261420587</v>
      </c>
      <c r="L190" s="394">
        <f>Lending!W492</f>
        <v>0.11832085956617258</v>
      </c>
      <c r="M190" s="394">
        <f>Lending!X492</f>
        <v>0.12883079926590596</v>
      </c>
      <c r="N190" s="394">
        <f>Lending!Y492</f>
        <v>0.12444026149545338</v>
      </c>
      <c r="O190" s="394">
        <f>Lending!Z492</f>
        <v>0.14720220029107486</v>
      </c>
      <c r="P190" s="394">
        <f>Lending!AA492</f>
        <v>0.15328354759945079</v>
      </c>
      <c r="Q190" s="395"/>
      <c r="R190" s="395"/>
      <c r="S190" s="395"/>
      <c r="T190" s="402"/>
      <c r="U190" s="402"/>
      <c r="V190" s="402"/>
      <c r="W190" s="396"/>
      <c r="X190" s="397"/>
    </row>
    <row r="191" spans="1:26" s="414" customFormat="1" ht="15" customHeight="1">
      <c r="A191" s="419"/>
      <c r="B191" s="361" t="s">
        <v>236</v>
      </c>
      <c r="C191" s="383">
        <f t="shared" ref="C191:V191" si="191">C172-C176-C177</f>
        <v>2.7199645351945936</v>
      </c>
      <c r="D191" s="383">
        <f t="shared" si="191"/>
        <v>2.0728685547919596</v>
      </c>
      <c r="E191" s="383">
        <f t="shared" si="191"/>
        <v>-2.5286234128447869</v>
      </c>
      <c r="F191" s="383">
        <f t="shared" si="191"/>
        <v>0.76036780728709996</v>
      </c>
      <c r="G191" s="383">
        <f t="shared" si="191"/>
        <v>0.41046784469980058</v>
      </c>
      <c r="H191" s="383">
        <f t="shared" si="191"/>
        <v>2.3706397869268092</v>
      </c>
      <c r="I191" s="383">
        <f t="shared" si="191"/>
        <v>1.2280969935812824</v>
      </c>
      <c r="J191" s="383">
        <f t="shared" si="191"/>
        <v>4.1173944476913887E-2</v>
      </c>
      <c r="K191" s="383">
        <f t="shared" si="191"/>
        <v>1.0848790125853947</v>
      </c>
      <c r="L191" s="383">
        <f t="shared" si="191"/>
        <v>-1.9341751210981739</v>
      </c>
      <c r="M191" s="383">
        <f t="shared" si="191"/>
        <v>-2.5874872453142492</v>
      </c>
      <c r="N191" s="383">
        <f t="shared" si="191"/>
        <v>-1.2303510910340585</v>
      </c>
      <c r="O191" s="383">
        <f>O172-O176-O177</f>
        <v>-4.3536908487307002</v>
      </c>
      <c r="P191" s="383">
        <f t="shared" si="191"/>
        <v>-4.5645006145309148</v>
      </c>
      <c r="Q191" s="383">
        <f>Q172-Q176-Q177</f>
        <v>4.8306446553683049</v>
      </c>
      <c r="R191" s="383">
        <f>R172-R176-R177</f>
        <v>-0.2108097658002141</v>
      </c>
      <c r="S191" s="383">
        <f t="shared" si="191"/>
        <v>-9.3951452698992188</v>
      </c>
      <c r="T191" s="383">
        <f t="shared" si="191"/>
        <v>-11.442183445995594</v>
      </c>
      <c r="U191" s="383">
        <f t="shared" si="191"/>
        <v>35.304355146563452</v>
      </c>
      <c r="V191" s="383">
        <f t="shared" si="191"/>
        <v>35.304355146563452</v>
      </c>
      <c r="W191" s="382">
        <f>T191-U191</f>
        <v>-46.746538592559048</v>
      </c>
      <c r="X191" s="385">
        <f>T191/V191</f>
        <v>-0.32410118804023486</v>
      </c>
    </row>
    <row r="192" spans="1:26" s="404" customFormat="1" ht="14">
      <c r="B192" s="414"/>
      <c r="C192" s="414"/>
      <c r="D192" s="414"/>
      <c r="E192" s="414"/>
      <c r="F192" s="414"/>
      <c r="G192" s="414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102"/>
      <c r="V192" s="102"/>
      <c r="W192" s="102"/>
      <c r="X192" s="103"/>
    </row>
    <row r="193" spans="2:26" s="404" customFormat="1" ht="14">
      <c r="B193" s="414"/>
      <c r="C193" s="414"/>
      <c r="D193" s="414"/>
      <c r="E193" s="414"/>
      <c r="F193" s="414"/>
      <c r="G193" s="414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102"/>
      <c r="V193" s="102"/>
      <c r="W193" s="102"/>
      <c r="X193" s="103"/>
    </row>
    <row r="194" spans="2:26" s="404" customFormat="1" ht="14">
      <c r="B194" s="414"/>
      <c r="C194" s="414"/>
      <c r="D194" s="414"/>
      <c r="E194" s="414"/>
      <c r="F194" s="414"/>
      <c r="G194" s="414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102"/>
      <c r="V194" s="102"/>
      <c r="W194" s="102"/>
      <c r="X194" s="103"/>
    </row>
    <row r="195" spans="2:26" s="404" customFormat="1" ht="14">
      <c r="D195" s="432"/>
    </row>
    <row r="196" spans="2:26" s="404" customFormat="1" ht="28.5" customHeight="1">
      <c r="B196" s="378" t="s">
        <v>633</v>
      </c>
      <c r="C196" s="90" t="s">
        <v>613</v>
      </c>
      <c r="D196" s="90" t="s">
        <v>614</v>
      </c>
      <c r="E196" s="579">
        <v>45658</v>
      </c>
      <c r="F196" s="579">
        <v>45689</v>
      </c>
      <c r="G196" s="579">
        <v>45717</v>
      </c>
      <c r="H196" s="579">
        <v>45748</v>
      </c>
      <c r="I196" s="579">
        <v>45778</v>
      </c>
      <c r="J196" s="579">
        <v>45809</v>
      </c>
      <c r="K196" s="579">
        <v>45839</v>
      </c>
      <c r="L196" s="579">
        <v>45870</v>
      </c>
      <c r="M196" s="579">
        <v>45901</v>
      </c>
      <c r="N196" s="579">
        <v>45931</v>
      </c>
      <c r="O196" s="579">
        <v>45962</v>
      </c>
      <c r="P196" s="579">
        <v>45992</v>
      </c>
      <c r="Q196" s="90" t="s">
        <v>575</v>
      </c>
      <c r="R196" s="76" t="s">
        <v>172</v>
      </c>
      <c r="S196" s="76" t="s">
        <v>173</v>
      </c>
      <c r="T196" s="78" t="s">
        <v>615</v>
      </c>
      <c r="U196" s="78" t="s">
        <v>174</v>
      </c>
      <c r="V196" s="78" t="s">
        <v>175</v>
      </c>
      <c r="W196" s="79" t="s">
        <v>173</v>
      </c>
      <c r="X196" s="558" t="s">
        <v>576</v>
      </c>
    </row>
    <row r="197" spans="2:26" s="414" customFormat="1" ht="13" customHeight="1">
      <c r="B197" s="361" t="s">
        <v>80</v>
      </c>
      <c r="C197" s="383">
        <f>Sheet2!D66/10^9</f>
        <v>123.94</v>
      </c>
      <c r="D197" s="383">
        <f>Sheet2!E66/10^9</f>
        <v>170.9725</v>
      </c>
      <c r="E197" s="383">
        <f>Sheet2!F66/10^9</f>
        <v>141.375</v>
      </c>
      <c r="F197" s="383">
        <f>Sheet2!G66/10^9</f>
        <v>133.48500000000001</v>
      </c>
      <c r="G197" s="383">
        <f>Sheet2!H66/10^9</f>
        <v>158.8175</v>
      </c>
      <c r="H197" s="383">
        <f>Sheet2!I66/10^9</f>
        <v>163.79782800000001</v>
      </c>
      <c r="I197" s="383">
        <f>Sheet2!J66/10^9</f>
        <v>167.858172</v>
      </c>
      <c r="J197" s="383">
        <f>Sheet2!K66/10^9</f>
        <v>164.60463200000001</v>
      </c>
      <c r="K197" s="383">
        <f>Sheet2!L66/10^9</f>
        <v>236.64125999999999</v>
      </c>
      <c r="L197" s="383">
        <f>Sheet2!M66/10^9</f>
        <v>314.00019600000002</v>
      </c>
      <c r="M197" s="383">
        <f>Sheet2!N66/10^9</f>
        <v>468.36751600000002</v>
      </c>
      <c r="N197" s="383">
        <f>Sheet2!O66/10^9</f>
        <v>591.17388000000005</v>
      </c>
      <c r="O197" s="383">
        <f>Sheet2!P66/10^9</f>
        <v>573.62843599999997</v>
      </c>
      <c r="P197" s="383">
        <f>Sheet2!Q66/10^9</f>
        <v>699.21071600000005</v>
      </c>
      <c r="Q197" s="384">
        <f>BG_25_LEND!BE229</f>
        <v>203.7</v>
      </c>
      <c r="R197" s="383">
        <f>P197-O197</f>
        <v>125.58228000000008</v>
      </c>
      <c r="S197" s="383">
        <f>P197-Q197</f>
        <v>495.51071600000006</v>
      </c>
      <c r="T197" s="384">
        <f>Sheet2!C66/10^9</f>
        <v>3812.9601360000001</v>
      </c>
      <c r="U197" s="384">
        <f>V197</f>
        <v>2154.5499999999988</v>
      </c>
      <c r="V197" s="384">
        <f>BG_25_LEND!DE229</f>
        <v>2154.5499999999988</v>
      </c>
      <c r="W197" s="383">
        <f>T197-U197</f>
        <v>1658.4101360000013</v>
      </c>
      <c r="X197" s="385">
        <f t="shared" ref="X197:X207" si="192">T197/V197</f>
        <v>1.7697245995683564</v>
      </c>
      <c r="Z197" s="831"/>
    </row>
    <row r="198" spans="2:26" s="414" customFormat="1" ht="13" customHeight="1">
      <c r="B198" s="361" t="s">
        <v>82</v>
      </c>
      <c r="C198" s="383">
        <f>Sheet2!D69/10^9</f>
        <v>151.81805954999999</v>
      </c>
      <c r="D198" s="383">
        <f>Sheet2!E69/10^9</f>
        <v>187.14167712099999</v>
      </c>
      <c r="E198" s="383">
        <f>Sheet2!F69/10^9</f>
        <v>175.92065707099999</v>
      </c>
      <c r="F198" s="383">
        <f>Sheet2!G69/10^9</f>
        <v>160.895056264</v>
      </c>
      <c r="G198" s="383">
        <f>Sheet2!H69/10^9</f>
        <v>166.348729244</v>
      </c>
      <c r="H198" s="383">
        <f>Sheet2!I69/10^9</f>
        <v>172.651980581</v>
      </c>
      <c r="I198" s="383">
        <f>Sheet2!J69/10^9</f>
        <v>176.19666438600001</v>
      </c>
      <c r="J198" s="383">
        <f>Sheet2!K69/10^9</f>
        <v>176.38213534100001</v>
      </c>
      <c r="K198" s="383">
        <f>Sheet2!L69/10^9</f>
        <v>234.177682285</v>
      </c>
      <c r="L198" s="383">
        <f>Sheet2!M69/10^9</f>
        <v>289.14514901899997</v>
      </c>
      <c r="M198" s="383">
        <f>Sheet2!N69/10^9</f>
        <v>430.39165549099999</v>
      </c>
      <c r="N198" s="383">
        <f>Sheet2!O69/10^9</f>
        <v>518.88560443999995</v>
      </c>
      <c r="O198" s="383">
        <f>Sheet2!P69/10^9</f>
        <v>561.58031788599999</v>
      </c>
      <c r="P198" s="383">
        <f>Sheet2!Q69/10^9</f>
        <v>659.99176973500005</v>
      </c>
      <c r="Q198" s="384">
        <f>BG_25_LEND!BE230</f>
        <v>216.97571889222064</v>
      </c>
      <c r="R198" s="383">
        <f>P198-O198</f>
        <v>98.411451849000059</v>
      </c>
      <c r="S198" s="383">
        <f>P198-Q198</f>
        <v>443.01605084277941</v>
      </c>
      <c r="T198" s="384">
        <f>P198</f>
        <v>659.99176973500005</v>
      </c>
      <c r="U198" s="384">
        <f>Q198</f>
        <v>216.97571889222064</v>
      </c>
      <c r="V198" s="384">
        <f>BG_25_LEND!DE230</f>
        <v>216.97571889222064</v>
      </c>
      <c r="W198" s="383">
        <f>T198-U198</f>
        <v>443.01605084277941</v>
      </c>
      <c r="X198" s="385">
        <f t="shared" si="192"/>
        <v>3.0417770850333756</v>
      </c>
    </row>
    <row r="199" spans="2:26" s="415" customFormat="1" ht="13" customHeight="1">
      <c r="B199" s="409" t="s">
        <v>616</v>
      </c>
      <c r="C199" s="391">
        <f t="shared" ref="C199:P199" si="193">C198-C200</f>
        <v>110.02461275399999</v>
      </c>
      <c r="D199" s="425">
        <f t="shared" si="193"/>
        <v>142.54754986099999</v>
      </c>
      <c r="E199" s="425">
        <f t="shared" si="193"/>
        <v>126.227446458</v>
      </c>
      <c r="F199" s="425">
        <f t="shared" si="193"/>
        <v>122.13809721200001</v>
      </c>
      <c r="G199" s="425">
        <f t="shared" si="193"/>
        <v>125.406929125</v>
      </c>
      <c r="H199" s="425">
        <f t="shared" si="193"/>
        <v>132.67148658299999</v>
      </c>
      <c r="I199" s="425">
        <f t="shared" si="193"/>
        <v>134.541769085</v>
      </c>
      <c r="J199" s="425">
        <f t="shared" si="193"/>
        <v>131.57881276700002</v>
      </c>
      <c r="K199" s="425">
        <f t="shared" si="193"/>
        <v>188.346806714</v>
      </c>
      <c r="L199" s="425">
        <f t="shared" si="193"/>
        <v>241.80691898299997</v>
      </c>
      <c r="M199" s="425">
        <f t="shared" si="193"/>
        <v>363.827013491</v>
      </c>
      <c r="N199" s="425">
        <f t="shared" si="193"/>
        <v>440.93233430899994</v>
      </c>
      <c r="O199" s="425">
        <f t="shared" si="193"/>
        <v>455.84697298699996</v>
      </c>
      <c r="P199" s="425">
        <f t="shared" si="193"/>
        <v>518.8309897900001</v>
      </c>
      <c r="Q199" s="398"/>
      <c r="R199" s="398"/>
      <c r="S199" s="398"/>
      <c r="T199" s="398"/>
      <c r="U199" s="388"/>
      <c r="V199" s="398"/>
      <c r="W199" s="388"/>
      <c r="X199" s="400"/>
    </row>
    <row r="200" spans="2:26" s="415" customFormat="1" ht="13" customHeight="1">
      <c r="B200" s="409" t="s">
        <v>617</v>
      </c>
      <c r="C200" s="391">
        <f>Sheet2!D73/10^9</f>
        <v>41.793446795999998</v>
      </c>
      <c r="D200" s="391">
        <f>Sheet2!E73/10^9</f>
        <v>44.59412726</v>
      </c>
      <c r="E200" s="391">
        <f>Sheet2!F73/10^9</f>
        <v>49.693210612999998</v>
      </c>
      <c r="F200" s="391">
        <f>Sheet2!G73/10^9</f>
        <v>38.756959051999999</v>
      </c>
      <c r="G200" s="391">
        <f>Sheet2!H73/10^9</f>
        <v>40.941800119</v>
      </c>
      <c r="H200" s="391">
        <f>Sheet2!I73/10^9</f>
        <v>39.980493998</v>
      </c>
      <c r="I200" s="391">
        <f>Sheet2!J73/10^9</f>
        <v>41.654895301000003</v>
      </c>
      <c r="J200" s="391">
        <f>Sheet2!K73/10^9</f>
        <v>44.803322573999999</v>
      </c>
      <c r="K200" s="391">
        <f>Sheet2!L73/10^9</f>
        <v>45.830875571</v>
      </c>
      <c r="L200" s="391">
        <f>Sheet2!M73/10^9</f>
        <v>47.338230035999999</v>
      </c>
      <c r="M200" s="391">
        <f>Sheet2!N73/10^9</f>
        <v>66.564642000000006</v>
      </c>
      <c r="N200" s="391">
        <f>Sheet2!O73/10^9</f>
        <v>77.953270130999996</v>
      </c>
      <c r="O200" s="391">
        <f>Sheet2!P73/10^9</f>
        <v>105.733344899</v>
      </c>
      <c r="P200" s="391">
        <f>Sheet2!Q73/10^9</f>
        <v>141.160779945</v>
      </c>
      <c r="Q200" s="398"/>
      <c r="R200" s="398"/>
      <c r="S200" s="398"/>
      <c r="T200" s="398"/>
      <c r="U200" s="388"/>
      <c r="V200" s="398"/>
      <c r="W200" s="388"/>
      <c r="X200" s="400"/>
    </row>
    <row r="201" spans="2:26" s="415" customFormat="1" ht="13" hidden="1" customHeight="1">
      <c r="B201" s="409" t="s">
        <v>609</v>
      </c>
      <c r="C201" s="391">
        <f>Sheet2!D75/10^9</f>
        <v>14.429622517</v>
      </c>
      <c r="D201" s="391">
        <f>Sheet2!E75/10^9</f>
        <v>15.02005454</v>
      </c>
      <c r="E201" s="391">
        <f>Sheet2!F75/10^9</f>
        <v>18.726156008</v>
      </c>
      <c r="F201" s="391">
        <f>Sheet2!G75/10^9</f>
        <v>20.673498922</v>
      </c>
      <c r="G201" s="391">
        <f>Sheet2!H75/10^9</f>
        <v>20.583864460000001</v>
      </c>
      <c r="H201" s="391">
        <f>Sheet2!I75/10^9</f>
        <v>17.855577321999998</v>
      </c>
      <c r="I201" s="391">
        <f>Sheet2!J75/10^9</f>
        <v>17.020421714000001</v>
      </c>
      <c r="J201" s="391">
        <f>Sheet2!K75/10^9</f>
        <v>19.326822875000001</v>
      </c>
      <c r="K201" s="391">
        <f>Sheet2!L75/10^9</f>
        <v>19.328947239000001</v>
      </c>
      <c r="L201" s="391">
        <f>Sheet2!M75/10^9</f>
        <v>23.842383100999999</v>
      </c>
      <c r="M201" s="391">
        <f>Sheet2!N75/10^9</f>
        <v>42.890825903</v>
      </c>
      <c r="N201" s="391">
        <f>Sheet2!O75/10^9</f>
        <v>57.222319468000002</v>
      </c>
      <c r="O201" s="391">
        <f>Sheet2!P75/10^9</f>
        <v>80.482726271999994</v>
      </c>
      <c r="P201" s="391">
        <f>Sheet2!Q75/10^9</f>
        <v>102.903218196</v>
      </c>
      <c r="Q201" s="398"/>
      <c r="R201" s="398"/>
      <c r="S201" s="398"/>
      <c r="T201" s="398"/>
      <c r="U201" s="388"/>
      <c r="V201" s="398"/>
      <c r="W201" s="388"/>
      <c r="X201" s="400"/>
    </row>
    <row r="202" spans="2:26" s="414" customFormat="1" ht="13" customHeight="1">
      <c r="B202" s="361" t="s">
        <v>634</v>
      </c>
      <c r="C202" s="383">
        <f>C203+C204</f>
        <v>13.086861544000001</v>
      </c>
      <c r="D202" s="383">
        <f t="shared" ref="D202:T202" si="194">D203+D204+D205</f>
        <v>17.526541083205387</v>
      </c>
      <c r="E202" s="383">
        <f t="shared" si="194"/>
        <v>15.524875821</v>
      </c>
      <c r="F202" s="383">
        <f t="shared" si="194"/>
        <v>14.035501479000001</v>
      </c>
      <c r="G202" s="383">
        <f t="shared" si="194"/>
        <v>16.68250319184175</v>
      </c>
      <c r="H202" s="383">
        <f t="shared" si="194"/>
        <v>16.120454666000001</v>
      </c>
      <c r="I202" s="383">
        <f t="shared" si="194"/>
        <v>16.563785160000002</v>
      </c>
      <c r="J202" s="383">
        <f t="shared" si="194"/>
        <v>16.334634848</v>
      </c>
      <c r="K202" s="383">
        <f t="shared" si="194"/>
        <v>21.281235457000001</v>
      </c>
      <c r="L202" s="383">
        <f t="shared" si="194"/>
        <v>28.936800350999999</v>
      </c>
      <c r="M202" s="383">
        <f t="shared" si="194"/>
        <v>41.082578814999998</v>
      </c>
      <c r="N202" s="383">
        <f t="shared" si="194"/>
        <v>53.825366271999997</v>
      </c>
      <c r="O202" s="383">
        <f t="shared" si="194"/>
        <v>53.133103706</v>
      </c>
      <c r="P202" s="383">
        <f t="shared" si="194"/>
        <v>63.688568865999997</v>
      </c>
      <c r="Q202" s="383">
        <f t="shared" si="194"/>
        <v>21.108625649567699</v>
      </c>
      <c r="R202" s="383">
        <f t="shared" si="194"/>
        <v>10.555465160000001</v>
      </c>
      <c r="S202" s="383">
        <f t="shared" si="194"/>
        <v>42.579943216432298</v>
      </c>
      <c r="T202" s="383">
        <f t="shared" si="194"/>
        <v>357.20940863284176</v>
      </c>
      <c r="U202" s="383">
        <f t="shared" ref="U202:V202" si="195">U203+U204+U205</f>
        <v>223.86297557783209</v>
      </c>
      <c r="V202" s="383">
        <f t="shared" si="195"/>
        <v>223.86297557783209</v>
      </c>
      <c r="W202" s="383">
        <f>T202-U202</f>
        <v>133.34643305500967</v>
      </c>
      <c r="X202" s="385">
        <f>T202/V202</f>
        <v>1.5956609515745857</v>
      </c>
    </row>
    <row r="203" spans="2:26" s="404" customFormat="1" ht="13" customHeight="1">
      <c r="B203" s="409" t="s">
        <v>635</v>
      </c>
      <c r="C203" s="391">
        <f>Sheet2!D79/10^9</f>
        <v>4.6593681059999996</v>
      </c>
      <c r="D203" s="391">
        <f>Sheet2!E79/10^9</f>
        <v>5.8330256140000003</v>
      </c>
      <c r="E203" s="391">
        <f>Sheet2!F79/10^9</f>
        <v>5.8558103910000003</v>
      </c>
      <c r="F203" s="391">
        <f>Sheet2!G79/10^9</f>
        <v>4.8388102880000003</v>
      </c>
      <c r="G203" s="391">
        <f>Sheet2!H79/10^9</f>
        <v>5.5610900358417519</v>
      </c>
      <c r="H203" s="391">
        <f>Sheet2!I79/10^9</f>
        <v>5.5548449900000003</v>
      </c>
      <c r="I203" s="391">
        <f>Sheet2!J79/10^9</f>
        <v>5.7423654559999999</v>
      </c>
      <c r="J203" s="391">
        <f>Sheet2!K79/10^9</f>
        <v>5.6862507070000001</v>
      </c>
      <c r="K203" s="391">
        <f>Sheet2!L79/10^9</f>
        <v>6.3400270970000001</v>
      </c>
      <c r="L203" s="391">
        <f>Sheet2!M79/10^9</f>
        <v>9.2307830959999997</v>
      </c>
      <c r="M203" s="391">
        <f>Sheet2!N79/10^9</f>
        <v>11.830737263</v>
      </c>
      <c r="N203" s="391">
        <f>Sheet2!O79/10^9</f>
        <v>16.749314022</v>
      </c>
      <c r="O203" s="391">
        <f>Sheet2!P79/10^9</f>
        <v>16.699556806</v>
      </c>
      <c r="P203" s="391">
        <f>Sheet2!Q79/10^9</f>
        <v>19.434256496</v>
      </c>
      <c r="Q203" s="391">
        <f>BG_25_LEND!BE234</f>
        <v>7.2570256495677015</v>
      </c>
      <c r="R203" s="391">
        <f>P203-O203</f>
        <v>2.7346996899999994</v>
      </c>
      <c r="S203" s="391">
        <f>P203-Q203</f>
        <v>12.177230846432298</v>
      </c>
      <c r="T203" s="391">
        <f>Sheet2!C79/10^9</f>
        <v>113.52384664784175</v>
      </c>
      <c r="U203" s="391">
        <f>V203</f>
        <v>77.353575577832146</v>
      </c>
      <c r="V203" s="391">
        <f>BG_25_LEND!DE234</f>
        <v>77.353575577832146</v>
      </c>
      <c r="W203" s="391">
        <f t="shared" ref="W203:W206" si="196">T203-U203</f>
        <v>36.170271070009605</v>
      </c>
      <c r="X203" s="392">
        <f>T203/V203</f>
        <v>1.4675966275613925</v>
      </c>
    </row>
    <row r="204" spans="2:26" s="404" customFormat="1" ht="13" customHeight="1">
      <c r="B204" s="409" t="s">
        <v>636</v>
      </c>
      <c r="C204" s="386">
        <f>Sheet2!D84/10^9</f>
        <v>8.4274934380000008</v>
      </c>
      <c r="D204" s="386">
        <f>Sheet2!E84/10^9</f>
        <v>11.663739212205387</v>
      </c>
      <c r="E204" s="386">
        <f>Sheet2!F84/10^9</f>
        <v>9.6500770770000006</v>
      </c>
      <c r="F204" s="386">
        <f>Sheet2!G84/10^9</f>
        <v>9.0920469799999992</v>
      </c>
      <c r="G204" s="386">
        <f>Sheet2!H84/10^9</f>
        <v>10.797132761</v>
      </c>
      <c r="H204" s="386">
        <f>Sheet2!I84/10^9</f>
        <v>10.34971717</v>
      </c>
      <c r="I204" s="386">
        <f>Sheet2!J84/10^9</f>
        <v>10.613550423</v>
      </c>
      <c r="J204" s="386">
        <f>Sheet2!K84/10^9</f>
        <v>10.421053028999999</v>
      </c>
      <c r="K204" s="386">
        <f>Sheet2!L84/10^9</f>
        <v>14.609762521</v>
      </c>
      <c r="L204" s="386">
        <f>Sheet2!M84/10^9</f>
        <v>19.387293432</v>
      </c>
      <c r="M204" s="386">
        <f>Sheet2!N84/10^9</f>
        <v>28.934033766999999</v>
      </c>
      <c r="N204" s="386">
        <f>Sheet2!O84/10^9</f>
        <v>36.673437208999999</v>
      </c>
      <c r="O204" s="386">
        <f>Sheet2!P84/10^9</f>
        <v>35.959010739999997</v>
      </c>
      <c r="P204" s="386">
        <f>Sheet2!Q84/10^9</f>
        <v>43.841256434999998</v>
      </c>
      <c r="Q204" s="391">
        <f>BG_25_LEND!BE237-Q205</f>
        <v>13.851599999999998</v>
      </c>
      <c r="R204" s="391">
        <f>P204-O204</f>
        <v>7.8822456950000017</v>
      </c>
      <c r="S204" s="391">
        <f>P204-Q204</f>
        <v>29.989656435000001</v>
      </c>
      <c r="T204" s="391">
        <f>Sheet2!C84/10^9</f>
        <v>240.32837154399999</v>
      </c>
      <c r="U204" s="391">
        <f>V204</f>
        <v>146.50939999999994</v>
      </c>
      <c r="V204" s="391">
        <f>BG_25_LEND!DE237-V205</f>
        <v>146.50939999999994</v>
      </c>
      <c r="W204" s="391">
        <f t="shared" si="196"/>
        <v>93.81897154400005</v>
      </c>
      <c r="X204" s="392">
        <f t="shared" si="192"/>
        <v>1.6403614480982114</v>
      </c>
    </row>
    <row r="205" spans="2:26" s="404" customFormat="1" ht="13" customHeight="1">
      <c r="B205" s="409" t="s">
        <v>620</v>
      </c>
      <c r="C205" s="391">
        <f>Sheet2!D88/10^9</f>
        <v>1.7777075999999999E-2</v>
      </c>
      <c r="D205" s="391">
        <f>Sheet2!E88/10^9</f>
        <v>2.9776257E-2</v>
      </c>
      <c r="E205" s="391">
        <f>Sheet2!F88/10^9</f>
        <v>1.8988352999999999E-2</v>
      </c>
      <c r="F205" s="391">
        <f>Sheet2!G88/10^9</f>
        <v>0.104644211</v>
      </c>
      <c r="G205" s="391">
        <f>Sheet2!H88/10^9</f>
        <v>0.324280395</v>
      </c>
      <c r="H205" s="391">
        <f>Sheet2!I88/10^9</f>
        <v>0.21589250600000001</v>
      </c>
      <c r="I205" s="391">
        <f>Sheet2!J88/10^9</f>
        <v>0.20786928099999999</v>
      </c>
      <c r="J205" s="391">
        <f>Sheet2!K88/10^9</f>
        <v>0.227331112</v>
      </c>
      <c r="K205" s="391">
        <f>Sheet2!L88/10^9</f>
        <v>0.33144583900000002</v>
      </c>
      <c r="L205" s="391">
        <f>Sheet2!M88/10^9</f>
        <v>0.31872382300000002</v>
      </c>
      <c r="M205" s="391">
        <f>Sheet2!N88/10^9</f>
        <v>0.31780778500000001</v>
      </c>
      <c r="N205" s="391">
        <f>Sheet2!O88/10^9</f>
        <v>0.40261504100000001</v>
      </c>
      <c r="O205" s="391">
        <f>Sheet2!P88/10^9</f>
        <v>0.47453615999999998</v>
      </c>
      <c r="P205" s="391">
        <f>Sheet2!Q88/10^9</f>
        <v>0.41305593499999999</v>
      </c>
      <c r="Q205" s="391">
        <f>BG_25_LEND!BE243</f>
        <v>0</v>
      </c>
      <c r="R205" s="391">
        <f>P205-O205</f>
        <v>-6.1480224999999999E-2</v>
      </c>
      <c r="S205" s="391">
        <f>P205-Q205</f>
        <v>0.41305593499999999</v>
      </c>
      <c r="T205" s="391">
        <f>Sheet2!C88/10^9</f>
        <v>3.3571904410000002</v>
      </c>
      <c r="U205" s="391">
        <f>V205</f>
        <v>0</v>
      </c>
      <c r="V205" s="391">
        <f>BG_25_LEND!DE243</f>
        <v>0</v>
      </c>
      <c r="W205" s="391">
        <f t="shared" si="196"/>
        <v>3.3571904410000002</v>
      </c>
      <c r="X205" s="392">
        <v>0</v>
      </c>
    </row>
    <row r="206" spans="2:26" s="414" customFormat="1" ht="13" customHeight="1">
      <c r="B206" s="361" t="s">
        <v>621</v>
      </c>
      <c r="C206" s="382">
        <f>Sheet2!D89/ 10^9</f>
        <v>2.7761465699999999</v>
      </c>
      <c r="D206" s="382">
        <f>Sheet2!E89/ 10^9</f>
        <v>3.9873279469999998</v>
      </c>
      <c r="E206" s="382">
        <f>Sheet2!F89/ 10^9</f>
        <v>10.026816787</v>
      </c>
      <c r="F206" s="382">
        <f>Sheet2!G89/ 10^9</f>
        <v>4.036297706</v>
      </c>
      <c r="G206" s="382">
        <f>Sheet2!H89/ 10^9</f>
        <v>4.9211262769999999</v>
      </c>
      <c r="H206" s="382">
        <f>Sheet2!I89/ 10^9</f>
        <v>4.1106846819999996</v>
      </c>
      <c r="I206" s="382">
        <f>Sheet2!J89/ 10^9</f>
        <v>5.02691716</v>
      </c>
      <c r="J206" s="382">
        <f>Sheet2!K89/ 10^9</f>
        <v>5.3990658979999999</v>
      </c>
      <c r="K206" s="382">
        <f>Sheet2!L89/ 10^9</f>
        <v>6.7846227629999998</v>
      </c>
      <c r="L206" s="382">
        <f>Sheet2!M89/ 10^9</f>
        <v>7.3590567849999999</v>
      </c>
      <c r="M206" s="382">
        <f>Sheet2!N89/ 10^9</f>
        <v>9.9931206810000006</v>
      </c>
      <c r="N206" s="382">
        <f>Sheet2!O89/ 10^9</f>
        <v>9.2766812640000005</v>
      </c>
      <c r="O206" s="382">
        <f>Sheet2!P89/ 10^9</f>
        <v>10.838411396</v>
      </c>
      <c r="P206" s="382">
        <f>Sheet2!Q89/ 10^9</f>
        <v>18.101498503999998</v>
      </c>
      <c r="Q206" s="382">
        <f>-BG_25_LEND!BE249</f>
        <v>7.4618146360864825</v>
      </c>
      <c r="R206" s="383">
        <f>P206-O206</f>
        <v>7.2630871079999988</v>
      </c>
      <c r="S206" s="383">
        <f>P206-Q206</f>
        <v>10.639683867913515</v>
      </c>
      <c r="T206" s="382">
        <f>Sheet2!C89/10^9</f>
        <v>95.874299902999994</v>
      </c>
      <c r="U206" s="383">
        <f>V206</f>
        <v>79.563446043135201</v>
      </c>
      <c r="V206" s="383">
        <f>-BG_25_LEND!DE249</f>
        <v>79.563446043135201</v>
      </c>
      <c r="W206" s="383">
        <f t="shared" si="196"/>
        <v>16.310853859864793</v>
      </c>
      <c r="X206" s="385">
        <f t="shared" si="192"/>
        <v>1.2050043665909329</v>
      </c>
    </row>
    <row r="207" spans="2:26" s="414" customFormat="1" ht="13" customHeight="1">
      <c r="B207" s="361" t="s">
        <v>637</v>
      </c>
      <c r="C207" s="382">
        <f>SUM(C208:C215)</f>
        <v>4.6456454501140128</v>
      </c>
      <c r="D207" s="382">
        <f t="shared" ref="D207:G207" si="197">SUM(D208:D215)</f>
        <v>5.6302104020565418</v>
      </c>
      <c r="E207" s="382">
        <f t="shared" si="197"/>
        <v>6.3920009325567726</v>
      </c>
      <c r="F207" s="382">
        <f t="shared" si="197"/>
        <v>5.8571501314943557</v>
      </c>
      <c r="G207" s="382">
        <f t="shared" si="197"/>
        <v>6.0570811602405623</v>
      </c>
      <c r="H207" s="382">
        <f t="shared" ref="H207:V207" si="198">SUM(H208:H215)</f>
        <v>4.5243285664577115</v>
      </c>
      <c r="I207" s="382">
        <f t="shared" si="198"/>
        <v>5.1140941695480819</v>
      </c>
      <c r="J207" s="382">
        <f t="shared" si="198"/>
        <v>5.445682463231595</v>
      </c>
      <c r="K207" s="382">
        <f t="shared" si="198"/>
        <v>6.5701919480429947</v>
      </c>
      <c r="L207" s="382">
        <f t="shared" si="198"/>
        <v>6.9559074059087029</v>
      </c>
      <c r="M207" s="382">
        <f t="shared" si="198"/>
        <v>9.5997016569943874</v>
      </c>
      <c r="N207" s="382">
        <f t="shared" si="198"/>
        <v>12.885597319542997</v>
      </c>
      <c r="O207" s="382">
        <f t="shared" si="198"/>
        <v>11.840394507783893</v>
      </c>
      <c r="P207" s="382">
        <f t="shared" si="198"/>
        <v>11.753881061240502</v>
      </c>
      <c r="Q207" s="382">
        <f>SUM(Q208:Q215)</f>
        <v>7.9868508223456276</v>
      </c>
      <c r="R207" s="382">
        <f>SUM(R208:R215)</f>
        <v>-8.6513446543388217E-2</v>
      </c>
      <c r="S207" s="382">
        <f t="shared" si="198"/>
        <v>3.7670302388948755</v>
      </c>
      <c r="T207" s="382">
        <f>SUM(T208:T215)</f>
        <v>92.996011323042552</v>
      </c>
      <c r="U207" s="382">
        <f t="shared" si="198"/>
        <v>87.147105671085825</v>
      </c>
      <c r="V207" s="382">
        <f t="shared" si="198"/>
        <v>87.147105671085825</v>
      </c>
      <c r="W207" s="383">
        <f t="shared" ref="W207:W215" si="199">T207-U207</f>
        <v>5.8489056519567271</v>
      </c>
      <c r="X207" s="385">
        <f t="shared" si="192"/>
        <v>1.0671153173351724</v>
      </c>
      <c r="Z207" s="774"/>
    </row>
    <row r="208" spans="2:26" s="414" customFormat="1" ht="13" customHeight="1">
      <c r="B208" s="409" t="s">
        <v>230</v>
      </c>
      <c r="C208" s="386">
        <f>Sheet2!D92/10^9</f>
        <v>0</v>
      </c>
      <c r="D208" s="386">
        <f>Sheet2!E92/10^9</f>
        <v>0</v>
      </c>
      <c r="E208" s="386">
        <f>Sheet2!F92/10^9</f>
        <v>0</v>
      </c>
      <c r="F208" s="386">
        <f>Sheet2!G92/10^9</f>
        <v>0</v>
      </c>
      <c r="G208" s="386">
        <f>Sheet2!H92/10^9</f>
        <v>0</v>
      </c>
      <c r="H208" s="386">
        <f>Sheet2!I92/10^9</f>
        <v>0</v>
      </c>
      <c r="I208" s="386">
        <f>Sheet2!J92/10^9</f>
        <v>0</v>
      </c>
      <c r="J208" s="386">
        <f>Sheet2!K92/10^9</f>
        <v>0</v>
      </c>
      <c r="K208" s="386">
        <f>Sheet2!L92/10^9</f>
        <v>0.04</v>
      </c>
      <c r="L208" s="386">
        <f>Sheet2!M92/10^9</f>
        <v>3.8824927000000002E-2</v>
      </c>
      <c r="M208" s="386">
        <f>Sheet2!N92/10^9</f>
        <v>0.10440397999999999</v>
      </c>
      <c r="N208" s="386">
        <f>Sheet2!O92/10^9</f>
        <v>9.4113532999999999E-2</v>
      </c>
      <c r="O208" s="386">
        <f>Sheet2!P92/10^9</f>
        <v>0.12575704700000001</v>
      </c>
      <c r="P208" s="386">
        <f>Sheet2!Q92/10^9</f>
        <v>2.4403979999999999E-2</v>
      </c>
      <c r="Q208" s="386">
        <f>-BG_25_LEND!BE254</f>
        <v>0.01</v>
      </c>
      <c r="R208" s="391">
        <f t="shared" ref="R208:R216" si="200">P208-O208</f>
        <v>-0.10135306700000002</v>
      </c>
      <c r="S208" s="391">
        <f t="shared" ref="S208:S216" si="201">P208-Q208</f>
        <v>1.4403979999999999E-2</v>
      </c>
      <c r="T208" s="386">
        <f>Sheet2!C92/10^9</f>
        <v>0.42750346700000003</v>
      </c>
      <c r="U208" s="391">
        <f t="shared" ref="U208:U213" si="202">V208</f>
        <v>6.4999999999999988E-2</v>
      </c>
      <c r="V208" s="391">
        <f>-BG_25_LEND!DE254</f>
        <v>6.4999999999999988E-2</v>
      </c>
      <c r="W208" s="391">
        <f t="shared" si="199"/>
        <v>0.36250346700000002</v>
      </c>
      <c r="X208" s="392">
        <f>T208/V208</f>
        <v>6.5769764153846166</v>
      </c>
    </row>
    <row r="209" spans="1:44" s="414" customFormat="1" ht="13" customHeight="1">
      <c r="B209" s="409" t="s">
        <v>231</v>
      </c>
      <c r="C209" s="386">
        <f>Sheet2!D91/10^9</f>
        <v>4.1337958090000004</v>
      </c>
      <c r="D209" s="386">
        <f>Sheet2!E91/10^9</f>
        <v>4.8391450730000001</v>
      </c>
      <c r="E209" s="386">
        <f>Sheet2!F91/10^9</f>
        <v>5.6135973349999997</v>
      </c>
      <c r="F209" s="386">
        <f>Sheet2!G91/10^9</f>
        <v>5.0908928199999997</v>
      </c>
      <c r="G209" s="386">
        <f>Sheet2!H91/10^9</f>
        <v>5.4819078369999996</v>
      </c>
      <c r="H209" s="386">
        <f>Sheet2!I91/10^9</f>
        <v>3.923265598</v>
      </c>
      <c r="I209" s="386">
        <f>Sheet2!J91/10^9</f>
        <v>4.5646286680000001</v>
      </c>
      <c r="J209" s="386">
        <f>Sheet2!K91/10^9</f>
        <v>5.0179282369999996</v>
      </c>
      <c r="K209" s="386">
        <f>Sheet2!L91/10^9</f>
        <v>5.5195658099999996</v>
      </c>
      <c r="L209" s="386">
        <f>Sheet2!M91/10^9</f>
        <v>5.5787037079999999</v>
      </c>
      <c r="M209" s="386">
        <f>Sheet2!N91/10^9</f>
        <v>7.9065799029999999</v>
      </c>
      <c r="N209" s="386">
        <f>Sheet2!O91/10^9</f>
        <v>10.738623391999999</v>
      </c>
      <c r="O209" s="386">
        <f>Sheet2!P91/10^9</f>
        <v>9.6271003840000002</v>
      </c>
      <c r="P209" s="386">
        <f>Sheet2!Q91/10^9</f>
        <v>9.2938716899999996</v>
      </c>
      <c r="Q209" s="386">
        <f>-BG_25_LEND!BE259</f>
        <v>6.8053388223456279</v>
      </c>
      <c r="R209" s="391">
        <f t="shared" si="200"/>
        <v>-0.33322869400000066</v>
      </c>
      <c r="S209" s="391">
        <f t="shared" si="201"/>
        <v>2.4885328676543716</v>
      </c>
      <c r="T209" s="386">
        <f>Sheet2!C91/10^9</f>
        <v>78.356665382000003</v>
      </c>
      <c r="U209" s="391">
        <f t="shared" si="202"/>
        <v>74.447764337752488</v>
      </c>
      <c r="V209" s="391">
        <f>-BG_25_LEND!DE259</f>
        <v>74.447764337752488</v>
      </c>
      <c r="W209" s="391">
        <f t="shared" si="199"/>
        <v>3.9089010442475143</v>
      </c>
      <c r="X209" s="392">
        <f t="shared" ref="X209:X216" si="203">T209/V209</f>
        <v>1.0525052844637983</v>
      </c>
    </row>
    <row r="210" spans="1:44" s="414" customFormat="1" ht="13" customHeight="1">
      <c r="B210" s="409" t="s">
        <v>232</v>
      </c>
      <c r="C210" s="386">
        <f>Sheet2!D93/10^9</f>
        <v>0.24896722700000001</v>
      </c>
      <c r="D210" s="386">
        <f>Sheet2!E93/10^9</f>
        <v>0.44547279600000006</v>
      </c>
      <c r="E210" s="386">
        <f>Sheet2!F93/10^9</f>
        <v>0.294708631</v>
      </c>
      <c r="F210" s="386">
        <f>Sheet2!G93/10^9</f>
        <v>0.241456911</v>
      </c>
      <c r="G210" s="386">
        <f>Sheet2!H93/10^9</f>
        <v>0.27443088999999998</v>
      </c>
      <c r="H210" s="386">
        <f>Sheet2!I93/10^9</f>
        <v>0.25677810700000003</v>
      </c>
      <c r="I210" s="386">
        <f>Sheet2!J93/10^9</f>
        <v>0.23072639</v>
      </c>
      <c r="J210" s="386">
        <f>Sheet2!K93/10^9</f>
        <v>0.26131896700000001</v>
      </c>
      <c r="K210" s="386">
        <f>Sheet2!L93/10^9</f>
        <v>0.774554348</v>
      </c>
      <c r="L210" s="386">
        <f>Sheet2!M93/10^9</f>
        <v>1.088847457</v>
      </c>
      <c r="M210" s="386">
        <f>Sheet2!N93/10^9</f>
        <v>1.2500649879999997</v>
      </c>
      <c r="N210" s="386">
        <f>Sheet2!O93/10^9</f>
        <v>1.3770557219999999</v>
      </c>
      <c r="O210" s="386">
        <f>Sheet2!P93/10^9</f>
        <v>1.2568686739999999</v>
      </c>
      <c r="P210" s="386">
        <f>Sheet2!Q93/10^9</f>
        <v>1.567243148</v>
      </c>
      <c r="Q210" s="386">
        <f>-BG_25_LEND!BE251</f>
        <v>0.64319999999999999</v>
      </c>
      <c r="R210" s="391">
        <f t="shared" si="200"/>
        <v>0.31037447400000007</v>
      </c>
      <c r="S210" s="391">
        <f t="shared" si="201"/>
        <v>0.92404314799999998</v>
      </c>
      <c r="T210" s="386">
        <f>Sheet2!C93/10^9</f>
        <v>8.874054232999999</v>
      </c>
      <c r="U210" s="391">
        <f t="shared" si="202"/>
        <v>6.5179666666666645</v>
      </c>
      <c r="V210" s="391">
        <f>-BG_25_LEND!DE251</f>
        <v>6.5179666666666645</v>
      </c>
      <c r="W210" s="391">
        <f t="shared" si="199"/>
        <v>2.3560875663333345</v>
      </c>
      <c r="X210" s="392">
        <f t="shared" si="203"/>
        <v>1.3614758538705836</v>
      </c>
    </row>
    <row r="211" spans="1:44" s="414" customFormat="1" ht="13" customHeight="1">
      <c r="B211" s="409" t="s">
        <v>233</v>
      </c>
      <c r="C211" s="386">
        <f>Sheet2!D94/10^9</f>
        <v>2.6277707000000001E-2</v>
      </c>
      <c r="D211" s="386">
        <f>Sheet2!E94/10^9</f>
        <v>3.6646593999999998E-2</v>
      </c>
      <c r="E211" s="386">
        <f>Sheet2!F94/10^9</f>
        <v>2.9923064999999999E-2</v>
      </c>
      <c r="F211" s="386">
        <f>Sheet2!G94/10^9</f>
        <v>2.821893E-2</v>
      </c>
      <c r="G211" s="386">
        <f>Sheet2!H94/10^9</f>
        <v>3.3706488999999999E-2</v>
      </c>
      <c r="H211" s="386">
        <f>Sheet2!I94/10^9</f>
        <v>8.4853828000000006E-2</v>
      </c>
      <c r="I211" s="386">
        <f>Sheet2!J94/10^9</f>
        <v>3.2273105000000003E-2</v>
      </c>
      <c r="J211" s="386">
        <f>Sheet2!K94/10^9</f>
        <v>3.0953739000000001E-2</v>
      </c>
      <c r="K211" s="386">
        <f>Sheet2!L94/10^9</f>
        <v>4.9479044999999999E-2</v>
      </c>
      <c r="L211" s="386">
        <f>Sheet2!M94/10^9</f>
        <v>7.0448214999999995E-2</v>
      </c>
      <c r="M211" s="386">
        <f>Sheet2!N94/10^9</f>
        <v>0.104982612</v>
      </c>
      <c r="N211" s="386">
        <f>Sheet2!O94/10^9</f>
        <v>0.13030724299999999</v>
      </c>
      <c r="O211" s="386">
        <f>Sheet2!P94/10^9</f>
        <v>0.12834298799999999</v>
      </c>
      <c r="P211" s="386">
        <f>Sheet2!Q94/10^9</f>
        <v>0.14724261799999999</v>
      </c>
      <c r="Q211" s="386">
        <f>-BG_25_LEND!BE253</f>
        <v>0.18106666666666665</v>
      </c>
      <c r="R211" s="391">
        <f t="shared" si="200"/>
        <v>1.8899630000000001E-2</v>
      </c>
      <c r="S211" s="391">
        <f t="shared" si="201"/>
        <v>-3.3824048666666662E-2</v>
      </c>
      <c r="T211" s="386">
        <f>Sheet2!C94/10^9</f>
        <v>0.87073187699999999</v>
      </c>
      <c r="U211" s="391">
        <f t="shared" si="202"/>
        <v>1.9151555555555548</v>
      </c>
      <c r="V211" s="391">
        <f>-BG_25_LEND!DE253</f>
        <v>1.9151555555555548</v>
      </c>
      <c r="W211" s="391">
        <f t="shared" si="199"/>
        <v>-1.044423678555555</v>
      </c>
      <c r="X211" s="392">
        <f t="shared" si="203"/>
        <v>0.45465334367965488</v>
      </c>
    </row>
    <row r="212" spans="1:44" s="414" customFormat="1" ht="13" hidden="1" customHeight="1">
      <c r="B212" s="409" t="s">
        <v>152</v>
      </c>
      <c r="C212" s="386">
        <f>Sheet2!D95/10^9</f>
        <v>0</v>
      </c>
      <c r="D212" s="386">
        <f>Sheet2!E95/10^9</f>
        <v>0</v>
      </c>
      <c r="E212" s="386">
        <f>Sheet2!F95/10^9</f>
        <v>4.4622000000000002E-2</v>
      </c>
      <c r="F212" s="386">
        <f>Sheet2!G95/10^9</f>
        <v>2.7912375E-2</v>
      </c>
      <c r="G212" s="386">
        <f>Sheet2!H95/10^9</f>
        <v>4.1446125E-2</v>
      </c>
      <c r="H212" s="386">
        <f>Sheet2!I95/10^9</f>
        <v>3.4462125000000003E-2</v>
      </c>
      <c r="I212" s="386">
        <f>Sheet2!J95/10^9</f>
        <v>3.4519499999999995E-2</v>
      </c>
      <c r="J212" s="386">
        <f>Sheet2!K95/10^9</f>
        <v>3.7423125000000008E-2</v>
      </c>
      <c r="K212" s="386">
        <f>Sheet2!L95/10^9</f>
        <v>4.2372750000000001E-2</v>
      </c>
      <c r="L212" s="386">
        <f>Sheet2!M95/10^9</f>
        <v>4.0678625000000003E-2</v>
      </c>
      <c r="M212" s="386">
        <f>Sheet2!N95/10^9</f>
        <v>4.0139624999999991E-2</v>
      </c>
      <c r="N212" s="386">
        <f>Sheet2!O95/10^9</f>
        <v>4.6066124999999992E-2</v>
      </c>
      <c r="O212" s="386">
        <f>Sheet2!P95/10^9</f>
        <v>4.6013625000000009E-2</v>
      </c>
      <c r="P212" s="386">
        <f>Sheet2!Q95/10^9</f>
        <v>5.8829062500000001E-2</v>
      </c>
      <c r="Q212" s="386">
        <f>-BG_25_LEND!BE257</f>
        <v>3.4000000000000002E-2</v>
      </c>
      <c r="R212" s="391">
        <f t="shared" si="200"/>
        <v>1.2815437499999992E-2</v>
      </c>
      <c r="S212" s="391">
        <f t="shared" si="201"/>
        <v>2.4829062499999999E-2</v>
      </c>
      <c r="T212" s="386">
        <f>Sheet2!C95/10^9</f>
        <v>0.49448506249999996</v>
      </c>
      <c r="U212" s="391">
        <f t="shared" si="202"/>
        <v>0.88800000000000023</v>
      </c>
      <c r="V212" s="391">
        <f>-SUM(BG_25_LEND!DE257)</f>
        <v>0.88800000000000023</v>
      </c>
      <c r="W212" s="391">
        <f t="shared" si="199"/>
        <v>-0.39351493750000027</v>
      </c>
      <c r="X212" s="392">
        <f t="shared" si="203"/>
        <v>0.5568525478603602</v>
      </c>
    </row>
    <row r="213" spans="1:44" s="414" customFormat="1" ht="13" customHeight="1">
      <c r="B213" s="409" t="s">
        <v>234</v>
      </c>
      <c r="C213" s="386">
        <f>Sheet2!D96/10^9</f>
        <v>0.22876078101913536</v>
      </c>
      <c r="D213" s="386">
        <f>Sheet2!E96/10^9</f>
        <v>0.2897540835586529</v>
      </c>
      <c r="E213" s="386">
        <f>Sheet2!F96/10^9</f>
        <v>0.38013327753800524</v>
      </c>
      <c r="F213" s="386">
        <f>Sheet2!G96/10^9</f>
        <v>0.45412169413414444</v>
      </c>
      <c r="G213" s="386">
        <f>Sheet2!H96/10^9</f>
        <v>0.20636976419294606</v>
      </c>
      <c r="H213" s="386">
        <f>Sheet2!I96/10^9</f>
        <v>0.19828551063344127</v>
      </c>
      <c r="I213" s="386">
        <f>Sheet2!J96/10^9</f>
        <v>0.23158827235682464</v>
      </c>
      <c r="J213" s="386">
        <f>Sheet2!K96/10^9</f>
        <v>8.0922782523786568E-2</v>
      </c>
      <c r="K213" s="386">
        <f>Sheet2!L96/10^9</f>
        <v>0.121000549</v>
      </c>
      <c r="L213" s="386">
        <f>Sheet2!M96/10^9</f>
        <v>0.1214915539176106</v>
      </c>
      <c r="M213" s="386">
        <f>Sheet2!N96/10^9</f>
        <v>0.15031756237335217</v>
      </c>
      <c r="N213" s="386">
        <f>Sheet2!O96/10^9</f>
        <v>0.42913321154</v>
      </c>
      <c r="O213" s="386">
        <f>Sheet2!P96/10^9</f>
        <v>0.58240400517000013</v>
      </c>
      <c r="P213" s="386">
        <f>Sheet2!Q96/10^9</f>
        <v>0.59461647943000007</v>
      </c>
      <c r="Q213" s="386">
        <f>-BG_25_LEND!BE252</f>
        <v>0.29423333333333335</v>
      </c>
      <c r="R213" s="391">
        <f t="shared" si="200"/>
        <v>1.2212474259999939E-2</v>
      </c>
      <c r="S213" s="391">
        <f t="shared" si="201"/>
        <v>0.30038314609666672</v>
      </c>
      <c r="T213" s="386">
        <f>Sheet2!C96/10^9</f>
        <v>3.550384662810111</v>
      </c>
      <c r="U213" s="391">
        <f t="shared" si="202"/>
        <v>3.1121277777777765</v>
      </c>
      <c r="V213" s="391">
        <f>-BG_25_LEND!DE252</f>
        <v>3.1121277777777765</v>
      </c>
      <c r="W213" s="391">
        <f t="shared" si="199"/>
        <v>0.43825688503233451</v>
      </c>
      <c r="X213" s="392">
        <f t="shared" si="203"/>
        <v>1.140822265769972</v>
      </c>
    </row>
    <row r="214" spans="1:44" s="414" customFormat="1" ht="13" hidden="1" customHeight="1">
      <c r="B214" s="409" t="s">
        <v>235</v>
      </c>
      <c r="C214" s="386">
        <f>Sheet2!D97/10^9</f>
        <v>0</v>
      </c>
      <c r="D214" s="386">
        <f>Sheet2!E97/10^9</f>
        <v>0</v>
      </c>
      <c r="E214" s="386">
        <f>Sheet2!F97/10^9</f>
        <v>0</v>
      </c>
      <c r="F214" s="386">
        <f>Sheet2!G97/10^9</f>
        <v>0</v>
      </c>
      <c r="G214" s="386">
        <f>Sheet2!H97/10^9</f>
        <v>0</v>
      </c>
      <c r="H214" s="386">
        <f>Sheet2!I97/10^9</f>
        <v>0</v>
      </c>
      <c r="I214" s="386">
        <f>Sheet2!J97/10^9</f>
        <v>0</v>
      </c>
      <c r="J214" s="386">
        <f>Sheet2!K97/10^9</f>
        <v>0</v>
      </c>
      <c r="K214" s="386">
        <f>Sheet2!L97/10^9</f>
        <v>0</v>
      </c>
      <c r="L214" s="386">
        <f>Sheet2!M97/10^9</f>
        <v>0</v>
      </c>
      <c r="M214" s="386">
        <f>Sheet2!N97/10^9</f>
        <v>0</v>
      </c>
      <c r="N214" s="386">
        <f>Sheet2!O97/10^9</f>
        <v>0</v>
      </c>
      <c r="O214" s="386">
        <f>Sheet2!P97/10^9</f>
        <v>0</v>
      </c>
      <c r="P214" s="386">
        <f>Sheet2!Q97/10^9</f>
        <v>0</v>
      </c>
      <c r="Q214" s="382"/>
      <c r="R214" s="391">
        <f t="shared" si="200"/>
        <v>0</v>
      </c>
      <c r="S214" s="391">
        <f t="shared" si="201"/>
        <v>0</v>
      </c>
      <c r="T214" s="386">
        <f>Sheet2!C97/10^9</f>
        <v>0</v>
      </c>
      <c r="U214" s="382"/>
      <c r="V214" s="382"/>
      <c r="W214" s="391">
        <f t="shared" si="199"/>
        <v>0</v>
      </c>
      <c r="X214" s="392" t="e">
        <f>T214/V214</f>
        <v>#DIV/0!</v>
      </c>
    </row>
    <row r="215" spans="1:44" s="414" customFormat="1" ht="13" hidden="1" customHeight="1">
      <c r="B215" s="409" t="s">
        <v>163</v>
      </c>
      <c r="C215" s="386">
        <f>Sheet2!D98/10^9</f>
        <v>7.8439260948775513E-3</v>
      </c>
      <c r="D215" s="386">
        <f>Sheet2!E98/10^9</f>
        <v>1.919185549788921E-2</v>
      </c>
      <c r="E215" s="386">
        <f>Sheet2!F98/10^9</f>
        <v>2.9016624018767628E-2</v>
      </c>
      <c r="F215" s="386">
        <f>Sheet2!G98/10^9</f>
        <v>1.4547401360210788E-2</v>
      </c>
      <c r="G215" s="386">
        <f>Sheet2!H98/10^9</f>
        <v>1.9220055047617278E-2</v>
      </c>
      <c r="H215" s="386">
        <f>Sheet2!I98/10^9</f>
        <v>2.6683397824269522E-2</v>
      </c>
      <c r="I215" s="386">
        <f>Sheet2!J98/10^9</f>
        <v>2.0358234191257301E-2</v>
      </c>
      <c r="J215" s="386">
        <f>Sheet2!K98/10^9</f>
        <v>1.713561270780865E-2</v>
      </c>
      <c r="K215" s="386">
        <f>Sheet2!L98/10^9</f>
        <v>2.3219446042995105E-2</v>
      </c>
      <c r="L215" s="386">
        <f>Sheet2!M98/10^9</f>
        <v>1.6912919991092488E-2</v>
      </c>
      <c r="M215" s="386">
        <f>Sheet2!N98/10^9</f>
        <v>4.3212986621034247E-2</v>
      </c>
      <c r="N215" s="386">
        <f>Sheet2!O98/10^9</f>
        <v>7.0298093002999246E-2</v>
      </c>
      <c r="O215" s="386">
        <f>Sheet2!P98/10^9</f>
        <v>7.3907784613891525E-2</v>
      </c>
      <c r="P215" s="386">
        <f>Sheet2!Q98/10^9</f>
        <v>6.767408331050398E-2</v>
      </c>
      <c r="Q215" s="386">
        <f>-BG_25_LEND!BE256</f>
        <v>1.9012000000000001E-2</v>
      </c>
      <c r="R215" s="391">
        <f t="shared" si="200"/>
        <v>-6.2337013033875455E-3</v>
      </c>
      <c r="S215" s="391">
        <f t="shared" si="201"/>
        <v>4.8662083310503979E-2</v>
      </c>
      <c r="T215" s="386">
        <f>Sheet2!C98/10^9</f>
        <v>0.42218663873244772</v>
      </c>
      <c r="U215" s="391">
        <f>V215</f>
        <v>0.20109133333333326</v>
      </c>
      <c r="V215" s="391">
        <f>-SUM(BG_25_LEND!DE256)</f>
        <v>0.20109133333333326</v>
      </c>
      <c r="W215" s="391">
        <f t="shared" si="199"/>
        <v>0.22109530539911446</v>
      </c>
      <c r="X215" s="392">
        <f t="shared" si="203"/>
        <v>2.0994770472411268</v>
      </c>
    </row>
    <row r="216" spans="1:44" s="404" customFormat="1" ht="13" customHeight="1">
      <c r="B216" s="409" t="s">
        <v>624</v>
      </c>
      <c r="C216" s="386">
        <f t="shared" ref="C216:P216" si="204">C212+C215</f>
        <v>7.8439260948775513E-3</v>
      </c>
      <c r="D216" s="386">
        <f t="shared" si="204"/>
        <v>1.919185549788921E-2</v>
      </c>
      <c r="E216" s="386">
        <f t="shared" si="204"/>
        <v>7.3638624018767626E-2</v>
      </c>
      <c r="F216" s="386">
        <f t="shared" si="204"/>
        <v>4.2459776360210789E-2</v>
      </c>
      <c r="G216" s="386">
        <f t="shared" si="204"/>
        <v>6.0666180047617278E-2</v>
      </c>
      <c r="H216" s="386">
        <f t="shared" si="204"/>
        <v>6.1145522824269521E-2</v>
      </c>
      <c r="I216" s="386">
        <f t="shared" si="204"/>
        <v>5.4877734191257299E-2</v>
      </c>
      <c r="J216" s="386">
        <f>J212+J215</f>
        <v>5.4558737707808655E-2</v>
      </c>
      <c r="K216" s="386">
        <f t="shared" si="204"/>
        <v>6.5592196042995099E-2</v>
      </c>
      <c r="L216" s="386">
        <f t="shared" si="204"/>
        <v>5.7591544991092494E-2</v>
      </c>
      <c r="M216" s="386">
        <f t="shared" si="204"/>
        <v>8.3352611621034245E-2</v>
      </c>
      <c r="N216" s="386">
        <f t="shared" si="204"/>
        <v>0.11636421800299923</v>
      </c>
      <c r="O216" s="386">
        <f t="shared" si="204"/>
        <v>0.11992140961389153</v>
      </c>
      <c r="P216" s="386">
        <f t="shared" si="204"/>
        <v>0.12650314581050398</v>
      </c>
      <c r="Q216" s="386">
        <f>Q212+Q215</f>
        <v>5.3012000000000004E-2</v>
      </c>
      <c r="R216" s="391">
        <f t="shared" si="200"/>
        <v>6.5817361966124532E-3</v>
      </c>
      <c r="S216" s="391">
        <f t="shared" si="201"/>
        <v>7.3491145810503977E-2</v>
      </c>
      <c r="T216" s="386">
        <f>T212+T215</f>
        <v>0.91667170123244768</v>
      </c>
      <c r="U216" s="386">
        <f>V216</f>
        <v>1.0890913333333334</v>
      </c>
      <c r="V216" s="386">
        <f>V212+V215</f>
        <v>1.0890913333333334</v>
      </c>
      <c r="W216" s="386">
        <f>W212+W215</f>
        <v>-0.17241963210088582</v>
      </c>
      <c r="X216" s="392">
        <f t="shared" si="203"/>
        <v>0.84168487359717703</v>
      </c>
    </row>
    <row r="217" spans="1:44" s="404" customFormat="1" ht="13" hidden="1" customHeight="1">
      <c r="B217" s="409" t="s">
        <v>625</v>
      </c>
      <c r="C217" s="409"/>
      <c r="D217" s="409"/>
      <c r="E217" s="470">
        <f t="shared" ref="E217:P217" si="205">E200/E198</f>
        <v>0.28247513077980529</v>
      </c>
      <c r="F217" s="470">
        <f t="shared" si="205"/>
        <v>0.24088346747215628</v>
      </c>
      <c r="G217" s="470">
        <f t="shared" si="205"/>
        <v>0.24612030584824393</v>
      </c>
      <c r="H217" s="470">
        <f t="shared" si="205"/>
        <v>0.23156695836016242</v>
      </c>
      <c r="I217" s="470">
        <f t="shared" si="205"/>
        <v>0.23641137274735924</v>
      </c>
      <c r="J217" s="470">
        <f t="shared" si="205"/>
        <v>0.25401281420809213</v>
      </c>
      <c r="K217" s="470">
        <f t="shared" si="205"/>
        <v>0.19570983504407008</v>
      </c>
      <c r="L217" s="470">
        <f t="shared" si="205"/>
        <v>0.1637178773242686</v>
      </c>
      <c r="M217" s="470">
        <f t="shared" si="205"/>
        <v>0.15466062399388678</v>
      </c>
      <c r="N217" s="470">
        <f t="shared" si="205"/>
        <v>0.1502320925151315</v>
      </c>
      <c r="O217" s="470">
        <f t="shared" si="205"/>
        <v>0.18827822402505162</v>
      </c>
      <c r="P217" s="470">
        <f t="shared" si="205"/>
        <v>0.21388263675118083</v>
      </c>
      <c r="Q217" s="386"/>
      <c r="R217" s="391"/>
      <c r="S217" s="391"/>
      <c r="T217" s="386"/>
      <c r="U217" s="391"/>
      <c r="V217" s="386"/>
      <c r="W217" s="391"/>
      <c r="X217" s="392"/>
    </row>
    <row r="218" spans="1:44" s="404" customFormat="1" ht="13" customHeight="1">
      <c r="B218" s="829" t="s">
        <v>626</v>
      </c>
      <c r="C218" s="470">
        <f t="shared" ref="C218:N218" si="206">C201/C198</f>
        <v>9.5045494322417726E-2</v>
      </c>
      <c r="D218" s="470">
        <f t="shared" si="206"/>
        <v>8.0260339498232136E-2</v>
      </c>
      <c r="E218" s="470">
        <f t="shared" si="206"/>
        <v>0.10644660109723381</v>
      </c>
      <c r="F218" s="470">
        <f t="shared" si="206"/>
        <v>0.12849057890304899</v>
      </c>
      <c r="G218" s="470">
        <f t="shared" si="206"/>
        <v>0.12373923476029461</v>
      </c>
      <c r="H218" s="470">
        <f t="shared" si="206"/>
        <v>0.1034194757680351</v>
      </c>
      <c r="I218" s="470">
        <f t="shared" si="206"/>
        <v>9.6599000743355645E-2</v>
      </c>
      <c r="J218" s="470">
        <f t="shared" si="206"/>
        <v>0.10957358486240916</v>
      </c>
      <c r="K218" s="470">
        <f t="shared" si="206"/>
        <v>8.2539664114858718E-2</v>
      </c>
      <c r="L218" s="470">
        <f t="shared" si="206"/>
        <v>8.2458181234896996E-2</v>
      </c>
      <c r="M218" s="470">
        <f t="shared" si="206"/>
        <v>9.9655338006191654E-2</v>
      </c>
      <c r="N218" s="470">
        <f t="shared" si="206"/>
        <v>0.11027925804524177</v>
      </c>
      <c r="O218" s="470">
        <f>O201/O198</f>
        <v>0.1433147204570262</v>
      </c>
      <c r="P218" s="470">
        <f>P201/P198</f>
        <v>0.15591591125040499</v>
      </c>
      <c r="Q218" s="386"/>
      <c r="R218" s="391"/>
      <c r="S218" s="391"/>
      <c r="T218" s="386"/>
      <c r="U218" s="391"/>
      <c r="V218" s="386"/>
      <c r="W218" s="391"/>
      <c r="X218" s="392"/>
    </row>
    <row r="219" spans="1:44" s="404" customFormat="1" ht="13" customHeight="1">
      <c r="B219" s="352" t="s">
        <v>627</v>
      </c>
      <c r="C219" s="470">
        <f>Sheet2!D99</f>
        <v>0.17673306924439611</v>
      </c>
      <c r="D219" s="470">
        <f>Sheet2!E99</f>
        <v>0.15230524223404851</v>
      </c>
      <c r="E219" s="470">
        <f>Sheet2!F99</f>
        <v>0.17266324823776044</v>
      </c>
      <c r="F219" s="470">
        <f>Sheet2!G99</f>
        <v>0.10754382767739258</v>
      </c>
      <c r="G219" s="470">
        <f>Sheet2!H99</f>
        <v>0.10711745866638596</v>
      </c>
      <c r="H219" s="470">
        <f>Sheet2!I99</f>
        <v>0.12311862935176345</v>
      </c>
      <c r="I219" s="470">
        <f>Sheet2!J99</f>
        <v>0.13575169749865323</v>
      </c>
      <c r="J219" s="470">
        <f>Sheet2!K99</f>
        <v>0.13575169749865323</v>
      </c>
      <c r="K219" s="470">
        <f>Sheet2!L99</f>
        <v>0.110004783891612</v>
      </c>
      <c r="L219" s="470">
        <f>Sheet2!M99</f>
        <v>7.8702154652107476E-2</v>
      </c>
      <c r="M219" s="470">
        <f>Sheet2!N99</f>
        <v>5.0385297591935926E-2</v>
      </c>
      <c r="N219" s="470">
        <f>Sheet2!O99</f>
        <v>3.7467034397652137E-2</v>
      </c>
      <c r="O219" s="470">
        <f>Sheet2!P99</f>
        <v>4.1108523672808581E-2</v>
      </c>
      <c r="P219" s="470">
        <f>Sheet2!Q99</f>
        <v>4.3061136191760697E-2</v>
      </c>
      <c r="Q219" s="386"/>
      <c r="R219" s="391"/>
      <c r="S219" s="391"/>
      <c r="T219" s="386"/>
      <c r="U219" s="391"/>
      <c r="V219" s="386"/>
      <c r="W219" s="391"/>
      <c r="X219" s="392"/>
    </row>
    <row r="220" spans="1:44" s="404" customFormat="1" ht="13" customHeight="1" thickBot="1">
      <c r="B220" s="393" t="s">
        <v>628</v>
      </c>
      <c r="C220" s="403">
        <f>Sheet2!D100</f>
        <v>0.18024090388263694</v>
      </c>
      <c r="D220" s="403">
        <f>Sheet2!E100</f>
        <v>0.15803039266810848</v>
      </c>
      <c r="E220" s="403">
        <f>Sheet2!F100</f>
        <v>0.17602852968257146</v>
      </c>
      <c r="F220" s="403">
        <f>Sheet2!G100</f>
        <v>0.11239288856910729</v>
      </c>
      <c r="G220" s="403">
        <f>Sheet2!H100</f>
        <v>0.12238107108794934</v>
      </c>
      <c r="H220" s="403">
        <f>Sheet2!I100</f>
        <v>0.1281474825921273</v>
      </c>
      <c r="I220" s="403">
        <f>Sheet2!J100</f>
        <v>0.13981237200400357</v>
      </c>
      <c r="J220" s="403">
        <f>Sheet2!K100</f>
        <v>0.13981237200400357</v>
      </c>
      <c r="K220" s="403">
        <f>Sheet2!L100</f>
        <v>0.11317017092921136</v>
      </c>
      <c r="L220" s="403">
        <f>Sheet2!M100</f>
        <v>8.1259696089371586E-2</v>
      </c>
      <c r="M220" s="403">
        <f>Sheet2!N100</f>
        <v>5.4985211249047712E-2</v>
      </c>
      <c r="N220" s="403">
        <f>Sheet2!O100</f>
        <v>3.9952834469889731E-2</v>
      </c>
      <c r="O220" s="403">
        <f>Sheet2!P100</f>
        <v>4.4963503568025399E-2</v>
      </c>
      <c r="P220" s="403">
        <f>Sheet2!Q100</f>
        <v>5.7966725500775841E-2</v>
      </c>
      <c r="Q220" s="396"/>
      <c r="R220" s="395"/>
      <c r="S220" s="395"/>
      <c r="T220" s="396"/>
      <c r="U220" s="396"/>
      <c r="V220" s="396"/>
      <c r="W220" s="395"/>
      <c r="X220" s="397"/>
      <c r="Z220" s="475"/>
    </row>
    <row r="221" spans="1:44" s="414" customFormat="1" ht="15" customHeight="1">
      <c r="B221" s="361" t="s">
        <v>236</v>
      </c>
      <c r="C221" s="382">
        <f>C202-C206-C207</f>
        <v>5.6650695238859887</v>
      </c>
      <c r="D221" s="382">
        <f t="shared" ref="D221:K221" si="207">D202-D206-D207</f>
        <v>7.9090027341488449</v>
      </c>
      <c r="E221" s="382">
        <f t="shared" si="207"/>
        <v>-0.89394189855677197</v>
      </c>
      <c r="F221" s="382">
        <f t="shared" si="207"/>
        <v>4.1420536415056457</v>
      </c>
      <c r="G221" s="382">
        <f t="shared" si="207"/>
        <v>5.7042957546011888</v>
      </c>
      <c r="H221" s="382">
        <f t="shared" si="207"/>
        <v>7.4854414175422903</v>
      </c>
      <c r="I221" s="382">
        <f t="shared" si="207"/>
        <v>6.42277383045192</v>
      </c>
      <c r="J221" s="382">
        <f t="shared" si="207"/>
        <v>5.4898864867684054</v>
      </c>
      <c r="K221" s="382">
        <f t="shared" si="207"/>
        <v>7.9264207459570066</v>
      </c>
      <c r="L221" s="382">
        <f t="shared" ref="L221:Q221" si="208">L202-L206-L207</f>
        <v>14.621836160091295</v>
      </c>
      <c r="M221" s="382">
        <f t="shared" si="208"/>
        <v>21.48975647700561</v>
      </c>
      <c r="N221" s="382">
        <f t="shared" si="208"/>
        <v>31.663087688456997</v>
      </c>
      <c r="O221" s="382">
        <f t="shared" si="208"/>
        <v>30.454297802216111</v>
      </c>
      <c r="P221" s="382">
        <f t="shared" si="208"/>
        <v>33.8331893007595</v>
      </c>
      <c r="Q221" s="382">
        <f t="shared" si="208"/>
        <v>5.6599601911355881</v>
      </c>
      <c r="R221" s="382">
        <f t="shared" ref="R221:V221" si="209">R202-R206-R207</f>
        <v>3.37889149854339</v>
      </c>
      <c r="S221" s="382">
        <f t="shared" si="209"/>
        <v>28.173229109623907</v>
      </c>
      <c r="T221" s="382">
        <f>T202-T206-T207</f>
        <v>168.3390974067992</v>
      </c>
      <c r="U221" s="382">
        <f t="shared" si="209"/>
        <v>57.152423863611062</v>
      </c>
      <c r="V221" s="382">
        <f t="shared" si="209"/>
        <v>57.152423863611062</v>
      </c>
      <c r="W221" s="383">
        <f>T221-U221</f>
        <v>111.18667354318814</v>
      </c>
      <c r="X221" s="385">
        <f>T221/V221</f>
        <v>2.9454410859025817</v>
      </c>
    </row>
    <row r="222" spans="1:44" s="404" customFormat="1" ht="14">
      <c r="A222" s="420"/>
      <c r="B222" s="414"/>
      <c r="C222" s="414"/>
      <c r="D222" s="414"/>
      <c r="E222" s="414"/>
      <c r="F222" s="414"/>
      <c r="G222" s="414"/>
      <c r="H222" s="421"/>
      <c r="I222" s="421"/>
      <c r="J222" s="421"/>
      <c r="K222" s="421"/>
      <c r="L222" s="421"/>
      <c r="M222" s="421"/>
      <c r="N222" s="421"/>
      <c r="O222" s="421"/>
      <c r="P222" s="421"/>
      <c r="Q222" s="421"/>
      <c r="R222" s="422"/>
      <c r="S222" s="422"/>
      <c r="T222" s="421"/>
      <c r="U222" s="421"/>
      <c r="V222" s="421"/>
      <c r="W222" s="129"/>
      <c r="X222" s="423"/>
    </row>
    <row r="223" spans="1:44" s="404" customFormat="1" ht="14">
      <c r="A223" s="420"/>
      <c r="F223" s="494"/>
      <c r="G223" s="494"/>
      <c r="H223" s="494"/>
      <c r="I223" s="494"/>
      <c r="J223" s="494"/>
      <c r="K223" s="494"/>
      <c r="L223" s="494"/>
      <c r="M223" s="424"/>
      <c r="N223" s="424"/>
      <c r="O223" s="424"/>
      <c r="P223" s="424"/>
      <c r="Q223" s="424"/>
      <c r="R223" s="424"/>
      <c r="S223" s="424"/>
      <c r="T223" s="424"/>
      <c r="U223" s="424"/>
      <c r="V223" s="424"/>
      <c r="W223" s="424"/>
    </row>
    <row r="224" spans="1:44" s="404" customFormat="1" ht="25.5" customHeight="1">
      <c r="A224" s="420"/>
      <c r="B224" s="378" t="s">
        <v>638</v>
      </c>
      <c r="C224" s="90" t="s">
        <v>613</v>
      </c>
      <c r="D224" s="90" t="s">
        <v>614</v>
      </c>
      <c r="E224" s="579">
        <v>45658</v>
      </c>
      <c r="F224" s="579">
        <v>45689</v>
      </c>
      <c r="G224" s="579">
        <v>45717</v>
      </c>
      <c r="H224" s="579">
        <v>45748</v>
      </c>
      <c r="I224" s="813">
        <v>45778</v>
      </c>
      <c r="J224" s="813">
        <v>45809</v>
      </c>
      <c r="K224" s="813">
        <v>45839</v>
      </c>
      <c r="L224" s="813">
        <v>45870</v>
      </c>
      <c r="M224" s="813">
        <v>45901</v>
      </c>
      <c r="N224" s="813">
        <v>45931</v>
      </c>
      <c r="O224" s="813">
        <v>45962</v>
      </c>
      <c r="P224" s="813">
        <v>45992</v>
      </c>
      <c r="Q224" s="90" t="s">
        <v>639</v>
      </c>
      <c r="R224" s="380" t="s">
        <v>172</v>
      </c>
      <c r="S224" s="380" t="s">
        <v>173</v>
      </c>
      <c r="T224" s="78" t="s">
        <v>615</v>
      </c>
      <c r="U224" s="78" t="s">
        <v>174</v>
      </c>
      <c r="V224" s="78" t="s">
        <v>175</v>
      </c>
      <c r="W224" s="381" t="s">
        <v>173</v>
      </c>
      <c r="X224" s="78" t="s">
        <v>576</v>
      </c>
      <c r="AD224" s="378" t="s">
        <v>638</v>
      </c>
      <c r="AE224" s="1199" t="s">
        <v>585</v>
      </c>
      <c r="AF224" s="1199" t="s">
        <v>585</v>
      </c>
      <c r="AG224" s="1199" t="s">
        <v>585</v>
      </c>
      <c r="AH224" s="1199" t="s">
        <v>585</v>
      </c>
      <c r="AI224" s="1199" t="s">
        <v>585</v>
      </c>
      <c r="AJ224" s="1199" t="s">
        <v>585</v>
      </c>
      <c r="AK224" s="1199" t="s">
        <v>600</v>
      </c>
      <c r="AL224" s="1199" t="s">
        <v>172</v>
      </c>
      <c r="AM224" s="1199" t="s">
        <v>173</v>
      </c>
      <c r="AN224" s="1200" t="s">
        <v>8</v>
      </c>
      <c r="AO224" s="1364" t="s">
        <v>601</v>
      </c>
      <c r="AP224" s="1200" t="s">
        <v>586</v>
      </c>
      <c r="AQ224" s="1200" t="s">
        <v>173</v>
      </c>
      <c r="AR224" s="1192" t="s">
        <v>587</v>
      </c>
    </row>
    <row r="225" spans="1:55" s="404" customFormat="1" ht="13" customHeight="1">
      <c r="A225" s="420"/>
      <c r="B225" s="361" t="s">
        <v>80</v>
      </c>
      <c r="C225" s="384">
        <f>C197+C165+C136+C106</f>
        <v>580.99217715500004</v>
      </c>
      <c r="D225" s="384">
        <f t="shared" ref="D225:P225" si="210">D197+D165+D136+D106</f>
        <v>668.54897044800009</v>
      </c>
      <c r="E225" s="384">
        <f t="shared" si="210"/>
        <v>632.15837327500003</v>
      </c>
      <c r="F225" s="384">
        <f t="shared" si="210"/>
        <v>532.69273780599997</v>
      </c>
      <c r="G225" s="384">
        <f t="shared" si="210"/>
        <v>717.26818705199992</v>
      </c>
      <c r="H225" s="384">
        <f t="shared" si="210"/>
        <v>831.43203451199997</v>
      </c>
      <c r="I225" s="384">
        <f t="shared" si="210"/>
        <v>878.30080019700006</v>
      </c>
      <c r="J225" s="384">
        <f t="shared" si="210"/>
        <v>967.2694803249999</v>
      </c>
      <c r="K225" s="384">
        <f t="shared" si="210"/>
        <v>1316.8717550130002</v>
      </c>
      <c r="L225" s="384">
        <f t="shared" si="210"/>
        <v>1305.777960403</v>
      </c>
      <c r="M225" s="384">
        <f t="shared" si="210"/>
        <v>1760.5375705170002</v>
      </c>
      <c r="N225" s="384">
        <f t="shared" si="210"/>
        <v>1972.1780639589999</v>
      </c>
      <c r="O225" s="384">
        <f t="shared" si="210"/>
        <v>2044.445092164</v>
      </c>
      <c r="P225" s="384">
        <f t="shared" si="210"/>
        <v>2202.6767610530001</v>
      </c>
      <c r="Q225" s="384">
        <f>BG_25_LEND!BE7</f>
        <v>1380.7259849999998</v>
      </c>
      <c r="R225" s="384">
        <f>P225-O225</f>
        <v>158.23166888900005</v>
      </c>
      <c r="S225" s="384">
        <f>P225-Q225</f>
        <v>821.95077605300025</v>
      </c>
      <c r="T225" s="384">
        <f>T197+T165+T136+T106</f>
        <v>15161.608816276001</v>
      </c>
      <c r="U225" s="384">
        <f>V225</f>
        <v>11645.933903333329</v>
      </c>
      <c r="V225" s="384">
        <f>BG_25_LEND!DE7</f>
        <v>11645.933903333329</v>
      </c>
      <c r="W225" s="384">
        <f>T225-U225</f>
        <v>3515.6749129426717</v>
      </c>
      <c r="X225" s="392">
        <f>T225/V225</f>
        <v>1.3018800331621672</v>
      </c>
      <c r="Y225" s="1323"/>
      <c r="AD225" s="1193" t="s">
        <v>80</v>
      </c>
      <c r="AE225" s="1194">
        <f t="shared" ref="AE225:AH226" si="211">K225</f>
        <v>1316.8717550130002</v>
      </c>
      <c r="AF225" s="1194">
        <f t="shared" si="211"/>
        <v>1305.777960403</v>
      </c>
      <c r="AG225" s="1194">
        <f t="shared" si="211"/>
        <v>1760.5375705170002</v>
      </c>
      <c r="AH225" s="1194">
        <f t="shared" si="211"/>
        <v>1972.1780639589999</v>
      </c>
      <c r="AI225" s="1194">
        <f>O225</f>
        <v>2044.445092164</v>
      </c>
      <c r="AJ225" s="1194">
        <f>P225</f>
        <v>2202.6767610530001</v>
      </c>
      <c r="AK225" s="1194"/>
      <c r="AL225" s="1194">
        <f t="shared" ref="AL225:AN226" si="212">R225</f>
        <v>158.23166888900005</v>
      </c>
      <c r="AM225" s="1194">
        <f t="shared" si="212"/>
        <v>821.95077605300025</v>
      </c>
      <c r="AN225" s="1194">
        <f t="shared" si="212"/>
        <v>15161.608816276001</v>
      </c>
      <c r="AO225" s="1194"/>
      <c r="AP225" s="1194">
        <f>U225</f>
        <v>11645.933903333329</v>
      </c>
      <c r="AQ225" s="1194">
        <f>W225</f>
        <v>3515.6749129426717</v>
      </c>
      <c r="AR225" s="1389">
        <f>AN225/AP225</f>
        <v>1.3018800331621672</v>
      </c>
      <c r="AS225" s="1194"/>
      <c r="AT225" s="1194"/>
      <c r="AX225" s="1194"/>
      <c r="AY225" s="1194"/>
      <c r="AZ225" s="1194"/>
      <c r="BC225" s="1194"/>
    </row>
    <row r="226" spans="1:55" s="404" customFormat="1" ht="13" customHeight="1">
      <c r="A226" s="414"/>
      <c r="B226" s="361" t="s">
        <v>82</v>
      </c>
      <c r="C226" s="384">
        <f>C198+C166+C137+C107</f>
        <v>2072.340229506</v>
      </c>
      <c r="D226" s="384">
        <f t="shared" ref="D226:P226" si="213">D198+D166+D137+D107</f>
        <v>2234.7105822839999</v>
      </c>
      <c r="E226" s="384">
        <f t="shared" si="213"/>
        <v>2386.2380642259996</v>
      </c>
      <c r="F226" s="384">
        <f t="shared" si="213"/>
        <v>2317.002959291</v>
      </c>
      <c r="G226" s="384">
        <f t="shared" si="213"/>
        <v>2432.3784725680002</v>
      </c>
      <c r="H226" s="384">
        <f t="shared" si="213"/>
        <v>2643.7234798250001</v>
      </c>
      <c r="I226" s="384">
        <f t="shared" si="213"/>
        <v>2873.7552652570002</v>
      </c>
      <c r="J226" s="384">
        <f t="shared" si="213"/>
        <v>3122.2109918289998</v>
      </c>
      <c r="K226" s="384">
        <f t="shared" si="213"/>
        <v>3672.4430910330002</v>
      </c>
      <c r="L226" s="384">
        <f t="shared" si="213"/>
        <v>4089.5216627760001</v>
      </c>
      <c r="M226" s="384">
        <f t="shared" si="213"/>
        <v>4820.4085547229997</v>
      </c>
      <c r="N226" s="384">
        <f t="shared" si="213"/>
        <v>5470.8066432039996</v>
      </c>
      <c r="O226" s="384">
        <f t="shared" si="213"/>
        <v>6139.7013228060005</v>
      </c>
      <c r="P226" s="384">
        <f t="shared" si="213"/>
        <v>6786.312292777</v>
      </c>
      <c r="Q226" s="384">
        <f>BG_25_LEND!BE8</f>
        <v>6331.9097177196918</v>
      </c>
      <c r="R226" s="384">
        <f>P226-O226</f>
        <v>646.61096997099958</v>
      </c>
      <c r="S226" s="384">
        <f>P226-Q226</f>
        <v>454.40257505730824</v>
      </c>
      <c r="T226" s="384">
        <f>T198+T166+T137+T107</f>
        <v>6786.312292777</v>
      </c>
      <c r="U226" s="384">
        <f>Q226</f>
        <v>6331.9097177196918</v>
      </c>
      <c r="V226" s="384">
        <f>BG_25_LEND!DE8</f>
        <v>6331.9097177196918</v>
      </c>
      <c r="W226" s="384">
        <f>T226-U226</f>
        <v>454.40257505730824</v>
      </c>
      <c r="X226" s="392">
        <f t="shared" ref="X226:X235" si="214">T226/V226</f>
        <v>1.071763906201264</v>
      </c>
      <c r="Y226" s="1323"/>
      <c r="AD226" s="1193" t="s">
        <v>82</v>
      </c>
      <c r="AE226" s="1194">
        <f t="shared" si="211"/>
        <v>3672.4430910330002</v>
      </c>
      <c r="AF226" s="1194">
        <f t="shared" si="211"/>
        <v>4089.5216627760001</v>
      </c>
      <c r="AG226" s="1194">
        <f t="shared" si="211"/>
        <v>4820.4085547229997</v>
      </c>
      <c r="AH226" s="1194">
        <f t="shared" si="211"/>
        <v>5470.8066432039996</v>
      </c>
      <c r="AI226" s="1194">
        <f>O226</f>
        <v>6139.7013228060005</v>
      </c>
      <c r="AJ226" s="1194">
        <f>P226</f>
        <v>6786.312292777</v>
      </c>
      <c r="AK226" s="1194"/>
      <c r="AL226" s="1194">
        <f t="shared" si="212"/>
        <v>646.61096997099958</v>
      </c>
      <c r="AM226" s="1194">
        <f t="shared" si="212"/>
        <v>454.40257505730824</v>
      </c>
      <c r="AN226" s="1194">
        <f t="shared" si="212"/>
        <v>6786.312292777</v>
      </c>
      <c r="AO226" s="1194"/>
      <c r="AP226" s="1194">
        <f>U226</f>
        <v>6331.9097177196918</v>
      </c>
      <c r="AQ226" s="1194">
        <f>W226</f>
        <v>454.40257505730824</v>
      </c>
      <c r="AR226" s="1389">
        <f t="shared" ref="AR226:AR235" si="215">AN226/AP226</f>
        <v>1.071763906201264</v>
      </c>
      <c r="AS226" s="1194"/>
      <c r="AT226" s="1194"/>
      <c r="AX226" s="1194"/>
      <c r="AY226" s="1194"/>
      <c r="AZ226" s="1194"/>
      <c r="BC226" s="1194"/>
    </row>
    <row r="227" spans="1:55" s="415" customFormat="1" ht="13" customHeight="1">
      <c r="B227" s="409" t="s">
        <v>640</v>
      </c>
      <c r="C227" s="425">
        <f>C199+C167+C138+C108</f>
        <v>1640.2495828349997</v>
      </c>
      <c r="D227" s="425">
        <f t="shared" ref="D227:P227" si="216">D199+D167+D138+D108</f>
        <v>1755.0736003059999</v>
      </c>
      <c r="E227" s="425">
        <f t="shared" si="216"/>
        <v>1880.3602010099996</v>
      </c>
      <c r="F227" s="425">
        <f t="shared" si="216"/>
        <v>1857.088496284</v>
      </c>
      <c r="G227" s="425">
        <f t="shared" si="216"/>
        <v>1929.6471871049998</v>
      </c>
      <c r="H227" s="425">
        <f t="shared" si="216"/>
        <v>2154.808531786</v>
      </c>
      <c r="I227" s="425">
        <f t="shared" si="216"/>
        <v>2359.7419358530001</v>
      </c>
      <c r="J227" s="425">
        <f t="shared" si="216"/>
        <v>2555.8708523780001</v>
      </c>
      <c r="K227" s="425">
        <f t="shared" si="216"/>
        <v>3062.957786551</v>
      </c>
      <c r="L227" s="425">
        <f t="shared" si="216"/>
        <v>3437.5168830849998</v>
      </c>
      <c r="M227" s="425">
        <f t="shared" si="216"/>
        <v>4034.7714968390005</v>
      </c>
      <c r="N227" s="425">
        <f t="shared" si="216"/>
        <v>4659.2067094569993</v>
      </c>
      <c r="O227" s="425">
        <f t="shared" si="216"/>
        <v>5216.9579289499998</v>
      </c>
      <c r="P227" s="425">
        <f t="shared" si="216"/>
        <v>5674.2558321280003</v>
      </c>
      <c r="Q227" s="398"/>
      <c r="R227" s="398"/>
      <c r="S227" s="398"/>
      <c r="T227" s="398"/>
      <c r="U227" s="398"/>
      <c r="V227" s="398"/>
      <c r="W227" s="398"/>
      <c r="X227" s="400"/>
      <c r="Y227" s="1323"/>
      <c r="AD227" s="1196" t="s">
        <v>217</v>
      </c>
      <c r="AE227" s="1197">
        <f t="shared" ref="AE227:AP227" si="217">SUM(AE228:AE231)</f>
        <v>168.40021207499498</v>
      </c>
      <c r="AF227" s="1197">
        <f t="shared" si="217"/>
        <v>190.70325965121185</v>
      </c>
      <c r="AG227" s="1197">
        <f t="shared" ref="AG227:AI228" si="218">M230</f>
        <v>231.29039553827448</v>
      </c>
      <c r="AH227" s="1197">
        <f t="shared" si="218"/>
        <v>273.48744761463149</v>
      </c>
      <c r="AI227" s="1197">
        <f t="shared" si="218"/>
        <v>288.27110641646408</v>
      </c>
      <c r="AJ227" s="1197">
        <f>P230</f>
        <v>324.86915625012449</v>
      </c>
      <c r="AK227" s="1388">
        <f>AI227/$AI$227</f>
        <v>1</v>
      </c>
      <c r="AL227" s="1197">
        <f t="shared" si="217"/>
        <v>36.598049833660397</v>
      </c>
      <c r="AM227" s="1197">
        <f t="shared" si="217"/>
        <v>88.565628149051506</v>
      </c>
      <c r="AN227" s="1197">
        <f t="shared" si="217"/>
        <v>2130.2522517787238</v>
      </c>
      <c r="AO227" s="1388">
        <f>AN227/$AN$227</f>
        <v>1</v>
      </c>
      <c r="AP227" s="1197">
        <f t="shared" si="217"/>
        <v>1884.1585800272865</v>
      </c>
      <c r="AQ227" s="1197">
        <f>W230</f>
        <v>246.09367175143734</v>
      </c>
      <c r="AR227" s="1389">
        <f t="shared" si="215"/>
        <v>1.1306119741512806</v>
      </c>
      <c r="AS227" s="1197"/>
      <c r="AT227" s="1197"/>
      <c r="AX227" s="1197"/>
      <c r="AY227" s="1197"/>
      <c r="AZ227" s="1197"/>
      <c r="BC227" s="1197"/>
    </row>
    <row r="228" spans="1:55" s="415" customFormat="1" ht="16">
      <c r="B228" s="409" t="s">
        <v>617</v>
      </c>
      <c r="C228" s="425">
        <f>C200+C168+C139+C109</f>
        <v>432.09064667099994</v>
      </c>
      <c r="D228" s="425">
        <f t="shared" ref="D228:P228" si="219">D200+D168+D139+D109</f>
        <v>479.63698197799999</v>
      </c>
      <c r="E228" s="425">
        <f t="shared" si="219"/>
        <v>505.87786321599998</v>
      </c>
      <c r="F228" s="425">
        <f t="shared" si="219"/>
        <v>459.91446300700005</v>
      </c>
      <c r="G228" s="425">
        <f t="shared" si="219"/>
        <v>502.73128546300001</v>
      </c>
      <c r="H228" s="425">
        <f t="shared" si="219"/>
        <v>488.91494803899997</v>
      </c>
      <c r="I228" s="425">
        <f t="shared" si="219"/>
        <v>514.01332940400005</v>
      </c>
      <c r="J228" s="425">
        <f t="shared" si="219"/>
        <v>566.34013945100003</v>
      </c>
      <c r="K228" s="425">
        <f t="shared" si="219"/>
        <v>609.48530448200006</v>
      </c>
      <c r="L228" s="425">
        <f t="shared" si="219"/>
        <v>652.00477969100007</v>
      </c>
      <c r="M228" s="425">
        <f t="shared" si="219"/>
        <v>785.63705788400011</v>
      </c>
      <c r="N228" s="425">
        <f t="shared" si="219"/>
        <v>811.59993374700002</v>
      </c>
      <c r="O228" s="425">
        <f t="shared" si="219"/>
        <v>922.74339385600001</v>
      </c>
      <c r="P228" s="425">
        <f t="shared" si="219"/>
        <v>1112.056460649</v>
      </c>
      <c r="Q228" s="398"/>
      <c r="R228" s="398"/>
      <c r="S228" s="398"/>
      <c r="T228" s="398"/>
      <c r="U228" s="398"/>
      <c r="V228" s="398"/>
      <c r="W228" s="398"/>
      <c r="X228" s="400"/>
      <c r="Y228" s="1323"/>
      <c r="AD228" s="1198" t="s">
        <v>591</v>
      </c>
      <c r="AE228" s="1194">
        <f>K231</f>
        <v>100.430160648995</v>
      </c>
      <c r="AF228" s="1194">
        <f>L231</f>
        <v>116.86819125121184</v>
      </c>
      <c r="AG228" s="1194">
        <f t="shared" si="218"/>
        <v>129.77588174827449</v>
      </c>
      <c r="AH228" s="1194">
        <f t="shared" si="218"/>
        <v>155.89413646663149</v>
      </c>
      <c r="AI228" s="1194">
        <f t="shared" si="218"/>
        <v>166.76784715946411</v>
      </c>
      <c r="AJ228" s="1194">
        <f>P231</f>
        <v>192.15321894112449</v>
      </c>
      <c r="AK228" s="1389">
        <f t="shared" ref="AK228:AK236" si="220">AI228/$AI$227</f>
        <v>0.57851044883608727</v>
      </c>
      <c r="AL228" s="1194">
        <f>R231</f>
        <v>25.385371781660382</v>
      </c>
      <c r="AM228" s="1194">
        <f>S231</f>
        <v>26.362317182878911</v>
      </c>
      <c r="AN228" s="1194">
        <f>T231</f>
        <v>1289.3906734097241</v>
      </c>
      <c r="AO228" s="1389">
        <f t="shared" ref="AO228:AO236" si="221">AN228/$AN$227</f>
        <v>0.60527605232343029</v>
      </c>
      <c r="AP228" s="1194">
        <f>U231</f>
        <v>1303.2085068291537</v>
      </c>
      <c r="AQ228" s="1194">
        <f>W231</f>
        <v>-13.817833419429689</v>
      </c>
      <c r="AR228" s="1389">
        <f t="shared" si="215"/>
        <v>0.98939706628139656</v>
      </c>
      <c r="AS228" s="1194"/>
      <c r="AT228" s="1194"/>
      <c r="AX228" s="1194"/>
      <c r="AY228" s="1194"/>
      <c r="AZ228" s="1194"/>
      <c r="BC228" s="1194"/>
    </row>
    <row r="229" spans="1:55" s="415" customFormat="1" ht="16" hidden="1">
      <c r="B229" s="409" t="s">
        <v>609</v>
      </c>
      <c r="C229" s="425">
        <f>C201+C169+C140+C110</f>
        <v>200.23304268300001</v>
      </c>
      <c r="D229" s="425">
        <f t="shared" ref="D229:P229" si="222">D201+D169+D140+D110</f>
        <v>228.49713155199998</v>
      </c>
      <c r="E229" s="425">
        <f t="shared" si="222"/>
        <v>228.32466882700001</v>
      </c>
      <c r="F229" s="425">
        <f t="shared" si="222"/>
        <v>237.65930696700002</v>
      </c>
      <c r="G229" s="425">
        <f t="shared" si="222"/>
        <v>253.28187868700002</v>
      </c>
      <c r="H229" s="425">
        <f t="shared" si="222"/>
        <v>240.44869903099999</v>
      </c>
      <c r="I229" s="425">
        <f t="shared" si="222"/>
        <v>244.16234723300002</v>
      </c>
      <c r="J229" s="425">
        <f t="shared" si="222"/>
        <v>282.92864038499999</v>
      </c>
      <c r="K229" s="425">
        <f t="shared" si="222"/>
        <v>324.68094388200007</v>
      </c>
      <c r="L229" s="425">
        <f t="shared" si="222"/>
        <v>365.33220215700004</v>
      </c>
      <c r="M229" s="425">
        <f t="shared" si="222"/>
        <v>467.76419399400004</v>
      </c>
      <c r="N229" s="425">
        <f t="shared" si="222"/>
        <v>529.99344356300003</v>
      </c>
      <c r="O229" s="425">
        <f t="shared" si="222"/>
        <v>619.39957230799996</v>
      </c>
      <c r="P229" s="425">
        <f t="shared" si="222"/>
        <v>745.24133202099995</v>
      </c>
      <c r="Q229" s="398"/>
      <c r="R229" s="398"/>
      <c r="S229" s="398"/>
      <c r="T229" s="398"/>
      <c r="U229" s="398"/>
      <c r="V229" s="398"/>
      <c r="W229" s="398"/>
      <c r="X229" s="400"/>
      <c r="Y229" s="1323"/>
      <c r="AE229" s="1194"/>
      <c r="AF229" s="1194"/>
      <c r="AG229" s="1194">
        <f t="shared" ref="AG229:AH229" si="223">M232</f>
        <v>99.411586525000004</v>
      </c>
      <c r="AH229" s="1194">
        <f t="shared" si="223"/>
        <v>115.06470675799999</v>
      </c>
      <c r="AI229" s="1194">
        <f>O232</f>
        <v>118.90136011199999</v>
      </c>
      <c r="AJ229" s="1194">
        <f>P232</f>
        <v>129.45513495200001</v>
      </c>
      <c r="AK229" s="1389">
        <f t="shared" si="220"/>
        <v>0.41246367556595731</v>
      </c>
      <c r="AL229" s="1194"/>
      <c r="AM229" s="1194"/>
      <c r="AN229" s="1194"/>
      <c r="AO229" s="1389">
        <f t="shared" si="221"/>
        <v>0</v>
      </c>
      <c r="AP229" s="1194"/>
      <c r="AQ229" s="1194"/>
      <c r="AR229" s="1389" t="e">
        <f t="shared" si="215"/>
        <v>#DIV/0!</v>
      </c>
      <c r="AS229" s="1194"/>
      <c r="AT229" s="1194"/>
      <c r="AX229" s="1194"/>
      <c r="AY229" s="1194"/>
      <c r="AZ229" s="1194"/>
      <c r="BC229" s="1194"/>
    </row>
    <row r="230" spans="1:55" s="404" customFormat="1" ht="13" customHeight="1">
      <c r="B230" s="361" t="s">
        <v>641</v>
      </c>
      <c r="C230" s="383">
        <f>C231+C232</f>
        <v>621.38451803299995</v>
      </c>
      <c r="D230" s="383">
        <f t="shared" ref="D230:V230" si="224">D231+D232+D233</f>
        <v>91.222787520205387</v>
      </c>
      <c r="E230" s="383">
        <f t="shared" si="224"/>
        <v>94.790802654000004</v>
      </c>
      <c r="F230" s="383">
        <f t="shared" si="224"/>
        <v>84.284831653999987</v>
      </c>
      <c r="G230" s="383">
        <f t="shared" si="224"/>
        <v>103.95840969956696</v>
      </c>
      <c r="H230" s="383">
        <f t="shared" si="224"/>
        <v>112.74795393220703</v>
      </c>
      <c r="I230" s="383">
        <f>I231+I232+I233</f>
        <v>122.2291208506488</v>
      </c>
      <c r="J230" s="383">
        <f t="shared" si="224"/>
        <v>135.5921073136</v>
      </c>
      <c r="K230" s="383">
        <f t="shared" si="224"/>
        <v>168.40021207499498</v>
      </c>
      <c r="L230" s="383">
        <f t="shared" si="224"/>
        <v>190.70325965121185</v>
      </c>
      <c r="M230" s="383">
        <f t="shared" si="224"/>
        <v>231.29039553827448</v>
      </c>
      <c r="N230" s="383">
        <f>N231+N232+N233</f>
        <v>273.48744761463149</v>
      </c>
      <c r="O230" s="383">
        <f t="shared" si="224"/>
        <v>288.27110641646408</v>
      </c>
      <c r="P230" s="383">
        <f t="shared" si="224"/>
        <v>324.86915625012449</v>
      </c>
      <c r="Q230" s="383">
        <f t="shared" si="224"/>
        <v>236.303528101073</v>
      </c>
      <c r="R230" s="383">
        <f t="shared" si="224"/>
        <v>36.598049833660397</v>
      </c>
      <c r="S230" s="383">
        <f t="shared" si="224"/>
        <v>88.565628149051506</v>
      </c>
      <c r="T230" s="384">
        <f t="shared" si="224"/>
        <v>2130.2522517787238</v>
      </c>
      <c r="U230" s="384">
        <f t="shared" si="224"/>
        <v>1884.1585800272865</v>
      </c>
      <c r="V230" s="384">
        <f t="shared" si="224"/>
        <v>1884.1585800272865</v>
      </c>
      <c r="W230" s="382">
        <f t="shared" ref="W230:W245" si="225">T230-U230</f>
        <v>246.09367175143734</v>
      </c>
      <c r="X230" s="385">
        <f t="shared" si="214"/>
        <v>1.1306119741512806</v>
      </c>
      <c r="Y230" s="1323"/>
      <c r="AA230" s="494">
        <f>N230-M230</f>
        <v>42.197052076357011</v>
      </c>
      <c r="AB230" s="494">
        <f>AA230-R230</f>
        <v>5.5990022426966135</v>
      </c>
      <c r="AC230" s="404">
        <f>AA230/R230</f>
        <v>1.152986354960013</v>
      </c>
      <c r="AD230" s="1198" t="s">
        <v>593</v>
      </c>
      <c r="AE230" s="1194">
        <f t="shared" ref="AE230:AF232" si="226">K232</f>
        <v>66.028206756999992</v>
      </c>
      <c r="AF230" s="1194">
        <f t="shared" si="226"/>
        <v>71.754100438000009</v>
      </c>
      <c r="AG230" s="1194">
        <f t="shared" ref="AG230:AH232" si="227">M232</f>
        <v>99.411586525000004</v>
      </c>
      <c r="AH230" s="1194">
        <f t="shared" si="227"/>
        <v>115.06470675799999</v>
      </c>
      <c r="AI230" s="1194">
        <f t="shared" ref="AI230:AJ232" si="228">O232</f>
        <v>118.90136011199999</v>
      </c>
      <c r="AJ230" s="1194">
        <f t="shared" si="228"/>
        <v>129.45513495200001</v>
      </c>
      <c r="AK230" s="1389">
        <f t="shared" si="220"/>
        <v>0.41246367556595731</v>
      </c>
      <c r="AL230" s="1194">
        <f>R232</f>
        <v>10.553774840000017</v>
      </c>
      <c r="AM230" s="1194">
        <f>S232</f>
        <v>59.179480870930462</v>
      </c>
      <c r="AN230" s="1194">
        <f>T232</f>
        <v>821.96081196399984</v>
      </c>
      <c r="AO230" s="1389">
        <f t="shared" si="221"/>
        <v>0.38585139918414674</v>
      </c>
      <c r="AP230" s="1194">
        <f>U232</f>
        <v>578.99902705583531</v>
      </c>
      <c r="AQ230" s="1194">
        <f>W232</f>
        <v>242.96178490816453</v>
      </c>
      <c r="AR230" s="1389">
        <f t="shared" si="215"/>
        <v>1.4196238224157407</v>
      </c>
      <c r="AS230" s="1194"/>
      <c r="AT230" s="1194"/>
      <c r="AX230" s="1194"/>
      <c r="AY230" s="1194"/>
      <c r="AZ230" s="1194"/>
      <c r="BC230" s="1194"/>
    </row>
    <row r="231" spans="1:55" s="404" customFormat="1" ht="13" customHeight="1">
      <c r="B231" s="409" t="s">
        <v>618</v>
      </c>
      <c r="C231" s="391">
        <f>C142+C173+C203+C112</f>
        <v>52.177081901000001</v>
      </c>
      <c r="D231" s="391">
        <f t="shared" ref="D231:P231" si="229">D142+D173+D203+D112</f>
        <v>58.073171471000002</v>
      </c>
      <c r="E231" s="391">
        <f t="shared" si="229"/>
        <v>64.18442020900001</v>
      </c>
      <c r="F231" s="391">
        <f t="shared" si="229"/>
        <v>58.881475112999993</v>
      </c>
      <c r="G231" s="391">
        <f t="shared" si="229"/>
        <v>67.689346111566962</v>
      </c>
      <c r="H231" s="391">
        <f t="shared" si="229"/>
        <v>71.290446607207016</v>
      </c>
      <c r="I231" s="391">
        <f t="shared" si="229"/>
        <v>79.998581301648798</v>
      </c>
      <c r="J231" s="391">
        <f t="shared" si="229"/>
        <v>85.456967851600012</v>
      </c>
      <c r="K231" s="391">
        <f t="shared" si="229"/>
        <v>100.430160648995</v>
      </c>
      <c r="L231" s="391">
        <f t="shared" si="229"/>
        <v>116.86819125121184</v>
      </c>
      <c r="M231" s="391">
        <f t="shared" si="229"/>
        <v>129.77588174827449</v>
      </c>
      <c r="N231" s="391">
        <f>N142+N173+N203+N112</f>
        <v>155.89413646663149</v>
      </c>
      <c r="O231" s="391">
        <f t="shared" si="229"/>
        <v>166.76784715946411</v>
      </c>
      <c r="P231" s="391">
        <f t="shared" si="229"/>
        <v>192.15321894112449</v>
      </c>
      <c r="Q231" s="391">
        <f>BG_25_LEND!BE12</f>
        <v>165.79090175824558</v>
      </c>
      <c r="R231" s="391">
        <f>P231-O231</f>
        <v>25.385371781660382</v>
      </c>
      <c r="S231" s="391">
        <f>P231-Q231</f>
        <v>26.362317182878911</v>
      </c>
      <c r="T231" s="425">
        <f>T142+T173+T203+T112</f>
        <v>1289.3906734097241</v>
      </c>
      <c r="U231" s="425">
        <f>V231</f>
        <v>1303.2085068291537</v>
      </c>
      <c r="V231" s="425">
        <f>BG_25_LEND!DE12</f>
        <v>1303.2085068291537</v>
      </c>
      <c r="W231" s="386">
        <f t="shared" si="225"/>
        <v>-13.817833419429689</v>
      </c>
      <c r="X231" s="392">
        <f t="shared" si="214"/>
        <v>0.98939706628139656</v>
      </c>
      <c r="Y231" s="1323"/>
      <c r="AA231" s="494">
        <f t="shared" ref="AA231:AA233" si="230">N231-M231</f>
        <v>26.118254718357008</v>
      </c>
      <c r="AB231" s="494">
        <f t="shared" ref="AB231:AB233" si="231">AA231-R231</f>
        <v>0.73288293669662607</v>
      </c>
      <c r="AD231" s="1198" t="s">
        <v>89</v>
      </c>
      <c r="AE231" s="1194">
        <f t="shared" si="226"/>
        <v>1.941844669</v>
      </c>
      <c r="AF231" s="1194">
        <f t="shared" si="226"/>
        <v>2.0809679619999999</v>
      </c>
      <c r="AG231" s="1194">
        <f t="shared" si="227"/>
        <v>2.1029272649999999</v>
      </c>
      <c r="AH231" s="1194">
        <f t="shared" si="227"/>
        <v>2.5286043899999999</v>
      </c>
      <c r="AI231" s="1194">
        <f t="shared" si="228"/>
        <v>2.601899145</v>
      </c>
      <c r="AJ231" s="1194">
        <f t="shared" si="228"/>
        <v>3.2608023570000002</v>
      </c>
      <c r="AK231" s="1389">
        <f t="shared" si="220"/>
        <v>9.0258755979555124E-3</v>
      </c>
      <c r="AL231" s="1194">
        <f>R233</f>
        <v>0.65890321200000024</v>
      </c>
      <c r="AM231" s="1194">
        <f t="shared" ref="AM231" si="232">S233</f>
        <v>3.0238300952421269</v>
      </c>
      <c r="AN231" s="1194">
        <f>T233</f>
        <v>18.900766404999999</v>
      </c>
      <c r="AO231" s="1389">
        <f t="shared" si="221"/>
        <v>8.8725484924229922E-3</v>
      </c>
      <c r="AP231" s="1194">
        <f>U233</f>
        <v>1.9510461422973968</v>
      </c>
      <c r="AQ231" s="1194">
        <f>W233</f>
        <v>16.949720262702602</v>
      </c>
      <c r="AR231" s="1389"/>
      <c r="AS231" s="1194"/>
      <c r="AT231" s="1194"/>
      <c r="AX231" s="1194"/>
      <c r="AY231" s="1194"/>
      <c r="AZ231" s="1194"/>
      <c r="BC231" s="1194"/>
    </row>
    <row r="232" spans="1:55" s="404" customFormat="1" ht="13" customHeight="1">
      <c r="B232" s="409" t="s">
        <v>619</v>
      </c>
      <c r="C232" s="391">
        <f>C143+C174+C204+C115</f>
        <v>569.207436132</v>
      </c>
      <c r="D232" s="391">
        <f t="shared" ref="D232:P232" si="233">D143+D174+D204+D115</f>
        <v>33.112760320205389</v>
      </c>
      <c r="E232" s="391">
        <f t="shared" si="233"/>
        <v>30.564439168</v>
      </c>
      <c r="F232" s="391">
        <f t="shared" si="233"/>
        <v>25.158055697999998</v>
      </c>
      <c r="G232" s="391">
        <f t="shared" si="233"/>
        <v>35.200712541000001</v>
      </c>
      <c r="H232" s="391">
        <f t="shared" si="233"/>
        <v>40.612609414000005</v>
      </c>
      <c r="I232" s="391">
        <f t="shared" si="233"/>
        <v>41.055348338000002</v>
      </c>
      <c r="J232" s="391">
        <f t="shared" si="233"/>
        <v>48.754551263000003</v>
      </c>
      <c r="K232" s="391">
        <f t="shared" si="233"/>
        <v>66.028206756999992</v>
      </c>
      <c r="L232" s="391">
        <f t="shared" si="233"/>
        <v>71.754100438000009</v>
      </c>
      <c r="M232" s="391">
        <f t="shared" si="233"/>
        <v>99.411586525000004</v>
      </c>
      <c r="N232" s="391">
        <f t="shared" si="233"/>
        <v>115.06470675799999</v>
      </c>
      <c r="O232" s="391">
        <f t="shared" si="233"/>
        <v>118.90136011199999</v>
      </c>
      <c r="P232" s="391">
        <f t="shared" si="233"/>
        <v>129.45513495200001</v>
      </c>
      <c r="Q232" s="391">
        <f>BG_25_LEND!BE15-Q233</f>
        <v>70.275654081069547</v>
      </c>
      <c r="R232" s="391">
        <f>P232-O232</f>
        <v>10.553774840000017</v>
      </c>
      <c r="S232" s="391">
        <f>P232-Q232</f>
        <v>59.179480870930462</v>
      </c>
      <c r="T232" s="425">
        <f>T143+T174+T204+T115</f>
        <v>821.96081196399984</v>
      </c>
      <c r="U232" s="425">
        <f>V232</f>
        <v>578.99902705583531</v>
      </c>
      <c r="V232" s="425">
        <f>BG_25_LEND!DE15-V233</f>
        <v>578.99902705583531</v>
      </c>
      <c r="W232" s="386">
        <f>T232-U232</f>
        <v>242.96178490816453</v>
      </c>
      <c r="X232" s="392">
        <f>T232/V232</f>
        <v>1.4196238224157407</v>
      </c>
      <c r="Y232" s="1323"/>
      <c r="AA232" s="494">
        <f t="shared" si="230"/>
        <v>15.653120232999981</v>
      </c>
      <c r="AB232" s="494">
        <f t="shared" si="231"/>
        <v>5.0993453929999646</v>
      </c>
      <c r="AD232" s="1196" t="s">
        <v>592</v>
      </c>
      <c r="AE232" s="1197">
        <f t="shared" si="226"/>
        <v>56.251917798999997</v>
      </c>
      <c r="AF232" s="1197">
        <f t="shared" si="226"/>
        <v>77.683192309999981</v>
      </c>
      <c r="AG232" s="1197">
        <f t="shared" si="227"/>
        <v>102.08368255400001</v>
      </c>
      <c r="AH232" s="1197">
        <f t="shared" si="227"/>
        <v>96.683579381000001</v>
      </c>
      <c r="AI232" s="1197">
        <f t="shared" si="228"/>
        <v>120.980571521</v>
      </c>
      <c r="AJ232" s="1197">
        <f t="shared" si="228"/>
        <v>161.08972603399999</v>
      </c>
      <c r="AK232" s="1388">
        <f t="shared" si="220"/>
        <v>0.41967637001475921</v>
      </c>
      <c r="AL232" s="1197">
        <f>R234</f>
        <v>40.109154512999993</v>
      </c>
      <c r="AM232" s="1197">
        <f>S234</f>
        <v>51.844398086685075</v>
      </c>
      <c r="AN232" s="1197">
        <f>T234</f>
        <v>962.540416564</v>
      </c>
      <c r="AO232" s="1388">
        <f t="shared" si="221"/>
        <v>0.45184339824558117</v>
      </c>
      <c r="AP232" s="1197">
        <f>U234</f>
        <v>949.37913822958183</v>
      </c>
      <c r="AQ232" s="1197">
        <f>W234</f>
        <v>13.161278334418171</v>
      </c>
      <c r="AR232" s="1389">
        <f t="shared" si="215"/>
        <v>1.01386303722553</v>
      </c>
      <c r="AS232" s="1197"/>
      <c r="AT232" s="1197"/>
      <c r="AX232" s="1197"/>
      <c r="AY232" s="1197"/>
      <c r="AZ232" s="1197"/>
      <c r="BC232" s="1197"/>
    </row>
    <row r="233" spans="1:55" s="404" customFormat="1" ht="13" customHeight="1">
      <c r="B233" s="409" t="s">
        <v>620</v>
      </c>
      <c r="C233" s="391">
        <f t="shared" ref="C233:P233" si="234">C144+C175+C205+C118</f>
        <v>1.7777075999999999E-2</v>
      </c>
      <c r="D233" s="391">
        <f t="shared" si="234"/>
        <v>3.6855729000000004E-2</v>
      </c>
      <c r="E233" s="391">
        <f t="shared" si="234"/>
        <v>4.1943277000000001E-2</v>
      </c>
      <c r="F233" s="391">
        <f t="shared" si="234"/>
        <v>0.24530084299999999</v>
      </c>
      <c r="G233" s="391">
        <f t="shared" si="234"/>
        <v>1.0683510469999999</v>
      </c>
      <c r="H233" s="391">
        <f t="shared" si="234"/>
        <v>0.84489791099999989</v>
      </c>
      <c r="I233" s="391">
        <f t="shared" si="234"/>
        <v>1.175191211</v>
      </c>
      <c r="J233" s="391">
        <f t="shared" si="234"/>
        <v>1.380588199</v>
      </c>
      <c r="K233" s="391">
        <f t="shared" si="234"/>
        <v>1.941844669</v>
      </c>
      <c r="L233" s="391">
        <f t="shared" si="234"/>
        <v>2.0809679619999999</v>
      </c>
      <c r="M233" s="391">
        <f t="shared" si="234"/>
        <v>2.1029272649999999</v>
      </c>
      <c r="N233" s="391">
        <f t="shared" si="234"/>
        <v>2.5286043899999999</v>
      </c>
      <c r="O233" s="391">
        <f t="shared" si="234"/>
        <v>2.601899145</v>
      </c>
      <c r="P233" s="391">
        <f t="shared" si="234"/>
        <v>3.2608023570000002</v>
      </c>
      <c r="Q233" s="391">
        <f>BG_25_LEND!BE21</f>
        <v>0.23697226175787334</v>
      </c>
      <c r="R233" s="391">
        <f>P233-O233</f>
        <v>0.65890321200000024</v>
      </c>
      <c r="S233" s="391">
        <f>P233-Q233</f>
        <v>3.0238300952421269</v>
      </c>
      <c r="T233" s="391">
        <f>T144+T175+T205</f>
        <v>18.900766404999999</v>
      </c>
      <c r="U233" s="391">
        <f>V233</f>
        <v>1.9510461422973968</v>
      </c>
      <c r="V233" s="391">
        <f>BG_25_LEND!DE21</f>
        <v>1.9510461422973968</v>
      </c>
      <c r="W233" s="386">
        <f>T233-U233</f>
        <v>16.949720262702602</v>
      </c>
      <c r="X233" s="392">
        <f>T233/V233</f>
        <v>9.6875035373299578</v>
      </c>
      <c r="Y233" s="1323"/>
      <c r="AA233" s="494">
        <f t="shared" si="230"/>
        <v>0.42567712499999999</v>
      </c>
      <c r="AB233" s="494">
        <f t="shared" si="231"/>
        <v>-0.23322608700000025</v>
      </c>
      <c r="AD233" s="1196" t="s">
        <v>577</v>
      </c>
      <c r="AE233" s="1197">
        <f t="shared" ref="AE233:AJ233" si="235">SUM(AE234:AE235)</f>
        <v>78.574006001738624</v>
      </c>
      <c r="AF233" s="1197">
        <f t="shared" si="235"/>
        <v>64.644958607806188</v>
      </c>
      <c r="AG233" s="1197">
        <f t="shared" si="235"/>
        <v>77.089628367512574</v>
      </c>
      <c r="AH233" s="1197">
        <f t="shared" si="235"/>
        <v>106.85351107226376</v>
      </c>
      <c r="AI233" s="1197">
        <f t="shared" si="235"/>
        <v>86.695290449447782</v>
      </c>
      <c r="AJ233" s="1197">
        <f t="shared" si="235"/>
        <v>85.522181599897365</v>
      </c>
      <c r="AK233" s="1388">
        <f t="shared" si="220"/>
        <v>0.30074221286749236</v>
      </c>
      <c r="AL233" s="1197">
        <f>SUM(AL234:AL235)</f>
        <v>-1.1731088495504221</v>
      </c>
      <c r="AM233" s="1197">
        <f t="shared" ref="AM233:AQ233" si="236">SUM(AM234:AM235)</f>
        <v>-2.4634593975342192</v>
      </c>
      <c r="AN233" s="1197">
        <f>SUM(AN234:AN235)</f>
        <v>749.98183297027754</v>
      </c>
      <c r="AO233" s="1388">
        <f t="shared" si="221"/>
        <v>0.35206245285930604</v>
      </c>
      <c r="AP233" s="1197">
        <f>SUM(AP234:AP235)</f>
        <v>823.32533486989462</v>
      </c>
      <c r="AQ233" s="1197">
        <f t="shared" si="236"/>
        <v>-73.343501899617053</v>
      </c>
      <c r="AR233" s="1389">
        <f t="shared" si="215"/>
        <v>0.91091795819545973</v>
      </c>
      <c r="AS233" s="1197"/>
      <c r="AT233" s="1197"/>
      <c r="AX233" s="1197"/>
      <c r="AY233" s="1197"/>
      <c r="AZ233" s="1197"/>
      <c r="BC233" s="1197"/>
    </row>
    <row r="234" spans="1:55" s="414" customFormat="1" ht="13" customHeight="1">
      <c r="B234" s="361" t="s">
        <v>621</v>
      </c>
      <c r="C234" s="383">
        <f>C145+C176+C206+C127</f>
        <v>21.824107334000001</v>
      </c>
      <c r="D234" s="383">
        <f t="shared" ref="D234:P234" si="237">D145+D176+D206+D127</f>
        <v>31.698948272999999</v>
      </c>
      <c r="E234" s="383">
        <f t="shared" si="237"/>
        <v>74.362039835000004</v>
      </c>
      <c r="F234" s="383">
        <f t="shared" si="237"/>
        <v>46.765443186999995</v>
      </c>
      <c r="G234" s="383">
        <f t="shared" si="237"/>
        <v>57.285261440999996</v>
      </c>
      <c r="H234" s="383">
        <f t="shared" si="237"/>
        <v>40.706324330999998</v>
      </c>
      <c r="I234" s="383">
        <f t="shared" si="237"/>
        <v>64.201917530000003</v>
      </c>
      <c r="J234" s="383">
        <f t="shared" si="237"/>
        <v>64.446760640999997</v>
      </c>
      <c r="K234" s="383">
        <f t="shared" si="237"/>
        <v>56.251917798999997</v>
      </c>
      <c r="L234" s="383">
        <f t="shared" si="237"/>
        <v>77.683192309999981</v>
      </c>
      <c r="M234" s="383">
        <f t="shared" si="237"/>
        <v>102.08368255400001</v>
      </c>
      <c r="N234" s="383">
        <f t="shared" si="237"/>
        <v>96.683579381000001</v>
      </c>
      <c r="O234" s="383">
        <f t="shared" si="237"/>
        <v>120.980571521</v>
      </c>
      <c r="P234" s="383">
        <f t="shared" si="237"/>
        <v>161.08972603399999</v>
      </c>
      <c r="Q234" s="383">
        <f>-BG_25_LEND!BE28</f>
        <v>109.24532794731492</v>
      </c>
      <c r="R234" s="383">
        <f>P234-O234</f>
        <v>40.109154512999993</v>
      </c>
      <c r="S234" s="383">
        <f>P234-Q234</f>
        <v>51.844398086685075</v>
      </c>
      <c r="T234" s="383">
        <f>T145+T176+T206+T127</f>
        <v>962.540416564</v>
      </c>
      <c r="U234" s="383">
        <f>V234</f>
        <v>949.37913822958183</v>
      </c>
      <c r="V234" s="383">
        <f>-BG_25_LEND!DE28</f>
        <v>949.37913822958183</v>
      </c>
      <c r="W234" s="382">
        <f>T234-U234</f>
        <v>13.161278334418171</v>
      </c>
      <c r="X234" s="385">
        <f>T234/V234</f>
        <v>1.01386303722553</v>
      </c>
      <c r="Y234" s="1323"/>
      <c r="AA234" s="494"/>
      <c r="AB234" s="494"/>
      <c r="AD234" s="1198" t="s">
        <v>229</v>
      </c>
      <c r="AE234" s="1194">
        <f t="shared" ref="AE234:AJ234" si="238">K235</f>
        <v>48.753589263469969</v>
      </c>
      <c r="AF234" s="1194">
        <f t="shared" si="238"/>
        <v>40.457614752908576</v>
      </c>
      <c r="AG234" s="1194">
        <f t="shared" si="238"/>
        <v>53.344089729579892</v>
      </c>
      <c r="AH234" s="1194">
        <f t="shared" si="238"/>
        <v>61.990808434970575</v>
      </c>
      <c r="AI234" s="1194">
        <f t="shared" si="238"/>
        <v>65.457154894690063</v>
      </c>
      <c r="AJ234" s="1194">
        <f t="shared" si="238"/>
        <v>70.600293509682274</v>
      </c>
      <c r="AK234" s="1389">
        <f t="shared" si="220"/>
        <v>0.22706803920932811</v>
      </c>
      <c r="AL234" s="1194">
        <f>R235</f>
        <v>5.1431386149922051</v>
      </c>
      <c r="AM234" s="1194">
        <f>S235</f>
        <v>9.5668952059534682</v>
      </c>
      <c r="AN234" s="1194">
        <f>T235</f>
        <v>489.41844112044043</v>
      </c>
      <c r="AO234" s="1389">
        <f t="shared" si="221"/>
        <v>0.22974670756094001</v>
      </c>
      <c r="AP234" s="1194">
        <f>U235</f>
        <v>499.8984225454613</v>
      </c>
      <c r="AQ234" s="1194">
        <f>W235</f>
        <v>-10.479981425020867</v>
      </c>
      <c r="AR234" s="1389">
        <f t="shared" si="215"/>
        <v>0.97903577816537757</v>
      </c>
      <c r="AS234" s="1194"/>
      <c r="AT234" s="1194"/>
      <c r="AX234" s="1194"/>
      <c r="AY234" s="1194"/>
      <c r="AZ234" s="1194"/>
      <c r="BC234" s="1194"/>
    </row>
    <row r="235" spans="1:55" s="414" customFormat="1" ht="13" customHeight="1">
      <c r="B235" s="361" t="s">
        <v>642</v>
      </c>
      <c r="C235" s="383">
        <f t="shared" ref="C235:S235" si="239">SUM(C236:C243)</f>
        <v>20.457097799342357</v>
      </c>
      <c r="D235" s="383">
        <f t="shared" si="239"/>
        <v>21.041087062512862</v>
      </c>
      <c r="E235" s="383">
        <f t="shared" si="239"/>
        <v>20.31518548867199</v>
      </c>
      <c r="F235" s="383">
        <f t="shared" si="239"/>
        <v>20.755206338764488</v>
      </c>
      <c r="G235" s="383">
        <f t="shared" si="239"/>
        <v>20.673806457257612</v>
      </c>
      <c r="H235" s="383">
        <f t="shared" si="239"/>
        <v>29.975571752828007</v>
      </c>
      <c r="I235" s="383">
        <f t="shared" si="239"/>
        <v>25.020131618012361</v>
      </c>
      <c r="J235" s="383">
        <f t="shared" si="239"/>
        <v>32.074988879604575</v>
      </c>
      <c r="K235" s="383">
        <f t="shared" si="239"/>
        <v>48.753589263469969</v>
      </c>
      <c r="L235" s="383">
        <f t="shared" si="239"/>
        <v>40.457614752908576</v>
      </c>
      <c r="M235" s="383">
        <f t="shared" si="239"/>
        <v>53.344089729579892</v>
      </c>
      <c r="N235" s="383">
        <f t="shared" si="239"/>
        <v>61.990808434970575</v>
      </c>
      <c r="O235" s="383">
        <f t="shared" si="239"/>
        <v>65.457154894690063</v>
      </c>
      <c r="P235" s="383">
        <f t="shared" si="239"/>
        <v>70.600293509682274</v>
      </c>
      <c r="Q235" s="383">
        <f t="shared" si="239"/>
        <v>61.033398303728816</v>
      </c>
      <c r="R235" s="383">
        <f t="shared" si="239"/>
        <v>5.1431386149922051</v>
      </c>
      <c r="S235" s="383">
        <f t="shared" si="239"/>
        <v>9.5668952059534682</v>
      </c>
      <c r="T235" s="383">
        <f>SUM(T236:T243)</f>
        <v>489.41844112044043</v>
      </c>
      <c r="U235" s="383">
        <f>SUM(U236:U243)</f>
        <v>499.8984225454613</v>
      </c>
      <c r="V235" s="383">
        <f>SUM(V236:V243)</f>
        <v>499.8984225454613</v>
      </c>
      <c r="W235" s="382">
        <f t="shared" si="225"/>
        <v>-10.479981425020867</v>
      </c>
      <c r="X235" s="385">
        <f t="shared" si="214"/>
        <v>0.97903577816537757</v>
      </c>
      <c r="Y235" s="1323"/>
      <c r="AB235" s="774"/>
      <c r="AD235" s="1198" t="s">
        <v>299</v>
      </c>
      <c r="AE235" s="1194">
        <f t="shared" ref="AE235:AJ235" si="240">K246</f>
        <v>29.820416738268655</v>
      </c>
      <c r="AF235" s="1194">
        <f t="shared" si="240"/>
        <v>24.18734385489762</v>
      </c>
      <c r="AG235" s="1194">
        <f t="shared" si="240"/>
        <v>23.745538637932675</v>
      </c>
      <c r="AH235" s="1194">
        <f t="shared" si="240"/>
        <v>44.862702637293189</v>
      </c>
      <c r="AI235" s="1194">
        <f t="shared" si="240"/>
        <v>21.238135554757719</v>
      </c>
      <c r="AJ235" s="1194">
        <f t="shared" si="240"/>
        <v>14.921888090215091</v>
      </c>
      <c r="AK235" s="1389">
        <f t="shared" si="220"/>
        <v>7.3674173658164241E-2</v>
      </c>
      <c r="AL235" s="1194">
        <f>R246</f>
        <v>-6.3162474645426272</v>
      </c>
      <c r="AM235" s="1194">
        <f>S246</f>
        <v>-12.030354603487687</v>
      </c>
      <c r="AN235" s="1194">
        <f>T246</f>
        <v>260.56339184983716</v>
      </c>
      <c r="AO235" s="1389">
        <f t="shared" si="221"/>
        <v>0.12231574529836607</v>
      </c>
      <c r="AP235" s="1194">
        <f>U246</f>
        <v>323.42691232443332</v>
      </c>
      <c r="AQ235" s="1194">
        <f>W246</f>
        <v>-62.863520474596186</v>
      </c>
      <c r="AR235" s="1389">
        <f t="shared" si="215"/>
        <v>0.80563299441347347</v>
      </c>
      <c r="AS235" s="1194"/>
      <c r="AT235" s="1194"/>
      <c r="AX235" s="1194"/>
      <c r="AY235" s="1194"/>
      <c r="AZ235" s="1194"/>
      <c r="BC235" s="1194"/>
    </row>
    <row r="236" spans="1:55" s="414" customFormat="1" ht="13" customHeight="1">
      <c r="B236" s="409" t="s">
        <v>231</v>
      </c>
      <c r="C236" s="391">
        <f>(Lending!N33+Paylater!N43)/10^9</f>
        <v>15.069871308</v>
      </c>
      <c r="D236" s="391">
        <f>(Lending!O33+Paylater!O43)/10^9</f>
        <v>14.005998385</v>
      </c>
      <c r="E236" s="391">
        <f>(Lending!P33+Paylater!P43)/10^9</f>
        <v>13.815410143999999</v>
      </c>
      <c r="F236" s="391">
        <f>(Lending!Q33+Paylater!Q43)/10^9</f>
        <v>13.8472209275</v>
      </c>
      <c r="G236" s="391">
        <f>(Lending!R33+Paylater!R43)/10^9</f>
        <v>14.219734005999999</v>
      </c>
      <c r="H236" s="391">
        <f>(Lending!S33+Paylater!S43)/10^9</f>
        <v>22.533420838000001</v>
      </c>
      <c r="I236" s="391">
        <f>(Lending!T33+Paylater!T43)/10^9</f>
        <v>18.002093070000001</v>
      </c>
      <c r="J236" s="391">
        <f>(Lending!U33+Paylater!U43)/10^9</f>
        <v>24.386709792000001</v>
      </c>
      <c r="K236" s="391">
        <f>(Lending!V33+Paylater!V43)/10^9</f>
        <v>37.108382306000003</v>
      </c>
      <c r="L236" s="391">
        <f>(Lending!W33+Paylater!W43)/10^9</f>
        <v>28.615453445</v>
      </c>
      <c r="M236" s="391">
        <f>(Lending!X33+Paylater!X43)/10^9</f>
        <v>41.427874738</v>
      </c>
      <c r="N236" s="391">
        <f>(Lending!Y33+Paylater!Y43)/10^9</f>
        <v>48.894532920870915</v>
      </c>
      <c r="O236" s="391">
        <f>(Lending!Z33+Paylater!Z43)/10^9</f>
        <v>51.125126427070484</v>
      </c>
      <c r="P236" s="391">
        <f>(Lending!AA33+Paylater!AA43)/10^9</f>
        <v>55.032339586292181</v>
      </c>
      <c r="Q236" s="391">
        <f>-BG_25_LEND!BE38</f>
        <v>44.493273620015046</v>
      </c>
      <c r="R236" s="391">
        <f t="shared" ref="R236:R244" si="241">P236-O236</f>
        <v>3.9072131592216977</v>
      </c>
      <c r="S236" s="391">
        <f t="shared" ref="S236:S244" si="242">P236-Q236</f>
        <v>10.539065966277136</v>
      </c>
      <c r="T236" s="391">
        <f>(Lending!M33+Paylater!M43)/10^9</f>
        <v>369.00829820073358</v>
      </c>
      <c r="U236" s="386">
        <f t="shared" ref="U236:U241" si="243">V236</f>
        <v>339.68726018133907</v>
      </c>
      <c r="V236" s="386">
        <f>-BG_25_LEND!DE38</f>
        <v>339.68726018133907</v>
      </c>
      <c r="W236" s="386">
        <f>T236-U236</f>
        <v>29.321038019394507</v>
      </c>
      <c r="X236" s="392">
        <f>T236/V236</f>
        <v>1.0863177441619145</v>
      </c>
      <c r="Y236" s="1323"/>
      <c r="AB236" s="774"/>
      <c r="AD236" s="1196" t="s">
        <v>489</v>
      </c>
      <c r="AE236" s="1197">
        <f t="shared" ref="AE236:AQ236" si="244">AE227-AE232-AE233</f>
        <v>33.574288274256361</v>
      </c>
      <c r="AF236" s="1197">
        <f t="shared" ref="AF236" si="245">AF227-AF232-AF233</f>
        <v>48.375108733405682</v>
      </c>
      <c r="AG236" s="1197">
        <f>AG227-AG232-AG233</f>
        <v>52.1170846167619</v>
      </c>
      <c r="AH236" s="1197">
        <f>AH227-AH232-AH233</f>
        <v>69.95035716136772</v>
      </c>
      <c r="AI236" s="1197">
        <f>AI227-AI232-AI233</f>
        <v>80.595244446016295</v>
      </c>
      <c r="AJ236" s="1197">
        <f>AJ227-AJ232-AJ233</f>
        <v>78.25724861622713</v>
      </c>
      <c r="AK236" s="1388">
        <f t="shared" si="220"/>
        <v>0.27958141711774848</v>
      </c>
      <c r="AL236" s="1197">
        <f t="shared" si="244"/>
        <v>-2.3379958297891736</v>
      </c>
      <c r="AM236" s="1197">
        <f t="shared" si="244"/>
        <v>39.184689459900653</v>
      </c>
      <c r="AN236" s="1197">
        <f>AN227-AN232-AN233</f>
        <v>417.73000224444627</v>
      </c>
      <c r="AO236" s="1388">
        <f t="shared" si="221"/>
        <v>0.19609414889511276</v>
      </c>
      <c r="AP236" s="1197">
        <f t="shared" si="244"/>
        <v>111.45410692781002</v>
      </c>
      <c r="AQ236" s="1197">
        <f t="shared" si="244"/>
        <v>306.27589531663625</v>
      </c>
      <c r="AR236" s="1389">
        <f>AN236/AP236</f>
        <v>3.7480000850485871</v>
      </c>
      <c r="AS236" s="1197"/>
      <c r="AT236" s="1197"/>
      <c r="AX236" s="1197"/>
      <c r="AY236" s="1197"/>
      <c r="AZ236" s="1197"/>
      <c r="BC236" s="1197"/>
    </row>
    <row r="237" spans="1:55" s="414" customFormat="1" ht="13" customHeight="1">
      <c r="B237" s="409" t="s">
        <v>230</v>
      </c>
      <c r="C237" s="391">
        <f>(Lending!N32+Paylater!N95)/10^9</f>
        <v>1.057341055</v>
      </c>
      <c r="D237" s="391">
        <f>(Lending!O32+Paylater!O95)/10^9</f>
        <v>1.358095141</v>
      </c>
      <c r="E237" s="391">
        <f>(Lending!P32+Paylater!P95)/10^9</f>
        <v>1.18147917</v>
      </c>
      <c r="F237" s="391">
        <f>(Lending!Q32+Paylater!Q95)/10^9</f>
        <v>0.88575711899999998</v>
      </c>
      <c r="G237" s="391">
        <f>(Lending!R32+Paylater!R95)/10^9</f>
        <v>1.503077794</v>
      </c>
      <c r="H237" s="391">
        <f>(Lending!S32+Paylater!S95)/10^9</f>
        <v>2.0782543420000001</v>
      </c>
      <c r="I237" s="391">
        <f>(Lending!T32+Paylater!T95)/10^9</f>
        <v>1.4141972380000001</v>
      </c>
      <c r="J237" s="391">
        <f>(Lending!U32+Paylater!U95)/10^9</f>
        <v>2.978507515</v>
      </c>
      <c r="K237" s="391">
        <f>(Lending!V32+Paylater!V95)/10^9</f>
        <v>5.244446655</v>
      </c>
      <c r="L237" s="391">
        <f>(Lending!W32+Paylater!W95)/10^9</f>
        <v>3.8486343839999999</v>
      </c>
      <c r="M237" s="391">
        <f>(Lending!X32+Paylater!X95)/10^9</f>
        <v>2.6547234780000002</v>
      </c>
      <c r="N237" s="391">
        <f>(Lending!Y32+Paylater!Y95)/10^9</f>
        <v>3.615381819</v>
      </c>
      <c r="O237" s="391">
        <f>(Lending!Z32+Paylater!Z95)/10^9</f>
        <v>3.6984161809999998</v>
      </c>
      <c r="P237" s="391">
        <f>(Lending!AA32+Paylater!AA95)/10^9</f>
        <v>4.458472607</v>
      </c>
      <c r="Q237" s="386">
        <f>-BG_25_LEND!BE33</f>
        <v>3.730999999999999</v>
      </c>
      <c r="R237" s="391">
        <f t="shared" si="241"/>
        <v>0.76005642600000023</v>
      </c>
      <c r="S237" s="391">
        <f t="shared" si="242"/>
        <v>0.72747260700000105</v>
      </c>
      <c r="T237" s="391">
        <f>(Lending!M32+Paylater!M42)/10^9</f>
        <v>33.561348301999999</v>
      </c>
      <c r="U237" s="386">
        <f t="shared" si="243"/>
        <v>39.494</v>
      </c>
      <c r="V237" s="386">
        <f>-BG_25_LEND!DE33</f>
        <v>39.494</v>
      </c>
      <c r="W237" s="386">
        <f>T237-U237</f>
        <v>-5.9326516980000008</v>
      </c>
      <c r="X237" s="392">
        <f>T237/V237</f>
        <v>0.84978346842558361</v>
      </c>
      <c r="Y237" s="1323"/>
      <c r="AB237" s="774"/>
    </row>
    <row r="238" spans="1:55" s="414" customFormat="1" ht="13" customHeight="1">
      <c r="B238" s="409" t="s">
        <v>232</v>
      </c>
      <c r="C238" s="391">
        <f>(Lending!N34+Paylater!N44)/10^9</f>
        <v>2.5196571589999959</v>
      </c>
      <c r="D238" s="391">
        <f>(Lending!O34+Paylater!O44)/10^9</f>
        <v>3.1868747817522505</v>
      </c>
      <c r="E238" s="391">
        <f>(Lending!P34+Paylater!P44)/10^9</f>
        <v>2.6199405219999998</v>
      </c>
      <c r="F238" s="391">
        <f>(Lending!Q34+Paylater!Q44)/10^9</f>
        <v>2.5791079090000002</v>
      </c>
      <c r="G238" s="391">
        <f>(Lending!R34+Paylater!R44)/10^9</f>
        <v>2.367285657</v>
      </c>
      <c r="H238" s="391">
        <f>(Lending!S34+Paylater!S44)/10^9</f>
        <v>2.5220739540000001</v>
      </c>
      <c r="I238" s="391">
        <f>(Lending!T34+Paylater!T44)/10^9</f>
        <v>2.6404178580000002</v>
      </c>
      <c r="J238" s="391">
        <f>(Lending!U34+Paylater!U44)/10^9</f>
        <v>3.2580811870000006</v>
      </c>
      <c r="K238" s="391">
        <f>(Lending!V34+Paylater!V44)/10^9</f>
        <v>4.2897387399999998</v>
      </c>
      <c r="L238" s="391">
        <f>(Lending!W34+Paylater!W44)/10^9</f>
        <v>5.7792608559999996</v>
      </c>
      <c r="M238" s="391">
        <f>(Lending!X34+Paylater!X44)/10^9</f>
        <v>6.5490231330000022</v>
      </c>
      <c r="N238" s="391">
        <f>(Lending!Y34+Paylater!Y44)/10^9</f>
        <v>6.9081770019999986</v>
      </c>
      <c r="O238" s="391">
        <f>(Lending!Z34+Paylater!Z44)/10^9</f>
        <v>6.6413566600000014</v>
      </c>
      <c r="P238" s="391">
        <f>(Lending!AA34+Paylater!AA44)/10^9</f>
        <v>7.5474804279999983</v>
      </c>
      <c r="Q238" s="386">
        <f>-BG_25_LEND!BE30</f>
        <v>5.3693249999999981</v>
      </c>
      <c r="R238" s="391">
        <f t="shared" si="241"/>
        <v>0.90612376799999694</v>
      </c>
      <c r="S238" s="391">
        <f t="shared" si="242"/>
        <v>2.1781554280000002</v>
      </c>
      <c r="T238" s="391">
        <f>(Lending!M34+Paylater!M44)/10^9</f>
        <v>53.701943905999997</v>
      </c>
      <c r="U238" s="386">
        <f t="shared" si="243"/>
        <v>53.973341666666656</v>
      </c>
      <c r="V238" s="386">
        <f>-BG_25_LEND!DE30</f>
        <v>53.973341666666656</v>
      </c>
      <c r="W238" s="386">
        <f t="shared" ref="W238:W244" si="246">T238-U238</f>
        <v>-0.27139776066665888</v>
      </c>
      <c r="X238" s="392">
        <f t="shared" ref="X238:X243" si="247">T238/V238</f>
        <v>0.99497163317508153</v>
      </c>
      <c r="Y238" s="1323"/>
      <c r="AB238" s="774"/>
    </row>
    <row r="239" spans="1:55" s="414" customFormat="1" ht="13" customHeight="1">
      <c r="B239" s="409" t="s">
        <v>233</v>
      </c>
      <c r="C239" s="391">
        <f>(Lending!N35+Paylater!N45)/10^9</f>
        <v>5.8871669000000001E-2</v>
      </c>
      <c r="D239" s="391">
        <f>(Lending!O35+Paylater!O45)/10^9</f>
        <v>7.0617793999999998E-2</v>
      </c>
      <c r="E239" s="391">
        <f>(Lending!P35+Paylater!P45)/10^9</f>
        <v>6.1596453000000002E-2</v>
      </c>
      <c r="F239" s="391">
        <f>(Lending!Q35+Paylater!Q45)/10^9</f>
        <v>6.0442890999999999E-2</v>
      </c>
      <c r="G239" s="391">
        <f>(Lending!R35+Paylater!R45)/10^9</f>
        <v>8.3901834999999994E-2</v>
      </c>
      <c r="H239" s="391">
        <f>(Lending!S35+Paylater!S45)/10^9</f>
        <v>0.19120632100000001</v>
      </c>
      <c r="I239" s="391">
        <f>(Lending!T35+Paylater!T45)/10^9</f>
        <v>7.1070205999999997E-2</v>
      </c>
      <c r="J239" s="391">
        <f>(Lending!U35+Paylater!U45)/10^9</f>
        <v>8.1282599999999997E-2</v>
      </c>
      <c r="K239" s="391">
        <f>(Lending!V35+Paylater!V45)/10^9</f>
        <v>0.116714214</v>
      </c>
      <c r="L239" s="391">
        <f>(Lending!W35+Paylater!W45)/10^9</f>
        <v>0.18321341499999999</v>
      </c>
      <c r="M239" s="391">
        <f>(Lending!X35+Paylater!X45)/10^9</f>
        <v>0.169610653</v>
      </c>
      <c r="N239" s="391">
        <f>(Lending!Y35+Paylater!Y45)/10^9</f>
        <v>0.193100675</v>
      </c>
      <c r="O239" s="391">
        <f>(Lending!Z35+Paylater!Z45)/10^9</f>
        <v>0.19660297900000001</v>
      </c>
      <c r="P239" s="391">
        <f>(Lending!AA35+Paylater!AA45)/10^9</f>
        <v>0.222846087</v>
      </c>
      <c r="Q239" s="386">
        <f>-BG_25_LEND!BE32</f>
        <v>0.80245166666666656</v>
      </c>
      <c r="R239" s="391">
        <f t="shared" si="241"/>
        <v>2.6243107999999987E-2</v>
      </c>
      <c r="S239" s="391">
        <f t="shared" si="242"/>
        <v>-0.57960557966666659</v>
      </c>
      <c r="T239" s="391">
        <f>(Lending!M35+Paylater!M45)/10^9</f>
        <v>1.6315883289999999</v>
      </c>
      <c r="U239" s="386">
        <f t="shared" si="243"/>
        <v>6.9825778055555547</v>
      </c>
      <c r="V239" s="386">
        <f>-BG_25_LEND!DE32</f>
        <v>6.9825778055555547</v>
      </c>
      <c r="W239" s="386">
        <f t="shared" si="246"/>
        <v>-5.3509894765555543</v>
      </c>
      <c r="X239" s="392">
        <f t="shared" si="247"/>
        <v>0.23366561382271428</v>
      </c>
      <c r="Y239" s="1323"/>
      <c r="AB239" s="774"/>
    </row>
    <row r="240" spans="1:55" s="414" customFormat="1" ht="13" hidden="1" customHeight="1">
      <c r="B240" s="409" t="s">
        <v>152</v>
      </c>
      <c r="C240" s="391">
        <f>(Lending!N36+Paylater!N46)/10^9</f>
        <v>0</v>
      </c>
      <c r="D240" s="391">
        <f>(Lending!O36+Paylater!O46)/10^9</f>
        <v>0</v>
      </c>
      <c r="E240" s="391">
        <f>(Lending!P36+Paylater!P46)/10^9</f>
        <v>0.17848800000000001</v>
      </c>
      <c r="F240" s="391">
        <f>(Lending!Q36+Paylater!Q46)/10^9</f>
        <v>0.1116495</v>
      </c>
      <c r="G240" s="391">
        <f>(Lending!R36+Paylater!R46)/10^9</f>
        <v>0.16578449999999997</v>
      </c>
      <c r="H240" s="391">
        <f>(Lending!S36+Paylater!S46)/10^9</f>
        <v>0.13784850000000001</v>
      </c>
      <c r="I240" s="391">
        <f>(Lending!T36+Paylater!T46)/10^9</f>
        <v>0.13807800000000001</v>
      </c>
      <c r="J240" s="391">
        <f>(Lending!U36+Paylater!U46)/10^9</f>
        <v>0.14969250000000001</v>
      </c>
      <c r="K240" s="391">
        <f>(Lending!V36+Paylater!V46)/10^9</f>
        <v>0.169491</v>
      </c>
      <c r="L240" s="391">
        <f>(Lending!W36+Paylater!W46)/10^9</f>
        <v>0.16271450000000001</v>
      </c>
      <c r="M240" s="391">
        <f>(Lending!X36+Paylater!X46)/10^9</f>
        <v>0.16055849999999997</v>
      </c>
      <c r="N240" s="391">
        <f>(Lending!Y36+Paylater!Y46)/10^9</f>
        <v>0.1842645</v>
      </c>
      <c r="O240" s="391">
        <f>(Lending!Z36+Paylater!Z46)/10^9</f>
        <v>0.18405450000000001</v>
      </c>
      <c r="P240" s="391">
        <f>(Lending!AA36+Paylater!AA46)/10^9</f>
        <v>0.23531625000000003</v>
      </c>
      <c r="Q240" s="386">
        <f>-BG_25_LEND!BE36</f>
        <v>0.17</v>
      </c>
      <c r="R240" s="391">
        <f t="shared" si="241"/>
        <v>5.1261750000000023E-2</v>
      </c>
      <c r="S240" s="391">
        <f t="shared" si="242"/>
        <v>6.531625000000002E-2</v>
      </c>
      <c r="T240" s="391">
        <f>(Lending!M36+Paylater!M46)/10^9</f>
        <v>1.9779402500000001</v>
      </c>
      <c r="U240" s="386">
        <f t="shared" si="243"/>
        <v>4.4400000000000004</v>
      </c>
      <c r="V240" s="386">
        <f>-BG_25_LEND!DE36</f>
        <v>4.4400000000000004</v>
      </c>
      <c r="W240" s="386">
        <f t="shared" si="246"/>
        <v>-2.4620597500000003</v>
      </c>
      <c r="X240" s="392">
        <f t="shared" si="247"/>
        <v>0.44548203828828825</v>
      </c>
      <c r="Y240" s="1323"/>
      <c r="AB240" s="774"/>
    </row>
    <row r="241" spans="1:59" s="414" customFormat="1" ht="13" customHeight="1">
      <c r="B241" s="409" t="s">
        <v>234</v>
      </c>
      <c r="C241" s="391">
        <f>(Lending!N37+Paylater!N47)/10^9</f>
        <v>1.6153997276106824</v>
      </c>
      <c r="D241" s="391">
        <f>(Lending!O37+Paylater!O47)/10^9</f>
        <v>2.2015396254509678</v>
      </c>
      <c r="E241" s="391">
        <f>(Lending!P37+Paylater!P47)/10^9</f>
        <v>2.1759569591009567</v>
      </c>
      <c r="F241" s="391">
        <f>(Lending!Q37+Paylater!Q47)/10^9</f>
        <v>3.0688521373316573</v>
      </c>
      <c r="G241" s="391">
        <f>(Lending!R37+Paylater!R47)/10^9</f>
        <v>2.0858818419719882</v>
      </c>
      <c r="H241" s="391">
        <f>(Lending!S37+Paylater!S47)/10^9</f>
        <v>2.1764680612127303</v>
      </c>
      <c r="I241" s="391">
        <f>(Lending!T37+Paylater!T47)/10^9</f>
        <v>2.4588563865898059</v>
      </c>
      <c r="J241" s="391">
        <f>(Lending!U37+Paylater!U47)/10^9</f>
        <v>0.94526535287048485</v>
      </c>
      <c r="K241" s="391">
        <f>(Lending!V37+Paylater!V47)/10^9</f>
        <v>1.4895215408428577</v>
      </c>
      <c r="L241" s="391">
        <f>(Lending!W37+Paylater!W47)/10^9</f>
        <v>1.6172002832517851</v>
      </c>
      <c r="M241" s="391">
        <f>(Lending!X37+Paylater!X47)/10^9</f>
        <v>2.0141463882447139</v>
      </c>
      <c r="N241" s="391">
        <f>(Lending!Y37+Paylater!Y47)/10^9</f>
        <v>1.7750510113700004</v>
      </c>
      <c r="O241" s="391">
        <f>(Lending!Z37+Paylater!Z47)/10^9</f>
        <v>2.4731853800939994</v>
      </c>
      <c r="P241" s="391">
        <f>(Lending!AA37+Paylater!AA47)/10^9</f>
        <v>2.3784659177199998</v>
      </c>
      <c r="Q241" s="386">
        <f>-BG_25_LEND!BE31</f>
        <v>5.5076137413119932</v>
      </c>
      <c r="R241" s="391">
        <f t="shared" si="241"/>
        <v>-9.471946237399953E-2</v>
      </c>
      <c r="S241" s="391">
        <f t="shared" si="242"/>
        <v>-3.1291478235919934</v>
      </c>
      <c r="T241" s="391">
        <f>(Lending!M37+Paylater!M47)/10^9</f>
        <v>24.658851260600979</v>
      </c>
      <c r="U241" s="386">
        <f t="shared" si="243"/>
        <v>49.051821294497749</v>
      </c>
      <c r="V241" s="386">
        <f>-BG_25_LEND!DE31</f>
        <v>49.051821294497749</v>
      </c>
      <c r="W241" s="386">
        <f t="shared" si="246"/>
        <v>-24.39297003389677</v>
      </c>
      <c r="X241" s="392">
        <f t="shared" si="247"/>
        <v>0.50271020748758655</v>
      </c>
      <c r="Y241" s="1323"/>
      <c r="AB241" s="774"/>
    </row>
    <row r="242" spans="1:59" s="414" customFormat="1" ht="13" hidden="1" customHeight="1">
      <c r="B242" s="409" t="s">
        <v>235</v>
      </c>
      <c r="C242" s="391">
        <f>(Lending!N38+Paylater!N48)/10^9</f>
        <v>0</v>
      </c>
      <c r="D242" s="391">
        <f>(Lending!O38+Paylater!O48)/10^9</f>
        <v>0</v>
      </c>
      <c r="E242" s="391">
        <f>(Lending!P38+Paylater!P48)/10^9</f>
        <v>0</v>
      </c>
      <c r="F242" s="391">
        <f>(Lending!Q38+Paylater!Q48)/10^9</f>
        <v>0</v>
      </c>
      <c r="G242" s="391">
        <f>(Lending!R38+Paylater!R48)/10^9</f>
        <v>0</v>
      </c>
      <c r="H242" s="391">
        <f>(Lending!S38+Paylater!S48)/10^9</f>
        <v>0</v>
      </c>
      <c r="I242" s="391">
        <f>(Lending!T38+Paylater!T48)/10^9</f>
        <v>0</v>
      </c>
      <c r="J242" s="391">
        <f>(Lending!U38+Paylater!U48)/10^9</f>
        <v>0</v>
      </c>
      <c r="K242" s="391">
        <f>(Lending!V38+Paylater!V48)/10^9</f>
        <v>0</v>
      </c>
      <c r="L242" s="391">
        <f>(Lending!W38+Paylater!W48)/10^9</f>
        <v>0</v>
      </c>
      <c r="M242" s="391">
        <f>(Lending!X38+Paylater!X48)/10^9</f>
        <v>0</v>
      </c>
      <c r="N242" s="391">
        <f>(Lending!Y38+Paylater!Y48)/10^9</f>
        <v>0</v>
      </c>
      <c r="O242" s="391">
        <f>(Lending!Z38+Paylater!Z48)/10^9</f>
        <v>0.71265000000000001</v>
      </c>
      <c r="P242" s="391">
        <f>(Lending!AA38+Paylater!AA48)/10^9</f>
        <v>0.28120657199999999</v>
      </c>
      <c r="Q242" s="383">
        <f>P242</f>
        <v>0.28120657199999999</v>
      </c>
      <c r="R242" s="391">
        <f t="shared" si="241"/>
        <v>-0.43144342800000002</v>
      </c>
      <c r="S242" s="391">
        <f t="shared" si="242"/>
        <v>0</v>
      </c>
      <c r="T242" s="383">
        <f>(Lending!P38+Paylater!M48)/10^9</f>
        <v>0.99385657199999999</v>
      </c>
      <c r="U242" s="386">
        <f>T242</f>
        <v>0.99385657199999999</v>
      </c>
      <c r="V242" s="386">
        <f>T242</f>
        <v>0.99385657199999999</v>
      </c>
      <c r="W242" s="386">
        <f t="shared" si="246"/>
        <v>0</v>
      </c>
      <c r="X242" s="392">
        <f t="shared" si="247"/>
        <v>1</v>
      </c>
      <c r="Y242" s="1323"/>
      <c r="AB242" s="774"/>
    </row>
    <row r="243" spans="1:59" s="414" customFormat="1" ht="13" hidden="1" customHeight="1">
      <c r="B243" s="409" t="s">
        <v>163</v>
      </c>
      <c r="C243" s="391">
        <f>(Lending!N39+Paylater!N49)/10^9</f>
        <v>0.13595688073168052</v>
      </c>
      <c r="D243" s="391">
        <f>(Lending!O39+Paylater!O49)/10^9</f>
        <v>0.21796133530964354</v>
      </c>
      <c r="E243" s="391">
        <f>(Lending!P39+Paylater!P49)/10^9</f>
        <v>0.28231424057103299</v>
      </c>
      <c r="F243" s="391">
        <f>(Lending!Q39+Paylater!Q49)/10^9</f>
        <v>0.20217585493282828</v>
      </c>
      <c r="G243" s="391">
        <f>(Lending!R39+Paylater!R49)/10^9</f>
        <v>0.24814082328562481</v>
      </c>
      <c r="H243" s="391">
        <f>(Lending!S39+Paylater!S49)/10^9</f>
        <v>0.3362997366152724</v>
      </c>
      <c r="I243" s="391">
        <f>(Lending!T39+Paylater!T49)/10^9</f>
        <v>0.29541885942255308</v>
      </c>
      <c r="J243" s="391">
        <f>(Lending!U39+Paylater!U49)/10^9</f>
        <v>0.27544993273408069</v>
      </c>
      <c r="K243" s="391">
        <f>(Lending!V39+Paylater!V49)/10^9</f>
        <v>0.3352948076271175</v>
      </c>
      <c r="L243" s="391">
        <f>(Lending!W39+Paylater!W49)/10^9</f>
        <v>0.25113786965679274</v>
      </c>
      <c r="M243" s="391">
        <f>(Lending!X39+Paylater!X49)/10^9</f>
        <v>0.36815283933517762</v>
      </c>
      <c r="N243" s="391">
        <f>(Lending!Y39+Paylater!Y49)/10^9</f>
        <v>0.42030050672966562</v>
      </c>
      <c r="O243" s="391">
        <f>(Lending!Z39+Paylater!Z49)/10^9</f>
        <v>0.42576276752558723</v>
      </c>
      <c r="P243" s="391">
        <f>(Lending!AA39+Paylater!AA49)/10^9</f>
        <v>0.44416606167009648</v>
      </c>
      <c r="Q243" s="391">
        <f>-BG_25_LEND!BE35</f>
        <v>0.67852770373510385</v>
      </c>
      <c r="R243" s="391">
        <f t="shared" si="241"/>
        <v>1.8403294144509252E-2</v>
      </c>
      <c r="S243" s="391">
        <f t="shared" si="242"/>
        <v>-0.23436164206500737</v>
      </c>
      <c r="T243" s="391">
        <f>(Lending!M39+Paylater!M49)/10^9</f>
        <v>3.8846143001058291</v>
      </c>
      <c r="U243" s="386">
        <f>V243</f>
        <v>5.2755650254022388</v>
      </c>
      <c r="V243" s="386">
        <f>-BG_25_LEND!DE35</f>
        <v>5.2755650254022388</v>
      </c>
      <c r="W243" s="386">
        <f t="shared" si="246"/>
        <v>-1.3909507252964097</v>
      </c>
      <c r="X243" s="392">
        <f t="shared" si="247"/>
        <v>0.73634090024502052</v>
      </c>
      <c r="Y243" s="1323"/>
      <c r="AB243" s="774"/>
    </row>
    <row r="244" spans="1:59" s="404" customFormat="1" ht="13" customHeight="1">
      <c r="B244" s="409" t="s">
        <v>643</v>
      </c>
      <c r="C244" s="386">
        <f t="shared" ref="C244:V244" si="248">C240+C243+C242</f>
        <v>0.13595688073168052</v>
      </c>
      <c r="D244" s="386">
        <f t="shared" si="248"/>
        <v>0.21796133530964354</v>
      </c>
      <c r="E244" s="386">
        <f t="shared" si="248"/>
        <v>0.46080224057103303</v>
      </c>
      <c r="F244" s="386">
        <f t="shared" si="248"/>
        <v>0.31382535493282826</v>
      </c>
      <c r="G244" s="386">
        <f t="shared" si="248"/>
        <v>0.41392532328562481</v>
      </c>
      <c r="H244" s="386">
        <f t="shared" si="248"/>
        <v>0.47414823661527239</v>
      </c>
      <c r="I244" s="386">
        <f t="shared" si="248"/>
        <v>0.43349685942255312</v>
      </c>
      <c r="J244" s="386">
        <f t="shared" si="248"/>
        <v>0.4251424327340807</v>
      </c>
      <c r="K244" s="386">
        <f t="shared" si="248"/>
        <v>0.50478580762711744</v>
      </c>
      <c r="L244" s="386">
        <f t="shared" si="248"/>
        <v>0.41385236965679273</v>
      </c>
      <c r="M244" s="386">
        <f t="shared" si="248"/>
        <v>0.52871133933517755</v>
      </c>
      <c r="N244" s="386">
        <f t="shared" si="248"/>
        <v>0.60456500672966562</v>
      </c>
      <c r="O244" s="386">
        <f t="shared" si="248"/>
        <v>1.3224672675255873</v>
      </c>
      <c r="P244" s="386">
        <f t="shared" si="248"/>
        <v>0.96068888367009653</v>
      </c>
      <c r="Q244" s="386">
        <f t="shared" si="248"/>
        <v>1.1297342757351039</v>
      </c>
      <c r="R244" s="391">
        <f t="shared" si="241"/>
        <v>-0.36177838385549077</v>
      </c>
      <c r="S244" s="391">
        <f t="shared" si="242"/>
        <v>-0.16904539206500735</v>
      </c>
      <c r="T244" s="386">
        <f t="shared" si="248"/>
        <v>6.856411122105829</v>
      </c>
      <c r="U244" s="386">
        <f>V244</f>
        <v>10.709421597402239</v>
      </c>
      <c r="V244" s="386">
        <f t="shared" si="248"/>
        <v>10.709421597402239</v>
      </c>
      <c r="W244" s="386">
        <f t="shared" si="246"/>
        <v>-3.8530104752964096</v>
      </c>
      <c r="X244" s="392">
        <f>T244/V244</f>
        <v>0.64022235559098484</v>
      </c>
      <c r="Y244" s="1323"/>
    </row>
    <row r="245" spans="1:59" s="414" customFormat="1" ht="13" customHeight="1">
      <c r="B245" s="361" t="s">
        <v>236</v>
      </c>
      <c r="C245" s="383">
        <f t="shared" ref="C245:V245" si="249">C230-C234-C235</f>
        <v>579.10331289965757</v>
      </c>
      <c r="D245" s="383">
        <f t="shared" si="249"/>
        <v>38.482752184692529</v>
      </c>
      <c r="E245" s="383">
        <f t="shared" si="249"/>
        <v>0.11357733032800965</v>
      </c>
      <c r="F245" s="383">
        <f t="shared" si="249"/>
        <v>16.764182128235504</v>
      </c>
      <c r="G245" s="383">
        <f t="shared" si="249"/>
        <v>25.999341801309349</v>
      </c>
      <c r="H245" s="383">
        <f t="shared" si="249"/>
        <v>42.066057848379032</v>
      </c>
      <c r="I245" s="383">
        <f t="shared" si="249"/>
        <v>33.007071702636438</v>
      </c>
      <c r="J245" s="383">
        <f t="shared" si="249"/>
        <v>39.070357792995424</v>
      </c>
      <c r="K245" s="383">
        <f t="shared" si="249"/>
        <v>63.394705012525016</v>
      </c>
      <c r="L245" s="383">
        <f t="shared" si="249"/>
        <v>72.562452588303302</v>
      </c>
      <c r="M245" s="383">
        <f t="shared" si="249"/>
        <v>75.862623254694583</v>
      </c>
      <c r="N245" s="383">
        <f t="shared" si="249"/>
        <v>114.8130597986609</v>
      </c>
      <c r="O245" s="383">
        <f t="shared" si="249"/>
        <v>101.83338000077401</v>
      </c>
      <c r="P245" s="383">
        <f t="shared" si="249"/>
        <v>93.179136706442222</v>
      </c>
      <c r="Q245" s="383">
        <f>Q230-Q234-Q235</f>
        <v>66.024801850029263</v>
      </c>
      <c r="R245" s="383">
        <f t="shared" si="249"/>
        <v>-8.6542432943318008</v>
      </c>
      <c r="S245" s="383">
        <f t="shared" si="249"/>
        <v>27.154334856412962</v>
      </c>
      <c r="T245" s="383">
        <f t="shared" si="249"/>
        <v>678.29339409428337</v>
      </c>
      <c r="U245" s="383">
        <f>U230-U234-U235</f>
        <v>434.88101925224333</v>
      </c>
      <c r="V245" s="383">
        <f t="shared" si="249"/>
        <v>434.88101925224333</v>
      </c>
      <c r="W245" s="382">
        <f t="shared" si="225"/>
        <v>243.41237484204004</v>
      </c>
      <c r="X245" s="385">
        <f t="shared" ref="X245:X250" si="250">T245/V245</f>
        <v>1.5597217723150478</v>
      </c>
      <c r="Y245" s="1323"/>
      <c r="AA245" s="831">
        <f>T245-T246</f>
        <v>417.73000224444621</v>
      </c>
    </row>
    <row r="246" spans="1:59" s="414" customFormat="1" ht="13" customHeight="1">
      <c r="B246" s="361" t="s">
        <v>299</v>
      </c>
      <c r="C246" s="383">
        <f>SUM(C247:C250)</f>
        <v>13.411705148999999</v>
      </c>
      <c r="D246" s="383">
        <f t="shared" ref="D246:S246" si="251">SUM(D247:D250)</f>
        <v>34.364413886333182</v>
      </c>
      <c r="E246" s="383">
        <f t="shared" si="251"/>
        <v>16.575132462987781</v>
      </c>
      <c r="F246" s="383">
        <f t="shared" si="251"/>
        <v>16.692886490629419</v>
      </c>
      <c r="G246" s="383">
        <f t="shared" si="251"/>
        <v>15.924716374766579</v>
      </c>
      <c r="H246" s="383">
        <f>SUM(H247:H250)</f>
        <v>18.131154977044503</v>
      </c>
      <c r="I246" s="383">
        <f t="shared" si="251"/>
        <v>16.327544337178889</v>
      </c>
      <c r="J246" s="383">
        <f t="shared" si="251"/>
        <v>18.135931693865022</v>
      </c>
      <c r="K246" s="383">
        <f>SUM(K247:K250)</f>
        <v>29.820416738268655</v>
      </c>
      <c r="L246" s="383">
        <f t="shared" si="251"/>
        <v>24.18734385489762</v>
      </c>
      <c r="M246" s="383">
        <f t="shared" si="251"/>
        <v>23.745538637932675</v>
      </c>
      <c r="N246" s="383">
        <f t="shared" si="251"/>
        <v>44.862702637293189</v>
      </c>
      <c r="O246" s="383">
        <f t="shared" si="251"/>
        <v>21.238135554757719</v>
      </c>
      <c r="P246" s="383">
        <f t="shared" si="251"/>
        <v>14.921888090215091</v>
      </c>
      <c r="Q246" s="383">
        <f t="shared" si="251"/>
        <v>26.952242693702779</v>
      </c>
      <c r="R246" s="383">
        <f t="shared" si="251"/>
        <v>-6.3162474645426272</v>
      </c>
      <c r="S246" s="383">
        <f t="shared" si="251"/>
        <v>-12.030354603487687</v>
      </c>
      <c r="T246" s="383">
        <f t="shared" ref="T246" si="252">SUM(T247:T250)</f>
        <v>260.56339184983716</v>
      </c>
      <c r="U246" s="383">
        <f t="shared" ref="U246" si="253">SUM(U247:U250)</f>
        <v>323.42691232443332</v>
      </c>
      <c r="V246" s="383">
        <f t="shared" ref="V246" si="254">SUM(V247:V250)</f>
        <v>323.42691232443332</v>
      </c>
      <c r="W246" s="383">
        <f t="shared" ref="W246" si="255">SUM(W247:W250)</f>
        <v>-62.863520474596186</v>
      </c>
      <c r="X246" s="385">
        <f t="shared" si="250"/>
        <v>0.80563299441347347</v>
      </c>
      <c r="Y246" s="1323"/>
    </row>
    <row r="247" spans="1:59" s="404" customFormat="1" ht="13" customHeight="1">
      <c r="A247" s="494"/>
      <c r="B247" s="409" t="s">
        <v>301</v>
      </c>
      <c r="C247" s="386">
        <f>Lending!N41/10^9</f>
        <v>3.7736820249999998</v>
      </c>
      <c r="D247" s="386">
        <f>Lending!O41/10^9</f>
        <v>3.99262636</v>
      </c>
      <c r="E247" s="386">
        <f>Lending!P41/10^9</f>
        <v>3.9685505980500002</v>
      </c>
      <c r="F247" s="386">
        <f>Lending!Q41/10^9</f>
        <v>4.0859710982443529</v>
      </c>
      <c r="G247" s="386">
        <f>Lending!R41/10^9</f>
        <v>4.2642750893357135</v>
      </c>
      <c r="H247" s="386">
        <f>Lending!S41/10^9</f>
        <v>4.1718650294500002</v>
      </c>
      <c r="I247" s="386">
        <f>Lending!T41/10^9</f>
        <v>4.1524612601999999</v>
      </c>
      <c r="J247" s="386">
        <f>Lending!U41/10^9</f>
        <v>4.1415548116992982</v>
      </c>
      <c r="K247" s="386">
        <f>Lending!V41/10^9</f>
        <v>4.1021298220000002</v>
      </c>
      <c r="L247" s="386">
        <f>Lending!W41/10^9</f>
        <v>4.957972351172403</v>
      </c>
      <c r="M247" s="386">
        <f>Lending!X41/10^9</f>
        <v>4.7033021124346659</v>
      </c>
      <c r="N247" s="386">
        <f>Lending!Y41/10^9</f>
        <v>4.696522689598206</v>
      </c>
      <c r="O247" s="386">
        <f>Lending!Z41/10^9</f>
        <v>4.8705459827898485</v>
      </c>
      <c r="P247" s="386">
        <f>Lending!AA41/10^9</f>
        <v>4.8771646999621066</v>
      </c>
      <c r="Q247" s="386">
        <f>-BG_25_LEND!BE40</f>
        <v>8.3852758115533117</v>
      </c>
      <c r="R247" s="391">
        <f>P247-O247</f>
        <v>6.6187171722580374E-3</v>
      </c>
      <c r="S247" s="391">
        <f>P247-Q247</f>
        <v>-3.5081111115912051</v>
      </c>
      <c r="T247" s="386">
        <f>Lending!M41/10^9</f>
        <v>52.992315544936602</v>
      </c>
      <c r="U247" s="427">
        <f>V247</f>
        <v>100.62330973863975</v>
      </c>
      <c r="V247" s="427">
        <f>-BG_25_LEND!DE40</f>
        <v>100.62330973863975</v>
      </c>
      <c r="W247" s="386">
        <f>T247-U247</f>
        <v>-47.630994193703145</v>
      </c>
      <c r="X247" s="392">
        <f t="shared" si="250"/>
        <v>0.52664055359120576</v>
      </c>
      <c r="Y247" s="1323"/>
      <c r="AD247" s="1209"/>
      <c r="AE247" s="1210"/>
      <c r="AF247" s="1210"/>
      <c r="AG247" s="1210"/>
      <c r="AH247" s="1210"/>
      <c r="AI247" s="1210"/>
      <c r="AJ247" s="1210"/>
      <c r="AK247" s="1210"/>
      <c r="AL247" s="1210"/>
      <c r="AM247" s="1211"/>
      <c r="AN247" s="1211"/>
      <c r="AO247" s="1211"/>
      <c r="AP247" s="1211"/>
      <c r="AQ247" s="1212"/>
      <c r="AR247" s="1212"/>
      <c r="AS247" s="1213"/>
      <c r="AT247" s="1212"/>
    </row>
    <row r="248" spans="1:59" s="404" customFormat="1" ht="13" customHeight="1">
      <c r="B248" s="409" t="s">
        <v>303</v>
      </c>
      <c r="C248" s="386">
        <f>Lending!N42/10^9</f>
        <v>3.1380248650000002</v>
      </c>
      <c r="D248" s="386">
        <f>Lending!O42/10^9</f>
        <v>3.148726854</v>
      </c>
      <c r="E248" s="386">
        <f>Lending!P42/10^9</f>
        <v>4.1123032618600002</v>
      </c>
      <c r="F248" s="386">
        <f>Lending!Q42/10^9</f>
        <v>3.8659796918406277</v>
      </c>
      <c r="G248" s="386">
        <f>Lending!R42/10^9</f>
        <v>3.7812967346086417</v>
      </c>
      <c r="H248" s="386">
        <f>Lending!S42/10^9</f>
        <v>3.7540051567900004</v>
      </c>
      <c r="I248" s="386">
        <f>Lending!T42/10^9</f>
        <v>3.8534130408900005</v>
      </c>
      <c r="J248" s="386">
        <f>Lending!U42/10^9</f>
        <v>3.9692345006768326</v>
      </c>
      <c r="K248" s="386">
        <f>Lending!V42/10^9</f>
        <v>15.538012154735322</v>
      </c>
      <c r="L248" s="386">
        <f>Lending!W42/10^9</f>
        <v>8.5528422426585475</v>
      </c>
      <c r="M248" s="386">
        <f>Lending!X42/10^9</f>
        <v>6.2961072492285606</v>
      </c>
      <c r="N248" s="386">
        <f>Lending!Y42/10^9</f>
        <v>23.157294213061668</v>
      </c>
      <c r="O248" s="386">
        <f>Lending!Z42/10^9</f>
        <v>6.4719886090123104</v>
      </c>
      <c r="P248" s="386">
        <f>Lending!AA42/10^9</f>
        <v>0.67847425471522049</v>
      </c>
      <c r="Q248" s="386">
        <f>-BG_25_LEND!BE41</f>
        <v>4.9317606660547479</v>
      </c>
      <c r="R248" s="391">
        <f>P248-O248</f>
        <v>-5.7935143542970895</v>
      </c>
      <c r="S248" s="391">
        <f>P248-Q248</f>
        <v>-4.253286411339527</v>
      </c>
      <c r="T248" s="386">
        <f>Lending!M42/10^9</f>
        <v>84.030951110077737</v>
      </c>
      <c r="U248" s="427">
        <f>V248</f>
        <v>59.18112799265699</v>
      </c>
      <c r="V248" s="427">
        <f>-BG_25_LEND!DE41</f>
        <v>59.18112799265699</v>
      </c>
      <c r="W248" s="386">
        <f>T248-U248</f>
        <v>24.849823117420748</v>
      </c>
      <c r="X248" s="392">
        <f t="shared" si="250"/>
        <v>1.4198943812038196</v>
      </c>
      <c r="Y248" s="1323"/>
      <c r="AD248" s="1214"/>
      <c r="AE248" s="1215"/>
      <c r="AF248" s="1215"/>
      <c r="AG248" s="1215"/>
      <c r="AH248" s="1215"/>
      <c r="AI248" s="1215"/>
      <c r="AJ248" s="1215"/>
      <c r="AK248" s="1215"/>
      <c r="AL248" s="1216"/>
      <c r="AM248" s="1216"/>
      <c r="AN248" s="1216"/>
      <c r="AO248" s="1216"/>
      <c r="AP248" s="1216"/>
      <c r="AQ248" s="1216"/>
      <c r="AR248" s="1216"/>
      <c r="AS248" s="1216"/>
      <c r="AT248" s="1217"/>
    </row>
    <row r="249" spans="1:59" s="404" customFormat="1" ht="13" customHeight="1">
      <c r="B249" s="409" t="s">
        <v>305</v>
      </c>
      <c r="C249" s="386">
        <f>Lending!N43/10^9</f>
        <v>3.2671999999999999</v>
      </c>
      <c r="D249" s="386">
        <f>Lending!O43/10^9</f>
        <v>5.7172091942399996</v>
      </c>
      <c r="E249" s="386">
        <f>Lending!P43/10^9</f>
        <v>4.364383094322223</v>
      </c>
      <c r="F249" s="386">
        <f>Lending!Q43/10^9</f>
        <v>4.7462930466777769</v>
      </c>
      <c r="G249" s="386">
        <f>Lending!R43/10^9</f>
        <v>4.1445753588555556</v>
      </c>
      <c r="H249" s="386">
        <f>Lending!S43/10^9</f>
        <v>5.1406922818999998</v>
      </c>
      <c r="I249" s="386">
        <f>Lending!T43/10^9</f>
        <v>5.0611001226333334</v>
      </c>
      <c r="J249" s="386">
        <f>Lending!U43/10^9</f>
        <v>5.4753528971555552</v>
      </c>
      <c r="K249" s="386">
        <f>Lending!V43/10^9</f>
        <v>5.1091676355999995</v>
      </c>
      <c r="L249" s="386">
        <f>Lending!W43/10^9</f>
        <v>5.3105345311666667</v>
      </c>
      <c r="M249" s="386">
        <f>Lending!X43/10^9</f>
        <v>5.7294590226999995</v>
      </c>
      <c r="N249" s="386">
        <f>Lending!Y43/10^9</f>
        <v>5.9682653291333336</v>
      </c>
      <c r="O249" s="386">
        <f>Lending!Z43/10^9</f>
        <v>4.9886268701111103</v>
      </c>
      <c r="P249" s="386">
        <f>Lending!AA43/10^9</f>
        <v>9.1473892243999995</v>
      </c>
      <c r="Q249" s="386">
        <f>-BG_25_LEND!BE42</f>
        <v>6.0669056964123795</v>
      </c>
      <c r="R249" s="391">
        <f>P249-O249</f>
        <v>4.1587623542888892</v>
      </c>
      <c r="S249" s="391">
        <f>P249-Q249</f>
        <v>3.0804835279876199</v>
      </c>
      <c r="T249" s="386">
        <f>Lending!M43/10^9</f>
        <v>65.185839414655547</v>
      </c>
      <c r="U249" s="427">
        <f>V249</f>
        <v>72.802868356948537</v>
      </c>
      <c r="V249" s="427">
        <f>-BG_25_LEND!DE42</f>
        <v>72.802868356948537</v>
      </c>
      <c r="W249" s="386">
        <f>T249-U249</f>
        <v>-7.6170289422929898</v>
      </c>
      <c r="X249" s="392">
        <f>T249/V249</f>
        <v>0.89537460385561862</v>
      </c>
      <c r="Y249" s="1323"/>
      <c r="AD249" s="1218"/>
      <c r="AE249" s="1215"/>
      <c r="AF249" s="1215"/>
      <c r="AG249" s="1215"/>
      <c r="AH249" s="1215"/>
      <c r="AI249" s="1215"/>
      <c r="AJ249" s="1215"/>
      <c r="AK249" s="1215"/>
      <c r="AL249" s="1215"/>
      <c r="AM249" s="1215"/>
      <c r="AN249" s="1215"/>
      <c r="AO249" s="1215"/>
      <c r="AP249" s="1215"/>
      <c r="AQ249" s="1215"/>
      <c r="AR249" s="1215"/>
      <c r="AS249" s="1215"/>
      <c r="AT249" s="1219"/>
    </row>
    <row r="250" spans="1:59" s="414" customFormat="1" ht="13" customHeight="1">
      <c r="B250" s="409" t="s">
        <v>307</v>
      </c>
      <c r="C250" s="386">
        <f>Lending!N44/10^9</f>
        <v>3.232798259</v>
      </c>
      <c r="D250" s="386">
        <f>Lending!O44/10^9</f>
        <v>21.505851478093181</v>
      </c>
      <c r="E250" s="386">
        <f>Lending!P44/10^9</f>
        <v>4.1298955087555562</v>
      </c>
      <c r="F250" s="386">
        <f>Lending!Q44/10^9</f>
        <v>3.9946426538666633</v>
      </c>
      <c r="G250" s="386">
        <f>Lending!R44/10^9</f>
        <v>3.7345691919666666</v>
      </c>
      <c r="H250" s="386">
        <f>Lending!S44/10^9</f>
        <v>5.0645925089045019</v>
      </c>
      <c r="I250" s="386">
        <f>Lending!T44/10^9</f>
        <v>3.2605699134555541</v>
      </c>
      <c r="J250" s="386">
        <f>Lending!U44/10^9</f>
        <v>4.5497894843333357</v>
      </c>
      <c r="K250" s="386">
        <f>Lending!V44/10^9</f>
        <v>5.0711071259333327</v>
      </c>
      <c r="L250" s="386">
        <f>Lending!W44/10^9</f>
        <v>5.3659947299000015</v>
      </c>
      <c r="M250" s="386">
        <f>Lending!X44/10^9</f>
        <v>7.0166702535694503</v>
      </c>
      <c r="N250" s="386">
        <f>Lending!Y44/10^9</f>
        <v>11.040620405499986</v>
      </c>
      <c r="O250" s="386">
        <f>Lending!Z44/10^9</f>
        <v>4.9069740928444494</v>
      </c>
      <c r="P250" s="386">
        <f>Lending!AA44/10^9</f>
        <v>0.21885991113776454</v>
      </c>
      <c r="Q250" s="386">
        <f>-BG_25_LEND!BE43</f>
        <v>7.5683005196823387</v>
      </c>
      <c r="R250" s="391">
        <f>P250-O250</f>
        <v>-4.6881141817066849</v>
      </c>
      <c r="S250" s="391">
        <f>P250-Q250</f>
        <v>-7.3494406085445743</v>
      </c>
      <c r="T250" s="386">
        <f>Lending!M44/10^9</f>
        <v>58.354285780167267</v>
      </c>
      <c r="U250" s="427">
        <f>V250</f>
        <v>90.819606236188065</v>
      </c>
      <c r="V250" s="427">
        <f>-BG_25_LEND!DE43</f>
        <v>90.819606236188065</v>
      </c>
      <c r="W250" s="386">
        <f>T250-U250</f>
        <v>-32.465320456020798</v>
      </c>
      <c r="X250" s="392">
        <f t="shared" si="250"/>
        <v>0.64252960564935113</v>
      </c>
      <c r="Y250" s="1323"/>
      <c r="AD250" s="1218"/>
      <c r="AE250" s="1215"/>
      <c r="AF250" s="1215"/>
      <c r="AG250" s="1215"/>
      <c r="AH250" s="1215"/>
      <c r="AI250" s="1215"/>
      <c r="AJ250" s="1215"/>
      <c r="AK250" s="1215"/>
      <c r="AL250" s="1215"/>
      <c r="AM250" s="1215"/>
      <c r="AN250" s="1215"/>
      <c r="AO250" s="1215"/>
      <c r="AP250" s="1215"/>
      <c r="AQ250" s="1215"/>
      <c r="AR250" s="1215"/>
      <c r="AS250" s="1215"/>
      <c r="AT250" s="1219"/>
      <c r="BG250" s="404"/>
    </row>
    <row r="251" spans="1:59" s="414" customFormat="1" ht="13" hidden="1" customHeight="1">
      <c r="B251" s="409" t="s">
        <v>625</v>
      </c>
      <c r="C251" s="409"/>
      <c r="D251" s="409"/>
      <c r="E251" s="470">
        <f t="shared" ref="E251:P251" si="256">E228/E226</f>
        <v>0.21199806959750539</v>
      </c>
      <c r="F251" s="470">
        <f t="shared" si="256"/>
        <v>0.19849541458839279</v>
      </c>
      <c r="G251" s="470">
        <f t="shared" si="256"/>
        <v>0.20668300230935607</v>
      </c>
      <c r="H251" s="470">
        <f t="shared" si="256"/>
        <v>0.18493422317804714</v>
      </c>
      <c r="I251" s="470">
        <f t="shared" si="256"/>
        <v>0.17886468469263744</v>
      </c>
      <c r="J251" s="470">
        <f t="shared" si="256"/>
        <v>0.18139073269972586</v>
      </c>
      <c r="K251" s="470">
        <f t="shared" si="256"/>
        <v>0.16596181053701814</v>
      </c>
      <c r="L251" s="470">
        <f t="shared" si="256"/>
        <v>0.15943301771102833</v>
      </c>
      <c r="M251" s="470">
        <f t="shared" si="256"/>
        <v>0.1629814255296346</v>
      </c>
      <c r="N251" s="470">
        <f t="shared" si="256"/>
        <v>0.14835105436511706</v>
      </c>
      <c r="O251" s="470">
        <f t="shared" si="256"/>
        <v>0.15029125120931497</v>
      </c>
      <c r="P251" s="470">
        <f t="shared" si="256"/>
        <v>0.16386756351201454</v>
      </c>
      <c r="Q251" s="386"/>
      <c r="R251" s="384"/>
      <c r="S251" s="384"/>
      <c r="T251" s="386"/>
      <c r="U251" s="386"/>
      <c r="V251" s="427"/>
      <c r="W251" s="386"/>
      <c r="X251" s="392"/>
      <c r="Y251" s="1323"/>
      <c r="AD251" s="1214"/>
      <c r="AE251" s="1216"/>
      <c r="AF251" s="1216"/>
      <c r="AG251" s="1216"/>
      <c r="AH251" s="1216"/>
      <c r="AI251" s="1216"/>
      <c r="AJ251" s="1216"/>
      <c r="AK251" s="1216"/>
      <c r="AL251" s="1216"/>
      <c r="AM251" s="1216"/>
      <c r="AN251" s="1216"/>
      <c r="AO251" s="1216"/>
      <c r="AP251" s="1216"/>
      <c r="AQ251" s="1216"/>
      <c r="AR251" s="1216"/>
      <c r="AS251" s="1216"/>
      <c r="AT251" s="1217"/>
    </row>
    <row r="252" spans="1:59" s="414" customFormat="1" ht="13" customHeight="1">
      <c r="B252" s="828" t="s">
        <v>626</v>
      </c>
      <c r="C252" s="470">
        <f t="shared" ref="C252:P252" si="257">C229/C226</f>
        <v>9.6621703247410845E-2</v>
      </c>
      <c r="D252" s="470">
        <f t="shared" si="257"/>
        <v>0.10224909362467111</v>
      </c>
      <c r="E252" s="470">
        <f t="shared" si="257"/>
        <v>9.5683943798398605E-2</v>
      </c>
      <c r="F252" s="470">
        <f t="shared" si="257"/>
        <v>0.10257186164307855</v>
      </c>
      <c r="G252" s="470">
        <f t="shared" si="257"/>
        <v>0.10412930452373061</v>
      </c>
      <c r="H252" s="470">
        <f t="shared" si="257"/>
        <v>9.0950774869585208E-2</v>
      </c>
      <c r="I252" s="470">
        <f t="shared" si="257"/>
        <v>8.4962818575702398E-2</v>
      </c>
      <c r="J252" s="470">
        <f t="shared" si="257"/>
        <v>9.0618039948433982E-2</v>
      </c>
      <c r="K252" s="470">
        <f t="shared" si="257"/>
        <v>8.8410068130061192E-2</v>
      </c>
      <c r="L252" s="470">
        <f t="shared" si="257"/>
        <v>8.9333724646175269E-2</v>
      </c>
      <c r="M252" s="470">
        <f t="shared" si="257"/>
        <v>9.7038288079479951E-2</v>
      </c>
      <c r="N252" s="470">
        <f t="shared" si="257"/>
        <v>9.6876654235509091E-2</v>
      </c>
      <c r="O252" s="470">
        <f t="shared" si="257"/>
        <v>0.10088431663723318</v>
      </c>
      <c r="P252" s="470">
        <f t="shared" si="257"/>
        <v>0.10981536066564404</v>
      </c>
      <c r="Q252" s="386"/>
      <c r="R252" s="384"/>
      <c r="S252" s="384"/>
      <c r="T252" s="386"/>
      <c r="U252" s="386"/>
      <c r="V252" s="427"/>
      <c r="W252" s="386"/>
      <c r="X252" s="392"/>
      <c r="Y252" s="1323"/>
      <c r="AD252" s="1218"/>
      <c r="AE252" s="1220"/>
      <c r="AF252" s="1220"/>
      <c r="AG252" s="1220"/>
      <c r="AH252" s="1220"/>
      <c r="AI252" s="1220"/>
      <c r="AJ252" s="1220"/>
      <c r="AK252" s="1220"/>
      <c r="AL252" s="1220"/>
      <c r="AM252" s="1220"/>
      <c r="AN252" s="1220"/>
      <c r="AO252" s="1220"/>
      <c r="AP252" s="1220"/>
      <c r="AQ252" s="1220"/>
      <c r="AR252" s="1220"/>
      <c r="AS252" s="1215"/>
      <c r="AT252" s="1219"/>
    </row>
    <row r="253" spans="1:59" s="414" customFormat="1" ht="13" customHeight="1">
      <c r="B253" s="352" t="s">
        <v>627</v>
      </c>
      <c r="C253" s="470">
        <f>(Lending!N13+Paylater!N17)/(Lending!N10+Paylater!N10)</f>
        <v>0.10148159204154035</v>
      </c>
      <c r="D253" s="470">
        <f>(Lending!O13+Paylater!O17)/(Lending!O10+Paylater!O10)</f>
        <v>9.8964205128059923E-2</v>
      </c>
      <c r="E253" s="470">
        <f>(Lending!P13+Paylater!P17)/(Lending!P10+Paylater!P10)</f>
        <v>0.10669817403762871</v>
      </c>
      <c r="F253" s="470">
        <f>(Lending!Q13+Paylater!Q17)/(Lending!Q10+Paylater!Q10)</f>
        <v>8.3772236891917706E-2</v>
      </c>
      <c r="G253" s="470">
        <f>(Lending!R13+Paylater!R17)/(Lending!R10+Paylater!R10)</f>
        <v>8.3762664763225553E-2</v>
      </c>
      <c r="H253" s="470">
        <f>(Lending!S13+Paylater!S17)/(Lending!S10+Paylater!S10)</f>
        <v>8.0788239237538542E-2</v>
      </c>
      <c r="I253" s="470">
        <f>(Lending!T13+Paylater!T17)/(Lending!T10+Paylater!T10)</f>
        <v>8.1340500500864846E-2</v>
      </c>
      <c r="J253" s="470">
        <f>(Lending!U13+Paylater!U17)/(Lending!U10+Paylater!U10)</f>
        <v>7.2010281498718701E-2</v>
      </c>
      <c r="K253" s="470">
        <f>(Lending!V13+Paylater!V17)/(Lending!V10+Paylater!V10)</f>
        <v>6.6071884029045014E-2</v>
      </c>
      <c r="L253" s="470">
        <f>(Lending!W13+Paylater!W17)/(Lending!W10+Paylater!W10)</f>
        <v>5.914713494996076E-2</v>
      </c>
      <c r="M253" s="470">
        <f>(Lending!X13+Paylater!X17)/(Lending!X10+Paylater!X10)</f>
        <v>5.0654607869857482E-2</v>
      </c>
      <c r="N253" s="470">
        <f>(Lending!Y13+Paylater!Y17)/(Lending!Y10+Paylater!Y10)</f>
        <v>4.3159750767158563E-2</v>
      </c>
      <c r="O253" s="470">
        <f>(Lending!Z13+Paylater!Z17)/(Lending!Z10+Paylater!Z10)</f>
        <v>3.9665910243773465E-2</v>
      </c>
      <c r="P253" s="470">
        <f>(Lending!AA13+Paylater!AA17)/(Lending!AA10+Paylater!AA10)</f>
        <v>3.7540625486268284E-2</v>
      </c>
      <c r="Q253" s="386"/>
      <c r="R253" s="384"/>
      <c r="S253" s="384"/>
      <c r="T253" s="386"/>
      <c r="U253" s="386"/>
      <c r="V253" s="427"/>
      <c r="W253" s="386"/>
      <c r="X253" s="392"/>
      <c r="Y253" s="1323"/>
      <c r="AD253" s="1218"/>
      <c r="AE253" s="1220"/>
      <c r="AF253" s="1220"/>
      <c r="AG253" s="1220"/>
      <c r="AH253" s="1220"/>
      <c r="AI253" s="1220"/>
      <c r="AJ253" s="1220"/>
      <c r="AK253" s="1220"/>
      <c r="AL253" s="1220"/>
      <c r="AM253" s="1220"/>
      <c r="AN253" s="1220"/>
      <c r="AO253" s="1220"/>
      <c r="AP253" s="1220"/>
      <c r="AQ253" s="1220"/>
      <c r="AR253" s="1220"/>
      <c r="AS253" s="1215"/>
      <c r="AT253" s="1219"/>
    </row>
    <row r="254" spans="1:59" s="404" customFormat="1" ht="13" customHeight="1" thickBot="1">
      <c r="A254" s="410"/>
      <c r="B254" s="393" t="s">
        <v>628</v>
      </c>
      <c r="C254" s="394">
        <f>(Lending!N15+Paylater!N16)/(Lending!N10+Paylater!N10)</f>
        <v>0.11163538766901605</v>
      </c>
      <c r="D254" s="394">
        <f>(Lending!O15+Paylater!O16)/(Lending!O10+Paylater!O10)</f>
        <v>0.11181299793712844</v>
      </c>
      <c r="E254" s="394">
        <f>(Lending!P15+Paylater!P16)/(Lending!P10+Paylater!P10)</f>
        <v>0.11631412579910677</v>
      </c>
      <c r="F254" s="394">
        <f>(Lending!Q15+Paylater!Q16)/(Lending!Q10+Paylater!Q10)</f>
        <v>9.5923552945314239E-2</v>
      </c>
      <c r="G254" s="394">
        <f>(Lending!R15+Paylater!R16)/(Lending!R10+Paylater!R10)</f>
        <v>0.10255369778562548</v>
      </c>
      <c r="H254" s="394">
        <f>(Lending!S15+Paylater!S16)/(Lending!S10+Paylater!S10)</f>
        <v>9.3983448308461934E-2</v>
      </c>
      <c r="I254" s="394">
        <f>(Lending!T15+Paylater!T16)/(Lending!T10+Paylater!T10)</f>
        <v>9.3901866116935059E-2</v>
      </c>
      <c r="J254" s="394">
        <f>(Lending!U15+Paylater!U16)/(Lending!U10+Paylater!U10)</f>
        <v>9.077269275129185E-2</v>
      </c>
      <c r="K254" s="394">
        <f>(Lending!V15+Paylater!V16)/(Lending!V10+Paylater!V10)</f>
        <v>7.7551742406956961E-2</v>
      </c>
      <c r="L254" s="394">
        <f>(Lending!W15+Paylater!W16)/(Lending!W10+Paylater!W10)</f>
        <v>7.009929306485306E-2</v>
      </c>
      <c r="M254" s="394">
        <f>(Lending!X15+Paylater!X16)/(Lending!X10+Paylater!X10)</f>
        <v>6.5941345070960639E-2</v>
      </c>
      <c r="N254" s="394">
        <f>(Lending!Y15+Paylater!Y16)/(Lending!Y10+Paylater!Y10)</f>
        <v>5.1434540952301641E-2</v>
      </c>
      <c r="O254" s="394">
        <f>(Lending!Z15+Paylater!Z16)/(Lending!Z10+Paylater!Z10)</f>
        <v>4.9266237151379691E-2</v>
      </c>
      <c r="P254" s="394">
        <f>(Lending!AA15+Paylater!AA16)/(Lending!AA10+Paylater!AA10)</f>
        <v>5.3655982352677337E-2</v>
      </c>
      <c r="Q254" s="394"/>
      <c r="R254" s="394"/>
      <c r="S254" s="394"/>
      <c r="T254" s="428"/>
      <c r="U254" s="428"/>
      <c r="V254" s="428"/>
      <c r="W254" s="428"/>
      <c r="X254" s="429"/>
      <c r="Y254" s="1323"/>
      <c r="AD254" s="1218"/>
      <c r="AE254" s="1220"/>
      <c r="AF254" s="1220"/>
      <c r="AG254" s="1220"/>
      <c r="AH254" s="1220"/>
      <c r="AI254" s="1220"/>
      <c r="AJ254" s="1220"/>
      <c r="AK254" s="1220"/>
      <c r="AL254" s="1220"/>
      <c r="AM254" s="1220"/>
      <c r="AN254" s="1220"/>
      <c r="AO254" s="1220"/>
      <c r="AP254" s="1220"/>
      <c r="AQ254" s="1220"/>
      <c r="AR254" s="1220"/>
      <c r="AS254" s="1215"/>
      <c r="AT254" s="1219"/>
    </row>
    <row r="255" spans="1:59" s="414" customFormat="1" ht="13" customHeight="1">
      <c r="B255" s="361" t="s">
        <v>543</v>
      </c>
      <c r="C255" s="383">
        <f>C245-C246</f>
        <v>565.69160775065757</v>
      </c>
      <c r="D255" s="383">
        <f t="shared" ref="D255:W255" si="258">D245-D246</f>
        <v>4.1183382983593475</v>
      </c>
      <c r="E255" s="383">
        <f t="shared" si="258"/>
        <v>-16.461555132659772</v>
      </c>
      <c r="F255" s="383">
        <f t="shared" si="258"/>
        <v>7.1295637606084483E-2</v>
      </c>
      <c r="G255" s="383">
        <f t="shared" si="258"/>
        <v>10.07462542654277</v>
      </c>
      <c r="H255" s="383">
        <f t="shared" si="258"/>
        <v>23.934902871334529</v>
      </c>
      <c r="I255" s="383">
        <f t="shared" si="258"/>
        <v>16.679527365457549</v>
      </c>
      <c r="J255" s="383">
        <f t="shared" si="258"/>
        <v>20.934426099130402</v>
      </c>
      <c r="K255" s="383">
        <f>K245-K246</f>
        <v>33.574288274256361</v>
      </c>
      <c r="L255" s="383">
        <f t="shared" si="258"/>
        <v>48.375108733405682</v>
      </c>
      <c r="M255" s="383">
        <f t="shared" si="258"/>
        <v>52.117084616761908</v>
      </c>
      <c r="N255" s="383">
        <f t="shared" si="258"/>
        <v>69.95035716136772</v>
      </c>
      <c r="O255" s="383">
        <f t="shared" si="258"/>
        <v>80.595244446016295</v>
      </c>
      <c r="P255" s="383">
        <f t="shared" si="258"/>
        <v>78.25724861622713</v>
      </c>
      <c r="Q255" s="383">
        <f>Q245-Q246</f>
        <v>39.072559156326484</v>
      </c>
      <c r="R255" s="383">
        <f t="shared" si="258"/>
        <v>-2.3379958297891736</v>
      </c>
      <c r="S255" s="383">
        <f t="shared" si="258"/>
        <v>39.184689459900653</v>
      </c>
      <c r="T255" s="383">
        <f t="shared" si="258"/>
        <v>417.73000224444621</v>
      </c>
      <c r="U255" s="383">
        <f t="shared" si="258"/>
        <v>111.45410692781002</v>
      </c>
      <c r="V255" s="383">
        <f t="shared" si="258"/>
        <v>111.45410692781002</v>
      </c>
      <c r="W255" s="383">
        <f t="shared" si="258"/>
        <v>306.27589531663625</v>
      </c>
      <c r="X255" s="385">
        <f>T255/V255</f>
        <v>3.7480000850485866</v>
      </c>
      <c r="Y255" s="1323"/>
      <c r="AD255" s="1218"/>
      <c r="AE255" s="1221"/>
      <c r="AF255" s="1221"/>
      <c r="AG255" s="1221"/>
      <c r="AH255" s="1221"/>
      <c r="AI255" s="1221"/>
      <c r="AJ255" s="1221"/>
      <c r="AK255" s="1221"/>
      <c r="AL255" s="1221"/>
      <c r="AM255" s="1221"/>
      <c r="AN255" s="1221"/>
      <c r="AO255" s="1221"/>
      <c r="AP255" s="1221"/>
      <c r="AQ255" s="1221"/>
      <c r="AR255" s="1221"/>
      <c r="AS255" s="1221"/>
      <c r="AT255" s="1222"/>
    </row>
    <row r="256" spans="1:59" s="404" customFormat="1" ht="16">
      <c r="B256" s="430"/>
      <c r="C256" s="430"/>
      <c r="D256" s="430"/>
      <c r="E256" s="430"/>
      <c r="F256" s="430"/>
      <c r="G256" s="430"/>
      <c r="J256" s="424"/>
      <c r="K256" s="424"/>
      <c r="L256" s="424"/>
      <c r="M256" s="424"/>
      <c r="N256" s="424"/>
      <c r="O256" s="424"/>
      <c r="P256" s="424"/>
      <c r="Q256" s="424"/>
      <c r="R256" s="424"/>
      <c r="S256" s="424"/>
      <c r="T256" s="424"/>
      <c r="U256" s="424"/>
      <c r="V256" s="424"/>
      <c r="W256" s="424"/>
      <c r="X256" s="424"/>
      <c r="Y256" s="1323"/>
      <c r="AD256" s="1223"/>
      <c r="AE256" s="1224"/>
      <c r="AF256" s="1224"/>
      <c r="AG256" s="1224"/>
      <c r="AH256" s="1224"/>
      <c r="AI256" s="1224"/>
      <c r="AJ256" s="1224"/>
      <c r="AK256" s="1224"/>
      <c r="AL256" s="1224"/>
      <c r="AM256" s="1224"/>
      <c r="AN256" s="1224"/>
      <c r="AO256" s="1224"/>
      <c r="AP256" s="1224"/>
      <c r="AQ256" s="1224"/>
      <c r="AR256" s="1224"/>
      <c r="AS256" s="1224"/>
      <c r="AT256" s="1225"/>
    </row>
    <row r="257" spans="2:53" s="404" customFormat="1" ht="14">
      <c r="B257" s="430"/>
      <c r="C257" s="430"/>
      <c r="D257" s="430"/>
      <c r="E257" s="430"/>
      <c r="F257" s="430"/>
      <c r="G257" s="1357"/>
      <c r="H257" s="1357"/>
      <c r="I257" s="1357"/>
      <c r="J257" s="1357"/>
      <c r="K257" s="424"/>
      <c r="L257" s="424"/>
      <c r="M257" s="424"/>
      <c r="N257" s="424"/>
      <c r="O257" s="424"/>
      <c r="P257" s="424"/>
      <c r="Q257" s="424"/>
      <c r="R257" s="424"/>
      <c r="S257" s="424"/>
      <c r="T257" s="424"/>
      <c r="U257" s="424"/>
      <c r="V257" s="424"/>
      <c r="W257" s="424"/>
      <c r="X257" s="424"/>
      <c r="Y257" s="1323"/>
      <c r="Z257" s="494"/>
    </row>
    <row r="258" spans="2:53" s="404" customFormat="1" ht="14">
      <c r="B258" s="414"/>
      <c r="C258" s="414"/>
      <c r="D258" s="414"/>
      <c r="G258" s="424">
        <f>F265-F266+F268-F269</f>
        <v>9.507090439869593</v>
      </c>
      <c r="H258" s="424">
        <f>I265-I266+I268-I269</f>
        <v>12.914157826408207</v>
      </c>
      <c r="I258" s="424"/>
      <c r="J258" s="424">
        <v>3.2519027777777794</v>
      </c>
      <c r="K258" s="424"/>
      <c r="L258" s="424"/>
      <c r="M258" s="424"/>
      <c r="N258" s="424"/>
      <c r="O258" s="424"/>
      <c r="P258" s="424"/>
      <c r="Q258" s="424"/>
      <c r="R258" s="424"/>
      <c r="S258" s="424"/>
      <c r="T258" s="424"/>
      <c r="U258" s="424"/>
      <c r="V258" s="424"/>
    </row>
    <row r="259" spans="2:53" s="404" customFormat="1" ht="36" customHeight="1">
      <c r="B259" s="785" t="s">
        <v>644</v>
      </c>
      <c r="C259" s="90" t="s">
        <v>613</v>
      </c>
      <c r="D259" s="90" t="s">
        <v>614</v>
      </c>
      <c r="E259" s="1204" t="s">
        <v>645</v>
      </c>
      <c r="F259" s="1204" t="s">
        <v>646</v>
      </c>
      <c r="G259" s="1204" t="s">
        <v>647</v>
      </c>
      <c r="H259" s="90" t="s">
        <v>648</v>
      </c>
      <c r="I259" s="90" t="s">
        <v>649</v>
      </c>
      <c r="J259" s="90" t="s">
        <v>650</v>
      </c>
      <c r="K259" s="90" t="s">
        <v>651</v>
      </c>
      <c r="L259" s="90" t="s">
        <v>652</v>
      </c>
      <c r="M259" s="90" t="s">
        <v>653</v>
      </c>
      <c r="N259" s="90" t="s">
        <v>654</v>
      </c>
      <c r="O259" s="90" t="s">
        <v>655</v>
      </c>
      <c r="P259" s="90" t="s">
        <v>656</v>
      </c>
      <c r="Q259" s="90" t="s">
        <v>575</v>
      </c>
      <c r="R259" s="1205" t="s">
        <v>172</v>
      </c>
      <c r="S259" s="1205" t="s">
        <v>173</v>
      </c>
      <c r="T259" s="78" t="s">
        <v>76</v>
      </c>
      <c r="U259" s="78" t="s">
        <v>174</v>
      </c>
      <c r="V259" s="78" t="s">
        <v>175</v>
      </c>
      <c r="W259" s="1206" t="s">
        <v>657</v>
      </c>
      <c r="X259" s="77" t="s">
        <v>576</v>
      </c>
      <c r="Y259" s="785" t="s">
        <v>658</v>
      </c>
      <c r="Z259" s="785" t="s">
        <v>659</v>
      </c>
      <c r="AC259" s="431"/>
      <c r="AD259" s="378" t="s">
        <v>660</v>
      </c>
      <c r="AE259" s="380" t="s">
        <v>585</v>
      </c>
      <c r="AF259" s="380"/>
      <c r="AG259" s="380" t="s">
        <v>585</v>
      </c>
      <c r="AH259" s="380" t="s">
        <v>585</v>
      </c>
      <c r="AI259" s="380" t="s">
        <v>585</v>
      </c>
      <c r="AJ259" s="380" t="s">
        <v>585</v>
      </c>
      <c r="AK259" s="1199" t="s">
        <v>600</v>
      </c>
      <c r="AL259" s="380" t="s">
        <v>172</v>
      </c>
      <c r="AM259" s="380" t="s">
        <v>173</v>
      </c>
      <c r="AN259" s="381" t="s">
        <v>8</v>
      </c>
      <c r="AO259" s="1364" t="s">
        <v>601</v>
      </c>
      <c r="AP259" s="381" t="s">
        <v>586</v>
      </c>
      <c r="AQ259" s="381" t="s">
        <v>173</v>
      </c>
      <c r="AR259" s="1045" t="s">
        <v>587</v>
      </c>
      <c r="AS259" s="431"/>
      <c r="AT259" s="431"/>
      <c r="AU259" s="384">
        <v>14551</v>
      </c>
      <c r="AV259" s="384">
        <v>553</v>
      </c>
      <c r="AW259" s="384">
        <v>-5116</v>
      </c>
      <c r="AX259" s="384">
        <v>12054</v>
      </c>
      <c r="AY259" s="384">
        <v>13834</v>
      </c>
      <c r="AZ259" s="384">
        <v>-1780</v>
      </c>
      <c r="BA259" s="568">
        <v>0.87133150209628452</v>
      </c>
    </row>
    <row r="260" spans="2:53" s="404" customFormat="1" ht="12" customHeight="1">
      <c r="B260" s="352" t="s">
        <v>314</v>
      </c>
      <c r="C260" s="384">
        <v>7142.2491545855792</v>
      </c>
      <c r="D260" s="384">
        <v>7243.1511539163084</v>
      </c>
      <c r="E260" s="384">
        <f>8759624212854.13/10^9</f>
        <v>8759.6242128541307</v>
      </c>
      <c r="F260" s="384">
        <v>9634</v>
      </c>
      <c r="G260" s="384">
        <v>10251</v>
      </c>
      <c r="H260" s="384">
        <v>10819</v>
      </c>
      <c r="I260" s="384">
        <v>11473</v>
      </c>
      <c r="J260" s="384">
        <v>12144</v>
      </c>
      <c r="K260" s="384">
        <v>12677</v>
      </c>
      <c r="L260" s="384">
        <v>13047</v>
      </c>
      <c r="M260" s="384">
        <v>13417</v>
      </c>
      <c r="N260" s="384">
        <v>13715</v>
      </c>
      <c r="O260" s="384">
        <v>13998</v>
      </c>
      <c r="P260" s="384">
        <v>14551</v>
      </c>
      <c r="Q260" s="384">
        <v>19667</v>
      </c>
      <c r="R260" s="384">
        <f>Deposit[[#This Row],[Dec-25]]-Deposit[[#This Row],[Nov-25]]</f>
        <v>553</v>
      </c>
      <c r="S260" s="384">
        <f>Deposit[[#This Row],[Dec-25]]-Deposit[[#This Row],[Dec-25 Plan]]</f>
        <v>-5116</v>
      </c>
      <c r="T260" s="384">
        <v>12054</v>
      </c>
      <c r="U260" s="384">
        <v>13834</v>
      </c>
      <c r="V260" s="384">
        <v>13834</v>
      </c>
      <c r="W260" s="384">
        <f t="shared" ref="W260:W289" si="259">T260-U260</f>
        <v>-1780</v>
      </c>
      <c r="X260" s="568">
        <f>T260/V260</f>
        <v>0.87133150209628452</v>
      </c>
      <c r="Y260" s="352"/>
      <c r="Z260" s="352"/>
      <c r="AA260" s="432"/>
      <c r="AC260" s="431"/>
      <c r="AD260" s="358" t="s">
        <v>314</v>
      </c>
      <c r="AF260" s="1186"/>
      <c r="AJ260" s="1186">
        <f>AU259</f>
        <v>14551</v>
      </c>
      <c r="AK260" s="1186"/>
      <c r="AL260" s="1186">
        <f>AV259</f>
        <v>553</v>
      </c>
      <c r="AM260" s="1186">
        <f t="shared" ref="AL260:AN261" si="260">AW259</f>
        <v>-5116</v>
      </c>
      <c r="AN260" s="1186">
        <f>AX259</f>
        <v>12054</v>
      </c>
      <c r="AO260" s="1186"/>
      <c r="AP260" s="1186">
        <f>AY259</f>
        <v>13834</v>
      </c>
      <c r="AQ260" s="1186">
        <f t="shared" ref="AQ260" si="261">AZ259</f>
        <v>-1780</v>
      </c>
      <c r="AR260" s="1321">
        <f>AN260/AP260</f>
        <v>0.87133150209628452</v>
      </c>
      <c r="AS260" s="1194"/>
      <c r="AT260" s="1194"/>
      <c r="AU260" s="384">
        <v>15122.134235137</v>
      </c>
      <c r="AV260" s="384">
        <v>921.3027286810011</v>
      </c>
      <c r="AW260" s="384">
        <v>-5077.8657648629996</v>
      </c>
      <c r="AX260" s="384">
        <v>14200.831506455999</v>
      </c>
      <c r="AY260" s="384">
        <v>20200</v>
      </c>
      <c r="AZ260" s="492">
        <v>-5999.1684935440007</v>
      </c>
      <c r="BA260" s="568">
        <v>0.70301146071564358</v>
      </c>
    </row>
    <row r="261" spans="2:53" s="404" customFormat="1" ht="12" customHeight="1">
      <c r="B261" s="352" t="s">
        <v>82</v>
      </c>
      <c r="C261" s="384">
        <v>8302.5022046430004</v>
      </c>
      <c r="D261" s="384">
        <v>8480.7300911990005</v>
      </c>
      <c r="E261" s="384">
        <f t="shared" ref="E261:M261" si="262">E262+E263</f>
        <v>9197.3422931620007</v>
      </c>
      <c r="F261" s="384">
        <f t="shared" si="262"/>
        <v>9951.8413842810005</v>
      </c>
      <c r="G261" s="384">
        <f t="shared" si="262"/>
        <v>10532.624343304</v>
      </c>
      <c r="H261" s="384">
        <f t="shared" si="262"/>
        <v>11135.968835199001</v>
      </c>
      <c r="I261" s="384">
        <f t="shared" si="262"/>
        <v>11850.315235074</v>
      </c>
      <c r="J261" s="384">
        <f>J262+J263</f>
        <v>12387.485569985</v>
      </c>
      <c r="K261" s="384">
        <f>K262+K263</f>
        <v>12866.983855833001</v>
      </c>
      <c r="L261" s="384">
        <f>L262+L263</f>
        <v>13261.744514199001</v>
      </c>
      <c r="M261" s="384">
        <f t="shared" si="262"/>
        <v>13563.347490637001</v>
      </c>
      <c r="N261" s="384">
        <f>N262+N263</f>
        <v>13745.386398570001</v>
      </c>
      <c r="O261" s="384">
        <f>O262+O263</f>
        <v>14200.831506455999</v>
      </c>
      <c r="P261" s="384">
        <f t="shared" ref="P261" si="263">P262+P263</f>
        <v>15122.134235137</v>
      </c>
      <c r="Q261" s="384">
        <v>20200</v>
      </c>
      <c r="R261" s="384">
        <f>Deposit[[#This Row],[Dec-25]]-Deposit[[#This Row],[Nov-25]]</f>
        <v>921.3027286810011</v>
      </c>
      <c r="S261" s="384">
        <f>Deposit[[#This Row],[Dec-25]]-Deposit[[#This Row],[Dec-25 Plan]]</f>
        <v>-5077.8657648629996</v>
      </c>
      <c r="T261" s="384">
        <f>Deposit[[#This Row],[Nov-25]]</f>
        <v>14200.831506455999</v>
      </c>
      <c r="U261" s="384">
        <f>Deposit[[#This Row],[Dec-25 Plan]]</f>
        <v>20200</v>
      </c>
      <c r="V261" s="492">
        <f>V262+V263</f>
        <v>20200</v>
      </c>
      <c r="W261" s="492">
        <f t="shared" si="259"/>
        <v>-5999.1684935440007</v>
      </c>
      <c r="X261" s="569">
        <f>T261/V261</f>
        <v>0.70301146071564358</v>
      </c>
      <c r="Y261" s="352"/>
      <c r="Z261" s="352"/>
      <c r="AA261" s="432"/>
      <c r="AC261" s="431"/>
      <c r="AD261" s="358" t="s">
        <v>243</v>
      </c>
      <c r="AF261" s="1186"/>
      <c r="AJ261" s="1186">
        <f>AU260</f>
        <v>15122.134235137</v>
      </c>
      <c r="AK261" s="1321"/>
      <c r="AL261" s="1186">
        <f t="shared" si="260"/>
        <v>921.3027286810011</v>
      </c>
      <c r="AM261" s="1186">
        <f t="shared" si="260"/>
        <v>-5077.8657648629996</v>
      </c>
      <c r="AN261" s="1186">
        <f t="shared" si="260"/>
        <v>14200.831506455999</v>
      </c>
      <c r="AO261" s="1186"/>
      <c r="AP261" s="1186">
        <f t="shared" ref="AP261" si="264">AY260</f>
        <v>20200</v>
      </c>
      <c r="AQ261" s="1186">
        <f>AZ260</f>
        <v>-5999.1684935440007</v>
      </c>
      <c r="AR261" s="1321">
        <f>AN261/AP261</f>
        <v>0.70301146071564358</v>
      </c>
      <c r="AS261" s="1194"/>
      <c r="AT261" s="1194"/>
      <c r="AU261" s="427">
        <v>935.63983132199996</v>
      </c>
      <c r="AV261" s="427">
        <v>189.21294760199999</v>
      </c>
      <c r="AW261" s="427">
        <v>-264.36016867800004</v>
      </c>
      <c r="AX261" s="427">
        <v>935.63983132199996</v>
      </c>
      <c r="AY261" s="427">
        <v>1200</v>
      </c>
      <c r="AZ261" s="427">
        <v>-264.36016867800004</v>
      </c>
      <c r="BA261" s="568">
        <v>0.77969985943499998</v>
      </c>
    </row>
    <row r="262" spans="2:53" s="404" customFormat="1" ht="12" customHeight="1">
      <c r="B262" s="409" t="s">
        <v>67</v>
      </c>
      <c r="C262" s="433">
        <v>448.84890619100003</v>
      </c>
      <c r="D262" s="433">
        <v>482.41711743399998</v>
      </c>
      <c r="E262" s="433">
        <f>Liability!AI34/10^9</f>
        <v>521.72083510799996</v>
      </c>
      <c r="F262" s="427">
        <f>Liability!AJ34/10^9</f>
        <v>512.78727024800003</v>
      </c>
      <c r="G262" s="427">
        <f>Liability!AK34/10^9</f>
        <v>517.95397654700002</v>
      </c>
      <c r="H262" s="427">
        <f>Liability!AL34/10^9</f>
        <v>544.68541040599996</v>
      </c>
      <c r="I262" s="427">
        <f>Liability!AM34/10^9</f>
        <v>609.94823769599998</v>
      </c>
      <c r="J262" s="427">
        <f>Liability!AN34/10^9</f>
        <v>687.99932494100005</v>
      </c>
      <c r="K262" s="427">
        <f>Liability!AO34/10^9</f>
        <v>711.13997275700001</v>
      </c>
      <c r="L262" s="427">
        <f>Liability!AP34/10^9</f>
        <v>639.81629129400005</v>
      </c>
      <c r="M262" s="427">
        <f>Liability!AQ34/10^9</f>
        <v>670.75829610699998</v>
      </c>
      <c r="N262" s="427">
        <f>Liability!AR34/10^9</f>
        <v>690.13888817500003</v>
      </c>
      <c r="O262" s="427">
        <f>Liability!AS34/10^9</f>
        <v>746.42688371999998</v>
      </c>
      <c r="P262" s="427">
        <f>Liability!AT34/10^9</f>
        <v>935.63983132199996</v>
      </c>
      <c r="Q262" s="433">
        <v>1200</v>
      </c>
      <c r="R262" s="433">
        <f>Deposit[[#This Row],[Dec-25]]-Deposit[[#This Row],[Nov-25]]</f>
        <v>189.21294760199999</v>
      </c>
      <c r="S262" s="433">
        <f>Deposit[[#This Row],[Dec-25]]-Deposit[[#This Row],[Dec-25 Plan]]</f>
        <v>-264.36016867800004</v>
      </c>
      <c r="T262" s="433">
        <f>Deposit[[#This Row],[Dec-25]]</f>
        <v>935.63983132199996</v>
      </c>
      <c r="U262" s="427">
        <f>Deposit[[#This Row],[Dec-25 Plan]]</f>
        <v>1200</v>
      </c>
      <c r="V262" s="433">
        <v>1200</v>
      </c>
      <c r="W262" s="427">
        <f t="shared" si="259"/>
        <v>-264.36016867800004</v>
      </c>
      <c r="X262" s="570">
        <f t="shared" ref="X262:X279" si="265">T262/V262</f>
        <v>0.77969985943499998</v>
      </c>
      <c r="Y262" s="352"/>
      <c r="Z262" s="352"/>
      <c r="AC262" s="431"/>
      <c r="AD262" s="361" t="s">
        <v>217</v>
      </c>
      <c r="AF262" s="350"/>
      <c r="AJ262" s="350">
        <f>SUM(AJ263:AJ265)</f>
        <v>17.910730971969834</v>
      </c>
      <c r="AK262" s="1118">
        <f t="shared" ref="AK262:AK269" si="266">AJ262/$AJ$262</f>
        <v>1</v>
      </c>
      <c r="AL262" s="350">
        <f>SUM(AL263:AL265)</f>
        <v>3.2588172204201582</v>
      </c>
      <c r="AM262" s="350">
        <f t="shared" ref="AM262:AQ262" si="267">SUM(AM263:AM265)</f>
        <v>-0.24137868148681041</v>
      </c>
      <c r="AN262" s="350">
        <f t="shared" si="267"/>
        <v>137.8325167521721</v>
      </c>
      <c r="AO262" s="1118">
        <f>AN262/$AN$262</f>
        <v>1</v>
      </c>
      <c r="AP262" s="350">
        <f>SUM(AP263:AP265)</f>
        <v>164.50619770219575</v>
      </c>
      <c r="AQ262" s="350">
        <f t="shared" si="267"/>
        <v>-26.673680950023652</v>
      </c>
      <c r="AR262" s="1321">
        <f>AN262/AP262</f>
        <v>0.83785607276443896</v>
      </c>
      <c r="AS262" s="1197"/>
      <c r="AT262" s="1197"/>
      <c r="AU262" s="427">
        <v>14186.494403815001</v>
      </c>
      <c r="AV262" s="427">
        <v>732.08978107900111</v>
      </c>
      <c r="AW262" s="427">
        <v>-4813.5055961849994</v>
      </c>
      <c r="AX262" s="427">
        <v>14186.494403815001</v>
      </c>
      <c r="AY262" s="427">
        <v>19000</v>
      </c>
      <c r="AZ262" s="427">
        <v>-4813.5055961849994</v>
      </c>
      <c r="BA262" s="568">
        <v>0.74665760020078953</v>
      </c>
    </row>
    <row r="263" spans="2:53" s="404" customFormat="1" ht="12" customHeight="1">
      <c r="B263" s="409" t="s">
        <v>124</v>
      </c>
      <c r="C263" s="433">
        <v>7853.6532984519999</v>
      </c>
      <c r="D263" s="433">
        <v>7998.3129737649997</v>
      </c>
      <c r="E263" s="433">
        <f>Liability!AI55/10^9</f>
        <v>8675.621458054</v>
      </c>
      <c r="F263" s="427">
        <f>Liability!AJ55/10^9</f>
        <v>9439.0541140330006</v>
      </c>
      <c r="G263" s="427">
        <f>Liability!AK55/10^9</f>
        <v>10014.670366757</v>
      </c>
      <c r="H263" s="427">
        <f>Liability!AL55/10^9</f>
        <v>10591.283424793</v>
      </c>
      <c r="I263" s="427">
        <f>Liability!AM55/10^9</f>
        <v>11240.366997378</v>
      </c>
      <c r="J263" s="427">
        <f>Liability!AN55/10^9</f>
        <v>11699.486245044</v>
      </c>
      <c r="K263" s="427">
        <f>Liability!AO55/10^9</f>
        <v>12155.843883076001</v>
      </c>
      <c r="L263" s="427">
        <f>Liability!AP55/10^9</f>
        <v>12621.928222905</v>
      </c>
      <c r="M263" s="427">
        <f>Liability!AQ55/10^9</f>
        <v>12892.589194530001</v>
      </c>
      <c r="N263" s="427">
        <f>Liability!AR55/10^9</f>
        <v>13055.247510395</v>
      </c>
      <c r="O263" s="427">
        <f>Liability!AS55/10^9</f>
        <v>13454.404622736</v>
      </c>
      <c r="P263" s="427">
        <f>Liability!AT55/10^9</f>
        <v>14186.494403815001</v>
      </c>
      <c r="Q263" s="433">
        <v>19000</v>
      </c>
      <c r="R263" s="433">
        <f>Deposit[[#This Row],[Dec-25]]-Deposit[[#This Row],[Nov-25]]</f>
        <v>732.08978107900111</v>
      </c>
      <c r="S263" s="433">
        <f>Deposit[[#This Row],[Dec-25]]-Deposit[[#This Row],[Dec-25 Plan]]</f>
        <v>-4813.5055961849994</v>
      </c>
      <c r="T263" s="433">
        <f>Deposit[[#This Row],[Dec-25]]</f>
        <v>14186.494403815001</v>
      </c>
      <c r="U263" s="427">
        <f>Deposit[[#This Row],[Dec-25 Plan]]</f>
        <v>19000</v>
      </c>
      <c r="V263" s="433">
        <v>19000</v>
      </c>
      <c r="W263" s="427">
        <f t="shared" si="259"/>
        <v>-4813.5055961849994</v>
      </c>
      <c r="X263" s="570">
        <f t="shared" si="265"/>
        <v>0.74665760020078953</v>
      </c>
      <c r="Y263" s="352"/>
      <c r="Z263" s="352"/>
      <c r="AC263" s="431"/>
      <c r="AD263" s="1320" t="s">
        <v>591</v>
      </c>
      <c r="AF263" s="1186"/>
      <c r="AJ263" s="1186">
        <f>AU270</f>
        <v>17.803400755969832</v>
      </c>
      <c r="AK263" s="1321">
        <f t="shared" si="266"/>
        <v>0.99400749103049046</v>
      </c>
      <c r="AL263" s="1186">
        <f t="shared" ref="AL263:AN264" si="268">AV270</f>
        <v>2.4402353714201581</v>
      </c>
      <c r="AM263" s="1186">
        <f t="shared" si="268"/>
        <v>0.70445075596980899</v>
      </c>
      <c r="AN263" s="1186">
        <f t="shared" si="268"/>
        <v>142.20006299517209</v>
      </c>
      <c r="AO263" s="1321">
        <f>AN263/$AN$262</f>
        <v>1.0316873430589169</v>
      </c>
      <c r="AP263" s="1186">
        <f t="shared" ref="AP263:AP264" si="269">AY270</f>
        <v>151.52570000000037</v>
      </c>
      <c r="AQ263" s="1186">
        <f t="shared" ref="AQ263:AQ264" si="270">AZ270</f>
        <v>-9.3256370048282804</v>
      </c>
      <c r="AR263" s="1321">
        <f>AN263/AP263</f>
        <v>0.93845508052542737</v>
      </c>
      <c r="AS263" s="1194"/>
      <c r="AT263" s="1194"/>
      <c r="AU263" s="382">
        <v>3.4268147691219553</v>
      </c>
      <c r="AV263" s="382">
        <v>0.43731889738823293</v>
      </c>
      <c r="AW263" s="382">
        <v>-1.5065185642113774</v>
      </c>
      <c r="AX263" s="382">
        <v>31.598753898326137</v>
      </c>
      <c r="AY263" s="382">
        <v>47.047499999999999</v>
      </c>
      <c r="AZ263" s="382">
        <v>-15.448746101673862</v>
      </c>
      <c r="BA263" s="568">
        <v>0.67163513254319862</v>
      </c>
    </row>
    <row r="264" spans="2:53" s="414" customFormat="1" ht="12" customHeight="1">
      <c r="B264" s="352" t="s">
        <v>661</v>
      </c>
      <c r="C264" s="382">
        <v>1.9243179909999999</v>
      </c>
      <c r="D264" s="382">
        <v>1.987417684</v>
      </c>
      <c r="E264" s="382">
        <f t="shared" ref="E264:P264" si="271">E265-E266</f>
        <v>2.191212487</v>
      </c>
      <c r="F264" s="382">
        <f t="shared" si="271"/>
        <v>1.9604522999700016</v>
      </c>
      <c r="G264" s="382">
        <f t="shared" si="271"/>
        <v>2.1738875544726439</v>
      </c>
      <c r="H264" s="382">
        <f t="shared" si="271"/>
        <v>2.2168561542649221</v>
      </c>
      <c r="I264" s="382">
        <f t="shared" si="271"/>
        <v>2.4172318255676064</v>
      </c>
      <c r="J264" s="382">
        <f t="shared" si="271"/>
        <v>2.5553000620520741</v>
      </c>
      <c r="K264" s="382">
        <f t="shared" ref="K264:L264" si="272">K265-K266</f>
        <v>2.9683423026993037</v>
      </c>
      <c r="L264" s="382">
        <f t="shared" si="272"/>
        <v>2.9854694670452746</v>
      </c>
      <c r="M264" s="382">
        <f t="shared" si="271"/>
        <v>2.7550233225976273</v>
      </c>
      <c r="N264" s="382">
        <f t="shared" si="271"/>
        <v>2.958667781801009</v>
      </c>
      <c r="O264" s="382">
        <f t="shared" ref="O264" si="273">O265-O266</f>
        <v>2.9894958717337223</v>
      </c>
      <c r="P264" s="382">
        <f t="shared" si="271"/>
        <v>3.4268147691219553</v>
      </c>
      <c r="Q264" s="382">
        <f>Q265-Q266</f>
        <v>4.9333333333333327</v>
      </c>
      <c r="R264" s="382">
        <f>Deposit[[#This Row],[Dec-25]]-Deposit[[#This Row],[Nov-25]]</f>
        <v>0.43731889738823293</v>
      </c>
      <c r="S264" s="382">
        <f>Deposit[[#This Row],[Dec-25]]-Deposit[[#This Row],[Dec-25 Plan]]</f>
        <v>-1.5065185642113774</v>
      </c>
      <c r="T264" s="382">
        <f>Deposit[[#This Row],[Jan-25]]+Deposit[[#This Row],[Feb-25]]+Deposit[[#This Row],[Mar-25]]+Deposit[[#This Row],[Apr-25]]+Deposit[[#This Row],[May-25]]+Deposit[[#This Row],[Jun-25]]+Deposit[[#This Row],[Jul-25]]+Deposit[[#This Row],[Aug-25]]+Deposit[[#This Row],[Sep-25]]+Deposit[[#This Row],[Oct-25]]+Deposit[[#This Row],[Nov-25]]+Deposit[[#This Row],[Dec-25]]</f>
        <v>31.598753898326137</v>
      </c>
      <c r="U264" s="382">
        <f>U265-U266</f>
        <v>47.047499999999999</v>
      </c>
      <c r="V264" s="382">
        <f>V265-V266</f>
        <v>47.047499999999999</v>
      </c>
      <c r="W264" s="382">
        <f t="shared" si="259"/>
        <v>-15.448746101673862</v>
      </c>
      <c r="X264" s="568">
        <f t="shared" si="265"/>
        <v>0.67163513254319862</v>
      </c>
      <c r="Y264" s="352"/>
      <c r="Z264" s="352"/>
      <c r="AC264" s="524"/>
      <c r="AD264" s="1320" t="s">
        <v>593</v>
      </c>
      <c r="AF264" s="1186"/>
      <c r="AJ264" s="1186">
        <f>AU271</f>
        <v>0.10733021600000001</v>
      </c>
      <c r="AK264" s="1321">
        <f t="shared" si="266"/>
        <v>5.9925089695094542E-3</v>
      </c>
      <c r="AL264" s="1186">
        <f t="shared" si="268"/>
        <v>0.81858184900000008</v>
      </c>
      <c r="AM264" s="1186">
        <f t="shared" si="268"/>
        <v>-0.9458294374566194</v>
      </c>
      <c r="AN264" s="1186">
        <f>AX271</f>
        <v>-4.3675462429999996</v>
      </c>
      <c r="AO264" s="1321">
        <f>AN264/$AN$262</f>
        <v>-3.1687343058916982E-2</v>
      </c>
      <c r="AP264" s="1186">
        <f t="shared" si="269"/>
        <v>12.98049770219537</v>
      </c>
      <c r="AQ264" s="1186">
        <f t="shared" si="270"/>
        <v>-17.348043945195371</v>
      </c>
      <c r="AR264" s="1321">
        <f>AN264/AP264</f>
        <v>-0.33646985987766276</v>
      </c>
      <c r="AS264" s="1194"/>
      <c r="AT264" s="1194"/>
      <c r="AU264" s="386">
        <v>3.4921905201219552</v>
      </c>
      <c r="AV264" s="386">
        <v>0.451646824388233</v>
      </c>
      <c r="AW264" s="386">
        <v>-1.5344761465447112</v>
      </c>
      <c r="AX264" s="386">
        <v>32.130250127326136</v>
      </c>
      <c r="AY264" s="386">
        <v>47.97</v>
      </c>
      <c r="AZ264" s="386">
        <v>-15.839749872673863</v>
      </c>
      <c r="BA264" s="568">
        <v>0.66979883525799744</v>
      </c>
    </row>
    <row r="265" spans="2:53" s="404" customFormat="1" ht="12" customHeight="1">
      <c r="B265" s="522" t="s">
        <v>662</v>
      </c>
      <c r="C265" s="386">
        <v>1.9561164099999999</v>
      </c>
      <c r="D265" s="386">
        <v>2.0187668200000002</v>
      </c>
      <c r="E265" s="386">
        <f>Liability!AI39/10^9</f>
        <v>2.2230924070000002</v>
      </c>
      <c r="F265" s="386">
        <f>Liability!AJ39/10^9</f>
        <v>1.9887907689700015</v>
      </c>
      <c r="G265" s="386">
        <f>Liability!AK39/10^9</f>
        <v>2.205432266472644</v>
      </c>
      <c r="H265" s="386">
        <f>Liability!AL39/10^9</f>
        <v>2.2492914652649221</v>
      </c>
      <c r="I265" s="386">
        <f>Liability!AM39/10^9</f>
        <v>2.4533783125676063</v>
      </c>
      <c r="J265" s="386">
        <f>Liability!AN39/10^9</f>
        <v>2.5923384180520741</v>
      </c>
      <c r="K265" s="386">
        <f>Liability!AO39/10^9</f>
        <v>3.0265846826993035</v>
      </c>
      <c r="L265" s="386">
        <f>Liability!AP39/10^9</f>
        <v>3.0418350520452746</v>
      </c>
      <c r="M265" s="386">
        <f>Liability!AQ39/10^9</f>
        <v>2.8049107705976271</v>
      </c>
      <c r="N265" s="386">
        <f>Liability!AR39/10^9</f>
        <v>3.0118617678010091</v>
      </c>
      <c r="O265" s="386">
        <f>Liability!AS39/10^9</f>
        <v>3.0405436957337222</v>
      </c>
      <c r="P265" s="386">
        <f>Liability!AT39/10^9</f>
        <v>3.4921905201219552</v>
      </c>
      <c r="Q265" s="386">
        <v>5.0266666666666664</v>
      </c>
      <c r="R265" s="386">
        <f>Deposit[[#This Row],[Dec-25]]-Deposit[[#This Row],[Nov-25]]</f>
        <v>0.451646824388233</v>
      </c>
      <c r="S265" s="386">
        <f>Deposit[[#This Row],[Dec-25]]-Deposit[[#This Row],[Dec-25 Plan]]</f>
        <v>-1.5344761465447112</v>
      </c>
      <c r="T265" s="386">
        <f>Deposit[[#This Row],[Jan-25]]+Deposit[[#This Row],[Feb-25]]+Deposit[[#This Row],[Mar-25]]+Deposit[[#This Row],[Apr-25]]+Deposit[[#This Row],[May-25]]+Deposit[[#This Row],[Jun-25]]+Deposit[[#This Row],[Jul-25]]+Deposit[[#This Row],[Aug-25]]+Deposit[[#This Row],[Sep-25]]+Deposit[[#This Row],[Oct-25]]+Deposit[[#This Row],[Nov-25]]+Deposit[[#This Row],[Dec-25]]</f>
        <v>32.130250127326136</v>
      </c>
      <c r="U265" s="386">
        <v>47.97</v>
      </c>
      <c r="V265" s="386">
        <v>47.97</v>
      </c>
      <c r="W265" s="386">
        <f>T265-U265</f>
        <v>-15.839749872673863</v>
      </c>
      <c r="X265" s="569">
        <f t="shared" si="265"/>
        <v>0.66979883525799744</v>
      </c>
      <c r="Y265" s="352"/>
      <c r="Z265" s="352"/>
      <c r="AC265" s="436"/>
      <c r="AD265" s="1320" t="s">
        <v>89</v>
      </c>
      <c r="AF265" s="1186"/>
      <c r="AJ265" s="1186"/>
      <c r="AK265" s="1321">
        <f t="shared" si="266"/>
        <v>0</v>
      </c>
      <c r="AL265" s="1186"/>
      <c r="AM265" s="1186"/>
      <c r="AN265" s="1186"/>
      <c r="AO265" s="1321">
        <f t="shared" ref="AO265:AO269" si="274">AN265/$AN$262</f>
        <v>0</v>
      </c>
      <c r="AP265" s="1186"/>
      <c r="AQ265" s="1186"/>
      <c r="AR265" s="1321"/>
      <c r="AS265" s="1194"/>
      <c r="AT265" s="1194"/>
      <c r="AU265" s="386">
        <v>6.5375750999999996E-2</v>
      </c>
      <c r="AV265" s="386">
        <v>1.4327926999999997E-2</v>
      </c>
      <c r="AW265" s="386">
        <v>-2.79575823333333E-2</v>
      </c>
      <c r="AX265" s="386">
        <v>0.53149622900000004</v>
      </c>
      <c r="AY265" s="386">
        <v>0.92249999999999999</v>
      </c>
      <c r="AZ265" s="386">
        <v>-0.39100377099999994</v>
      </c>
      <c r="BA265" s="568">
        <v>0.57614767371273723</v>
      </c>
    </row>
    <row r="266" spans="2:53" s="404" customFormat="1" ht="12" customHeight="1">
      <c r="B266" s="522" t="s">
        <v>663</v>
      </c>
      <c r="C266" s="386">
        <v>3.1798419000000001E-2</v>
      </c>
      <c r="D266" s="386">
        <v>3.1349136E-2</v>
      </c>
      <c r="E266" s="386">
        <f>Liability!AI40/10^9</f>
        <v>3.1879919999999999E-2</v>
      </c>
      <c r="F266" s="386">
        <f>Liability!AJ40/10^9</f>
        <v>2.8338469000000002E-2</v>
      </c>
      <c r="G266" s="386">
        <f>Liability!AK40/10^9</f>
        <v>3.1544712000000003E-2</v>
      </c>
      <c r="H266" s="386">
        <f>Liability!AL40/10^9</f>
        <v>3.2435311000000001E-2</v>
      </c>
      <c r="I266" s="386">
        <f>Liability!AM40/10^9</f>
        <v>3.6146486999999998E-2</v>
      </c>
      <c r="J266" s="386">
        <f>Liability!AN40/10^9</f>
        <v>3.7038356000000001E-2</v>
      </c>
      <c r="K266" s="386">
        <f>Liability!AO40/10^9</f>
        <v>5.8242380000000003E-2</v>
      </c>
      <c r="L266" s="386">
        <f>Liability!AP40/10^9</f>
        <v>5.6365585000000003E-2</v>
      </c>
      <c r="M266" s="386">
        <f>Liability!AQ40/10^9</f>
        <v>4.9887448000000001E-2</v>
      </c>
      <c r="N266" s="386">
        <f>Liability!AR40/10^9</f>
        <v>5.3193985999999999E-2</v>
      </c>
      <c r="O266" s="386">
        <f>Liability!AS40/10^9</f>
        <v>5.1047823999999999E-2</v>
      </c>
      <c r="P266" s="386">
        <f>Liability!AT40/10^9</f>
        <v>6.5375750999999996E-2</v>
      </c>
      <c r="Q266" s="386">
        <v>9.3333333333333296E-2</v>
      </c>
      <c r="R266" s="386">
        <f>Deposit[[#This Row],[Dec-25]]-Deposit[[#This Row],[Nov-25]]</f>
        <v>1.4327926999999997E-2</v>
      </c>
      <c r="S266" s="386">
        <f>Deposit[[#This Row],[Dec-25]]-Deposit[[#This Row],[Dec-25 Plan]]</f>
        <v>-2.79575823333333E-2</v>
      </c>
      <c r="T266" s="386">
        <f>Deposit[[#This Row],[Jan-25]]+Deposit[[#This Row],[Feb-25]]+Deposit[[#This Row],[Mar-25]]+Deposit[[#This Row],[Apr-25]]+Deposit[[#This Row],[May-25]]+Deposit[[#This Row],[Jun-25]]+Deposit[[#This Row],[Jul-25]]+Deposit[[#This Row],[Aug-25]]+Deposit[[#This Row],[Sep-25]]+Deposit[[#This Row],[Oct-25]]+Deposit[[#This Row],[Nov-25]]+Deposit[[#This Row],[Dec-25]]</f>
        <v>0.53149622900000004</v>
      </c>
      <c r="U266" s="386">
        <v>0.92249999999999999</v>
      </c>
      <c r="V266" s="386">
        <v>0.92249999999999999</v>
      </c>
      <c r="W266" s="386">
        <f>T266-U266</f>
        <v>-0.39100377099999994</v>
      </c>
      <c r="X266" s="569">
        <f t="shared" si="265"/>
        <v>0.57614767371273723</v>
      </c>
      <c r="Y266" s="352"/>
      <c r="Z266" s="352"/>
      <c r="AC266" s="436"/>
      <c r="AD266" s="361" t="s">
        <v>577</v>
      </c>
      <c r="AF266" s="350"/>
      <c r="AJ266" s="350">
        <f>SUM(AJ267:AJ268)</f>
        <v>13.19118747716804</v>
      </c>
      <c r="AK266" s="1118">
        <f t="shared" si="266"/>
        <v>0.73649632155226685</v>
      </c>
      <c r="AL266" s="350">
        <f t="shared" ref="AL266:AQ266" si="275">SUM(AL267:AL268)</f>
        <v>0.44631327921503505</v>
      </c>
      <c r="AM266" s="350">
        <f t="shared" si="275"/>
        <v>-2.3510483954107517</v>
      </c>
      <c r="AN266" s="350">
        <f t="shared" si="275"/>
        <v>135.69746207686916</v>
      </c>
      <c r="AO266" s="1118">
        <f t="shared" si="274"/>
        <v>0.98450978966638292</v>
      </c>
      <c r="AP266" s="350">
        <f t="shared" si="275"/>
        <v>168.80840053935296</v>
      </c>
      <c r="AQ266" s="350">
        <f t="shared" si="275"/>
        <v>-33.110938462483794</v>
      </c>
      <c r="AR266" s="1321">
        <f>AN266/AP266</f>
        <v>0.80385491268981657</v>
      </c>
      <c r="AS266" s="1197"/>
      <c r="AT266" s="1197"/>
      <c r="AU266" s="382">
        <v>14.376585986847878</v>
      </c>
      <c r="AV266" s="382">
        <v>2.0029164740319274</v>
      </c>
      <c r="AW266" s="382">
        <v>2.2109693201811869</v>
      </c>
      <c r="AX266" s="382">
        <v>110.60130909684594</v>
      </c>
      <c r="AY266" s="382">
        <v>104.47820000000037</v>
      </c>
      <c r="AZ266" s="382">
        <v>6.1231090968455675</v>
      </c>
      <c r="BA266" s="568">
        <v>1.0586065714842479</v>
      </c>
    </row>
    <row r="267" spans="2:53" s="414" customFormat="1" ht="12" customHeight="1">
      <c r="B267" s="352" t="s">
        <v>664</v>
      </c>
      <c r="C267" s="382">
        <v>5.0767100479999998</v>
      </c>
      <c r="D267" s="382">
        <v>3.6627233480000001</v>
      </c>
      <c r="E267" s="382">
        <f t="shared" ref="E267:Q267" si="276">E268-E269-E270</f>
        <v>4.2221976450000014</v>
      </c>
      <c r="F267" s="382">
        <f t="shared" si="276"/>
        <v>5.3871798508995923</v>
      </c>
      <c r="G267" s="382">
        <f t="shared" si="276"/>
        <v>7.1858716488917951</v>
      </c>
      <c r="H267" s="382">
        <f t="shared" si="276"/>
        <v>8.4887931231392013</v>
      </c>
      <c r="I267" s="382">
        <f t="shared" si="276"/>
        <v>7.7965776118406023</v>
      </c>
      <c r="J267" s="382">
        <f t="shared" si="276"/>
        <v>9.5535467408829824</v>
      </c>
      <c r="K267" s="382">
        <f t="shared" ref="K267:L267" si="277">K268-K269-K270</f>
        <v>9.1347849825895935</v>
      </c>
      <c r="L267" s="382">
        <f t="shared" si="277"/>
        <v>9.6578410590198267</v>
      </c>
      <c r="M267" s="382">
        <f t="shared" si="276"/>
        <v>10.476708667610914</v>
      </c>
      <c r="N267" s="382">
        <f t="shared" si="276"/>
        <v>11.947552267307595</v>
      </c>
      <c r="O267" s="382">
        <f t="shared" ref="O267" si="278">O268-O269-O270</f>
        <v>12.373669512815951</v>
      </c>
      <c r="P267" s="382">
        <f t="shared" si="276"/>
        <v>14.376585986847878</v>
      </c>
      <c r="Q267" s="382">
        <f t="shared" si="276"/>
        <v>12.165616666666692</v>
      </c>
      <c r="R267" s="382">
        <f>Deposit[[#This Row],[Dec-25]]-Deposit[[#This Row],[Nov-25]]</f>
        <v>2.0029164740319274</v>
      </c>
      <c r="S267" s="382">
        <f>Deposit[[#This Row],[Dec-25]]-Deposit[[#This Row],[Dec-25 Plan]]</f>
        <v>2.2109693201811869</v>
      </c>
      <c r="T267" s="382">
        <f>Deposit[[#This Row],[Jan-25]]+Deposit[[#This Row],[Feb-25]]+Deposit[[#This Row],[Mar-25]]+Deposit[[#This Row],[Apr-25]]+Deposit[[#This Row],[May-25]]+Deposit[[#This Row],[Jun-25]]+Deposit[[#This Row],[Jul-25]]+Deposit[[#This Row],[Aug-25]]+Deposit[[#This Row],[Sep-25]]+Deposit[[#This Row],[Oct-25]]+Deposit[[#This Row],[Nov-25]]+Deposit[[#This Row],[Dec-25]]</f>
        <v>110.60130909684594</v>
      </c>
      <c r="U267" s="382">
        <f>U268-U269-U270</f>
        <v>104.47820000000037</v>
      </c>
      <c r="V267" s="382">
        <f>V268-V269-V270</f>
        <v>104.47820000000037</v>
      </c>
      <c r="W267" s="382">
        <f t="shared" si="259"/>
        <v>6.1231090968455675</v>
      </c>
      <c r="X267" s="569">
        <f t="shared" si="265"/>
        <v>1.0586065714842479</v>
      </c>
      <c r="Y267" s="352"/>
      <c r="Z267" s="352"/>
      <c r="AC267" s="524"/>
      <c r="AD267" s="1320" t="s">
        <v>229</v>
      </c>
      <c r="AF267" s="1186"/>
      <c r="AJ267" s="1186">
        <f>AU274</f>
        <v>6.1626845219999984</v>
      </c>
      <c r="AK267" s="1321">
        <f t="shared" si="266"/>
        <v>0.34407777838015408</v>
      </c>
      <c r="AL267" s="1186">
        <f>AV274</f>
        <v>1.1487936469999989</v>
      </c>
      <c r="AM267" s="1186">
        <f>AW274</f>
        <v>-0.14895331391318312</v>
      </c>
      <c r="AN267" s="1186">
        <f>AX274</f>
        <v>44.343280221222216</v>
      </c>
      <c r="AO267" s="1321">
        <f t="shared" si="274"/>
        <v>0.32171857023370659</v>
      </c>
      <c r="AP267" s="1186">
        <f>AY274</f>
        <v>58.008400539352955</v>
      </c>
      <c r="AQ267" s="1186">
        <f t="shared" ref="AQ267" si="279">AZ274</f>
        <v>-13.665120318130739</v>
      </c>
      <c r="AR267" s="1321">
        <f>AN267/AP267</f>
        <v>0.76442859670194996</v>
      </c>
      <c r="AS267" s="1194"/>
      <c r="AT267" s="1194"/>
      <c r="AU267" s="386">
        <v>76.819394966847881</v>
      </c>
      <c r="AV267" s="386">
        <v>5.6972794690319262</v>
      </c>
      <c r="AW267" s="386">
        <v>-10.397176158152135</v>
      </c>
      <c r="AX267" s="386">
        <v>727.41569385484593</v>
      </c>
      <c r="AY267" s="386">
        <v>772.74627650000002</v>
      </c>
      <c r="AZ267" s="386">
        <v>-45.330582645154095</v>
      </c>
      <c r="BA267" s="568">
        <v>0.94133833572065861</v>
      </c>
    </row>
    <row r="268" spans="2:53" s="404" customFormat="1" ht="12" customHeight="1">
      <c r="B268" s="523" t="s">
        <v>662</v>
      </c>
      <c r="C268" s="426">
        <v>38.310454706000002</v>
      </c>
      <c r="D268" s="426">
        <v>40.343469655</v>
      </c>
      <c r="E268" s="426">
        <f>Liability!AI63/10^9</f>
        <v>43.614680577999998</v>
      </c>
      <c r="F268" s="386">
        <f>Liability!AJ63/10^9</f>
        <v>43.95276166689959</v>
      </c>
      <c r="G268" s="386">
        <f>Liability!AK63/10^9</f>
        <v>51.976113412891792</v>
      </c>
      <c r="H268" s="386">
        <f>Liability!AL63/10^9</f>
        <v>52.965215534139205</v>
      </c>
      <c r="I268" s="386">
        <f>Liability!AM63/10^9</f>
        <v>59.0365450798406</v>
      </c>
      <c r="J268" s="386">
        <f>Liability!AN63/10^9</f>
        <v>59.884423162882982</v>
      </c>
      <c r="K268" s="386">
        <f>Liability!AO63/10^9</f>
        <v>64.129598089589592</v>
      </c>
      <c r="L268" s="386">
        <f>Liability!AP63/10^9</f>
        <v>66.587662275019824</v>
      </c>
      <c r="M268" s="386">
        <f>Liability!AQ63/10^9</f>
        <v>66.962735437610917</v>
      </c>
      <c r="N268" s="386">
        <f>Liability!AR63/10^9</f>
        <v>70.364448153307592</v>
      </c>
      <c r="O268" s="386">
        <f>Liability!AS63/10^9</f>
        <v>71.122115497815955</v>
      </c>
      <c r="P268" s="386">
        <f>Liability!AT63/10^9</f>
        <v>76.819394966847881</v>
      </c>
      <c r="Q268" s="426">
        <v>87.216571125000016</v>
      </c>
      <c r="R268" s="426">
        <f>Deposit[[#This Row],[Dec-25]]-Deposit[[#This Row],[Nov-25]]</f>
        <v>5.6972794690319262</v>
      </c>
      <c r="S268" s="426">
        <f>Deposit[[#This Row],[Dec-25]]-Deposit[[#This Row],[Dec-25 Plan]]</f>
        <v>-10.397176158152135</v>
      </c>
      <c r="T268" s="426">
        <f>Deposit[[#This Row],[Jan-25]]+Deposit[[#This Row],[Feb-25]]+Deposit[[#This Row],[Mar-25]]+Deposit[[#This Row],[Apr-25]]+Deposit[[#This Row],[May-25]]+Deposit[[#This Row],[Jun-25]]+Deposit[[#This Row],[Jul-25]]+Deposit[[#This Row],[Aug-25]]+Deposit[[#This Row],[Sep-25]]+Deposit[[#This Row],[Oct-25]]+Deposit[[#This Row],[Nov-25]]+Deposit[[#This Row],[Dec-25]]</f>
        <v>727.41569385484593</v>
      </c>
      <c r="U268" s="426">
        <v>772.74627650000002</v>
      </c>
      <c r="V268" s="426">
        <v>772.74627650000002</v>
      </c>
      <c r="W268" s="386">
        <f t="shared" si="259"/>
        <v>-45.330582645154095</v>
      </c>
      <c r="X268" s="569">
        <f t="shared" si="265"/>
        <v>0.94133833572065861</v>
      </c>
      <c r="Y268" s="352"/>
      <c r="Z268" s="352"/>
      <c r="AC268" s="436"/>
      <c r="AD268" s="1320" t="s">
        <v>299</v>
      </c>
      <c r="AF268" s="1186"/>
      <c r="AJ268" s="1186">
        <f>AU284</f>
        <v>7.0285029551680411</v>
      </c>
      <c r="AK268" s="1321">
        <f t="shared" si="266"/>
        <v>0.39241854317211278</v>
      </c>
      <c r="AL268" s="1186">
        <f>AV284</f>
        <v>-0.70248036778496381</v>
      </c>
      <c r="AM268" s="1186">
        <f>AW284</f>
        <v>-2.2020950814975686</v>
      </c>
      <c r="AN268" s="1186">
        <f>AX284</f>
        <v>91.354181855646956</v>
      </c>
      <c r="AO268" s="1321">
        <f t="shared" si="274"/>
        <v>0.66279121943267649</v>
      </c>
      <c r="AP268" s="1186">
        <f>AY284</f>
        <v>110.80000000000001</v>
      </c>
      <c r="AQ268" s="1186">
        <f t="shared" ref="AQ268" si="280">AZ284</f>
        <v>-19.445818144353055</v>
      </c>
      <c r="AR268" s="1321">
        <f>AN268/AP268</f>
        <v>0.82449622613399776</v>
      </c>
      <c r="AS268" s="1194"/>
      <c r="AT268" s="1194"/>
      <c r="AU268" s="386">
        <v>62.457097064000003</v>
      </c>
      <c r="AV268" s="386">
        <v>4.6727602019999992</v>
      </c>
      <c r="AW268" s="386">
        <v>-10.235724060999992</v>
      </c>
      <c r="AX268" s="386">
        <v>595.61990896700001</v>
      </c>
      <c r="AY268" s="386">
        <v>644.06460983333295</v>
      </c>
      <c r="AZ268" s="386">
        <v>-48.444700866332937</v>
      </c>
      <c r="BA268" s="568">
        <v>0.92478285543608874</v>
      </c>
    </row>
    <row r="269" spans="2:53" s="404" customFormat="1" ht="12" customHeight="1">
      <c r="B269" s="522" t="s">
        <v>663</v>
      </c>
      <c r="C269" s="426">
        <v>31.662524613999999</v>
      </c>
      <c r="D269" s="426">
        <v>33.438669974</v>
      </c>
      <c r="E269" s="426">
        <f>Liability!AI64/10^9</f>
        <v>36.108766185999997</v>
      </c>
      <c r="F269" s="386">
        <f>Liability!AJ64/10^9</f>
        <v>36.406123526999998</v>
      </c>
      <c r="G269" s="386">
        <f>Liability!AK64/10^9</f>
        <v>43.229480490999997</v>
      </c>
      <c r="H269" s="386">
        <f>Liability!AL64/10^9</f>
        <v>42.351290226000003</v>
      </c>
      <c r="I269" s="386">
        <f>Liability!AM64/10^9</f>
        <v>48.539619078999998</v>
      </c>
      <c r="J269" s="386">
        <f>Liability!AN64/10^9</f>
        <v>49.314398589</v>
      </c>
      <c r="K269" s="386">
        <f>Liability!AO64/10^9</f>
        <v>53.562502041999998</v>
      </c>
      <c r="L269" s="386">
        <f>Liability!AP64/10^9</f>
        <v>54.886173868999997</v>
      </c>
      <c r="M269" s="386">
        <f>Liability!AQ64/10^9</f>
        <v>54.717811654000002</v>
      </c>
      <c r="N269" s="386">
        <f>Liability!AR64/10^9</f>
        <v>56.262309377999998</v>
      </c>
      <c r="O269" s="386">
        <f>Liability!AS64/10^9</f>
        <v>57.784336862000004</v>
      </c>
      <c r="P269" s="386">
        <f>Liability!AT64/10^9</f>
        <v>62.457097064000003</v>
      </c>
      <c r="Q269" s="426">
        <v>72.692821124999995</v>
      </c>
      <c r="R269" s="426">
        <f>Deposit[[#This Row],[Dec-25]]-Deposit[[#This Row],[Nov-25]]</f>
        <v>4.6727602019999992</v>
      </c>
      <c r="S269" s="426">
        <f>Deposit[[#This Row],[Dec-25]]-Deposit[[#This Row],[Dec-25 Plan]]</f>
        <v>-10.235724060999992</v>
      </c>
      <c r="T269" s="426">
        <f>Deposit[[#This Row],[Jan-25]]+Deposit[[#This Row],[Feb-25]]+Deposit[[#This Row],[Mar-25]]+Deposit[[#This Row],[Apr-25]]+Deposit[[#This Row],[May-25]]+Deposit[[#This Row],[Jun-25]]+Deposit[[#This Row],[Jul-25]]+Deposit[[#This Row],[Aug-25]]+Deposit[[#This Row],[Sep-25]]+Deposit[[#This Row],[Oct-25]]+Deposit[[#This Row],[Nov-25]]+Deposit[[#This Row],[Dec-25]]</f>
        <v>595.61990896700001</v>
      </c>
      <c r="U269" s="426">
        <v>644.06460983333295</v>
      </c>
      <c r="V269" s="426">
        <v>644.06460983333295</v>
      </c>
      <c r="W269" s="386">
        <f t="shared" si="259"/>
        <v>-48.444700866332937</v>
      </c>
      <c r="X269" s="569">
        <f t="shared" si="265"/>
        <v>0.92478285543608874</v>
      </c>
      <c r="Y269" s="352"/>
      <c r="Z269" s="352"/>
      <c r="AC269" s="436"/>
      <c r="AD269" s="361" t="s">
        <v>489</v>
      </c>
      <c r="AF269" s="350"/>
      <c r="AJ269" s="350">
        <f>AJ262-AJ266</f>
        <v>4.719543494801794</v>
      </c>
      <c r="AK269" s="1118">
        <f t="shared" si="266"/>
        <v>0.26350367844773315</v>
      </c>
      <c r="AL269" s="350">
        <f t="shared" ref="AL269:AQ269" si="281">AL262-AL266</f>
        <v>2.8125039412051231</v>
      </c>
      <c r="AM269" s="350">
        <f t="shared" si="281"/>
        <v>2.1096697139239415</v>
      </c>
      <c r="AN269" s="350">
        <f t="shared" si="281"/>
        <v>2.1350546753029391</v>
      </c>
      <c r="AO269" s="1118">
        <f t="shared" si="274"/>
        <v>1.5490210333617034E-2</v>
      </c>
      <c r="AP269" s="350">
        <f t="shared" si="281"/>
        <v>-4.3022028371572105</v>
      </c>
      <c r="AQ269" s="350">
        <f t="shared" si="281"/>
        <v>6.4372575124601426</v>
      </c>
      <c r="AR269" s="1321">
        <f>AN269/AP269</f>
        <v>-0.49627011001501981</v>
      </c>
      <c r="AS269" s="1197"/>
      <c r="AT269" s="1197"/>
      <c r="AU269" s="386">
        <v>-1.4288084E-2</v>
      </c>
      <c r="AV269" s="386">
        <v>-0.97839720699999999</v>
      </c>
      <c r="AW269" s="386">
        <v>-2.3724214173333298</v>
      </c>
      <c r="AX269" s="386">
        <v>21.194475790999999</v>
      </c>
      <c r="AY269" s="386">
        <v>24.203466666666699</v>
      </c>
      <c r="AZ269" s="386">
        <v>-3.0089908756667008</v>
      </c>
      <c r="BA269" s="568"/>
    </row>
    <row r="270" spans="2:53" s="404" customFormat="1" ht="12" customHeight="1">
      <c r="B270" s="522" t="s">
        <v>665</v>
      </c>
      <c r="C270" s="386">
        <v>1.5712200439999999</v>
      </c>
      <c r="D270" s="386">
        <v>3.242076333</v>
      </c>
      <c r="E270" s="386">
        <f>Liability!AI65/10^9</f>
        <v>3.2837167470000002</v>
      </c>
      <c r="F270" s="386">
        <f>Liability!AJ65/10^9</f>
        <v>2.1594582889999998</v>
      </c>
      <c r="G270" s="386">
        <f>Liability!AK65/10^9</f>
        <v>1.560761273</v>
      </c>
      <c r="H270" s="386">
        <f>Liability!AL65/10^9</f>
        <v>2.125132185</v>
      </c>
      <c r="I270" s="386">
        <f>Liability!AM65/10^9</f>
        <v>2.7003483890000002</v>
      </c>
      <c r="J270" s="386">
        <f>Liability!AN65/10^9</f>
        <v>1.0164778329999999</v>
      </c>
      <c r="K270" s="386">
        <f>Liability!AO65/10^9</f>
        <v>1.4323110649999999</v>
      </c>
      <c r="L270" s="386">
        <f>Liability!AP65/10^9</f>
        <v>2.0436473469999998</v>
      </c>
      <c r="M270" s="386">
        <f>Liability!AQ65/10^9</f>
        <v>1.7682151159999999</v>
      </c>
      <c r="N270" s="386">
        <f>Liability!AR65/10^9</f>
        <v>2.154586508</v>
      </c>
      <c r="O270" s="386">
        <f>Liability!AS65/10^9</f>
        <v>0.96410912299999996</v>
      </c>
      <c r="P270" s="386">
        <f>Liability!AT65/10^9</f>
        <v>-1.4288084E-2</v>
      </c>
      <c r="Q270" s="426">
        <v>2.3581333333333299</v>
      </c>
      <c r="R270" s="426">
        <f>Deposit[[#This Row],[Dec-25]]-Deposit[[#This Row],[Nov-25]]</f>
        <v>-0.97839720699999999</v>
      </c>
      <c r="S270" s="426">
        <f>Deposit[[#This Row],[Dec-25]]-Deposit[[#This Row],[Dec-25 Plan]]</f>
        <v>-2.3724214173333298</v>
      </c>
      <c r="T270" s="426">
        <f>Deposit[[#This Row],[Jan-25]]+Deposit[[#This Row],[Feb-25]]+Deposit[[#This Row],[Mar-25]]+Deposit[[#This Row],[Apr-25]]+Deposit[[#This Row],[May-25]]+Deposit[[#This Row],[Jun-25]]+Deposit[[#This Row],[Jul-25]]+Deposit[[#This Row],[Aug-25]]+Deposit[[#This Row],[Sep-25]]+Deposit[[#This Row],[Oct-25]]+Deposit[[#This Row],[Nov-25]]+Deposit[[#This Row],[Dec-25]]</f>
        <v>21.194475790999999</v>
      </c>
      <c r="U270" s="386">
        <v>24.203466666666699</v>
      </c>
      <c r="V270" s="386">
        <v>24.203466666666699</v>
      </c>
      <c r="W270" s="386">
        <f t="shared" si="259"/>
        <v>-3.0089908756667008</v>
      </c>
      <c r="X270" s="569"/>
      <c r="Y270" s="352"/>
      <c r="Z270" s="352"/>
      <c r="AC270" s="436"/>
      <c r="AK270" s="1386"/>
      <c r="AO270" s="1387"/>
      <c r="AR270" s="1319"/>
      <c r="AS270" s="436"/>
      <c r="AT270" s="436"/>
      <c r="AU270" s="382">
        <v>17.803400755969832</v>
      </c>
      <c r="AV270" s="382">
        <v>2.4402353714201581</v>
      </c>
      <c r="AW270" s="382">
        <v>0.70445075596980899</v>
      </c>
      <c r="AX270" s="382">
        <v>142.20006299517209</v>
      </c>
      <c r="AY270" s="382">
        <v>151.52570000000037</v>
      </c>
      <c r="AZ270" s="382">
        <v>-9.3256370048282804</v>
      </c>
      <c r="BA270" s="568">
        <v>0.93845508052542737</v>
      </c>
    </row>
    <row r="271" spans="2:53" s="404" customFormat="1" ht="12" customHeight="1">
      <c r="B271" s="352" t="s">
        <v>666</v>
      </c>
      <c r="C271" s="435">
        <v>7.0010280389999995</v>
      </c>
      <c r="D271" s="435">
        <v>5.6501410320000005</v>
      </c>
      <c r="E271" s="435">
        <f t="shared" ref="E271:P271" si="282">E264+E267</f>
        <v>6.413410132000001</v>
      </c>
      <c r="F271" s="382">
        <f t="shared" si="282"/>
        <v>7.3476321508695941</v>
      </c>
      <c r="G271" s="382">
        <f t="shared" si="282"/>
        <v>9.3597592033644386</v>
      </c>
      <c r="H271" s="382">
        <f>H264+H267</f>
        <v>10.705649277404124</v>
      </c>
      <c r="I271" s="382">
        <f t="shared" si="282"/>
        <v>10.213809437408209</v>
      </c>
      <c r="J271" s="382">
        <f>J264+J267</f>
        <v>12.108846802935057</v>
      </c>
      <c r="K271" s="382">
        <f>K264+K267</f>
        <v>12.103127285288897</v>
      </c>
      <c r="L271" s="382">
        <f>L264+L267</f>
        <v>12.6433105260651</v>
      </c>
      <c r="M271" s="382">
        <f t="shared" si="282"/>
        <v>13.231731990208541</v>
      </c>
      <c r="N271" s="382">
        <f t="shared" si="282"/>
        <v>14.906220049108605</v>
      </c>
      <c r="O271" s="382">
        <f t="shared" ref="O271" si="283">O264+O267</f>
        <v>15.363165384549674</v>
      </c>
      <c r="P271" s="382">
        <f t="shared" si="282"/>
        <v>17.803400755969832</v>
      </c>
      <c r="Q271" s="435">
        <f>Q264+Q267</f>
        <v>17.098950000000023</v>
      </c>
      <c r="R271" s="435">
        <f>Deposit[[#This Row],[Dec-25]]-Deposit[[#This Row],[Nov-25]]</f>
        <v>2.4402353714201581</v>
      </c>
      <c r="S271" s="435">
        <f>Deposit[[#This Row],[Dec-25]]-Deposit[[#This Row],[Dec-25 Plan]]</f>
        <v>0.70445075596980899</v>
      </c>
      <c r="T271" s="435">
        <f>Deposit[[#This Row],[Jan-25]]+Deposit[[#This Row],[Feb-25]]+Deposit[[#This Row],[Mar-25]]+Deposit[[#This Row],[Apr-25]]+Deposit[[#This Row],[May-25]]+Deposit[[#This Row],[Jun-25]]+Deposit[[#This Row],[Jul-25]]+Deposit[[#This Row],[Aug-25]]+Deposit[[#This Row],[Sep-25]]+Deposit[[#This Row],[Oct-25]]+Deposit[[#This Row],[Nov-25]]+Deposit[[#This Row],[Dec-25]]</f>
        <v>142.20006299517209</v>
      </c>
      <c r="U271" s="435">
        <f>U264+U267</f>
        <v>151.52570000000037</v>
      </c>
      <c r="V271" s="435">
        <f>V264+V267</f>
        <v>151.52570000000037</v>
      </c>
      <c r="W271" s="382">
        <f t="shared" si="259"/>
        <v>-9.3256370048282804</v>
      </c>
      <c r="X271" s="569">
        <f t="shared" si="265"/>
        <v>0.93845508052542737</v>
      </c>
      <c r="Y271" s="352"/>
      <c r="Z271" s="352"/>
      <c r="AC271" s="436"/>
      <c r="AD271" s="409" t="s">
        <v>321</v>
      </c>
      <c r="AF271" s="439"/>
      <c r="AJ271" s="439">
        <f>AU288</f>
        <v>5.1026531995394545E-2</v>
      </c>
      <c r="AK271" s="439"/>
      <c r="AL271" s="1321"/>
      <c r="AM271" s="1321"/>
      <c r="AN271" s="1321">
        <f>AX288</f>
        <v>5.1126971627508552E-2</v>
      </c>
      <c r="AO271" s="1321"/>
      <c r="AP271" s="1321">
        <f>AY288</f>
        <v>5.0574999999999988E-2</v>
      </c>
      <c r="AQ271" s="1321">
        <f t="shared" ref="AQ271:AQ272" si="284">AZ288</f>
        <v>5.5197162750856427E-4</v>
      </c>
      <c r="AR271" s="1319">
        <f>AN271/AP271</f>
        <v>1.0109139224420873</v>
      </c>
      <c r="AS271" s="436"/>
      <c r="AT271" s="436"/>
      <c r="AU271" s="382">
        <v>0.10733021600000001</v>
      </c>
      <c r="AV271" s="382">
        <v>0.81858184900000008</v>
      </c>
      <c r="AW271" s="382">
        <v>-0.9458294374566194</v>
      </c>
      <c r="AX271" s="382">
        <v>-4.3675462429999996</v>
      </c>
      <c r="AY271" s="382">
        <v>12.98049770219537</v>
      </c>
      <c r="AZ271" s="382">
        <v>-17.348043945195371</v>
      </c>
      <c r="BA271" s="568">
        <v>-0.33646985987766276</v>
      </c>
    </row>
    <row r="272" spans="2:53" s="404" customFormat="1" ht="12" customHeight="1">
      <c r="B272" s="352" t="s">
        <v>667</v>
      </c>
      <c r="C272" s="435">
        <v>0.48296476300000002</v>
      </c>
      <c r="D272" s="435">
        <v>1.469412E-2</v>
      </c>
      <c r="E272" s="435">
        <f t="shared" ref="E272:P272" si="285">E273+E274</f>
        <v>-0.20710543200000001</v>
      </c>
      <c r="F272" s="435">
        <f t="shared" si="285"/>
        <v>-0.290774545</v>
      </c>
      <c r="G272" s="435">
        <f t="shared" si="285"/>
        <v>-0.17770902499999999</v>
      </c>
      <c r="H272" s="435">
        <f t="shared" si="285"/>
        <v>-0.37827312099999999</v>
      </c>
      <c r="I272" s="435">
        <f t="shared" si="285"/>
        <v>-0.36323288100000001</v>
      </c>
      <c r="J272" s="435">
        <f t="shared" si="285"/>
        <v>-0.39020913199999996</v>
      </c>
      <c r="K272" s="435">
        <f t="shared" ref="K272:L272" si="286">K273+K274</f>
        <v>-0.43455025399999997</v>
      </c>
      <c r="L272" s="435">
        <f t="shared" si="286"/>
        <v>-0.48776761199999996</v>
      </c>
      <c r="M272" s="435">
        <f t="shared" si="285"/>
        <v>-0.52001629299999996</v>
      </c>
      <c r="N272" s="435">
        <f t="shared" si="285"/>
        <v>-0.51398653100000002</v>
      </c>
      <c r="O272" s="435">
        <f t="shared" ref="O272" si="287">O273+O274</f>
        <v>-0.71125163300000005</v>
      </c>
      <c r="P272" s="435">
        <f t="shared" si="285"/>
        <v>0.10733021600000001</v>
      </c>
      <c r="Q272" s="435">
        <v>1.0531596534566194</v>
      </c>
      <c r="R272" s="435">
        <f>Deposit[[#This Row],[Dec-25]]-Deposit[[#This Row],[Nov-25]]</f>
        <v>0.81858184900000008</v>
      </c>
      <c r="S272" s="435">
        <f>Deposit[[#This Row],[Dec-25]]-Deposit[[#This Row],[Dec-25 Plan]]</f>
        <v>-0.9458294374566194</v>
      </c>
      <c r="T272" s="435">
        <f>Deposit[[#This Row],[Jan-25]]+Deposit[[#This Row],[Feb-25]]+Deposit[[#This Row],[Mar-25]]+Deposit[[#This Row],[Apr-25]]+Deposit[[#This Row],[May-25]]+Deposit[[#This Row],[Jun-25]]+Deposit[[#This Row],[Jul-25]]+Deposit[[#This Row],[Aug-25]]+Deposit[[#This Row],[Sep-25]]+Deposit[[#This Row],[Oct-25]]+Deposit[[#This Row],[Nov-25]]+Deposit[[#This Row],[Dec-25]]</f>
        <v>-4.3675462429999996</v>
      </c>
      <c r="U272" s="435">
        <v>12.98049770219537</v>
      </c>
      <c r="V272" s="435">
        <v>12.98049770219537</v>
      </c>
      <c r="W272" s="382">
        <f t="shared" si="259"/>
        <v>-17.348043945195371</v>
      </c>
      <c r="X272" s="569">
        <f t="shared" si="265"/>
        <v>-0.33646985987766276</v>
      </c>
      <c r="Y272" s="352"/>
      <c r="Z272" s="352"/>
      <c r="AC272" s="436"/>
      <c r="AD272" s="409" t="s">
        <v>336</v>
      </c>
      <c r="AF272" s="439"/>
      <c r="AJ272" s="439">
        <f>AU289</f>
        <v>1.1054393989768138E-2</v>
      </c>
      <c r="AK272" s="439"/>
      <c r="AL272" s="1321"/>
      <c r="AM272" s="1321"/>
      <c r="AN272" s="1321">
        <f>AX289</f>
        <v>9.9108038840841021E-3</v>
      </c>
      <c r="AO272" s="1321"/>
      <c r="AP272" s="1321">
        <f>AY289</f>
        <v>7.5027646987806292E-3</v>
      </c>
      <c r="AQ272" s="1321">
        <f t="shared" si="284"/>
        <v>2.4080391853034729E-3</v>
      </c>
      <c r="AR272" s="1319">
        <f>AN272/AP272</f>
        <v>1.3209535793778571</v>
      </c>
      <c r="AS272" s="436"/>
      <c r="AT272" s="436"/>
      <c r="AU272" s="382">
        <v>6.9371385000000008E-2</v>
      </c>
      <c r="AV272" s="382">
        <v>0.82049033100000002</v>
      </c>
      <c r="AW272" s="382">
        <v>6.9371385000000008E-2</v>
      </c>
      <c r="AX272" s="382">
        <v>-5.3488093370000005</v>
      </c>
      <c r="AY272" s="382"/>
      <c r="AZ272" s="988">
        <v>-5.3488093370000005</v>
      </c>
      <c r="BA272" s="568"/>
    </row>
    <row r="273" spans="2:53" s="404" customFormat="1" ht="12" customHeight="1">
      <c r="B273" s="522" t="s">
        <v>22</v>
      </c>
      <c r="C273" s="386">
        <v>-0.45008341499999993</v>
      </c>
      <c r="D273" s="386">
        <v>-0.37391468500000002</v>
      </c>
      <c r="E273" s="386">
        <f>Liability!AI81/10^9-Liability!AI94/10^9</f>
        <v>-0.45515509300000001</v>
      </c>
      <c r="F273" s="386">
        <f>Liability!AJ81/10^9-Liability!AJ94/10^9</f>
        <v>-0.290774545</v>
      </c>
      <c r="G273" s="386">
        <f>Liability!AK81/10^9-Liability!AK94/10^9</f>
        <v>-0.31241690999999999</v>
      </c>
      <c r="H273" s="386">
        <f>Liability!AL81/10^9-Liability!AL94/10^9</f>
        <v>-0.447187051</v>
      </c>
      <c r="I273" s="386">
        <f>Liability!AM81/10^9-Liability!AM94/10^9</f>
        <v>-0.48058291600000003</v>
      </c>
      <c r="J273" s="386">
        <f>Liability!AN81/10^9-Liability!AN94/10^9</f>
        <v>-0.47248089199999999</v>
      </c>
      <c r="K273" s="386">
        <f>Liability!AO81/10^9-Liability!AO94/10^9</f>
        <v>-0.51539838599999999</v>
      </c>
      <c r="L273" s="386">
        <f>Liability!AP81/10^9-Liability!AP94/10^9</f>
        <v>-0.54828684299999997</v>
      </c>
      <c r="M273" s="386">
        <f>Liability!AQ81/10^9-Liability!AQ94/10^9</f>
        <v>-0.57553496100000001</v>
      </c>
      <c r="N273" s="386">
        <f>Liability!AR81/10^9-Liability!AR94/10^9</f>
        <v>-0.56924417900000002</v>
      </c>
      <c r="O273" s="386">
        <f>Liability!AS81/10^9-Liability!AS94/10^9</f>
        <v>-0.75111894600000007</v>
      </c>
      <c r="P273" s="386">
        <f>Liability!AT81/10^9-Liability!AT94/10^9</f>
        <v>6.9371385000000008E-2</v>
      </c>
      <c r="Q273" s="435"/>
      <c r="R273" s="435">
        <f>Deposit[[#This Row],[Dec-25]]-Deposit[[#This Row],[Nov-25]]</f>
        <v>0.82049033100000002</v>
      </c>
      <c r="S273" s="435">
        <f>Deposit[[#This Row],[Dec-25]]-Deposit[[#This Row],[Dec-25 Plan]]</f>
        <v>6.9371385000000008E-2</v>
      </c>
      <c r="T273" s="435">
        <f>Deposit[[#This Row],[Jan-25]]+Deposit[[#This Row],[Feb-25]]+Deposit[[#This Row],[Mar-25]]+Deposit[[#This Row],[Apr-25]]+Deposit[[#This Row],[May-25]]+Deposit[[#This Row],[Jun-25]]+Deposit[[#This Row],[Jul-25]]+Deposit[[#This Row],[Aug-25]]+Deposit[[#This Row],[Sep-25]]+Deposit[[#This Row],[Oct-25]]+Deposit[[#This Row],[Nov-25]]+Deposit[[#This Row],[Dec-25]]</f>
        <v>-5.3488093370000005</v>
      </c>
      <c r="U273" s="438"/>
      <c r="V273" s="438"/>
      <c r="W273" s="988">
        <f t="shared" si="259"/>
        <v>-5.3488093370000005</v>
      </c>
      <c r="X273" s="569"/>
      <c r="Y273" s="352"/>
      <c r="Z273" s="352"/>
      <c r="AC273" s="436"/>
      <c r="AD273" s="436"/>
      <c r="AE273" s="436"/>
      <c r="AF273" s="436"/>
      <c r="AG273" s="436"/>
      <c r="AH273" s="436"/>
      <c r="AI273" s="436"/>
      <c r="AJ273" s="436"/>
      <c r="AK273" s="436"/>
      <c r="AL273" s="436"/>
      <c r="AM273" s="436"/>
      <c r="AN273" s="436"/>
      <c r="AO273" s="436"/>
      <c r="AP273" s="436"/>
      <c r="AQ273" s="436"/>
      <c r="AR273" s="436"/>
      <c r="AS273" s="436"/>
      <c r="AT273" s="436"/>
      <c r="AU273" s="382">
        <v>3.7958830999999998E-2</v>
      </c>
      <c r="AV273" s="382">
        <v>-1.908482000000003E-3</v>
      </c>
      <c r="AW273" s="382">
        <v>3.7958830999999998E-2</v>
      </c>
      <c r="AX273" s="382">
        <v>0.981263094</v>
      </c>
      <c r="AY273" s="382"/>
      <c r="AZ273" s="988">
        <v>0.981263094</v>
      </c>
      <c r="BA273" s="568"/>
    </row>
    <row r="274" spans="2:53" s="404" customFormat="1" ht="12" customHeight="1">
      <c r="B274" s="522" t="s">
        <v>360</v>
      </c>
      <c r="C274" s="386">
        <v>0.93304817799999995</v>
      </c>
      <c r="D274" s="386">
        <v>0.388608805</v>
      </c>
      <c r="E274" s="386">
        <f>Liability!AI94/10^9</f>
        <v>0.248049661</v>
      </c>
      <c r="F274" s="386">
        <f>Liability!AJ94/10^9</f>
        <v>0</v>
      </c>
      <c r="G274" s="386">
        <f>Liability!AK94/10^9</f>
        <v>0.134707885</v>
      </c>
      <c r="H274" s="386">
        <f>Liability!AL94/10^9</f>
        <v>6.8913929999999998E-2</v>
      </c>
      <c r="I274" s="386">
        <f>Liability!AM94/10^9</f>
        <v>0.11735003500000001</v>
      </c>
      <c r="J274" s="386">
        <f>Liability!AN94/10^9</f>
        <v>8.2271759999999999E-2</v>
      </c>
      <c r="K274" s="386">
        <f>Liability!AO94/10^9</f>
        <v>8.0848132000000003E-2</v>
      </c>
      <c r="L274" s="386">
        <f>Liability!AP94/10^9</f>
        <v>6.0519231E-2</v>
      </c>
      <c r="M274" s="386">
        <f>Liability!AQ94/10^9</f>
        <v>5.5518668E-2</v>
      </c>
      <c r="N274" s="386">
        <f>Liability!AR94/10^9</f>
        <v>5.5257647999999999E-2</v>
      </c>
      <c r="O274" s="386">
        <f>Liability!AS94/10^9</f>
        <v>3.9867313000000001E-2</v>
      </c>
      <c r="P274" s="386">
        <f>Liability!AT94/10^9</f>
        <v>3.7958830999999998E-2</v>
      </c>
      <c r="Q274" s="435"/>
      <c r="R274" s="435">
        <f>Deposit[[#This Row],[Dec-25]]-Deposit[[#This Row],[Nov-25]]</f>
        <v>-1.908482000000003E-3</v>
      </c>
      <c r="S274" s="435">
        <f>Deposit[[#This Row],[Dec-25]]-Deposit[[#This Row],[Dec-25 Plan]]</f>
        <v>3.7958830999999998E-2</v>
      </c>
      <c r="T274" s="435">
        <f>Deposit[[#This Row],[Jan-25]]+Deposit[[#This Row],[Feb-25]]+Deposit[[#This Row],[Mar-25]]+Deposit[[#This Row],[Apr-25]]+Deposit[[#This Row],[May-25]]+Deposit[[#This Row],[Jun-25]]+Deposit[[#This Row],[Jul-25]]+Deposit[[#This Row],[Aug-25]]+Deposit[[#This Row],[Sep-25]]+Deposit[[#This Row],[Oct-25]]+Deposit[[#This Row],[Nov-25]]+Deposit[[#This Row],[Dec-25]]</f>
        <v>0.981263094</v>
      </c>
      <c r="U274" s="438"/>
      <c r="V274" s="438"/>
      <c r="W274" s="988">
        <f t="shared" si="259"/>
        <v>0.981263094</v>
      </c>
      <c r="X274" s="569"/>
      <c r="Y274" s="352"/>
      <c r="Z274" s="352"/>
      <c r="AC274" s="436"/>
      <c r="AD274" s="436"/>
      <c r="AE274" s="436"/>
      <c r="AF274" s="436"/>
      <c r="AG274" s="436"/>
      <c r="AH274" s="436"/>
      <c r="AI274" s="436"/>
      <c r="AJ274" s="436"/>
      <c r="AK274" s="436"/>
      <c r="AL274" s="436"/>
      <c r="AM274" s="436"/>
      <c r="AN274" s="436"/>
      <c r="AO274" s="436"/>
      <c r="AP274" s="436"/>
      <c r="AQ274" s="436"/>
      <c r="AR274" s="436"/>
      <c r="AS274" s="436"/>
      <c r="AT274" s="436"/>
      <c r="AU274" s="382">
        <v>6.1626845219999984</v>
      </c>
      <c r="AV274" s="382">
        <v>1.1487936469999989</v>
      </c>
      <c r="AW274" s="382">
        <v>-0.14895331391318312</v>
      </c>
      <c r="AX274" s="382">
        <v>44.343280221222216</v>
      </c>
      <c r="AY274" s="382">
        <v>58.008400539352955</v>
      </c>
      <c r="AZ274" s="382">
        <v>-13.665120318130739</v>
      </c>
      <c r="BA274" s="568">
        <v>0.76442859670194996</v>
      </c>
    </row>
    <row r="275" spans="2:53" s="404" customFormat="1" ht="12" customHeight="1">
      <c r="B275" s="352" t="s">
        <v>99</v>
      </c>
      <c r="C275" s="435">
        <v>2.9287083227703241</v>
      </c>
      <c r="D275" s="435">
        <v>3.7986637511666665</v>
      </c>
      <c r="E275" s="435">
        <f t="shared" ref="E275:P275" si="288">SUM(E276:E279)+E283+E282</f>
        <v>3.5114304520000004</v>
      </c>
      <c r="F275" s="435">
        <f t="shared" si="288"/>
        <v>2.5731367872000002</v>
      </c>
      <c r="G275" s="435">
        <f t="shared" si="288"/>
        <v>2.8280987117999996</v>
      </c>
      <c r="H275" s="435">
        <f t="shared" si="288"/>
        <v>3.5143966242000002</v>
      </c>
      <c r="I275" s="435">
        <f>SUM(I276:I279)+I283+I282</f>
        <v>3.6160647747999999</v>
      </c>
      <c r="J275" s="435">
        <f t="shared" si="288"/>
        <v>3.1922064199999998</v>
      </c>
      <c r="K275" s="435">
        <f t="shared" ref="K275:L275" si="289">SUM(K276:K279)+K283+K282</f>
        <v>3.2870490472</v>
      </c>
      <c r="L275" s="435">
        <f t="shared" si="289"/>
        <v>3.4353955909999998</v>
      </c>
      <c r="M275" s="435">
        <f t="shared" si="288"/>
        <v>3.4100250937999999</v>
      </c>
      <c r="N275" s="435">
        <f t="shared" si="288"/>
        <v>3.7989013222222221</v>
      </c>
      <c r="O275" s="435">
        <f>SUM(O276:O279)+O283+O282</f>
        <v>5.0138908749999995</v>
      </c>
      <c r="P275" s="435">
        <f t="shared" si="288"/>
        <v>6.1626845219999984</v>
      </c>
      <c r="Q275" s="435">
        <f>SUM(Q276:Q279)+Q283+Q282</f>
        <v>6.3116378359131815</v>
      </c>
      <c r="R275" s="435">
        <f>Deposit[[#This Row],[Dec-25]]-Deposit[[#This Row],[Nov-25]]</f>
        <v>1.1487936469999989</v>
      </c>
      <c r="S275" s="435">
        <f>Deposit[[#This Row],[Dec-25]]-Deposit[[#This Row],[Dec-25 Plan]]</f>
        <v>-0.14895331391318312</v>
      </c>
      <c r="T275" s="435">
        <f>Deposit[[#This Row],[Jan-25]]+Deposit[[#This Row],[Feb-25]]+Deposit[[#This Row],[Mar-25]]+Deposit[[#This Row],[Apr-25]]+Deposit[[#This Row],[May-25]]+Deposit[[#This Row],[Jun-25]]+Deposit[[#This Row],[Jul-25]]+Deposit[[#This Row],[Aug-25]]+Deposit[[#This Row],[Sep-25]]+Deposit[[#This Row],[Oct-25]]+Deposit[[#This Row],[Nov-25]]+Deposit[[#This Row],[Dec-25]]</f>
        <v>44.343280221222216</v>
      </c>
      <c r="U275" s="435">
        <f>SUM(U276:U279)+U283+U282</f>
        <v>58.008400539352955</v>
      </c>
      <c r="V275" s="435">
        <f>SUM(V276:V279)+V283+V282</f>
        <v>58.008400539352955</v>
      </c>
      <c r="W275" s="382">
        <f t="shared" si="259"/>
        <v>-13.665120318130739</v>
      </c>
      <c r="X275" s="569">
        <f t="shared" si="265"/>
        <v>0.76442859670194996</v>
      </c>
      <c r="Y275" s="352"/>
      <c r="Z275" s="352"/>
      <c r="AC275" s="436"/>
      <c r="AD275" s="436"/>
      <c r="AE275" s="436"/>
      <c r="AF275" s="436"/>
      <c r="AG275" s="436"/>
      <c r="AH275" s="436"/>
      <c r="AI275" s="436"/>
      <c r="AJ275" s="436"/>
      <c r="AK275" s="436"/>
      <c r="AL275" s="436"/>
      <c r="AM275" s="436"/>
      <c r="AN275" s="436"/>
      <c r="AO275" s="436"/>
      <c r="AP275" s="436"/>
      <c r="AQ275" s="436"/>
      <c r="AR275" s="436"/>
      <c r="AS275" s="436"/>
      <c r="AT275" s="436"/>
      <c r="AU275" s="386">
        <v>2.56466817</v>
      </c>
      <c r="AV275" s="386">
        <v>0.59169870499999999</v>
      </c>
      <c r="AW275" s="386">
        <v>1.62959192</v>
      </c>
      <c r="AX275" s="386">
        <v>12.279471723</v>
      </c>
      <c r="AY275" s="386">
        <v>11.28856575</v>
      </c>
      <c r="AZ275" s="386">
        <v>0.99090597300000027</v>
      </c>
      <c r="BA275" s="568">
        <v>1.0877796165558056</v>
      </c>
    </row>
    <row r="276" spans="2:53" s="404" customFormat="1" ht="12" customHeight="1">
      <c r="B276" s="409" t="s">
        <v>668</v>
      </c>
      <c r="C276" s="386">
        <v>0.2853477525</v>
      </c>
      <c r="D276" s="386">
        <v>0.74673235650000003</v>
      </c>
      <c r="E276" s="386">
        <f>Liability!AI19/10^9</f>
        <v>0.86163707300000003</v>
      </c>
      <c r="F276" s="386">
        <f>Liability!AJ19/10^9</f>
        <v>0.32074061700000001</v>
      </c>
      <c r="G276" s="386">
        <f>Liability!AK19/10^9</f>
        <v>0.38749061699999998</v>
      </c>
      <c r="H276" s="386">
        <f>Liability!AL19/10^9</f>
        <v>1.2378698269999999</v>
      </c>
      <c r="I276" s="386">
        <f>Liability!AM19/10^9</f>
        <v>0.81959061700000002</v>
      </c>
      <c r="J276" s="386">
        <f>Liability!AN19/10^9</f>
        <v>0.73585355699999999</v>
      </c>
      <c r="K276" s="386">
        <f>Liability!AO19/10^9</f>
        <v>0.75299839199999996</v>
      </c>
      <c r="L276" s="386">
        <f>Liability!AP19/10^9</f>
        <v>0.89372488800000005</v>
      </c>
      <c r="M276" s="386">
        <f>Liability!AQ19/10^9</f>
        <v>0.81645687499999997</v>
      </c>
      <c r="N276" s="386">
        <f>Liability!AR19/10^9</f>
        <v>0.91547162500000001</v>
      </c>
      <c r="O276" s="386">
        <f>Liability!AS19/10^9</f>
        <v>1.972969465</v>
      </c>
      <c r="P276" s="386">
        <f>Liability!AT19/10^9</f>
        <v>2.56466817</v>
      </c>
      <c r="Q276" s="386">
        <v>0.93507625000000005</v>
      </c>
      <c r="R276" s="386">
        <f>Deposit[[#This Row],[Dec-25]]-Deposit[[#This Row],[Nov-25]]</f>
        <v>0.59169870499999999</v>
      </c>
      <c r="S276" s="386">
        <f>Deposit[[#This Row],[Dec-25]]-Deposit[[#This Row],[Dec-25 Plan]]</f>
        <v>1.62959192</v>
      </c>
      <c r="T276" s="386">
        <f>Deposit[[#This Row],[Jan-25]]+Deposit[[#This Row],[Feb-25]]+Deposit[[#This Row],[Mar-25]]+Deposit[[#This Row],[Apr-25]]+Deposit[[#This Row],[May-25]]+Deposit[[#This Row],[Jun-25]]+Deposit[[#This Row],[Jul-25]]+Deposit[[#This Row],[Aug-25]]+Deposit[[#This Row],[Sep-25]]+Deposit[[#This Row],[Oct-25]]+Deposit[[#This Row],[Nov-25]]+Deposit[[#This Row],[Dec-25]]</f>
        <v>12.279471723</v>
      </c>
      <c r="U276" s="386">
        <v>11.28856575</v>
      </c>
      <c r="V276" s="386">
        <v>11.28856575</v>
      </c>
      <c r="W276" s="386">
        <f t="shared" si="259"/>
        <v>0.99090597300000027</v>
      </c>
      <c r="X276" s="569">
        <f t="shared" si="265"/>
        <v>1.0877796165558056</v>
      </c>
      <c r="Y276" s="352"/>
      <c r="Z276" s="352"/>
      <c r="AC276" s="436"/>
      <c r="AD276" s="436"/>
      <c r="AE276" s="436"/>
      <c r="AF276" s="436"/>
      <c r="AG276" s="436"/>
      <c r="AH276" s="436"/>
      <c r="AI276" s="436"/>
      <c r="AJ276" s="436"/>
      <c r="AK276" s="436"/>
      <c r="AL276" s="436"/>
      <c r="AM276" s="436"/>
      <c r="AN276" s="436"/>
      <c r="AO276" s="436"/>
      <c r="AP276" s="436"/>
      <c r="AQ276" s="436"/>
      <c r="AR276" s="436"/>
      <c r="AS276" s="436"/>
      <c r="AT276" s="436"/>
      <c r="AU276" s="386">
        <v>0.55374354599999998</v>
      </c>
      <c r="AV276" s="386">
        <v>0.51451002599999995</v>
      </c>
      <c r="AW276" s="386">
        <v>-0.19965448839803401</v>
      </c>
      <c r="AX276" s="386">
        <v>1.6848620430000001</v>
      </c>
      <c r="AY276" s="386">
        <v>6.9195651105651104</v>
      </c>
      <c r="AZ276" s="386">
        <v>-5.2347030675651105</v>
      </c>
      <c r="BA276" s="568">
        <v>0.24349247620019865</v>
      </c>
    </row>
    <row r="277" spans="2:53" s="404" customFormat="1" ht="12" customHeight="1">
      <c r="B277" s="409" t="s">
        <v>669</v>
      </c>
      <c r="C277" s="386">
        <v>0.40472916687032423</v>
      </c>
      <c r="D277" s="386">
        <v>0.86411638366666665</v>
      </c>
      <c r="E277" s="386">
        <f>Liability!AI23/10^9</f>
        <v>0.21226940399999999</v>
      </c>
      <c r="F277" s="386">
        <f>Liability!AJ23/10^9</f>
        <v>6.8076659999999997E-2</v>
      </c>
      <c r="G277" s="386">
        <f>Liability!AK23/10^9</f>
        <v>2.9479640000000001E-2</v>
      </c>
      <c r="H277" s="386">
        <f>Liability!AL23/10^9</f>
        <v>7.223976E-2</v>
      </c>
      <c r="I277" s="386">
        <f>Liability!AM23/10^9</f>
        <v>0.37121777099999997</v>
      </c>
      <c r="J277" s="386">
        <f>Liability!AN23/10^9</f>
        <v>4.4061794000000001E-2</v>
      </c>
      <c r="K277" s="386">
        <f>Liability!AO23/10^9</f>
        <v>0.13929285</v>
      </c>
      <c r="L277" s="386">
        <f>Liability!AP23/10^9</f>
        <v>3.3902639999999998E-2</v>
      </c>
      <c r="M277" s="386">
        <f>Liability!AQ23/10^9</f>
        <v>8.7434079999999997E-2</v>
      </c>
      <c r="N277" s="386">
        <f>Liability!AR23/10^9</f>
        <v>3.3910377999999998E-2</v>
      </c>
      <c r="O277" s="386">
        <f>Liability!AS23/10^9</f>
        <v>3.9233520000000001E-2</v>
      </c>
      <c r="P277" s="386">
        <f>Liability!AT23/10^9</f>
        <v>0.55374354599999998</v>
      </c>
      <c r="Q277" s="386">
        <v>0.75339803439803399</v>
      </c>
      <c r="R277" s="386">
        <f>Deposit[[#This Row],[Dec-25]]-Deposit[[#This Row],[Nov-25]]</f>
        <v>0.51451002599999995</v>
      </c>
      <c r="S277" s="386">
        <f>Deposit[[#This Row],[Dec-25]]-Deposit[[#This Row],[Dec-25 Plan]]</f>
        <v>-0.19965448839803401</v>
      </c>
      <c r="T277" s="386">
        <f>Deposit[[#This Row],[Jan-25]]+Deposit[[#This Row],[Feb-25]]+Deposit[[#This Row],[Mar-25]]+Deposit[[#This Row],[Apr-25]]+Deposit[[#This Row],[May-25]]+Deposit[[#This Row],[Jun-25]]+Deposit[[#This Row],[Jul-25]]+Deposit[[#This Row],[Aug-25]]+Deposit[[#This Row],[Sep-25]]+Deposit[[#This Row],[Oct-25]]+Deposit[[#This Row],[Nov-25]]+Deposit[[#This Row],[Dec-25]]</f>
        <v>1.6848620430000001</v>
      </c>
      <c r="U277" s="386">
        <v>6.9195651105651104</v>
      </c>
      <c r="V277" s="386">
        <v>6.9195651105651104</v>
      </c>
      <c r="W277" s="386">
        <f t="shared" si="259"/>
        <v>-5.2347030675651105</v>
      </c>
      <c r="X277" s="569">
        <f t="shared" si="265"/>
        <v>0.24349247620019865</v>
      </c>
      <c r="Y277" s="352"/>
      <c r="Z277" s="352"/>
      <c r="AC277" s="436"/>
      <c r="AD277" s="436"/>
      <c r="AE277" s="436"/>
      <c r="AF277" s="436"/>
      <c r="AG277" s="436"/>
      <c r="AH277" s="436"/>
      <c r="AI277" s="436"/>
      <c r="AJ277" s="436"/>
      <c r="AK277" s="436"/>
      <c r="AL277" s="436"/>
      <c r="AM277" s="436"/>
      <c r="AN277" s="436"/>
      <c r="AO277" s="436"/>
      <c r="AP277" s="436"/>
      <c r="AQ277" s="436"/>
      <c r="AR277" s="436"/>
      <c r="AS277" s="436"/>
      <c r="AT277" s="436"/>
      <c r="AU277" s="386">
        <v>1.469052053</v>
      </c>
      <c r="AV277" s="386">
        <v>-8.4388053999999935E-2</v>
      </c>
      <c r="AW277" s="386">
        <v>-2.42753128033333</v>
      </c>
      <c r="AX277" s="386">
        <v>15.947454328999999</v>
      </c>
      <c r="AY277" s="386">
        <v>28.943708333333301</v>
      </c>
      <c r="AZ277" s="386">
        <v>-12.996254004333302</v>
      </c>
      <c r="BA277" s="568">
        <v>0.55098172443349147</v>
      </c>
    </row>
    <row r="278" spans="2:53" s="404" customFormat="1" ht="12" customHeight="1">
      <c r="B278" s="409" t="s">
        <v>670</v>
      </c>
      <c r="C278" s="386">
        <v>0.85270568400000002</v>
      </c>
      <c r="D278" s="386">
        <v>0.88854492699999998</v>
      </c>
      <c r="E278" s="386">
        <f>Liability!AI20/10^9</f>
        <v>0.92989477799999998</v>
      </c>
      <c r="F278" s="386">
        <f>Liability!AJ20/10^9</f>
        <v>0.96905332799999999</v>
      </c>
      <c r="G278" s="386">
        <f>Liability!AK20/10^9</f>
        <v>1.120205414</v>
      </c>
      <c r="H278" s="386">
        <f>Liability!AL20/10^9</f>
        <v>1.136827781</v>
      </c>
      <c r="I278" s="386">
        <f>Liability!AM20/10^9</f>
        <v>1.4948807959999999</v>
      </c>
      <c r="J278" s="386">
        <f>Liability!AN20/10^9</f>
        <v>1.4596422659999999</v>
      </c>
      <c r="K278" s="386">
        <f>Liability!AO20/10^9</f>
        <v>1.372119493</v>
      </c>
      <c r="L278" s="386">
        <f>Liability!AP20/10^9</f>
        <v>1.454661915</v>
      </c>
      <c r="M278" s="386">
        <f>Liability!AQ20/10^9</f>
        <v>1.4326522420000001</v>
      </c>
      <c r="N278" s="386">
        <f>Liability!AR20/10^9</f>
        <v>1.555024156</v>
      </c>
      <c r="O278" s="386">
        <f>Liability!AS20/10^9</f>
        <v>1.5534401069999999</v>
      </c>
      <c r="P278" s="386">
        <f>Liability!AT20/10^9</f>
        <v>1.469052053</v>
      </c>
      <c r="Q278" s="386">
        <v>3.89658333333333</v>
      </c>
      <c r="R278" s="386">
        <f>Deposit[[#This Row],[Dec-25]]-Deposit[[#This Row],[Nov-25]]</f>
        <v>-8.4388053999999935E-2</v>
      </c>
      <c r="S278" s="386">
        <f>Deposit[[#This Row],[Dec-25]]-Deposit[[#This Row],[Dec-25 Plan]]</f>
        <v>-2.42753128033333</v>
      </c>
      <c r="T278" s="386">
        <f>Deposit[[#This Row],[Jan-25]]+Deposit[[#This Row],[Feb-25]]+Deposit[[#This Row],[Mar-25]]+Deposit[[#This Row],[Apr-25]]+Deposit[[#This Row],[May-25]]+Deposit[[#This Row],[Jun-25]]+Deposit[[#This Row],[Jul-25]]+Deposit[[#This Row],[Aug-25]]+Deposit[[#This Row],[Sep-25]]+Deposit[[#This Row],[Oct-25]]+Deposit[[#This Row],[Nov-25]]+Deposit[[#This Row],[Dec-25]]</f>
        <v>15.947454328999999</v>
      </c>
      <c r="U278" s="386">
        <v>28.943708333333301</v>
      </c>
      <c r="V278" s="386">
        <v>28.943708333333301</v>
      </c>
      <c r="W278" s="386">
        <f t="shared" si="259"/>
        <v>-12.996254004333302</v>
      </c>
      <c r="X278" s="569">
        <f t="shared" si="265"/>
        <v>0.55098172443349147</v>
      </c>
      <c r="Y278" s="352"/>
      <c r="Z278" s="352"/>
      <c r="AC278" s="436"/>
      <c r="AD278" s="436"/>
      <c r="AE278" s="436"/>
      <c r="AF278" s="436"/>
      <c r="AG278" s="436"/>
      <c r="AH278" s="436"/>
      <c r="AI278" s="436"/>
      <c r="AJ278" s="436"/>
      <c r="AK278" s="436"/>
      <c r="AL278" s="436"/>
      <c r="AM278" s="436"/>
      <c r="AN278" s="436"/>
      <c r="AO278" s="436"/>
      <c r="AP278" s="436"/>
      <c r="AQ278" s="436"/>
      <c r="AR278" s="436"/>
      <c r="AS278" s="436"/>
      <c r="AT278" s="436"/>
      <c r="AU278" s="386">
        <v>0.339068704</v>
      </c>
      <c r="AV278" s="386">
        <v>-0.102632326</v>
      </c>
      <c r="AW278" s="386">
        <v>0.16906870399999999</v>
      </c>
      <c r="AX278" s="386">
        <v>6.1685923862222216</v>
      </c>
      <c r="AY278" s="386">
        <v>2.9325000000000001</v>
      </c>
      <c r="AZ278" s="386">
        <v>3.2360923862222215</v>
      </c>
      <c r="BA278" s="568">
        <v>2.1035268154210476</v>
      </c>
    </row>
    <row r="279" spans="2:53" s="404" customFormat="1" ht="12" customHeight="1">
      <c r="B279" s="409" t="s">
        <v>315</v>
      </c>
      <c r="C279" s="386">
        <v>0.7577107904</v>
      </c>
      <c r="D279" s="386">
        <f>Liability!AG21/10^9</f>
        <v>0.65404889499999996</v>
      </c>
      <c r="E279" s="386">
        <f>Liability!AI21/10^9</f>
        <v>0.83700003700000003</v>
      </c>
      <c r="F279" s="386">
        <f>Liability!AJ21/10^9</f>
        <v>0.72694149720000001</v>
      </c>
      <c r="G279" s="386">
        <f>Liability!AK21/10^9</f>
        <v>0.72210906079999992</v>
      </c>
      <c r="H279" s="386">
        <f>Liability!AL21/10^9</f>
        <v>0.56576665120000003</v>
      </c>
      <c r="I279" s="386">
        <f>Liability!AM21/10^9</f>
        <v>0.39177770280000002</v>
      </c>
      <c r="J279" s="386">
        <f>Liability!AN21/10^9</f>
        <v>0.37955414199999998</v>
      </c>
      <c r="K279" s="386">
        <f>Liability!AO21/10^9</f>
        <v>0.37539289919999996</v>
      </c>
      <c r="L279" s="386">
        <f>Liability!AP21/10^9</f>
        <v>0.40578638</v>
      </c>
      <c r="M279" s="386">
        <f>Liability!AQ21/10^9</f>
        <v>0.42289888980000001</v>
      </c>
      <c r="N279" s="386">
        <f>Liability!AR21/10^9</f>
        <v>0.56059539222222199</v>
      </c>
      <c r="O279" s="386">
        <f>Liability!AS21/10^9</f>
        <v>0.44170102999999999</v>
      </c>
      <c r="P279" s="386">
        <f>Liability!AT21/10^9</f>
        <v>0.339068704</v>
      </c>
      <c r="Q279" s="386">
        <v>0.17</v>
      </c>
      <c r="R279" s="386">
        <f>Deposit[[#This Row],[Dec-25]]-Deposit[[#This Row],[Nov-25]]</f>
        <v>-0.102632326</v>
      </c>
      <c r="S279" s="386">
        <f>Deposit[[#This Row],[Dec-25]]-Deposit[[#This Row],[Dec-25 Plan]]</f>
        <v>0.16906870399999999</v>
      </c>
      <c r="T279" s="386">
        <f>Deposit[[#This Row],[Jan-25]]+Deposit[[#This Row],[Feb-25]]+Deposit[[#This Row],[Mar-25]]+Deposit[[#This Row],[Apr-25]]+Deposit[[#This Row],[May-25]]+Deposit[[#This Row],[Jun-25]]+Deposit[[#This Row],[Jul-25]]+Deposit[[#This Row],[Aug-25]]+Deposit[[#This Row],[Sep-25]]+Deposit[[#This Row],[Oct-25]]+Deposit[[#This Row],[Nov-25]]+Deposit[[#This Row],[Dec-25]]</f>
        <v>6.1685923862222216</v>
      </c>
      <c r="U279" s="386">
        <v>2.9325000000000001</v>
      </c>
      <c r="V279" s="386">
        <v>2.9325000000000001</v>
      </c>
      <c r="W279" s="386">
        <f t="shared" si="259"/>
        <v>3.2360923862222215</v>
      </c>
      <c r="X279" s="569">
        <f t="shared" si="265"/>
        <v>2.1035268154210476</v>
      </c>
      <c r="Y279" s="352"/>
      <c r="Z279" s="352"/>
      <c r="AC279" s="436"/>
      <c r="AD279" s="436"/>
      <c r="AE279" s="436"/>
      <c r="AF279" s="436"/>
      <c r="AG279" s="436"/>
      <c r="AH279" s="436"/>
      <c r="AI279" s="436"/>
      <c r="AJ279" s="436"/>
      <c r="AK279" s="436"/>
      <c r="AL279" s="436"/>
      <c r="AM279" s="436"/>
      <c r="AN279" s="436"/>
      <c r="AO279" s="436"/>
      <c r="AP279" s="436"/>
      <c r="AQ279" s="436"/>
      <c r="AR279" s="436"/>
      <c r="AS279" s="436"/>
      <c r="AT279" s="436"/>
      <c r="AU279" s="386">
        <v>0.39</v>
      </c>
      <c r="AV279" s="386">
        <v>0</v>
      </c>
      <c r="AW279" s="386">
        <v>0.39</v>
      </c>
      <c r="AX279" s="386">
        <v>2.9220000000000002</v>
      </c>
      <c r="AY279" s="386"/>
      <c r="AZ279" s="386">
        <v>2.9220000000000002</v>
      </c>
      <c r="BA279" s="568"/>
    </row>
    <row r="280" spans="2:53" s="404" customFormat="1" ht="12" hidden="1" customHeight="1">
      <c r="B280" s="522" t="s">
        <v>317</v>
      </c>
      <c r="C280" s="386">
        <v>0.41589999999999999</v>
      </c>
      <c r="D280" s="386">
        <v>0.39</v>
      </c>
      <c r="E280" s="386">
        <v>0.39</v>
      </c>
      <c r="F280" s="386">
        <v>0.39</v>
      </c>
      <c r="G280" s="386">
        <v>0.39</v>
      </c>
      <c r="H280" s="386">
        <v>0.192</v>
      </c>
      <c r="I280" s="386"/>
      <c r="J280" s="386"/>
      <c r="K280" s="386"/>
      <c r="L280" s="386"/>
      <c r="M280" s="386">
        <v>0.39</v>
      </c>
      <c r="N280" s="386">
        <v>0.39</v>
      </c>
      <c r="O280" s="386">
        <v>0.39</v>
      </c>
      <c r="P280" s="386">
        <v>0.39</v>
      </c>
      <c r="Q280" s="386"/>
      <c r="R280" s="386">
        <f>Deposit[[#This Row],[Dec-25]]-Deposit[[#This Row],[Nov-25]]</f>
        <v>0</v>
      </c>
      <c r="S280" s="386">
        <f>Deposit[[#This Row],[Dec-25]]-Deposit[[#This Row],[Dec-25 Plan]]</f>
        <v>0.39</v>
      </c>
      <c r="T280" s="386">
        <f>Deposit[[#This Row],[Jan-25]]+Deposit[[#This Row],[Feb-25]]+Deposit[[#This Row],[Mar-25]]+Deposit[[#This Row],[Apr-25]]+Deposit[[#This Row],[May-25]]+Deposit[[#This Row],[Jun-25]]+Deposit[[#This Row],[Jul-25]]+Deposit[[#This Row],[Aug-25]]+Deposit[[#This Row],[Sep-25]]+Deposit[[#This Row],[Oct-25]]+Deposit[[#This Row],[Nov-25]]+Deposit[[#This Row],[Dec-25]]</f>
        <v>2.9220000000000002</v>
      </c>
      <c r="U280" s="386"/>
      <c r="V280" s="386"/>
      <c r="W280" s="386">
        <f t="shared" si="259"/>
        <v>2.9220000000000002</v>
      </c>
      <c r="X280" s="569"/>
      <c r="Y280" s="352"/>
      <c r="Z280" s="352"/>
      <c r="AC280" s="436"/>
      <c r="AD280" s="436"/>
      <c r="AE280" s="436"/>
      <c r="AF280" s="436"/>
      <c r="AG280" s="436"/>
      <c r="AH280" s="436"/>
      <c r="AI280" s="436"/>
      <c r="AJ280" s="436"/>
      <c r="AK280" s="436"/>
      <c r="AL280" s="436"/>
      <c r="AM280" s="436"/>
      <c r="AN280" s="436"/>
      <c r="AO280" s="436"/>
      <c r="AP280" s="436"/>
      <c r="AQ280" s="436"/>
      <c r="AR280" s="436"/>
      <c r="AS280" s="436"/>
      <c r="AT280" s="436"/>
      <c r="AU280" s="386">
        <v>0.24199999999999999</v>
      </c>
      <c r="AV280" s="386">
        <v>0</v>
      </c>
      <c r="AW280" s="386">
        <v>0.24199999999999999</v>
      </c>
      <c r="AX280" s="386">
        <v>6.7779415342</v>
      </c>
      <c r="AY280" s="386"/>
      <c r="AZ280" s="386">
        <v>6.7779415342</v>
      </c>
      <c r="BA280" s="568"/>
    </row>
    <row r="281" spans="2:53" s="404" customFormat="1" ht="12" hidden="1" customHeight="1">
      <c r="B281" s="522" t="s">
        <v>318</v>
      </c>
      <c r="C281" s="386">
        <v>0.34181079039999995</v>
      </c>
      <c r="D281" s="386">
        <f>Liability!AG47/10^9</f>
        <v>0.26404889500000001</v>
      </c>
      <c r="E281" s="386">
        <f>Liability!AI47/10^9</f>
        <v>0.44700003700000002</v>
      </c>
      <c r="F281" s="386">
        <f>Liability!AJ47/10^9</f>
        <v>0.3369414972</v>
      </c>
      <c r="G281" s="386">
        <v>0.24199999999999999</v>
      </c>
      <c r="H281" s="386">
        <v>0.29499999999999998</v>
      </c>
      <c r="I281" s="386">
        <v>0.28899999999999998</v>
      </c>
      <c r="J281" s="386">
        <v>0.4</v>
      </c>
      <c r="K281" s="386">
        <v>1.4</v>
      </c>
      <c r="L281" s="386">
        <v>2.4</v>
      </c>
      <c r="M281" s="386">
        <v>0.24199999999999999</v>
      </c>
      <c r="N281" s="386">
        <v>0.24199999999999999</v>
      </c>
      <c r="O281" s="386">
        <v>0.24199999999999999</v>
      </c>
      <c r="P281" s="386">
        <v>0.24199999999999999</v>
      </c>
      <c r="Q281" s="386"/>
      <c r="R281" s="386">
        <f>Deposit[[#This Row],[Dec-25]]-Deposit[[#This Row],[Nov-25]]</f>
        <v>0</v>
      </c>
      <c r="S281" s="386">
        <f>Deposit[[#This Row],[Dec-25]]-Deposit[[#This Row],[Dec-25 Plan]]</f>
        <v>0.24199999999999999</v>
      </c>
      <c r="T281" s="386">
        <f>Deposit[[#This Row],[Jan-25]]+Deposit[[#This Row],[Feb-25]]+Deposit[[#This Row],[Mar-25]]+Deposit[[#This Row],[Apr-25]]+Deposit[[#This Row],[May-25]]+Deposit[[#This Row],[Jun-25]]+Deposit[[#This Row],[Jul-25]]+Deposit[[#This Row],[Aug-25]]+Deposit[[#This Row],[Sep-25]]+Deposit[[#This Row],[Oct-25]]+Deposit[[#This Row],[Nov-25]]+Deposit[[#This Row],[Dec-25]]</f>
        <v>6.7779415342</v>
      </c>
      <c r="U281" s="386"/>
      <c r="V281" s="386"/>
      <c r="W281" s="386">
        <f t="shared" si="259"/>
        <v>6.7779415342</v>
      </c>
      <c r="X281" s="569"/>
      <c r="Y281" s="352"/>
      <c r="Z281" s="352"/>
      <c r="AC281" s="436"/>
      <c r="AD281" s="436"/>
      <c r="AE281" s="436"/>
      <c r="AF281" s="436"/>
      <c r="AG281" s="436"/>
      <c r="AH281" s="436"/>
      <c r="AI281" s="436"/>
      <c r="AJ281" s="436"/>
      <c r="AK281" s="436"/>
      <c r="AL281" s="436"/>
      <c r="AM281" s="436"/>
      <c r="AN281" s="436"/>
      <c r="AO281" s="436"/>
      <c r="AP281" s="436"/>
      <c r="AQ281" s="436"/>
      <c r="AR281" s="436"/>
      <c r="AS281" s="436"/>
      <c r="AT281" s="436"/>
      <c r="AU281" s="386">
        <v>0.47063250000000001</v>
      </c>
      <c r="AV281" s="386">
        <v>0.10252349999999999</v>
      </c>
      <c r="AW281" s="386">
        <v>0.37063250000000003</v>
      </c>
      <c r="AX281" s="386">
        <v>1.92974015</v>
      </c>
      <c r="AY281" s="386">
        <v>3.1080000000000001</v>
      </c>
      <c r="AZ281" s="386">
        <v>-1.1782598500000001</v>
      </c>
      <c r="BA281" s="568"/>
    </row>
    <row r="282" spans="2:53" s="404" customFormat="1" ht="12" customHeight="1">
      <c r="B282" s="409" t="s">
        <v>152</v>
      </c>
      <c r="C282" s="386">
        <v>0.24838499999999999</v>
      </c>
      <c r="D282" s="386">
        <v>0.255</v>
      </c>
      <c r="E282" s="386">
        <f>Liability!AI22/10^9</f>
        <v>0.12494159999999999</v>
      </c>
      <c r="F282" s="386">
        <f>Liability!AJ22/10^9</f>
        <v>7.8154650000000006E-2</v>
      </c>
      <c r="G282" s="386">
        <f>Liability!AK22/10^9</f>
        <v>0.11604915</v>
      </c>
      <c r="H282" s="386">
        <f>Liability!AL22/10^9</f>
        <v>9.6493949999999995E-2</v>
      </c>
      <c r="I282" s="386">
        <f>Liability!AM22/10^9</f>
        <v>9.6654599999999993E-2</v>
      </c>
      <c r="J282" s="386">
        <f>Liability!AN22/10^9</f>
        <v>0.10478475</v>
      </c>
      <c r="K282" s="386">
        <f>Liability!AO22/10^9</f>
        <v>0.11864369999999999</v>
      </c>
      <c r="L282" s="386">
        <f>Liability!AP22/10^9</f>
        <v>0.11390015000000001</v>
      </c>
      <c r="M282" s="386">
        <f>Liability!AQ22/10^9</f>
        <v>0.11239095</v>
      </c>
      <c r="N282" s="386">
        <f>Liability!AR22/10^9</f>
        <v>0.12898514999999999</v>
      </c>
      <c r="O282" s="386">
        <f>Liability!AS22/10^9</f>
        <v>0.36810900000000002</v>
      </c>
      <c r="P282" s="386">
        <f>Liability!AT22/10^9</f>
        <v>0.47063250000000001</v>
      </c>
      <c r="Q282" s="386">
        <v>0.1</v>
      </c>
      <c r="R282" s="386">
        <f>Deposit[[#This Row],[Dec-25]]-Deposit[[#This Row],[Nov-25]]</f>
        <v>0.10252349999999999</v>
      </c>
      <c r="S282" s="386">
        <f>Deposit[[#This Row],[Dec-25]]-Deposit[[#This Row],[Dec-25 Plan]]</f>
        <v>0.37063250000000003</v>
      </c>
      <c r="T282" s="386">
        <f>Deposit[[#This Row],[Jan-25]]+Deposit[[#This Row],[Feb-25]]+Deposit[[#This Row],[Mar-25]]+Deposit[[#This Row],[Apr-25]]+Deposit[[#This Row],[May-25]]+Deposit[[#This Row],[Jun-25]]+Deposit[[#This Row],[Jul-25]]+Deposit[[#This Row],[Aug-25]]+Deposit[[#This Row],[Sep-25]]+Deposit[[#This Row],[Oct-25]]+Deposit[[#This Row],[Nov-25]]+Deposit[[#This Row],[Dec-25]]</f>
        <v>1.92974015</v>
      </c>
      <c r="U282" s="386">
        <v>3.1080000000000001</v>
      </c>
      <c r="V282" s="386">
        <v>3.1080000000000001</v>
      </c>
      <c r="W282" s="386">
        <f t="shared" si="259"/>
        <v>-1.1782598500000001</v>
      </c>
      <c r="X282" s="569"/>
      <c r="Y282" s="352"/>
      <c r="Z282" s="352"/>
      <c r="AC282" s="436"/>
      <c r="AD282" s="436"/>
      <c r="AE282" s="436"/>
      <c r="AF282" s="436"/>
      <c r="AG282" s="436"/>
      <c r="AH282" s="436"/>
      <c r="AI282" s="436"/>
      <c r="AJ282" s="436"/>
      <c r="AK282" s="436"/>
      <c r="AL282" s="436"/>
      <c r="AM282" s="436"/>
      <c r="AN282" s="436"/>
      <c r="AO282" s="436"/>
      <c r="AP282" s="436"/>
      <c r="AQ282" s="436"/>
      <c r="AR282" s="436"/>
      <c r="AS282" s="436"/>
      <c r="AT282" s="436"/>
      <c r="AU282" s="386">
        <v>0.76551954899999997</v>
      </c>
      <c r="AV282" s="386">
        <v>0.12708179599999991</v>
      </c>
      <c r="AW282" s="386">
        <v>0.30893933081818198</v>
      </c>
      <c r="AX282" s="386">
        <v>6.3331595899999993</v>
      </c>
      <c r="AY282" s="386">
        <v>4.8160613454545498</v>
      </c>
      <c r="AZ282" s="386">
        <v>1.5170982445454495</v>
      </c>
      <c r="BA282" s="568">
        <v>1.3150080814434191</v>
      </c>
    </row>
    <row r="283" spans="2:53" s="404" customFormat="1" ht="12" customHeight="1">
      <c r="B283" s="409" t="s">
        <v>163</v>
      </c>
      <c r="C283" s="386">
        <v>0.37982992900000001</v>
      </c>
      <c r="D283" s="386">
        <v>0.47568705300000003</v>
      </c>
      <c r="E283" s="386">
        <f>Liability!AI24/10^9</f>
        <v>0.54568755999999996</v>
      </c>
      <c r="F283" s="386">
        <f>Liability!AJ24/10^9</f>
        <v>0.41017003499999999</v>
      </c>
      <c r="G283" s="386">
        <f>Liability!AK24/10^9</f>
        <v>0.45276483000000001</v>
      </c>
      <c r="H283" s="386">
        <f>Liability!AL24/10^9</f>
        <v>0.40519865500000002</v>
      </c>
      <c r="I283" s="386">
        <f>Liability!AM24/10^9</f>
        <v>0.44194328799999999</v>
      </c>
      <c r="J283" s="386">
        <f>Liability!AN24/10^9</f>
        <v>0.46830991100000002</v>
      </c>
      <c r="K283" s="386">
        <f>Liability!AO24/10^9</f>
        <v>0.52860171300000003</v>
      </c>
      <c r="L283" s="386">
        <f>Liability!AP24/10^9</f>
        <v>0.53341961800000004</v>
      </c>
      <c r="M283" s="386">
        <f>Liability!AQ24/10^9</f>
        <v>0.53819205699999995</v>
      </c>
      <c r="N283" s="386">
        <f>Liability!AR24/10^9</f>
        <v>0.60491462100000004</v>
      </c>
      <c r="O283" s="386">
        <f>Liability!AS24/10^9</f>
        <v>0.63843775300000005</v>
      </c>
      <c r="P283" s="386">
        <f>Liability!AT24/10^9</f>
        <v>0.76551954899999997</v>
      </c>
      <c r="Q283" s="386">
        <v>0.45658021818181799</v>
      </c>
      <c r="R283" s="386">
        <f>Deposit[[#This Row],[Dec-25]]-Deposit[[#This Row],[Nov-25]]</f>
        <v>0.12708179599999991</v>
      </c>
      <c r="S283" s="386">
        <f>Deposit[[#This Row],[Dec-25]]-Deposit[[#This Row],[Dec-25 Plan]]</f>
        <v>0.30893933081818198</v>
      </c>
      <c r="T283" s="386">
        <f>Deposit[[#This Row],[Jan-25]]+Deposit[[#This Row],[Feb-25]]+Deposit[[#This Row],[Mar-25]]+Deposit[[#This Row],[Apr-25]]+Deposit[[#This Row],[May-25]]+Deposit[[#This Row],[Jun-25]]+Deposit[[#This Row],[Jul-25]]+Deposit[[#This Row],[Aug-25]]+Deposit[[#This Row],[Sep-25]]+Deposit[[#This Row],[Oct-25]]+Deposit[[#This Row],[Nov-25]]+Deposit[[#This Row],[Dec-25]]</f>
        <v>6.3331595899999993</v>
      </c>
      <c r="U283" s="386">
        <v>4.8160613454545498</v>
      </c>
      <c r="V283" s="386">
        <v>4.8160613454545498</v>
      </c>
      <c r="W283" s="386">
        <f t="shared" si="259"/>
        <v>1.5170982445454495</v>
      </c>
      <c r="X283" s="569">
        <f t="shared" ref="X283:X290" si="290">T283/V283</f>
        <v>1.3150080814434191</v>
      </c>
      <c r="Y283" s="352"/>
      <c r="Z283" s="352"/>
      <c r="AC283" s="436"/>
      <c r="AD283" s="436"/>
      <c r="AE283" s="436"/>
      <c r="AF283" s="436"/>
      <c r="AG283" s="436"/>
      <c r="AH283" s="436"/>
      <c r="AI283" s="436"/>
      <c r="AJ283" s="436"/>
      <c r="AK283" s="436"/>
      <c r="AL283" s="436"/>
      <c r="AM283" s="436"/>
      <c r="AN283" s="436"/>
      <c r="AO283" s="436"/>
      <c r="AP283" s="436"/>
      <c r="AQ283" s="436"/>
      <c r="AR283" s="436"/>
      <c r="AS283" s="436"/>
      <c r="AT283" s="436"/>
      <c r="AU283" s="382">
        <v>11.748046449969834</v>
      </c>
      <c r="AV283" s="382">
        <v>2.1100235734201593</v>
      </c>
      <c r="AW283" s="382">
        <v>-9.2425367573625294E-2</v>
      </c>
      <c r="AX283" s="382">
        <v>93.489236530949853</v>
      </c>
      <c r="AY283" s="382">
        <v>106.4977971628428</v>
      </c>
      <c r="AZ283" s="382">
        <v>-13.008560631892948</v>
      </c>
      <c r="BA283" s="568">
        <v>0.8778513642681085</v>
      </c>
    </row>
    <row r="284" spans="2:53" s="404" customFormat="1" ht="12" customHeight="1">
      <c r="B284" s="352" t="s">
        <v>236</v>
      </c>
      <c r="C284" s="382">
        <f t="shared" ref="C284:Q284" si="291">C271+C272-C275</f>
        <v>4.5552844792296749</v>
      </c>
      <c r="D284" s="382">
        <f t="shared" si="291"/>
        <v>1.8661714008333337</v>
      </c>
      <c r="E284" s="382">
        <f t="shared" si="291"/>
        <v>2.694874248000001</v>
      </c>
      <c r="F284" s="382">
        <f t="shared" si="291"/>
        <v>4.4837208186695943</v>
      </c>
      <c r="G284" s="382">
        <f t="shared" si="291"/>
        <v>6.353951466564439</v>
      </c>
      <c r="H284" s="382">
        <f t="shared" si="291"/>
        <v>6.8129795322041247</v>
      </c>
      <c r="I284" s="382">
        <f t="shared" si="291"/>
        <v>6.2345117816082087</v>
      </c>
      <c r="J284" s="382">
        <f t="shared" si="291"/>
        <v>8.5264312509350564</v>
      </c>
      <c r="K284" s="382">
        <f t="shared" ref="K284:L284" si="292">K271+K272-K275</f>
        <v>8.3815279840888977</v>
      </c>
      <c r="L284" s="382">
        <f t="shared" si="292"/>
        <v>8.720147323065099</v>
      </c>
      <c r="M284" s="382">
        <f t="shared" si="291"/>
        <v>9.3016906034085416</v>
      </c>
      <c r="N284" s="382">
        <f t="shared" si="291"/>
        <v>10.593332195886383</v>
      </c>
      <c r="O284" s="382">
        <f>O271+O272-O275</f>
        <v>9.6380228765496749</v>
      </c>
      <c r="P284" s="382">
        <f t="shared" si="291"/>
        <v>11.748046449969834</v>
      </c>
      <c r="Q284" s="382">
        <f t="shared" si="291"/>
        <v>11.84047181754346</v>
      </c>
      <c r="R284" s="382">
        <f>Deposit[[#This Row],[Dec-25]]-Deposit[[#This Row],[Nov-25]]</f>
        <v>2.1100235734201593</v>
      </c>
      <c r="S284" s="382">
        <f>Deposit[[#This Row],[Dec-25]]-Deposit[[#This Row],[Dec-25 Plan]]</f>
        <v>-9.2425367573625294E-2</v>
      </c>
      <c r="T284" s="382">
        <f>Deposit[[#This Row],[Jan-25]]+Deposit[[#This Row],[Feb-25]]+Deposit[[#This Row],[Mar-25]]+Deposit[[#This Row],[Apr-25]]+Deposit[[#This Row],[May-25]]+Deposit[[#This Row],[Jun-25]]+Deposit[[#This Row],[Jul-25]]+Deposit[[#This Row],[Aug-25]]+Deposit[[#This Row],[Sep-25]]+Deposit[[#This Row],[Oct-25]]+Deposit[[#This Row],[Nov-25]]+Deposit[[#This Row],[Dec-25]]</f>
        <v>93.489236530949853</v>
      </c>
      <c r="U284" s="382">
        <f>U271+U272-U275</f>
        <v>106.4977971628428</v>
      </c>
      <c r="V284" s="382">
        <f>V271+V272-V275</f>
        <v>106.4977971628428</v>
      </c>
      <c r="W284" s="382">
        <f t="shared" si="259"/>
        <v>-13.008560631892948</v>
      </c>
      <c r="X284" s="569">
        <f>T284/V284</f>
        <v>0.8778513642681085</v>
      </c>
      <c r="Y284" s="352"/>
      <c r="Z284" s="352"/>
      <c r="AC284" s="436"/>
      <c r="AD284" s="436"/>
      <c r="AE284" s="436"/>
      <c r="AF284" s="436"/>
      <c r="AG284" s="436"/>
      <c r="AH284" s="436"/>
      <c r="AI284" s="436"/>
      <c r="AJ284" s="436"/>
      <c r="AK284" s="436"/>
      <c r="AL284" s="436"/>
      <c r="AM284" s="436"/>
      <c r="AN284" s="436"/>
      <c r="AO284" s="436"/>
      <c r="AP284" s="436"/>
      <c r="AQ284" s="436"/>
      <c r="AR284" s="436"/>
      <c r="AS284" s="436"/>
      <c r="AT284" s="436"/>
      <c r="AU284" s="382">
        <v>7.0285029551680411</v>
      </c>
      <c r="AV284" s="382">
        <v>-0.70248036778496381</v>
      </c>
      <c r="AW284" s="382">
        <v>-2.2020950814975686</v>
      </c>
      <c r="AX284" s="382">
        <v>91.354181855646956</v>
      </c>
      <c r="AY284" s="382">
        <v>110.80000000000001</v>
      </c>
      <c r="AZ284" s="382">
        <v>-19.445818144353055</v>
      </c>
      <c r="BA284" s="568">
        <v>0.82449622613399776</v>
      </c>
    </row>
    <row r="285" spans="2:53" s="404" customFormat="1" ht="12" customHeight="1">
      <c r="B285" s="352" t="s">
        <v>671</v>
      </c>
      <c r="C285" s="435">
        <f>C287+C286</f>
        <v>3.8355242790000004</v>
      </c>
      <c r="D285" s="435">
        <f>D287+D286</f>
        <v>3.8568555170000001</v>
      </c>
      <c r="E285" s="435">
        <f>E287+E286</f>
        <v>5.4836869634822225</v>
      </c>
      <c r="F285" s="435">
        <f t="shared" ref="F285:Q285" si="293">F286+F287</f>
        <v>5.937384779294927</v>
      </c>
      <c r="G285" s="435">
        <f t="shared" si="293"/>
        <v>5.8573011535731041</v>
      </c>
      <c r="H285" s="435">
        <f t="shared" si="293"/>
        <v>6.3835478486055717</v>
      </c>
      <c r="I285" s="435">
        <f t="shared" si="293"/>
        <v>5.9865999666511112</v>
      </c>
      <c r="J285" s="435">
        <f t="shared" si="293"/>
        <v>6.470696799979569</v>
      </c>
      <c r="K285" s="435">
        <f t="shared" ref="K285:L285" si="294">K286+K287</f>
        <v>9.8339695482328278</v>
      </c>
      <c r="L285" s="435">
        <f t="shared" si="294"/>
        <v>8.496527643351131</v>
      </c>
      <c r="M285" s="435">
        <f t="shared" si="293"/>
        <v>8.3341806471965079</v>
      </c>
      <c r="N285" s="435">
        <f t="shared" si="293"/>
        <v>13.810800227158934</v>
      </c>
      <c r="O285" s="435">
        <f t="shared" ref="O285" si="295">O286+O287</f>
        <v>7.7309833229530049</v>
      </c>
      <c r="P285" s="435">
        <f t="shared" si="293"/>
        <v>7.0285029551680411</v>
      </c>
      <c r="Q285" s="435">
        <f t="shared" si="293"/>
        <v>9.2305980366656097</v>
      </c>
      <c r="R285" s="435">
        <f>Deposit[[#This Row],[Dec-25]]-Deposit[[#This Row],[Nov-25]]</f>
        <v>-0.70248036778496381</v>
      </c>
      <c r="S285" s="435">
        <f>Deposit[[#This Row],[Dec-25]]-Deposit[[#This Row],[Dec-25 Plan]]</f>
        <v>-2.2020950814975686</v>
      </c>
      <c r="T285" s="435">
        <f>Deposit[[#This Row],[Jan-25]]+Deposit[[#This Row],[Feb-25]]+Deposit[[#This Row],[Mar-25]]+Deposit[[#This Row],[Apr-25]]+Deposit[[#This Row],[May-25]]+Deposit[[#This Row],[Jun-25]]+Deposit[[#This Row],[Jul-25]]+Deposit[[#This Row],[Aug-25]]+Deposit[[#This Row],[Sep-25]]+Deposit[[#This Row],[Oct-25]]+Deposit[[#This Row],[Nov-25]]+Deposit[[#This Row],[Dec-25]]</f>
        <v>91.354181855646956</v>
      </c>
      <c r="U285" s="435">
        <f t="shared" ref="U285:V285" si="296">U286+U287</f>
        <v>110.80000000000001</v>
      </c>
      <c r="V285" s="435">
        <f t="shared" si="296"/>
        <v>110.80000000000001</v>
      </c>
      <c r="W285" s="382">
        <f t="shared" si="259"/>
        <v>-19.445818144353055</v>
      </c>
      <c r="X285" s="569">
        <f t="shared" si="290"/>
        <v>0.82449622613399776</v>
      </c>
      <c r="Y285" s="352"/>
      <c r="Z285" s="352"/>
      <c r="AC285" s="436"/>
      <c r="AD285" s="436"/>
      <c r="AE285" s="436"/>
      <c r="AF285" s="436"/>
      <c r="AG285" s="436"/>
      <c r="AH285" s="436"/>
      <c r="AI285" s="436"/>
      <c r="AJ285" s="436"/>
      <c r="AK285" s="436"/>
      <c r="AL285" s="436"/>
      <c r="AM285" s="436"/>
      <c r="AN285" s="436"/>
      <c r="AO285" s="436"/>
      <c r="AP285" s="436"/>
      <c r="AQ285" s="436"/>
      <c r="AR285" s="436"/>
      <c r="AS285" s="436"/>
      <c r="AT285" s="436"/>
      <c r="AU285" s="386">
        <v>2.9954832641553812</v>
      </c>
      <c r="AV285" s="386">
        <v>-5.9045895435376305E-2</v>
      </c>
      <c r="AW285" s="386">
        <v>-0.93511477251022868</v>
      </c>
      <c r="AX285" s="386">
        <v>31.69392933207498</v>
      </c>
      <c r="AY285" s="386">
        <v>47.1</v>
      </c>
      <c r="AZ285" s="386">
        <v>-15.406070667925022</v>
      </c>
      <c r="BA285" s="568">
        <v>0.67290720450265351</v>
      </c>
    </row>
    <row r="286" spans="2:53" s="404" customFormat="1" ht="12" customHeight="1">
      <c r="B286" s="409" t="s">
        <v>301</v>
      </c>
      <c r="C286" s="386">
        <v>2.5607016790000001</v>
      </c>
      <c r="D286" s="386">
        <v>2.577685233</v>
      </c>
      <c r="E286" s="386">
        <f>Liability!AI26/10^9</f>
        <v>2.1675207164999999</v>
      </c>
      <c r="F286" s="386">
        <f>Liability!AJ26/10^9</f>
        <v>2.3354089528991939</v>
      </c>
      <c r="G286" s="386">
        <f>Liability!AK26/10^9</f>
        <v>2.5257465005928572</v>
      </c>
      <c r="H286" s="386">
        <f>Liability!AL26/10^9</f>
        <v>2.37210239215</v>
      </c>
      <c r="I286" s="386">
        <f>Liability!AM26/10^9</f>
        <v>2.4831282518000002</v>
      </c>
      <c r="J286" s="386">
        <f>Liability!AN26/10^9</f>
        <v>2.4723034050750772</v>
      </c>
      <c r="K286" s="386">
        <f>Liability!AO26/10^9</f>
        <v>2.4858875721560603</v>
      </c>
      <c r="L286" s="386">
        <f>Liability!AP26/10^9</f>
        <v>3.0024214994296399</v>
      </c>
      <c r="M286" s="386">
        <f>Liability!AQ26/10^9</f>
        <v>2.8935416398542184</v>
      </c>
      <c r="N286" s="386">
        <f>Liability!AR26/10^9</f>
        <v>2.9058559778717945</v>
      </c>
      <c r="O286" s="386">
        <f>Liability!AS26/10^9</f>
        <v>3.0545291595907575</v>
      </c>
      <c r="P286" s="386">
        <f>Liability!AT26/10^9</f>
        <v>2.9954832641553812</v>
      </c>
      <c r="Q286" s="386">
        <v>3.9305980366656099</v>
      </c>
      <c r="R286" s="386">
        <f>Deposit[[#This Row],[Dec-25]]-Deposit[[#This Row],[Nov-25]]</f>
        <v>-5.9045895435376305E-2</v>
      </c>
      <c r="S286" s="386">
        <f>Deposit[[#This Row],[Dec-25]]-Deposit[[#This Row],[Dec-25 Plan]]</f>
        <v>-0.93511477251022868</v>
      </c>
      <c r="T286" s="386">
        <f>Deposit[[#This Row],[Jan-25]]+Deposit[[#This Row],[Feb-25]]+Deposit[[#This Row],[Mar-25]]+Deposit[[#This Row],[Apr-25]]+Deposit[[#This Row],[May-25]]+Deposit[[#This Row],[Jun-25]]+Deposit[[#This Row],[Jul-25]]+Deposit[[#This Row],[Aug-25]]+Deposit[[#This Row],[Sep-25]]+Deposit[[#This Row],[Oct-25]]+Deposit[[#This Row],[Nov-25]]+Deposit[[#This Row],[Dec-25]]</f>
        <v>31.69392933207498</v>
      </c>
      <c r="U286" s="386">
        <v>47.1</v>
      </c>
      <c r="V286" s="386">
        <v>47.1</v>
      </c>
      <c r="W286" s="386">
        <f t="shared" si="259"/>
        <v>-15.406070667925022</v>
      </c>
      <c r="X286" s="569">
        <f t="shared" si="290"/>
        <v>0.67290720450265351</v>
      </c>
      <c r="Y286" s="352"/>
      <c r="Z286" s="352"/>
      <c r="AC286" s="436"/>
      <c r="AD286" s="436"/>
      <c r="AE286" s="436"/>
      <c r="AF286" s="436"/>
      <c r="AG286" s="436"/>
      <c r="AH286" s="436"/>
      <c r="AI286" s="436"/>
      <c r="AJ286" s="436"/>
      <c r="AK286" s="436"/>
      <c r="AL286" s="436"/>
      <c r="AM286" s="436"/>
      <c r="AN286" s="436"/>
      <c r="AO286" s="436"/>
      <c r="AP286" s="436"/>
      <c r="AQ286" s="436"/>
      <c r="AR286" s="436"/>
      <c r="AS286" s="436"/>
      <c r="AT286" s="436"/>
      <c r="AU286" s="386">
        <v>4.0330196910126599</v>
      </c>
      <c r="AV286" s="386">
        <v>-0.64343447234958795</v>
      </c>
      <c r="AW286" s="386">
        <v>-1.2669803089873399</v>
      </c>
      <c r="AX286" s="386">
        <v>59.660252523571977</v>
      </c>
      <c r="AY286" s="386">
        <v>63.7</v>
      </c>
      <c r="AZ286" s="386">
        <v>-4.0397474764280261</v>
      </c>
      <c r="BA286" s="568">
        <v>0.93658167226957578</v>
      </c>
    </row>
    <row r="287" spans="2:53" s="404" customFormat="1" ht="12" customHeight="1">
      <c r="B287" s="409" t="s">
        <v>672</v>
      </c>
      <c r="C287" s="386">
        <v>1.2748226</v>
      </c>
      <c r="D287" s="386">
        <v>1.2791702840000001</v>
      </c>
      <c r="E287" s="386">
        <f>Liability!AI27/10^9+Liability!AI28/10^9+Liability!AI29/10^9</f>
        <v>3.3161662469822226</v>
      </c>
      <c r="F287" s="386">
        <f>Liability!AJ27/10^9+Liability!AJ28/10^9+Liability!AJ29/10^9</f>
        <v>3.6019758263957335</v>
      </c>
      <c r="G287" s="386">
        <f>Liability!AK27/10^9+Liability!AK28/10^9+Liability!AK29/10^9</f>
        <v>3.3315546529802473</v>
      </c>
      <c r="H287" s="386">
        <f>Liability!AL27/10^9+Liability!AL28/10^9+Liability!AL29/10^9</f>
        <v>4.0114454564555722</v>
      </c>
      <c r="I287" s="386">
        <f>Liability!AM27/10^9+Liability!AM28/10^9+Liability!AM29/10^9</f>
        <v>3.503471714851111</v>
      </c>
      <c r="J287" s="386">
        <f>Liability!AN27/10^9+Liability!AN28/10^9+Liability!AN29/10^9</f>
        <v>3.9983933949044923</v>
      </c>
      <c r="K287" s="386">
        <f>Liability!AO27/10^9+Liability!AO28/10^9+Liability!AO29/10^9</f>
        <v>7.3480819760767675</v>
      </c>
      <c r="L287" s="386">
        <f>Liability!AP27/10^9+Liability!AP28/10^9+Liability!AP29/10^9</f>
        <v>5.4941061439214911</v>
      </c>
      <c r="M287" s="386">
        <f>Liability!AQ27/10^9+Liability!AQ28/10^9+Liability!AQ29/10^9</f>
        <v>5.4406390073422894</v>
      </c>
      <c r="N287" s="386">
        <f>Liability!AR27/10^9+Liability!AR28/10^9+Liability!AR29/10^9</f>
        <v>10.904944249287139</v>
      </c>
      <c r="O287" s="386">
        <f>Liability!AS27/10^9+Liability!AS28/10^9+Liability!AS29/10^9</f>
        <v>4.6764541633622478</v>
      </c>
      <c r="P287" s="386">
        <f>Liability!AT27/10^9+Liability!AT28/10^9+Liability!AT29/10^9</f>
        <v>4.0330196910126599</v>
      </c>
      <c r="Q287" s="386">
        <v>5.3</v>
      </c>
      <c r="R287" s="386">
        <f>Deposit[[#This Row],[Dec-25]]-Deposit[[#This Row],[Nov-25]]</f>
        <v>-0.64343447234958795</v>
      </c>
      <c r="S287" s="386">
        <f>Deposit[[#This Row],[Dec-25]]-Deposit[[#This Row],[Dec-25 Plan]]</f>
        <v>-1.2669803089873399</v>
      </c>
      <c r="T287" s="386">
        <f>Deposit[[#This Row],[Jan-25]]+Deposit[[#This Row],[Feb-25]]+Deposit[[#This Row],[Mar-25]]+Deposit[[#This Row],[Apr-25]]+Deposit[[#This Row],[May-25]]+Deposit[[#This Row],[Jun-25]]+Deposit[[#This Row],[Jul-25]]+Deposit[[#This Row],[Aug-25]]+Deposit[[#This Row],[Sep-25]]+Deposit[[#This Row],[Oct-25]]+Deposit[[#This Row],[Nov-25]]+Deposit[[#This Row],[Dec-25]]</f>
        <v>59.660252523571977</v>
      </c>
      <c r="U287" s="386">
        <v>63.7</v>
      </c>
      <c r="V287" s="386">
        <v>63.7</v>
      </c>
      <c r="W287" s="386">
        <f t="shared" si="259"/>
        <v>-4.0397474764280261</v>
      </c>
      <c r="X287" s="569">
        <f t="shared" si="290"/>
        <v>0.93658167226957578</v>
      </c>
      <c r="Y287" s="352"/>
      <c r="Z287" s="352"/>
      <c r="AC287" s="436"/>
      <c r="AD287" s="436"/>
      <c r="AE287" s="436"/>
      <c r="AF287" s="436"/>
      <c r="AG287" s="436"/>
      <c r="AH287" s="436"/>
      <c r="AI287" s="436"/>
      <c r="AJ287" s="436"/>
      <c r="AK287" s="436"/>
      <c r="AL287" s="436"/>
      <c r="AM287" s="436"/>
      <c r="AN287" s="436"/>
      <c r="AO287" s="436"/>
      <c r="AP287" s="436"/>
      <c r="AQ287" s="436"/>
      <c r="AR287" s="436"/>
      <c r="AS287" s="436"/>
      <c r="AT287" s="436"/>
      <c r="AU287" s="382">
        <v>4.7195434948017931</v>
      </c>
      <c r="AV287" s="382">
        <v>2.8125039412051231</v>
      </c>
      <c r="AW287" s="382">
        <v>2.1096697139239433</v>
      </c>
      <c r="AX287" s="382">
        <v>2.1350546753029027</v>
      </c>
      <c r="AY287" s="382">
        <v>-4.3022028371572105</v>
      </c>
      <c r="AZ287" s="382">
        <v>6.4372575124601132</v>
      </c>
      <c r="BA287" s="568">
        <v>-0.49627011001501131</v>
      </c>
    </row>
    <row r="288" spans="2:53" s="404" customFormat="1" ht="12" customHeight="1">
      <c r="B288" s="352" t="s">
        <v>309</v>
      </c>
      <c r="C288" s="435">
        <v>-1.9208640927703251</v>
      </c>
      <c r="D288" s="435">
        <v>-13.050052514302021</v>
      </c>
      <c r="E288" s="435">
        <f t="shared" ref="E288:Q288" si="297">E271+E272-E275-E285</f>
        <v>-2.7888127154822215</v>
      </c>
      <c r="F288" s="435">
        <f t="shared" si="297"/>
        <v>-1.4536639606253328</v>
      </c>
      <c r="G288" s="435">
        <f t="shared" si="297"/>
        <v>0.49665031299133489</v>
      </c>
      <c r="H288" s="435">
        <f t="shared" si="297"/>
        <v>0.42943168359855299</v>
      </c>
      <c r="I288" s="435">
        <f t="shared" si="297"/>
        <v>0.24791181495709758</v>
      </c>
      <c r="J288" s="435">
        <f t="shared" si="297"/>
        <v>2.0557344509554873</v>
      </c>
      <c r="K288" s="435">
        <f>K271+K272-K275-K285</f>
        <v>-1.4524415641439301</v>
      </c>
      <c r="L288" s="435">
        <f>L271+L272-L275-L285</f>
        <v>0.22361967971396801</v>
      </c>
      <c r="M288" s="435">
        <f t="shared" si="297"/>
        <v>0.96750995621203373</v>
      </c>
      <c r="N288" s="435">
        <f t="shared" si="297"/>
        <v>-3.217468031272551</v>
      </c>
      <c r="O288" s="435">
        <f t="shared" ref="O288" si="298">O271+O272-O275-O285</f>
        <v>1.90703955359667</v>
      </c>
      <c r="P288" s="435">
        <f t="shared" si="297"/>
        <v>4.7195434948017931</v>
      </c>
      <c r="Q288" s="435">
        <f t="shared" si="297"/>
        <v>2.6098737808778498</v>
      </c>
      <c r="R288" s="435">
        <f>Deposit[[#This Row],[Dec-25]]-Deposit[[#This Row],[Nov-25]]</f>
        <v>2.8125039412051231</v>
      </c>
      <c r="S288" s="435">
        <f>Deposit[[#This Row],[Dec-25]]-Deposit[[#This Row],[Dec-25 Plan]]</f>
        <v>2.1096697139239433</v>
      </c>
      <c r="T288" s="435">
        <f>Deposit[[#This Row],[Jan-25]]+Deposit[[#This Row],[Feb-25]]+Deposit[[#This Row],[Mar-25]]+Deposit[[#This Row],[Apr-25]]+Deposit[[#This Row],[May-25]]+Deposit[[#This Row],[Jun-25]]+Deposit[[#This Row],[Jul-25]]+Deposit[[#This Row],[Aug-25]]+Deposit[[#This Row],[Sep-25]]+Deposit[[#This Row],[Oct-25]]+Deposit[[#This Row],[Nov-25]]+Deposit[[#This Row],[Dec-25]]</f>
        <v>2.1350546753029027</v>
      </c>
      <c r="U288" s="435">
        <f>U271+U272-U275-U285</f>
        <v>-4.3022028371572105</v>
      </c>
      <c r="V288" s="435">
        <f>V271+V272-V275-V285</f>
        <v>-4.3022028371572105</v>
      </c>
      <c r="W288" s="382">
        <f t="shared" si="259"/>
        <v>6.4372575124601132</v>
      </c>
      <c r="X288" s="569">
        <f>T288/V288</f>
        <v>-0.49627011001501131</v>
      </c>
      <c r="Y288" s="352"/>
      <c r="Z288" s="352"/>
      <c r="AC288" s="436"/>
      <c r="AD288" s="436"/>
      <c r="AE288" s="436"/>
      <c r="AF288" s="436"/>
      <c r="AG288" s="436"/>
      <c r="AH288" s="436"/>
      <c r="AI288" s="436"/>
      <c r="AJ288" s="436"/>
      <c r="AK288" s="436"/>
      <c r="AL288" s="436"/>
      <c r="AM288" s="436"/>
      <c r="AN288" s="436"/>
      <c r="AO288" s="436"/>
      <c r="AP288" s="436"/>
      <c r="AQ288" s="436"/>
      <c r="AR288" s="436"/>
      <c r="AS288" s="436"/>
      <c r="AT288" s="436"/>
      <c r="AU288" s="439">
        <v>5.1026531995394545E-2</v>
      </c>
      <c r="AV288" s="439"/>
      <c r="AW288" s="439"/>
      <c r="AX288" s="439">
        <v>5.1126971627508552E-2</v>
      </c>
      <c r="AY288" s="439">
        <v>5.0574999999999988E-2</v>
      </c>
      <c r="AZ288" s="439">
        <v>5.5197162750856427E-4</v>
      </c>
      <c r="BA288" s="568">
        <v>1.0109139224420873</v>
      </c>
    </row>
    <row r="289" spans="2:53" s="404" customFormat="1" ht="12" customHeight="1">
      <c r="B289" s="409" t="s">
        <v>321</v>
      </c>
      <c r="C289" s="437">
        <v>5.1616021804684373E-2</v>
      </c>
      <c r="D289" s="437">
        <v>5.121847378296164E-2</v>
      </c>
      <c r="E289" s="437">
        <f>Liability!AI52</f>
        <v>5.201311904821488E-2</v>
      </c>
      <c r="F289" s="439">
        <f>Liability!AJ52</f>
        <v>5.0449977691729229E-2</v>
      </c>
      <c r="G289" s="439">
        <f>Liability!AK52</f>
        <v>5.0002151648871042E-2</v>
      </c>
      <c r="H289" s="439">
        <f>Liability!AL52</f>
        <v>4.8982363275580719E-2</v>
      </c>
      <c r="I289" s="439">
        <f>Liability!AM52</f>
        <v>4.8771188521527661E-2</v>
      </c>
      <c r="J289" s="439">
        <f>Liability!AN52</f>
        <v>4.666677012538166E-2</v>
      </c>
      <c r="K289" s="439">
        <f>Liability!AO52</f>
        <v>4.8788655359925027E-2</v>
      </c>
      <c r="L289" s="439">
        <f>Liability!AP52</f>
        <v>5.1554257590513741E-2</v>
      </c>
      <c r="M289" s="439">
        <f>Liability!AQ52</f>
        <v>5.0360727020760797E-2</v>
      </c>
      <c r="N289" s="439">
        <f>Liability!AR52</f>
        <v>5.0803435904814141E-2</v>
      </c>
      <c r="O289" s="439">
        <f>Liability!AS52</f>
        <v>5.1126971627508552E-2</v>
      </c>
      <c r="P289" s="439">
        <f>Liability!AT52</f>
        <v>5.1026531995394545E-2</v>
      </c>
      <c r="Q289" s="439">
        <v>5.0135593220338975E-2</v>
      </c>
      <c r="R289" s="384"/>
      <c r="S289" s="384"/>
      <c r="T289" s="439">
        <f>Deposit[[#This Row],[Nov-25]]</f>
        <v>5.1126971627508552E-2</v>
      </c>
      <c r="U289" s="439">
        <v>5.0574999999999988E-2</v>
      </c>
      <c r="V289" s="439">
        <v>5.0574999999999988E-2</v>
      </c>
      <c r="W289" s="439">
        <f t="shared" si="259"/>
        <v>5.5197162750856427E-4</v>
      </c>
      <c r="X289" s="569">
        <f t="shared" si="290"/>
        <v>1.0109139224420873</v>
      </c>
      <c r="Y289" s="352"/>
      <c r="Z289" s="352"/>
      <c r="AC289" s="436"/>
      <c r="AD289" s="436"/>
      <c r="AE289" s="436"/>
      <c r="AF289" s="436"/>
      <c r="AG289" s="436"/>
      <c r="AH289" s="436"/>
      <c r="AI289" s="436"/>
      <c r="AJ289" s="436"/>
      <c r="AK289" s="436"/>
      <c r="AL289" s="436"/>
      <c r="AM289" s="436"/>
      <c r="AN289" s="436"/>
      <c r="AO289" s="436"/>
      <c r="AP289" s="436"/>
      <c r="AQ289" s="436"/>
      <c r="AR289" s="436"/>
      <c r="AS289" s="436"/>
      <c r="AT289" s="436"/>
      <c r="AU289" s="439">
        <v>1.1054393989768138E-2</v>
      </c>
      <c r="AV289" s="439"/>
      <c r="AW289" s="439"/>
      <c r="AX289" s="439">
        <v>9.9108038840841021E-3</v>
      </c>
      <c r="AY289" s="439">
        <v>7.5027646987806292E-3</v>
      </c>
      <c r="AZ289" s="439">
        <v>2.4080391853034729E-3</v>
      </c>
      <c r="BA289" s="568">
        <v>1.3209535793778571</v>
      </c>
    </row>
    <row r="290" spans="2:53" s="404" customFormat="1" ht="12" customHeight="1">
      <c r="B290" s="409" t="s">
        <v>336</v>
      </c>
      <c r="C290" s="437">
        <v>6.464573673161225E-3</v>
      </c>
      <c r="D290" s="437">
        <v>4.2001276662247348E-3</v>
      </c>
      <c r="E290" s="437">
        <f>Liability!AI78</f>
        <v>4.6909592174317121E-3</v>
      </c>
      <c r="F290" s="439">
        <f>Liability!AJ78</f>
        <v>6.3097400170345971E-3</v>
      </c>
      <c r="G290" s="439">
        <f>Liability!AK78</f>
        <v>7.3331971007496383E-3</v>
      </c>
      <c r="H290" s="439">
        <f>Liability!AL78</f>
        <v>8.7115268123832031E-3</v>
      </c>
      <c r="I290" s="439">
        <f>Liability!AM78</f>
        <v>6.8138689133153789E-3</v>
      </c>
      <c r="J290" s="439">
        <f>Liability!AN78</f>
        <v>8.5795481106874551E-3</v>
      </c>
      <c r="K290" s="439">
        <f>Liability!AO78</f>
        <v>7.6418643679705134E-3</v>
      </c>
      <c r="L290" s="439">
        <f>Liability!AP78</f>
        <v>7.8110347728346701E-3</v>
      </c>
      <c r="M290" s="439">
        <f>Liability!AQ78</f>
        <v>8.6289509158631802E-3</v>
      </c>
      <c r="N290" s="439">
        <f>Liability!AR78</f>
        <v>9.4979951991228436E-3</v>
      </c>
      <c r="O290" s="439">
        <f>Liability!AS78</f>
        <v>9.9108038840841021E-3</v>
      </c>
      <c r="P290" s="439">
        <f>Liability!AT78</f>
        <v>1.1054393989768138E-2</v>
      </c>
      <c r="Q290" s="439">
        <v>7.5027646987806292E-3</v>
      </c>
      <c r="R290" s="439"/>
      <c r="S290" s="439"/>
      <c r="T290" s="439">
        <f>Deposit[[#This Row],[Nov-25]]</f>
        <v>9.9108038840841021E-3</v>
      </c>
      <c r="U290" s="439">
        <v>7.5027646987806292E-3</v>
      </c>
      <c r="V290" s="439">
        <v>7.5027646987806292E-3</v>
      </c>
      <c r="W290" s="439">
        <f t="shared" ref="W290" si="299">T290-U290</f>
        <v>2.4080391853034729E-3</v>
      </c>
      <c r="X290" s="569">
        <f t="shared" si="290"/>
        <v>1.3209535793778571</v>
      </c>
      <c r="Y290" s="352"/>
      <c r="Z290" s="352"/>
      <c r="AC290" s="436"/>
      <c r="AD290" s="436"/>
      <c r="AE290" s="436"/>
      <c r="AF290" s="436"/>
      <c r="AG290" s="436"/>
      <c r="AH290" s="436"/>
      <c r="AI290" s="436"/>
      <c r="AJ290" s="436"/>
      <c r="AK290" s="436"/>
      <c r="AL290" s="436"/>
      <c r="AM290" s="436"/>
      <c r="AN290" s="436"/>
      <c r="AO290" s="436"/>
      <c r="AP290" s="436"/>
      <c r="AQ290" s="436"/>
      <c r="AR290" s="436"/>
      <c r="AS290" s="436"/>
      <c r="AT290" s="436"/>
      <c r="AU290" s="436"/>
    </row>
    <row r="291" spans="2:53" s="404" customFormat="1" ht="15" customHeight="1">
      <c r="B291" s="409"/>
      <c r="C291" s="409"/>
      <c r="D291" s="409"/>
      <c r="E291" s="987"/>
      <c r="F291" s="987"/>
      <c r="G291" s="987"/>
      <c r="H291" s="987"/>
      <c r="I291" s="987"/>
      <c r="J291" s="987"/>
      <c r="K291" s="987"/>
      <c r="L291" s="987"/>
      <c r="M291" s="987"/>
      <c r="N291" s="987"/>
      <c r="O291" s="987"/>
      <c r="P291" s="987"/>
      <c r="Q291" s="987"/>
      <c r="R291" s="987"/>
      <c r="S291" s="987"/>
      <c r="T291" s="987"/>
      <c r="U291" s="987"/>
      <c r="V291" s="987"/>
      <c r="W291" s="987"/>
      <c r="X291" s="987"/>
      <c r="Y291" s="352"/>
      <c r="Z291" s="352"/>
    </row>
    <row r="292" spans="2:53" s="404" customFormat="1" ht="15" customHeight="1">
      <c r="E292" s="412"/>
      <c r="F292" s="412"/>
      <c r="G292" s="412"/>
      <c r="H292" s="412"/>
      <c r="I292" s="412"/>
      <c r="J292" s="412"/>
      <c r="K292" s="412"/>
      <c r="L292" s="412"/>
      <c r="M292" s="412"/>
      <c r="N292" s="412"/>
      <c r="O292" s="412"/>
      <c r="P292" s="412"/>
      <c r="Q292" s="412"/>
      <c r="R292" s="412"/>
      <c r="S292" s="412"/>
      <c r="T292" s="412"/>
      <c r="U292" s="412"/>
      <c r="V292" s="412"/>
      <c r="W292" s="412"/>
    </row>
    <row r="293" spans="2:53" s="404" customFormat="1" ht="28" customHeight="1">
      <c r="B293" s="785" t="s">
        <v>673</v>
      </c>
      <c r="C293" s="90" t="s">
        <v>613</v>
      </c>
      <c r="D293" s="90" t="s">
        <v>614</v>
      </c>
      <c r="E293" s="75" t="s">
        <v>645</v>
      </c>
      <c r="F293" s="75" t="s">
        <v>646</v>
      </c>
      <c r="G293" s="75">
        <v>45741</v>
      </c>
      <c r="H293" s="90">
        <v>45772</v>
      </c>
      <c r="I293" s="379">
        <v>45802</v>
      </c>
      <c r="J293" s="90">
        <v>45833</v>
      </c>
      <c r="K293" s="90">
        <v>45863</v>
      </c>
      <c r="L293" s="90">
        <v>45894</v>
      </c>
      <c r="M293" s="90">
        <v>45925</v>
      </c>
      <c r="N293" s="90">
        <v>45955</v>
      </c>
      <c r="O293" s="90">
        <v>45986</v>
      </c>
      <c r="P293" s="90">
        <v>46016</v>
      </c>
      <c r="Q293" s="90" t="s">
        <v>575</v>
      </c>
      <c r="R293" s="76" t="s">
        <v>172</v>
      </c>
      <c r="S293" s="76" t="s">
        <v>173</v>
      </c>
      <c r="T293" s="78" t="s">
        <v>76</v>
      </c>
      <c r="U293" s="78" t="s">
        <v>174</v>
      </c>
      <c r="V293" s="78" t="s">
        <v>175</v>
      </c>
      <c r="W293" s="79" t="s">
        <v>657</v>
      </c>
      <c r="X293" s="77" t="s">
        <v>576</v>
      </c>
    </row>
    <row r="294" spans="2:53" s="404" customFormat="1" ht="15" customHeight="1">
      <c r="B294" s="815" t="s">
        <v>339</v>
      </c>
      <c r="D294" s="436">
        <f>Liability!AG81/10^9</f>
        <v>-2.0552174999999999E-2</v>
      </c>
      <c r="E294" s="386">
        <f>Liability!AI81/10^9</f>
        <v>-0.20710543200000001</v>
      </c>
      <c r="F294" s="386">
        <f>Liability!AJ81/10^9</f>
        <v>-0.290774545</v>
      </c>
      <c r="G294" s="386">
        <f>Liability!AK81/10^9</f>
        <v>-0.17770902499999999</v>
      </c>
      <c r="H294" s="386">
        <f>Liability!AL81/10^9</f>
        <v>-0.37827312099999999</v>
      </c>
      <c r="I294" s="386">
        <f>Liability!AM81/10^9</f>
        <v>-0.36323288100000001</v>
      </c>
      <c r="J294" s="386">
        <f>Liability!AN81/10^9</f>
        <v>-0.39020913200000001</v>
      </c>
      <c r="K294" s="386">
        <f>Liability!AO81/10^9</f>
        <v>-0.43455025400000002</v>
      </c>
      <c r="L294" s="386">
        <f>Liability!AP81/10^9</f>
        <v>-0.48776761200000002</v>
      </c>
      <c r="M294" s="386">
        <f>Liability!AQ81/10^9</f>
        <v>-0.52001629299999996</v>
      </c>
      <c r="N294" s="386">
        <f>Liability!AR81/10^9</f>
        <v>-0.51398653100000002</v>
      </c>
      <c r="O294" s="386">
        <f>Liability!AS81/10^9</f>
        <v>-0.71125163300000005</v>
      </c>
      <c r="P294" s="386">
        <f>Liability!AT81/10^9</f>
        <v>0.10733021600000001</v>
      </c>
      <c r="Q294" s="386">
        <f>Q295-Q308</f>
        <v>1.0565290909090908</v>
      </c>
      <c r="R294" s="386">
        <f>N294-M294</f>
        <v>6.0297619999999386E-3</v>
      </c>
      <c r="S294" s="386">
        <f>N294-Q294</f>
        <v>-1.5705156219090908</v>
      </c>
      <c r="T294" s="386">
        <f>SUM(E294:P294)</f>
        <v>-4.3675462429999996</v>
      </c>
      <c r="U294" s="386">
        <f>U295-U308</f>
        <v>14.97</v>
      </c>
      <c r="V294" s="386">
        <f>V295-V308</f>
        <v>13.01</v>
      </c>
      <c r="W294" s="386">
        <f>T294-U294</f>
        <v>-19.337546242999998</v>
      </c>
      <c r="X294" s="569">
        <f t="shared" ref="X294:X321" si="300">T294/V294</f>
        <v>-0.33570685956956187</v>
      </c>
    </row>
    <row r="295" spans="2:53" s="404" customFormat="1" ht="15" customHeight="1">
      <c r="B295" s="815" t="s">
        <v>341</v>
      </c>
      <c r="D295" s="436">
        <f>Liability!AG82/10^9</f>
        <v>0.53337861399999997</v>
      </c>
      <c r="E295" s="386">
        <f>Liability!AI82/10^9</f>
        <v>0.42133998</v>
      </c>
      <c r="F295" s="386">
        <f>Liability!AJ82/10^9</f>
        <v>0.160396335</v>
      </c>
      <c r="G295" s="386">
        <f>Liability!AK82/10^9</f>
        <v>0.302179951</v>
      </c>
      <c r="H295" s="386">
        <f>Liability!AL82/10^9</f>
        <v>0.21823873499999999</v>
      </c>
      <c r="I295" s="386">
        <f>Liability!AM82/10^9</f>
        <v>0.29236867</v>
      </c>
      <c r="J295" s="386">
        <f>Liability!AN82/10^9</f>
        <v>0.29373160399999998</v>
      </c>
      <c r="K295" s="386">
        <f>Liability!AO82/10^9</f>
        <v>0.248926546</v>
      </c>
      <c r="L295" s="386">
        <f>Liability!AP82/10^9</f>
        <v>0.26847427600000001</v>
      </c>
      <c r="M295" s="386">
        <f>Liability!AQ82/10^9</f>
        <v>0.27068481100000003</v>
      </c>
      <c r="N295" s="386">
        <f>Liability!AR82/10^9</f>
        <v>0.28412734099999998</v>
      </c>
      <c r="O295" s="386">
        <f>Liability!AS82/10^9</f>
        <v>0.24567583900000001</v>
      </c>
      <c r="P295" s="386">
        <f>Liability!AT82/10^9</f>
        <v>0.285465476</v>
      </c>
      <c r="Q295" s="386">
        <f>Q296+Q297+Q298+Q299+Q301+Q304+Q307</f>
        <v>2.3865290909090908</v>
      </c>
      <c r="R295" s="386">
        <f t="shared" ref="R295:R321" si="301">N295-M295</f>
        <v>1.3442529999999953E-2</v>
      </c>
      <c r="S295" s="386">
        <f t="shared" ref="S295:S321" si="302">N295-Q295</f>
        <v>-2.1024017499090908</v>
      </c>
      <c r="T295" s="386">
        <f>SUM(E295:P295)</f>
        <v>3.2916095640000003</v>
      </c>
      <c r="U295" s="386">
        <f>SUM(U296:U301)+U304+U307</f>
        <v>28.19</v>
      </c>
      <c r="V295" s="386">
        <f>SUM(V296:V301)+V304+V307</f>
        <v>26.23</v>
      </c>
      <c r="W295" s="386">
        <f t="shared" ref="W295:W321" si="303">T295-U295</f>
        <v>-24.898390436</v>
      </c>
      <c r="X295" s="569">
        <f>T295/V295</f>
        <v>0.12549026168509342</v>
      </c>
    </row>
    <row r="296" spans="2:53" s="404" customFormat="1" ht="15" customHeight="1">
      <c r="B296" s="816" t="s">
        <v>343</v>
      </c>
      <c r="D296" s="436">
        <f>Liability!AG83/10^9</f>
        <v>1.2450829E-2</v>
      </c>
      <c r="E296" s="386">
        <f>Liability!AI83/10^9</f>
        <v>9.6204319999999999E-3</v>
      </c>
      <c r="F296" s="386">
        <f>Liability!AJ83/10^9</f>
        <v>1.2192592E-2</v>
      </c>
      <c r="G296" s="386">
        <f>Liability!AK83/10^9</f>
        <v>1.3700326000000001E-2</v>
      </c>
      <c r="H296" s="386">
        <f>Liability!AL83/10^9</f>
        <v>0</v>
      </c>
      <c r="I296" s="386">
        <f>Liability!AM83/10^9</f>
        <v>2.0341308999999998E-2</v>
      </c>
      <c r="J296" s="386">
        <f>Liability!AN83/10^9</f>
        <v>2.9331877999999999E-2</v>
      </c>
      <c r="K296" s="386">
        <f>Liability!AO83/10^9</f>
        <v>0</v>
      </c>
      <c r="L296" s="386">
        <f>Liability!AP83/10^9</f>
        <v>1.4921132E-2</v>
      </c>
      <c r="M296" s="386">
        <f>Liability!AQ83/10^9</f>
        <v>6.320455E-3</v>
      </c>
      <c r="N296" s="386">
        <f>Liability!AR83/10^9</f>
        <v>1.9210701E-2</v>
      </c>
      <c r="O296" s="386">
        <f>Liability!AS83/10^9</f>
        <v>2.0437086E-2</v>
      </c>
      <c r="P296" s="386">
        <f>Liability!AT83/10^9</f>
        <v>2.0370263999999999E-2</v>
      </c>
      <c r="Q296" s="386"/>
      <c r="R296" s="386">
        <f t="shared" si="301"/>
        <v>1.2890246000000001E-2</v>
      </c>
      <c r="S296" s="386">
        <f t="shared" si="302"/>
        <v>1.9210701E-2</v>
      </c>
      <c r="T296" s="386">
        <f t="shared" ref="T296:T320" si="304">SUM(E296:P296)</f>
        <v>0.166446175</v>
      </c>
      <c r="U296" s="386"/>
      <c r="V296" s="386"/>
      <c r="W296" s="386">
        <f t="shared" si="303"/>
        <v>0.166446175</v>
      </c>
      <c r="X296" s="569" t="e">
        <f t="shared" si="300"/>
        <v>#DIV/0!</v>
      </c>
    </row>
    <row r="297" spans="2:53" s="404" customFormat="1" ht="15" customHeight="1">
      <c r="B297" s="816" t="s">
        <v>345</v>
      </c>
      <c r="D297" s="436">
        <f>Liability!AG84/10^9</f>
        <v>4.8833673000000001E-2</v>
      </c>
      <c r="E297" s="386">
        <f>Liability!AI84/10^9</f>
        <v>5.2295821999999999E-2</v>
      </c>
      <c r="F297" s="386">
        <f>Liability!AJ84/10^9</f>
        <v>5.0487577999999998E-2</v>
      </c>
      <c r="G297" s="386">
        <f>Liability!AK84/10^9</f>
        <v>4.4293151000000003E-2</v>
      </c>
      <c r="H297" s="386">
        <f>Liability!AL84/10^9</f>
        <v>4.3798960999999997E-2</v>
      </c>
      <c r="I297" s="386">
        <f>Liability!AM84/10^9</f>
        <v>4.8940205000000001E-2</v>
      </c>
      <c r="J297" s="386">
        <f>Liability!AN84/10^9</f>
        <v>7.1607982000000001E-2</v>
      </c>
      <c r="K297" s="386">
        <f>Liability!AO84/10^9</f>
        <v>5.0937667999999998E-2</v>
      </c>
      <c r="L297" s="386">
        <f>Liability!AP84/10^9</f>
        <v>5.4885138E-2</v>
      </c>
      <c r="M297" s="386">
        <f>Liability!AQ84/10^9</f>
        <v>6.6700104999999996E-2</v>
      </c>
      <c r="N297" s="386">
        <f>Liability!AR84/10^9</f>
        <v>8.3065616999999994E-2</v>
      </c>
      <c r="O297" s="386">
        <f>Liability!AS84/10^9</f>
        <v>8.3684783999999998E-2</v>
      </c>
      <c r="P297" s="386">
        <f>Liability!AT84/10^9</f>
        <v>8.1749528000000002E-2</v>
      </c>
      <c r="Q297" s="386">
        <v>0.1</v>
      </c>
      <c r="R297" s="386">
        <f t="shared" si="301"/>
        <v>1.6365511999999999E-2</v>
      </c>
      <c r="S297" s="386">
        <f t="shared" si="302"/>
        <v>-1.6934383000000011E-2</v>
      </c>
      <c r="T297" s="386">
        <f t="shared" si="304"/>
        <v>0.73244653900000001</v>
      </c>
      <c r="U297" s="386">
        <v>0.91</v>
      </c>
      <c r="V297" s="386">
        <v>0.91</v>
      </c>
      <c r="W297" s="386">
        <f t="shared" si="303"/>
        <v>-0.17755346100000002</v>
      </c>
      <c r="X297" s="569">
        <f t="shared" si="300"/>
        <v>0.80488630659340654</v>
      </c>
    </row>
    <row r="298" spans="2:53" s="404" customFormat="1" ht="15" customHeight="1">
      <c r="B298" s="816" t="s">
        <v>346</v>
      </c>
      <c r="D298" s="436">
        <f>Liability!AG85/10^9</f>
        <v>0</v>
      </c>
      <c r="E298" s="386">
        <f>Liability!AI85/10^9</f>
        <v>0</v>
      </c>
      <c r="F298" s="386">
        <f>Liability!AJ85/10^9</f>
        <v>0</v>
      </c>
      <c r="G298" s="386">
        <f>Liability!AK85/10^9</f>
        <v>0</v>
      </c>
      <c r="H298" s="386">
        <f>Liability!AL85/10^9</f>
        <v>0</v>
      </c>
      <c r="I298" s="386">
        <f>Liability!AM85/10^9</f>
        <v>0</v>
      </c>
      <c r="J298" s="386">
        <f>Liability!AN85/10^9</f>
        <v>0</v>
      </c>
      <c r="K298" s="386"/>
      <c r="L298" s="386"/>
      <c r="M298" s="386"/>
      <c r="N298" s="386"/>
      <c r="O298" s="386"/>
      <c r="P298" s="386"/>
      <c r="Q298" s="386">
        <v>6.5290909090909097E-3</v>
      </c>
      <c r="R298" s="386">
        <f t="shared" si="301"/>
        <v>0</v>
      </c>
      <c r="S298" s="386">
        <f t="shared" si="302"/>
        <v>-6.5290909090909097E-3</v>
      </c>
      <c r="T298" s="386">
        <f t="shared" si="304"/>
        <v>0</v>
      </c>
      <c r="U298" s="386">
        <v>0.24</v>
      </c>
      <c r="V298" s="386">
        <v>0.24</v>
      </c>
      <c r="W298" s="386">
        <f t="shared" si="303"/>
        <v>-0.24</v>
      </c>
      <c r="X298" s="569">
        <f t="shared" si="300"/>
        <v>0</v>
      </c>
    </row>
    <row r="299" spans="2:53" s="404" customFormat="1" ht="15" customHeight="1">
      <c r="B299" s="816" t="s">
        <v>348</v>
      </c>
      <c r="D299" s="436">
        <f>Liability!AG86/10^9</f>
        <v>0</v>
      </c>
      <c r="E299" s="386">
        <f>Liability!AI86/10^9</f>
        <v>0</v>
      </c>
      <c r="F299" s="386">
        <f>Liability!AJ86/10^9</f>
        <v>0</v>
      </c>
      <c r="G299" s="386">
        <f>Liability!AK86/10^9</f>
        <v>0</v>
      </c>
      <c r="H299" s="386">
        <f>Liability!AL86/10^9</f>
        <v>0</v>
      </c>
      <c r="I299" s="386">
        <f>Liability!AM86/10^9</f>
        <v>0</v>
      </c>
      <c r="J299" s="386">
        <f>Liability!AN86/10^9</f>
        <v>0</v>
      </c>
      <c r="K299" s="386">
        <f>Liability!AO86/10^9</f>
        <v>0</v>
      </c>
      <c r="L299" s="386">
        <f>Liability!AP86/10^9</f>
        <v>0</v>
      </c>
      <c r="M299" s="386">
        <f>Liability!AQ86/10^9</f>
        <v>0</v>
      </c>
      <c r="N299" s="386">
        <f>Liability!AR86/10^9</f>
        <v>0</v>
      </c>
      <c r="O299" s="386">
        <f>Liability!AS86/10^9</f>
        <v>0</v>
      </c>
      <c r="P299" s="386">
        <f>Liability!AT86/10^9</f>
        <v>0</v>
      </c>
      <c r="Q299" s="386">
        <v>0.31</v>
      </c>
      <c r="R299" s="386">
        <f t="shared" si="301"/>
        <v>0</v>
      </c>
      <c r="S299" s="386">
        <f t="shared" si="302"/>
        <v>-0.31</v>
      </c>
      <c r="T299" s="386">
        <f t="shared" si="304"/>
        <v>0</v>
      </c>
      <c r="U299" s="386">
        <v>1.96</v>
      </c>
      <c r="V299" s="386">
        <v>1.96</v>
      </c>
      <c r="W299" s="386">
        <f t="shared" si="303"/>
        <v>-1.96</v>
      </c>
      <c r="X299" s="569">
        <f t="shared" si="300"/>
        <v>0</v>
      </c>
    </row>
    <row r="300" spans="2:53" s="404" customFormat="1" ht="15" customHeight="1">
      <c r="B300" s="816" t="s">
        <v>349</v>
      </c>
      <c r="D300" s="436"/>
      <c r="E300" s="386"/>
      <c r="F300" s="386"/>
      <c r="G300" s="386"/>
      <c r="H300" s="386"/>
      <c r="I300" s="386"/>
      <c r="J300" s="386"/>
      <c r="K300" s="386"/>
      <c r="L300" s="386">
        <f>Liability!AP87/10^9</f>
        <v>2.27073E-2</v>
      </c>
      <c r="M300" s="386">
        <f>Liability!AQ87/10^9</f>
        <v>2.7001799999999999E-2</v>
      </c>
      <c r="N300" s="386">
        <f>Liability!AR87/10^9</f>
        <v>3.0253800000000001E-2</v>
      </c>
      <c r="O300" s="386">
        <f>Liability!AS87/10^9</f>
        <v>2.9373300000000001E-2</v>
      </c>
      <c r="P300" s="386">
        <f>Liability!AT87/10^9</f>
        <v>2.96142E-2</v>
      </c>
      <c r="Q300" s="386"/>
      <c r="R300" s="386">
        <f t="shared" ref="R300" si="305">N300-M300</f>
        <v>3.2520000000000014E-3</v>
      </c>
      <c r="S300" s="386">
        <f t="shared" ref="S300" si="306">N300-Q300</f>
        <v>3.0253800000000001E-2</v>
      </c>
      <c r="T300" s="386">
        <f t="shared" ref="T300" si="307">SUM(E300:P300)</f>
        <v>0.1389504</v>
      </c>
      <c r="U300" s="386">
        <v>1.96</v>
      </c>
      <c r="V300" s="386"/>
      <c r="W300" s="386">
        <f t="shared" ref="W300" si="308">T300-U300</f>
        <v>-1.8210496</v>
      </c>
      <c r="X300" s="569" t="e">
        <f t="shared" ref="X300" si="309">T300/V300</f>
        <v>#DIV/0!</v>
      </c>
    </row>
    <row r="301" spans="2:53" s="404" customFormat="1" ht="15" customHeight="1">
      <c r="B301" s="816" t="s">
        <v>30</v>
      </c>
      <c r="D301" s="436">
        <f>Liability!AG88/10^9</f>
        <v>8.3485306999999995E-2</v>
      </c>
      <c r="E301" s="386">
        <f>Liability!AI88/10^9</f>
        <v>7.7716977000000007E-2</v>
      </c>
      <c r="F301" s="386">
        <f>Liability!AJ88/10^9</f>
        <v>6.7309472999999995E-2</v>
      </c>
      <c r="G301" s="386">
        <f>Liability!AK88/10^9</f>
        <v>7.6734209999999997E-2</v>
      </c>
      <c r="H301" s="386">
        <f>Liability!AL88/10^9</f>
        <v>7.4361944999999999E-2</v>
      </c>
      <c r="I301" s="386">
        <f>Liability!AM88/10^9</f>
        <v>7.1059506999999994E-2</v>
      </c>
      <c r="J301" s="386">
        <f>Liability!AN88/10^9</f>
        <v>7.6541703000000003E-2</v>
      </c>
      <c r="K301" s="386">
        <f>Liability!AO88/10^9</f>
        <v>8.0344690999999996E-2</v>
      </c>
      <c r="L301" s="386">
        <f>Liability!AP88/10^9</f>
        <v>8.4933690000000006E-2</v>
      </c>
      <c r="M301" s="386">
        <f>Liability!AQ88/10^9</f>
        <v>8.4635998000000004E-2</v>
      </c>
      <c r="N301" s="386">
        <f>Liability!AR88/10^9</f>
        <v>9.5216321000000007E-2</v>
      </c>
      <c r="O301" s="386">
        <f>Liability!AS88/10^9</f>
        <v>9.2067336E-2</v>
      </c>
      <c r="P301" s="386">
        <f>Liability!AT88/10^9</f>
        <v>0.112259391</v>
      </c>
      <c r="Q301" s="386">
        <f>Q302+Q303</f>
        <v>0.16</v>
      </c>
      <c r="R301" s="386">
        <f t="shared" si="301"/>
        <v>1.0580323000000003E-2</v>
      </c>
      <c r="S301" s="386">
        <f t="shared" si="302"/>
        <v>-6.4783678999999997E-2</v>
      </c>
      <c r="T301" s="386">
        <f t="shared" si="304"/>
        <v>0.99318124200000013</v>
      </c>
      <c r="U301" s="386">
        <f>U302+U303</f>
        <v>1.4000000000000001</v>
      </c>
      <c r="V301" s="386">
        <f>V302+V303</f>
        <v>1.4000000000000001</v>
      </c>
      <c r="W301" s="386">
        <f t="shared" si="303"/>
        <v>-0.406818758</v>
      </c>
      <c r="X301" s="569">
        <f t="shared" si="300"/>
        <v>0.70941517285714284</v>
      </c>
    </row>
    <row r="302" spans="2:53" s="404" customFormat="1" ht="15" customHeight="1">
      <c r="B302" s="817" t="s">
        <v>32</v>
      </c>
      <c r="D302" s="436">
        <f>Liability!AG89/10^9</f>
        <v>8.2087579727272736E-2</v>
      </c>
      <c r="E302" s="386">
        <f>Liability!AI89/10^9</f>
        <v>7.6338795181818186E-2</v>
      </c>
      <c r="F302" s="386">
        <f>Liability!AJ89/10^9</f>
        <v>6.5931291181818175E-2</v>
      </c>
      <c r="G302" s="386">
        <f>Liability!AK89/10^9</f>
        <v>7.4248119090909087E-2</v>
      </c>
      <c r="H302" s="386">
        <f>Liability!AL89/10^9</f>
        <v>7.1875854090909089E-2</v>
      </c>
      <c r="I302" s="386">
        <f>Liability!AM89/10^9</f>
        <v>6.98104160909091E-2</v>
      </c>
      <c r="J302" s="386">
        <f>Liability!AN89/10^9</f>
        <v>7.530579390909091E-2</v>
      </c>
      <c r="K302" s="386">
        <f>Liability!AO89/10^9</f>
        <v>7.9108781909090903E-2</v>
      </c>
      <c r="L302" s="386">
        <f>Liability!AP89/10^9</f>
        <v>8.3697780909090913E-2</v>
      </c>
      <c r="M302" s="386">
        <f>Liability!AQ89/10^9</f>
        <v>8.3400088909090911E-2</v>
      </c>
      <c r="N302" s="386">
        <f>Liability!AR89/10^9</f>
        <v>9.39804119090909E-2</v>
      </c>
      <c r="O302" s="386">
        <f>Liability!AS89/10^9</f>
        <v>9.0871426909090905E-2</v>
      </c>
      <c r="P302" s="386">
        <f>Liability!AT89/10^9</f>
        <v>0.11106348190909091</v>
      </c>
      <c r="Q302" s="386">
        <v>0.15</v>
      </c>
      <c r="R302" s="386">
        <f t="shared" si="301"/>
        <v>1.0580322999999989E-2</v>
      </c>
      <c r="S302" s="386">
        <f t="shared" si="302"/>
        <v>-5.6019588090909095E-2</v>
      </c>
      <c r="T302" s="386">
        <f t="shared" si="304"/>
        <v>0.97563224199999987</v>
      </c>
      <c r="U302" s="386">
        <v>1.3</v>
      </c>
      <c r="V302" s="386">
        <v>1.3</v>
      </c>
      <c r="W302" s="386">
        <f t="shared" si="303"/>
        <v>-0.32436775800000017</v>
      </c>
      <c r="X302" s="569">
        <f t="shared" si="300"/>
        <v>0.75048633999999992</v>
      </c>
    </row>
    <row r="303" spans="2:53" s="404" customFormat="1" ht="15" customHeight="1">
      <c r="B303" s="817" t="s">
        <v>31</v>
      </c>
      <c r="D303" s="436">
        <f>Liability!AG90/10^9</f>
        <v>1.3977272727272727E-3</v>
      </c>
      <c r="E303" s="386">
        <f>Liability!AI90/10^9</f>
        <v>1.3781818181818181E-3</v>
      </c>
      <c r="F303" s="386">
        <f>Liability!AJ90/10^9</f>
        <v>1.3781818181818181E-3</v>
      </c>
      <c r="G303" s="386">
        <f>Liability!AK90/10^9</f>
        <v>2.4860909090909087E-3</v>
      </c>
      <c r="H303" s="386">
        <f>Liability!AL90/10^9</f>
        <v>2.4860909090909087E-3</v>
      </c>
      <c r="I303" s="386">
        <f>Liability!AM90/10^9</f>
        <v>1.2490909090909089E-3</v>
      </c>
      <c r="J303" s="386">
        <f>Liability!AN90/10^9</f>
        <v>1.2359090909090909E-3</v>
      </c>
      <c r="K303" s="386">
        <f>Liability!AO90/10^9</f>
        <v>1.2359090909090909E-3</v>
      </c>
      <c r="L303" s="386">
        <f>Liability!AP90/10^9</f>
        <v>1.2359090909090909E-3</v>
      </c>
      <c r="M303" s="386">
        <f>Liability!AQ90/10^9</f>
        <v>1.2359090909090909E-3</v>
      </c>
      <c r="N303" s="386">
        <f>Liability!AR90/10^9</f>
        <v>1.2359090909090909E-3</v>
      </c>
      <c r="O303" s="386">
        <f>Liability!AS90/10^9</f>
        <v>1.1959090909090908E-3</v>
      </c>
      <c r="P303" s="386">
        <f>Liability!AT90/10^9</f>
        <v>1.1959090909090908E-3</v>
      </c>
      <c r="Q303" s="386">
        <v>0.01</v>
      </c>
      <c r="R303" s="386">
        <f t="shared" si="301"/>
        <v>0</v>
      </c>
      <c r="S303" s="386">
        <f t="shared" si="302"/>
        <v>-8.7640909090909089E-3</v>
      </c>
      <c r="T303" s="386">
        <f>SUM(E303:P303)</f>
        <v>1.7548999999999999E-2</v>
      </c>
      <c r="U303" s="386">
        <v>0.1</v>
      </c>
      <c r="V303" s="386">
        <v>0.1</v>
      </c>
      <c r="W303" s="386">
        <f t="shared" si="303"/>
        <v>-8.245100000000001E-2</v>
      </c>
      <c r="X303" s="569">
        <f t="shared" si="300"/>
        <v>0.17548999999999998</v>
      </c>
    </row>
    <row r="304" spans="2:53" s="404" customFormat="1" ht="15" customHeight="1">
      <c r="B304" s="818" t="s">
        <v>354</v>
      </c>
      <c r="D304" s="436">
        <f>Liability!AG91/10^9</f>
        <v>0</v>
      </c>
      <c r="E304" s="386">
        <f>Liability!AI91/10^9</f>
        <v>3.3657088000000002E-2</v>
      </c>
      <c r="F304" s="386">
        <f>Liability!AJ91/10^9</f>
        <v>3.0406691999999999E-2</v>
      </c>
      <c r="G304" s="386">
        <f>Liability!AK91/10^9</f>
        <v>3.2744378999999997E-2</v>
      </c>
      <c r="H304" s="386">
        <f>Liability!AL91/10^9</f>
        <v>3.1163898999999998E-2</v>
      </c>
      <c r="I304" s="386">
        <f>Liability!AM91/10^9</f>
        <v>3.4677614000000002E-2</v>
      </c>
      <c r="J304" s="386">
        <f>Liability!AN91/10^9</f>
        <v>3.3978280999999999E-2</v>
      </c>
      <c r="K304" s="386">
        <f>Liability!AO91/10^9</f>
        <v>3.6796055000000001E-2</v>
      </c>
      <c r="L304" s="386">
        <f>Liability!AP91/10^9</f>
        <v>3.0507784999999999E-2</v>
      </c>
      <c r="M304" s="386">
        <f>Liability!AQ91/10^9</f>
        <v>3.0507784999999999E-2</v>
      </c>
      <c r="N304" s="386">
        <f>Liability!AR91/10^9</f>
        <v>3.1377054000000001E-2</v>
      </c>
      <c r="O304" s="386">
        <f>Liability!AS91/10^9</f>
        <v>9.6193200000000006E-3</v>
      </c>
      <c r="P304" s="386">
        <f>Liability!AT91/10^9</f>
        <v>3.3127462000000003E-2</v>
      </c>
      <c r="Q304" s="386">
        <f>Q305+Q306</f>
        <v>0.06</v>
      </c>
      <c r="R304" s="386">
        <f t="shared" si="301"/>
        <v>8.6926900000000237E-4</v>
      </c>
      <c r="S304" s="386">
        <f t="shared" si="302"/>
        <v>-2.8622945999999996E-2</v>
      </c>
      <c r="T304" s="386">
        <f t="shared" si="304"/>
        <v>0.36856341399999998</v>
      </c>
      <c r="U304" s="386">
        <f>U305+U306</f>
        <v>0.72</v>
      </c>
      <c r="V304" s="386">
        <f>V305+V306</f>
        <v>0.72</v>
      </c>
      <c r="W304" s="386">
        <f t="shared" si="303"/>
        <v>-0.351436586</v>
      </c>
      <c r="X304" s="569">
        <f t="shared" si="300"/>
        <v>0.51189363055555559</v>
      </c>
    </row>
    <row r="305" spans="2:24" s="404" customFormat="1" ht="15" customHeight="1">
      <c r="B305" s="816" t="s">
        <v>356</v>
      </c>
      <c r="D305" s="436">
        <f>Liability!AG92/10^9</f>
        <v>3.5246294999999997E-2</v>
      </c>
      <c r="E305" s="386">
        <f>Liability!AI92/10^9</f>
        <v>3.3657088000000002E-2</v>
      </c>
      <c r="F305" s="386">
        <f>Liability!AJ92/10^9</f>
        <v>3.0406691999999999E-2</v>
      </c>
      <c r="G305" s="386">
        <f>Liability!AK92/10^9</f>
        <v>3.2744378999999997E-2</v>
      </c>
      <c r="H305" s="386">
        <f>Liability!AL92/10^9</f>
        <v>3.1163898999999998E-2</v>
      </c>
      <c r="I305" s="386">
        <f>Liability!AM92/10^9</f>
        <v>3.4677614000000002E-2</v>
      </c>
      <c r="J305" s="386">
        <f>Liability!AN92/10^9</f>
        <v>3.3978280999999999E-2</v>
      </c>
      <c r="K305" s="386">
        <f>Liability!AO92/10^9</f>
        <v>3.6796055000000001E-2</v>
      </c>
      <c r="L305" s="386">
        <f>Liability!AP92/10^9</f>
        <v>3.0507784999999999E-2</v>
      </c>
      <c r="M305" s="386">
        <f>Liability!AQ92/10^9</f>
        <v>3.0507784999999999E-2</v>
      </c>
      <c r="N305" s="386">
        <f>Liability!AR92/10^9</f>
        <v>3.1377054000000001E-2</v>
      </c>
      <c r="O305" s="386">
        <f>Liability!AS92/10^9</f>
        <v>9.6193200000000006E-3</v>
      </c>
      <c r="P305" s="386">
        <f>Liability!AT92/10^9</f>
        <v>3.3127462000000003E-2</v>
      </c>
      <c r="Q305" s="386">
        <v>0.03</v>
      </c>
      <c r="R305" s="386">
        <f t="shared" si="301"/>
        <v>8.6926900000000237E-4</v>
      </c>
      <c r="S305" s="386">
        <f t="shared" si="302"/>
        <v>1.3770540000000026E-3</v>
      </c>
      <c r="T305" s="386">
        <f t="shared" si="304"/>
        <v>0.36856341399999998</v>
      </c>
      <c r="U305" s="386">
        <v>0.33</v>
      </c>
      <c r="V305" s="386">
        <v>0.33</v>
      </c>
      <c r="W305" s="386">
        <f t="shared" si="303"/>
        <v>3.8563413999999963E-2</v>
      </c>
      <c r="X305" s="569">
        <f t="shared" si="300"/>
        <v>1.1168588303030302</v>
      </c>
    </row>
    <row r="306" spans="2:24" s="404" customFormat="1" ht="15" customHeight="1">
      <c r="B306" s="816" t="s">
        <v>358</v>
      </c>
      <c r="D306" s="436">
        <f>Liability!AG93/10^9</f>
        <v>0</v>
      </c>
      <c r="E306" s="386">
        <f>Liability!AI93/10^9</f>
        <v>0</v>
      </c>
      <c r="F306" s="386">
        <f>Liability!AJ93/10^9</f>
        <v>0</v>
      </c>
      <c r="G306" s="386">
        <f>Liability!AK93/10^9</f>
        <v>0</v>
      </c>
      <c r="H306" s="386">
        <f>Liability!AL93/10^9</f>
        <v>0</v>
      </c>
      <c r="I306" s="386">
        <f>Liability!AM93/10^9</f>
        <v>0</v>
      </c>
      <c r="J306" s="386">
        <f>Liability!AN93/10^9</f>
        <v>0</v>
      </c>
      <c r="K306" s="386">
        <f>Liability!AO93/10^9</f>
        <v>0</v>
      </c>
      <c r="L306" s="386">
        <f>Liability!AP93/10^9</f>
        <v>0</v>
      </c>
      <c r="M306" s="386">
        <f>Liability!AQ93/10^9</f>
        <v>0</v>
      </c>
      <c r="N306" s="386">
        <f>Liability!AR93/10^9</f>
        <v>0</v>
      </c>
      <c r="O306" s="386">
        <f>Liability!AS93/10^9</f>
        <v>0</v>
      </c>
      <c r="P306" s="386">
        <f>Liability!AT93/10^9</f>
        <v>0</v>
      </c>
      <c r="Q306" s="386">
        <v>0.03</v>
      </c>
      <c r="R306" s="386">
        <f t="shared" si="301"/>
        <v>0</v>
      </c>
      <c r="S306" s="386">
        <f t="shared" si="302"/>
        <v>-0.03</v>
      </c>
      <c r="T306" s="386">
        <f t="shared" si="304"/>
        <v>0</v>
      </c>
      <c r="U306" s="386">
        <v>0.39</v>
      </c>
      <c r="V306" s="386">
        <v>0.39</v>
      </c>
      <c r="W306" s="386">
        <f t="shared" si="303"/>
        <v>-0.39</v>
      </c>
      <c r="X306" s="569">
        <f t="shared" si="300"/>
        <v>0</v>
      </c>
    </row>
    <row r="307" spans="2:24" s="404" customFormat="1" ht="15" customHeight="1">
      <c r="B307" s="818" t="s">
        <v>360</v>
      </c>
      <c r="D307" s="436">
        <f>Liability!AG94/10^9</f>
        <v>0.388608805</v>
      </c>
      <c r="E307" s="386">
        <f>Liability!AI94/10^9</f>
        <v>0.248049661</v>
      </c>
      <c r="F307" s="386">
        <f>Liability!AJ94/10^9</f>
        <v>0</v>
      </c>
      <c r="G307" s="386">
        <f>Liability!AK94/10^9</f>
        <v>0.134707885</v>
      </c>
      <c r="H307" s="386">
        <f>Liability!AL94/10^9</f>
        <v>6.8913929999999998E-2</v>
      </c>
      <c r="I307" s="386">
        <f>Liability!AM94/10^9</f>
        <v>0.11735003500000001</v>
      </c>
      <c r="J307" s="386">
        <f>Liability!AN94/10^9</f>
        <v>8.2271759999999999E-2</v>
      </c>
      <c r="K307" s="386">
        <f>Liability!AO94/10^9</f>
        <v>8.0848132000000003E-2</v>
      </c>
      <c r="L307" s="386">
        <f>Liability!AP94/10^9</f>
        <v>6.0519231E-2</v>
      </c>
      <c r="M307" s="386">
        <f>Liability!AQ94/10^9</f>
        <v>5.5518668E-2</v>
      </c>
      <c r="N307" s="386">
        <f>Liability!AR94/10^9</f>
        <v>5.5257647999999999E-2</v>
      </c>
      <c r="O307" s="386">
        <f>Liability!AS94/10^9</f>
        <v>3.9867313000000001E-2</v>
      </c>
      <c r="P307" s="386">
        <f>Liability!AT94/10^9</f>
        <v>3.7958830999999998E-2</v>
      </c>
      <c r="Q307" s="386">
        <v>1.75</v>
      </c>
      <c r="R307" s="386">
        <f t="shared" si="301"/>
        <v>-2.610200000000007E-4</v>
      </c>
      <c r="S307" s="386">
        <f t="shared" si="302"/>
        <v>-1.694742352</v>
      </c>
      <c r="T307" s="386">
        <f t="shared" si="304"/>
        <v>0.981263094</v>
      </c>
      <c r="U307" s="386">
        <v>21</v>
      </c>
      <c r="V307" s="386">
        <v>21</v>
      </c>
      <c r="W307" s="386">
        <f t="shared" si="303"/>
        <v>-20.018736906000001</v>
      </c>
      <c r="X307" s="569">
        <f t="shared" si="300"/>
        <v>4.6726813999999998E-2</v>
      </c>
    </row>
    <row r="308" spans="2:24" s="404" customFormat="1" ht="15" customHeight="1">
      <c r="B308" s="815" t="s">
        <v>363</v>
      </c>
      <c r="D308" s="436">
        <f>Liability!AG96/10^9</f>
        <v>0.55393078900000003</v>
      </c>
      <c r="E308" s="386">
        <f>Liability!AI96/10^9</f>
        <v>0.62844541200000004</v>
      </c>
      <c r="F308" s="386">
        <f>Liability!AJ96/10^9</f>
        <v>0.45117088</v>
      </c>
      <c r="G308" s="386">
        <f>Liability!AK96/10^9</f>
        <v>0.47988897600000002</v>
      </c>
      <c r="H308" s="386">
        <f>Liability!AL96/10^9</f>
        <v>0.59651185600000001</v>
      </c>
      <c r="I308" s="386">
        <f>Liability!AM96/10^9</f>
        <v>0.65560155099999995</v>
      </c>
      <c r="J308" s="386">
        <f>Liability!AN96/10^9</f>
        <v>0.68394073600000005</v>
      </c>
      <c r="K308" s="386">
        <f>Liability!AO96/10^9</f>
        <v>0.6834768</v>
      </c>
      <c r="L308" s="386">
        <f>Liability!AP96/10^9</f>
        <v>0.75624188800000003</v>
      </c>
      <c r="M308" s="386">
        <f>Liability!AQ96/10^9</f>
        <v>0.79070110400000004</v>
      </c>
      <c r="N308" s="386">
        <f>Liability!AR96/10^9</f>
        <v>0.79811387199999995</v>
      </c>
      <c r="O308" s="386">
        <f>Liability!AS96/10^9</f>
        <v>0.95692747199999995</v>
      </c>
      <c r="P308" s="386">
        <f>Liability!AT96/10^9</f>
        <v>0.17813525999999999</v>
      </c>
      <c r="Q308" s="386">
        <f>Q309+Q310+Q311+Q312+Q313</f>
        <v>1.33</v>
      </c>
      <c r="R308" s="386">
        <f t="shared" si="301"/>
        <v>7.412767999999903E-3</v>
      </c>
      <c r="S308" s="386">
        <f t="shared" si="302"/>
        <v>-0.53188612800000012</v>
      </c>
      <c r="T308" s="386">
        <f>SUM(E308:P308)</f>
        <v>7.6591558070000012</v>
      </c>
      <c r="U308" s="386">
        <f>U309+U310+U311+U312+U313</f>
        <v>13.22</v>
      </c>
      <c r="V308" s="386">
        <f>V309+V310+V311+V312+V313</f>
        <v>13.22</v>
      </c>
      <c r="W308" s="386">
        <f t="shared" si="303"/>
        <v>-5.5608441929999994</v>
      </c>
      <c r="X308" s="569">
        <f t="shared" si="300"/>
        <v>0.57936125620272316</v>
      </c>
    </row>
    <row r="309" spans="2:24" s="404" customFormat="1" ht="15" customHeight="1">
      <c r="B309" s="819" t="s">
        <v>365</v>
      </c>
      <c r="D309" s="436">
        <f>Liability!AG97/10^9</f>
        <v>0.50393078899999999</v>
      </c>
      <c r="E309" s="386">
        <f>Liability!AI97/10^9</f>
        <v>0.57844541199999999</v>
      </c>
      <c r="F309" s="386">
        <f>Liability!AJ97/10^9</f>
        <v>0.40117088000000001</v>
      </c>
      <c r="G309" s="386">
        <f>Liability!AK97/10^9</f>
        <v>0.42988897599999998</v>
      </c>
      <c r="H309" s="386">
        <f>Liability!AL97/10^9</f>
        <v>0.54651185599999996</v>
      </c>
      <c r="I309" s="386">
        <f>Liability!AM97/10^9</f>
        <v>0.60560155100000002</v>
      </c>
      <c r="J309" s="386">
        <f>Liability!AN97/10^9</f>
        <v>0.633940736</v>
      </c>
      <c r="K309" s="386">
        <f>Liability!AO97/10^9</f>
        <v>0.63347679999999995</v>
      </c>
      <c r="L309" s="386">
        <f>Liability!AP97/10^9</f>
        <v>0.70624188799999998</v>
      </c>
      <c r="M309" s="386">
        <f>Liability!AQ97/10^9</f>
        <v>0.740701104</v>
      </c>
      <c r="N309" s="386">
        <f>Liability!AR97/10^9</f>
        <v>0.74811387200000001</v>
      </c>
      <c r="O309" s="386">
        <f>Liability!AS97/10^9</f>
        <v>0.90692747200000001</v>
      </c>
      <c r="P309" s="386">
        <f>Liability!AT97/10^9</f>
        <v>0.12813526</v>
      </c>
      <c r="Q309" s="386">
        <v>1.27</v>
      </c>
      <c r="R309" s="386">
        <f t="shared" si="301"/>
        <v>7.412768000000014E-3</v>
      </c>
      <c r="S309" s="386">
        <f t="shared" si="302"/>
        <v>-0.521886128</v>
      </c>
      <c r="T309" s="386">
        <f t="shared" si="304"/>
        <v>7.0591558070000007</v>
      </c>
      <c r="U309" s="386">
        <v>12.5</v>
      </c>
      <c r="V309" s="386">
        <v>12.5</v>
      </c>
      <c r="W309" s="386">
        <f t="shared" si="303"/>
        <v>-5.4408441929999993</v>
      </c>
      <c r="X309" s="569">
        <f t="shared" si="300"/>
        <v>0.56473246456000004</v>
      </c>
    </row>
    <row r="310" spans="2:24" s="404" customFormat="1" ht="15" hidden="1" customHeight="1">
      <c r="B310" s="819" t="s">
        <v>367</v>
      </c>
      <c r="D310" s="436">
        <f>Liability!AG98/10^9</f>
        <v>0</v>
      </c>
      <c r="E310" s="386">
        <f>Liability!AI98/10^9</f>
        <v>0</v>
      </c>
      <c r="F310" s="386">
        <f>Liability!AJ98/10^9</f>
        <v>0</v>
      </c>
      <c r="G310" s="386">
        <f>Liability!AK98/10^9</f>
        <v>0</v>
      </c>
      <c r="H310" s="386">
        <f>Liability!AL98/10^9</f>
        <v>0</v>
      </c>
      <c r="I310" s="386">
        <f>Liability!AM98/10^9</f>
        <v>0</v>
      </c>
      <c r="J310" s="386">
        <f>Liability!AN98/10^9</f>
        <v>0</v>
      </c>
      <c r="K310" s="386">
        <f>Liability!AO98/10^9</f>
        <v>0</v>
      </c>
      <c r="L310" s="386">
        <f>Liability!AP98/10^9</f>
        <v>0</v>
      </c>
      <c r="M310" s="386">
        <f>Liability!AQ98/10^9</f>
        <v>0</v>
      </c>
      <c r="N310" s="386">
        <f>Liability!AR98/10^9</f>
        <v>0</v>
      </c>
      <c r="O310" s="386">
        <f>Liability!AS98/10^9</f>
        <v>0</v>
      </c>
      <c r="P310" s="386">
        <f>Liability!AT98/10^9</f>
        <v>0</v>
      </c>
      <c r="Q310" s="386"/>
      <c r="R310" s="386">
        <f t="shared" si="301"/>
        <v>0</v>
      </c>
      <c r="S310" s="386">
        <f t="shared" si="302"/>
        <v>0</v>
      </c>
      <c r="T310" s="386">
        <f t="shared" si="304"/>
        <v>0</v>
      </c>
      <c r="U310" s="386"/>
      <c r="V310" s="386"/>
      <c r="W310" s="386">
        <f t="shared" si="303"/>
        <v>0</v>
      </c>
      <c r="X310" s="569" t="e">
        <f t="shared" si="300"/>
        <v>#DIV/0!</v>
      </c>
    </row>
    <row r="311" spans="2:24" s="404" customFormat="1" ht="15" customHeight="1">
      <c r="B311" s="819" t="s">
        <v>369</v>
      </c>
      <c r="D311" s="436">
        <f>Liability!AG99/10^9</f>
        <v>0.05</v>
      </c>
      <c r="E311" s="386">
        <f>Liability!AI99/10^9</f>
        <v>0.05</v>
      </c>
      <c r="F311" s="386">
        <f>Liability!AJ99/10^9</f>
        <v>0.05</v>
      </c>
      <c r="G311" s="386">
        <f>Liability!AK99/10^9</f>
        <v>0.05</v>
      </c>
      <c r="H311" s="386">
        <f>Liability!AL99/10^9</f>
        <v>0.05</v>
      </c>
      <c r="I311" s="386">
        <f>Liability!AM99/10^9</f>
        <v>0.05</v>
      </c>
      <c r="J311" s="386">
        <f>Liability!AN99/10^9</f>
        <v>0.05</v>
      </c>
      <c r="K311" s="386">
        <f>Liability!AO99/10^9</f>
        <v>0.05</v>
      </c>
      <c r="L311" s="386">
        <f>Liability!AP99/10^9</f>
        <v>0.05</v>
      </c>
      <c r="M311" s="386">
        <f>Liability!AQ99/10^9</f>
        <v>0.05</v>
      </c>
      <c r="N311" s="386">
        <f>Liability!AR99/10^9</f>
        <v>0.05</v>
      </c>
      <c r="O311" s="386">
        <f>Liability!AS99/10^9</f>
        <v>0.05</v>
      </c>
      <c r="P311" s="386">
        <f>Liability!AT99/10^9</f>
        <v>0.05</v>
      </c>
      <c r="Q311" s="386">
        <v>0.06</v>
      </c>
      <c r="R311" s="386">
        <f t="shared" si="301"/>
        <v>0</v>
      </c>
      <c r="S311" s="386">
        <f t="shared" si="302"/>
        <v>-9.999999999999995E-3</v>
      </c>
      <c r="T311" s="386">
        <f t="shared" si="304"/>
        <v>0.6</v>
      </c>
      <c r="U311" s="386">
        <v>0.72</v>
      </c>
      <c r="V311" s="386">
        <v>0.72</v>
      </c>
      <c r="W311" s="386">
        <f t="shared" si="303"/>
        <v>-0.12</v>
      </c>
      <c r="X311" s="569">
        <f t="shared" si="300"/>
        <v>0.83333333333333337</v>
      </c>
    </row>
    <row r="312" spans="2:24" s="404" customFormat="1" ht="15" hidden="1" customHeight="1">
      <c r="B312" s="819" t="s">
        <v>371</v>
      </c>
      <c r="D312" s="436">
        <f>Liability!AG100/10^9</f>
        <v>0</v>
      </c>
      <c r="E312" s="386">
        <f>Liability!AI100/10^9</f>
        <v>0</v>
      </c>
      <c r="F312" s="386">
        <f>Liability!AJ100/10^9</f>
        <v>0</v>
      </c>
      <c r="G312" s="386">
        <f>Liability!AK100/10^9</f>
        <v>0</v>
      </c>
      <c r="H312" s="386">
        <f>Liability!AL100/10^9</f>
        <v>0</v>
      </c>
      <c r="I312" s="386">
        <f>Liability!AM100/10^9</f>
        <v>0</v>
      </c>
      <c r="J312" s="386">
        <f>Liability!AN100/10^9</f>
        <v>0</v>
      </c>
      <c r="K312" s="386">
        <f>Liability!AO100/10^9</f>
        <v>0</v>
      </c>
      <c r="L312" s="386">
        <f>Liability!AP100/10^9</f>
        <v>0</v>
      </c>
      <c r="M312" s="386">
        <f>Liability!AQ100/10^9</f>
        <v>0</v>
      </c>
      <c r="N312" s="386">
        <f>Liability!AR100/10^9</f>
        <v>0</v>
      </c>
      <c r="O312" s="386">
        <f>Liability!AS100/10^9</f>
        <v>0</v>
      </c>
      <c r="P312" s="386">
        <f>Liability!AT100/10^9</f>
        <v>0</v>
      </c>
      <c r="Q312" s="386"/>
      <c r="R312" s="386">
        <f t="shared" si="301"/>
        <v>0</v>
      </c>
      <c r="S312" s="386">
        <f t="shared" si="302"/>
        <v>0</v>
      </c>
      <c r="T312" s="386">
        <f t="shared" si="304"/>
        <v>0</v>
      </c>
      <c r="U312" s="386"/>
      <c r="V312" s="386"/>
      <c r="W312" s="386">
        <f t="shared" si="303"/>
        <v>0</v>
      </c>
      <c r="X312" s="569" t="e">
        <f t="shared" si="300"/>
        <v>#DIV/0!</v>
      </c>
    </row>
    <row r="313" spans="2:24" s="404" customFormat="1" ht="15" hidden="1" customHeight="1">
      <c r="B313" s="819" t="s">
        <v>373</v>
      </c>
      <c r="D313" s="436">
        <f>Liability!AG101/10^9</f>
        <v>0</v>
      </c>
      <c r="E313" s="386">
        <f>Liability!AI101/10^9</f>
        <v>0</v>
      </c>
      <c r="F313" s="386">
        <f>Liability!AJ101/10^9</f>
        <v>0</v>
      </c>
      <c r="G313" s="386">
        <f>Liability!AK101/10^9</f>
        <v>0</v>
      </c>
      <c r="H313" s="386">
        <f>Liability!AL101/10^9</f>
        <v>0</v>
      </c>
      <c r="I313" s="386">
        <f>Liability!AM101/10^9</f>
        <v>0</v>
      </c>
      <c r="J313" s="386">
        <f>Liability!AN101/10^9</f>
        <v>0</v>
      </c>
      <c r="K313" s="386">
        <f>Liability!AO101/10^9</f>
        <v>0</v>
      </c>
      <c r="L313" s="386">
        <f>Liability!AP101/10^9</f>
        <v>0</v>
      </c>
      <c r="M313" s="386">
        <f>Liability!AQ101/10^9</f>
        <v>0</v>
      </c>
      <c r="N313" s="386">
        <f>Liability!AR101/10^9</f>
        <v>0</v>
      </c>
      <c r="O313" s="386">
        <f>Liability!AS101/10^9</f>
        <v>0</v>
      </c>
      <c r="P313" s="386">
        <f>Liability!AT101/10^9</f>
        <v>0</v>
      </c>
      <c r="Q313" s="386"/>
      <c r="R313" s="386">
        <f t="shared" si="301"/>
        <v>0</v>
      </c>
      <c r="S313" s="386">
        <f t="shared" si="302"/>
        <v>0</v>
      </c>
      <c r="T313" s="386">
        <f t="shared" si="304"/>
        <v>0</v>
      </c>
      <c r="U313" s="386"/>
      <c r="V313" s="386"/>
      <c r="W313" s="386">
        <f t="shared" si="303"/>
        <v>0</v>
      </c>
      <c r="X313" s="569" t="e">
        <f t="shared" si="300"/>
        <v>#DIV/0!</v>
      </c>
    </row>
    <row r="314" spans="2:24" s="404" customFormat="1" ht="15" customHeight="1">
      <c r="B314" s="820" t="s">
        <v>674</v>
      </c>
      <c r="D314" s="436">
        <f>Liability!AG102/10^9</f>
        <v>1.0860270999999999E-2</v>
      </c>
      <c r="E314" s="386">
        <f>Liability!AI102/10^9</f>
        <v>1.1162109999999999E-2</v>
      </c>
      <c r="F314" s="386">
        <f>Liability!AJ102/10^9</f>
        <v>1.0820306999999999E-2</v>
      </c>
      <c r="G314" s="386">
        <f>Liability!AK102/10^9</f>
        <v>1.4398672E-2</v>
      </c>
      <c r="H314" s="386">
        <f>Liability!AL102/10^9</f>
        <v>1.5358014999999999E-2</v>
      </c>
      <c r="I314" s="386">
        <f>Liability!AM102/10^9</f>
        <v>1.8307242000000001E-2</v>
      </c>
      <c r="J314" s="386">
        <f>Liability!AN102/10^9</f>
        <v>2.2065279E-2</v>
      </c>
      <c r="K314" s="386">
        <f>Liability!AO102/10^9</f>
        <v>1.9228836999999999E-2</v>
      </c>
      <c r="L314" s="386">
        <f>Liability!AP102/10^9</f>
        <v>2.0646672000000001E-2</v>
      </c>
      <c r="M314" s="386">
        <f>Liability!AQ102/10^9</f>
        <v>2.2914635999999999E-2</v>
      </c>
      <c r="N314" s="386">
        <f>Liability!AR102/10^9</f>
        <v>2.7291527999999999E-2</v>
      </c>
      <c r="O314" s="386">
        <f>Liability!AS102/10^9</f>
        <v>3.1263991999999997E-2</v>
      </c>
      <c r="P314" s="386">
        <f>Liability!AT102/10^9</f>
        <v>4.1213006000000003E-2</v>
      </c>
      <c r="Q314" s="386"/>
      <c r="R314" s="386">
        <f t="shared" si="301"/>
        <v>4.3768920000000003E-3</v>
      </c>
      <c r="S314" s="386">
        <f t="shared" si="302"/>
        <v>2.7291527999999999E-2</v>
      </c>
      <c r="T314" s="386">
        <f t="shared" si="304"/>
        <v>0.25467029600000002</v>
      </c>
      <c r="U314" s="386">
        <f>SUM(F314:Q314)</f>
        <v>0.24350818599999999</v>
      </c>
      <c r="V314" s="386"/>
      <c r="W314" s="386">
        <f t="shared" si="303"/>
        <v>1.1162110000000031E-2</v>
      </c>
      <c r="X314" s="569" t="e">
        <f t="shared" si="300"/>
        <v>#DIV/0!</v>
      </c>
    </row>
    <row r="315" spans="2:24" s="404" customFormat="1" ht="15" hidden="1" customHeight="1">
      <c r="B315" s="821" t="s">
        <v>668</v>
      </c>
      <c r="D315" s="436">
        <f>Liability!AG103/10^9</f>
        <v>0</v>
      </c>
      <c r="E315" s="386">
        <f>Liability!AI103/10^9</f>
        <v>0</v>
      </c>
      <c r="F315" s="386">
        <f>Liability!AJ103/10^9</f>
        <v>0</v>
      </c>
      <c r="G315" s="386">
        <f>Liability!AK103/10^9</f>
        <v>0</v>
      </c>
      <c r="H315" s="386">
        <f>Liability!AL103/10^9</f>
        <v>0</v>
      </c>
      <c r="I315" s="386">
        <f>Liability!AM103/10^9</f>
        <v>0</v>
      </c>
      <c r="J315" s="386">
        <f>Liability!AN103/10^9</f>
        <v>0</v>
      </c>
      <c r="K315" s="386">
        <f>Liability!AO103/10^9</f>
        <v>0</v>
      </c>
      <c r="L315" s="386">
        <f>Liability!AP103/10^9</f>
        <v>0</v>
      </c>
      <c r="M315" s="386">
        <f>Liability!AQ103/10^9</f>
        <v>0</v>
      </c>
      <c r="N315" s="386">
        <f>Liability!AR103/10^9</f>
        <v>0</v>
      </c>
      <c r="O315" s="386">
        <f>Liability!AS103/10^9</f>
        <v>0</v>
      </c>
      <c r="P315" s="386">
        <f>Liability!AT103/10^9</f>
        <v>0</v>
      </c>
      <c r="Q315" s="386"/>
      <c r="R315" s="386">
        <f t="shared" si="301"/>
        <v>0</v>
      </c>
      <c r="S315" s="386">
        <f t="shared" si="302"/>
        <v>0</v>
      </c>
      <c r="T315" s="386">
        <f t="shared" si="304"/>
        <v>0</v>
      </c>
      <c r="U315" s="386"/>
      <c r="V315" s="386"/>
      <c r="W315" s="386">
        <f t="shared" si="303"/>
        <v>0</v>
      </c>
      <c r="X315" s="569" t="e">
        <f t="shared" si="300"/>
        <v>#DIV/0!</v>
      </c>
    </row>
    <row r="316" spans="2:24" s="404" customFormat="1" ht="15" hidden="1" customHeight="1">
      <c r="B316" s="821" t="s">
        <v>319</v>
      </c>
      <c r="D316" s="436">
        <f>Liability!AG107/10^9</f>
        <v>0</v>
      </c>
      <c r="E316" s="386">
        <f>Liability!AI107/10^9</f>
        <v>0</v>
      </c>
      <c r="F316" s="386">
        <f>Liability!AJ107/10^9</f>
        <v>0</v>
      </c>
      <c r="G316" s="386">
        <f>Liability!AK107/10^9</f>
        <v>0</v>
      </c>
      <c r="H316" s="386">
        <f>Liability!AL107/10^9</f>
        <v>0</v>
      </c>
      <c r="I316" s="386">
        <f>Liability!AM107/10^9</f>
        <v>0</v>
      </c>
      <c r="J316" s="386">
        <f>Liability!AN107/10^9</f>
        <v>0</v>
      </c>
      <c r="K316" s="386">
        <f>Liability!AO107/10^9</f>
        <v>0</v>
      </c>
      <c r="L316" s="386">
        <f>Liability!AP107/10^9</f>
        <v>0</v>
      </c>
      <c r="M316" s="386">
        <f>Liability!AQ107/10^9</f>
        <v>0</v>
      </c>
      <c r="N316" s="386">
        <f>Liability!AR107/10^9</f>
        <v>0</v>
      </c>
      <c r="O316" s="386">
        <f>Liability!AS107/10^9</f>
        <v>0</v>
      </c>
      <c r="P316" s="386">
        <f>Liability!AT107/10^9</f>
        <v>0</v>
      </c>
      <c r="Q316" s="386"/>
      <c r="R316" s="386">
        <f t="shared" si="301"/>
        <v>0</v>
      </c>
      <c r="S316" s="386">
        <f t="shared" si="302"/>
        <v>0</v>
      </c>
      <c r="T316" s="386">
        <f t="shared" si="304"/>
        <v>0</v>
      </c>
      <c r="U316" s="386"/>
      <c r="V316" s="386"/>
      <c r="W316" s="386">
        <f t="shared" si="303"/>
        <v>0</v>
      </c>
      <c r="X316" s="569" t="e">
        <f t="shared" si="300"/>
        <v>#DIV/0!</v>
      </c>
    </row>
    <row r="317" spans="2:24" s="404" customFormat="1" ht="15" hidden="1" customHeight="1">
      <c r="B317" s="821" t="s">
        <v>315</v>
      </c>
      <c r="D317" s="436">
        <f>Liability!AG105/10^9</f>
        <v>0</v>
      </c>
      <c r="E317" s="386">
        <f>Liability!AI105/10^9</f>
        <v>0</v>
      </c>
      <c r="F317" s="386">
        <f>Liability!AJ105/10^9</f>
        <v>0</v>
      </c>
      <c r="G317" s="386">
        <f>Liability!AK105/10^9</f>
        <v>0</v>
      </c>
      <c r="H317" s="386">
        <f>Liability!AL105/10^9</f>
        <v>0</v>
      </c>
      <c r="I317" s="386">
        <f>Liability!AM105/10^9</f>
        <v>0</v>
      </c>
      <c r="J317" s="386">
        <f>Liability!AN105/10^9</f>
        <v>0</v>
      </c>
      <c r="K317" s="386">
        <f>Liability!AO105/10^9</f>
        <v>0</v>
      </c>
      <c r="L317" s="386">
        <f>Liability!AP105/10^9</f>
        <v>0</v>
      </c>
      <c r="M317" s="386">
        <f>Liability!AQ105/10^9</f>
        <v>0</v>
      </c>
      <c r="N317" s="386">
        <f>Liability!AR105/10^9</f>
        <v>0</v>
      </c>
      <c r="O317" s="386">
        <f>Liability!AS105/10^9</f>
        <v>0</v>
      </c>
      <c r="P317" s="386">
        <f>Liability!AT105/10^9</f>
        <v>0</v>
      </c>
      <c r="Q317" s="386"/>
      <c r="R317" s="386">
        <f t="shared" si="301"/>
        <v>0</v>
      </c>
      <c r="S317" s="386">
        <f t="shared" si="302"/>
        <v>0</v>
      </c>
      <c r="T317" s="386">
        <f t="shared" si="304"/>
        <v>0</v>
      </c>
      <c r="U317" s="386"/>
      <c r="V317" s="386"/>
      <c r="W317" s="386">
        <f t="shared" si="303"/>
        <v>0</v>
      </c>
      <c r="X317" s="569" t="e">
        <f t="shared" si="300"/>
        <v>#DIV/0!</v>
      </c>
    </row>
    <row r="318" spans="2:24" s="404" customFormat="1" ht="15" hidden="1" customHeight="1">
      <c r="B318" s="821" t="s">
        <v>152</v>
      </c>
      <c r="D318" s="436">
        <f>Liability!AG106/10^9</f>
        <v>0</v>
      </c>
      <c r="E318" s="386">
        <f>Liability!AI106/10^9</f>
        <v>0</v>
      </c>
      <c r="F318" s="386">
        <f>Liability!AJ106/10^9</f>
        <v>0</v>
      </c>
      <c r="G318" s="386">
        <f>Liability!AK106/10^9</f>
        <v>0</v>
      </c>
      <c r="H318" s="386">
        <f>Liability!AL106/10^9</f>
        <v>0</v>
      </c>
      <c r="I318" s="386">
        <f>Liability!AM106/10^9</f>
        <v>0</v>
      </c>
      <c r="J318" s="386">
        <f>Liability!AN106/10^9</f>
        <v>0</v>
      </c>
      <c r="K318" s="386">
        <f>Liability!AO106/10^9</f>
        <v>0</v>
      </c>
      <c r="L318" s="386">
        <f>Liability!AP106/10^9</f>
        <v>0</v>
      </c>
      <c r="M318" s="386">
        <f>Liability!AQ106/10^9</f>
        <v>0</v>
      </c>
      <c r="N318" s="386">
        <f>Liability!AR106/10^9</f>
        <v>0</v>
      </c>
      <c r="O318" s="386">
        <f>Liability!AS106/10^9</f>
        <v>0</v>
      </c>
      <c r="P318" s="386">
        <f>Liability!AT106/10^9</f>
        <v>0</v>
      </c>
      <c r="Q318" s="386"/>
      <c r="R318" s="386">
        <f t="shared" si="301"/>
        <v>0</v>
      </c>
      <c r="S318" s="386">
        <f t="shared" si="302"/>
        <v>0</v>
      </c>
      <c r="T318" s="386">
        <f t="shared" si="304"/>
        <v>0</v>
      </c>
      <c r="U318" s="386"/>
      <c r="V318" s="386"/>
      <c r="W318" s="386">
        <f t="shared" si="303"/>
        <v>0</v>
      </c>
      <c r="X318" s="569" t="e">
        <f t="shared" si="300"/>
        <v>#DIV/0!</v>
      </c>
    </row>
    <row r="319" spans="2:24" s="404" customFormat="1" ht="15" hidden="1" customHeight="1">
      <c r="B319" s="821" t="s">
        <v>163</v>
      </c>
      <c r="D319" s="436">
        <f>Liability!AG108/10^9</f>
        <v>1.0860270999999999E-2</v>
      </c>
      <c r="E319" s="386">
        <f>Liability!AI108/10^9</f>
        <v>1.1162109999999999E-2</v>
      </c>
      <c r="F319" s="386">
        <f>Liability!AJ108/10^9</f>
        <v>1.0820306999999999E-2</v>
      </c>
      <c r="G319" s="386">
        <f>Liability!AK108/10^9</f>
        <v>1.4398672E-2</v>
      </c>
      <c r="H319" s="386">
        <f>Liability!AL108/10^9</f>
        <v>1.5358014999999999E-2</v>
      </c>
      <c r="I319" s="386">
        <f>Liability!AM108/10^9</f>
        <v>1.8307242000000001E-2</v>
      </c>
      <c r="J319" s="386">
        <f>Liability!AN108/10^9</f>
        <v>2.2065279E-2</v>
      </c>
      <c r="K319" s="386">
        <f>Liability!AO108/10^9</f>
        <v>1.9228836999999999E-2</v>
      </c>
      <c r="L319" s="386">
        <f>Liability!AP108/10^9</f>
        <v>2.0646672000000001E-2</v>
      </c>
      <c r="M319" s="386">
        <f>Liability!AQ108/10^9</f>
        <v>2.2914635999999999E-2</v>
      </c>
      <c r="N319" s="386">
        <f>Liability!AR108/10^9</f>
        <v>2.7291527999999999E-2</v>
      </c>
      <c r="O319" s="386">
        <f>Liability!AS108/10^9</f>
        <v>3.1263991999999997E-2</v>
      </c>
      <c r="P319" s="386">
        <f>Liability!AT108/10^9</f>
        <v>4.1213006000000003E-2</v>
      </c>
      <c r="Q319" s="386"/>
      <c r="R319" s="386">
        <f t="shared" si="301"/>
        <v>4.3768920000000003E-3</v>
      </c>
      <c r="S319" s="386">
        <f t="shared" si="302"/>
        <v>2.7291527999999999E-2</v>
      </c>
      <c r="T319" s="386">
        <f t="shared" si="304"/>
        <v>0.25467029600000002</v>
      </c>
      <c r="U319" s="386"/>
      <c r="V319" s="386"/>
      <c r="W319" s="386">
        <f t="shared" si="303"/>
        <v>0.25467029600000002</v>
      </c>
      <c r="X319" s="569" t="e">
        <f t="shared" si="300"/>
        <v>#DIV/0!</v>
      </c>
    </row>
    <row r="320" spans="2:24" s="404" customFormat="1" ht="15" hidden="1" customHeight="1">
      <c r="B320" s="821" t="s">
        <v>675</v>
      </c>
      <c r="D320" s="436">
        <f>Liability!AG104/10^9</f>
        <v>0</v>
      </c>
      <c r="E320" s="386">
        <f>Liability!AI104/10^9</f>
        <v>0</v>
      </c>
      <c r="F320" s="386">
        <f>Liability!AJ104/10^9</f>
        <v>0</v>
      </c>
      <c r="G320" s="386">
        <f>Liability!AK104/10^9</f>
        <v>0</v>
      </c>
      <c r="H320" s="386">
        <f>Liability!AL104/10^9</f>
        <v>0</v>
      </c>
      <c r="I320" s="386">
        <f>Liability!AM104/10^9</f>
        <v>0</v>
      </c>
      <c r="J320" s="386">
        <f>Liability!AN104/10^9</f>
        <v>0</v>
      </c>
      <c r="K320" s="386">
        <f>Liability!AO104/10^9</f>
        <v>0</v>
      </c>
      <c r="L320" s="386">
        <f>Liability!AP104/10^9</f>
        <v>0</v>
      </c>
      <c r="M320" s="386">
        <f>Liability!AQ104/10^9</f>
        <v>0</v>
      </c>
      <c r="N320" s="386">
        <f>Liability!AR104/10^9</f>
        <v>0</v>
      </c>
      <c r="O320" s="386">
        <f>Liability!AS104/10^9</f>
        <v>0</v>
      </c>
      <c r="P320" s="386">
        <f>Liability!AT104/10^9</f>
        <v>0</v>
      </c>
      <c r="Q320" s="386"/>
      <c r="R320" s="386">
        <f t="shared" si="301"/>
        <v>0</v>
      </c>
      <c r="S320" s="386">
        <f t="shared" si="302"/>
        <v>0</v>
      </c>
      <c r="T320" s="386">
        <f t="shared" si="304"/>
        <v>0</v>
      </c>
      <c r="U320" s="386"/>
      <c r="V320" s="386"/>
      <c r="W320" s="386">
        <f t="shared" si="303"/>
        <v>0</v>
      </c>
      <c r="X320" s="569" t="e">
        <f t="shared" si="300"/>
        <v>#DIV/0!</v>
      </c>
    </row>
    <row r="321" spans="2:24" s="404" customFormat="1" ht="15" customHeight="1">
      <c r="B321" s="815" t="s">
        <v>236</v>
      </c>
      <c r="D321" s="436">
        <f>Liability!AG109/10^9</f>
        <v>-3.1412445999999997E-2</v>
      </c>
      <c r="E321" s="386">
        <f>Liability!AI109/10^9</f>
        <v>-0.21826754200000001</v>
      </c>
      <c r="F321" s="386">
        <f>Liability!AJ109/10^9</f>
        <v>-0.30159485200000002</v>
      </c>
      <c r="G321" s="386">
        <f>Liability!AK109/10^9</f>
        <v>-0.19210769699999999</v>
      </c>
      <c r="H321" s="386">
        <f>Liability!AL109/10^9</f>
        <v>-0.39363113599999999</v>
      </c>
      <c r="I321" s="386">
        <f>Liability!AM109/10^9</f>
        <v>-0.38154012300000001</v>
      </c>
      <c r="J321" s="386">
        <f>Liability!AN109/10^9</f>
        <v>-0.41227441100000001</v>
      </c>
      <c r="K321" s="386">
        <f>Liability!AO109/10^9</f>
        <v>-0.45377909100000002</v>
      </c>
      <c r="L321" s="386">
        <f>Liability!AP109/10^9</f>
        <v>-0.50841428399999999</v>
      </c>
      <c r="M321" s="386">
        <f>Liability!AQ109/10^9</f>
        <v>-0.54293092899999995</v>
      </c>
      <c r="N321" s="386">
        <f>Liability!AR109/10^9</f>
        <v>-0.54127805900000003</v>
      </c>
      <c r="O321" s="386">
        <f>Liability!AS109/10^9</f>
        <v>-0.74251562500000001</v>
      </c>
      <c r="P321" s="386">
        <f>Liability!AT109/10^9</f>
        <v>6.6117209999999996E-2</v>
      </c>
      <c r="Q321" s="386">
        <f>Q294-Q314</f>
        <v>1.0565290909090908</v>
      </c>
      <c r="R321" s="386">
        <f t="shared" si="301"/>
        <v>1.6528699999999175E-3</v>
      </c>
      <c r="S321" s="386">
        <f t="shared" si="302"/>
        <v>-1.5978071499090909</v>
      </c>
      <c r="T321" s="386">
        <f>SUM(E321:P321)</f>
        <v>-4.6222165390000001</v>
      </c>
      <c r="U321" s="386">
        <f>U294-U314</f>
        <v>14.726491814000001</v>
      </c>
      <c r="V321" s="386">
        <f>V294-V314</f>
        <v>13.01</v>
      </c>
      <c r="W321" s="386">
        <f t="shared" si="303"/>
        <v>-19.348708352999999</v>
      </c>
      <c r="X321" s="569">
        <f t="shared" si="300"/>
        <v>-0.35528182467332819</v>
      </c>
    </row>
    <row r="322" spans="2:24" s="404" customFormat="1" ht="15" customHeight="1">
      <c r="W322" s="386"/>
    </row>
    <row r="323" spans="2:24" s="404" customFormat="1" ht="15" customHeight="1"/>
    <row r="324" spans="2:24" s="404" customFormat="1" ht="15" customHeight="1"/>
    <row r="325" spans="2:24" s="404" customFormat="1" ht="15" customHeight="1"/>
    <row r="326" spans="2:24" s="404" customFormat="1" ht="33.5" customHeight="1">
      <c r="B326" s="360" t="s">
        <v>676</v>
      </c>
      <c r="C326" s="360"/>
      <c r="D326" s="360"/>
      <c r="E326" s="75" t="s">
        <v>677</v>
      </c>
      <c r="F326" s="75" t="s">
        <v>678</v>
      </c>
      <c r="G326" s="75" t="s">
        <v>679</v>
      </c>
      <c r="H326" s="90" t="s">
        <v>680</v>
      </c>
      <c r="I326" s="379" t="s">
        <v>681</v>
      </c>
      <c r="J326" s="90" t="s">
        <v>682</v>
      </c>
      <c r="K326" s="90"/>
      <c r="L326" s="90"/>
      <c r="M326" s="90"/>
      <c r="N326" s="90"/>
      <c r="O326" s="90"/>
      <c r="P326" s="90"/>
      <c r="Q326" s="90" t="s">
        <v>683</v>
      </c>
      <c r="R326" s="76" t="s">
        <v>172</v>
      </c>
      <c r="S326" s="76" t="s">
        <v>173</v>
      </c>
      <c r="T326" s="78" t="s">
        <v>76</v>
      </c>
      <c r="U326" s="78" t="s">
        <v>684</v>
      </c>
      <c r="V326" s="78" t="s">
        <v>685</v>
      </c>
      <c r="W326" s="79" t="s">
        <v>657</v>
      </c>
      <c r="X326" s="77" t="s">
        <v>576</v>
      </c>
    </row>
    <row r="327" spans="2:24" s="441" customFormat="1" ht="15" customHeight="1">
      <c r="B327" s="440" t="s">
        <v>215</v>
      </c>
      <c r="C327" s="440"/>
      <c r="D327" s="440"/>
      <c r="H327" s="442">
        <f>'C-Ticket'!F5/10^9</f>
        <v>0</v>
      </c>
      <c r="I327" s="442">
        <f>'C-Ticket'!G5/10^9</f>
        <v>0.15220400000000001</v>
      </c>
      <c r="J327" s="442">
        <f>'C-Ticket'!H5/10^9</f>
        <v>0.25391111100000002</v>
      </c>
      <c r="K327" s="442"/>
      <c r="L327" s="442"/>
      <c r="M327" s="442"/>
      <c r="N327" s="442"/>
      <c r="O327" s="442"/>
      <c r="P327" s="442"/>
      <c r="Q327" s="442"/>
      <c r="R327" s="442"/>
      <c r="S327" s="442"/>
      <c r="T327" s="442">
        <f t="shared" ref="T327:T334" si="310">I327+J327</f>
        <v>0.40611511100000003</v>
      </c>
      <c r="U327" s="442"/>
      <c r="V327" s="442"/>
      <c r="W327" s="442"/>
      <c r="X327" s="440"/>
    </row>
    <row r="328" spans="2:24" s="441" customFormat="1" ht="15" customHeight="1">
      <c r="B328" s="440" t="s">
        <v>145</v>
      </c>
      <c r="C328" s="440"/>
      <c r="D328" s="440"/>
      <c r="H328" s="442"/>
      <c r="I328" s="442">
        <f>I329+I330+I331+I332+I333</f>
        <v>5.6553144E-2</v>
      </c>
      <c r="J328" s="442">
        <f>J329+J330+J331+J332+J333</f>
        <v>0.30270292200000004</v>
      </c>
      <c r="K328" s="442"/>
      <c r="L328" s="442"/>
      <c r="M328" s="442"/>
      <c r="N328" s="442"/>
      <c r="O328" s="442"/>
      <c r="P328" s="442"/>
      <c r="Q328" s="442"/>
      <c r="R328" s="442"/>
      <c r="S328" s="442"/>
      <c r="T328" s="442">
        <f t="shared" si="310"/>
        <v>0.35925606600000004</v>
      </c>
      <c r="U328" s="442"/>
      <c r="V328" s="442"/>
      <c r="W328" s="442"/>
      <c r="X328" s="440"/>
    </row>
    <row r="329" spans="2:24" s="441" customFormat="1" ht="15" customHeight="1">
      <c r="B329" s="443" t="s">
        <v>473</v>
      </c>
      <c r="C329" s="443"/>
      <c r="D329" s="443"/>
      <c r="H329" s="444"/>
      <c r="I329" s="444">
        <f>'C-Ticket'!G7/10^9</f>
        <v>0</v>
      </c>
      <c r="J329" s="444">
        <f>'C-Ticket'!H7/10^9</f>
        <v>0</v>
      </c>
      <c r="K329" s="444"/>
      <c r="L329" s="444"/>
      <c r="M329" s="444"/>
      <c r="N329" s="444"/>
      <c r="O329" s="444"/>
      <c r="P329" s="444"/>
      <c r="Q329" s="444"/>
      <c r="R329" s="444"/>
      <c r="S329" s="444"/>
      <c r="T329" s="442">
        <f t="shared" si="310"/>
        <v>0</v>
      </c>
      <c r="U329" s="444"/>
      <c r="V329" s="444"/>
      <c r="W329" s="444"/>
    </row>
    <row r="330" spans="2:24" s="441" customFormat="1" ht="15" customHeight="1">
      <c r="B330" s="443" t="s">
        <v>485</v>
      </c>
      <c r="C330" s="443"/>
      <c r="D330" s="443"/>
      <c r="H330" s="444"/>
      <c r="I330" s="444">
        <f>'C-Ticket'!G8/10^9</f>
        <v>0</v>
      </c>
      <c r="J330" s="444">
        <f>'C-Ticket'!H8/10^9</f>
        <v>0.27772918600000002</v>
      </c>
      <c r="K330" s="444"/>
      <c r="L330" s="444"/>
      <c r="M330" s="444"/>
      <c r="N330" s="444"/>
      <c r="O330" s="444"/>
      <c r="P330" s="444"/>
      <c r="Q330" s="444"/>
      <c r="R330" s="444"/>
      <c r="S330" s="444"/>
      <c r="T330" s="442">
        <f t="shared" si="310"/>
        <v>0.27772918600000002</v>
      </c>
      <c r="U330" s="444"/>
      <c r="V330" s="444"/>
      <c r="W330" s="444"/>
    </row>
    <row r="331" spans="2:24" s="441" customFormat="1" ht="15" customHeight="1">
      <c r="B331" s="443" t="s">
        <v>486</v>
      </c>
      <c r="C331" s="443"/>
      <c r="D331" s="443"/>
      <c r="H331" s="444"/>
      <c r="I331" s="444">
        <f>'C-Ticket'!G9/10^9</f>
        <v>0</v>
      </c>
      <c r="J331" s="444">
        <f>'C-Ticket'!H9/10^9</f>
        <v>9.3805600000000005E-4</v>
      </c>
      <c r="K331" s="444"/>
      <c r="L331" s="444"/>
      <c r="M331" s="444"/>
      <c r="N331" s="444"/>
      <c r="O331" s="444"/>
      <c r="P331" s="444"/>
      <c r="Q331" s="444"/>
      <c r="R331" s="444"/>
      <c r="S331" s="444"/>
      <c r="T331" s="442">
        <f t="shared" si="310"/>
        <v>9.3805600000000005E-4</v>
      </c>
      <c r="U331" s="444"/>
      <c r="V331" s="444"/>
      <c r="W331" s="444"/>
    </row>
    <row r="332" spans="2:24" s="441" customFormat="1" ht="15" customHeight="1">
      <c r="B332" s="443" t="s">
        <v>487</v>
      </c>
      <c r="C332" s="443"/>
      <c r="D332" s="443"/>
      <c r="H332" s="444"/>
      <c r="I332" s="444">
        <f>'C-Ticket'!G10/10^9</f>
        <v>4.5824999999999998E-2</v>
      </c>
      <c r="J332" s="444">
        <f>'C-Ticket'!H10/10^9</f>
        <v>0</v>
      </c>
      <c r="K332" s="444"/>
      <c r="L332" s="444"/>
      <c r="M332" s="444"/>
      <c r="N332" s="444"/>
      <c r="O332" s="444"/>
      <c r="P332" s="444"/>
      <c r="Q332" s="444"/>
      <c r="R332" s="444"/>
      <c r="S332" s="444"/>
      <c r="T332" s="442">
        <f t="shared" si="310"/>
        <v>4.5824999999999998E-2</v>
      </c>
      <c r="U332" s="444"/>
      <c r="V332" s="444"/>
      <c r="W332" s="444"/>
    </row>
    <row r="333" spans="2:24" s="441" customFormat="1" ht="15" customHeight="1">
      <c r="B333" s="443" t="s">
        <v>488</v>
      </c>
      <c r="C333" s="443"/>
      <c r="D333" s="443"/>
      <c r="H333" s="442"/>
      <c r="I333" s="442">
        <f>'C-Ticket'!G11/10^9</f>
        <v>1.0728144E-2</v>
      </c>
      <c r="J333" s="442">
        <f>'C-Ticket'!H11/10^9</f>
        <v>2.403568E-2</v>
      </c>
      <c r="K333" s="442"/>
      <c r="L333" s="442"/>
      <c r="M333" s="442"/>
      <c r="N333" s="442"/>
      <c r="O333" s="442"/>
      <c r="P333" s="442"/>
      <c r="Q333" s="442"/>
      <c r="R333" s="442"/>
      <c r="S333" s="442"/>
      <c r="T333" s="442">
        <f t="shared" si="310"/>
        <v>3.4763823999999999E-2</v>
      </c>
      <c r="U333" s="442"/>
      <c r="V333" s="442"/>
      <c r="W333" s="442"/>
      <c r="X333" s="440"/>
    </row>
    <row r="334" spans="2:24" s="441" customFormat="1" ht="15" customHeight="1">
      <c r="B334" s="440" t="s">
        <v>474</v>
      </c>
      <c r="C334" s="440"/>
      <c r="D334" s="440"/>
      <c r="H334" s="442"/>
      <c r="I334" s="442">
        <f>I327-I328</f>
        <v>9.5650856000000006E-2</v>
      </c>
      <c r="J334" s="442">
        <f>J327-J328</f>
        <v>-4.8791811000000018E-2</v>
      </c>
      <c r="K334" s="442"/>
      <c r="L334" s="442"/>
      <c r="M334" s="442"/>
      <c r="N334" s="442"/>
      <c r="O334" s="442"/>
      <c r="P334" s="442"/>
      <c r="Q334" s="442"/>
      <c r="R334" s="442"/>
      <c r="S334" s="442"/>
      <c r="T334" s="442">
        <f t="shared" si="310"/>
        <v>4.6859044999999988E-2</v>
      </c>
      <c r="U334" s="442"/>
      <c r="V334" s="442"/>
      <c r="W334" s="442"/>
      <c r="X334" s="440"/>
    </row>
    <row r="335" spans="2:24" s="404" customFormat="1" ht="14"/>
    <row r="336" spans="2:24" ht="15" customHeight="1">
      <c r="C336" s="348">
        <v>191.44864000000001</v>
      </c>
      <c r="D336" s="348">
        <v>186.40707</v>
      </c>
      <c r="E336" s="348">
        <v>182.01008999999999</v>
      </c>
      <c r="F336" s="348">
        <v>132.88990000000001</v>
      </c>
      <c r="G336" s="348">
        <v>201.29111</v>
      </c>
      <c r="H336" s="348">
        <v>250.59298999999999</v>
      </c>
      <c r="I336" s="348">
        <v>238.82811000000001</v>
      </c>
      <c r="J336" s="348">
        <v>261.75004999999999</v>
      </c>
      <c r="L336" s="1363">
        <f>L339-K339</f>
        <v>-34.446069999999963</v>
      </c>
      <c r="M336" s="1363">
        <f>M339-L339</f>
        <v>118.90253999999999</v>
      </c>
    </row>
    <row r="337" spans="2:47" ht="15" customHeight="1">
      <c r="E337" s="495">
        <f t="shared" ref="E337:L337" si="311">E351-D351</f>
        <v>-4.2732057600319007E-2</v>
      </c>
      <c r="F337" s="495">
        <f t="shared" si="311"/>
        <v>-8.8646558024154276E-2</v>
      </c>
      <c r="G337" s="495">
        <f t="shared" si="311"/>
        <v>0.19254968158586605</v>
      </c>
      <c r="H337" s="495">
        <f t="shared" si="311"/>
        <v>-3.6970241043505769E-2</v>
      </c>
      <c r="I337" s="495">
        <f t="shared" si="311"/>
        <v>-6.2399430021001068E-2</v>
      </c>
      <c r="J337" s="495">
        <f t="shared" si="311"/>
        <v>1.4429958983697477E-2</v>
      </c>
      <c r="K337" s="495">
        <f t="shared" si="311"/>
        <v>0.1383193909016503</v>
      </c>
      <c r="L337" s="495">
        <f t="shared" si="311"/>
        <v>0.39705297804413342</v>
      </c>
      <c r="M337" s="495">
        <f>M351-L351</f>
        <v>0.15024287797263136</v>
      </c>
    </row>
    <row r="338" spans="2:47" ht="30" customHeight="1">
      <c r="B338" s="378" t="s">
        <v>686</v>
      </c>
      <c r="C338" s="90" t="s">
        <v>613</v>
      </c>
      <c r="D338" s="90" t="s">
        <v>614</v>
      </c>
      <c r="E338" s="579">
        <v>45658</v>
      </c>
      <c r="F338" s="579">
        <v>45689</v>
      </c>
      <c r="G338" s="579">
        <v>45717</v>
      </c>
      <c r="H338" s="579">
        <v>45748</v>
      </c>
      <c r="I338" s="579">
        <v>45778</v>
      </c>
      <c r="J338" s="579">
        <v>45809</v>
      </c>
      <c r="K338" s="579">
        <v>45839</v>
      </c>
      <c r="L338" s="579">
        <v>45870</v>
      </c>
      <c r="M338" s="579">
        <v>45901</v>
      </c>
      <c r="N338" s="579">
        <v>45931</v>
      </c>
      <c r="O338" s="579">
        <v>45962</v>
      </c>
      <c r="P338" s="579">
        <v>45992</v>
      </c>
      <c r="Q338" s="78" t="s">
        <v>76</v>
      </c>
      <c r="R338" s="1129"/>
      <c r="S338" s="1129"/>
      <c r="T338" s="824"/>
      <c r="U338" s="824"/>
      <c r="V338" s="824"/>
      <c r="W338" s="825"/>
      <c r="X338" s="826"/>
      <c r="Y338" s="486"/>
      <c r="Z338" s="404"/>
      <c r="AA338" s="404"/>
      <c r="AB338" s="404"/>
      <c r="AC338" s="404"/>
      <c r="AD338" s="404"/>
      <c r="AE338" s="404"/>
      <c r="AF338" s="404"/>
      <c r="AG338" s="404"/>
      <c r="AH338" s="404"/>
      <c r="AI338" s="404"/>
      <c r="AJ338" s="404"/>
      <c r="AK338" s="404"/>
      <c r="AL338" s="404"/>
      <c r="AM338" s="404"/>
      <c r="AN338" s="404"/>
      <c r="AO338" s="404"/>
      <c r="AP338" s="404"/>
      <c r="AQ338" s="404"/>
      <c r="AR338" s="404"/>
      <c r="AS338" s="404"/>
      <c r="AT338" s="404"/>
      <c r="AU338" s="404"/>
    </row>
    <row r="339" spans="2:47" ht="15" customHeight="1">
      <c r="B339" s="361" t="s">
        <v>80</v>
      </c>
      <c r="C339" s="492">
        <f>SUMIFS(Lending!N$49:N$124,Lending!$C$49:$C$124,"Cashloan",Lending!$L$49:$L$124,$B$339)/10^9</f>
        <v>191.44864000000001</v>
      </c>
      <c r="D339" s="492">
        <f>SUMIFS(Lending!O$49:O$124,Lending!$C$49:$C$124,"Cashloan",Lending!$L$49:$L$124,$B$339)/10^9</f>
        <v>186.40707</v>
      </c>
      <c r="E339" s="492">
        <f>SUMIFS(Lending!P$49:P$124,Lending!$C$49:$C$124,"Cashloan",Lending!$L$49:$L$124,$B$339)/10^9</f>
        <v>182.01008999999999</v>
      </c>
      <c r="F339" s="492">
        <f>SUMIFS(Lending!Q$49:Q$124,Lending!$C$49:$C$124,"Cashloan",Lending!$L$49:$L$124,$B$339)/10^9</f>
        <v>132.88990000000001</v>
      </c>
      <c r="G339" s="492">
        <f>SUMIFS(Lending!R$49:R$124,Lending!$C$49:$C$124,"Cashloan",Lending!$L$49:$L$124,$B$339)/10^9</f>
        <v>201.29111</v>
      </c>
      <c r="H339" s="492">
        <f>SUMIFS(Lending!S$49:S$124,Lending!$C$49:$C$124,"Cashloan",Lending!$L$49:$L$124,$B$339)/10^9</f>
        <v>250.59298999999999</v>
      </c>
      <c r="I339" s="492">
        <f>SUMIFS(Lending!T$49:T$124,Lending!$C$49:$C$124,"Cashloan",Lending!$L$49:$L$124,$B$339)/10^9</f>
        <v>238.82811000000001</v>
      </c>
      <c r="J339" s="492">
        <f>SUMIFS(Lending!U$49:U$124,Lending!$C$49:$C$124,"Cashloan",Lending!$L$49:$L$124,$B$339)/10^9</f>
        <v>261.75004999999999</v>
      </c>
      <c r="K339" s="492">
        <f>SUMIFS(Lending!V$49:V$124,Lending!$C$49:$C$124,"Cashloan",Lending!$L$49:$L$124,$B$339)/10^9</f>
        <v>381.77546999999998</v>
      </c>
      <c r="L339" s="492">
        <f>SUMIFS(Lending!W$49:W$124,Lending!$C$49:$C$124,"Cashloan",Lending!$L$49:$L$124,$B$339)/10^9</f>
        <v>347.32940000000002</v>
      </c>
      <c r="M339" s="492">
        <f>SUMIFS(Lending!X$49:X$124,Lending!$C$49:$C$124,"Cashloan",Lending!$L$49:$L$124,$B$339)/10^9</f>
        <v>466.23194000000001</v>
      </c>
      <c r="N339" s="492">
        <f>SUMIFS(Lending!Y$49:Y$124,Lending!$C$49:$C$124,"Cashloan",Lending!$L$49:$L$124,$B$339)/10^9</f>
        <v>490.98146000000003</v>
      </c>
      <c r="O339" s="492">
        <f>SUMIFS(Lending!Z$49:Z$124,Lending!$C$49:$C$124,"Cashloan",Lending!$L$49:$L$124,$B$339)/10^9</f>
        <v>513.99873000000002</v>
      </c>
      <c r="P339" s="492">
        <f>SUMIFS(Lending!AA$49:AA$124,Lending!$C$49:$C$124,"Cashloan",Lending!$L$49:$L$124,$B$339)/10^9</f>
        <v>548.67533000000003</v>
      </c>
      <c r="Q339" s="492">
        <f>(Lending!M52+Lending!M91)/10^9</f>
        <v>4016.3545800000002</v>
      </c>
      <c r="R339" s="383"/>
      <c r="S339" s="383"/>
      <c r="T339" s="1130"/>
      <c r="U339" s="383"/>
      <c r="V339" s="384"/>
      <c r="W339" s="434"/>
      <c r="X339" s="487"/>
      <c r="Y339" s="487"/>
      <c r="Z339" s="414"/>
      <c r="AA339" s="414"/>
      <c r="AB339" s="414"/>
      <c r="AC339" s="414"/>
      <c r="AD339" s="414"/>
      <c r="AE339" s="414"/>
      <c r="AF339" s="414"/>
      <c r="AG339" s="414"/>
      <c r="AH339" s="414"/>
      <c r="AI339" s="414"/>
      <c r="AJ339" s="414"/>
      <c r="AK339" s="414"/>
      <c r="AL339" s="414"/>
      <c r="AM339" s="414"/>
      <c r="AN339" s="414"/>
      <c r="AO339" s="414"/>
      <c r="AP339" s="414"/>
      <c r="AQ339" s="414"/>
      <c r="AR339" s="414"/>
      <c r="AS339" s="414"/>
      <c r="AT339" s="414"/>
      <c r="AU339" s="414"/>
    </row>
    <row r="340" spans="2:47" ht="15" customHeight="1">
      <c r="B340" s="361" t="s">
        <v>82</v>
      </c>
      <c r="C340" s="492">
        <f>(Lending!N55+Lending!N94)/10^9</f>
        <v>1107.2588807499999</v>
      </c>
      <c r="D340" s="492">
        <f>(Lending!O55+Lending!O94)/10^9</f>
        <v>1115.7091997289999</v>
      </c>
      <c r="E340" s="492">
        <f>(Lending!P55+Lending!P94)/10^9</f>
        <v>1157.2662817519999</v>
      </c>
      <c r="F340" s="492">
        <f>(Lending!Q55+Lending!Q94)/10^9</f>
        <v>1069.1197246889999</v>
      </c>
      <c r="G340" s="492">
        <f>(Lending!R55+Lending!R94)/10^9</f>
        <v>1085.505539513</v>
      </c>
      <c r="H340" s="492">
        <f>(Lending!S55+Lending!S94)/10^9</f>
        <v>1146.123069044</v>
      </c>
      <c r="I340" s="492">
        <f>(Lending!T55+Lending!T94)/10^9</f>
        <v>1188.0063400639999</v>
      </c>
      <c r="J340" s="492">
        <f>(Lending!U55+Lending!U94)/10^9</f>
        <v>1227.794358159</v>
      </c>
      <c r="K340" s="492">
        <f>(Lending!V55+Lending!V94)/10^9</f>
        <v>1386.288896582</v>
      </c>
      <c r="L340" s="492">
        <f>(Lending!W55+Lending!W94)/10^9</f>
        <v>1498.073992567</v>
      </c>
      <c r="M340" s="492">
        <f>(Lending!X55+Lending!X94)/10^9</f>
        <v>1696.7625185649999</v>
      </c>
      <c r="N340" s="492">
        <f>(Lending!Y55+Lending!Y94)/10^9</f>
        <v>1881.0203102190001</v>
      </c>
      <c r="O340" s="492">
        <f>(Lending!Z55+Lending!Z94)/10^9</f>
        <v>2079.4401639789999</v>
      </c>
      <c r="P340" s="492">
        <f>(Lending!AA55+Lending!AA94)/10^9</f>
        <v>2276.1176553740002</v>
      </c>
      <c r="Q340" s="492">
        <f>J340</f>
        <v>1227.794358159</v>
      </c>
      <c r="R340" s="1130"/>
      <c r="S340" s="1130"/>
      <c r="T340" s="1130"/>
      <c r="U340" s="384"/>
      <c r="V340" s="384"/>
      <c r="W340" s="434"/>
      <c r="X340" s="487"/>
      <c r="Y340" s="487"/>
      <c r="Z340" s="414"/>
      <c r="AA340" s="414"/>
      <c r="AB340" s="414"/>
      <c r="AC340" s="414"/>
      <c r="AD340" s="414"/>
      <c r="AE340" s="414"/>
      <c r="AF340" s="414"/>
      <c r="AG340" s="414"/>
      <c r="AH340" s="414"/>
      <c r="AI340" s="414"/>
      <c r="AJ340" s="414"/>
      <c r="AK340" s="414"/>
      <c r="AL340" s="414"/>
      <c r="AM340" s="414"/>
      <c r="AN340" s="414"/>
      <c r="AO340" s="414"/>
      <c r="AP340" s="414"/>
      <c r="AQ340" s="414"/>
      <c r="AR340" s="414"/>
      <c r="AS340" s="414"/>
      <c r="AT340" s="414"/>
      <c r="AU340" s="414"/>
    </row>
    <row r="341" spans="2:47" ht="15" customHeight="1">
      <c r="B341" s="409" t="s">
        <v>640</v>
      </c>
      <c r="C341" s="427">
        <f t="shared" ref="C341:Q341" si="312">C340-C342</f>
        <v>863.74785704599992</v>
      </c>
      <c r="D341" s="427">
        <f t="shared" si="312"/>
        <v>861.18701223099993</v>
      </c>
      <c r="E341" s="427">
        <f t="shared" si="312"/>
        <v>898.643364496</v>
      </c>
      <c r="F341" s="427">
        <f t="shared" si="312"/>
        <v>851.84273138299989</v>
      </c>
      <c r="G341" s="427">
        <f t="shared" si="312"/>
        <v>856.48796564100007</v>
      </c>
      <c r="H341" s="427">
        <f t="shared" si="312"/>
        <v>925.55639431299994</v>
      </c>
      <c r="I341" s="427">
        <f t="shared" si="312"/>
        <v>964.86976430699997</v>
      </c>
      <c r="J341" s="427">
        <f t="shared" si="312"/>
        <v>1004.110203632</v>
      </c>
      <c r="K341" s="427">
        <f t="shared" si="312"/>
        <v>1154.110172724</v>
      </c>
      <c r="L341" s="427">
        <f t="shared" si="312"/>
        <v>1256.766813487</v>
      </c>
      <c r="M341" s="427">
        <f t="shared" si="312"/>
        <v>1425.312329979</v>
      </c>
      <c r="N341" s="427">
        <f t="shared" si="312"/>
        <v>1604.0710563470002</v>
      </c>
      <c r="O341" s="427">
        <f t="shared" si="312"/>
        <v>1779.1594599349999</v>
      </c>
      <c r="P341" s="427">
        <f t="shared" si="312"/>
        <v>1926.7331400520002</v>
      </c>
      <c r="Q341" s="427">
        <f t="shared" si="312"/>
        <v>1004.110203632</v>
      </c>
      <c r="R341" s="433"/>
      <c r="S341" s="433"/>
      <c r="T341" s="433"/>
      <c r="U341" s="383"/>
      <c r="V341" s="389"/>
      <c r="W341" s="488"/>
      <c r="X341" s="489"/>
      <c r="Y341" s="489"/>
      <c r="Z341" s="415"/>
      <c r="AA341" s="415"/>
      <c r="AB341" s="415"/>
      <c r="AC341" s="415"/>
      <c r="AD341" s="415"/>
      <c r="AE341" s="415"/>
      <c r="AF341" s="415"/>
      <c r="AG341" s="415"/>
      <c r="AH341" s="415"/>
      <c r="AI341" s="415"/>
      <c r="AJ341" s="415"/>
      <c r="AK341" s="415"/>
      <c r="AL341" s="415"/>
      <c r="AM341" s="415"/>
      <c r="AN341" s="415"/>
      <c r="AO341" s="415"/>
      <c r="AP341" s="415"/>
      <c r="AQ341" s="415"/>
      <c r="AR341" s="415"/>
      <c r="AS341" s="415"/>
      <c r="AT341" s="415"/>
      <c r="AU341" s="415"/>
    </row>
    <row r="342" spans="2:47" ht="15" customHeight="1">
      <c r="B342" s="409" t="s">
        <v>617</v>
      </c>
      <c r="C342" s="427">
        <f>(Lending!N59+Lending!N98)/10^9</f>
        <v>243.511023704</v>
      </c>
      <c r="D342" s="427">
        <f>(Lending!O59+Lending!O98)/10^9</f>
        <v>254.52218749799999</v>
      </c>
      <c r="E342" s="427">
        <f>(Lending!P59+Lending!P98)/10^9</f>
        <v>258.62291725599999</v>
      </c>
      <c r="F342" s="427">
        <f>(Lending!Q59+Lending!Q98)/10^9</f>
        <v>217.27699330600001</v>
      </c>
      <c r="G342" s="427">
        <f>(Lending!R59+Lending!R98)/10^9</f>
        <v>229.01757387200001</v>
      </c>
      <c r="H342" s="427">
        <f>(Lending!S59+Lending!S98)/10^9</f>
        <v>220.56667473100001</v>
      </c>
      <c r="I342" s="427">
        <f>(Lending!T59+Lending!T98)/10^9</f>
        <v>223.136575757</v>
      </c>
      <c r="J342" s="427">
        <f>(Lending!U59+Lending!U98)/10^9</f>
        <v>223.684154527</v>
      </c>
      <c r="K342" s="427">
        <f>(Lending!V59+Lending!V98)/10^9</f>
        <v>232.17872385800001</v>
      </c>
      <c r="L342" s="427">
        <f>(Lending!W59+Lending!W98)/10^9</f>
        <v>241.30717908</v>
      </c>
      <c r="M342" s="427">
        <f>(Lending!X59+Lending!X98)/10^9</f>
        <v>271.45018858600002</v>
      </c>
      <c r="N342" s="427">
        <f>(Lending!Y59+Lending!Y98)/10^9</f>
        <v>276.94925387199999</v>
      </c>
      <c r="O342" s="427">
        <f>(Lending!Z59+Lending!Z98)/10^9</f>
        <v>300.280704044</v>
      </c>
      <c r="P342" s="427">
        <f>(Lending!AA59+Lending!AA98)/10^9</f>
        <v>349.38451532200003</v>
      </c>
      <c r="Q342" s="427">
        <f>J342</f>
        <v>223.684154527</v>
      </c>
      <c r="R342" s="433"/>
      <c r="S342" s="433"/>
      <c r="T342" s="433"/>
      <c r="U342" s="383"/>
      <c r="V342" s="389"/>
      <c r="W342" s="488"/>
      <c r="X342" s="489"/>
      <c r="Y342" s="489"/>
      <c r="Z342" s="415"/>
      <c r="AA342" s="415"/>
      <c r="AB342" s="415"/>
      <c r="AC342" s="415"/>
      <c r="AD342" s="415"/>
      <c r="AE342" s="415"/>
      <c r="AF342" s="415"/>
      <c r="AG342" s="415"/>
      <c r="AH342" s="415"/>
      <c r="AI342" s="415"/>
      <c r="AJ342" s="415"/>
      <c r="AK342" s="415"/>
      <c r="AL342" s="415"/>
      <c r="AM342" s="415"/>
      <c r="AN342" s="415"/>
      <c r="AO342" s="415"/>
      <c r="AP342" s="415"/>
      <c r="AQ342" s="415"/>
      <c r="AR342" s="415"/>
      <c r="AS342" s="415"/>
      <c r="AT342" s="415"/>
      <c r="AU342" s="415"/>
    </row>
    <row r="343" spans="2:47" ht="15" customHeight="1">
      <c r="B343" s="361" t="s">
        <v>687</v>
      </c>
      <c r="C343" s="383">
        <f>C344+C345</f>
        <v>39.915520313999998</v>
      </c>
      <c r="D343" s="383">
        <f>D344+D345</f>
        <v>40.995865070999997</v>
      </c>
      <c r="E343" s="383">
        <f t="shared" ref="E343:Q343" si="313">E344+E345+E346</f>
        <v>42.628739557999999</v>
      </c>
      <c r="F343" s="383">
        <f t="shared" si="313"/>
        <v>36.269132315</v>
      </c>
      <c r="G343" s="383">
        <f t="shared" si="313"/>
        <v>43.556505271127477</v>
      </c>
      <c r="H343" s="383">
        <f t="shared" si="313"/>
        <v>46.661227296</v>
      </c>
      <c r="I343" s="383">
        <f t="shared" si="313"/>
        <v>49.142578111999995</v>
      </c>
      <c r="J343" s="383">
        <f>J344+J345+J346</f>
        <v>53.381626975000003</v>
      </c>
      <c r="K343" s="383">
        <f t="shared" si="313"/>
        <v>64.536955511000002</v>
      </c>
      <c r="L343" s="383">
        <f t="shared" si="313"/>
        <v>69.253412415000014</v>
      </c>
      <c r="M343" s="383">
        <f t="shared" si="313"/>
        <v>79.869841979</v>
      </c>
      <c r="N343" s="383">
        <f t="shared" si="313"/>
        <v>90.520190663000008</v>
      </c>
      <c r="O343" s="383">
        <f t="shared" si="313"/>
        <v>96.055766652999992</v>
      </c>
      <c r="P343" s="383">
        <f t="shared" si="313"/>
        <v>108.744206238</v>
      </c>
      <c r="Q343" s="383">
        <f t="shared" si="313"/>
        <v>780.62018298612747</v>
      </c>
      <c r="R343" s="383"/>
      <c r="S343" s="383"/>
      <c r="T343" s="383"/>
      <c r="U343" s="383"/>
      <c r="V343" s="383"/>
      <c r="W343" s="434"/>
      <c r="X343" s="487"/>
      <c r="Y343" s="487"/>
      <c r="Z343" s="404"/>
      <c r="AA343" s="404"/>
      <c r="AB343" s="404"/>
      <c r="AC343" s="404"/>
      <c r="AD343" s="404"/>
      <c r="AE343" s="404"/>
      <c r="AF343" s="404"/>
      <c r="AG343" s="404"/>
      <c r="AH343" s="404"/>
      <c r="AI343" s="404"/>
      <c r="AJ343" s="404"/>
      <c r="AK343" s="404"/>
      <c r="AL343" s="404"/>
      <c r="AM343" s="404"/>
      <c r="AN343" s="404"/>
      <c r="AO343" s="404"/>
      <c r="AP343" s="404"/>
      <c r="AQ343" s="404"/>
      <c r="AR343" s="404"/>
      <c r="AS343" s="404"/>
      <c r="AT343" s="404"/>
      <c r="AU343" s="404"/>
    </row>
    <row r="344" spans="2:47" ht="15" customHeight="1">
      <c r="B344" s="409" t="s">
        <v>618</v>
      </c>
      <c r="C344" s="391">
        <f>(Lending!N65+Lending!N104)/10^9</f>
        <v>28.279133649999999</v>
      </c>
      <c r="D344" s="391">
        <f>(Lending!O65+Lending!O104)/10^9</f>
        <v>29.647080701</v>
      </c>
      <c r="E344" s="391">
        <f>(Lending!P65+Lending!P104)/10^9</f>
        <v>31.567760057000001</v>
      </c>
      <c r="F344" s="391">
        <f>(Lending!Q65+Lending!Q104)/10^9</f>
        <v>28.221443812</v>
      </c>
      <c r="G344" s="391">
        <f>(Lending!R65+Lending!R104)/10^9</f>
        <v>31.310984130127476</v>
      </c>
      <c r="H344" s="391">
        <f>(Lending!S65+Lending!S104)/10^9</f>
        <v>31.952069172000002</v>
      </c>
      <c r="I344" s="391">
        <f>(Lending!T65+Lending!T104)/10^9</f>
        <v>34.794535762999999</v>
      </c>
      <c r="J344" s="391">
        <f>(Lending!U65+Lending!U104)/10^9</f>
        <v>35.585289951</v>
      </c>
      <c r="K344" s="391">
        <f>(Lending!V65+Lending!V104)/10^9</f>
        <v>40.274680771</v>
      </c>
      <c r="L344" s="391">
        <f>(Lending!W65+Lending!W104)/10^9</f>
        <v>44.754081634000002</v>
      </c>
      <c r="M344" s="391">
        <f>(Lending!X65+Lending!X104)/10^9</f>
        <v>48.376578989999999</v>
      </c>
      <c r="N344" s="391">
        <f>(Lending!Y65+Lending!Y104)/10^9</f>
        <v>55.941734318000002</v>
      </c>
      <c r="O344" s="391">
        <f>(Lending!Z65+Lending!Z104)/10^9</f>
        <v>60.190822805000003</v>
      </c>
      <c r="P344" s="391">
        <f>(Lending!AA65+Lending!AA104)/10^9</f>
        <v>69.214477564999996</v>
      </c>
      <c r="Q344" s="391">
        <f>(Lending!M65+Lending!M104)/10^9</f>
        <v>512.18445896812739</v>
      </c>
      <c r="R344" s="391"/>
      <c r="S344" s="391"/>
      <c r="T344" s="391"/>
      <c r="U344" s="391"/>
      <c r="V344" s="391"/>
      <c r="W344" s="490"/>
      <c r="X344" s="491"/>
      <c r="Y344" s="491"/>
      <c r="Z344" s="404"/>
      <c r="AA344" s="404"/>
      <c r="AB344" s="404"/>
      <c r="AC344" s="404"/>
      <c r="AD344" s="404"/>
      <c r="AE344" s="404"/>
      <c r="AF344" s="404"/>
      <c r="AG344" s="404"/>
      <c r="AH344" s="404"/>
      <c r="AI344" s="404"/>
      <c r="AJ344" s="404"/>
      <c r="AK344" s="404"/>
      <c r="AL344" s="404"/>
      <c r="AM344" s="404"/>
      <c r="AN344" s="404"/>
      <c r="AO344" s="404"/>
      <c r="AP344" s="404"/>
      <c r="AQ344" s="404"/>
      <c r="AR344" s="404"/>
      <c r="AS344" s="404"/>
      <c r="AT344" s="404"/>
      <c r="AU344" s="404"/>
    </row>
    <row r="345" spans="2:47" ht="15" customHeight="1">
      <c r="B345" s="409" t="s">
        <v>619</v>
      </c>
      <c r="C345" s="391">
        <f>(Lending!N70+Lending!N109)/10^9</f>
        <v>11.636386664</v>
      </c>
      <c r="D345" s="391">
        <f>(Lending!O70+Lending!O109)/10^9</f>
        <v>11.348784370000001</v>
      </c>
      <c r="E345" s="391">
        <f>(Lending!P70+Lending!P109)/10^9</f>
        <v>11.043679563</v>
      </c>
      <c r="F345" s="391">
        <f>(Lending!Q70+Lending!Q109)/10^9</f>
        <v>7.9390538140000002</v>
      </c>
      <c r="G345" s="391">
        <f>(Lending!R70+Lending!R109)/10^9</f>
        <v>11.697435974999999</v>
      </c>
      <c r="H345" s="391">
        <f>(Lending!S70+Lending!S109)/10^9</f>
        <v>14.254832264999999</v>
      </c>
      <c r="I345" s="391">
        <f>(Lending!T70+Lending!T109)/10^9</f>
        <v>13.701326227999999</v>
      </c>
      <c r="J345" s="391">
        <f>(Lending!U70+Lending!U109)/10^9</f>
        <v>16.986826294</v>
      </c>
      <c r="K345" s="391">
        <f>(Lending!V70+Lending!V109)/10^9</f>
        <v>23.177163085</v>
      </c>
      <c r="L345" s="391">
        <f>(Lending!W70+Lending!W109)/10^9</f>
        <v>23.411178066000002</v>
      </c>
      <c r="M345" s="391">
        <f>(Lending!X70+Lending!X109)/10^9</f>
        <v>30.588187992999998</v>
      </c>
      <c r="N345" s="391">
        <f>(Lending!Y70+Lending!Y109)/10^9</f>
        <v>33.587261765000001</v>
      </c>
      <c r="O345" s="391">
        <f>(Lending!Z70+Lending!Z109)/10^9</f>
        <v>34.955930936000001</v>
      </c>
      <c r="P345" s="391">
        <f>(Lending!AA70+Lending!AA109)/10^9</f>
        <v>38.082144806999999</v>
      </c>
      <c r="Q345" s="391">
        <f>(Lending!M70+Lending!M109)/10^9</f>
        <v>259.42502079100001</v>
      </c>
      <c r="R345" s="391"/>
      <c r="S345" s="391"/>
      <c r="T345" s="391"/>
      <c r="U345" s="490"/>
      <c r="V345" s="391"/>
      <c r="W345" s="490"/>
      <c r="X345" s="491"/>
      <c r="Y345" s="491"/>
      <c r="Z345" s="404"/>
      <c r="AA345" s="404"/>
      <c r="AB345" s="404"/>
      <c r="AC345" s="404"/>
      <c r="AD345" s="404"/>
      <c r="AE345" s="404"/>
      <c r="AF345" s="404"/>
      <c r="AG345" s="404"/>
      <c r="AH345" s="404"/>
      <c r="AI345" s="404"/>
      <c r="AJ345" s="404"/>
      <c r="AK345" s="404"/>
      <c r="AL345" s="404"/>
      <c r="AM345" s="404"/>
      <c r="AN345" s="404"/>
      <c r="AO345" s="404"/>
      <c r="AP345" s="404"/>
      <c r="AQ345" s="404"/>
      <c r="AR345" s="404"/>
      <c r="AS345" s="404"/>
      <c r="AT345" s="404"/>
      <c r="AU345" s="404"/>
    </row>
    <row r="346" spans="2:47" ht="15" customHeight="1">
      <c r="B346" s="409" t="s">
        <v>620</v>
      </c>
      <c r="C346" s="391"/>
      <c r="D346" s="391"/>
      <c r="E346" s="391">
        <f>(Lending!P74+Lending!P113)/10^9</f>
        <v>1.7299938000000001E-2</v>
      </c>
      <c r="F346" s="391">
        <f>(Lending!Q74+Lending!Q113)/10^9</f>
        <v>0.10863468900000001</v>
      </c>
      <c r="G346" s="391">
        <f>(Lending!R74+Lending!R113)/10^9</f>
        <v>0.54808516600000001</v>
      </c>
      <c r="H346" s="391">
        <f>(Lending!S74+Lending!S113)/10^9</f>
        <v>0.454325859</v>
      </c>
      <c r="I346" s="391">
        <f>(Lending!T74+Lending!T113)/10^9</f>
        <v>0.64671612099999998</v>
      </c>
      <c r="J346" s="391">
        <f>(Lending!U74+Lending!U113)/10^9</f>
        <v>0.80951072999999996</v>
      </c>
      <c r="K346" s="391">
        <f>(Lending!V74+Lending!V113)/10^9</f>
        <v>1.085111655</v>
      </c>
      <c r="L346" s="391">
        <f>(Lending!W74+Lending!W113)/10^9</f>
        <v>1.0881527150000001</v>
      </c>
      <c r="M346" s="391">
        <f>(Lending!X74+Lending!X113)/10^9</f>
        <v>0.90507499599999996</v>
      </c>
      <c r="N346" s="391">
        <f>(Lending!Y74+Lending!Y113)/10^9</f>
        <v>0.99119458000000005</v>
      </c>
      <c r="O346" s="391">
        <f>(Lending!Z74+Lending!Z113)/10^9</f>
        <v>0.90901291200000001</v>
      </c>
      <c r="P346" s="391">
        <f>(Lending!AA74+Lending!AA113)/10^9</f>
        <v>1.447583866</v>
      </c>
      <c r="Q346" s="391">
        <f>(Lending!M74+Lending!M113)/10^9</f>
        <v>9.0107032270000005</v>
      </c>
      <c r="R346" s="391"/>
      <c r="S346" s="391"/>
      <c r="T346" s="391"/>
      <c r="U346" s="490"/>
      <c r="V346" s="391"/>
      <c r="W346" s="490"/>
      <c r="X346" s="491"/>
      <c r="Y346" s="491"/>
      <c r="Z346" s="404"/>
      <c r="AA346" s="404"/>
      <c r="AB346" s="404"/>
      <c r="AC346" s="404"/>
      <c r="AD346" s="404"/>
      <c r="AE346" s="404"/>
      <c r="AF346" s="404"/>
      <c r="AG346" s="404"/>
      <c r="AH346" s="404"/>
      <c r="AI346" s="404"/>
      <c r="AJ346" s="404"/>
      <c r="AK346" s="404"/>
      <c r="AL346" s="404"/>
      <c r="AM346" s="404"/>
      <c r="AN346" s="404"/>
      <c r="AO346" s="404"/>
      <c r="AP346" s="404"/>
      <c r="AQ346" s="404"/>
      <c r="AR346" s="404"/>
      <c r="AS346" s="404"/>
      <c r="AT346" s="404"/>
      <c r="AU346" s="404"/>
    </row>
    <row r="347" spans="2:47" ht="15" customHeight="1">
      <c r="B347" s="361" t="s">
        <v>621</v>
      </c>
      <c r="C347" s="383">
        <f>(Lending!N75+Lending!N114)/10^9</f>
        <v>11.958773379</v>
      </c>
      <c r="D347" s="383">
        <f>(Lending!O75+Lending!O114)/10^9</f>
        <v>17.053225725000001</v>
      </c>
      <c r="E347" s="383">
        <f>(Lending!P75+Lending!P114)/10^9</f>
        <v>41.978357152000001</v>
      </c>
      <c r="F347" s="383">
        <f>(Lending!Q75+Lending!Q114)/10^9</f>
        <v>20.058574488000001</v>
      </c>
      <c r="G347" s="383">
        <f>(Lending!R75+Lending!R114)/10^9</f>
        <v>25.233620393999999</v>
      </c>
      <c r="H347" s="383">
        <f>(Lending!S75+Lending!S114)/10^9</f>
        <v>19.662587390999999</v>
      </c>
      <c r="I347" s="383">
        <f>(Lending!T75+Lending!T114)/10^9</f>
        <v>33.339361582000002</v>
      </c>
      <c r="J347" s="383">
        <f>(Lending!U75+Lending!U114)/10^9</f>
        <v>28.790404073000001</v>
      </c>
      <c r="K347" s="383">
        <f>(Lending!V75+Lending!V114)/10^9</f>
        <v>23.034426794000002</v>
      </c>
      <c r="L347" s="383">
        <f>(Lending!W75+Lending!W114)/10^9</f>
        <v>29.899783471999999</v>
      </c>
      <c r="M347" s="383">
        <f>(Lending!X75+Lending!X114)/10^9</f>
        <v>37.753434016999996</v>
      </c>
      <c r="N347" s="383">
        <f>(Lending!Y75+Lending!Y114)/10^9</f>
        <v>35.659302029999999</v>
      </c>
      <c r="O347" s="383">
        <f>(Lending!Z75+Lending!Z114)/10^9</f>
        <v>41.885287171000002</v>
      </c>
      <c r="P347" s="383">
        <f>(Lending!AA75+Lending!AA114)/10^9</f>
        <v>52.394302132</v>
      </c>
      <c r="Q347" s="383">
        <f>(Lending!M75+Lending!M114)/10^9</f>
        <v>389.68944069600002</v>
      </c>
      <c r="R347" s="383"/>
      <c r="S347" s="383"/>
      <c r="T347" s="383"/>
      <c r="U347" s="434"/>
      <c r="V347" s="383"/>
      <c r="W347" s="434"/>
      <c r="X347" s="487"/>
      <c r="Y347" s="487"/>
      <c r="Z347" s="774"/>
      <c r="AA347" s="414"/>
      <c r="AB347" s="414"/>
      <c r="AC347" s="414"/>
      <c r="AD347" s="414"/>
      <c r="AE347" s="414"/>
      <c r="AF347" s="414"/>
      <c r="AG347" s="414"/>
      <c r="AH347" s="414"/>
      <c r="AI347" s="414"/>
      <c r="AJ347" s="414"/>
      <c r="AK347" s="414"/>
      <c r="AL347" s="414"/>
      <c r="AM347" s="414"/>
      <c r="AN347" s="414"/>
      <c r="AO347" s="414"/>
      <c r="AP347" s="414"/>
      <c r="AQ347" s="414"/>
      <c r="AR347" s="414"/>
      <c r="AS347" s="414"/>
      <c r="AT347" s="414"/>
      <c r="AU347" s="414"/>
    </row>
    <row r="348" spans="2:47" ht="15" customHeight="1">
      <c r="B348" s="361" t="s">
        <v>84</v>
      </c>
      <c r="C348" s="383">
        <f t="shared" ref="C348:Q348" si="314">SUM(C349:C356)</f>
        <v>12.093811012203444</v>
      </c>
      <c r="D348" s="383">
        <f t="shared" si="314"/>
        <v>10.412369202638402</v>
      </c>
      <c r="E348" s="383">
        <f t="shared" si="314"/>
        <v>9.0797893891763515</v>
      </c>
      <c r="F348" s="383">
        <f t="shared" si="314"/>
        <v>9.5911115545179797</v>
      </c>
      <c r="G348" s="383">
        <f t="shared" si="314"/>
        <v>9.1604057599047923</v>
      </c>
      <c r="H348" s="383">
        <f t="shared" si="314"/>
        <v>18.303134260788308</v>
      </c>
      <c r="I348" s="383">
        <f t="shared" si="314"/>
        <v>12.710700628548341</v>
      </c>
      <c r="J348" s="383">
        <f>SUM(J349:J356)</f>
        <v>17.04748818791138</v>
      </c>
      <c r="K348" s="383">
        <f t="shared" si="314"/>
        <v>28.916998339733937</v>
      </c>
      <c r="L348" s="383">
        <f t="shared" si="314"/>
        <v>19.63547086972353</v>
      </c>
      <c r="M348" s="383">
        <f t="shared" si="314"/>
        <v>29.547624602417507</v>
      </c>
      <c r="N348" s="383">
        <f t="shared" si="314"/>
        <v>31.47316854460302</v>
      </c>
      <c r="O348" s="383">
        <f t="shared" si="314"/>
        <v>35.441594404386812</v>
      </c>
      <c r="P348" s="383">
        <f t="shared" si="314"/>
        <v>38.214393575304051</v>
      </c>
      <c r="Q348" s="383">
        <f t="shared" si="314"/>
        <v>259.12188011701602</v>
      </c>
      <c r="R348" s="383"/>
      <c r="S348" s="383"/>
      <c r="T348" s="383"/>
      <c r="U348" s="383"/>
      <c r="V348" s="383"/>
      <c r="W348" s="434"/>
      <c r="X348" s="487"/>
      <c r="Y348" s="487"/>
      <c r="Z348" s="414"/>
      <c r="AA348" s="414"/>
      <c r="AB348" s="414"/>
      <c r="AC348" s="414"/>
      <c r="AD348" s="414"/>
      <c r="AE348" s="414"/>
      <c r="AF348" s="414"/>
      <c r="AG348" s="414"/>
      <c r="AH348" s="414"/>
      <c r="AI348" s="414"/>
      <c r="AJ348" s="414"/>
      <c r="AK348" s="414"/>
      <c r="AL348" s="414"/>
      <c r="AM348" s="414"/>
      <c r="AN348" s="414"/>
      <c r="AO348" s="414"/>
      <c r="AP348" s="414"/>
      <c r="AQ348" s="414"/>
      <c r="AR348" s="414"/>
      <c r="AS348" s="414"/>
      <c r="AT348" s="414"/>
      <c r="AU348" s="414"/>
    </row>
    <row r="349" spans="2:47" ht="15" hidden="1" customHeight="1">
      <c r="B349" s="409" t="s">
        <v>230</v>
      </c>
      <c r="C349" s="386">
        <f>SUMIFS(Lending!N$49:N$124,Lending!$C$49:$C$124,"Cashloan",Lending!$L$49:$L$124,$B$349)/10^9</f>
        <v>0</v>
      </c>
      <c r="D349" s="386">
        <f>SUMIFS(Lending!O$49:O$124,Lending!$C$49:$C$124,"Cashloan",Lending!$L$49:$L$124,$B$349)/10^9</f>
        <v>0</v>
      </c>
      <c r="E349" s="386">
        <f>SUMIFS(Lending!P$49:P$124,Lending!$C$49:$C$124,"Cashloan",Lending!$L$49:$L$124,$B$349)/10^9</f>
        <v>0</v>
      </c>
      <c r="F349" s="386">
        <f>SUMIFS(Lending!Q$49:Q$124,Lending!$C$49:$C$124,"Cashloan",Lending!$L$49:$L$124,$B$349)/10^9</f>
        <v>0</v>
      </c>
      <c r="G349" s="386">
        <f>SUMIFS(Lending!R$49:R$124,Lending!$C$49:$C$124,"Cashloan",Lending!$L$49:$L$124,$B$349)/10^9</f>
        <v>0</v>
      </c>
      <c r="H349" s="386">
        <f>SUMIFS(Lending!S$49:S$124,Lending!$C$49:$C$124,"Cashloan",Lending!$L$49:$L$124,$B$349)/10^9</f>
        <v>0</v>
      </c>
      <c r="I349" s="386">
        <f>SUMIFS(Lending!T$49:T$124,Lending!$C$49:$C$124,"Cashloan",Lending!$L$49:$L$124,$B$349)/10^9</f>
        <v>0</v>
      </c>
      <c r="J349" s="386">
        <f>SUMIFS(Lending!U$49:U$124,Lending!$C$49:$C$124,"Cashloan",Lending!$L$49:$L$124,$B$349)/10^9</f>
        <v>0</v>
      </c>
      <c r="K349" s="386">
        <f>SUMIFS(Lending!V$49:V$124,Lending!$C$49:$C$124,"Cashloan",Lending!$L$49:$L$124,$B$349)/10^9</f>
        <v>0</v>
      </c>
      <c r="L349" s="386">
        <f>SUMIFS(Lending!W$49:W$124,Lending!$C$49:$C$124,"Cashloan",Lending!$L$49:$L$124,$B$349)/10^9</f>
        <v>0</v>
      </c>
      <c r="M349" s="386">
        <f>SUMIFS(Lending!X$49:X$124,Lending!$C$49:$C$124,"Cashloan",Lending!$L$49:$L$124,$B$349)/10^9</f>
        <v>0</v>
      </c>
      <c r="N349" s="386">
        <f>SUMIFS(Lending!Y$49:Y$124,Lending!$C$49:$C$124,"Cashloan",Lending!$L$49:$L$124,$B$349)/10^9</f>
        <v>0</v>
      </c>
      <c r="O349" s="386">
        <f>SUMIFS(Lending!Z$49:Z$124,Lending!$C$49:$C$124,"Cashloan",Lending!$L$49:$L$124,$B$349)/10^9</f>
        <v>0</v>
      </c>
      <c r="P349" s="386">
        <f>SUMIFS(Lending!AA$49:AA$124,Lending!$C$49:$C$124,"Cashloan",Lending!$L$49:$L$124,$B$349)/10^9</f>
        <v>0</v>
      </c>
      <c r="Q349" s="386">
        <f>SUMIFS(Lending!M$49:M$124,Lending!$C$49:$C$124,"Cashloan",Lending!$L$49:$L$124,$B$349)/10^9</f>
        <v>0</v>
      </c>
      <c r="R349" s="383"/>
      <c r="S349" s="383"/>
      <c r="T349" s="383"/>
      <c r="U349" s="383"/>
      <c r="V349" s="383"/>
      <c r="W349" s="434"/>
      <c r="X349" s="487"/>
      <c r="Y349" s="385"/>
      <c r="Z349" s="414"/>
      <c r="AA349" s="414"/>
      <c r="AB349" s="414"/>
      <c r="AC349" s="414"/>
      <c r="AD349" s="414"/>
      <c r="AE349" s="414"/>
      <c r="AF349" s="414"/>
      <c r="AG349" s="414"/>
      <c r="AH349" s="414"/>
      <c r="AI349" s="414"/>
      <c r="AJ349" s="414"/>
      <c r="AK349" s="414"/>
      <c r="AL349" s="414"/>
      <c r="AM349" s="414"/>
      <c r="AN349" s="414"/>
      <c r="AO349" s="414"/>
      <c r="AP349" s="414"/>
      <c r="AQ349" s="414"/>
      <c r="AR349" s="414"/>
      <c r="AS349" s="414"/>
      <c r="AT349" s="414"/>
      <c r="AU349" s="414"/>
    </row>
    <row r="350" spans="2:47" ht="15" customHeight="1">
      <c r="B350" s="409" t="s">
        <v>231</v>
      </c>
      <c r="C350" s="386">
        <f>SUMIFS(Lending!N$49:N$124,Lending!$C$49:$C$124,"Cashloan",Lending!$L$49:$L$124,$B$350)/10^9</f>
        <v>10.774867252</v>
      </c>
      <c r="D350" s="386">
        <f>SUMIFS(Lending!O$49:O$124,Lending!$C$49:$C$124,"Cashloan",Lending!$L$49:$L$124,$B$350)/10^9</f>
        <v>8.7971479860000006</v>
      </c>
      <c r="E350" s="386">
        <f>SUMIFS(Lending!P$49:P$124,Lending!$C$49:$C$124,"Cashloan",Lending!$L$49:$L$124,$B$350)/10^9</f>
        <v>7.5643444989999997</v>
      </c>
      <c r="F350" s="386">
        <f>SUMIFS(Lending!Q$49:Q$124,Lending!$C$49:$C$124,"Cashloan",Lending!$L$49:$L$124,$B$350)/10^9</f>
        <v>7.9019393510000002</v>
      </c>
      <c r="G350" s="386">
        <f>SUMIFS(Lending!R$49:R$124,Lending!$C$49:$C$124,"Cashloan",Lending!$L$49:$L$124,$B$350)/10^9</f>
        <v>7.7631891590000004</v>
      </c>
      <c r="H350" s="386">
        <f>SUMIFS(Lending!S$49:S$124,Lending!$C$49:$C$124,"Cashloan",Lending!$L$49:$L$124,$B$350)/10^9</f>
        <v>16.890495341000001</v>
      </c>
      <c r="I350" s="386">
        <f>SUMIFS(Lending!T$49:T$124,Lending!$C$49:$C$124,"Cashloan",Lending!$L$49:$L$124,$B$350)/10^9</f>
        <v>11.325560163</v>
      </c>
      <c r="J350" s="386">
        <f>SUMIFS(Lending!U$49:U$124,Lending!$C$49:$C$124,"Cashloan",Lending!$L$49:$L$124,$B$350)/10^9</f>
        <v>16.182793279999999</v>
      </c>
      <c r="K350" s="386">
        <f>SUMIFS(Lending!V$49:V$124,Lending!$C$49:$C$124,"Cashloan",Lending!$L$49:$L$124,$B$350)/10^9</f>
        <v>27.733721648</v>
      </c>
      <c r="L350" s="386">
        <f>SUMIFS(Lending!W$49:W$124,Lending!$C$49:$C$124,"Cashloan",Lending!$L$49:$L$124,$B$350)/10^9</f>
        <v>18.092239319000001</v>
      </c>
      <c r="M350" s="386">
        <f>SUMIFS(Lending!X$49:X$124,Lending!$C$49:$C$124,"Cashloan",Lending!$L$49:$L$124,$B$350)/10^9</f>
        <v>27.715319580999999</v>
      </c>
      <c r="N350" s="386">
        <f>SUMIFS(Lending!Y$49:Y$124,Lending!$C$49:$C$124,"Cashloan",Lending!$L$49:$L$124,$B$350)/10^9</f>
        <v>29.789377363</v>
      </c>
      <c r="O350" s="386">
        <f>SUMIFS(Lending!Z$49:Z$124,Lending!$C$49:$C$124,"Cashloan",Lending!$L$49:$L$124,$B$350)/10^9</f>
        <v>33.537875978000002</v>
      </c>
      <c r="P350" s="386">
        <f>SUMIFS(Lending!AA$49:AA$124,Lending!$C$49:$C$124,"Cashloan",Lending!$L$49:$L$124,$B$350)/10^9</f>
        <v>36.161641158000002</v>
      </c>
      <c r="Q350" s="386">
        <f>SUMIFS(Lending!M$49:M$124,Lending!$C$49:$C$124,"Cashloan",Lending!$L$49:$L$124,$B$350)/10^9</f>
        <v>240.65849684</v>
      </c>
      <c r="R350" s="383"/>
      <c r="S350" s="383"/>
      <c r="T350" s="383">
        <f>J350-I350</f>
        <v>4.857233116999998</v>
      </c>
      <c r="U350" s="383"/>
      <c r="V350" s="383"/>
      <c r="W350" s="434"/>
      <c r="X350" s="487"/>
      <c r="Y350" s="385"/>
      <c r="Z350" s="414"/>
      <c r="AA350" s="414"/>
      <c r="AB350" s="414"/>
      <c r="AC350" s="414"/>
      <c r="AD350" s="414"/>
      <c r="AE350" s="414"/>
      <c r="AF350" s="414"/>
      <c r="AG350" s="414"/>
      <c r="AH350" s="414"/>
      <c r="AI350" s="414"/>
      <c r="AJ350" s="414"/>
      <c r="AK350" s="414"/>
      <c r="AL350" s="414"/>
      <c r="AM350" s="414"/>
      <c r="AN350" s="414"/>
      <c r="AO350" s="414"/>
      <c r="AP350" s="414"/>
      <c r="AQ350" s="414"/>
      <c r="AR350" s="414"/>
      <c r="AS350" s="414"/>
      <c r="AT350" s="414"/>
      <c r="AU350" s="414"/>
    </row>
    <row r="351" spans="2:47" ht="15" customHeight="1">
      <c r="B351" s="409" t="s">
        <v>232</v>
      </c>
      <c r="C351" s="386">
        <f>SUMIFS(Lending!N$49:N$124,Lending!$C$49:$C$124,"Cashloan",Lending!$L$49:$L$124,$B$351)/10^9</f>
        <v>0.44349702634411264</v>
      </c>
      <c r="D351" s="386">
        <f>SUMIFS(Lending!O$49:O$124,Lending!$C$49:$C$124,"Cashloan",Lending!$L$49:$L$124,$B$351)/10^9</f>
        <v>0.44650604578328101</v>
      </c>
      <c r="E351" s="386">
        <f>SUMIFS(Lending!P$49:P$124,Lending!$C$49:$C$124,"Cashloan",Lending!$L$49:$L$124,$B$351)/10^9</f>
        <v>0.40377398818296201</v>
      </c>
      <c r="F351" s="386">
        <f>SUMIFS(Lending!Q$49:Q$124,Lending!$C$49:$C$124,"Cashloan",Lending!$L$49:$L$124,$B$351)/10^9</f>
        <v>0.31512743015880773</v>
      </c>
      <c r="G351" s="386">
        <f>SUMIFS(Lending!R$49:R$124,Lending!$C$49:$C$124,"Cashloan",Lending!$L$49:$L$124,$B$351)/10^9</f>
        <v>0.50767711174467378</v>
      </c>
      <c r="H351" s="386">
        <f>SUMIFS(Lending!S$49:S$124,Lending!$C$49:$C$124,"Cashloan",Lending!$L$49:$L$124,$B$351)/10^9</f>
        <v>0.47070687070116801</v>
      </c>
      <c r="I351" s="386">
        <f>SUMIFS(Lending!T$49:T$124,Lending!$C$49:$C$124,"Cashloan",Lending!$L$49:$L$124,$B$351)/10^9</f>
        <v>0.40830744068016694</v>
      </c>
      <c r="J351" s="386">
        <f>SUMIFS(Lending!U$49:U$124,Lending!$C$49:$C$124,"Cashloan",Lending!$L$49:$L$124,$B$351)/10^9</f>
        <v>0.42273739966386442</v>
      </c>
      <c r="K351" s="386">
        <f>SUMIFS(Lending!V$49:V$124,Lending!$C$49:$C$124,"Cashloan",Lending!$L$49:$L$124,$B$351)/10^9</f>
        <v>0.56105679056551472</v>
      </c>
      <c r="L351" s="386">
        <f>SUMIFS(Lending!W$49:W$124,Lending!$C$49:$C$124,"Cashloan",Lending!$L$49:$L$124,$B$351)/10^9</f>
        <v>0.95810976860964814</v>
      </c>
      <c r="M351" s="386">
        <f>SUMIFS(Lending!X$49:X$124,Lending!$C$49:$C$124,"Cashloan",Lending!$L$49:$L$124,$B$351)/10^9</f>
        <v>1.1083526465822795</v>
      </c>
      <c r="N351" s="386">
        <f>SUMIFS(Lending!Y$49:Y$124,Lending!$C$49:$C$124,"Cashloan",Lending!$L$49:$L$124,$B$351)/10^9</f>
        <v>1.0861968615513848</v>
      </c>
      <c r="O351" s="386">
        <f>SUMIFS(Lending!Z$49:Z$124,Lending!$C$49:$C$124,"Cashloan",Lending!$L$49:$L$124,$B$351)/10^9</f>
        <v>1.0990977588877024</v>
      </c>
      <c r="P351" s="386">
        <f>SUMIFS(Lending!AA$49:AA$124,Lending!$C$49:$C$124,"Cashloan",Lending!$L$49:$L$124,$B$351)/10^9</f>
        <v>1.3065673712235728</v>
      </c>
      <c r="Q351" s="386">
        <f>SUMIFS(Lending!M$49:M$124,Lending!$C$49:$C$124,"Cashloan",Lending!$L$49:$L$124,$B$351)/10^9</f>
        <v>8.6477114385517471</v>
      </c>
      <c r="R351" s="383"/>
      <c r="S351" s="383"/>
      <c r="T351" s="383"/>
      <c r="U351" s="383"/>
      <c r="V351" s="383"/>
      <c r="W351" s="434"/>
      <c r="X351" s="487"/>
      <c r="Y351" s="385"/>
      <c r="Z351" s="414"/>
      <c r="AA351" s="414"/>
      <c r="AB351" s="414"/>
      <c r="AC351" s="414"/>
      <c r="AD351" s="414"/>
      <c r="AE351" s="414"/>
      <c r="AF351" s="414"/>
      <c r="AG351" s="414"/>
      <c r="AH351" s="414"/>
      <c r="AI351" s="414"/>
      <c r="AJ351" s="414"/>
      <c r="AK351" s="414"/>
      <c r="AL351" s="414"/>
      <c r="AM351" s="414"/>
      <c r="AN351" s="414"/>
      <c r="AO351" s="414"/>
      <c r="AP351" s="414"/>
      <c r="AQ351" s="414"/>
      <c r="AR351" s="414"/>
      <c r="AS351" s="414"/>
      <c r="AT351" s="414"/>
      <c r="AU351" s="414"/>
    </row>
    <row r="352" spans="2:47" ht="15" customHeight="1">
      <c r="B352" s="409" t="s">
        <v>233</v>
      </c>
      <c r="C352" s="386">
        <f>SUMIFS(Lending!N$49:N$124,Lending!$C$49:$C$124,"Cashloan",Lending!$L$49:$L$124,$B$352)/10^9</f>
        <v>1.4410332E-2</v>
      </c>
      <c r="D352" s="386">
        <f>SUMIFS(Lending!O$49:O$124,Lending!$C$49:$C$124,"Cashloan",Lending!$L$49:$L$124,$B$352)/10^9</f>
        <v>1.2631295000000001E-2</v>
      </c>
      <c r="E352" s="386">
        <f>SUMIFS(Lending!P$49:P$124,Lending!$C$49:$C$124,"Cashloan",Lending!$L$49:$L$124,$B$352)/10^9</f>
        <v>1.2034295E-2</v>
      </c>
      <c r="F352" s="386">
        <f>SUMIFS(Lending!Q$49:Q$124,Lending!$C$49:$C$124,"Cashloan",Lending!$L$49:$L$124,$B$352)/10^9</f>
        <v>9.7354739999999992E-3</v>
      </c>
      <c r="G352" s="386">
        <f>SUMIFS(Lending!R$49:R$124,Lending!$C$49:$C$124,"Cashloan",Lending!$L$49:$L$124,$B$352)/10^9</f>
        <v>1.5129381000000001E-2</v>
      </c>
      <c r="H352" s="386">
        <f>SUMIFS(Lending!S$49:S$124,Lending!$C$49:$C$124,"Cashloan",Lending!$L$49:$L$124,$B$352)/10^9</f>
        <v>4.1907703999999997E-2</v>
      </c>
      <c r="I352" s="386">
        <f>SUMIFS(Lending!T$49:T$124,Lending!$C$49:$C$124,"Cashloan",Lending!$L$49:$L$124,$B$352)/10^9</f>
        <v>1.3313035000000001E-2</v>
      </c>
      <c r="J352" s="386">
        <f>SUMIFS(Lending!U$49:U$124,Lending!$C$49:$C$124,"Cashloan",Lending!$L$49:$L$124,$B$352)/10^9</f>
        <v>1.4754374000000001E-2</v>
      </c>
      <c r="K352" s="386">
        <f>SUMIFS(Lending!V$49:V$124,Lending!$C$49:$C$124,"Cashloan",Lending!$L$49:$L$124,$B$352)/10^9</f>
        <v>2.0476307999999999E-2</v>
      </c>
      <c r="L352" s="386">
        <f>SUMIFS(Lending!W$49:W$124,Lending!$C$49:$C$124,"Cashloan",Lending!$L$49:$L$124,$B$352)/10^9</f>
        <v>1.9497470999999999E-2</v>
      </c>
      <c r="M352" s="386">
        <f>SUMIFS(Lending!X$49:X$124,Lending!$C$49:$C$124,"Cashloan",Lending!$L$49:$L$124,$B$352)/10^9</f>
        <v>2.1166379999999999E-2</v>
      </c>
      <c r="N352" s="386">
        <f>SUMIFS(Lending!Y$49:Y$124,Lending!$C$49:$C$124,"Cashloan",Lending!$L$49:$L$124,$B$352)/10^9</f>
        <v>2.2010108E-2</v>
      </c>
      <c r="O352" s="386">
        <f>SUMIFS(Lending!Z$49:Z$124,Lending!$C$49:$C$124,"Cashloan",Lending!$L$49:$L$124,$B$352)/10^9</f>
        <v>2.3470567000000001E-2</v>
      </c>
      <c r="P352" s="386">
        <f>SUMIFS(Lending!AA$49:AA$124,Lending!$C$49:$C$124,"Cashloan",Lending!$L$49:$L$124,$B$352)/10^9</f>
        <v>2.764993E-2</v>
      </c>
      <c r="Q352" s="386">
        <f>SUMIFS(Lending!M$49:M$124,Lending!$C$49:$C$124,"Cashloan",Lending!$L$49:$L$124,$B$352)/10^9</f>
        <v>0.24114502700000001</v>
      </c>
      <c r="R352" s="383"/>
      <c r="S352" s="383"/>
      <c r="T352" s="383"/>
      <c r="U352" s="383"/>
      <c r="V352" s="383"/>
      <c r="W352" s="434"/>
      <c r="X352" s="487"/>
      <c r="Y352" s="385"/>
      <c r="Z352" s="414"/>
      <c r="AA352" s="414"/>
      <c r="AB352" s="414"/>
      <c r="AC352" s="414"/>
      <c r="AD352" s="414"/>
      <c r="AE352" s="414"/>
      <c r="AF352" s="414"/>
      <c r="AG352" s="414"/>
      <c r="AH352" s="414"/>
      <c r="AI352" s="414"/>
      <c r="AJ352" s="414"/>
      <c r="AK352" s="414"/>
      <c r="AL352" s="414"/>
      <c r="AM352" s="414"/>
      <c r="AN352" s="414"/>
      <c r="AO352" s="414"/>
      <c r="AP352" s="414"/>
      <c r="AQ352" s="414"/>
      <c r="AR352" s="414"/>
      <c r="AS352" s="414"/>
      <c r="AT352" s="414"/>
      <c r="AU352" s="414"/>
    </row>
    <row r="353" spans="2:47" ht="15" hidden="1" customHeight="1">
      <c r="B353" s="409" t="s">
        <v>152</v>
      </c>
      <c r="C353" s="386">
        <f>SUMIFS(Lending!N$49:N$124,Lending!$C$49:$C$124,"Cashloan",Lending!$L$49:$L$124,$B$353)/10^9</f>
        <v>0</v>
      </c>
      <c r="D353" s="386">
        <f>SUMIFS(Lending!O$49:O$124,Lending!$C$49:$C$124,"Cashloan",Lending!$L$49:$L$124,$B$353)/10^9</f>
        <v>0</v>
      </c>
      <c r="E353" s="386">
        <f>SUMIFS(Lending!P$49:P$124,Lending!$C$49:$C$124,"Cashloan",Lending!$L$49:$L$124,$B$353)/10^9</f>
        <v>5.1855858508285523E-2</v>
      </c>
      <c r="F353" s="386">
        <f>SUMIFS(Lending!Q$49:Q$124,Lending!$C$49:$C$124,"Cashloan",Lending!$L$49:$L$124,$B$353)/10^9</f>
        <v>3.3287676905717149E-2</v>
      </c>
      <c r="G353" s="386">
        <f>SUMIFS(Lending!R$49:R$124,Lending!$C$49:$C$124,"Cashloan",Lending!$L$49:$L$124,$B$353)/10^9</f>
        <v>4.9965770836311645E-2</v>
      </c>
      <c r="H353" s="386">
        <f>SUMIFS(Lending!S$49:S$124,Lending!$C$49:$C$124,"Cashloan",Lending!$L$49:$L$124,$B$353)/10^9</f>
        <v>4.2582186741781138E-2</v>
      </c>
      <c r="I353" s="386">
        <f>SUMIFS(Lending!T$49:T$124,Lending!$C$49:$C$124,"Cashloan",Lending!$L$49:$L$124,$B$353)/10^9</f>
        <v>3.5459447705295473E-2</v>
      </c>
      <c r="J353" s="386">
        <f>SUMIFS(Lending!U$49:U$124,Lending!$C$49:$C$124,"Cashloan",Lending!$L$49:$L$124,$B$353)/10^9</f>
        <v>3.5593139302879322E-2</v>
      </c>
      <c r="K353" s="386">
        <f>SUMIFS(Lending!V$49:V$124,Lending!$C$49:$C$124,"Cashloan",Lending!$L$49:$L$124,$B$353)/10^9</f>
        <v>4.3112486532291244E-2</v>
      </c>
      <c r="L353" s="386">
        <f>SUMIFS(Lending!W$49:W$124,Lending!$C$49:$C$124,"Cashloan",Lending!$L$49:$L$124,$B$353)/10^9</f>
        <v>4.1142919065592719E-2</v>
      </c>
      <c r="M353" s="386">
        <f>SUMIFS(Lending!X$49:X$124,Lending!$C$49:$C$124,"Cashloan",Lending!$L$49:$L$124,$B$353)/10^9</f>
        <v>3.9649091220360567E-2</v>
      </c>
      <c r="N353" s="386">
        <f>SUMIFS(Lending!Y$49:Y$124,Lending!$C$49:$C$124,"Cashloan",Lending!$L$49:$L$124,$B$353)/10^9</f>
        <v>4.2237537886846178E-2</v>
      </c>
      <c r="O353" s="386">
        <f>SUMIFS(Lending!Z$49:Z$124,Lending!$C$49:$C$124,"Cashloan",Lending!$L$49:$L$124,$B$353)/10^9</f>
        <v>4.0796376023192353E-2</v>
      </c>
      <c r="P353" s="386">
        <f>SUMIFS(Lending!AA$49:AA$124,Lending!$C$49:$C$124,"Cashloan",Lending!$L$49:$L$124,$B$353)/10^9</f>
        <v>5.5975786782318356E-2</v>
      </c>
      <c r="Q353" s="386">
        <f>SUMIFS(Lending!M$49:M$124,Lending!$C$49:$C$124,"Cashloan",Lending!$L$49:$L$124,$B$353)/10^9</f>
        <v>0.51165827751087156</v>
      </c>
      <c r="R353" s="383"/>
      <c r="S353" s="383"/>
      <c r="T353" s="383"/>
      <c r="U353" s="383"/>
      <c r="V353" s="383"/>
      <c r="W353" s="434"/>
      <c r="X353" s="487"/>
      <c r="Y353" s="385"/>
      <c r="Z353" s="414"/>
      <c r="AA353" s="414"/>
      <c r="AB353" s="414"/>
      <c r="AC353" s="414"/>
      <c r="AD353" s="414"/>
      <c r="AE353" s="414"/>
      <c r="AF353" s="414"/>
      <c r="AG353" s="414"/>
      <c r="AH353" s="414"/>
      <c r="AI353" s="414"/>
      <c r="AJ353" s="414"/>
      <c r="AK353" s="414"/>
      <c r="AL353" s="414"/>
      <c r="AM353" s="414"/>
      <c r="AN353" s="414"/>
      <c r="AO353" s="414"/>
      <c r="AP353" s="414"/>
      <c r="AQ353" s="414"/>
      <c r="AR353" s="414"/>
      <c r="AS353" s="414"/>
      <c r="AT353" s="414"/>
      <c r="AU353" s="414"/>
    </row>
    <row r="354" spans="2:47" ht="15" customHeight="1">
      <c r="B354" s="409" t="s">
        <v>234</v>
      </c>
      <c r="C354" s="386">
        <f>SUMIFS(Lending!N$49:N$124,Lending!$C$49:$C$124,"Cashloan",Lending!$L$49:$L$124,$B$354)/10^9</f>
        <v>0.83732956994206154</v>
      </c>
      <c r="D354" s="386">
        <f>SUMIFS(Lending!O$49:O$124,Lending!$C$49:$C$124,"Cashloan",Lending!$L$49:$L$124,$B$354)/10^9</f>
        <v>1.0983316671603107</v>
      </c>
      <c r="E354" s="386">
        <f>SUMIFS(Lending!P$49:P$124,Lending!$C$49:$C$124,"Cashloan",Lending!$L$49:$L$124,$B$354)/10^9</f>
        <v>0.97516833647494772</v>
      </c>
      <c r="F354" s="386">
        <f>SUMIFS(Lending!Q$49:Q$124,Lending!$C$49:$C$124,"Cashloan",Lending!$L$49:$L$124,$B$354)/10^9</f>
        <v>1.2910509339719207</v>
      </c>
      <c r="G354" s="386">
        <f>SUMIFS(Lending!R$49:R$124,Lending!$C$49:$C$124,"Cashloan",Lending!$L$49:$L$124,$B$354)/10^9</f>
        <v>0.77305494342027514</v>
      </c>
      <c r="H354" s="386">
        <f>SUMIFS(Lending!S$49:S$124,Lending!$C$49:$C$124,"Cashloan",Lending!$L$49:$L$124,$B$354)/10^9</f>
        <v>0.78047110980853207</v>
      </c>
      <c r="I354" s="386">
        <f>SUMIFS(Lending!T$49:T$124,Lending!$C$49:$C$124,"Cashloan",Lending!$L$49:$L$124,$B$354)/10^9</f>
        <v>0.86641879108959197</v>
      </c>
      <c r="J354" s="386">
        <f>SUMIFS(Lending!U$49:U$124,Lending!$C$49:$C$124,"Cashloan",Lending!$L$49:$L$124,$B$354)/10^9</f>
        <v>0.33877341180356318</v>
      </c>
      <c r="K354" s="386">
        <f>SUMIFS(Lending!V$49:V$124,Lending!$C$49:$C$124,"Cashloan",Lending!$L$49:$L$124,$B$354)/10^9</f>
        <v>0.48561058800000001</v>
      </c>
      <c r="L354" s="386">
        <f>SUMIFS(Lending!W$49:W$124,Lending!$C$49:$C$124,"Cashloan",Lending!$L$49:$L$124,$B$354)/10^9</f>
        <v>0.49045738627066904</v>
      </c>
      <c r="M354" s="386">
        <f>SUMIFS(Lending!X$49:X$124,Lending!$C$49:$C$124,"Cashloan",Lending!$L$49:$L$124,$B$354)/10^9</f>
        <v>0.58677294148468762</v>
      </c>
      <c r="N354" s="386">
        <f>SUMIFS(Lending!Y$49:Y$124,Lending!$C$49:$C$124,"Cashloan",Lending!$L$49:$L$124,$B$354)/10^9</f>
        <v>0.45047094986085645</v>
      </c>
      <c r="O354" s="386">
        <f>SUMIFS(Lending!Z$49:Z$124,Lending!$C$49:$C$124,"Cashloan",Lending!$L$49:$L$124,$B$354)/10^9</f>
        <v>0.66409122319289127</v>
      </c>
      <c r="P354" s="386">
        <f>SUMIFS(Lending!AA$49:AA$124,Lending!$C$49:$C$124,"Cashloan",Lending!$L$49:$L$124,$B$354)/10^9</f>
        <v>0.59425307034722241</v>
      </c>
      <c r="Q354" s="386">
        <f>SUMIFS(Lending!M$49:M$124,Lending!$C$49:$C$124,"Cashloan",Lending!$L$49:$L$124,$B$354)/10^9</f>
        <v>8.2965936857251581</v>
      </c>
      <c r="R354" s="383"/>
      <c r="S354" s="383"/>
      <c r="T354" s="383"/>
      <c r="U354" s="383"/>
      <c r="V354" s="383"/>
      <c r="W354" s="434"/>
      <c r="X354" s="487"/>
      <c r="Y354" s="487"/>
      <c r="Z354" s="414"/>
      <c r="AA354" s="414"/>
      <c r="AB354" s="414"/>
      <c r="AC354" s="414"/>
      <c r="AD354" s="414"/>
      <c r="AE354" s="414"/>
      <c r="AF354" s="414"/>
      <c r="AG354" s="414"/>
      <c r="AH354" s="414"/>
      <c r="AI354" s="414"/>
      <c r="AJ354" s="414"/>
      <c r="AK354" s="414"/>
      <c r="AL354" s="414"/>
      <c r="AM354" s="414"/>
      <c r="AN354" s="414"/>
      <c r="AO354" s="414"/>
      <c r="AP354" s="414"/>
      <c r="AQ354" s="414"/>
      <c r="AR354" s="414"/>
      <c r="AS354" s="414"/>
      <c r="AT354" s="414"/>
      <c r="AU354" s="414"/>
    </row>
    <row r="355" spans="2:47" ht="15" hidden="1" customHeight="1">
      <c r="B355" s="409" t="s">
        <v>235</v>
      </c>
      <c r="C355" s="386">
        <f>SUMIFS(Lending!N$49:N$124,Lending!$C$49:$C$124,"Cashloan",Lending!$L$49:$L$124,$B$355)/10^9</f>
        <v>0</v>
      </c>
      <c r="D355" s="386">
        <f>SUMIFS(Lending!O$49:O$124,Lending!$C$49:$C$124,"Cashloan",Lending!$L$49:$L$124,$B$355)/10^9</f>
        <v>0</v>
      </c>
      <c r="E355" s="386">
        <f>SUMIFS(Lending!P$49:P$124,Lending!$C$49:$C$124,"Cashloan",Lending!$L$49:$L$124,$B$355)/10^9</f>
        <v>0</v>
      </c>
      <c r="F355" s="386">
        <f>SUMIFS(Lending!Q$49:Q$124,Lending!$C$49:$C$124,"Cashloan",Lending!$L$49:$L$124,$B$355)/10^9</f>
        <v>0</v>
      </c>
      <c r="G355" s="386">
        <f>SUMIFS(Lending!R$49:R$124,Lending!$C$49:$C$124,"Cashloan",Lending!$L$49:$L$124,$B$355)/10^9</f>
        <v>0</v>
      </c>
      <c r="H355" s="386">
        <f>SUMIFS(Lending!S$49:S$124,Lending!$C$49:$C$124,"Cashloan",Lending!$L$49:$L$124,$B$355)/10^9</f>
        <v>0</v>
      </c>
      <c r="I355" s="386">
        <f>SUMIFS(Lending!T$49:T$124,Lending!$C$49:$C$124,"Cashloan",Lending!$L$49:$L$124,$B$355)/10^9</f>
        <v>0</v>
      </c>
      <c r="J355" s="386">
        <f>SUMIFS(Lending!U$49:U$124,Lending!$C$49:$C$124,"Cashloan",Lending!$L$49:$L$124,$B$355)/10^9</f>
        <v>0</v>
      </c>
      <c r="K355" s="386">
        <f>SUMIFS(Lending!V$49:V$124,Lending!$C$49:$C$124,"Cashloan",Lending!$L$49:$L$124,$B$355)/10^9</f>
        <v>0</v>
      </c>
      <c r="L355" s="386">
        <f>SUMIFS(Lending!W$49:W$124,Lending!$C$49:$C$124,"Cashloan",Lending!$L$49:$L$124,$B$355)/10^9</f>
        <v>0</v>
      </c>
      <c r="M355" s="386">
        <f>SUMIFS(Lending!X$49:X$124,Lending!$C$49:$C$124,"Cashloan",Lending!$L$49:$L$124,$B$355)/10^9</f>
        <v>0</v>
      </c>
      <c r="N355" s="386">
        <f>SUMIFS(Lending!Y$49:Y$124,Lending!$C$49:$C$124,"Cashloan",Lending!$L$49:$L$124,$B$355)/10^9</f>
        <v>0</v>
      </c>
      <c r="O355" s="386">
        <f>SUMIFS(Lending!Z$49:Z$124,Lending!$C$49:$C$124,"Cashloan",Lending!$L$49:$L$124,$B$355)/10^9</f>
        <v>0</v>
      </c>
      <c r="P355" s="386">
        <f>SUMIFS(Lending!AA$49:AA$124,Lending!$C$49:$C$124,"Cashloan",Lending!$L$49:$L$124,$B$355)/10^9</f>
        <v>0</v>
      </c>
      <c r="Q355" s="386">
        <f>SUMIFS(Lending!M$49:M$124,Lending!$C$49:$C$124,"Cashloan",Lending!$L$49:$L$124,$B$355)/10^9</f>
        <v>0</v>
      </c>
      <c r="R355" s="383"/>
      <c r="S355" s="383"/>
      <c r="T355" s="383"/>
      <c r="U355" s="383"/>
      <c r="V355" s="383"/>
      <c r="W355" s="434"/>
      <c r="X355" s="487"/>
      <c r="Y355" s="487"/>
      <c r="Z355" s="414"/>
      <c r="AA355" s="414"/>
      <c r="AB355" s="414"/>
      <c r="AC355" s="414"/>
      <c r="AD355" s="414"/>
      <c r="AE355" s="414"/>
      <c r="AF355" s="414"/>
      <c r="AG355" s="414"/>
      <c r="AH355" s="414"/>
      <c r="AI355" s="414"/>
      <c r="AJ355" s="414"/>
      <c r="AK355" s="414"/>
      <c r="AL355" s="414"/>
      <c r="AM355" s="414"/>
      <c r="AN355" s="414"/>
      <c r="AO355" s="414"/>
      <c r="AP355" s="414"/>
      <c r="AQ355" s="414"/>
      <c r="AR355" s="414"/>
      <c r="AS355" s="414"/>
      <c r="AT355" s="414"/>
      <c r="AU355" s="414"/>
    </row>
    <row r="356" spans="2:47" ht="15" hidden="1" customHeight="1">
      <c r="B356" s="409" t="s">
        <v>163</v>
      </c>
      <c r="C356" s="386">
        <f>SUMIFS(Lending!N$49:N$124,Lending!$C$49:$C$124,"Cashloan",Lending!$L$49:$L$124,$B$356)/10^9</f>
        <v>2.3706831917267815E-2</v>
      </c>
      <c r="D356" s="386">
        <f>SUMIFS(Lending!O$49:O$124,Lending!$C$49:$C$124,"Cashloan",Lending!$L$49:$L$124,$B$356)/10^9</f>
        <v>5.7752208694808897E-2</v>
      </c>
      <c r="E356" s="386">
        <f>SUMIFS(Lending!P$49:P$124,Lending!$C$49:$C$124,"Cashloan",Lending!$L$49:$L$124,$B$356)/10^9</f>
        <v>7.2612412010156779E-2</v>
      </c>
      <c r="F356" s="386">
        <f>SUMIFS(Lending!Q$49:Q$124,Lending!$C$49:$C$124,"Cashloan",Lending!$L$49:$L$124,$B$356)/10^9</f>
        <v>3.9970688481535323E-2</v>
      </c>
      <c r="G356" s="386">
        <f>SUMIFS(Lending!R$49:R$124,Lending!$C$49:$C$124,"Cashloan",Lending!$L$49:$L$124,$B$356)/10^9</f>
        <v>5.1389393903530478E-2</v>
      </c>
      <c r="H356" s="386">
        <f>SUMIFS(Lending!S$49:S$124,Lending!$C$49:$C$124,"Cashloan",Lending!$L$49:$L$124,$B$356)/10^9</f>
        <v>7.6971048536827624E-2</v>
      </c>
      <c r="I356" s="386">
        <f>SUMIFS(Lending!T$49:T$124,Lending!$C$49:$C$124,"Cashloan",Lending!$L$49:$L$124,$B$356)/10^9</f>
        <v>6.1641751073286281E-2</v>
      </c>
      <c r="J356" s="386">
        <f>SUMIFS(Lending!U$49:U$124,Lending!$C$49:$C$124,"Cashloan",Lending!$L$49:$L$124,$B$356)/10^9</f>
        <v>5.2836583141076685E-2</v>
      </c>
      <c r="K356" s="386">
        <f>SUMIFS(Lending!V$49:V$124,Lending!$C$49:$C$124,"Cashloan",Lending!$L$49:$L$124,$B$356)/10^9</f>
        <v>7.3020518636129475E-2</v>
      </c>
      <c r="L356" s="386">
        <f>SUMIFS(Lending!W$49:W$124,Lending!$C$49:$C$124,"Cashloan",Lending!$L$49:$L$124,$B$356)/10^9</f>
        <v>3.4024005777616384E-2</v>
      </c>
      <c r="M356" s="386">
        <f>SUMIFS(Lending!X$49:X$124,Lending!$C$49:$C$124,"Cashloan",Lending!$L$49:$L$124,$B$356)/10^9</f>
        <v>7.6363962130175281E-2</v>
      </c>
      <c r="N356" s="386">
        <f>SUMIFS(Lending!Y$49:Y$124,Lending!$C$49:$C$124,"Cashloan",Lending!$L$49:$L$124,$B$356)/10^9</f>
        <v>8.2875724303932197E-2</v>
      </c>
      <c r="O356" s="386">
        <f>SUMIFS(Lending!Z$49:Z$124,Lending!$C$49:$C$124,"Cashloan",Lending!$L$49:$L$124,$B$356)/10^9</f>
        <v>7.626250128302596E-2</v>
      </c>
      <c r="P356" s="386">
        <f>SUMIFS(Lending!AA$49:AA$124,Lending!$C$49:$C$124,"Cashloan",Lending!$L$49:$L$124,$B$356)/10^9</f>
        <v>6.8306258950930482E-2</v>
      </c>
      <c r="Q356" s="386">
        <f>SUMIFS(Lending!M$49:M$124,Lending!$C$49:$C$124,"Cashloan",Lending!$L$49:$L$124,$B$356)/10^9</f>
        <v>0.76627484822822289</v>
      </c>
      <c r="R356" s="383"/>
      <c r="S356" s="383"/>
      <c r="T356" s="383"/>
      <c r="U356" s="383"/>
      <c r="V356" s="383"/>
      <c r="W356" s="434"/>
      <c r="X356" s="487"/>
      <c r="Y356" s="487"/>
      <c r="Z356" s="414"/>
      <c r="AA356" s="414"/>
      <c r="AB356" s="414"/>
      <c r="AC356" s="414"/>
      <c r="AD356" s="414"/>
      <c r="AE356" s="414"/>
      <c r="AF356" s="414"/>
      <c r="AG356" s="414"/>
      <c r="AH356" s="414"/>
      <c r="AI356" s="414"/>
      <c r="AJ356" s="414"/>
      <c r="AK356" s="414"/>
      <c r="AL356" s="414"/>
      <c r="AM356" s="414"/>
      <c r="AN356" s="414"/>
      <c r="AO356" s="414"/>
      <c r="AP356" s="414"/>
      <c r="AQ356" s="414"/>
      <c r="AR356" s="414"/>
      <c r="AS356" s="414"/>
      <c r="AT356" s="414"/>
      <c r="AU356" s="414"/>
    </row>
    <row r="357" spans="2:47" ht="15" customHeight="1">
      <c r="B357" s="409" t="s">
        <v>688</v>
      </c>
      <c r="C357" s="391">
        <f t="shared" ref="C357:Q357" si="315">C353+C356</f>
        <v>2.3706831917267815E-2</v>
      </c>
      <c r="D357" s="391">
        <f t="shared" si="315"/>
        <v>5.7752208694808897E-2</v>
      </c>
      <c r="E357" s="391">
        <f t="shared" si="315"/>
        <v>0.12446827051844231</v>
      </c>
      <c r="F357" s="391">
        <f t="shared" si="315"/>
        <v>7.3258365387252472E-2</v>
      </c>
      <c r="G357" s="391">
        <f t="shared" si="315"/>
        <v>0.10135516473984213</v>
      </c>
      <c r="H357" s="391">
        <f t="shared" si="315"/>
        <v>0.11955323527860875</v>
      </c>
      <c r="I357" s="391">
        <f t="shared" si="315"/>
        <v>9.7101198778581754E-2</v>
      </c>
      <c r="J357" s="391">
        <f t="shared" si="315"/>
        <v>8.8429722443955999E-2</v>
      </c>
      <c r="K357" s="391">
        <f t="shared" si="315"/>
        <v>0.11613300516842072</v>
      </c>
      <c r="L357" s="391">
        <f t="shared" si="315"/>
        <v>7.516692484320911E-2</v>
      </c>
      <c r="M357" s="391">
        <f t="shared" si="315"/>
        <v>0.11601305335053586</v>
      </c>
      <c r="N357" s="391">
        <f t="shared" si="315"/>
        <v>0.12511326219077837</v>
      </c>
      <c r="O357" s="391">
        <f t="shared" si="315"/>
        <v>0.11705887730621831</v>
      </c>
      <c r="P357" s="391">
        <f t="shared" si="315"/>
        <v>0.12428204573324883</v>
      </c>
      <c r="Q357" s="391">
        <f t="shared" si="315"/>
        <v>1.2779331257390945</v>
      </c>
      <c r="R357" s="391"/>
      <c r="S357" s="391"/>
      <c r="T357" s="391"/>
      <c r="U357" s="391"/>
      <c r="V357" s="391"/>
      <c r="W357" s="490"/>
      <c r="X357" s="491"/>
      <c r="Y357" s="491"/>
      <c r="Z357" s="404"/>
      <c r="AA357" s="404"/>
      <c r="AB357" s="404"/>
      <c r="AC357" s="404"/>
      <c r="AD357" s="404"/>
      <c r="AE357" s="404"/>
      <c r="AF357" s="404"/>
      <c r="AG357" s="404"/>
      <c r="AH357" s="404"/>
      <c r="AI357" s="404"/>
      <c r="AJ357" s="404"/>
      <c r="AK357" s="404"/>
      <c r="AL357" s="404"/>
      <c r="AM357" s="404"/>
      <c r="AN357" s="404"/>
      <c r="AO357" s="404"/>
      <c r="AP357" s="404"/>
      <c r="AQ357" s="404"/>
      <c r="AR357" s="404"/>
      <c r="AS357" s="404"/>
      <c r="AT357" s="404"/>
      <c r="AU357" s="404"/>
    </row>
    <row r="358" spans="2:47" ht="15" hidden="1" customHeight="1">
      <c r="B358" s="409" t="s">
        <v>625</v>
      </c>
      <c r="C358" s="469">
        <f t="shared" ref="C358:P358" si="316">C342/C340</f>
        <v>0.21992239388412782</v>
      </c>
      <c r="D358" s="469">
        <f t="shared" si="316"/>
        <v>0.22812591987215139</v>
      </c>
      <c r="E358" s="469">
        <f t="shared" si="316"/>
        <v>0.22347744968812841</v>
      </c>
      <c r="F358" s="469">
        <f t="shared" si="316"/>
        <v>0.20322980512702121</v>
      </c>
      <c r="G358" s="469">
        <f t="shared" si="316"/>
        <v>0.21097780300112168</v>
      </c>
      <c r="H358" s="469">
        <f t="shared" si="316"/>
        <v>0.19244589057524014</v>
      </c>
      <c r="I358" s="469">
        <f t="shared" si="316"/>
        <v>0.18782439809620818</v>
      </c>
      <c r="J358" s="469">
        <f t="shared" si="316"/>
        <v>0.18218372892867846</v>
      </c>
      <c r="K358" s="469">
        <f t="shared" si="316"/>
        <v>0.16748220694146379</v>
      </c>
      <c r="L358" s="469">
        <f t="shared" si="316"/>
        <v>0.16107827802718347</v>
      </c>
      <c r="M358" s="469">
        <f t="shared" si="316"/>
        <v>0.15998124994862165</v>
      </c>
      <c r="N358" s="469">
        <f t="shared" si="316"/>
        <v>0.14723352659586958</v>
      </c>
      <c r="O358" s="469">
        <f t="shared" si="316"/>
        <v>0.14440458987260021</v>
      </c>
      <c r="P358" s="469">
        <f t="shared" si="316"/>
        <v>0.15350019999936731</v>
      </c>
      <c r="Q358" s="391"/>
      <c r="R358" s="391"/>
      <c r="S358" s="391"/>
      <c r="T358" s="391"/>
      <c r="U358" s="391"/>
      <c r="V358" s="391"/>
      <c r="W358" s="490"/>
      <c r="X358" s="491"/>
      <c r="Y358" s="491"/>
      <c r="Z358" s="404"/>
      <c r="AA358" s="404"/>
      <c r="AB358" s="404"/>
      <c r="AC358" s="404"/>
      <c r="AD358" s="404"/>
      <c r="AE358" s="404"/>
      <c r="AF358" s="404"/>
      <c r="AG358" s="404"/>
      <c r="AH358" s="404"/>
      <c r="AI358" s="404"/>
      <c r="AJ358" s="404"/>
      <c r="AK358" s="404"/>
      <c r="AL358" s="404"/>
      <c r="AM358" s="404"/>
      <c r="AN358" s="404"/>
      <c r="AO358" s="404"/>
      <c r="AP358" s="404"/>
      <c r="AQ358" s="404"/>
      <c r="AR358" s="404"/>
      <c r="AS358" s="404"/>
      <c r="AT358" s="404"/>
      <c r="AU358" s="404"/>
    </row>
    <row r="359" spans="2:47" ht="15" customHeight="1">
      <c r="B359" s="828" t="s">
        <v>626</v>
      </c>
      <c r="C359" s="469">
        <f>(Lending!N61+Lending!N100)/(Lending!N94+Lending!N55)</f>
        <v>9.5102384636258877E-2</v>
      </c>
      <c r="D359" s="469">
        <f>(Lending!O61+Lending!O100)/(Lending!O94+Lending!O55)</f>
        <v>0.1089534274554036</v>
      </c>
      <c r="E359" s="469">
        <f>(Lending!P61+Lending!P100)/(Lending!P94+Lending!P55)</f>
        <v>9.8235743483246554E-2</v>
      </c>
      <c r="F359" s="469">
        <f>(Lending!Q61+Lending!Q100)/(Lending!Q94+Lending!Q55)</f>
        <v>0.10173174272941093</v>
      </c>
      <c r="G359" s="469">
        <f>(Lending!R61+Lending!R100)/(Lending!R94+Lending!R55)</f>
        <v>9.7072273181833965E-2</v>
      </c>
      <c r="H359" s="469">
        <f>(Lending!S61+Lending!S100)/(Lending!S94+Lending!S55)</f>
        <v>8.5766018274976624E-2</v>
      </c>
      <c r="I359" s="469">
        <f>(Lending!T61+Lending!T100)/(Lending!T94+Lending!T55)</f>
        <v>8.1559634679879048E-2</v>
      </c>
      <c r="J359" s="469">
        <f>(Lending!U61+Lending!U100)/(Lending!U94+Lending!U55)</f>
        <v>8.6433595590164017E-2</v>
      </c>
      <c r="K359" s="469">
        <f>(Lending!V61+Lending!V100)/(Lending!V94+Lending!V55)</f>
        <v>8.6270309236315693E-2</v>
      </c>
      <c r="L359" s="469">
        <f>(Lending!W61+Lending!W100)/(Lending!W94+Lending!W55)</f>
        <v>8.7665006216391173E-2</v>
      </c>
      <c r="M359" s="469">
        <f>(Lending!X61+Lending!X100)/(Lending!X94+Lending!X55)</f>
        <v>9.2491962791425852E-2</v>
      </c>
      <c r="N359" s="469">
        <f>(Lending!Y61+Lending!Y100)/(Lending!Y94+Lending!Y55)</f>
        <v>9.2595326183225329E-2</v>
      </c>
      <c r="O359" s="469">
        <f>(Lending!Z61+Lending!Z100)/(Lending!Z94+Lending!Z55)</f>
        <v>9.4346772916799965E-2</v>
      </c>
      <c r="P359" s="469">
        <f>(Lending!AA61+Lending!AA100)/(Lending!AA94+Lending!AA55)</f>
        <v>0.10149148603877517</v>
      </c>
      <c r="Q359" s="391"/>
      <c r="R359" s="391"/>
      <c r="S359" s="391"/>
      <c r="T359" s="391"/>
      <c r="U359" s="391"/>
      <c r="V359" s="391"/>
      <c r="W359" s="490"/>
      <c r="X359" s="491"/>
      <c r="Y359" s="491"/>
      <c r="Z359" s="404"/>
      <c r="AA359" s="404"/>
      <c r="AB359" s="404"/>
      <c r="AC359" s="404"/>
      <c r="AD359" s="404"/>
      <c r="AE359" s="404"/>
      <c r="AF359" s="404"/>
      <c r="AG359" s="404"/>
      <c r="AH359" s="404"/>
      <c r="AI359" s="404"/>
      <c r="AJ359" s="404"/>
      <c r="AK359" s="404"/>
      <c r="AL359" s="404"/>
      <c r="AM359" s="404"/>
      <c r="AN359" s="404"/>
      <c r="AO359" s="404"/>
      <c r="AP359" s="404"/>
      <c r="AQ359" s="404"/>
      <c r="AR359" s="404"/>
      <c r="AS359" s="404"/>
      <c r="AT359" s="404"/>
      <c r="AU359" s="404"/>
    </row>
    <row r="360" spans="2:47" ht="15" customHeight="1">
      <c r="B360" s="352" t="s">
        <v>627</v>
      </c>
      <c r="C360" s="469"/>
      <c r="D360" s="469"/>
      <c r="E360" s="469">
        <f>(Lending!P58+Lending!P97)/10^9/'Slide 2025'!E340</f>
        <v>0.11531004505633466</v>
      </c>
      <c r="F360" s="469">
        <f>(Lending!Q58+Lending!Q97)/10^9/'Slide 2025'!F340</f>
        <v>9.0306382066877772E-2</v>
      </c>
      <c r="G360" s="469">
        <f>(Lending!R58+Lending!R97)/10^9/'Slide 2025'!G340</f>
        <v>9.6647937177794171E-2</v>
      </c>
      <c r="H360" s="469">
        <f>(Lending!S58+Lending!S97)/10^9/'Slide 2025'!H340</f>
        <v>9.4778824533746239E-2</v>
      </c>
      <c r="I360" s="469">
        <f>(Lending!T58+Lending!T97)/10^9/'Slide 2025'!I340</f>
        <v>9.5389874633072289E-2</v>
      </c>
      <c r="J360" s="469">
        <f>(Lending!U58+Lending!U97)/10^9/'Slide 2025'!J340</f>
        <v>7.8658200158053956E-2</v>
      </c>
      <c r="K360" s="469">
        <f>(Lending!V58+Lending!V97)/10^9/'Slide 2025'!K340</f>
        <v>7.0806282070797713E-2</v>
      </c>
      <c r="L360" s="469">
        <f>(Lending!W58+Lending!W97)/10^9/'Slide 2025'!L340</f>
        <v>6.3183886505370115E-2</v>
      </c>
      <c r="M360" s="469">
        <f>(Lending!X58+Lending!X97)/10^9/'Slide 2025'!M340</f>
        <v>5.3698445764264809E-2</v>
      </c>
      <c r="N360" s="469">
        <f>(Lending!Y58+Lending!Y97)/10^9/'Slide 2025'!N340</f>
        <v>4.6417063196321717E-2</v>
      </c>
      <c r="O360" s="469">
        <f>(Lending!Z58+Lending!Z97)/10^9/'Slide 2025'!O340</f>
        <v>4.1969113775317729E-2</v>
      </c>
      <c r="P360" s="469">
        <f>(Lending!AA58+Lending!AA97)/10^9/'Slide 2025'!P340</f>
        <v>3.8476688601850724E-2</v>
      </c>
      <c r="Q360" s="391"/>
      <c r="R360" s="391"/>
      <c r="S360" s="391"/>
      <c r="T360" s="391"/>
      <c r="U360" s="391"/>
      <c r="V360" s="391"/>
      <c r="W360" s="490"/>
      <c r="X360" s="491"/>
      <c r="Y360" s="491"/>
      <c r="Z360" s="404"/>
      <c r="AA360" s="404"/>
      <c r="AB360" s="404"/>
      <c r="AC360" s="404"/>
      <c r="AD360" s="404"/>
      <c r="AE360" s="404"/>
      <c r="AF360" s="404"/>
      <c r="AG360" s="404"/>
      <c r="AH360" s="404"/>
      <c r="AI360" s="404"/>
      <c r="AJ360" s="404"/>
      <c r="AK360" s="404"/>
      <c r="AL360" s="404"/>
      <c r="AM360" s="404"/>
      <c r="AN360" s="404"/>
      <c r="AO360" s="404"/>
      <c r="AP360" s="404"/>
      <c r="AQ360" s="404"/>
      <c r="AR360" s="404"/>
      <c r="AS360" s="404"/>
      <c r="AT360" s="404"/>
      <c r="AU360" s="404"/>
    </row>
    <row r="361" spans="2:47" ht="15" customHeight="1">
      <c r="B361" s="393" t="s">
        <v>628</v>
      </c>
      <c r="C361" s="394">
        <f>(Lending!N60+Lending!N99)/10^9/'Slide 2025'!C340</f>
        <v>0.12482000924786894</v>
      </c>
      <c r="D361" s="394">
        <f>(Lending!O60+Lending!O99)/10^9/'Slide 2025'!D340</f>
        <v>0.11917249241674779</v>
      </c>
      <c r="E361" s="394">
        <f>(Lending!P60+Lending!P99)/10^9/'Slide 2025'!E340</f>
        <v>0.12524170620488184</v>
      </c>
      <c r="F361" s="394">
        <f>(Lending!Q60+Lending!Q99)/10^9/'Slide 2025'!F340</f>
        <v>0.10149806239761025</v>
      </c>
      <c r="G361" s="394">
        <f>(Lending!R60+Lending!R99)/10^9/'Slide 2025'!G340</f>
        <v>0.1139055298192877</v>
      </c>
      <c r="H361" s="394">
        <f>(Lending!S60+Lending!S99)/10^9/'Slide 2025'!H340</f>
        <v>0.10667987230026349</v>
      </c>
      <c r="I361" s="394">
        <f>(Lending!T60+Lending!T99)/10^9/'Slide 2025'!I340</f>
        <v>0.10626476341632912</v>
      </c>
      <c r="J361" s="394">
        <f>(Lending!U60+Lending!U99)/10^9/'Slide 2025'!J340</f>
        <v>9.575013333851444E-2</v>
      </c>
      <c r="K361" s="394">
        <f>(Lending!V60+Lending!V99)/10^9/'Slide 2025'!K340</f>
        <v>8.1211897705148084E-2</v>
      </c>
      <c r="L361" s="394">
        <f>(Lending!W60+Lending!W99)/10^9/'Slide 2025'!L340</f>
        <v>7.3413271810792283E-2</v>
      </c>
      <c r="M361" s="394">
        <f>(Lending!X60+Lending!X99)/10^9/'Slide 2025'!M340</f>
        <v>6.7489287157195765E-2</v>
      </c>
      <c r="N361" s="394">
        <f>(Lending!Y60+Lending!Y99)/10^9/'Slide 2025'!N340</f>
        <v>5.4638200412644257E-2</v>
      </c>
      <c r="O361" s="394">
        <f>(Lending!Z60+Lending!Z99)/10^9/'Slide 2025'!O340</f>
        <v>5.0057816955800236E-2</v>
      </c>
      <c r="P361" s="394">
        <f>(Lending!AA60+Lending!AA99)/10^9/'Slide 2025'!P340</f>
        <v>5.2008713960592132E-2</v>
      </c>
      <c r="Q361" s="394"/>
      <c r="R361" s="391"/>
      <c r="S361" s="391"/>
      <c r="T361" s="469"/>
      <c r="U361" s="391"/>
      <c r="V361" s="391"/>
      <c r="W361" s="490"/>
      <c r="X361" s="491"/>
      <c r="Y361" s="491"/>
      <c r="Z361" s="404"/>
      <c r="AA361" s="404"/>
      <c r="AB361" s="404"/>
      <c r="AC361" s="404"/>
      <c r="AD361" s="404"/>
      <c r="AE361" s="404"/>
      <c r="AF361" s="404"/>
      <c r="AG361" s="404"/>
      <c r="AH361" s="404"/>
      <c r="AI361" s="404"/>
      <c r="AJ361" s="404"/>
      <c r="AK361" s="404"/>
      <c r="AL361" s="404"/>
      <c r="AM361" s="404"/>
      <c r="AN361" s="404"/>
      <c r="AO361" s="404"/>
      <c r="AP361" s="404"/>
      <c r="AQ361" s="404"/>
      <c r="AR361" s="404"/>
      <c r="AS361" s="404"/>
      <c r="AT361" s="404"/>
      <c r="AU361" s="404"/>
    </row>
    <row r="362" spans="2:47" ht="15" customHeight="1">
      <c r="B362" s="361" t="s">
        <v>236</v>
      </c>
      <c r="C362" s="383">
        <f t="shared" ref="C362:P362" si="317">C343-C347-C348</f>
        <v>15.862935922796554</v>
      </c>
      <c r="D362" s="383">
        <f t="shared" si="317"/>
        <v>13.530270143361594</v>
      </c>
      <c r="E362" s="383">
        <f t="shared" si="317"/>
        <v>-8.429406983176353</v>
      </c>
      <c r="F362" s="383">
        <f t="shared" si="317"/>
        <v>6.6194462724820191</v>
      </c>
      <c r="G362" s="383">
        <f t="shared" si="317"/>
        <v>9.162479117222686</v>
      </c>
      <c r="H362" s="383">
        <f t="shared" si="317"/>
        <v>8.6955056442116927</v>
      </c>
      <c r="I362" s="383">
        <f t="shared" si="317"/>
        <v>3.0925159014516517</v>
      </c>
      <c r="J362" s="383">
        <f t="shared" si="317"/>
        <v>7.5437347140886217</v>
      </c>
      <c r="K362" s="383">
        <f t="shared" si="317"/>
        <v>12.585530377266068</v>
      </c>
      <c r="L362" s="383">
        <f t="shared" si="317"/>
        <v>19.718158073276488</v>
      </c>
      <c r="M362" s="383">
        <f t="shared" si="317"/>
        <v>12.568783359582497</v>
      </c>
      <c r="N362" s="383">
        <f t="shared" si="317"/>
        <v>23.387720088396989</v>
      </c>
      <c r="O362" s="383">
        <f t="shared" si="317"/>
        <v>18.728885077613178</v>
      </c>
      <c r="P362" s="383">
        <f t="shared" si="317"/>
        <v>18.135510530695953</v>
      </c>
      <c r="Q362" s="383">
        <f>Q343-Q347-Q348</f>
        <v>131.80886217311144</v>
      </c>
      <c r="R362" s="383"/>
      <c r="S362" s="383"/>
      <c r="T362" s="383"/>
      <c r="U362" s="383"/>
      <c r="V362" s="383"/>
      <c r="W362" s="490"/>
      <c r="X362" s="487"/>
      <c r="Y362" s="487"/>
      <c r="Z362" s="404"/>
      <c r="AA362" s="404"/>
      <c r="AB362" s="404"/>
      <c r="AC362" s="404"/>
      <c r="AD362" s="404"/>
      <c r="AE362" s="404"/>
      <c r="AF362" s="404"/>
      <c r="AG362" s="404"/>
      <c r="AH362" s="404"/>
      <c r="AI362" s="404"/>
      <c r="AJ362" s="404"/>
      <c r="AK362" s="404"/>
      <c r="AL362" s="404"/>
      <c r="AM362" s="404"/>
      <c r="AN362" s="404"/>
      <c r="AO362" s="404"/>
      <c r="AP362" s="404"/>
      <c r="AQ362" s="404"/>
      <c r="AR362" s="404"/>
      <c r="AS362" s="404"/>
      <c r="AT362" s="404"/>
      <c r="AU362" s="404"/>
    </row>
    <row r="363" spans="2:47" ht="15" customHeight="1">
      <c r="F363" s="1178">
        <f>F344-E344</f>
        <v>-3.3463162450000006</v>
      </c>
      <c r="G363" s="1178">
        <f t="shared" ref="G363:J363" si="318">G344-F344</f>
        <v>3.0895403181274759</v>
      </c>
      <c r="H363" s="1178">
        <f t="shared" si="318"/>
        <v>0.64108504187252535</v>
      </c>
      <c r="I363" s="1178">
        <f t="shared" si="318"/>
        <v>2.8424665909999973</v>
      </c>
      <c r="J363" s="1178">
        <f t="shared" si="318"/>
        <v>0.79075418800000108</v>
      </c>
    </row>
    <row r="364" spans="2:47" ht="15" customHeight="1">
      <c r="F364" s="1178">
        <f>F345-E345</f>
        <v>-3.1046257489999993</v>
      </c>
      <c r="G364" s="1178">
        <f t="shared" ref="G364:J364" si="319">G345-F345</f>
        <v>3.7583821609999992</v>
      </c>
      <c r="H364" s="1178">
        <f t="shared" si="319"/>
        <v>2.5573962899999998</v>
      </c>
      <c r="I364" s="1178">
        <f t="shared" si="319"/>
        <v>-0.55350603700000001</v>
      </c>
      <c r="J364" s="1178">
        <f t="shared" si="319"/>
        <v>3.2855000660000009</v>
      </c>
    </row>
    <row r="366" spans="2:47" ht="28.5" customHeight="1">
      <c r="B366" s="378" t="s">
        <v>689</v>
      </c>
      <c r="C366" s="90" t="s">
        <v>613</v>
      </c>
      <c r="D366" s="90" t="s">
        <v>614</v>
      </c>
      <c r="E366" s="579">
        <v>45658</v>
      </c>
      <c r="F366" s="579">
        <v>45689</v>
      </c>
      <c r="G366" s="579">
        <v>45717</v>
      </c>
      <c r="H366" s="579">
        <v>45748</v>
      </c>
      <c r="I366" s="579">
        <v>45778</v>
      </c>
      <c r="J366" s="579">
        <v>45809</v>
      </c>
      <c r="K366" s="579">
        <v>45839</v>
      </c>
      <c r="L366" s="579">
        <v>45870</v>
      </c>
      <c r="M366" s="579">
        <v>45901</v>
      </c>
      <c r="N366" s="579">
        <v>45931</v>
      </c>
      <c r="O366" s="579">
        <v>45962</v>
      </c>
      <c r="P366" s="579">
        <v>45992</v>
      </c>
      <c r="Q366" s="78" t="s">
        <v>76</v>
      </c>
      <c r="R366" s="1129"/>
      <c r="S366" s="1129"/>
      <c r="T366" s="824"/>
      <c r="U366" s="824"/>
      <c r="V366" s="824"/>
      <c r="W366" s="825"/>
      <c r="X366" s="826"/>
    </row>
    <row r="367" spans="2:47" ht="15" customHeight="1">
      <c r="B367" s="361" t="s">
        <v>80</v>
      </c>
      <c r="C367" s="382">
        <f>Lending!N208/10^9</f>
        <v>133.69379000000001</v>
      </c>
      <c r="D367" s="382">
        <f>Lending!O208/10^9</f>
        <v>162.37198000000001</v>
      </c>
      <c r="E367" s="492">
        <f>Lending!P208/10^9</f>
        <v>148.32783000000001</v>
      </c>
      <c r="F367" s="492">
        <f>Lending!Q208/10^9</f>
        <v>111.57944000000001</v>
      </c>
      <c r="G367" s="492">
        <f>Lending!R208/10^9</f>
        <v>175.94931</v>
      </c>
      <c r="H367" s="492">
        <f>Lending!S208/10^9</f>
        <v>227.66240999999999</v>
      </c>
      <c r="I367" s="492">
        <f>Lending!T208/10^9</f>
        <v>232.66935000000001</v>
      </c>
      <c r="J367" s="492">
        <f>Lending!U208/10^9</f>
        <v>273.80146000000002</v>
      </c>
      <c r="K367" s="492">
        <f>Lending!V208/10^9</f>
        <v>377.69515000000001</v>
      </c>
      <c r="L367" s="492">
        <f>Lending!W208/10^9</f>
        <v>338.62970999999999</v>
      </c>
      <c r="M367" s="492">
        <f>Lending!X208/10^9</f>
        <v>486.19506000000001</v>
      </c>
      <c r="N367" s="492">
        <f>Lending!Y208/10^9</f>
        <v>501.04656999999997</v>
      </c>
      <c r="O367" s="492">
        <f>Lending!Z208/10^9</f>
        <v>587.87951999999996</v>
      </c>
      <c r="P367" s="492">
        <f>Lending!AA208/10^9</f>
        <v>522.09159</v>
      </c>
      <c r="Q367" s="492">
        <f>Lending!M208/10^9</f>
        <v>3983.5273999999999</v>
      </c>
      <c r="R367" s="1130"/>
      <c r="S367" s="1130"/>
      <c r="T367" s="1130"/>
      <c r="U367" s="1131"/>
    </row>
    <row r="368" spans="2:47" ht="15" customHeight="1">
      <c r="B368" s="361" t="s">
        <v>82</v>
      </c>
      <c r="C368" s="382">
        <f>Lending!N211/10^9</f>
        <v>430.91720535399998</v>
      </c>
      <c r="D368" s="382">
        <f>Lending!O211/10^9</f>
        <v>530.96027791300003</v>
      </c>
      <c r="E368" s="492">
        <f>Lending!P211/10^9</f>
        <v>617.38893520800002</v>
      </c>
      <c r="F368" s="492">
        <f>Lending!Q211/10^9</f>
        <v>641.35582698400003</v>
      </c>
      <c r="G368" s="492">
        <f>Lending!R211/10^9</f>
        <v>714.12233108700002</v>
      </c>
      <c r="H368" s="492">
        <f>Lending!S211/10^9</f>
        <v>828.14940526600003</v>
      </c>
      <c r="I368" s="492">
        <f>Lending!T211/10^9</f>
        <v>942.28111105599999</v>
      </c>
      <c r="J368" s="492">
        <f>Lending!U211/10^9</f>
        <v>1061.749655584</v>
      </c>
      <c r="K368" s="492">
        <f>Lending!V211/10^9</f>
        <v>1263.411463377</v>
      </c>
      <c r="L368" s="492">
        <f>Lending!W211/10^9</f>
        <v>1408.1518992480001</v>
      </c>
      <c r="M368" s="492">
        <f>Lending!X211/10^9</f>
        <v>1661.204287348</v>
      </c>
      <c r="N368" s="492">
        <f>Lending!Y211/10^9</f>
        <v>1884.07790669</v>
      </c>
      <c r="O368" s="492">
        <f>Lending!Z211/10^9</f>
        <v>2174.76566632</v>
      </c>
      <c r="P368" s="492">
        <f>Lending!AA211/10^9</f>
        <v>2357.7951952570002</v>
      </c>
      <c r="Q368" s="492">
        <f>J368</f>
        <v>1061.749655584</v>
      </c>
      <c r="T368" s="1132"/>
    </row>
    <row r="369" spans="2:21" ht="15" customHeight="1">
      <c r="B369" s="409" t="s">
        <v>640</v>
      </c>
      <c r="C369" s="386">
        <f t="shared" ref="C369:Q369" si="320">C368-C370</f>
        <v>386.936023401</v>
      </c>
      <c r="D369" s="386">
        <f t="shared" si="320"/>
        <v>464.02177039400004</v>
      </c>
      <c r="E369" s="386">
        <f t="shared" si="320"/>
        <v>539.31017871500001</v>
      </c>
      <c r="F369" s="386">
        <f t="shared" si="320"/>
        <v>547.61854047899999</v>
      </c>
      <c r="G369" s="386">
        <f t="shared" si="320"/>
        <v>596.84580744699997</v>
      </c>
      <c r="H369" s="386">
        <f t="shared" si="320"/>
        <v>708.37339354900007</v>
      </c>
      <c r="I369" s="386">
        <f t="shared" si="320"/>
        <v>805.66856437199999</v>
      </c>
      <c r="J369" s="386">
        <f t="shared" si="320"/>
        <v>891.99745610500008</v>
      </c>
      <c r="K369" s="386">
        <f t="shared" si="320"/>
        <v>1073.3112868200001</v>
      </c>
      <c r="L369" s="386">
        <f t="shared" si="320"/>
        <v>1195.9851412550001</v>
      </c>
      <c r="M369" s="386">
        <f t="shared" si="320"/>
        <v>1396.6982514829999</v>
      </c>
      <c r="N369" s="386">
        <f t="shared" si="320"/>
        <v>1604.9597350609999</v>
      </c>
      <c r="O369" s="386">
        <f t="shared" si="320"/>
        <v>1855.5968773340001</v>
      </c>
      <c r="P369" s="386">
        <f t="shared" si="320"/>
        <v>1968.7367954120002</v>
      </c>
      <c r="Q369" s="386">
        <f t="shared" si="320"/>
        <v>891.99745610500008</v>
      </c>
      <c r="R369" s="490"/>
      <c r="S369" s="490"/>
      <c r="T369" s="490"/>
    </row>
    <row r="370" spans="2:21" ht="15" customHeight="1">
      <c r="B370" s="409" t="s">
        <v>617</v>
      </c>
      <c r="C370" s="386">
        <f>Lending!N215/10^9</f>
        <v>43.981181952999997</v>
      </c>
      <c r="D370" s="386">
        <f>Lending!O215/10^9</f>
        <v>66.938507518999998</v>
      </c>
      <c r="E370" s="386">
        <f>Lending!P215/10^9</f>
        <v>78.078756493</v>
      </c>
      <c r="F370" s="386">
        <f>Lending!Q215/10^9</f>
        <v>93.737286505</v>
      </c>
      <c r="G370" s="386">
        <f>Lending!R215/10^9</f>
        <v>117.27652363999999</v>
      </c>
      <c r="H370" s="386">
        <f>Lending!S215/10^9</f>
        <v>119.776011717</v>
      </c>
      <c r="I370" s="386">
        <f>Lending!T215/10^9</f>
        <v>136.61254668399999</v>
      </c>
      <c r="J370" s="386">
        <f>Lending!U215/10^9</f>
        <v>169.75219947900001</v>
      </c>
      <c r="K370" s="386">
        <f>Lending!V215/10^9</f>
        <v>190.100176557</v>
      </c>
      <c r="L370" s="386">
        <f>Lending!W215/10^9</f>
        <v>212.166757993</v>
      </c>
      <c r="M370" s="386">
        <f>Lending!X215/10^9</f>
        <v>264.506035865</v>
      </c>
      <c r="N370" s="386">
        <f>Lending!Y215/10^9</f>
        <v>279.11817162900002</v>
      </c>
      <c r="O370" s="386">
        <f>Lending!Z215/10^9</f>
        <v>319.16878898599998</v>
      </c>
      <c r="P370" s="386">
        <f>Lending!AA215/10^9</f>
        <v>389.058399845</v>
      </c>
      <c r="Q370" s="495">
        <f>J370</f>
        <v>169.75219947900001</v>
      </c>
      <c r="T370" s="495"/>
    </row>
    <row r="371" spans="2:21" ht="15" hidden="1" customHeight="1">
      <c r="B371" s="409" t="s">
        <v>690</v>
      </c>
      <c r="C371" s="386">
        <f>Lending!N217/10^9</f>
        <v>31.830476723</v>
      </c>
      <c r="D371" s="386">
        <f>Lending!O217/10^9</f>
        <v>44.414757655999999</v>
      </c>
      <c r="E371" s="386">
        <f>Lending!P217/10^9</f>
        <v>49.095219563000001</v>
      </c>
      <c r="F371" s="386">
        <f>Lending!Q217/10^9</f>
        <v>58.891942010000001</v>
      </c>
      <c r="G371" s="386">
        <f>Lending!R217/10^9</f>
        <v>72.414587936999993</v>
      </c>
      <c r="H371" s="386">
        <f>Lending!S217/10^9</f>
        <v>71.406818336000001</v>
      </c>
      <c r="I371" s="386">
        <f>Lending!T217/10^9</f>
        <v>75.926342817000005</v>
      </c>
      <c r="J371" s="386">
        <f>Lending!U217/10^9</f>
        <v>95.156708461999997</v>
      </c>
      <c r="K371" s="386">
        <f>Lending!V217/10^9</f>
        <v>112.598396432</v>
      </c>
      <c r="L371" s="386">
        <f>Lending!W217/10^9</f>
        <v>127.94502844900001</v>
      </c>
      <c r="M371" s="386">
        <f>Lending!X217/10^9</f>
        <v>164.02978936599999</v>
      </c>
      <c r="N371" s="386">
        <f>Lending!Y217/10^9</f>
        <v>185.206565232</v>
      </c>
      <c r="O371" s="386">
        <f>Lending!Z217/10^9</f>
        <v>214.29431629499999</v>
      </c>
      <c r="P371" s="386">
        <f>Lending!AA217/10^9</f>
        <v>262.62311856100001</v>
      </c>
      <c r="Q371" s="495"/>
    </row>
    <row r="372" spans="2:21" ht="15" customHeight="1">
      <c r="B372" s="361" t="s">
        <v>687</v>
      </c>
      <c r="C372" s="383">
        <f>C373+C374</f>
        <v>18.657378491999999</v>
      </c>
      <c r="D372" s="383">
        <f>D373+D374</f>
        <v>23.087893809000001</v>
      </c>
      <c r="E372" s="383">
        <f t="shared" ref="E372:Q372" si="321">E373+E374+E375</f>
        <v>25.780512031000001</v>
      </c>
      <c r="F372" s="383">
        <f t="shared" si="321"/>
        <v>23.596100313000001</v>
      </c>
      <c r="G372" s="383">
        <f t="shared" si="321"/>
        <v>30.632420430730395</v>
      </c>
      <c r="H372" s="383">
        <f t="shared" si="321"/>
        <v>36.098086141000003</v>
      </c>
      <c r="I372" s="383">
        <f t="shared" si="321"/>
        <v>40.033936706999995</v>
      </c>
      <c r="J372" s="383">
        <f t="shared" si="321"/>
        <v>45.600588540000004</v>
      </c>
      <c r="K372" s="383">
        <f t="shared" si="321"/>
        <v>56.650372105999992</v>
      </c>
      <c r="L372" s="383">
        <f t="shared" si="321"/>
        <v>61.751209502999998</v>
      </c>
      <c r="M372" s="383">
        <f t="shared" si="321"/>
        <v>74.639914738000002</v>
      </c>
      <c r="N372" s="383">
        <f t="shared" si="321"/>
        <v>85.31948203200001</v>
      </c>
      <c r="O372" s="383">
        <f t="shared" si="321"/>
        <v>92.045780546999993</v>
      </c>
      <c r="P372" s="383">
        <f t="shared" si="321"/>
        <v>98.076618616000005</v>
      </c>
      <c r="Q372" s="383">
        <f t="shared" si="321"/>
        <v>670.22502170473047</v>
      </c>
      <c r="R372" s="383"/>
      <c r="S372" s="383"/>
      <c r="T372" s="383"/>
    </row>
    <row r="373" spans="2:21" ht="15" customHeight="1">
      <c r="B373" s="409" t="s">
        <v>618</v>
      </c>
      <c r="C373" s="391">
        <f>Lending!N221/10^9</f>
        <v>12.020929344000001</v>
      </c>
      <c r="D373" s="391">
        <f>Lending!O221/10^9</f>
        <v>15.014736154</v>
      </c>
      <c r="E373" s="391">
        <f>Lending!P221/10^9</f>
        <v>18.406075271999999</v>
      </c>
      <c r="F373" s="391">
        <f>Lending!Q221/10^9</f>
        <v>17.688057491999999</v>
      </c>
      <c r="G373" s="391">
        <f>Lending!R221/10^9</f>
        <v>20.807979926730393</v>
      </c>
      <c r="H373" s="391">
        <f>Lending!S221/10^9</f>
        <v>23.142048234000001</v>
      </c>
      <c r="I373" s="391">
        <f>Lending!T221/10^9</f>
        <v>26.999818613999999</v>
      </c>
      <c r="J373" s="391">
        <f>Lending!U221/10^9</f>
        <v>29.147383247</v>
      </c>
      <c r="K373" s="391">
        <f>Lending!V221/10^9</f>
        <v>34.881702228999998</v>
      </c>
      <c r="L373" s="391">
        <f>Lending!W221/10^9</f>
        <v>39.982090272000001</v>
      </c>
      <c r="M373" s="391">
        <f>Lending!X221/10^9</f>
        <v>43.804324788000002</v>
      </c>
      <c r="N373" s="391">
        <f>Lending!Y221/10^9</f>
        <v>51.923510006999997</v>
      </c>
      <c r="O373" s="391">
        <f>Lending!Z221/10^9</f>
        <v>55.594494687999997</v>
      </c>
      <c r="P373" s="391">
        <f>Lending!AA221/10^9</f>
        <v>63.884325572000002</v>
      </c>
      <c r="Q373" s="391">
        <f>Lending!M221/10^9</f>
        <v>426.26181034173038</v>
      </c>
      <c r="R373" s="391"/>
      <c r="S373" s="391"/>
      <c r="T373" s="391"/>
    </row>
    <row r="374" spans="2:21" ht="15" customHeight="1">
      <c r="B374" s="409" t="s">
        <v>619</v>
      </c>
      <c r="C374" s="391">
        <f>Lending!N226/10^9</f>
        <v>6.6364491479999996</v>
      </c>
      <c r="D374" s="391">
        <f>Lending!O226/10^9</f>
        <v>8.0731576549999993</v>
      </c>
      <c r="E374" s="391">
        <f>Lending!P226/10^9</f>
        <v>7.374436759</v>
      </c>
      <c r="F374" s="391">
        <f>Lending!Q226/10^9</f>
        <v>5.9020230710000003</v>
      </c>
      <c r="G374" s="391">
        <f>Lending!R226/10^9</f>
        <v>9.8191934280000002</v>
      </c>
      <c r="H374" s="391">
        <f>Lending!S226/10^9</f>
        <v>12.932379976</v>
      </c>
      <c r="I374" s="391">
        <f>Lending!T226/10^9</f>
        <v>12.974659595</v>
      </c>
      <c r="J374" s="391">
        <f>Lending!U226/10^9</f>
        <v>16.292763849</v>
      </c>
      <c r="K374" s="391">
        <f>Lending!V226/10^9</f>
        <v>21.530051533999998</v>
      </c>
      <c r="L374" s="391">
        <f>Lending!W226/10^9</f>
        <v>21.515772226999999</v>
      </c>
      <c r="M374" s="391">
        <f>Lending!X226/10^9</f>
        <v>30.445347590000001</v>
      </c>
      <c r="N374" s="391">
        <f>Lending!Y226/10^9</f>
        <v>32.743188629000002</v>
      </c>
      <c r="O374" s="391">
        <f>Lending!Z226/10^9</f>
        <v>35.936245843000002</v>
      </c>
      <c r="P374" s="391">
        <f>Lending!AA226/10^9</f>
        <v>33.445503359</v>
      </c>
      <c r="Q374" s="391">
        <f>Lending!M226/10^9</f>
        <v>240.91156586</v>
      </c>
      <c r="R374" s="391"/>
      <c r="S374" s="391"/>
      <c r="T374" s="391"/>
    </row>
    <row r="375" spans="2:21" ht="15" customHeight="1">
      <c r="B375" s="409" t="s">
        <v>620</v>
      </c>
      <c r="C375" s="391">
        <f>Lending!N230/10^9</f>
        <v>0</v>
      </c>
      <c r="D375" s="391">
        <f>Lending!O230/10^9</f>
        <v>0</v>
      </c>
      <c r="E375" s="391">
        <f>Lending!P230/10^9</f>
        <v>0</v>
      </c>
      <c r="F375" s="391">
        <f>Lending!Q230/10^9</f>
        <v>6.0197499999999999E-3</v>
      </c>
      <c r="G375" s="391">
        <f>Lending!R230/10^9</f>
        <v>5.2470759999999998E-3</v>
      </c>
      <c r="H375" s="391">
        <f>Lending!S230/10^9</f>
        <v>2.3657931E-2</v>
      </c>
      <c r="I375" s="391">
        <f>Lending!T230/10^9</f>
        <v>5.9458497999999999E-2</v>
      </c>
      <c r="J375" s="391">
        <f>Lending!U230/10^9</f>
        <v>0.16044144399999999</v>
      </c>
      <c r="K375" s="391">
        <f>Lending!V230/10^9</f>
        <v>0.23861834300000001</v>
      </c>
      <c r="L375" s="391">
        <f>Lending!W230/10^9</f>
        <v>0.25334700399999999</v>
      </c>
      <c r="M375" s="391">
        <f>Lending!X230/10^9</f>
        <v>0.39024236000000001</v>
      </c>
      <c r="N375" s="391">
        <f>Lending!Y230/10^9</f>
        <v>0.65278339600000002</v>
      </c>
      <c r="O375" s="391">
        <f>Lending!Z230/10^9</f>
        <v>0.51504001600000004</v>
      </c>
      <c r="P375" s="391">
        <f>Lending!AA230/10^9</f>
        <v>0.74678968499999998</v>
      </c>
      <c r="Q375" s="391">
        <f>Lending!M230/10^9</f>
        <v>3.051645503</v>
      </c>
      <c r="R375" s="391"/>
      <c r="S375" s="391"/>
      <c r="T375" s="391"/>
    </row>
    <row r="376" spans="2:21" ht="15" customHeight="1">
      <c r="B376" s="361" t="s">
        <v>621</v>
      </c>
      <c r="C376" s="383">
        <f>Lending!N231/10^9</f>
        <v>2.3348355280000002</v>
      </c>
      <c r="D376" s="383">
        <f>Lending!O231/10^9</f>
        <v>3.898629235</v>
      </c>
      <c r="E376" s="383">
        <f>Lending!P231/10^9</f>
        <v>5.9015950620000002</v>
      </c>
      <c r="F376" s="383">
        <f>Lending!Q231/10^9</f>
        <v>8.0794104789999999</v>
      </c>
      <c r="G376" s="383">
        <f>Lending!R231/10^9</f>
        <v>11.406696423</v>
      </c>
      <c r="H376" s="383">
        <f>Lending!S231/10^9</f>
        <v>7.7842726869999996</v>
      </c>
      <c r="I376" s="383">
        <f>Lending!T231/10^9</f>
        <v>13.401491835</v>
      </c>
      <c r="J376" s="383">
        <f>Lending!U231/10^9</f>
        <v>16.730893947999999</v>
      </c>
      <c r="K376" s="383">
        <f>Lending!V231/10^9</f>
        <v>15.028527669000001</v>
      </c>
      <c r="L376" s="383">
        <f>Lending!W231/10^9</f>
        <v>23.801575842999998</v>
      </c>
      <c r="M376" s="383">
        <f>Lending!X231/10^9</f>
        <v>33.112221251999998</v>
      </c>
      <c r="N376" s="383">
        <f>Lending!Y231/10^9</f>
        <v>31.593531413000001</v>
      </c>
      <c r="O376" s="383">
        <f>Lending!Z231/10^9</f>
        <v>43.627163609999997</v>
      </c>
      <c r="P376" s="383">
        <f>Lending!AA231/10^9</f>
        <v>57.349177625999999</v>
      </c>
      <c r="Q376" s="383">
        <f>Lending!M231/10^9</f>
        <v>267.81655784700001</v>
      </c>
      <c r="R376" s="383"/>
      <c r="S376" s="383"/>
      <c r="T376" s="383"/>
    </row>
    <row r="377" spans="2:21" ht="15" customHeight="1">
      <c r="B377" s="361" t="s">
        <v>84</v>
      </c>
      <c r="C377" s="383">
        <f>SUM(C378:C385)</f>
        <v>2.7598245983645295</v>
      </c>
      <c r="D377" s="383">
        <f t="shared" ref="D377:Q377" si="322">SUM(D378:D385)</f>
        <v>3.5652682877424349</v>
      </c>
      <c r="E377" s="383">
        <f t="shared" si="322"/>
        <v>3.0415555496916622</v>
      </c>
      <c r="F377" s="383">
        <f t="shared" si="322"/>
        <v>2.3877603660910109</v>
      </c>
      <c r="G377" s="383">
        <f t="shared" si="322"/>
        <v>3.0601555774536005</v>
      </c>
      <c r="H377" s="383">
        <f t="shared" si="322"/>
        <v>3.9571297021539089</v>
      </c>
      <c r="I377" s="383">
        <f t="shared" si="322"/>
        <v>3.4306487681481705</v>
      </c>
      <c r="J377" s="383">
        <f>SUM(J378:J385)</f>
        <v>4.8705841194283908</v>
      </c>
      <c r="K377" s="383">
        <f t="shared" si="322"/>
        <v>7.7406252075738147</v>
      </c>
      <c r="L377" s="383">
        <f t="shared" si="322"/>
        <v>7.0900744617614784</v>
      </c>
      <c r="M377" s="383">
        <f t="shared" si="322"/>
        <v>6.3275914412872432</v>
      </c>
      <c r="N377" s="383">
        <f t="shared" si="322"/>
        <v>7.3184439853327303</v>
      </c>
      <c r="O377" s="383">
        <f t="shared" si="322"/>
        <v>7.5742596012077508</v>
      </c>
      <c r="P377" s="383">
        <f t="shared" si="322"/>
        <v>8.5373217164974307</v>
      </c>
      <c r="Q377" s="383">
        <f t="shared" si="322"/>
        <v>65.336150496627184</v>
      </c>
      <c r="R377" s="383"/>
      <c r="S377" s="383"/>
      <c r="T377" s="383"/>
      <c r="U377" s="1131"/>
    </row>
    <row r="378" spans="2:21" ht="15" customHeight="1">
      <c r="B378" s="409" t="s">
        <v>230</v>
      </c>
      <c r="C378" s="391">
        <f>Lending!N233/10^9</f>
        <v>1.0465212800000001</v>
      </c>
      <c r="D378" s="391">
        <f>Lending!O233/10^9</f>
        <v>1.3472753660000001</v>
      </c>
      <c r="E378" s="391">
        <f>Lending!P233/10^9</f>
        <v>1.0887436699999999</v>
      </c>
      <c r="F378" s="391">
        <f>Lending!Q233/10^9</f>
        <v>0.79302161900000001</v>
      </c>
      <c r="G378" s="391">
        <f>Lending!R233/10^9</f>
        <v>1.3963422940000001</v>
      </c>
      <c r="H378" s="391">
        <f>Lending!S233/10^9</f>
        <v>1.9855188420000001</v>
      </c>
      <c r="I378" s="391">
        <f>Lending!T233/10^9</f>
        <v>1.321461738</v>
      </c>
      <c r="J378" s="391">
        <f>Lending!U233/10^9</f>
        <v>2.8857720150000001</v>
      </c>
      <c r="K378" s="391">
        <f>Lending!V233/10^9</f>
        <v>5.2044466549999999</v>
      </c>
      <c r="L378" s="391">
        <f>Lending!W233/10^9</f>
        <v>3.8098094570000001</v>
      </c>
      <c r="M378" s="391">
        <f>Lending!X233/10^9</f>
        <v>2.5503194979999999</v>
      </c>
      <c r="N378" s="391">
        <f>Lending!Y233/10^9</f>
        <v>3.5212682860000002</v>
      </c>
      <c r="O378" s="391">
        <f>Lending!Z233/10^9</f>
        <v>3.5726591339999998</v>
      </c>
      <c r="P378" s="391">
        <f>Lending!AA233/10^9</f>
        <v>4.4340686270000003</v>
      </c>
      <c r="Q378" s="391">
        <f>Lending!M233/10^9</f>
        <v>32.563431835000003</v>
      </c>
      <c r="R378" s="383"/>
      <c r="S378" s="383"/>
      <c r="T378" s="383"/>
      <c r="U378" s="1131"/>
    </row>
    <row r="379" spans="2:21" ht="15" customHeight="1">
      <c r="B379" s="409" t="s">
        <v>231</v>
      </c>
      <c r="C379" s="391">
        <f>Lending!N234/10^9</f>
        <v>0</v>
      </c>
      <c r="D379" s="391">
        <f>Lending!O234/10^9</f>
        <v>0</v>
      </c>
      <c r="E379" s="391">
        <f>Lending!P234/10^9</f>
        <v>0</v>
      </c>
      <c r="F379" s="391">
        <f>Lending!Q234/10^9</f>
        <v>0</v>
      </c>
      <c r="G379" s="391">
        <f>Lending!R234/10^9</f>
        <v>0</v>
      </c>
      <c r="H379" s="391">
        <f>Lending!S234/10^9</f>
        <v>0</v>
      </c>
      <c r="I379" s="391">
        <f>Lending!T234/10^9</f>
        <v>0</v>
      </c>
      <c r="J379" s="391">
        <f>Lending!U234/10^9</f>
        <v>0</v>
      </c>
      <c r="K379" s="391">
        <f>Lending!V234/10^9</f>
        <v>0</v>
      </c>
      <c r="L379" s="391">
        <f>Lending!W234/10^9</f>
        <v>0</v>
      </c>
      <c r="M379" s="391">
        <f>Lending!X234/10^9</f>
        <v>0</v>
      </c>
      <c r="N379" s="391">
        <f>Lending!Y234/10^9</f>
        <v>0</v>
      </c>
      <c r="O379" s="391">
        <f>Lending!Z234/10^9</f>
        <v>0</v>
      </c>
      <c r="P379" s="391">
        <f>Lending!AA234/10^9</f>
        <v>0</v>
      </c>
      <c r="Q379" s="391">
        <f>Lending!M234/10^9</f>
        <v>0</v>
      </c>
      <c r="R379" s="383"/>
      <c r="S379" s="383"/>
      <c r="T379" s="383"/>
      <c r="U379" s="1131"/>
    </row>
    <row r="380" spans="2:21" ht="15" customHeight="1">
      <c r="B380" s="409" t="s">
        <v>232</v>
      </c>
      <c r="C380" s="391">
        <f>Lending!N235/10^9</f>
        <v>1.42603232042235</v>
      </c>
      <c r="D380" s="391">
        <f>Lending!O235/10^9</f>
        <v>1.7682157954809803</v>
      </c>
      <c r="E380" s="391">
        <f>Lending!P235/10^9</f>
        <v>1.4048706659115648</v>
      </c>
      <c r="F380" s="391">
        <f>Lending!Q235/10^9</f>
        <v>1.0125409316552498</v>
      </c>
      <c r="G380" s="391">
        <f>Lending!R235/10^9</f>
        <v>1.1009791299920748</v>
      </c>
      <c r="H380" s="391">
        <f>Lending!S235/10^9</f>
        <v>1.3116958605415914</v>
      </c>
      <c r="I380" s="391">
        <f>Lending!T235/10^9</f>
        <v>1.3803355922184115</v>
      </c>
      <c r="J380" s="391">
        <f>Lending!U235/10^9</f>
        <v>1.6377354374679216</v>
      </c>
      <c r="K380" s="391">
        <f>Lending!V235/10^9</f>
        <v>2.0133137989511893</v>
      </c>
      <c r="L380" s="391">
        <f>Lending!W235/10^9</f>
        <v>2.7146292425934044</v>
      </c>
      <c r="M380" s="391">
        <f>Lending!X235/10^9</f>
        <v>3.1271984961652088</v>
      </c>
      <c r="N380" s="391">
        <f>Lending!Y235/10^9</f>
        <v>3.2445946995981867</v>
      </c>
      <c r="O380" s="391">
        <f>Lending!Z235/10^9</f>
        <v>3.2225855547905438</v>
      </c>
      <c r="P380" s="391">
        <f>Lending!AA235/10^9</f>
        <v>3.3582877536074744</v>
      </c>
      <c r="Q380" s="391">
        <f>Lending!M235/10^9</f>
        <v>25.528767163492819</v>
      </c>
      <c r="R380" s="383"/>
      <c r="S380" s="383"/>
      <c r="T380" s="383"/>
      <c r="U380" s="1131"/>
    </row>
    <row r="381" spans="2:21" ht="15" customHeight="1">
      <c r="B381" s="409" t="s">
        <v>233</v>
      </c>
      <c r="C381" s="391">
        <f>Lending!N236/10^9</f>
        <v>9.7513700000000005E-3</v>
      </c>
      <c r="D381" s="391">
        <f>Lending!O236/10^9</f>
        <v>1.1389903E-2</v>
      </c>
      <c r="E381" s="391">
        <f>Lending!P236/10^9</f>
        <v>1.0075845999999999E-2</v>
      </c>
      <c r="F381" s="391">
        <f>Lending!Q236/10^9</f>
        <v>7.5076489999999999E-3</v>
      </c>
      <c r="G381" s="391">
        <f>Lending!R236/10^9</f>
        <v>1.4238038999999999E-2</v>
      </c>
      <c r="H381" s="391">
        <f>Lending!S236/10^9</f>
        <v>3.9946442999999998E-2</v>
      </c>
      <c r="I381" s="391">
        <f>Lending!T236/10^9</f>
        <v>1.4465488E-2</v>
      </c>
      <c r="J381" s="391">
        <f>Lending!U236/10^9</f>
        <v>1.6100468999999999E-2</v>
      </c>
      <c r="K381" s="391">
        <f>Lending!V236/10^9</f>
        <v>2.4245408999999999E-2</v>
      </c>
      <c r="L381" s="391">
        <f>Lending!W236/10^9</f>
        <v>6.4895171000000001E-2</v>
      </c>
      <c r="M381" s="391">
        <f>Lending!X236/10^9</f>
        <v>2.3959246999999999E-2</v>
      </c>
      <c r="N381" s="391">
        <f>Lending!Y236/10^9</f>
        <v>2.0273768000000001E-2</v>
      </c>
      <c r="O381" s="391">
        <f>Lending!Z236/10^9</f>
        <v>2.5856418999999999E-2</v>
      </c>
      <c r="P381" s="391">
        <f>Lending!AA236/10^9</f>
        <v>2.4523545000000001E-2</v>
      </c>
      <c r="Q381" s="391">
        <f>Lending!M236/10^9</f>
        <v>0.28608749300000003</v>
      </c>
      <c r="R381" s="383"/>
      <c r="S381" s="383"/>
      <c r="T381" s="383"/>
      <c r="U381" s="1131"/>
    </row>
    <row r="382" spans="2:21" ht="15" hidden="1" customHeight="1">
      <c r="B382" s="409" t="s">
        <v>152</v>
      </c>
      <c r="C382" s="391">
        <f>Lending!N237/10^9</f>
        <v>0</v>
      </c>
      <c r="D382" s="391">
        <f>Lending!O237/10^9</f>
        <v>0</v>
      </c>
      <c r="E382" s="391">
        <f>Lending!P237/10^9</f>
        <v>4.7839749786852147E-2</v>
      </c>
      <c r="F382" s="391">
        <f>Lending!Q237/10^9</f>
        <v>2.8805459014543629E-2</v>
      </c>
      <c r="G382" s="391">
        <f>Lending!R237/10^9</f>
        <v>4.1873391065046457E-2</v>
      </c>
      <c r="H382" s="391">
        <f>Lending!S237/10^9</f>
        <v>3.3375974988424144E-2</v>
      </c>
      <c r="I382" s="391">
        <f>Lending!T237/10^9</f>
        <v>3.2842005955487336E-2</v>
      </c>
      <c r="J382" s="391">
        <f>Lending!U237/10^9</f>
        <v>3.6848552394285465E-2</v>
      </c>
      <c r="K382" s="391">
        <f>Lending!V237/10^9</f>
        <v>4.0465331333607572E-2</v>
      </c>
      <c r="L382" s="391">
        <f>Lending!W237/10^9</f>
        <v>3.7514372785884556E-2</v>
      </c>
      <c r="M382" s="391">
        <f>Lending!X237/10^9</f>
        <v>3.7930290774701468E-2</v>
      </c>
      <c r="N382" s="391">
        <f>Lending!Y237/10^9</f>
        <v>4.3041606771640352E-2</v>
      </c>
      <c r="O382" s="391">
        <f>Lending!Z237/10^9</f>
        <v>4.9164899181446113E-2</v>
      </c>
      <c r="P382" s="391">
        <f>Lending!AA237/10^9</f>
        <v>5.5565857915366189E-2</v>
      </c>
      <c r="Q382" s="391">
        <f>Lending!M237/10^9</f>
        <v>0.48526749196728547</v>
      </c>
      <c r="R382" s="383"/>
      <c r="S382" s="383"/>
      <c r="T382" s="383"/>
      <c r="U382" s="1131"/>
    </row>
    <row r="383" spans="2:21" ht="15" customHeight="1">
      <c r="B383" s="409" t="s">
        <v>234</v>
      </c>
      <c r="C383" s="391">
        <f>Lending!N238/10^9</f>
        <v>0.2706434379629436</v>
      </c>
      <c r="D383" s="391">
        <f>Lending!O238/10^9</f>
        <v>0.41748421442873895</v>
      </c>
      <c r="E383" s="391">
        <f>Lending!P238/10^9</f>
        <v>0.4580850895973374</v>
      </c>
      <c r="F383" s="391">
        <f>Lending!Q238/10^9</f>
        <v>0.52604850490341493</v>
      </c>
      <c r="G383" s="391">
        <f>Lending!R238/10^9</f>
        <v>0.4792482428068402</v>
      </c>
      <c r="H383" s="391">
        <f>Lending!S238/10^9</f>
        <v>0.53699586303155489</v>
      </c>
      <c r="I383" s="391">
        <f>Lending!T238/10^9</f>
        <v>0.63878895442184935</v>
      </c>
      <c r="J383" s="391">
        <f>Lending!U238/10^9</f>
        <v>0.25431326414673205</v>
      </c>
      <c r="K383" s="391">
        <f>Lending!V238/10^9</f>
        <v>0.39768277600000002</v>
      </c>
      <c r="L383" s="391">
        <f>Lending!W238/10^9</f>
        <v>0.42115136476681225</v>
      </c>
      <c r="M383" s="391">
        <f>Lending!X238/10^9</f>
        <v>0.52041437420753267</v>
      </c>
      <c r="N383" s="391">
        <f>Lending!Y238/10^9</f>
        <v>0.41318446006813764</v>
      </c>
      <c r="O383" s="391">
        <f>Lending!Z238/10^9</f>
        <v>0.6313671597267474</v>
      </c>
      <c r="P383" s="391">
        <f>Lending!AA238/10^9</f>
        <v>0.59633354767264246</v>
      </c>
      <c r="Q383" s="391">
        <f>Lending!M238/10^9</f>
        <v>5.873613601349601</v>
      </c>
      <c r="R383" s="383"/>
      <c r="S383" s="383"/>
      <c r="T383" s="383"/>
      <c r="U383" s="1131"/>
    </row>
    <row r="384" spans="2:21" ht="15" hidden="1" customHeight="1">
      <c r="B384" s="409" t="s">
        <v>235</v>
      </c>
      <c r="C384" s="391">
        <f>Lending!N239/10^9</f>
        <v>0</v>
      </c>
      <c r="D384" s="391">
        <f>Lending!O239/10^9</f>
        <v>0</v>
      </c>
      <c r="E384" s="391">
        <f>Lending!P239/10^9</f>
        <v>0</v>
      </c>
      <c r="F384" s="391">
        <f>Lending!Q239/10^9</f>
        <v>0</v>
      </c>
      <c r="G384" s="391">
        <f>Lending!R239/10^9</f>
        <v>0</v>
      </c>
      <c r="H384" s="391">
        <f>Lending!S239/10^9</f>
        <v>0</v>
      </c>
      <c r="I384" s="391">
        <f>Lending!T239/10^9</f>
        <v>0</v>
      </c>
      <c r="J384" s="391">
        <f>Lending!U239/10^9</f>
        <v>0</v>
      </c>
      <c r="K384" s="391">
        <f>Lending!V239/10^9</f>
        <v>0</v>
      </c>
      <c r="L384" s="391">
        <f>Lending!W239/10^9</f>
        <v>0</v>
      </c>
      <c r="M384" s="391">
        <f>Lending!X239/10^9</f>
        <v>0</v>
      </c>
      <c r="N384" s="391">
        <f>Lending!Y239/10^9</f>
        <v>0</v>
      </c>
      <c r="O384" s="391">
        <f>Lending!Z239/10^9</f>
        <v>0</v>
      </c>
      <c r="P384" s="391">
        <f>Lending!AA239/10^9</f>
        <v>0</v>
      </c>
      <c r="Q384" s="391">
        <f>Lending!M239/10^9</f>
        <v>0</v>
      </c>
      <c r="R384" s="383"/>
      <c r="S384" s="383"/>
      <c r="T384" s="383"/>
      <c r="U384" s="1131"/>
    </row>
    <row r="385" spans="2:24" ht="15" hidden="1" customHeight="1">
      <c r="B385" s="409" t="s">
        <v>163</v>
      </c>
      <c r="C385" s="391">
        <f>Lending!N240/10^9</f>
        <v>6.8761899792360451E-3</v>
      </c>
      <c r="D385" s="391">
        <f>Lending!O240/10^9</f>
        <v>2.0903008832715727E-2</v>
      </c>
      <c r="E385" s="391">
        <f>Lending!P240/10^9</f>
        <v>3.1940528395907712E-2</v>
      </c>
      <c r="F385" s="391">
        <f>Lending!Q240/10^9</f>
        <v>1.9836202517802447E-2</v>
      </c>
      <c r="G385" s="391">
        <f>Lending!R240/10^9</f>
        <v>2.7474480589639472E-2</v>
      </c>
      <c r="H385" s="391">
        <f>Lending!S240/10^9</f>
        <v>4.9596718592338537E-2</v>
      </c>
      <c r="I385" s="391">
        <f>Lending!T240/10^9</f>
        <v>4.2754989552422219E-2</v>
      </c>
      <c r="J385" s="391">
        <f>Lending!U240/10^9</f>
        <v>3.9814381419451067E-2</v>
      </c>
      <c r="K385" s="391">
        <f>Lending!V240/10^9</f>
        <v>6.0471237289017488E-2</v>
      </c>
      <c r="L385" s="391">
        <f>Lending!W240/10^9</f>
        <v>4.2074853615377328E-2</v>
      </c>
      <c r="M385" s="391">
        <f>Lending!X240/10^9</f>
        <v>6.7769535139800913E-2</v>
      </c>
      <c r="N385" s="391">
        <f>Lending!Y240/10^9</f>
        <v>7.6081164894766018E-2</v>
      </c>
      <c r="O385" s="391">
        <f>Lending!Z240/10^9</f>
        <v>7.2626434509014556E-2</v>
      </c>
      <c r="P385" s="391">
        <f>Lending!AA240/10^9</f>
        <v>6.8542385301948144E-2</v>
      </c>
      <c r="Q385" s="391">
        <f>Lending!M240/10^9</f>
        <v>0.59898291181748597</v>
      </c>
      <c r="R385" s="383"/>
      <c r="S385" s="383"/>
      <c r="T385" s="383"/>
      <c r="U385" s="1131"/>
    </row>
    <row r="386" spans="2:24" ht="15" customHeight="1">
      <c r="B386" s="409" t="s">
        <v>691</v>
      </c>
      <c r="C386" s="391">
        <f>C385+C382</f>
        <v>6.8761899792360451E-3</v>
      </c>
      <c r="D386" s="391">
        <f t="shared" ref="D386:Q386" si="323">D385+D382</f>
        <v>2.0903008832715727E-2</v>
      </c>
      <c r="E386" s="391">
        <f t="shared" si="323"/>
        <v>7.9780278182759859E-2</v>
      </c>
      <c r="F386" s="391">
        <f t="shared" si="323"/>
        <v>4.8641661532346073E-2</v>
      </c>
      <c r="G386" s="391">
        <f t="shared" si="323"/>
        <v>6.9347871654685922E-2</v>
      </c>
      <c r="H386" s="391">
        <f t="shared" si="323"/>
        <v>8.2972693580762674E-2</v>
      </c>
      <c r="I386" s="391">
        <f t="shared" si="323"/>
        <v>7.5596995507909548E-2</v>
      </c>
      <c r="J386" s="391">
        <f t="shared" si="323"/>
        <v>7.6662933813736539E-2</v>
      </c>
      <c r="K386" s="391">
        <f t="shared" si="323"/>
        <v>0.10093656862262507</v>
      </c>
      <c r="L386" s="391">
        <f t="shared" si="323"/>
        <v>7.9589226401261884E-2</v>
      </c>
      <c r="M386" s="391">
        <f t="shared" si="323"/>
        <v>0.10569982591450239</v>
      </c>
      <c r="N386" s="391">
        <f t="shared" si="323"/>
        <v>0.11912277166640636</v>
      </c>
      <c r="O386" s="391">
        <f t="shared" si="323"/>
        <v>0.12179133369046066</v>
      </c>
      <c r="P386" s="391">
        <f t="shared" si="323"/>
        <v>0.12410824321731434</v>
      </c>
      <c r="Q386" s="391">
        <f t="shared" si="323"/>
        <v>1.0842504037847713</v>
      </c>
      <c r="R386" s="391"/>
      <c r="S386" s="391"/>
      <c r="T386" s="391"/>
    </row>
    <row r="387" spans="2:24" ht="15" customHeight="1">
      <c r="B387" s="409" t="s">
        <v>625</v>
      </c>
      <c r="C387" s="469"/>
      <c r="D387" s="469"/>
      <c r="E387" s="469"/>
      <c r="F387" s="469"/>
      <c r="G387" s="469"/>
      <c r="H387" s="469"/>
      <c r="I387" s="469"/>
      <c r="J387" s="469">
        <f t="shared" ref="J387:P387" si="324">J370/J368</f>
        <v>0.15987968405379918</v>
      </c>
      <c r="K387" s="469">
        <f t="shared" si="324"/>
        <v>0.15046576833241412</v>
      </c>
      <c r="L387" s="469">
        <f t="shared" si="324"/>
        <v>0.15067036312368298</v>
      </c>
      <c r="M387" s="469">
        <f t="shared" si="324"/>
        <v>0.15922547147242555</v>
      </c>
      <c r="N387" s="469">
        <f t="shared" si="324"/>
        <v>0.14814576968282725</v>
      </c>
      <c r="O387" s="469">
        <f t="shared" si="324"/>
        <v>0.14676008267413798</v>
      </c>
      <c r="P387" s="469">
        <f t="shared" si="324"/>
        <v>0.16500941244924056</v>
      </c>
    </row>
    <row r="388" spans="2:24" ht="15" customHeight="1">
      <c r="B388" s="828" t="s">
        <v>626</v>
      </c>
      <c r="C388" s="469">
        <f>C371/C368</f>
        <v>7.3866803941725082E-2</v>
      </c>
      <c r="D388" s="469">
        <f t="shared" ref="D388:P388" si="325">D371/D368</f>
        <v>8.3649868932902618E-2</v>
      </c>
      <c r="E388" s="469">
        <f t="shared" si="325"/>
        <v>7.9520731200761946E-2</v>
      </c>
      <c r="F388" s="469">
        <f t="shared" si="325"/>
        <v>9.1824131834806241E-2</v>
      </c>
      <c r="G388" s="469">
        <f t="shared" si="325"/>
        <v>0.10140361781821647</v>
      </c>
      <c r="H388" s="469">
        <f t="shared" si="325"/>
        <v>8.622456030511097E-2</v>
      </c>
      <c r="I388" s="469">
        <f t="shared" si="325"/>
        <v>8.0577167393189611E-2</v>
      </c>
      <c r="J388" s="469">
        <f t="shared" si="325"/>
        <v>8.96225470491539E-2</v>
      </c>
      <c r="K388" s="469">
        <f t="shared" si="325"/>
        <v>8.9122506559370054E-2</v>
      </c>
      <c r="L388" s="469">
        <f t="shared" si="325"/>
        <v>9.0860246339423259E-2</v>
      </c>
      <c r="M388" s="469">
        <f t="shared" si="325"/>
        <v>9.874149170892306E-2</v>
      </c>
      <c r="N388" s="469">
        <f t="shared" si="325"/>
        <v>9.8300906015811207E-2</v>
      </c>
      <c r="O388" s="469">
        <f t="shared" si="325"/>
        <v>9.8536738745565719E-2</v>
      </c>
      <c r="P388" s="469">
        <f t="shared" si="325"/>
        <v>0.11138504272521178</v>
      </c>
    </row>
    <row r="389" spans="2:24" ht="15" customHeight="1">
      <c r="B389" s="829" t="s">
        <v>692</v>
      </c>
      <c r="C389" s="469"/>
      <c r="D389" s="469"/>
      <c r="E389" s="469">
        <f>Lending!P218</f>
        <v>4.3221757469640874E-2</v>
      </c>
      <c r="F389" s="469">
        <f>Lending!Q218</f>
        <v>4.9522737808995326E-2</v>
      </c>
      <c r="G389" s="469">
        <f>Lending!R218</f>
        <v>5.1859152027397187E-2</v>
      </c>
      <c r="H389" s="469">
        <f>Lending!S218</f>
        <v>5.0977357357927487E-2</v>
      </c>
      <c r="I389" s="469">
        <f>Lending!T218</f>
        <v>5.767344221205585E-2</v>
      </c>
      <c r="J389" s="469">
        <f>Lending!U218</f>
        <v>5.635419729153493E-2</v>
      </c>
      <c r="K389" s="469">
        <f>Lending!V218</f>
        <v>5.4220076838545378E-2</v>
      </c>
      <c r="L389" s="469">
        <f>Lending!W218</f>
        <v>5.290978583261377E-2</v>
      </c>
      <c r="M389" s="469">
        <f>Lending!X218</f>
        <v>4.802052547212627E-2</v>
      </c>
      <c r="N389" s="469">
        <f>Lending!Y218</f>
        <v>4.3773363499012542E-2</v>
      </c>
      <c r="O389" s="469">
        <f>Lending!Z218</f>
        <v>4.1240795132546915E-2</v>
      </c>
      <c r="P389" s="469">
        <f>Lending!AA218</f>
        <v>4.0107773008966667E-2</v>
      </c>
    </row>
    <row r="390" spans="2:24" ht="15" customHeight="1">
      <c r="B390" s="830" t="s">
        <v>693</v>
      </c>
      <c r="C390" s="394">
        <f>Lending!N219</f>
        <v>2.8197308158113929E-2</v>
      </c>
      <c r="D390" s="394">
        <f>Lending!O219</f>
        <v>4.2420781365288138E-2</v>
      </c>
      <c r="E390" s="394">
        <f>Lending!P219</f>
        <v>4.6945345595212795E-2</v>
      </c>
      <c r="F390" s="394">
        <f>Lending!Q219</f>
        <v>5.4330752179896059E-2</v>
      </c>
      <c r="G390" s="394">
        <f>Lending!R219</f>
        <v>6.2821079456671647E-2</v>
      </c>
      <c r="H390" s="394">
        <f>Lending!S219</f>
        <v>5.8406361308034636E-2</v>
      </c>
      <c r="I390" s="394">
        <f>Lending!T219</f>
        <v>6.4403502473895397E-2</v>
      </c>
      <c r="J390" s="394">
        <f>Lending!U219</f>
        <v>7.0257137004645254E-2</v>
      </c>
      <c r="K390" s="394">
        <f>Lending!V219</f>
        <v>6.1343261773044076E-2</v>
      </c>
      <c r="L390" s="394">
        <f>Lending!W219</f>
        <v>5.9810116784259716E-2</v>
      </c>
      <c r="M390" s="394">
        <f>Lending!X219</f>
        <v>6.0483979763502484E-2</v>
      </c>
      <c r="N390" s="394">
        <f>Lending!Y219</f>
        <v>4.9844863667016029E-2</v>
      </c>
      <c r="O390" s="394">
        <f>Lending!Z219</f>
        <v>4.822334392857227E-2</v>
      </c>
      <c r="P390" s="394">
        <f>Lending!AA219</f>
        <v>5.3624369724028779E-2</v>
      </c>
      <c r="Q390" s="394"/>
      <c r="T390" s="469"/>
    </row>
    <row r="391" spans="2:24" ht="15" customHeight="1">
      <c r="B391" s="361" t="s">
        <v>236</v>
      </c>
      <c r="C391" s="383">
        <f>C372-C376-C377</f>
        <v>13.562718365635471</v>
      </c>
      <c r="D391" s="383">
        <f t="shared" ref="D391:P391" si="326">D372-D376-D377</f>
        <v>15.623996286257565</v>
      </c>
      <c r="E391" s="383">
        <f t="shared" si="326"/>
        <v>16.837361419308341</v>
      </c>
      <c r="F391" s="383">
        <f t="shared" si="326"/>
        <v>13.128929467908989</v>
      </c>
      <c r="G391" s="383">
        <f t="shared" si="326"/>
        <v>16.165568430276796</v>
      </c>
      <c r="H391" s="383">
        <f t="shared" si="326"/>
        <v>24.356683751846095</v>
      </c>
      <c r="I391" s="383">
        <f t="shared" si="326"/>
        <v>23.201796103851823</v>
      </c>
      <c r="J391" s="383">
        <f t="shared" si="326"/>
        <v>23.999110472571616</v>
      </c>
      <c r="K391" s="383">
        <f t="shared" si="326"/>
        <v>33.881219229426179</v>
      </c>
      <c r="L391" s="383">
        <f t="shared" si="326"/>
        <v>30.859559198238525</v>
      </c>
      <c r="M391" s="383">
        <f t="shared" si="326"/>
        <v>35.200102044712764</v>
      </c>
      <c r="N391" s="383">
        <f t="shared" si="326"/>
        <v>46.407506633667282</v>
      </c>
      <c r="O391" s="383">
        <f t="shared" si="326"/>
        <v>40.844357335792246</v>
      </c>
      <c r="P391" s="383">
        <f t="shared" si="326"/>
        <v>32.190119273502575</v>
      </c>
      <c r="Q391" s="383">
        <f>Q372-Q376-Q377</f>
        <v>337.07231336110328</v>
      </c>
      <c r="R391" s="383"/>
      <c r="S391" s="383"/>
      <c r="T391" s="383"/>
    </row>
    <row r="392" spans="2:24" ht="15" customHeight="1">
      <c r="F392" s="1178">
        <f>F373-E373</f>
        <v>-0.71801778000000027</v>
      </c>
      <c r="G392" s="1178">
        <f t="shared" ref="G392:J392" si="327">G373-F373</f>
        <v>3.1199224347303947</v>
      </c>
      <c r="H392" s="1178">
        <f t="shared" si="327"/>
        <v>2.3340683072696073</v>
      </c>
      <c r="I392" s="1178">
        <f t="shared" si="327"/>
        <v>3.8577703799999981</v>
      </c>
      <c r="J392" s="1178">
        <f t="shared" si="327"/>
        <v>2.1475646330000018</v>
      </c>
    </row>
    <row r="393" spans="2:24" ht="15" customHeight="1">
      <c r="F393" s="1178">
        <f>F374-E374</f>
        <v>-1.4724136879999996</v>
      </c>
      <c r="G393" s="1178">
        <f t="shared" ref="G393:J393" si="328">G374-F374</f>
        <v>3.9171703569999998</v>
      </c>
      <c r="H393" s="1178">
        <f t="shared" si="328"/>
        <v>3.1131865479999998</v>
      </c>
      <c r="I393" s="1178">
        <f t="shared" si="328"/>
        <v>4.2279619000000324E-2</v>
      </c>
      <c r="J393" s="1178">
        <f t="shared" si="328"/>
        <v>3.3181042539999996</v>
      </c>
    </row>
    <row r="395" spans="2:24" ht="27.75" customHeight="1">
      <c r="B395" s="378" t="s">
        <v>694</v>
      </c>
      <c r="C395" s="90" t="s">
        <v>613</v>
      </c>
      <c r="D395" s="90" t="s">
        <v>614</v>
      </c>
      <c r="E395" s="579">
        <v>45658</v>
      </c>
      <c r="F395" s="579">
        <v>45689</v>
      </c>
      <c r="G395" s="579">
        <v>45717</v>
      </c>
      <c r="H395" s="579">
        <v>45748</v>
      </c>
      <c r="I395" s="579">
        <v>45778</v>
      </c>
      <c r="J395" s="579">
        <v>45809</v>
      </c>
      <c r="K395" s="579">
        <v>45839</v>
      </c>
      <c r="L395" s="579">
        <v>45870</v>
      </c>
      <c r="M395" s="579">
        <v>45901</v>
      </c>
      <c r="N395" s="579">
        <v>45931</v>
      </c>
      <c r="O395" s="579">
        <v>45962</v>
      </c>
      <c r="P395" s="579">
        <v>45992</v>
      </c>
      <c r="Q395" s="78" t="s">
        <v>76</v>
      </c>
      <c r="R395" s="1125"/>
      <c r="S395" s="1125"/>
      <c r="T395" s="1126"/>
      <c r="U395" s="1126"/>
      <c r="V395" s="1126"/>
      <c r="W395" s="1127"/>
      <c r="X395" s="1128"/>
    </row>
    <row r="396" spans="2:24" ht="15" customHeight="1">
      <c r="B396" s="361" t="s">
        <v>80</v>
      </c>
      <c r="C396" s="382">
        <f>Lending!N232/10^9</f>
        <v>2.7598245983645295</v>
      </c>
      <c r="D396" s="382">
        <f>Lending!O232/10^9</f>
        <v>3.5652682877424349</v>
      </c>
      <c r="E396" s="382">
        <f>Lending!P247/10^9</f>
        <v>16.174219999999998</v>
      </c>
      <c r="F396" s="382">
        <f>Lending!Q247/10^9</f>
        <v>12.84979</v>
      </c>
      <c r="G396" s="382">
        <f>Lending!R247/10^9</f>
        <v>23.384840000000001</v>
      </c>
      <c r="H396" s="382">
        <f>Lending!S247/10^9</f>
        <v>28.06569</v>
      </c>
      <c r="I396" s="382">
        <f>Lending!T247/10^9</f>
        <v>33.835149999999999</v>
      </c>
      <c r="J396" s="382">
        <f>Lending!U247/10^9</f>
        <v>40.487380000000002</v>
      </c>
      <c r="K396" s="382">
        <f>Lending!V247/10^9</f>
        <v>52.339689999999997</v>
      </c>
      <c r="L396" s="382">
        <f>Lending!W247/10^9</f>
        <v>63.561999999999998</v>
      </c>
      <c r="M396" s="382">
        <f>Lending!X247/10^9</f>
        <v>100.7694</v>
      </c>
      <c r="N396" s="382">
        <f>Lending!Y247/10^9</f>
        <v>93.23554</v>
      </c>
      <c r="O396" s="382">
        <f>Lending!Z247/10^9</f>
        <v>100.21749</v>
      </c>
      <c r="P396" s="382">
        <f>Lending!AA247/10^9</f>
        <v>126.95367</v>
      </c>
      <c r="Q396" s="382">
        <f>Lending!M247/10^9</f>
        <v>691.87486000000001</v>
      </c>
      <c r="R396" s="560"/>
      <c r="S396" s="560"/>
      <c r="T396" s="560"/>
    </row>
    <row r="397" spans="2:24" ht="15" customHeight="1">
      <c r="B397" s="361" t="s">
        <v>82</v>
      </c>
      <c r="C397" s="382">
        <f>Lending!N233/10^9</f>
        <v>1.0465212800000001</v>
      </c>
      <c r="D397" s="382">
        <f>Lending!O233/10^9</f>
        <v>1.3472753660000001</v>
      </c>
      <c r="E397" s="382">
        <f>Lending!P250/10^9</f>
        <v>36.367269639</v>
      </c>
      <c r="F397" s="382">
        <f>Lending!Q250/10^9</f>
        <v>46.067112309000002</v>
      </c>
      <c r="G397" s="382">
        <f>Lending!R250/10^9</f>
        <v>65.390137765000006</v>
      </c>
      <c r="H397" s="382">
        <f>Lending!S250/10^9</f>
        <v>87.363644373</v>
      </c>
      <c r="I397" s="382">
        <f>Lending!T250/10^9</f>
        <v>113.14694670199999</v>
      </c>
      <c r="J397" s="382">
        <f>Lending!U250/10^9</f>
        <v>143.34230304900001</v>
      </c>
      <c r="K397" s="382">
        <f>Lending!V250/10^9</f>
        <v>182.312198583</v>
      </c>
      <c r="L397" s="382">
        <f>Lending!W250/10^9</f>
        <v>229.40043744100001</v>
      </c>
      <c r="M397" s="382">
        <f>Lending!X250/10^9</f>
        <v>310.00555676800002</v>
      </c>
      <c r="N397" s="382">
        <f>Lending!Y250/10^9</f>
        <v>375.44460305500002</v>
      </c>
      <c r="O397" s="382">
        <f>Lending!Z250/10^9</f>
        <v>442.69867189199999</v>
      </c>
      <c r="P397" s="382">
        <f>Lending!AA250/10^9</f>
        <v>529.31986705999998</v>
      </c>
      <c r="Q397" s="382">
        <f>J397</f>
        <v>143.34230304900001</v>
      </c>
      <c r="T397" s="495"/>
    </row>
    <row r="398" spans="2:24" ht="15" customHeight="1">
      <c r="B398" s="409" t="s">
        <v>640</v>
      </c>
      <c r="C398" s="386">
        <f t="shared" ref="C398:Q398" si="329">C397-C399</f>
        <v>1.0089623720000001</v>
      </c>
      <c r="D398" s="386">
        <f t="shared" si="329"/>
        <v>0.46890321600000007</v>
      </c>
      <c r="E398" s="386">
        <f t="shared" si="329"/>
        <v>34.587335543000002</v>
      </c>
      <c r="F398" s="386">
        <f t="shared" si="329"/>
        <v>43.046207649999999</v>
      </c>
      <c r="G398" s="386">
        <f t="shared" si="329"/>
        <v>59.891366598000005</v>
      </c>
      <c r="H398" s="386">
        <f t="shared" si="329"/>
        <v>80.810396896</v>
      </c>
      <c r="I398" s="386">
        <f t="shared" si="329"/>
        <v>103.363381776</v>
      </c>
      <c r="J398" s="386">
        <f t="shared" si="329"/>
        <v>128.39171220200001</v>
      </c>
      <c r="K398" s="386">
        <f t="shared" si="329"/>
        <v>163.02482532100001</v>
      </c>
      <c r="L398" s="386">
        <f t="shared" si="329"/>
        <v>204.90089108800001</v>
      </c>
      <c r="M398" s="386">
        <f t="shared" si="329"/>
        <v>273.89867899700005</v>
      </c>
      <c r="N398" s="386">
        <f t="shared" si="329"/>
        <v>334.425572993</v>
      </c>
      <c r="O398" s="386">
        <f t="shared" si="329"/>
        <v>392.23668846099997</v>
      </c>
      <c r="P398" s="386">
        <f t="shared" si="329"/>
        <v>464.14322178699996</v>
      </c>
      <c r="Q398" s="386">
        <f t="shared" si="329"/>
        <v>128.39171220200001</v>
      </c>
      <c r="R398" s="561"/>
      <c r="S398" s="561"/>
      <c r="T398" s="561"/>
    </row>
    <row r="399" spans="2:24" ht="15" customHeight="1">
      <c r="B399" s="409" t="s">
        <v>617</v>
      </c>
      <c r="C399" s="386">
        <f>Lending!N254/10^9</f>
        <v>3.7558908000000002E-2</v>
      </c>
      <c r="D399" s="386">
        <f>Lending!O254/10^9</f>
        <v>0.87837215000000002</v>
      </c>
      <c r="E399" s="386">
        <f>Lending!P254/10^9</f>
        <v>1.7799340960000001</v>
      </c>
      <c r="F399" s="386">
        <f>Lending!Q254/10^9</f>
        <v>3.0209046590000002</v>
      </c>
      <c r="G399" s="386">
        <f>Lending!R254/10^9</f>
        <v>5.4987711670000001</v>
      </c>
      <c r="H399" s="386">
        <f>Lending!S254/10^9</f>
        <v>6.5532474770000002</v>
      </c>
      <c r="I399" s="386">
        <f>Lending!T254/10^9</f>
        <v>9.7835649260000004</v>
      </c>
      <c r="J399" s="386">
        <f>Lending!U254/10^9</f>
        <v>14.950590847000001</v>
      </c>
      <c r="K399" s="386">
        <f>Lending!V254/10^9</f>
        <v>19.287373261999999</v>
      </c>
      <c r="L399" s="386">
        <f>Lending!W254/10^9</f>
        <v>24.499546352999999</v>
      </c>
      <c r="M399" s="386">
        <f>Lending!X254/10^9</f>
        <v>36.106877771000001</v>
      </c>
      <c r="N399" s="386">
        <f>Lending!Y254/10^9</f>
        <v>41.019030061999999</v>
      </c>
      <c r="O399" s="386">
        <f>Lending!Z254/10^9</f>
        <v>50.461983431</v>
      </c>
      <c r="P399" s="386">
        <f>Lending!AA254/10^9</f>
        <v>65.176645273000005</v>
      </c>
      <c r="Q399" s="386">
        <f>J399</f>
        <v>14.950590847000001</v>
      </c>
      <c r="R399" s="561"/>
      <c r="S399" s="561"/>
      <c r="T399" s="561"/>
    </row>
    <row r="400" spans="2:24" ht="15" customHeight="1">
      <c r="B400" s="409" t="s">
        <v>690</v>
      </c>
      <c r="C400" s="386">
        <f>Lending!N218/10^9</f>
        <v>2.5645500742820171E-11</v>
      </c>
      <c r="D400" s="386">
        <f>Lending!O218/10^9</f>
        <v>3.5556608485302592E-11</v>
      </c>
      <c r="E400" s="386">
        <f>Lending!P256/10^9</f>
        <v>1.7549620829999999</v>
      </c>
      <c r="F400" s="386">
        <f>Lending!Q256/10^9</f>
        <v>2.9249996349999998</v>
      </c>
      <c r="G400" s="386">
        <f>Lending!R256/10^9</f>
        <v>4.8360498549999997</v>
      </c>
      <c r="H400" s="386">
        <f>Lending!S256/10^9</f>
        <v>5.4310784319999996</v>
      </c>
      <c r="I400" s="386">
        <f>Lending!T256/10^9</f>
        <v>7.5868014119999998</v>
      </c>
      <c r="J400" s="386">
        <f>Lending!U256/10^9</f>
        <v>11.256841399000001</v>
      </c>
      <c r="K400" s="386">
        <f>Lending!V256/10^9</f>
        <v>14.639515855999999</v>
      </c>
      <c r="L400" s="386">
        <f>Lending!W256/10^9</f>
        <v>18.157408849999999</v>
      </c>
      <c r="M400" s="386">
        <f>Lending!X256/10^9</f>
        <v>26.865803147000001</v>
      </c>
      <c r="N400" s="386">
        <f>Lending!Y256/10^9</f>
        <v>31.263248894</v>
      </c>
      <c r="O400" s="386">
        <f>Lending!Z256/10^9</f>
        <v>38.641280100000003</v>
      </c>
      <c r="P400" s="386">
        <f>Lending!AA256/10^9</f>
        <v>48.934151432999997</v>
      </c>
      <c r="Q400" s="495"/>
      <c r="T400" s="495"/>
    </row>
    <row r="401" spans="2:21" ht="15" customHeight="1">
      <c r="B401" s="361" t="s">
        <v>687</v>
      </c>
      <c r="C401" s="383">
        <f>C402+C403</f>
        <v>0.58848554100000006</v>
      </c>
      <c r="D401" s="383">
        <f>D402+D403</f>
        <v>0.99190825599999999</v>
      </c>
      <c r="E401" s="383">
        <f t="shared" ref="E401:Q401" si="330">E402+E403+E404</f>
        <v>1.627429469</v>
      </c>
      <c r="F401" s="383">
        <f t="shared" si="330"/>
        <v>1.717262163</v>
      </c>
      <c r="G401" s="383">
        <f t="shared" si="330"/>
        <v>2.7318103183148006</v>
      </c>
      <c r="H401" s="383">
        <f t="shared" si="330"/>
        <v>3.5191747620000005</v>
      </c>
      <c r="I401" s="383">
        <f t="shared" si="330"/>
        <v>4.5251109329999997</v>
      </c>
      <c r="J401" s="383">
        <f t="shared" si="330"/>
        <v>5.5373189859999998</v>
      </c>
      <c r="K401" s="383">
        <f t="shared" si="330"/>
        <v>7.0863365259999993</v>
      </c>
      <c r="L401" s="383">
        <f t="shared" si="330"/>
        <v>9.1047127620000001</v>
      </c>
      <c r="M401" s="383">
        <f t="shared" si="330"/>
        <v>11.870030385</v>
      </c>
      <c r="N401" s="383">
        <f t="shared" si="330"/>
        <v>14.480708612000001</v>
      </c>
      <c r="O401" s="383">
        <f t="shared" si="330"/>
        <v>16.173955958000001</v>
      </c>
      <c r="P401" s="383">
        <f t="shared" si="330"/>
        <v>19.863247421999997</v>
      </c>
      <c r="Q401" s="383">
        <f t="shared" si="330"/>
        <v>98.237098296314812</v>
      </c>
      <c r="R401" s="383"/>
      <c r="S401" s="383"/>
      <c r="T401" s="383"/>
    </row>
    <row r="402" spans="2:21" ht="15" customHeight="1">
      <c r="B402" s="409" t="s">
        <v>618</v>
      </c>
      <c r="C402" s="391">
        <f>Lending!N260/10^9</f>
        <v>0.23438667499999999</v>
      </c>
      <c r="D402" s="391">
        <f>Lending!O260/10^9</f>
        <v>0.56938023599999998</v>
      </c>
      <c r="E402" s="391">
        <f>Lending!P260/10^9</f>
        <v>1.0068061720000001</v>
      </c>
      <c r="F402" s="391">
        <f>Lending!Q260/10^9</f>
        <v>1.2381533709999999</v>
      </c>
      <c r="G402" s="391">
        <f>Lending!R260/10^9</f>
        <v>1.8667119053148005</v>
      </c>
      <c r="H402" s="391">
        <f>Lending!S260/10^9</f>
        <v>2.5123504460000001</v>
      </c>
      <c r="I402" s="391">
        <f>Lending!T260/10^9</f>
        <v>3.3123962389999999</v>
      </c>
      <c r="J402" s="391">
        <f>Lending!U260/10^9</f>
        <v>4.126691653</v>
      </c>
      <c r="K402" s="391">
        <f>Lending!V260/10^9</f>
        <v>5.2992262639999996</v>
      </c>
      <c r="L402" s="391">
        <f>Lending!W260/10^9</f>
        <v>6.7502201619999997</v>
      </c>
      <c r="M402" s="391">
        <f>Lending!X260/10^9</f>
        <v>8.3638401029999994</v>
      </c>
      <c r="N402" s="391">
        <f>Lending!Y260/10^9</f>
        <v>11.162737883</v>
      </c>
      <c r="O402" s="391">
        <f>Lending!Z260/10^9</f>
        <v>12.557526809000001</v>
      </c>
      <c r="P402" s="391">
        <f>Lending!AA260/10^9</f>
        <v>15.422563832</v>
      </c>
      <c r="Q402" s="391">
        <f>Lending!M260/10^9</f>
        <v>73.619224839314811</v>
      </c>
      <c r="R402" s="391"/>
      <c r="S402" s="391"/>
      <c r="T402" s="391"/>
    </row>
    <row r="403" spans="2:21" ht="15" customHeight="1">
      <c r="B403" s="409" t="s">
        <v>619</v>
      </c>
      <c r="C403" s="391">
        <f>Lending!N265/10^9</f>
        <v>0.35409886600000001</v>
      </c>
      <c r="D403" s="391">
        <f>Lending!O265/10^9</f>
        <v>0.42252802</v>
      </c>
      <c r="E403" s="391">
        <f>Lending!P265/10^9</f>
        <v>0.62062329699999996</v>
      </c>
      <c r="F403" s="391">
        <f>Lending!Q265/10^9</f>
        <v>0.47910879200000001</v>
      </c>
      <c r="G403" s="391">
        <f>Lending!R265/10^9</f>
        <v>0.86509841300000001</v>
      </c>
      <c r="H403" s="391">
        <f>Lending!S265/10^9</f>
        <v>1.0068243160000001</v>
      </c>
      <c r="I403" s="391">
        <f>Lending!T265/10^9</f>
        <v>1.212714694</v>
      </c>
      <c r="J403" s="391">
        <f>Lending!U265/10^9</f>
        <v>1.4106273330000001</v>
      </c>
      <c r="K403" s="391">
        <f>Lending!V265/10^9</f>
        <v>1.7871102619999999</v>
      </c>
      <c r="L403" s="391">
        <f>Lending!W265/10^9</f>
        <v>2.3544925999999999</v>
      </c>
      <c r="M403" s="391">
        <f>Lending!X265/10^9</f>
        <v>3.4978561190000002</v>
      </c>
      <c r="N403" s="391">
        <f>Lending!Y265/10^9</f>
        <v>3.3129707289999999</v>
      </c>
      <c r="O403" s="391">
        <f>Lending!Z265/10^9</f>
        <v>3.610561149</v>
      </c>
      <c r="P403" s="391">
        <f>Lending!AA265/10^9</f>
        <v>4.4314565899999998</v>
      </c>
      <c r="Q403" s="391">
        <f>Lending!M265/10^9</f>
        <v>24.589444294</v>
      </c>
      <c r="R403" s="391"/>
      <c r="S403" s="391"/>
      <c r="T403" s="391"/>
    </row>
    <row r="404" spans="2:21" ht="15" customHeight="1">
      <c r="B404" s="409" t="s">
        <v>620</v>
      </c>
      <c r="C404" s="391">
        <f>Lending!N269/10^9</f>
        <v>0</v>
      </c>
      <c r="D404" s="391">
        <f>Lending!O269/10^9</f>
        <v>0</v>
      </c>
      <c r="E404" s="391">
        <f>Lending!P269/10^9</f>
        <v>0</v>
      </c>
      <c r="F404" s="391">
        <f>Lending!Q269/10^9</f>
        <v>0</v>
      </c>
      <c r="G404" s="391">
        <f>Lending!R269/10^9</f>
        <v>0</v>
      </c>
      <c r="H404" s="391">
        <f>Lending!S269/10^9</f>
        <v>0</v>
      </c>
      <c r="I404" s="391">
        <f>Lending!T269/10^9</f>
        <v>0</v>
      </c>
      <c r="J404" s="391">
        <f>Lending!U269/10^9</f>
        <v>0</v>
      </c>
      <c r="K404" s="391">
        <f>Lending!V269/10^9</f>
        <v>0</v>
      </c>
      <c r="L404" s="391">
        <f>Lending!W269/10^9</f>
        <v>0</v>
      </c>
      <c r="M404" s="391">
        <f>Lending!X269/10^9</f>
        <v>8.3341630000000003E-3</v>
      </c>
      <c r="N404" s="391">
        <f>Lending!Y269/10^9</f>
        <v>5.0000000000000001E-3</v>
      </c>
      <c r="O404" s="391">
        <f>Lending!Z269/10^9</f>
        <v>5.868E-3</v>
      </c>
      <c r="P404" s="391">
        <f>Lending!AA269/10^9</f>
        <v>9.2270000000000008E-3</v>
      </c>
      <c r="Q404" s="391">
        <f>Lending!M269/10^9</f>
        <v>2.8429163E-2</v>
      </c>
      <c r="R404" s="391"/>
      <c r="S404" s="391"/>
      <c r="T404" s="391"/>
    </row>
    <row r="405" spans="2:21" ht="15" customHeight="1">
      <c r="B405" s="361" t="s">
        <v>621</v>
      </c>
      <c r="C405" s="383">
        <f>Lending!N255/10^9</f>
        <v>0</v>
      </c>
      <c r="D405" s="383">
        <f>Lending!O255/10^9</f>
        <v>2.6671245999999999E-2</v>
      </c>
      <c r="E405" s="383">
        <f>Lending!P270/10^9</f>
        <v>0.154876285</v>
      </c>
      <c r="F405" s="383">
        <f>Lending!Q270/10^9</f>
        <v>0.136406939</v>
      </c>
      <c r="G405" s="383">
        <f>Lending!R270/10^9</f>
        <v>0.35588255299999999</v>
      </c>
      <c r="H405" s="383">
        <f>Lending!S270/10^9</f>
        <v>0.28539278699999998</v>
      </c>
      <c r="I405" s="383">
        <f>Lending!T270/10^9</f>
        <v>0.59309776800000003</v>
      </c>
      <c r="J405" s="383">
        <f>Lending!U270/10^9</f>
        <v>1.086103453</v>
      </c>
      <c r="K405" s="383">
        <f>Lending!V270/10^9</f>
        <v>1.0929257969999999</v>
      </c>
      <c r="L405" s="383">
        <f>Lending!W270/10^9</f>
        <v>1.8757814289999999</v>
      </c>
      <c r="M405" s="383">
        <f>Lending!X270/10^9</f>
        <v>3.6637692500000001</v>
      </c>
      <c r="N405" s="383">
        <f>Lending!Y270/10^9</f>
        <v>3.3768237069999998</v>
      </c>
      <c r="O405" s="383">
        <f>Lending!Z270/10^9</f>
        <v>5.3705789859999999</v>
      </c>
      <c r="P405" s="383">
        <f>Lending!AA270/10^9</f>
        <v>7.7511309559999999</v>
      </c>
      <c r="Q405" s="383">
        <f>Lending!M270/10^9</f>
        <v>25.74276991</v>
      </c>
      <c r="R405" s="383"/>
      <c r="S405" s="383"/>
      <c r="T405" s="383"/>
    </row>
    <row r="406" spans="2:21" ht="15" customHeight="1">
      <c r="B406" s="361" t="s">
        <v>84</v>
      </c>
      <c r="C406" s="383">
        <f>SUM(C408:C414)</f>
        <v>7.9366016762913272E-2</v>
      </c>
      <c r="D406" s="383">
        <f t="shared" ref="D406:Q406" si="331">SUM(D407:D414)</f>
        <v>0.42187880195789268</v>
      </c>
      <c r="E406" s="383">
        <f t="shared" si="331"/>
        <v>0.67794139510520957</v>
      </c>
      <c r="F406" s="383">
        <f t="shared" si="331"/>
        <v>0.86447356678116216</v>
      </c>
      <c r="G406" s="383">
        <f t="shared" si="331"/>
        <v>0.91226493430868372</v>
      </c>
      <c r="H406" s="383">
        <f t="shared" si="331"/>
        <v>1.6181789725342246</v>
      </c>
      <c r="I406" s="383">
        <f t="shared" si="331"/>
        <v>1.3631143896644706</v>
      </c>
      <c r="J406" s="383">
        <f t="shared" si="331"/>
        <v>2.137075617111408</v>
      </c>
      <c r="K406" s="383">
        <f t="shared" si="331"/>
        <v>1.9990309997836571</v>
      </c>
      <c r="L406" s="383">
        <f t="shared" si="331"/>
        <v>3.0964686041660023</v>
      </c>
      <c r="M406" s="383">
        <f t="shared" si="331"/>
        <v>3.4097841223729959</v>
      </c>
      <c r="N406" s="383">
        <f t="shared" si="331"/>
        <v>4.2243947227000511</v>
      </c>
      <c r="O406" s="383">
        <f t="shared" si="331"/>
        <v>4.4784783782489761</v>
      </c>
      <c r="P406" s="383">
        <f t="shared" si="331"/>
        <v>5.2319780679694503</v>
      </c>
      <c r="Q406" s="383">
        <f t="shared" si="331"/>
        <v>30.013183770746295</v>
      </c>
      <c r="R406" s="383"/>
      <c r="S406" s="383"/>
      <c r="T406" s="383"/>
    </row>
    <row r="407" spans="2:21" ht="15" customHeight="1">
      <c r="B407" s="409" t="s">
        <v>231</v>
      </c>
      <c r="C407" s="391">
        <f>Lending!N273/10^9</f>
        <v>0.14851789500000001</v>
      </c>
      <c r="D407" s="391">
        <f>Lending!O273/10^9</f>
        <v>0.30568532599999998</v>
      </c>
      <c r="E407" s="391">
        <f>Lending!P273/10^9</f>
        <v>0.43621690099999999</v>
      </c>
      <c r="F407" s="391">
        <f>Lending!Q273/10^9</f>
        <v>0.66167985600000001</v>
      </c>
      <c r="G407" s="391">
        <f>Lending!R273/10^9</f>
        <v>0.69697688800000002</v>
      </c>
      <c r="H407" s="391">
        <f>Lending!S273/10^9</f>
        <v>1.3905278830000001</v>
      </c>
      <c r="I407" s="391">
        <f>Lending!T273/10^9</f>
        <v>1.107383263</v>
      </c>
      <c r="J407" s="391">
        <f>Lending!U273/10^9</f>
        <v>1.8947398609999999</v>
      </c>
      <c r="K407" s="391">
        <f>Lending!V273/10^9</f>
        <v>1.818205863</v>
      </c>
      <c r="L407" s="391">
        <f>Lending!W273/10^9</f>
        <v>2.8341890959999998</v>
      </c>
      <c r="M407" s="391">
        <f>Lending!X273/10^9</f>
        <v>3.1012831670000001</v>
      </c>
      <c r="N407" s="391">
        <f>Lending!Y273/10^9</f>
        <v>3.9518506389999999</v>
      </c>
      <c r="O407" s="391">
        <f>Lending!Z273/10^9</f>
        <v>4.1714304320000002</v>
      </c>
      <c r="P407" s="391">
        <f>Lending!AA273/10^9</f>
        <v>4.9082441499999998</v>
      </c>
      <c r="Q407" s="391">
        <f>Lending!M273/10^9</f>
        <v>26.972727999</v>
      </c>
      <c r="R407" s="383"/>
      <c r="S407" s="383"/>
      <c r="T407" s="383"/>
      <c r="U407" s="1178">
        <f>J407-I407</f>
        <v>0.78735659799999991</v>
      </c>
    </row>
    <row r="408" spans="2:21" ht="15" customHeight="1">
      <c r="B408" s="409" t="s">
        <v>230</v>
      </c>
      <c r="C408" s="391">
        <f>Lending!N272/10^9</f>
        <v>0</v>
      </c>
      <c r="D408" s="391">
        <f>Lending!O272/10^9</f>
        <v>0</v>
      </c>
      <c r="E408" s="391">
        <f>Lending!P272/10^9</f>
        <v>9.2735499999999998E-2</v>
      </c>
      <c r="F408" s="391">
        <f>Lending!Q272/10^9</f>
        <v>9.2735499999999998E-2</v>
      </c>
      <c r="G408" s="391">
        <f>Lending!R272/10^9</f>
        <v>9.2735499999999998E-2</v>
      </c>
      <c r="H408" s="391">
        <f>Lending!S272/10^9</f>
        <v>9.2735499999999998E-2</v>
      </c>
      <c r="I408" s="391">
        <f>Lending!T272/10^9</f>
        <v>9.2735499999999998E-2</v>
      </c>
      <c r="J408" s="391">
        <f>Lending!U272/10^9</f>
        <v>9.2735499999999998E-2</v>
      </c>
      <c r="K408" s="391">
        <f>Lending!V272/10^9</f>
        <v>0</v>
      </c>
      <c r="L408" s="391">
        <f>Lending!W272/10^9</f>
        <v>0</v>
      </c>
      <c r="M408" s="391">
        <f>Lending!X272/10^9</f>
        <v>0</v>
      </c>
      <c r="N408" s="391">
        <f>Lending!Y272/10^9</f>
        <v>0</v>
      </c>
      <c r="O408" s="391">
        <f>Lending!Z272/10^9</f>
        <v>0</v>
      </c>
      <c r="P408" s="391">
        <f>Lending!AA272/10^9</f>
        <v>0</v>
      </c>
      <c r="Q408" s="391">
        <f>Lending!M272/10^9</f>
        <v>0.55641300000000005</v>
      </c>
      <c r="R408" s="383"/>
      <c r="S408" s="383"/>
      <c r="T408" s="383"/>
    </row>
    <row r="409" spans="2:21" ht="15" customHeight="1">
      <c r="B409" s="409" t="s">
        <v>232</v>
      </c>
      <c r="C409" s="391">
        <f>Lending!N274/10^9</f>
        <v>7.6505333712678314E-2</v>
      </c>
      <c r="D409" s="391">
        <f>Lending!O274/10^9</f>
        <v>0.10630709151031846</v>
      </c>
      <c r="E409" s="391">
        <f>Lending!P274/10^9</f>
        <v>0.12814739053984045</v>
      </c>
      <c r="F409" s="391">
        <f>Lending!Q274/10^9</f>
        <v>8.5948361766753231E-2</v>
      </c>
      <c r="G409" s="391">
        <f>Lending!R274/10^9</f>
        <v>8.6634625628179973E-2</v>
      </c>
      <c r="H409" s="391">
        <f>Lending!S274/10^9</f>
        <v>8.2754055232079154E-2</v>
      </c>
      <c r="I409" s="391">
        <f>Lending!T274/10^9</f>
        <v>9.5532284399305389E-2</v>
      </c>
      <c r="J409" s="391">
        <f>Lending!U274/10^9</f>
        <v>0.11053937709542018</v>
      </c>
      <c r="K409" s="391">
        <f>Lending!V274/10^9</f>
        <v>0.11852929716715671</v>
      </c>
      <c r="L409" s="391">
        <f>Lending!W274/10^9</f>
        <v>0.18958454147580259</v>
      </c>
      <c r="M409" s="391">
        <f>Lending!X274/10^9</f>
        <v>0.20693480750097931</v>
      </c>
      <c r="N409" s="391">
        <f>Lending!Y274/10^9</f>
        <v>0.17394671591509353</v>
      </c>
      <c r="O409" s="391">
        <f>Lending!Z274/10^9</f>
        <v>0.16295912221132297</v>
      </c>
      <c r="P409" s="391">
        <f>Lending!AA274/10^9</f>
        <v>0.17889802642604466</v>
      </c>
      <c r="Q409" s="391">
        <f>Lending!M274/10^9</f>
        <v>1.6204086053579783</v>
      </c>
      <c r="R409" s="383"/>
      <c r="S409" s="383"/>
      <c r="T409" s="383"/>
    </row>
    <row r="410" spans="2:21" ht="15" customHeight="1">
      <c r="B410" s="409" t="s">
        <v>233</v>
      </c>
      <c r="C410" s="391">
        <f>Lending!N275/10^9</f>
        <v>5.0168000000000001E-4</v>
      </c>
      <c r="D410" s="391">
        <f>Lending!O275/10^9</f>
        <v>5.9482999999999997E-4</v>
      </c>
      <c r="E410" s="391">
        <f>Lending!P275/10^9</f>
        <v>8.5317800000000001E-4</v>
      </c>
      <c r="F410" s="391">
        <f>Lending!Q275/10^9</f>
        <v>6.8869299999999999E-4</v>
      </c>
      <c r="G410" s="391">
        <f>Lending!R275/10^9</f>
        <v>1.2534099999999999E-3</v>
      </c>
      <c r="H410" s="391">
        <f>Lending!S275/10^9</f>
        <v>4.0896120000000003E-3</v>
      </c>
      <c r="I410" s="391">
        <f>Lending!T275/10^9</f>
        <v>1.6264929999999999E-3</v>
      </c>
      <c r="J410" s="391">
        <f>Lending!U275/10^9</f>
        <v>1.862711E-3</v>
      </c>
      <c r="K410" s="391">
        <f>Lending!V275/10^9</f>
        <v>2.3744590000000002E-3</v>
      </c>
      <c r="L410" s="391">
        <f>Lending!W275/10^9</f>
        <v>4.0634720000000003E-3</v>
      </c>
      <c r="M410" s="391">
        <f>Lending!X275/10^9</f>
        <v>3.9165780000000004E-3</v>
      </c>
      <c r="N410" s="391">
        <f>Lending!Y275/10^9</f>
        <v>3.4880060000000001E-3</v>
      </c>
      <c r="O410" s="391">
        <f>Lending!Z275/10^9</f>
        <v>3.3470209999999999E-3</v>
      </c>
      <c r="P410" s="391">
        <f>Lending!AA275/10^9</f>
        <v>4.0883969999999997E-3</v>
      </c>
      <c r="Q410" s="391">
        <f>Lending!M275/10^9</f>
        <v>3.1652029999999998E-2</v>
      </c>
      <c r="R410" s="383"/>
      <c r="S410" s="383"/>
      <c r="T410" s="383"/>
    </row>
    <row r="411" spans="2:21" ht="15" customHeight="1">
      <c r="B411" s="409" t="s">
        <v>152</v>
      </c>
      <c r="C411" s="391">
        <f>Lending!N276/10^9</f>
        <v>0</v>
      </c>
      <c r="D411" s="391">
        <f>Lending!O276/10^9</f>
        <v>0</v>
      </c>
      <c r="E411" s="391">
        <f>Lending!P276/10^9</f>
        <v>4.1053555819096765E-3</v>
      </c>
      <c r="F411" s="391">
        <f>Lending!Q276/10^9</f>
        <v>2.6512556795386158E-3</v>
      </c>
      <c r="G411" s="391">
        <f>Lending!R276/10^9</f>
        <v>4.6268503931379554E-3</v>
      </c>
      <c r="H411" s="391">
        <f>Lending!S276/10^9</f>
        <v>4.1531142460256212E-3</v>
      </c>
      <c r="I411" s="391">
        <f>Lending!T276/10^9</f>
        <v>4.8894235763622413E-3</v>
      </c>
      <c r="J411" s="391">
        <f>Lending!U276/10^9</f>
        <v>5.1701633780149034E-3</v>
      </c>
      <c r="K411" s="391">
        <f>Lending!V276/10^9</f>
        <v>5.1303273319621553E-3</v>
      </c>
      <c r="L411" s="391">
        <f>Lending!W276/10^9</f>
        <v>6.5835723073033297E-3</v>
      </c>
      <c r="M411" s="391">
        <f>Lending!X276/10^9</f>
        <v>8.2993079830432151E-3</v>
      </c>
      <c r="N411" s="391">
        <f>Lending!Y276/10^9</f>
        <v>7.6903555718413679E-3</v>
      </c>
      <c r="O411" s="391">
        <f>Lending!Z276/10^9</f>
        <v>6.5787556616643929E-3</v>
      </c>
      <c r="P411" s="391">
        <f>Lending!AA276/10^9</f>
        <v>9.594043523626335E-3</v>
      </c>
      <c r="Q411" s="391">
        <f>Lending!M276/10^9</f>
        <v>6.9472525234429802E-2</v>
      </c>
      <c r="R411" s="383"/>
      <c r="S411" s="383"/>
      <c r="T411" s="383"/>
    </row>
    <row r="412" spans="2:21" ht="15" customHeight="1">
      <c r="B412" s="409" t="s">
        <v>234</v>
      </c>
      <c r="C412" s="391">
        <f>Lending!N277/10^9</f>
        <v>1.0211522085607331E-3</v>
      </c>
      <c r="D412" s="391">
        <f>Lending!O277/10^9</f>
        <v>7.4459271519364224E-3</v>
      </c>
      <c r="E412" s="391">
        <f>Lending!P277/10^9</f>
        <v>1.2871087024976807E-2</v>
      </c>
      <c r="F412" s="391">
        <f>Lending!Q277/10^9</f>
        <v>1.825628319186122E-2</v>
      </c>
      <c r="G412" s="391">
        <f>Lending!R277/10^9</f>
        <v>2.5788740814853942E-2</v>
      </c>
      <c r="H412" s="391">
        <f>Lending!S277/10^9</f>
        <v>3.746790318469035E-2</v>
      </c>
      <c r="I412" s="391">
        <f>Lending!T277/10^9</f>
        <v>5.388898438583721E-2</v>
      </c>
      <c r="J412" s="391">
        <f>Lending!U277/10^9</f>
        <v>2.4063188689523448E-2</v>
      </c>
      <c r="K412" s="391">
        <f>Lending!V277/10^9</f>
        <v>4.3437925000000002E-2</v>
      </c>
      <c r="L412" s="391">
        <f>Lending!W277/10^9</f>
        <v>5.07203198616945E-2</v>
      </c>
      <c r="M412" s="391">
        <f>Lending!X277/10^9</f>
        <v>7.1676996346171459E-2</v>
      </c>
      <c r="N412" s="391">
        <f>Lending!Y277/10^9</f>
        <v>6.745600667384101E-2</v>
      </c>
      <c r="O412" s="391">
        <f>Lending!Z277/10^9</f>
        <v>0.11392349211363458</v>
      </c>
      <c r="P412" s="391">
        <f>Lending!AA277/10^9</f>
        <v>0.10986005744648175</v>
      </c>
      <c r="Q412" s="391">
        <f>Lending!M277/10^9</f>
        <v>0.62941098473356627</v>
      </c>
      <c r="R412" s="383"/>
      <c r="S412" s="383"/>
      <c r="T412" s="383"/>
    </row>
    <row r="413" spans="2:21" ht="15" customHeight="1">
      <c r="B413" s="409" t="s">
        <v>235</v>
      </c>
      <c r="C413" s="391">
        <f>Lending!N278/10^9</f>
        <v>0</v>
      </c>
      <c r="D413" s="391">
        <f>Lending!O278/10^9</f>
        <v>0</v>
      </c>
      <c r="E413" s="391">
        <f>Lending!P278/10^9</f>
        <v>0</v>
      </c>
      <c r="F413" s="391">
        <f>Lending!Q278/10^9</f>
        <v>0</v>
      </c>
      <c r="G413" s="391">
        <f>Lending!R278/10^9</f>
        <v>0</v>
      </c>
      <c r="H413" s="391">
        <f>Lending!S278/10^9</f>
        <v>0</v>
      </c>
      <c r="I413" s="391">
        <f>Lending!T278/10^9</f>
        <v>0</v>
      </c>
      <c r="J413" s="391">
        <f>Lending!U278/10^9</f>
        <v>0</v>
      </c>
      <c r="K413" s="391">
        <f>Lending!V278/10^9</f>
        <v>0</v>
      </c>
      <c r="L413" s="391">
        <f>Lending!W278/10^9</f>
        <v>0</v>
      </c>
      <c r="M413" s="391">
        <f>Lending!X278/10^9</f>
        <v>0</v>
      </c>
      <c r="N413" s="391">
        <f>Lending!Y278/10^9</f>
        <v>0</v>
      </c>
      <c r="O413" s="391">
        <f>Lending!Z278/10^9</f>
        <v>0</v>
      </c>
      <c r="P413" s="391">
        <f>Lending!AA278/10^9</f>
        <v>0</v>
      </c>
      <c r="Q413" s="391">
        <f>Lending!M278/10^9</f>
        <v>0</v>
      </c>
      <c r="R413" s="383"/>
      <c r="S413" s="383"/>
      <c r="T413" s="383"/>
    </row>
    <row r="414" spans="2:21" ht="15" customHeight="1">
      <c r="B414" s="409" t="s">
        <v>163</v>
      </c>
      <c r="C414" s="391">
        <f>Lending!N279/10^9</f>
        <v>1.3378508416742119E-3</v>
      </c>
      <c r="D414" s="391">
        <f>Lending!O279/10^9</f>
        <v>1.8456272956377841E-3</v>
      </c>
      <c r="E414" s="391">
        <f>Lending!P279/10^9</f>
        <v>3.0119829584825666E-3</v>
      </c>
      <c r="F414" s="391">
        <f>Lending!Q279/10^9</f>
        <v>2.5136171430091532E-3</v>
      </c>
      <c r="G414" s="391">
        <f>Lending!R279/10^9</f>
        <v>4.2489194725119786E-3</v>
      </c>
      <c r="H414" s="391">
        <f>Lending!S279/10^9</f>
        <v>6.4509048714294585E-3</v>
      </c>
      <c r="I414" s="391">
        <f>Lending!T279/10^9</f>
        <v>7.0584413029654274E-3</v>
      </c>
      <c r="J414" s="391">
        <f>Lending!U279/10^9</f>
        <v>7.9648159484497511E-3</v>
      </c>
      <c r="K414" s="391">
        <f>Lending!V279/10^9</f>
        <v>1.1353128284538098E-2</v>
      </c>
      <c r="L414" s="391">
        <f>Lending!W279/10^9</f>
        <v>1.1327602521202263E-2</v>
      </c>
      <c r="M414" s="391">
        <f>Lending!X279/10^9</f>
        <v>1.7673265542801613E-2</v>
      </c>
      <c r="N414" s="391">
        <f>Lending!Y279/10^9</f>
        <v>1.9962999539275036E-2</v>
      </c>
      <c r="O414" s="391">
        <f>Lending!Z279/10^9</f>
        <v>2.0239555262354766E-2</v>
      </c>
      <c r="P414" s="391">
        <f>Lending!AA279/10^9</f>
        <v>2.1293393573297511E-2</v>
      </c>
      <c r="Q414" s="391">
        <f>Lending!M279/10^9</f>
        <v>0.13309862642031761</v>
      </c>
      <c r="R414" s="383"/>
      <c r="S414" s="383"/>
      <c r="T414" s="383"/>
    </row>
    <row r="415" spans="2:21" ht="15" customHeight="1">
      <c r="B415" s="409" t="s">
        <v>691</v>
      </c>
      <c r="C415" s="391">
        <f>C411+C414</f>
        <v>1.3378508416742119E-3</v>
      </c>
      <c r="D415" s="391">
        <f t="shared" ref="D415:Q415" si="332">D411+D414</f>
        <v>1.8456272956377841E-3</v>
      </c>
      <c r="E415" s="391">
        <f t="shared" si="332"/>
        <v>7.1173385403922431E-3</v>
      </c>
      <c r="F415" s="391">
        <f t="shared" si="332"/>
        <v>5.1648728225477687E-3</v>
      </c>
      <c r="G415" s="391">
        <f t="shared" si="332"/>
        <v>8.875769865649934E-3</v>
      </c>
      <c r="H415" s="391">
        <f t="shared" si="332"/>
        <v>1.060401911745508E-2</v>
      </c>
      <c r="I415" s="391">
        <f t="shared" si="332"/>
        <v>1.1947864879327669E-2</v>
      </c>
      <c r="J415" s="391">
        <f t="shared" si="332"/>
        <v>1.3134979326464655E-2</v>
      </c>
      <c r="K415" s="391">
        <f t="shared" si="332"/>
        <v>1.6483455616500255E-2</v>
      </c>
      <c r="L415" s="391">
        <f t="shared" si="332"/>
        <v>1.7911174828505592E-2</v>
      </c>
      <c r="M415" s="391">
        <f t="shared" si="332"/>
        <v>2.5972573525844828E-2</v>
      </c>
      <c r="N415" s="391">
        <f t="shared" si="332"/>
        <v>2.7653355111116405E-2</v>
      </c>
      <c r="O415" s="391">
        <f t="shared" si="332"/>
        <v>2.6818310924019158E-2</v>
      </c>
      <c r="P415" s="391">
        <f t="shared" si="332"/>
        <v>3.0887437096923848E-2</v>
      </c>
      <c r="Q415" s="391">
        <f t="shared" si="332"/>
        <v>0.20257115165474743</v>
      </c>
      <c r="R415" s="391"/>
      <c r="S415" s="391"/>
      <c r="T415" s="391"/>
    </row>
    <row r="416" spans="2:21" ht="15" customHeight="1">
      <c r="B416" s="409" t="s">
        <v>625</v>
      </c>
      <c r="C416" s="469"/>
      <c r="D416" s="469"/>
      <c r="E416" s="469"/>
      <c r="F416" s="469"/>
      <c r="G416" s="469"/>
      <c r="H416" s="469"/>
      <c r="I416" s="469"/>
      <c r="J416" s="469">
        <f t="shared" ref="J416:P416" si="333">J399/J397</f>
        <v>0.10429992074209457</v>
      </c>
      <c r="K416" s="469">
        <f t="shared" si="333"/>
        <v>0.10579310332445567</v>
      </c>
      <c r="L416" s="469">
        <f t="shared" si="333"/>
        <v>0.10679816754621965</v>
      </c>
      <c r="M416" s="469">
        <f t="shared" si="333"/>
        <v>0.11647171149909882</v>
      </c>
      <c r="N416" s="469">
        <f t="shared" si="333"/>
        <v>0.10925454708424986</v>
      </c>
      <c r="O416" s="469">
        <f t="shared" si="333"/>
        <v>0.11398720311343202</v>
      </c>
      <c r="P416" s="469">
        <f t="shared" si="333"/>
        <v>0.12313281501223539</v>
      </c>
    </row>
    <row r="417" spans="2:24" ht="15" customHeight="1">
      <c r="B417" s="828" t="s">
        <v>626</v>
      </c>
      <c r="C417" s="469">
        <f t="shared" ref="C417:P417" si="334">C400/C397</f>
        <v>2.4505474693090014E-11</v>
      </c>
      <c r="D417" s="469">
        <f t="shared" si="334"/>
        <v>2.6391493070097884E-11</v>
      </c>
      <c r="E417" s="469">
        <f t="shared" si="334"/>
        <v>4.8256635717243701E-2</v>
      </c>
      <c r="F417" s="469">
        <f t="shared" si="334"/>
        <v>6.3494312718805929E-2</v>
      </c>
      <c r="G417" s="469">
        <f t="shared" si="334"/>
        <v>7.3956869037038325E-2</v>
      </c>
      <c r="H417" s="469">
        <f t="shared" si="334"/>
        <v>6.2166344718999511E-2</v>
      </c>
      <c r="I417" s="469">
        <f t="shared" si="334"/>
        <v>6.7052639360933766E-2</v>
      </c>
      <c r="J417" s="469">
        <f t="shared" si="334"/>
        <v>7.8531188348159656E-2</v>
      </c>
      <c r="K417" s="469">
        <f t="shared" si="334"/>
        <v>8.0299156994342147E-2</v>
      </c>
      <c r="L417" s="469">
        <f t="shared" si="334"/>
        <v>7.915158773256456E-2</v>
      </c>
      <c r="M417" s="469">
        <f t="shared" si="334"/>
        <v>8.6662327692098945E-2</v>
      </c>
      <c r="N417" s="469">
        <f t="shared" si="334"/>
        <v>8.3269938200230709E-2</v>
      </c>
      <c r="O417" s="469">
        <f t="shared" si="334"/>
        <v>8.7285737575980044E-2</v>
      </c>
      <c r="P417" s="469">
        <f t="shared" si="334"/>
        <v>9.2447222328522885E-2</v>
      </c>
    </row>
    <row r="418" spans="2:24" ht="15" customHeight="1">
      <c r="B418" s="829" t="s">
        <v>692</v>
      </c>
      <c r="C418" s="469">
        <f>Lending!N257</f>
        <v>0</v>
      </c>
      <c r="D418" s="469">
        <f>Lending!O257</f>
        <v>0</v>
      </c>
      <c r="E418" s="469">
        <f>Lending!P257</f>
        <v>0</v>
      </c>
      <c r="F418" s="469">
        <f>Lending!Q257</f>
        <v>1.7871261920603576E-3</v>
      </c>
      <c r="G418" s="469">
        <f>Lending!R257</f>
        <v>6.9635090483587082E-3</v>
      </c>
      <c r="H418" s="469">
        <f>Lending!S257</f>
        <v>1.1196836579110412E-2</v>
      </c>
      <c r="I418" s="469">
        <f>Lending!T257</f>
        <v>1.7572521247405919E-2</v>
      </c>
      <c r="J418" s="469">
        <f>Lending!U257</f>
        <v>2.1535353279099802E-2</v>
      </c>
      <c r="K418" s="469">
        <f>Lending!V257</f>
        <v>2.2945739086655266E-2</v>
      </c>
      <c r="L418" s="469">
        <f>Lending!W257</f>
        <v>2.4893260626273662E-2</v>
      </c>
      <c r="M418" s="469">
        <f>Lending!X257</f>
        <v>2.3582254483493284E-2</v>
      </c>
      <c r="N418" s="469">
        <f>Lending!Y257</f>
        <v>2.2711769474419247E-2</v>
      </c>
      <c r="O418" s="469">
        <f>Lending!Z257</f>
        <v>2.2769831802113789E-2</v>
      </c>
      <c r="P418" s="469">
        <f>Lending!AA257</f>
        <v>2.2075371997468361E-2</v>
      </c>
    </row>
    <row r="419" spans="2:24" ht="15" customHeight="1">
      <c r="B419" s="830" t="s">
        <v>693</v>
      </c>
      <c r="C419" s="394">
        <f>Lending!N258</f>
        <v>0</v>
      </c>
      <c r="D419" s="394">
        <f>Lending!O258</f>
        <v>1.2397170394802075E-3</v>
      </c>
      <c r="E419" s="394">
        <f>Lending!P258</f>
        <v>6.8666174964150163E-4</v>
      </c>
      <c r="F419" s="394">
        <f>Lending!Q258</f>
        <v>2.0818544769358881E-3</v>
      </c>
      <c r="G419" s="394">
        <f>Lending!R258</f>
        <v>1.0134881721486766E-2</v>
      </c>
      <c r="H419" s="394">
        <f>Lending!S258</f>
        <v>1.2844805789109339E-2</v>
      </c>
      <c r="I419" s="394">
        <f>Lending!T258</f>
        <v>1.9415137376934358E-2</v>
      </c>
      <c r="J419" s="394">
        <f>Lending!U258</f>
        <v>2.5768732393934901E-2</v>
      </c>
      <c r="K419" s="394">
        <f>Lending!V258</f>
        <v>2.549394633011352E-2</v>
      </c>
      <c r="L419" s="394">
        <f>Lending!W258</f>
        <v>2.7646579813655099E-2</v>
      </c>
      <c r="M419" s="394">
        <f>Lending!X258</f>
        <v>2.9809383806999875E-2</v>
      </c>
      <c r="N419" s="394">
        <f>Lending!Y258</f>
        <v>2.5984608884019159E-2</v>
      </c>
      <c r="O419" s="394">
        <f>Lending!Z258</f>
        <v>2.6701465537451979E-2</v>
      </c>
      <c r="P419" s="394">
        <f>Lending!AA258</f>
        <v>3.0685592683712484E-2</v>
      </c>
      <c r="Q419" s="394"/>
      <c r="T419" s="469"/>
    </row>
    <row r="420" spans="2:24" ht="15" customHeight="1">
      <c r="B420" s="361" t="s">
        <v>236</v>
      </c>
      <c r="C420" s="383">
        <f t="shared" ref="C420:Q420" si="335">C401-C405-C406</f>
        <v>0.50911952423708673</v>
      </c>
      <c r="D420" s="383">
        <f t="shared" si="335"/>
        <v>0.54335820804210733</v>
      </c>
      <c r="E420" s="383">
        <f t="shared" si="335"/>
        <v>0.79461178889479034</v>
      </c>
      <c r="F420" s="383">
        <f t="shared" si="335"/>
        <v>0.71638165721883784</v>
      </c>
      <c r="G420" s="383">
        <f t="shared" si="335"/>
        <v>1.463662831006117</v>
      </c>
      <c r="H420" s="383">
        <f t="shared" si="335"/>
        <v>1.6156030024657757</v>
      </c>
      <c r="I420" s="383">
        <f t="shared" si="335"/>
        <v>2.568898775335529</v>
      </c>
      <c r="J420" s="383">
        <f t="shared" si="335"/>
        <v>2.314139915888592</v>
      </c>
      <c r="K420" s="383">
        <f t="shared" si="335"/>
        <v>3.9943797292163419</v>
      </c>
      <c r="L420" s="383">
        <f t="shared" si="335"/>
        <v>4.1324627288339979</v>
      </c>
      <c r="M420" s="383">
        <f t="shared" si="335"/>
        <v>4.7964770126270047</v>
      </c>
      <c r="N420" s="383">
        <f t="shared" si="335"/>
        <v>6.8794901822999499</v>
      </c>
      <c r="O420" s="383">
        <f t="shared" si="335"/>
        <v>6.3248985937510245</v>
      </c>
      <c r="P420" s="383">
        <f t="shared" si="335"/>
        <v>6.8801383980305459</v>
      </c>
      <c r="Q420" s="383">
        <f t="shared" si="335"/>
        <v>42.48114461556851</v>
      </c>
      <c r="R420" s="383"/>
      <c r="S420" s="383"/>
      <c r="T420" s="383"/>
    </row>
    <row r="421" spans="2:24" ht="15" customHeight="1">
      <c r="F421" s="1178">
        <f t="shared" ref="F421:J422" si="336">F402-E402</f>
        <v>0.23134719899999978</v>
      </c>
      <c r="G421" s="1178">
        <f t="shared" si="336"/>
        <v>0.62855853431480058</v>
      </c>
      <c r="H421" s="1178">
        <f t="shared" si="336"/>
        <v>0.64563854068519966</v>
      </c>
      <c r="I421" s="1178">
        <f t="shared" si="336"/>
        <v>0.80004579299999978</v>
      </c>
      <c r="J421" s="1178">
        <f t="shared" si="336"/>
        <v>0.81429541400000005</v>
      </c>
    </row>
    <row r="422" spans="2:24" ht="15" customHeight="1">
      <c r="F422" s="1178">
        <f t="shared" si="336"/>
        <v>-0.14151450499999996</v>
      </c>
      <c r="G422" s="1178">
        <f t="shared" si="336"/>
        <v>0.385989621</v>
      </c>
      <c r="H422" s="1178">
        <f t="shared" si="336"/>
        <v>0.1417259030000001</v>
      </c>
      <c r="I422" s="1178">
        <f t="shared" si="336"/>
        <v>0.20589037799999987</v>
      </c>
      <c r="J422" s="1178">
        <f t="shared" si="336"/>
        <v>0.19791263900000011</v>
      </c>
    </row>
    <row r="424" spans="2:24" ht="28.5" customHeight="1">
      <c r="B424" s="378" t="s">
        <v>695</v>
      </c>
      <c r="C424" s="90" t="s">
        <v>613</v>
      </c>
      <c r="D424" s="90" t="s">
        <v>614</v>
      </c>
      <c r="E424" s="579">
        <v>45658</v>
      </c>
      <c r="F424" s="579">
        <v>45689</v>
      </c>
      <c r="G424" s="579">
        <v>45717</v>
      </c>
      <c r="H424" s="579">
        <v>45748</v>
      </c>
      <c r="I424" s="579">
        <v>45778</v>
      </c>
      <c r="J424" s="579">
        <v>45809</v>
      </c>
      <c r="K424" s="579">
        <v>45839</v>
      </c>
      <c r="L424" s="579">
        <v>45870</v>
      </c>
      <c r="M424" s="579">
        <v>45901</v>
      </c>
      <c r="N424" s="579">
        <v>45931</v>
      </c>
      <c r="O424" s="579">
        <v>45962</v>
      </c>
      <c r="P424" s="579">
        <v>45992</v>
      </c>
      <c r="Q424" s="78" t="s">
        <v>76</v>
      </c>
      <c r="R424" s="1129"/>
      <c r="S424" s="1129"/>
      <c r="T424" s="824"/>
      <c r="U424" s="824"/>
      <c r="V424" s="824"/>
      <c r="W424" s="825"/>
      <c r="X424" s="826"/>
    </row>
    <row r="425" spans="2:24" ht="15" customHeight="1">
      <c r="B425" s="361" t="s">
        <v>80</v>
      </c>
      <c r="C425" s="382">
        <f>Lending!N259/10^9</f>
        <v>0.58848554099999995</v>
      </c>
      <c r="D425" s="382">
        <f>Lending!O259/10^9</f>
        <v>0.99190825599999999</v>
      </c>
      <c r="E425" s="382">
        <f>Lending!P286/10^9</f>
        <v>10.232659999999999</v>
      </c>
      <c r="F425" s="382">
        <f>Lending!Q286/10^9</f>
        <v>9.2825799999999994</v>
      </c>
      <c r="G425" s="382">
        <f>Lending!R286/10^9</f>
        <v>11.87618</v>
      </c>
      <c r="H425" s="382">
        <f>Lending!S286/10^9</f>
        <v>13.53402</v>
      </c>
      <c r="I425" s="382">
        <f>Lending!T286/10^9</f>
        <v>18.967580000000002</v>
      </c>
      <c r="J425" s="382">
        <f>Lending!U286/10^9</f>
        <v>16.257930000000002</v>
      </c>
      <c r="K425" s="382">
        <f>Lending!V286/10^9</f>
        <v>13.28853</v>
      </c>
      <c r="L425" s="382">
        <f>Lending!W286/10^9</f>
        <v>13.48455</v>
      </c>
      <c r="M425" s="382">
        <f>Lending!X286/10^9</f>
        <v>21.0504</v>
      </c>
      <c r="N425" s="382">
        <f>Lending!Y286/10^9</f>
        <v>22.246179999999999</v>
      </c>
      <c r="O425" s="382">
        <f>Lending!Z286/10^9</f>
        <v>19.620349999999998</v>
      </c>
      <c r="P425" s="382">
        <f>Lending!AA286/10^9</f>
        <v>21.69755</v>
      </c>
      <c r="Q425" s="382">
        <f>Lending!M286/10^9</f>
        <v>191.53851</v>
      </c>
      <c r="R425" s="434"/>
      <c r="S425" s="434"/>
      <c r="T425" s="434"/>
    </row>
    <row r="426" spans="2:24" ht="15" customHeight="1">
      <c r="B426" s="361" t="s">
        <v>82</v>
      </c>
      <c r="C426" s="382">
        <f>Lending!N263/10^9</f>
        <v>2.7588999999999999E-4</v>
      </c>
      <c r="D426" s="382">
        <f>Lending!O263/10^9</f>
        <v>2.2856837000000001E-2</v>
      </c>
      <c r="E426" s="382">
        <f>Lending!P289/10^9</f>
        <v>13.469430921000001</v>
      </c>
      <c r="F426" s="382">
        <f>Lending!Q289/10^9</f>
        <v>21.779092016</v>
      </c>
      <c r="G426" s="382">
        <f>Lending!R289/10^9</f>
        <v>31.958511523999999</v>
      </c>
      <c r="H426" s="382">
        <f>Lending!S289/10^9</f>
        <v>42.799955654999998</v>
      </c>
      <c r="I426" s="382">
        <f>Lending!T289/10^9</f>
        <v>57.933433923999999</v>
      </c>
      <c r="J426" s="382">
        <f>Lending!U289/10^9</f>
        <v>69.056405608999995</v>
      </c>
      <c r="K426" s="382">
        <f>Lending!V289/10^9</f>
        <v>76.005949782000002</v>
      </c>
      <c r="L426" s="382">
        <f>Lending!W289/10^9</f>
        <v>80.667491326999993</v>
      </c>
      <c r="M426" s="382">
        <f>Lending!X289/10^9</f>
        <v>91.494491443000001</v>
      </c>
      <c r="N426" s="382">
        <f>Lending!Y289/10^9</f>
        <v>101.068876374</v>
      </c>
      <c r="O426" s="382">
        <f>Lending!Z289/10^9</f>
        <v>107.157807951</v>
      </c>
      <c r="P426" s="382">
        <f>Lending!AA289/10^9</f>
        <v>114.324863034</v>
      </c>
      <c r="Q426" s="382">
        <f>J426</f>
        <v>69.056405608999995</v>
      </c>
      <c r="R426" s="434"/>
      <c r="S426" s="434"/>
      <c r="T426" s="434"/>
    </row>
    <row r="427" spans="2:24" ht="15" customHeight="1">
      <c r="B427" s="409" t="s">
        <v>640</v>
      </c>
      <c r="C427" s="386">
        <f t="shared" ref="C427:Q427" si="337">C426-C428</f>
        <v>-0.35382297600000001</v>
      </c>
      <c r="D427" s="386">
        <f t="shared" si="337"/>
        <v>-0.39967118299999999</v>
      </c>
      <c r="E427" s="386">
        <f t="shared" si="337"/>
        <v>13.324802173</v>
      </c>
      <c r="F427" s="386">
        <f t="shared" si="337"/>
        <v>21.143515823000001</v>
      </c>
      <c r="G427" s="386">
        <f t="shared" si="337"/>
        <v>30.160133117999997</v>
      </c>
      <c r="H427" s="386">
        <f t="shared" si="337"/>
        <v>40.326311955000001</v>
      </c>
      <c r="I427" s="386">
        <f t="shared" si="337"/>
        <v>53.897587246999997</v>
      </c>
      <c r="J427" s="386">
        <f t="shared" si="337"/>
        <v>62.058687689999992</v>
      </c>
      <c r="K427" s="386">
        <f t="shared" si="337"/>
        <v>67.180483043999999</v>
      </c>
      <c r="L427" s="386">
        <f t="shared" si="337"/>
        <v>69.831463779999993</v>
      </c>
      <c r="M427" s="386">
        <f t="shared" si="337"/>
        <v>77.337888734000003</v>
      </c>
      <c r="N427" s="386">
        <f t="shared" si="337"/>
        <v>86.158638045999993</v>
      </c>
      <c r="O427" s="386">
        <f t="shared" si="337"/>
        <v>90.767199968</v>
      </c>
      <c r="P427" s="386">
        <f t="shared" si="337"/>
        <v>95.876427871000004</v>
      </c>
      <c r="Q427" s="386">
        <f t="shared" si="337"/>
        <v>62.058687689999992</v>
      </c>
      <c r="R427" s="490"/>
      <c r="S427" s="490"/>
      <c r="T427" s="490"/>
    </row>
    <row r="428" spans="2:24" ht="15" customHeight="1">
      <c r="B428" s="409" t="s">
        <v>617</v>
      </c>
      <c r="C428" s="386">
        <f>Lending!N265/10^9</f>
        <v>0.35409886600000001</v>
      </c>
      <c r="D428" s="386">
        <f>Lending!O265/10^9</f>
        <v>0.42252802</v>
      </c>
      <c r="E428" s="386">
        <f>Lending!P293/10^9</f>
        <v>0.144628748</v>
      </c>
      <c r="F428" s="386">
        <f>Lending!Q293/10^9</f>
        <v>0.63557619300000001</v>
      </c>
      <c r="G428" s="386">
        <f>Lending!R293/10^9</f>
        <v>1.7983784060000001</v>
      </c>
      <c r="H428" s="386">
        <f>Lending!S293/10^9</f>
        <v>2.4736436999999998</v>
      </c>
      <c r="I428" s="386">
        <f>Lending!T293/10^9</f>
        <v>4.0358466770000003</v>
      </c>
      <c r="J428" s="386">
        <f>Lending!U293/10^9</f>
        <v>6.9977179190000003</v>
      </c>
      <c r="K428" s="386">
        <f>Lending!V293/10^9</f>
        <v>8.8254667379999994</v>
      </c>
      <c r="L428" s="386">
        <f>Lending!W293/10^9</f>
        <v>10.836027547</v>
      </c>
      <c r="M428" s="386">
        <f>Lending!X293/10^9</f>
        <v>14.156602709</v>
      </c>
      <c r="N428" s="386">
        <f>Lending!Y293/10^9</f>
        <v>14.910238328</v>
      </c>
      <c r="O428" s="386">
        <f>Lending!Z293/10^9</f>
        <v>16.390607982999999</v>
      </c>
      <c r="P428" s="386">
        <f>Lending!AA293/10^9</f>
        <v>18.448435162999999</v>
      </c>
      <c r="Q428" s="386">
        <f>J428</f>
        <v>6.9977179190000003</v>
      </c>
      <c r="R428" s="490"/>
      <c r="S428" s="490"/>
      <c r="T428" s="490"/>
    </row>
    <row r="429" spans="2:24" ht="15" hidden="1" customHeight="1">
      <c r="B429" s="409" t="s">
        <v>690</v>
      </c>
      <c r="C429" s="386">
        <f>Lending!N266/10^9</f>
        <v>0.35074562999999997</v>
      </c>
      <c r="D429" s="386">
        <f>Lending!O266/10^9</f>
        <v>0.41218005699999999</v>
      </c>
      <c r="E429" s="386">
        <f>Lending!P295/10^9</f>
        <v>0.144628748</v>
      </c>
      <c r="F429" s="386">
        <f>Lending!Q295/10^9</f>
        <v>0.61463231799999996</v>
      </c>
      <c r="G429" s="386">
        <f>Lending!R295/10^9</f>
        <v>1.75624636</v>
      </c>
      <c r="H429" s="386">
        <f>Lending!S295/10^9</f>
        <v>2.3339713479999999</v>
      </c>
      <c r="I429" s="386">
        <f>Lending!T295/10^9</f>
        <v>3.4898212979999998</v>
      </c>
      <c r="J429" s="386">
        <f>Lending!U295/10^9</f>
        <v>5.5710332569999998</v>
      </c>
      <c r="K429" s="386">
        <f>Lending!V295/10^9</f>
        <v>6.6921058799999997</v>
      </c>
      <c r="L429" s="386">
        <f>Lending!W295/10^9</f>
        <v>7.5112654360000004</v>
      </c>
      <c r="M429" s="386">
        <f>Lending!X295/10^9</f>
        <v>8.8925955979999998</v>
      </c>
      <c r="N429" s="386">
        <f>Lending!Y295/10^9</f>
        <v>9.8112735410000003</v>
      </c>
      <c r="O429" s="386">
        <f>Lending!Z295/10^9</f>
        <v>10.879647629999999</v>
      </c>
      <c r="P429" s="386">
        <f>Lending!AA295/10^9</f>
        <v>11.827553086</v>
      </c>
      <c r="Q429" s="386" t="e">
        <f>Lending!#REF!/10^9</f>
        <v>#REF!</v>
      </c>
      <c r="R429" s="490"/>
      <c r="S429" s="490"/>
      <c r="T429" s="490"/>
    </row>
    <row r="430" spans="2:24" ht="15" customHeight="1">
      <c r="B430" s="361" t="s">
        <v>687</v>
      </c>
      <c r="C430" s="383">
        <f>C431+C432+C433</f>
        <v>0.22922176260458746</v>
      </c>
      <c r="D430" s="383">
        <f t="shared" ref="D430:P430" si="338">D431+D432+D433</f>
        <v>0.42372442925353049</v>
      </c>
      <c r="E430" s="383">
        <f t="shared" si="338"/>
        <v>0.723076575</v>
      </c>
      <c r="F430" s="383">
        <f t="shared" si="338"/>
        <v>0.91221007399999998</v>
      </c>
      <c r="G430" s="383">
        <f t="shared" si="338"/>
        <v>1.3866944978059998</v>
      </c>
      <c r="H430" s="383">
        <f t="shared" si="338"/>
        <v>1.7496416809999999</v>
      </c>
      <c r="I430" s="383">
        <f t="shared" si="338"/>
        <v>2.390402817</v>
      </c>
      <c r="J430" s="383">
        <f t="shared" si="338"/>
        <v>2.6135673910000001</v>
      </c>
      <c r="K430" s="383">
        <f t="shared" si="338"/>
        <v>2.747680984</v>
      </c>
      <c r="L430" s="383">
        <f t="shared" si="338"/>
        <v>3.0286695290000001</v>
      </c>
      <c r="M430" s="383">
        <f t="shared" si="338"/>
        <v>3.4815570419999999</v>
      </c>
      <c r="N430" s="383">
        <f t="shared" si="338"/>
        <v>3.9206722620000001</v>
      </c>
      <c r="O430" s="383">
        <f t="shared" si="338"/>
        <v>4.0158602979999998</v>
      </c>
      <c r="P430" s="383">
        <f t="shared" si="338"/>
        <v>4.2424053710000003</v>
      </c>
      <c r="Q430" s="383">
        <f>Q431+Q432+Q433</f>
        <v>31.212438521806</v>
      </c>
      <c r="R430" s="383"/>
      <c r="S430" s="383"/>
      <c r="T430" s="383"/>
    </row>
    <row r="431" spans="2:24" ht="15" customHeight="1">
      <c r="B431" s="409" t="s">
        <v>618</v>
      </c>
      <c r="C431" s="391">
        <f>Lending!N271/10^9</f>
        <v>0.22788391176291325</v>
      </c>
      <c r="D431" s="391">
        <f>Lending!O271/10^9</f>
        <v>0.42187880195789268</v>
      </c>
      <c r="E431" s="391">
        <f>Lending!P299/10^9</f>
        <v>0.277272407</v>
      </c>
      <c r="F431" s="391">
        <f>Lending!Q299/10^9</f>
        <v>0.492858097</v>
      </c>
      <c r="G431" s="391">
        <f>Lending!R299/10^9</f>
        <v>0.85915516880599996</v>
      </c>
      <c r="H431" s="391">
        <f>Lending!S299/10^9</f>
        <v>1.146116312</v>
      </c>
      <c r="I431" s="391">
        <f>Lending!T299/10^9</f>
        <v>1.5631248600000001</v>
      </c>
      <c r="J431" s="391">
        <f>Lending!U299/10^9</f>
        <v>1.8818247210000001</v>
      </c>
      <c r="K431" s="391">
        <f>Lending!V299/10^9</f>
        <v>2.1673059320000001</v>
      </c>
      <c r="L431" s="391">
        <f>Lending!W299/10^9</f>
        <v>2.2961174899999999</v>
      </c>
      <c r="M431" s="391">
        <f>Lending!X299/10^9</f>
        <v>2.3702460539999999</v>
      </c>
      <c r="N431" s="391">
        <f>Lending!Y299/10^9</f>
        <v>2.680300747</v>
      </c>
      <c r="O431" s="391">
        <f>Lending!Z299/10^9</f>
        <v>2.8270042559999999</v>
      </c>
      <c r="P431" s="391">
        <f>Lending!AA299/10^9</f>
        <v>3.019748109</v>
      </c>
      <c r="Q431" s="391">
        <f>Lending!M299/10^9</f>
        <v>21.581074153806</v>
      </c>
      <c r="R431" s="391"/>
      <c r="S431" s="391"/>
      <c r="T431" s="391"/>
    </row>
    <row r="432" spans="2:24" ht="15" customHeight="1">
      <c r="B432" s="409" t="s">
        <v>619</v>
      </c>
      <c r="C432" s="391">
        <f>Lending!N279/10^9</f>
        <v>1.3378508416742119E-3</v>
      </c>
      <c r="D432" s="391">
        <f>Lending!O279/10^9</f>
        <v>1.8456272956377841E-3</v>
      </c>
      <c r="E432" s="391">
        <f>Lending!P304/10^9</f>
        <v>0.445804168</v>
      </c>
      <c r="F432" s="391">
        <f>Lending!Q304/10^9</f>
        <v>0.41935197699999999</v>
      </c>
      <c r="G432" s="391">
        <f>Lending!R304/10^9</f>
        <v>0.527539329</v>
      </c>
      <c r="H432" s="391">
        <f>Lending!S304/10^9</f>
        <v>0.60352536899999998</v>
      </c>
      <c r="I432" s="391">
        <f>Lending!T304/10^9</f>
        <v>0.82727795699999995</v>
      </c>
      <c r="J432" s="391">
        <f>Lending!U304/10^9</f>
        <v>0.73174267000000004</v>
      </c>
      <c r="K432" s="391">
        <f>Lending!V304/10^9</f>
        <v>0.58037505199999995</v>
      </c>
      <c r="L432" s="391">
        <f>Lending!W304/10^9</f>
        <v>0.73255203899999999</v>
      </c>
      <c r="M432" s="391">
        <f>Lending!X304/10^9</f>
        <v>1.1113109880000001</v>
      </c>
      <c r="N432" s="391">
        <f>Lending!Y304/10^9</f>
        <v>1.2287631729999999</v>
      </c>
      <c r="O432" s="391">
        <f>Lending!Z304/10^9</f>
        <v>1.1376044329999999</v>
      </c>
      <c r="P432" s="391">
        <f>Lending!AA304/10^9</f>
        <v>1.2038193859999999</v>
      </c>
      <c r="Q432" s="391">
        <f>Lending!M304/10^9</f>
        <v>9.5496665410000006</v>
      </c>
      <c r="R432" s="391"/>
      <c r="S432" s="391"/>
      <c r="T432" s="391"/>
    </row>
    <row r="433" spans="2:20" ht="15" customHeight="1">
      <c r="B433" s="409" t="s">
        <v>620</v>
      </c>
      <c r="C433" s="391"/>
      <c r="D433" s="391"/>
      <c r="E433" s="391">
        <f>Lending!P308/10^9</f>
        <v>0</v>
      </c>
      <c r="F433" s="391">
        <f>Lending!Q308/10^9</f>
        <v>0</v>
      </c>
      <c r="G433" s="391">
        <f>Lending!R308/10^9</f>
        <v>0</v>
      </c>
      <c r="H433" s="391">
        <f>Lending!S308/10^9</f>
        <v>0</v>
      </c>
      <c r="I433" s="391">
        <f>Lending!T308/10^9</f>
        <v>0</v>
      </c>
      <c r="J433" s="391">
        <f>Lending!U308/10^9</f>
        <v>0</v>
      </c>
      <c r="K433" s="391">
        <f>Lending!V308/10^9</f>
        <v>0</v>
      </c>
      <c r="L433" s="391">
        <f>Lending!W308/10^9</f>
        <v>0</v>
      </c>
      <c r="M433" s="391">
        <f>Lending!X308/10^9</f>
        <v>0</v>
      </c>
      <c r="N433" s="391">
        <f>Lending!Y308/10^9</f>
        <v>1.1608342000000001E-2</v>
      </c>
      <c r="O433" s="391">
        <f>Lending!Z308/10^9</f>
        <v>5.1251608999999997E-2</v>
      </c>
      <c r="P433" s="391">
        <f>Lending!AA308/10^9</f>
        <v>1.8837876E-2</v>
      </c>
      <c r="Q433" s="391">
        <f>Lending!M308/10^9</f>
        <v>8.1697827000000001E-2</v>
      </c>
      <c r="R433" s="391"/>
      <c r="S433" s="391"/>
      <c r="T433" s="391"/>
    </row>
    <row r="434" spans="2:20" ht="15" customHeight="1">
      <c r="B434" s="361" t="s">
        <v>621</v>
      </c>
      <c r="C434" s="383">
        <f>Lending!N282/10^9</f>
        <v>0</v>
      </c>
      <c r="D434" s="383">
        <f>Lending!O282/10^9</f>
        <v>0</v>
      </c>
      <c r="E434" s="383">
        <f>Lending!P309/10^9</f>
        <v>8.1010333000000004E-2</v>
      </c>
      <c r="F434" s="383">
        <f>Lending!Q309/10^9</f>
        <v>0.10660945099999999</v>
      </c>
      <c r="G434" s="383">
        <f>Lending!R309/10^9</f>
        <v>0.13722730899999999</v>
      </c>
      <c r="H434" s="383">
        <f>Lending!S309/10^9</f>
        <v>0.12931319199999999</v>
      </c>
      <c r="I434" s="383">
        <f>Lending!T309/10^9</f>
        <v>0.25215723499999998</v>
      </c>
      <c r="J434" s="383">
        <f>Lending!U309/10^9</f>
        <v>0.38801895800000002</v>
      </c>
      <c r="K434" s="383">
        <f>Lending!V309/10^9</f>
        <v>0.32075672199999999</v>
      </c>
      <c r="L434" s="383">
        <f>Lending!W309/10^9</f>
        <v>0.64943148699999997</v>
      </c>
      <c r="M434" s="383">
        <f>Lending!X309/10^9</f>
        <v>1.523281587</v>
      </c>
      <c r="N434" s="383">
        <f>Lending!Y309/10^9</f>
        <v>1.752703278</v>
      </c>
      <c r="O434" s="383">
        <f>Lending!Z309/10^9</f>
        <v>2.0714770769999999</v>
      </c>
      <c r="P434" s="383">
        <f>Lending!AA309/10^9</f>
        <v>2.8111532060000002</v>
      </c>
      <c r="Q434" s="383">
        <f>Lending!M309/10^9</f>
        <v>10.223139835</v>
      </c>
      <c r="R434" s="383"/>
      <c r="S434" s="383"/>
      <c r="T434" s="383"/>
    </row>
    <row r="435" spans="2:20" ht="15" customHeight="1">
      <c r="B435" s="361" t="s">
        <v>84</v>
      </c>
      <c r="C435" s="383">
        <f>SUM(C436:C443)</f>
        <v>6.0097202164595496E-4</v>
      </c>
      <c r="D435" s="383">
        <f t="shared" ref="D435:Q435" si="339">SUM(D436:D443)</f>
        <v>0.1201992628713603</v>
      </c>
      <c r="E435" s="383">
        <f t="shared" si="339"/>
        <v>0.32354814627329037</v>
      </c>
      <c r="F435" s="383">
        <f t="shared" si="339"/>
        <v>0.28522410524250014</v>
      </c>
      <c r="G435" s="383">
        <f t="shared" si="339"/>
        <v>0.35635178117032912</v>
      </c>
      <c r="H435" s="383">
        <f t="shared" si="339"/>
        <v>0.37335323210828592</v>
      </c>
      <c r="I435" s="383">
        <f t="shared" si="339"/>
        <v>0.48806307271869598</v>
      </c>
      <c r="J435" s="383">
        <f>SUM(J436:J443)</f>
        <v>0.4158682238431069</v>
      </c>
      <c r="K435" s="383">
        <f t="shared" si="339"/>
        <v>0.36681518957038001</v>
      </c>
      <c r="L435" s="383">
        <f t="shared" si="339"/>
        <v>0.38555478259480103</v>
      </c>
      <c r="M435" s="383">
        <f t="shared" si="339"/>
        <v>0.56194386093779514</v>
      </c>
      <c r="N435" s="383">
        <f t="shared" si="339"/>
        <v>0.55956212880445744</v>
      </c>
      <c r="O435" s="383">
        <f t="shared" si="339"/>
        <v>0.52157085854428231</v>
      </c>
      <c r="P435" s="383">
        <f t="shared" si="339"/>
        <v>0.54767759012269313</v>
      </c>
      <c r="Q435" s="383">
        <f t="shared" si="339"/>
        <v>5.185532971930618</v>
      </c>
      <c r="R435" s="383"/>
      <c r="S435" s="383"/>
      <c r="T435" s="383"/>
    </row>
    <row r="436" spans="2:20" ht="15" customHeight="1">
      <c r="B436" s="409" t="s">
        <v>230</v>
      </c>
      <c r="C436" s="391">
        <f>Lending!N311/10^9</f>
        <v>0</v>
      </c>
      <c r="D436" s="391">
        <f>Lending!O311/10^9</f>
        <v>0</v>
      </c>
      <c r="E436" s="391">
        <f>Lending!P311/10^9</f>
        <v>0</v>
      </c>
      <c r="F436" s="391">
        <f>Lending!Q311/10^9</f>
        <v>0</v>
      </c>
      <c r="G436" s="391">
        <f>Lending!R311/10^9</f>
        <v>0</v>
      </c>
      <c r="H436" s="391">
        <f>Lending!S311/10^9</f>
        <v>0</v>
      </c>
      <c r="I436" s="391">
        <f>Lending!T311/10^9</f>
        <v>0</v>
      </c>
      <c r="J436" s="391">
        <f>Lending!U311/10^9</f>
        <v>0</v>
      </c>
      <c r="K436" s="391">
        <f>Lending!V311/10^9</f>
        <v>0</v>
      </c>
      <c r="L436" s="391">
        <f>Lending!W311/10^9</f>
        <v>0</v>
      </c>
      <c r="M436" s="391">
        <f>Lending!X311/10^9</f>
        <v>0</v>
      </c>
      <c r="N436" s="391">
        <f>Lending!Y311/10^9</f>
        <v>0</v>
      </c>
      <c r="O436" s="391">
        <f>Lending!Z311/10^9</f>
        <v>0</v>
      </c>
      <c r="P436" s="391">
        <f>Lending!AA311/10^9</f>
        <v>0</v>
      </c>
      <c r="Q436" s="391">
        <f>Lending!M311/10^9</f>
        <v>0</v>
      </c>
      <c r="R436" s="383"/>
      <c r="S436" s="383"/>
      <c r="T436" s="383"/>
    </row>
    <row r="437" spans="2:20" ht="15" customHeight="1">
      <c r="B437" s="409" t="s">
        <v>231</v>
      </c>
      <c r="C437" s="391">
        <f>Lending!N312/10^9</f>
        <v>0</v>
      </c>
      <c r="D437" s="391">
        <f>Lending!O312/10^9</f>
        <v>6.4019999999999994E-2</v>
      </c>
      <c r="E437" s="391">
        <f>Lending!P312/10^9</f>
        <v>0.19424</v>
      </c>
      <c r="F437" s="391">
        <f>Lending!Q312/10^9</f>
        <v>0.17585999999999999</v>
      </c>
      <c r="G437" s="391">
        <f>Lending!R312/10^9</f>
        <v>0.22524</v>
      </c>
      <c r="H437" s="391">
        <f>Lending!S312/10^9</f>
        <v>0.25684000000000001</v>
      </c>
      <c r="I437" s="391">
        <f>Lending!T312/10^9</f>
        <v>0.36046</v>
      </c>
      <c r="J437" s="391">
        <f>Lending!U312/10^9</f>
        <v>0.30864000000000003</v>
      </c>
      <c r="K437" s="391">
        <f>Lending!V312/10^9</f>
        <v>0.25263999999999998</v>
      </c>
      <c r="L437" s="391">
        <f>Lending!W312/10^9</f>
        <v>0.25672</v>
      </c>
      <c r="M437" s="391">
        <f>Lending!X312/10^9</f>
        <v>0.40026</v>
      </c>
      <c r="N437" s="391">
        <f>Lending!Y312/10^9</f>
        <v>0.42298000000000002</v>
      </c>
      <c r="O437" s="391">
        <f>Lending!Z312/10^9</f>
        <v>0.37293999999999999</v>
      </c>
      <c r="P437" s="391">
        <f>Lending!AA312/10^9</f>
        <v>0.41286</v>
      </c>
      <c r="Q437" s="391">
        <f>Lending!M312/10^9</f>
        <v>3.6396799999999998</v>
      </c>
      <c r="R437" s="383"/>
      <c r="S437" s="383"/>
      <c r="T437" s="383"/>
    </row>
    <row r="438" spans="2:20" ht="15" customHeight="1">
      <c r="B438" s="409" t="s">
        <v>232</v>
      </c>
      <c r="C438" s="391">
        <f>Lending!N313/10^9</f>
        <v>5.2115349940516566E-4</v>
      </c>
      <c r="D438" s="391">
        <f>Lending!O313/10^9</f>
        <v>5.5669332661404926E-2</v>
      </c>
      <c r="E438" s="391">
        <f>Lending!P313/10^9</f>
        <v>0.12057714197214486</v>
      </c>
      <c r="F438" s="391">
        <f>Lending!Q313/10^9</f>
        <v>9.6229759626769287E-2</v>
      </c>
      <c r="G438" s="391">
        <f>Lending!R313/10^9</f>
        <v>0.10885780761882974</v>
      </c>
      <c r="H438" s="391">
        <f>Lending!S313/10^9</f>
        <v>8.3812097947375125E-2</v>
      </c>
      <c r="I438" s="391">
        <f>Lending!T313/10^9</f>
        <v>8.3933042729405952E-2</v>
      </c>
      <c r="J438" s="391">
        <f>Lending!U313/10^9</f>
        <v>8.2349894702671914E-2</v>
      </c>
      <c r="K438" s="391">
        <f>Lending!V313/10^9</f>
        <v>7.7686164573145339E-2</v>
      </c>
      <c r="L438" s="391">
        <f>Lending!W313/10^9</f>
        <v>9.0450014602111536E-2</v>
      </c>
      <c r="M438" s="391">
        <f>Lending!X313/10^9</f>
        <v>0.11452438814063516</v>
      </c>
      <c r="N438" s="391">
        <f>Lending!Y313/10^9</f>
        <v>9.5580911614676828E-2</v>
      </c>
      <c r="O438" s="391">
        <f>Lending!Z313/10^9</f>
        <v>9.3154244487965221E-2</v>
      </c>
      <c r="P438" s="391">
        <f>Lending!AA313/10^9</f>
        <v>8.4245739044099835E-2</v>
      </c>
      <c r="Q438" s="391">
        <f>Lending!M313/10^9</f>
        <v>1.1314012070598309</v>
      </c>
      <c r="R438" s="383"/>
      <c r="S438" s="383"/>
      <c r="T438" s="383"/>
    </row>
    <row r="439" spans="2:20" ht="15" customHeight="1">
      <c r="B439" s="409" t="s">
        <v>233</v>
      </c>
      <c r="C439" s="391">
        <f>Lending!N314/10^9</f>
        <v>2.8909999999999999E-6</v>
      </c>
      <c r="D439" s="391">
        <f>Lending!O314/10^9</f>
        <v>2.4784399999999999E-4</v>
      </c>
      <c r="E439" s="391">
        <f>Lending!P314/10^9</f>
        <v>6.8860500000000001E-4</v>
      </c>
      <c r="F439" s="391">
        <f>Lending!Q314/10^9</f>
        <v>6.7828799999999998E-4</v>
      </c>
      <c r="G439" s="391">
        <f>Lending!R314/10^9</f>
        <v>8.6880499999999995E-4</v>
      </c>
      <c r="H439" s="391">
        <f>Lending!S314/10^9</f>
        <v>2.475152E-3</v>
      </c>
      <c r="I439" s="391">
        <f>Lending!T314/10^9</f>
        <v>1.142515E-3</v>
      </c>
      <c r="J439" s="391">
        <f>Lending!U314/10^9</f>
        <v>1.102528E-3</v>
      </c>
      <c r="K439" s="391">
        <f>Lending!V314/10^9</f>
        <v>1.136859E-3</v>
      </c>
      <c r="L439" s="391">
        <f>Lending!W314/10^9</f>
        <v>2.0466E-3</v>
      </c>
      <c r="M439" s="391">
        <f>Lending!X314/10^9</f>
        <v>1.3878670000000001E-3</v>
      </c>
      <c r="N439" s="391">
        <f>Lending!Y314/10^9</f>
        <v>1.0867850000000001E-3</v>
      </c>
      <c r="O439" s="391">
        <f>Lending!Z314/10^9</f>
        <v>1.0246579999999999E-3</v>
      </c>
      <c r="P439" s="391">
        <f>Lending!AA314/10^9</f>
        <v>1.0278780000000001E-3</v>
      </c>
      <c r="Q439" s="391">
        <f>Lending!M314/10^9</f>
        <v>1.466654E-2</v>
      </c>
      <c r="R439" s="383"/>
      <c r="S439" s="383"/>
      <c r="T439" s="383"/>
    </row>
    <row r="440" spans="2:20" ht="15" customHeight="1">
      <c r="B440" s="409" t="s">
        <v>152</v>
      </c>
      <c r="C440" s="391">
        <f>Lending!N315/10^9</f>
        <v>0</v>
      </c>
      <c r="D440" s="391">
        <f>Lending!O315/10^9</f>
        <v>0</v>
      </c>
      <c r="E440" s="391">
        <f>Lending!P315/10^9</f>
        <v>3.226617263373826E-3</v>
      </c>
      <c r="F440" s="391">
        <f>Lending!Q315/10^9</f>
        <v>2.2285105817452357E-3</v>
      </c>
      <c r="G440" s="391">
        <f>Lending!R315/10^9</f>
        <v>2.9730871336669049E-3</v>
      </c>
      <c r="H440" s="391">
        <f>Lending!S315/10^9</f>
        <v>2.5935687837629262E-3</v>
      </c>
      <c r="I440" s="391">
        <f>Lending!T315/10^9</f>
        <v>3.3592268610897931E-3</v>
      </c>
      <c r="J440" s="391">
        <f>Lending!U315/10^9</f>
        <v>2.6811188103531901E-3</v>
      </c>
      <c r="K440" s="391">
        <f>Lending!V315/10^9</f>
        <v>1.9945695302344716E-3</v>
      </c>
      <c r="L440" s="391">
        <f>Lending!W315/10^9</f>
        <v>2.0011661941053238E-3</v>
      </c>
      <c r="M440" s="391">
        <f>Lending!X315/10^9</f>
        <v>2.2124507042034815E-3</v>
      </c>
      <c r="N440" s="391">
        <f>Lending!Y315/10^9</f>
        <v>2.2779379538506637E-3</v>
      </c>
      <c r="O440" s="391">
        <f>Lending!Z315/10^9</f>
        <v>1.9711157230559344E-3</v>
      </c>
      <c r="P440" s="391">
        <f>Lending!AA315/10^9</f>
        <v>2.3827115391594688E-3</v>
      </c>
      <c r="Q440" s="391">
        <f>Lending!M315/10^9</f>
        <v>2.990208107860122E-2</v>
      </c>
      <c r="R440" s="383"/>
      <c r="S440" s="383"/>
      <c r="T440" s="383"/>
    </row>
    <row r="441" spans="2:20" ht="15" customHeight="1">
      <c r="B441" s="409" t="s">
        <v>234</v>
      </c>
      <c r="C441" s="391">
        <f>Lending!N316/10^9</f>
        <v>0</v>
      </c>
      <c r="D441" s="391">
        <f>Lending!O316/10^9</f>
        <v>2.6497961394791539E-5</v>
      </c>
      <c r="E441" s="391">
        <f>Lending!P316/10^9</f>
        <v>2.6105379327554371E-3</v>
      </c>
      <c r="F441" s="391">
        <f>Lending!Q316/10^9</f>
        <v>7.8388218612268842E-3</v>
      </c>
      <c r="G441" s="391">
        <f>Lending!R316/10^9</f>
        <v>1.4712763023084991E-2</v>
      </c>
      <c r="H441" s="391">
        <f>Lending!S316/10^9</f>
        <v>2.2607421427433442E-2</v>
      </c>
      <c r="I441" s="391">
        <f>Lending!T316/10^9</f>
        <v>3.3222017578266552E-2</v>
      </c>
      <c r="J441" s="391">
        <f>Lending!U316/10^9</f>
        <v>1.5254067499040068E-2</v>
      </c>
      <c r="K441" s="391">
        <f>Lending!V316/10^9</f>
        <v>2.6384270000000001E-2</v>
      </c>
      <c r="L441" s="391">
        <f>Lending!W316/10^9</f>
        <v>2.8243358099496733E-2</v>
      </c>
      <c r="M441" s="391">
        <f>Lending!X316/10^9</f>
        <v>3.5215308202021595E-2</v>
      </c>
      <c r="N441" s="391">
        <f>Lending!Y316/10^9</f>
        <v>2.8426097342375379E-2</v>
      </c>
      <c r="O441" s="391">
        <f>Lending!Z316/10^9</f>
        <v>4.3427798622516708E-2</v>
      </c>
      <c r="P441" s="391">
        <f>Lending!AA316/10^9</f>
        <v>3.8729442245731341E-2</v>
      </c>
      <c r="Q441" s="391">
        <f>Lending!M316/10^9</f>
        <v>0.29667190383394915</v>
      </c>
      <c r="R441" s="383"/>
      <c r="S441" s="383"/>
      <c r="T441" s="383"/>
    </row>
    <row r="442" spans="2:20" ht="15" customHeight="1">
      <c r="B442" s="409" t="s">
        <v>235</v>
      </c>
      <c r="C442" s="391">
        <f>Lending!N317/10^9</f>
        <v>0</v>
      </c>
      <c r="D442" s="391">
        <f>Lending!O317/10^9</f>
        <v>0</v>
      </c>
      <c r="E442" s="391">
        <f>Lending!P317/10^9</f>
        <v>0</v>
      </c>
      <c r="F442" s="391">
        <f>Lending!Q317/10^9</f>
        <v>0</v>
      </c>
      <c r="G442" s="391">
        <f>Lending!R317/10^9</f>
        <v>0</v>
      </c>
      <c r="H442" s="391">
        <f>Lending!S317/10^9</f>
        <v>0</v>
      </c>
      <c r="I442" s="391">
        <f>Lending!T317/10^9</f>
        <v>0</v>
      </c>
      <c r="J442" s="391">
        <f>Lending!U317/10^9</f>
        <v>0</v>
      </c>
      <c r="K442" s="391">
        <f>Lending!V317/10^9</f>
        <v>0</v>
      </c>
      <c r="L442" s="391">
        <f>Lending!W317/10^9</f>
        <v>0</v>
      </c>
      <c r="M442" s="391">
        <f>Lending!X317/10^9</f>
        <v>0</v>
      </c>
      <c r="N442" s="391">
        <f>Lending!Y317/10^9</f>
        <v>0</v>
      </c>
      <c r="O442" s="391">
        <f>Lending!Z317/10^9</f>
        <v>0</v>
      </c>
      <c r="P442" s="391">
        <f>Lending!AA317/10^9</f>
        <v>0</v>
      </c>
      <c r="Q442" s="391">
        <f>Lending!M317/10^9</f>
        <v>0</v>
      </c>
      <c r="R442" s="383"/>
      <c r="S442" s="383"/>
      <c r="T442" s="383"/>
    </row>
    <row r="443" spans="2:20" ht="15" customHeight="1">
      <c r="B443" s="409" t="s">
        <v>163</v>
      </c>
      <c r="C443" s="391">
        <f>Lending!N318/10^9</f>
        <v>7.6927522240789368E-5</v>
      </c>
      <c r="D443" s="391">
        <f>Lending!O318/10^9</f>
        <v>2.3558824856059982E-4</v>
      </c>
      <c r="E443" s="391">
        <f>Lending!P318/10^9</f>
        <v>2.2052441050162703E-3</v>
      </c>
      <c r="F443" s="391">
        <f>Lending!Q318/10^9</f>
        <v>2.3887251727587253E-3</v>
      </c>
      <c r="G443" s="391">
        <f>Lending!R318/10^9</f>
        <v>3.6993183947474965E-3</v>
      </c>
      <c r="H443" s="391">
        <f>Lending!S318/10^9</f>
        <v>5.0249919497143908E-3</v>
      </c>
      <c r="I443" s="391">
        <f>Lending!T318/10^9</f>
        <v>5.9462705499336629E-3</v>
      </c>
      <c r="J443" s="391">
        <f>Lending!U318/10^9</f>
        <v>5.8406148310417016E-3</v>
      </c>
      <c r="K443" s="391">
        <f>Lending!V318/10^9</f>
        <v>6.9733264670002286E-3</v>
      </c>
      <c r="L443" s="391">
        <f>Lending!W318/10^9</f>
        <v>6.0936436990873567E-3</v>
      </c>
      <c r="M443" s="391">
        <f>Lending!X318/10^9</f>
        <v>8.3438468909348539E-3</v>
      </c>
      <c r="N443" s="391">
        <f>Lending!Y318/10^9</f>
        <v>9.2103968935545368E-3</v>
      </c>
      <c r="O443" s="391">
        <f>Lending!Z318/10^9</f>
        <v>9.0530417107444836E-3</v>
      </c>
      <c r="P443" s="391">
        <f>Lending!AA318/10^9</f>
        <v>8.4318192937025017E-3</v>
      </c>
      <c r="Q443" s="391">
        <f>Lending!M318/10^9</f>
        <v>7.3211239958236196E-2</v>
      </c>
      <c r="R443" s="383"/>
      <c r="S443" s="383"/>
      <c r="T443" s="383"/>
    </row>
    <row r="444" spans="2:20" ht="15" customHeight="1">
      <c r="B444" s="409" t="s">
        <v>688</v>
      </c>
      <c r="C444" s="391">
        <f>(Lending!N289+Lending!N290)/10^9</f>
        <v>0.03</v>
      </c>
      <c r="D444" s="391">
        <f>(Lending!O289+Lending!O290)/10^9</f>
        <v>6.765158928</v>
      </c>
      <c r="E444" s="391">
        <f>(Lending!P318+Lending!P315)/10^9</f>
        <v>5.4318613683900967E-3</v>
      </c>
      <c r="F444" s="391">
        <f>(Lending!Q318+Lending!Q315)/10^9</f>
        <v>4.6172357545039618E-3</v>
      </c>
      <c r="G444" s="391">
        <f>(Lending!R318+Lending!R315)/10^9</f>
        <v>6.6724055284144018E-3</v>
      </c>
      <c r="H444" s="391">
        <f>(Lending!S318+Lending!S315)/10^9</f>
        <v>7.618560733477317E-3</v>
      </c>
      <c r="I444" s="391">
        <f>(Lending!T318+Lending!T315)/10^9</f>
        <v>9.305497411023456E-3</v>
      </c>
      <c r="J444" s="391">
        <f>(Lending!U318+Lending!U315)/10^9</f>
        <v>8.5217336413948921E-3</v>
      </c>
      <c r="K444" s="391">
        <f>(Lending!V318+Lending!V315)/10^9</f>
        <v>8.9678959972347011E-3</v>
      </c>
      <c r="L444" s="391">
        <f>(Lending!W318+Lending!W315)/10^9</f>
        <v>8.094809893192681E-3</v>
      </c>
      <c r="M444" s="391">
        <f>(Lending!X318+Lending!X315)/10^9</f>
        <v>1.0556297595138335E-2</v>
      </c>
      <c r="N444" s="391">
        <f>(Lending!Y318+Lending!Y315)/10^9</f>
        <v>1.1488334847405201E-2</v>
      </c>
      <c r="O444" s="391">
        <f>(Lending!Z318+Lending!Z315)/10^9</f>
        <v>1.1024157433800417E-2</v>
      </c>
      <c r="P444" s="391">
        <f>(Lending!AA318+Lending!AA315)/10^9</f>
        <v>1.0814530832861971E-2</v>
      </c>
      <c r="Q444" s="391">
        <f>(Lending!M318+Lending!M315)/10^9</f>
        <v>0.10311332103683743</v>
      </c>
      <c r="R444" s="391"/>
      <c r="S444" s="391"/>
      <c r="T444" s="391"/>
    </row>
    <row r="445" spans="2:20" ht="15" hidden="1" customHeight="1">
      <c r="B445" s="409" t="s">
        <v>625</v>
      </c>
      <c r="C445" s="469"/>
      <c r="D445" s="469"/>
      <c r="E445" s="469"/>
      <c r="F445" s="469"/>
      <c r="G445" s="469"/>
      <c r="H445" s="469"/>
      <c r="I445" s="469"/>
      <c r="J445" s="469">
        <f t="shared" ref="J445:P445" si="340">J428/J426</f>
        <v>0.10133336447629994</v>
      </c>
      <c r="K445" s="469">
        <f t="shared" si="340"/>
        <v>0.11611547205597945</v>
      </c>
      <c r="L445" s="469">
        <f t="shared" si="340"/>
        <v>0.13432954674484968</v>
      </c>
      <c r="M445" s="469">
        <f t="shared" si="340"/>
        <v>0.1547262844541783</v>
      </c>
      <c r="N445" s="469">
        <f t="shared" si="340"/>
        <v>0.14752551787382553</v>
      </c>
      <c r="O445" s="469">
        <f t="shared" si="340"/>
        <v>0.15295766399490857</v>
      </c>
      <c r="P445" s="469">
        <f t="shared" si="340"/>
        <v>0.16136853063636269</v>
      </c>
    </row>
    <row r="446" spans="2:20" ht="15" customHeight="1">
      <c r="B446" s="828" t="s">
        <v>626</v>
      </c>
      <c r="C446" s="469">
        <f>C429/C426</f>
        <v>1271.3241871760483</v>
      </c>
      <c r="D446" s="469">
        <f>D429/D426</f>
        <v>18.033118799420933</v>
      </c>
      <c r="E446" s="469">
        <f t="shared" ref="E446:P446" si="341">E429/E426</f>
        <v>1.0737554455586639E-2</v>
      </c>
      <c r="F446" s="469">
        <f t="shared" si="341"/>
        <v>2.8221209476890066E-2</v>
      </c>
      <c r="G446" s="469">
        <f t="shared" si="341"/>
        <v>5.4953947360192462E-2</v>
      </c>
      <c r="H446" s="469">
        <f t="shared" si="341"/>
        <v>5.4532097341725622E-2</v>
      </c>
      <c r="I446" s="469">
        <f t="shared" si="341"/>
        <v>6.0238467869488339E-2</v>
      </c>
      <c r="J446" s="469">
        <f t="shared" si="341"/>
        <v>8.067366391096871E-2</v>
      </c>
      <c r="K446" s="469">
        <f t="shared" si="341"/>
        <v>8.80471318257883E-2</v>
      </c>
      <c r="L446" s="469">
        <f t="shared" si="341"/>
        <v>9.3113908867597642E-2</v>
      </c>
      <c r="M446" s="469">
        <f t="shared" si="341"/>
        <v>9.7192688409443562E-2</v>
      </c>
      <c r="N446" s="469">
        <f t="shared" si="341"/>
        <v>9.7075122362040564E-2</v>
      </c>
      <c r="O446" s="469">
        <f t="shared" si="341"/>
        <v>0.10152921040504048</v>
      </c>
      <c r="P446" s="469">
        <f t="shared" si="341"/>
        <v>0.10345565060928617</v>
      </c>
    </row>
    <row r="447" spans="2:20" ht="15" customHeight="1">
      <c r="B447" s="352" t="s">
        <v>627</v>
      </c>
      <c r="C447" s="469">
        <f>Lending!N296</f>
        <v>0</v>
      </c>
      <c r="D447" s="469">
        <f>Lending!O296</f>
        <v>0</v>
      </c>
      <c r="E447" s="469">
        <f>Lending!P296</f>
        <v>0</v>
      </c>
      <c r="F447" s="469">
        <f>Lending!Q296</f>
        <v>0</v>
      </c>
      <c r="G447" s="469">
        <f>Lending!R296</f>
        <v>0</v>
      </c>
      <c r="H447" s="469">
        <f>Lending!S296</f>
        <v>1.9858970342197194E-3</v>
      </c>
      <c r="I447" s="469">
        <f>Lending!T296</f>
        <v>7.9154065785496316E-3</v>
      </c>
      <c r="J447" s="469">
        <f>Lending!U296</f>
        <v>1.3543436655181327E-2</v>
      </c>
      <c r="K447" s="469">
        <f>Lending!V296</f>
        <v>2.388330982254102E-2</v>
      </c>
      <c r="L447" s="469">
        <f>Lending!W296</f>
        <v>3.4609161089227437E-2</v>
      </c>
      <c r="M447" s="469">
        <f>Lending!X296</f>
        <v>4.2265764113341715E-2</v>
      </c>
      <c r="N447" s="469">
        <f>Lending!Y296</f>
        <v>4.2853238458621906E-2</v>
      </c>
      <c r="O447" s="469">
        <f>Lending!Z296</f>
        <v>4.2093717007188051E-2</v>
      </c>
      <c r="P447" s="469">
        <f>Lending!AA296</f>
        <v>3.979479083781607E-2</v>
      </c>
    </row>
    <row r="448" spans="2:20" ht="15" customHeight="1">
      <c r="B448" s="393" t="s">
        <v>628</v>
      </c>
      <c r="C448" s="394">
        <f>Lending!N297</f>
        <v>0</v>
      </c>
      <c r="D448" s="394">
        <f>Lending!O297</f>
        <v>0</v>
      </c>
      <c r="E448" s="394">
        <f>Lending!P297</f>
        <v>0</v>
      </c>
      <c r="F448" s="394">
        <f>Lending!Q297</f>
        <v>9.6165051254724443E-4</v>
      </c>
      <c r="G448" s="394">
        <f>Lending!R297</f>
        <v>1.3183356793184796E-3</v>
      </c>
      <c r="H448" s="394">
        <f>Lending!S297</f>
        <v>3.2633760914582426E-3</v>
      </c>
      <c r="I448" s="394">
        <f>Lending!T297</f>
        <v>9.4250477145253232E-3</v>
      </c>
      <c r="J448" s="394">
        <f>Lending!U297</f>
        <v>2.0659700565331229E-2</v>
      </c>
      <c r="K448" s="394">
        <f>Lending!V297</f>
        <v>2.8068340230191165E-2</v>
      </c>
      <c r="L448" s="394">
        <f>Lending!W297</f>
        <v>4.121563787725202E-2</v>
      </c>
      <c r="M448" s="394">
        <f>Lending!X297</f>
        <v>5.7533596044734722E-2</v>
      </c>
      <c r="N448" s="394">
        <f>Lending!Y297</f>
        <v>5.0450395511784971E-2</v>
      </c>
      <c r="O448" s="394">
        <f>Lending!Z297</f>
        <v>5.1428453589868077E-2</v>
      </c>
      <c r="P448" s="394">
        <f>Lending!AA297</f>
        <v>5.7912880027076542E-2</v>
      </c>
      <c r="Q448" s="394"/>
      <c r="R448" s="469"/>
      <c r="S448" s="469"/>
      <c r="T448" s="469"/>
    </row>
    <row r="449" spans="2:24" ht="15" customHeight="1">
      <c r="B449" s="361" t="s">
        <v>236</v>
      </c>
      <c r="C449" s="383">
        <f>C430-C434-C435</f>
        <v>0.22862079058294149</v>
      </c>
      <c r="D449" s="383">
        <f t="shared" ref="D449:Q449" si="342">D430-D434-D435</f>
        <v>0.3035251663821702</v>
      </c>
      <c r="E449" s="383">
        <f t="shared" si="342"/>
        <v>0.31851809572670958</v>
      </c>
      <c r="F449" s="383">
        <f>F430-F434-F435</f>
        <v>0.52037651775749993</v>
      </c>
      <c r="G449" s="383">
        <f t="shared" si="342"/>
        <v>0.89311540763567066</v>
      </c>
      <c r="H449" s="383">
        <f t="shared" si="342"/>
        <v>1.2469752568917141</v>
      </c>
      <c r="I449" s="383">
        <f t="shared" si="342"/>
        <v>1.6501825092813043</v>
      </c>
      <c r="J449" s="383">
        <f t="shared" si="342"/>
        <v>1.8096802091568933</v>
      </c>
      <c r="K449" s="383">
        <f t="shared" si="342"/>
        <v>2.0601090724296198</v>
      </c>
      <c r="L449" s="383">
        <f t="shared" si="342"/>
        <v>1.993683259405199</v>
      </c>
      <c r="M449" s="383">
        <f t="shared" si="342"/>
        <v>1.3963315940622048</v>
      </c>
      <c r="N449" s="383">
        <f t="shared" si="342"/>
        <v>1.6084068551955424</v>
      </c>
      <c r="O449" s="383">
        <f t="shared" si="342"/>
        <v>1.4228123624557174</v>
      </c>
      <c r="P449" s="383">
        <f t="shared" si="342"/>
        <v>0.88357457487730695</v>
      </c>
      <c r="Q449" s="383">
        <f t="shared" si="342"/>
        <v>15.803765714875384</v>
      </c>
      <c r="R449" s="383"/>
      <c r="S449" s="383"/>
      <c r="T449" s="383"/>
    </row>
    <row r="453" spans="2:24" ht="26.25" customHeight="1">
      <c r="B453" s="378" t="s">
        <v>696</v>
      </c>
      <c r="C453" s="90" t="s">
        <v>613</v>
      </c>
      <c r="D453" s="90" t="s">
        <v>614</v>
      </c>
      <c r="E453" s="579">
        <v>45658</v>
      </c>
      <c r="F453" s="579">
        <v>45689</v>
      </c>
      <c r="G453" s="579">
        <v>45717</v>
      </c>
      <c r="H453" s="579">
        <v>45748</v>
      </c>
      <c r="I453" s="579">
        <v>45778</v>
      </c>
      <c r="J453" s="579">
        <v>45809</v>
      </c>
      <c r="K453" s="579">
        <v>45839</v>
      </c>
      <c r="L453" s="579">
        <v>45870</v>
      </c>
      <c r="M453" s="579">
        <v>45901</v>
      </c>
      <c r="N453" s="579">
        <v>45931</v>
      </c>
      <c r="O453" s="579">
        <v>45962</v>
      </c>
      <c r="P453" s="579">
        <v>45992</v>
      </c>
      <c r="Q453" s="78" t="s">
        <v>76</v>
      </c>
      <c r="R453" s="1129"/>
      <c r="S453" s="1129"/>
      <c r="T453" s="824"/>
      <c r="U453" s="824"/>
      <c r="V453" s="824"/>
      <c r="W453" s="825"/>
      <c r="X453" s="826"/>
    </row>
    <row r="454" spans="2:24" ht="24" customHeight="1">
      <c r="B454" s="361" t="s">
        <v>80</v>
      </c>
      <c r="C454" s="382">
        <f>Lending!N325/10^9</f>
        <v>0</v>
      </c>
      <c r="D454" s="382">
        <f>Lending!O325/10^9</f>
        <v>0</v>
      </c>
      <c r="E454" s="382">
        <f>Lending!P325/10^9</f>
        <v>0</v>
      </c>
      <c r="F454" s="382">
        <f>Lending!Q325/10^9</f>
        <v>0</v>
      </c>
      <c r="G454" s="382">
        <f>Lending!R325/10^9</f>
        <v>2.0330000000000001E-2</v>
      </c>
      <c r="H454" s="382">
        <f>Lending!S325/10^9</f>
        <v>0</v>
      </c>
      <c r="I454" s="382">
        <f>Lending!T325/10^9</f>
        <v>29.177</v>
      </c>
      <c r="J454" s="382">
        <f>Lending!U325/10^9</f>
        <v>47.65446</v>
      </c>
      <c r="K454" s="382">
        <f>Lending!V325/10^9</f>
        <v>87.997150000000005</v>
      </c>
      <c r="L454" s="382">
        <f>Lending!W325/10^9</f>
        <v>83.818309999999997</v>
      </c>
      <c r="M454" s="382">
        <f>Lending!X325/10^9</f>
        <v>83.034229999999994</v>
      </c>
      <c r="N454" s="382">
        <f>Lending!Y325/10^9</f>
        <v>126.42486</v>
      </c>
      <c r="O454" s="382">
        <f>Lending!Z325/10^9</f>
        <v>98.531400000000005</v>
      </c>
      <c r="P454" s="382">
        <f>Lending!AA325/10^9</f>
        <v>117.58089</v>
      </c>
      <c r="Q454" s="382">
        <f>Lending!M319/10^9</f>
        <v>15.803765714875384</v>
      </c>
      <c r="R454" s="434"/>
      <c r="S454" s="434"/>
      <c r="T454" s="434"/>
    </row>
    <row r="455" spans="2:24" ht="21" customHeight="1">
      <c r="B455" s="361" t="s">
        <v>82</v>
      </c>
      <c r="C455" s="382">
        <f>Lending!N328/10^9</f>
        <v>0</v>
      </c>
      <c r="D455" s="382">
        <f>Lending!O328/10^9</f>
        <v>0</v>
      </c>
      <c r="E455" s="382">
        <f>Lending!P328/10^9</f>
        <v>0</v>
      </c>
      <c r="F455" s="382">
        <f>Lending!Q328/10^9</f>
        <v>0</v>
      </c>
      <c r="G455" s="382">
        <f>Lending!R328/10^9</f>
        <v>9.6299999999999997E-3</v>
      </c>
      <c r="H455" s="382">
        <f>Lending!S328/10^9</f>
        <v>8.2943940000000001E-3</v>
      </c>
      <c r="I455" s="382">
        <f>Lending!T328/10^9</f>
        <v>28.358115388000002</v>
      </c>
      <c r="J455" s="382">
        <f>Lending!U328/10^9</f>
        <v>70.729974420000005</v>
      </c>
      <c r="K455" s="382">
        <f>Lending!V328/10^9</f>
        <v>147.33306123599999</v>
      </c>
      <c r="L455" s="382">
        <f>Lending!W328/10^9</f>
        <v>210.38949364000001</v>
      </c>
      <c r="M455" s="382">
        <f>Lending!X328/10^9</f>
        <v>265.18790892999999</v>
      </c>
      <c r="N455" s="382">
        <f>Lending!Y328/10^9</f>
        <v>354.05378259299999</v>
      </c>
      <c r="O455" s="382">
        <f>Lending!Z328/10^9</f>
        <v>405.76217175400001</v>
      </c>
      <c r="P455" s="382">
        <f>Lending!AA328/10^9</f>
        <v>466.27682951499997</v>
      </c>
      <c r="Q455" s="382">
        <f>J455</f>
        <v>70.729974420000005</v>
      </c>
      <c r="R455" s="434"/>
      <c r="S455" s="434"/>
      <c r="T455" s="434"/>
    </row>
    <row r="456" spans="2:24" ht="15" customHeight="1">
      <c r="B456" s="409" t="s">
        <v>640</v>
      </c>
      <c r="C456" s="386">
        <f t="shared" ref="C456:Q456" si="343">C455-C457</f>
        <v>0</v>
      </c>
      <c r="D456" s="386">
        <f t="shared" ref="D456:P456" si="344">D455-D457</f>
        <v>0</v>
      </c>
      <c r="E456" s="386">
        <f t="shared" si="344"/>
        <v>0</v>
      </c>
      <c r="F456" s="386">
        <f t="shared" si="344"/>
        <v>0</v>
      </c>
      <c r="G456" s="386">
        <f t="shared" si="344"/>
        <v>9.6299999999999997E-3</v>
      </c>
      <c r="H456" s="386">
        <f t="shared" si="344"/>
        <v>8.2943940000000001E-3</v>
      </c>
      <c r="I456" s="386">
        <f t="shared" si="344"/>
        <v>28.348115388</v>
      </c>
      <c r="J456" s="386">
        <f t="shared" si="344"/>
        <v>68.715906949000001</v>
      </c>
      <c r="K456" s="386">
        <f t="shared" si="344"/>
        <v>143.35085547899999</v>
      </c>
      <c r="L456" s="386">
        <f t="shared" si="344"/>
        <v>201.55673582200001</v>
      </c>
      <c r="M456" s="386">
        <f t="shared" si="344"/>
        <v>246.68374712599999</v>
      </c>
      <c r="N456" s="386">
        <f t="shared" si="344"/>
        <v>330.16645891299999</v>
      </c>
      <c r="O456" s="386">
        <f t="shared" si="344"/>
        <v>371.26990177200003</v>
      </c>
      <c r="P456" s="386">
        <f t="shared" si="344"/>
        <v>415.46089023099995</v>
      </c>
      <c r="Q456" s="386">
        <f t="shared" si="343"/>
        <v>68.715906949000001</v>
      </c>
      <c r="R456" s="490"/>
      <c r="S456" s="490"/>
      <c r="T456" s="490"/>
    </row>
    <row r="457" spans="2:24" ht="15" customHeight="1">
      <c r="B457" s="409" t="s">
        <v>617</v>
      </c>
      <c r="C457" s="386">
        <f>Lending!N332/10^9</f>
        <v>0</v>
      </c>
      <c r="D457" s="386">
        <f>Lending!O332/10^9</f>
        <v>0</v>
      </c>
      <c r="E457" s="386">
        <f>Lending!P332/10^9</f>
        <v>0</v>
      </c>
      <c r="F457" s="386">
        <f>Lending!Q332/10^9</f>
        <v>0</v>
      </c>
      <c r="G457" s="386">
        <f>Lending!R332/10^9</f>
        <v>0</v>
      </c>
      <c r="H457" s="386">
        <f>Lending!S332/10^9</f>
        <v>0</v>
      </c>
      <c r="I457" s="386">
        <f>Lending!T332/10^9</f>
        <v>0.01</v>
      </c>
      <c r="J457" s="386">
        <f>Lending!U332/10^9</f>
        <v>2.0140674710000002</v>
      </c>
      <c r="K457" s="386">
        <f>Lending!V332/10^9</f>
        <v>3.982205757</v>
      </c>
      <c r="L457" s="386">
        <f>Lending!W332/10^9</f>
        <v>8.8327578179999993</v>
      </c>
      <c r="M457" s="386">
        <f>Lending!X332/10^9</f>
        <v>18.504161803999999</v>
      </c>
      <c r="N457" s="386">
        <f>Lending!Y332/10^9</f>
        <v>23.887323680000002</v>
      </c>
      <c r="O457" s="386">
        <f>Lending!Z332/10^9</f>
        <v>34.492269982000003</v>
      </c>
      <c r="P457" s="386">
        <f>Lending!AA332/10^9</f>
        <v>50.815939284000002</v>
      </c>
      <c r="Q457" s="386">
        <f>J457</f>
        <v>2.0140674710000002</v>
      </c>
      <c r="R457" s="490"/>
      <c r="S457" s="490"/>
      <c r="T457" s="490"/>
    </row>
    <row r="458" spans="2:24" ht="15" hidden="1" customHeight="1">
      <c r="B458" s="409" t="s">
        <v>690</v>
      </c>
      <c r="C458" s="386">
        <f>Lending!M334/10^9</f>
        <v>0</v>
      </c>
      <c r="D458" s="386">
        <f>Lending!N334/10^9</f>
        <v>0</v>
      </c>
      <c r="E458" s="386">
        <f>Lending!O334/10^9</f>
        <v>0</v>
      </c>
      <c r="F458" s="386">
        <f>Lending!P334/10^9</f>
        <v>0</v>
      </c>
      <c r="G458" s="386">
        <f>Lending!Q334/10^9</f>
        <v>0</v>
      </c>
      <c r="H458" s="386">
        <f>Lending!R334/10^9</f>
        <v>0</v>
      </c>
      <c r="I458" s="386">
        <f>Lending!S334/10^9</f>
        <v>0</v>
      </c>
      <c r="J458" s="386">
        <f>Lending!T334/10^9</f>
        <v>0.01</v>
      </c>
      <c r="K458" s="386">
        <f>Lending!U334/10^9</f>
        <v>2.0090674709999998</v>
      </c>
      <c r="L458" s="386">
        <f>Lending!V334/10^9</f>
        <v>3.9585306779999998</v>
      </c>
      <c r="M458" s="386">
        <f>Lending!W334/10^9</f>
        <v>8.7542313939999996</v>
      </c>
      <c r="N458" s="386">
        <f>Lending!X334/10^9</f>
        <v>16.817643450999999</v>
      </c>
      <c r="O458" s="386">
        <f>Lending!Y334/10^9</f>
        <v>20.898642311</v>
      </c>
      <c r="P458" s="386">
        <f>Lending!Z334/10^9</f>
        <v>27.889948182000001</v>
      </c>
      <c r="Q458" s="386" t="e">
        <f>Lending!#REF!/10^9</f>
        <v>#REF!</v>
      </c>
      <c r="R458" s="490"/>
      <c r="S458" s="490"/>
      <c r="T458" s="490"/>
    </row>
    <row r="459" spans="2:24" ht="15" customHeight="1">
      <c r="B459" s="361" t="s">
        <v>687</v>
      </c>
      <c r="C459" s="383">
        <f>C460+C461+C462</f>
        <v>0</v>
      </c>
      <c r="D459" s="383">
        <f t="shared" ref="D459" si="345">D460+D461+D462</f>
        <v>0</v>
      </c>
      <c r="E459" s="383">
        <f t="shared" ref="E459" si="346">E460+E461+E462</f>
        <v>0</v>
      </c>
      <c r="F459" s="383">
        <f t="shared" ref="F459" si="347">F460+F461+F462</f>
        <v>0</v>
      </c>
      <c r="G459" s="383">
        <f t="shared" ref="G459" si="348">G460+G461+G462</f>
        <v>1.621019E-3</v>
      </c>
      <c r="H459" s="383">
        <f t="shared" ref="H459" si="349">H460+H461+H462</f>
        <v>3.3179200000000002E-4</v>
      </c>
      <c r="I459" s="383">
        <f t="shared" ref="I459" si="350">I460+I461+I462</f>
        <v>0.36393091399999999</v>
      </c>
      <c r="J459" s="383">
        <f t="shared" ref="J459" si="351">J460+J461+J462</f>
        <v>3.0646980739999998</v>
      </c>
      <c r="K459" s="383">
        <f t="shared" ref="K459" si="352">K460+K461+K462</f>
        <v>6.9303139419999997</v>
      </c>
      <c r="L459" s="383">
        <f t="shared" ref="L459" si="353">L460+L461+L462</f>
        <v>9.5264128899999996</v>
      </c>
      <c r="M459" s="383">
        <f t="shared" ref="M459" si="354">M460+M461+M462</f>
        <v>11.174839987999999</v>
      </c>
      <c r="N459" s="383">
        <f t="shared" ref="N459" si="355">N460+N461+N462</f>
        <v>16.086893498000002</v>
      </c>
      <c r="O459" s="383">
        <f t="shared" ref="O459" si="356">O460+O461+O462</f>
        <v>17.06886085</v>
      </c>
      <c r="P459" s="383">
        <f t="shared" ref="P459" si="357">P460+P461+P462</f>
        <v>19.629191526</v>
      </c>
      <c r="Q459" s="383">
        <f>Q460+Q461+Q462</f>
        <v>83.847094493</v>
      </c>
      <c r="R459" s="383"/>
      <c r="S459" s="383"/>
      <c r="T459" s="383"/>
    </row>
    <row r="460" spans="2:24" ht="15" customHeight="1">
      <c r="B460" s="409" t="s">
        <v>618</v>
      </c>
      <c r="C460" s="391">
        <f>Lending!N338/10^9</f>
        <v>0</v>
      </c>
      <c r="D460" s="391">
        <f>Lending!O338/10^9</f>
        <v>0</v>
      </c>
      <c r="E460" s="391">
        <f>Lending!P338/10^9</f>
        <v>0</v>
      </c>
      <c r="F460" s="391">
        <f>Lending!Q338/10^9</f>
        <v>0</v>
      </c>
      <c r="G460" s="391">
        <f>Lending!R338/10^9</f>
        <v>1.6123400000000001E-4</v>
      </c>
      <c r="H460" s="391">
        <f>Lending!S338/10^9</f>
        <v>3.3179200000000002E-4</v>
      </c>
      <c r="I460" s="391">
        <f>Lending!T338/10^9</f>
        <v>0.33914766000000002</v>
      </c>
      <c r="J460" s="391">
        <f>Lending!U338/10^9</f>
        <v>1.9917616250000001</v>
      </c>
      <c r="K460" s="391">
        <f>Lending!V338/10^9</f>
        <v>4.4546498630000002</v>
      </c>
      <c r="L460" s="391">
        <f>Lending!W338/10^9</f>
        <v>6.913168389</v>
      </c>
      <c r="M460" s="391">
        <f>Lending!X338/10^9</f>
        <v>8.3919126649999995</v>
      </c>
      <c r="N460" s="391">
        <f>Lending!Y338/10^9</f>
        <v>11.031566114</v>
      </c>
      <c r="O460" s="391">
        <f>Lending!Z338/10^9</f>
        <v>12.748322578</v>
      </c>
      <c r="P460" s="391">
        <f>Lending!AA338/10^9</f>
        <v>14.706375025</v>
      </c>
      <c r="Q460" s="391">
        <f>Lending!M338/10^9</f>
        <v>60.577396944999997</v>
      </c>
      <c r="R460" s="391"/>
      <c r="S460" s="391"/>
      <c r="T460" s="391"/>
    </row>
    <row r="461" spans="2:24" ht="15" customHeight="1">
      <c r="B461" s="409" t="s">
        <v>619</v>
      </c>
      <c r="C461" s="391">
        <f>Lending!N343/10^9</f>
        <v>0</v>
      </c>
      <c r="D461" s="391">
        <f>Lending!O343/10^9</f>
        <v>0</v>
      </c>
      <c r="E461" s="391">
        <f>Lending!P343/10^9</f>
        <v>0</v>
      </c>
      <c r="F461" s="391">
        <f>Lending!Q343/10^9</f>
        <v>0</v>
      </c>
      <c r="G461" s="391">
        <f>Lending!R343/10^9</f>
        <v>1.4597849999999999E-3</v>
      </c>
      <c r="H461" s="391">
        <f>Lending!S343/10^9</f>
        <v>0</v>
      </c>
      <c r="I461" s="391">
        <f>Lending!T343/10^9</f>
        <v>2.4783254000000001E-2</v>
      </c>
      <c r="J461" s="391">
        <f>Lending!U343/10^9</f>
        <v>1.072936449</v>
      </c>
      <c r="K461" s="391">
        <f>Lending!V343/10^9</f>
        <v>2.475664079</v>
      </c>
      <c r="L461" s="391">
        <f>Lending!W343/10^9</f>
        <v>2.6132445010000001</v>
      </c>
      <c r="M461" s="391">
        <f>Lending!X343/10^9</f>
        <v>2.782927323</v>
      </c>
      <c r="N461" s="391">
        <f>Lending!Y343/10^9</f>
        <v>5.0553273839999999</v>
      </c>
      <c r="O461" s="391">
        <f>Lending!Z343/10^9</f>
        <v>4.3205382720000003</v>
      </c>
      <c r="P461" s="391">
        <f>Lending!AA343/10^9</f>
        <v>4.9228165009999998</v>
      </c>
      <c r="Q461" s="391">
        <f>Lending!M343/10^9</f>
        <v>23.269697548</v>
      </c>
      <c r="R461" s="391"/>
      <c r="S461" s="391"/>
      <c r="T461" s="391"/>
    </row>
    <row r="462" spans="2:24" ht="15" customHeight="1">
      <c r="B462" s="409" t="s">
        <v>620</v>
      </c>
      <c r="C462" s="391">
        <f>Lending!N347/10^9</f>
        <v>0</v>
      </c>
      <c r="D462" s="391">
        <f>Lending!O347/10^9</f>
        <v>0</v>
      </c>
      <c r="E462" s="391">
        <f>Lending!P347/10^9</f>
        <v>0</v>
      </c>
      <c r="F462" s="391">
        <f>Lending!Q347/10^9</f>
        <v>0</v>
      </c>
      <c r="G462" s="391">
        <f>Lending!R347/10^9</f>
        <v>0</v>
      </c>
      <c r="H462" s="391">
        <f>Lending!S347/10^9</f>
        <v>0</v>
      </c>
      <c r="I462" s="391">
        <f>Lending!T347/10^9</f>
        <v>0</v>
      </c>
      <c r="J462" s="391">
        <f>Lending!U347/10^9</f>
        <v>0</v>
      </c>
      <c r="K462" s="391">
        <f>Lending!V347/10^9</f>
        <v>0</v>
      </c>
      <c r="L462" s="391">
        <f>Lending!W347/10^9</f>
        <v>0</v>
      </c>
      <c r="M462" s="391">
        <f>Lending!X347/10^9</f>
        <v>0</v>
      </c>
      <c r="N462" s="391">
        <f>Lending!Y347/10^9</f>
        <v>0</v>
      </c>
      <c r="O462" s="391">
        <f>Lending!Z347/10^9</f>
        <v>0</v>
      </c>
      <c r="P462" s="391">
        <f>Lending!AA347/10^9</f>
        <v>0</v>
      </c>
      <c r="Q462" s="391">
        <f>Lending!M347/10^9</f>
        <v>0</v>
      </c>
      <c r="R462" s="391"/>
      <c r="S462" s="391"/>
      <c r="T462" s="391"/>
    </row>
    <row r="463" spans="2:24" ht="15" customHeight="1">
      <c r="B463" s="361" t="s">
        <v>621</v>
      </c>
      <c r="C463" s="383">
        <f>Lending!N348/10^9</f>
        <v>0</v>
      </c>
      <c r="D463" s="383">
        <f>Lending!O348/10^9</f>
        <v>0</v>
      </c>
      <c r="E463" s="383">
        <f>Lending!P348/10^9</f>
        <v>0</v>
      </c>
      <c r="F463" s="383">
        <f>Lending!Q348/10^9</f>
        <v>0</v>
      </c>
      <c r="G463" s="383">
        <f>Lending!R348/10^9</f>
        <v>7.2224999999999994E-5</v>
      </c>
      <c r="H463" s="383">
        <f>Lending!S348/10^9</f>
        <v>0</v>
      </c>
      <c r="I463" s="383">
        <f>Lending!T348/10^9</f>
        <v>0.21312365699999999</v>
      </c>
      <c r="J463" s="383">
        <f>Lending!U348/10^9</f>
        <v>0.42270490799999999</v>
      </c>
      <c r="K463" s="383">
        <f>Lending!V348/10^9</f>
        <v>0.69053117200000003</v>
      </c>
      <c r="L463" s="383">
        <f>Lending!W348/10^9</f>
        <v>0.74144840499999998</v>
      </c>
      <c r="M463" s="383">
        <f>Lending!X348/10^9</f>
        <v>1.1379143220000001</v>
      </c>
      <c r="N463" s="383">
        <f>Lending!Y348/10^9</f>
        <v>1.163274473</v>
      </c>
      <c r="O463" s="383">
        <f>Lending!Z348/10^9</f>
        <v>2.8296186099999998</v>
      </c>
      <c r="P463" s="383">
        <f>Lending!AA348/10^9</f>
        <v>5.9023067019999997</v>
      </c>
      <c r="Q463" s="383">
        <f>Lending!M348/10^9</f>
        <v>13.100994474</v>
      </c>
      <c r="R463" s="383"/>
      <c r="S463" s="383"/>
      <c r="T463" s="383"/>
    </row>
    <row r="464" spans="2:24" ht="15" customHeight="1">
      <c r="B464" s="361" t="s">
        <v>84</v>
      </c>
      <c r="C464" s="383">
        <f>SUM(C465:C472)</f>
        <v>0</v>
      </c>
      <c r="D464" s="383">
        <f t="shared" ref="D464:P464" si="358">SUM(D465:D472)</f>
        <v>0</v>
      </c>
      <c r="E464" s="383">
        <f t="shared" si="358"/>
        <v>0</v>
      </c>
      <c r="F464" s="383">
        <f t="shared" si="358"/>
        <v>0</v>
      </c>
      <c r="G464" s="383">
        <f t="shared" si="358"/>
        <v>6.3539913946253858E-5</v>
      </c>
      <c r="H464" s="383">
        <f t="shared" si="358"/>
        <v>1.5096694585314347E-5</v>
      </c>
      <c r="I464" s="383">
        <f t="shared" si="358"/>
        <v>0.6506569799812093</v>
      </c>
      <c r="J464" s="383">
        <f t="shared" si="358"/>
        <v>1.0461137791218096</v>
      </c>
      <c r="K464" s="383">
        <f t="shared" si="358"/>
        <v>1.8765956214559523</v>
      </c>
      <c r="L464" s="383">
        <f t="shared" si="358"/>
        <v>2.0719838057953179</v>
      </c>
      <c r="M464" s="383">
        <f t="shared" si="358"/>
        <v>2.4142683032337406</v>
      </c>
      <c r="N464" s="383">
        <f t="shared" si="358"/>
        <v>3.7520772710327837</v>
      </c>
      <c r="O464" s="383">
        <f t="shared" si="358"/>
        <v>3.1374496740014646</v>
      </c>
      <c r="P464" s="383">
        <f t="shared" si="358"/>
        <v>3.5456978200593321</v>
      </c>
      <c r="Q464" s="383">
        <f>SUM(Q465:Q472)</f>
        <v>18.494921891290144</v>
      </c>
      <c r="R464" s="383"/>
      <c r="S464" s="383"/>
      <c r="T464" s="383"/>
    </row>
    <row r="465" spans="2:20" ht="15" customHeight="1">
      <c r="B465" s="409" t="s">
        <v>230</v>
      </c>
      <c r="C465" s="391">
        <f>Lending!N350/10^9</f>
        <v>0</v>
      </c>
      <c r="D465" s="391">
        <f>Lending!O350/10^9</f>
        <v>0</v>
      </c>
      <c r="E465" s="391">
        <f>Lending!P350/10^9</f>
        <v>0</v>
      </c>
      <c r="F465" s="391">
        <f>Lending!Q350/10^9</f>
        <v>0</v>
      </c>
      <c r="G465" s="391">
        <f>Lending!R350/10^9</f>
        <v>0</v>
      </c>
      <c r="H465" s="391">
        <f>Lending!S350/10^9</f>
        <v>0</v>
      </c>
      <c r="I465" s="391">
        <f>Lending!T350/10^9</f>
        <v>0</v>
      </c>
      <c r="J465" s="391">
        <f>Lending!U350/10^9</f>
        <v>0</v>
      </c>
      <c r="K465" s="391">
        <f>Lending!V350/10^9</f>
        <v>0</v>
      </c>
      <c r="L465" s="391">
        <f>Lending!W350/10^9</f>
        <v>0</v>
      </c>
      <c r="M465" s="391">
        <f>Lending!X350/10^9</f>
        <v>0</v>
      </c>
      <c r="N465" s="391">
        <f>Lending!Y350/10^9</f>
        <v>0</v>
      </c>
      <c r="O465" s="391">
        <f>Lending!Z350/10^9</f>
        <v>0</v>
      </c>
      <c r="P465" s="391">
        <f>Lending!AA350/10^9</f>
        <v>0</v>
      </c>
      <c r="Q465" s="391">
        <f>Lending!M350/10^9</f>
        <v>0</v>
      </c>
      <c r="R465" s="383"/>
      <c r="S465" s="383"/>
      <c r="T465" s="383"/>
    </row>
    <row r="466" spans="2:20" ht="15" customHeight="1">
      <c r="B466" s="409" t="s">
        <v>231</v>
      </c>
      <c r="C466" s="391">
        <f>Lending!N351/10^9</f>
        <v>0</v>
      </c>
      <c r="D466" s="391">
        <f>Lending!O351/10^9</f>
        <v>0</v>
      </c>
      <c r="E466" s="391">
        <f>Lending!P351/10^9</f>
        <v>0</v>
      </c>
      <c r="F466" s="391">
        <f>Lending!Q351/10^9</f>
        <v>0</v>
      </c>
      <c r="G466" s="391">
        <f>Lending!R351/10^9</f>
        <v>0</v>
      </c>
      <c r="H466" s="391">
        <f>Lending!S351/10^9</f>
        <v>0</v>
      </c>
      <c r="I466" s="391">
        <f>Lending!T351/10^9</f>
        <v>0.58353999999999995</v>
      </c>
      <c r="J466" s="391">
        <f>Lending!U351/10^9</f>
        <v>0.93044000000000004</v>
      </c>
      <c r="K466" s="391">
        <f>Lending!V351/10^9</f>
        <v>1.7045399999999999</v>
      </c>
      <c r="L466" s="391">
        <f>Lending!W351/10^9</f>
        <v>1.767045</v>
      </c>
      <c r="M466" s="391">
        <f>Lending!X351/10^9</f>
        <v>2.0686599999999999</v>
      </c>
      <c r="N466" s="391">
        <f>Lending!Y351/10^9</f>
        <v>3.2728100000000002</v>
      </c>
      <c r="O466" s="391">
        <f>Lending!Z351/10^9</f>
        <v>2.6929799999999999</v>
      </c>
      <c r="P466" s="391">
        <f>Lending!AA351/10^9</f>
        <v>3.0531999999999999</v>
      </c>
      <c r="Q466" s="391">
        <f>Lending!M351/10^9</f>
        <v>16.073215000000001</v>
      </c>
      <c r="R466" s="383"/>
      <c r="S466" s="383"/>
      <c r="T466" s="383"/>
    </row>
    <row r="467" spans="2:20" ht="15" customHeight="1">
      <c r="B467" s="409" t="s">
        <v>232</v>
      </c>
      <c r="C467" s="391">
        <f>Lending!N352/10^9</f>
        <v>0</v>
      </c>
      <c r="D467" s="391">
        <f>Lending!O352/10^9</f>
        <v>0</v>
      </c>
      <c r="E467" s="391">
        <f>Lending!P352/10^9</f>
        <v>0</v>
      </c>
      <c r="F467" s="391">
        <f>Lending!Q352/10^9</f>
        <v>0</v>
      </c>
      <c r="G467" s="391">
        <f>Lending!R352/10^9</f>
        <v>5.1523636527521143E-5</v>
      </c>
      <c r="H467" s="391">
        <f>Lending!S352/10^9</f>
        <v>0</v>
      </c>
      <c r="I467" s="391">
        <f>Lending!T352/10^9</f>
        <v>5.8149912811691025E-2</v>
      </c>
      <c r="J467" s="391">
        <f>Lending!U352/10^9</f>
        <v>9.2953816836240113E-2</v>
      </c>
      <c r="K467" s="391">
        <f>Lending!V352/10^9</f>
        <v>0.12378929837266384</v>
      </c>
      <c r="L467" s="391">
        <f>Lending!W352/10^9</f>
        <v>0.2326401119860585</v>
      </c>
      <c r="M467" s="391">
        <f>Lending!X352/10^9</f>
        <v>0.24925834628378774</v>
      </c>
      <c r="N467" s="391">
        <f>Lending!Y352/10^9</f>
        <v>0.37946973620583491</v>
      </c>
      <c r="O467" s="391">
        <f>Lending!Z352/10^9</f>
        <v>0.2882422243274198</v>
      </c>
      <c r="P467" s="391">
        <f>Lending!AA352/10^9</f>
        <v>0.33276330077473176</v>
      </c>
      <c r="Q467" s="391">
        <f>Lending!M352/10^9</f>
        <v>1.7573182712349553</v>
      </c>
      <c r="R467" s="383"/>
      <c r="S467" s="383"/>
      <c r="T467" s="383"/>
    </row>
    <row r="468" spans="2:20" ht="15" customHeight="1">
      <c r="B468" s="409" t="s">
        <v>233</v>
      </c>
      <c r="C468" s="391">
        <f>Lending!N353/10^9</f>
        <v>0</v>
      </c>
      <c r="D468" s="391">
        <f>Lending!O353/10^9</f>
        <v>0</v>
      </c>
      <c r="E468" s="391">
        <f>Lending!P353/10^9</f>
        <v>0</v>
      </c>
      <c r="F468" s="391">
        <f>Lending!Q353/10^9</f>
        <v>0</v>
      </c>
      <c r="G468" s="391">
        <f>Lending!R353/10^9</f>
        <v>4.0790000000000002E-6</v>
      </c>
      <c r="H468" s="391">
        <f>Lending!S353/10^9</f>
        <v>0</v>
      </c>
      <c r="I468" s="391">
        <f>Lending!T353/10^9</f>
        <v>2.6228309999999999E-3</v>
      </c>
      <c r="J468" s="391">
        <f>Lending!U353/10^9</f>
        <v>4.7197680000000001E-3</v>
      </c>
      <c r="K468" s="391">
        <f>Lending!V353/10^9</f>
        <v>6.3521920000000004E-3</v>
      </c>
      <c r="L468" s="391">
        <f>Lending!W353/10^9</f>
        <v>1.05732E-2</v>
      </c>
      <c r="M468" s="391">
        <f>Lending!X353/10^9</f>
        <v>6.2217720000000004E-3</v>
      </c>
      <c r="N468" s="391">
        <f>Lending!Y353/10^9</f>
        <v>8.0005949999999992E-3</v>
      </c>
      <c r="O468" s="391">
        <f>Lending!Z353/10^9</f>
        <v>6.6504140000000003E-3</v>
      </c>
      <c r="P468" s="391">
        <f>Lending!AA353/10^9</f>
        <v>7.7056650000000004E-3</v>
      </c>
      <c r="Q468" s="391">
        <f>Lending!M353/10^9</f>
        <v>5.2850516E-2</v>
      </c>
      <c r="R468" s="383"/>
      <c r="S468" s="383"/>
      <c r="T468" s="383"/>
    </row>
    <row r="469" spans="2:20" ht="15" hidden="1" customHeight="1">
      <c r="B469" s="409" t="s">
        <v>152</v>
      </c>
      <c r="C469" s="391">
        <f>Lending!N354/10^9</f>
        <v>0</v>
      </c>
      <c r="D469" s="391">
        <f>Lending!O354/10^9</f>
        <v>0</v>
      </c>
      <c r="E469" s="391">
        <f>Lending!P354/10^9</f>
        <v>0</v>
      </c>
      <c r="F469" s="391">
        <f>Lending!Q354/10^9</f>
        <v>0</v>
      </c>
      <c r="G469" s="391">
        <f>Lending!R354/10^9</f>
        <v>7.9001429592566125E-6</v>
      </c>
      <c r="H469" s="391">
        <f>Lending!S354/10^9</f>
        <v>0</v>
      </c>
      <c r="I469" s="391">
        <f>Lending!T354/10^9</f>
        <v>6.2818601995395231E-3</v>
      </c>
      <c r="J469" s="391">
        <f>Lending!U354/10^9</f>
        <v>9.4235187728735816E-3</v>
      </c>
      <c r="K469" s="391">
        <f>Lending!V354/10^9</f>
        <v>1.0901527256273139E-2</v>
      </c>
      <c r="L469" s="391">
        <f>Lending!W354/10^9</f>
        <v>1.0296749404030919E-2</v>
      </c>
      <c r="M469" s="391">
        <f>Lending!X354/10^9</f>
        <v>8.0120932871628435E-3</v>
      </c>
      <c r="N469" s="391">
        <f>Lending!Y354/10^9</f>
        <v>1.4772643695297124E-2</v>
      </c>
      <c r="O469" s="391">
        <f>Lending!Z354/10^9</f>
        <v>1.1025972169167803E-2</v>
      </c>
      <c r="P469" s="391">
        <f>Lending!AA354/10^9</f>
        <v>1.4865045537852945E-2</v>
      </c>
      <c r="Q469" s="391">
        <f>Lending!M354/10^9</f>
        <v>8.5587310465157135E-2</v>
      </c>
      <c r="R469" s="383"/>
      <c r="S469" s="383"/>
      <c r="T469" s="383"/>
    </row>
    <row r="470" spans="2:20" ht="15" customHeight="1">
      <c r="B470" s="409" t="s">
        <v>234</v>
      </c>
      <c r="C470" s="391">
        <f>Lending!N355/10^9</f>
        <v>0</v>
      </c>
      <c r="D470" s="391">
        <f>Lending!O355/10^9</f>
        <v>0</v>
      </c>
      <c r="E470" s="391">
        <f>Lending!P355/10^9</f>
        <v>0</v>
      </c>
      <c r="F470" s="391">
        <f>Lending!Q355/10^9</f>
        <v>0</v>
      </c>
      <c r="G470" s="391">
        <f>Lending!R355/10^9</f>
        <v>0</v>
      </c>
      <c r="H470" s="391">
        <f>Lending!S355/10^9</f>
        <v>1.3920826002114191E-5</v>
      </c>
      <c r="I470" s="391">
        <f>Lending!T355/10^9</f>
        <v>1.5035988946941185E-5</v>
      </c>
      <c r="J470" s="391">
        <f>Lending!U355/10^9</f>
        <v>7.3546396870371759E-3</v>
      </c>
      <c r="K470" s="391">
        <f>Lending!V355/10^9</f>
        <v>2.6828761999999999E-2</v>
      </c>
      <c r="L470" s="391">
        <f>Lending!W355/10^9</f>
        <v>4.6328553458103716E-2</v>
      </c>
      <c r="M470" s="391">
        <f>Lending!X355/10^9</f>
        <v>7.2622945943943085E-2</v>
      </c>
      <c r="N470" s="391">
        <f>Lending!Y355/10^9</f>
        <v>6.4966260277753943E-2</v>
      </c>
      <c r="O470" s="391">
        <f>Lending!Z355/10^9</f>
        <v>0.12423567910524158</v>
      </c>
      <c r="P470" s="391">
        <f>Lending!AA355/10^9</f>
        <v>0.12299781947882951</v>
      </c>
      <c r="Q470" s="391">
        <f>Lending!M355/10^9</f>
        <v>0.46536361676585808</v>
      </c>
      <c r="R470" s="383"/>
      <c r="S470" s="383"/>
      <c r="T470" s="383"/>
    </row>
    <row r="471" spans="2:20" ht="15" hidden="1" customHeight="1">
      <c r="B471" s="409" t="s">
        <v>235</v>
      </c>
      <c r="C471" s="391">
        <f>Lending!N356/10^9</f>
        <v>0</v>
      </c>
      <c r="D471" s="391">
        <f>Lending!O356/10^9</f>
        <v>0</v>
      </c>
      <c r="E471" s="391">
        <f>Lending!P356/10^9</f>
        <v>0</v>
      </c>
      <c r="F471" s="391">
        <f>Lending!Q356/10^9</f>
        <v>0</v>
      </c>
      <c r="G471" s="391">
        <f>Lending!R356/10^9</f>
        <v>0</v>
      </c>
      <c r="H471" s="391">
        <f>Lending!S356/10^9</f>
        <v>0</v>
      </c>
      <c r="I471" s="391">
        <f>Lending!T356/10^9</f>
        <v>0</v>
      </c>
      <c r="J471" s="391">
        <f>Lending!U356/10^9</f>
        <v>0</v>
      </c>
      <c r="K471" s="391">
        <f>Lending!V356/10^9</f>
        <v>0</v>
      </c>
      <c r="L471" s="391">
        <f>Lending!W356/10^9</f>
        <v>0</v>
      </c>
      <c r="M471" s="391">
        <f>Lending!X356/10^9</f>
        <v>0</v>
      </c>
      <c r="N471" s="391">
        <f>Lending!Y356/10^9</f>
        <v>0</v>
      </c>
      <c r="O471" s="391">
        <f>Lending!Z356/10^9</f>
        <v>0</v>
      </c>
      <c r="P471" s="391">
        <f>Lending!AA356/10^9</f>
        <v>0</v>
      </c>
      <c r="Q471" s="391">
        <f>Lending!M356/10^9</f>
        <v>0</v>
      </c>
      <c r="R471" s="383"/>
      <c r="S471" s="383"/>
      <c r="T471" s="383"/>
    </row>
    <row r="472" spans="2:20" ht="15" hidden="1" customHeight="1">
      <c r="B472" s="409" t="s">
        <v>163</v>
      </c>
      <c r="C472" s="391">
        <f>Lending!N357/10^9</f>
        <v>0</v>
      </c>
      <c r="D472" s="391">
        <f>Lending!O357/10^9</f>
        <v>0</v>
      </c>
      <c r="E472" s="391">
        <f>Lending!P357/10^9</f>
        <v>0</v>
      </c>
      <c r="F472" s="391">
        <f>Lending!Q357/10^9</f>
        <v>0</v>
      </c>
      <c r="G472" s="391">
        <f>Lending!R357/10^9</f>
        <v>3.7134459476109515E-8</v>
      </c>
      <c r="H472" s="391">
        <f>Lending!S357/10^9</f>
        <v>1.1758685832001553E-6</v>
      </c>
      <c r="I472" s="391">
        <f>Lending!T357/10^9</f>
        <v>4.7339981031913375E-5</v>
      </c>
      <c r="J472" s="391">
        <f>Lending!U357/10^9</f>
        <v>1.222035825658658E-3</v>
      </c>
      <c r="K472" s="391">
        <f>Lending!V357/10^9</f>
        <v>4.1838418270151636E-3</v>
      </c>
      <c r="L472" s="391">
        <f>Lending!W357/10^9</f>
        <v>5.100190947124458E-3</v>
      </c>
      <c r="M472" s="391">
        <f>Lending!X357/10^9</f>
        <v>9.4931457188470753E-3</v>
      </c>
      <c r="N472" s="391">
        <f>Lending!Y357/10^9</f>
        <v>1.2058035853897331E-2</v>
      </c>
      <c r="O472" s="391">
        <f>Lending!Z357/10^9</f>
        <v>1.4315384399635356E-2</v>
      </c>
      <c r="P472" s="391">
        <f>Lending!AA357/10^9</f>
        <v>1.4165989267917812E-2</v>
      </c>
      <c r="Q472" s="391">
        <f>Lending!M357/10^9</f>
        <v>6.058717682417044E-2</v>
      </c>
      <c r="R472" s="383"/>
      <c r="S472" s="383"/>
      <c r="T472" s="383"/>
    </row>
    <row r="473" spans="2:20" ht="15" customHeight="1">
      <c r="B473" s="409" t="s">
        <v>697</v>
      </c>
      <c r="C473" s="391">
        <f>C469+C472</f>
        <v>0</v>
      </c>
      <c r="D473" s="391">
        <f t="shared" ref="D473:P473" si="359">D469+D472</f>
        <v>0</v>
      </c>
      <c r="E473" s="391">
        <f t="shared" si="359"/>
        <v>0</v>
      </c>
      <c r="F473" s="391">
        <f t="shared" si="359"/>
        <v>0</v>
      </c>
      <c r="G473" s="391">
        <f t="shared" si="359"/>
        <v>7.9372774187327227E-6</v>
      </c>
      <c r="H473" s="391">
        <f t="shared" si="359"/>
        <v>1.1758685832001553E-6</v>
      </c>
      <c r="I473" s="391">
        <f t="shared" si="359"/>
        <v>6.3292001805714364E-3</v>
      </c>
      <c r="J473" s="391">
        <f t="shared" si="359"/>
        <v>1.0645554598532239E-2</v>
      </c>
      <c r="K473" s="391">
        <f t="shared" si="359"/>
        <v>1.5085369083288303E-2</v>
      </c>
      <c r="L473" s="391">
        <f t="shared" si="359"/>
        <v>1.5396940351155377E-2</v>
      </c>
      <c r="M473" s="391">
        <f t="shared" si="359"/>
        <v>1.7505239006009921E-2</v>
      </c>
      <c r="N473" s="391">
        <f t="shared" si="359"/>
        <v>2.6830679549194457E-2</v>
      </c>
      <c r="O473" s="391">
        <f t="shared" si="359"/>
        <v>2.534135656880316E-2</v>
      </c>
      <c r="P473" s="391">
        <f t="shared" si="359"/>
        <v>2.9031034805770756E-2</v>
      </c>
      <c r="Q473" s="391">
        <f>Q469+Q472</f>
        <v>0.14617448728932758</v>
      </c>
      <c r="R473" s="391"/>
      <c r="S473" s="391"/>
      <c r="T473" s="391"/>
    </row>
    <row r="474" spans="2:20" ht="15" hidden="1" customHeight="1">
      <c r="B474" s="409" t="s">
        <v>625</v>
      </c>
      <c r="C474" s="469"/>
      <c r="D474" s="469"/>
      <c r="E474" s="469"/>
      <c r="F474" s="469"/>
      <c r="G474" s="469"/>
      <c r="H474" s="469"/>
      <c r="I474" s="469"/>
      <c r="J474" s="469">
        <f t="shared" ref="J474:P474" si="360">J457/J455</f>
        <v>2.8475444640207462E-2</v>
      </c>
      <c r="K474" s="469">
        <f t="shared" si="360"/>
        <v>2.7028595778793001E-2</v>
      </c>
      <c r="L474" s="469">
        <f t="shared" si="360"/>
        <v>4.1982884530887443E-2</v>
      </c>
      <c r="M474" s="469">
        <f t="shared" si="360"/>
        <v>6.9777547093538214E-2</v>
      </c>
      <c r="N474" s="469">
        <f t="shared" si="360"/>
        <v>6.7468065176582243E-2</v>
      </c>
      <c r="O474" s="469">
        <f t="shared" si="360"/>
        <v>8.5006125220838752E-2</v>
      </c>
      <c r="P474" s="469">
        <f t="shared" si="360"/>
        <v>0.10898233853236164</v>
      </c>
    </row>
    <row r="475" spans="2:20" ht="15" customHeight="1">
      <c r="B475" s="828" t="s">
        <v>626</v>
      </c>
      <c r="C475" s="469" t="e">
        <f>C458/C455</f>
        <v>#DIV/0!</v>
      </c>
      <c r="D475" s="469" t="e">
        <f t="shared" ref="D475:P475" si="361">D458/D455</f>
        <v>#DIV/0!</v>
      </c>
      <c r="E475" s="469" t="e">
        <f t="shared" si="361"/>
        <v>#DIV/0!</v>
      </c>
      <c r="F475" s="469" t="e">
        <f t="shared" si="361"/>
        <v>#DIV/0!</v>
      </c>
      <c r="G475" s="469">
        <f t="shared" si="361"/>
        <v>0</v>
      </c>
      <c r="H475" s="469">
        <f t="shared" si="361"/>
        <v>0</v>
      </c>
      <c r="I475" s="469">
        <f t="shared" si="361"/>
        <v>0</v>
      </c>
      <c r="J475" s="469">
        <f t="shared" si="361"/>
        <v>1.4138277416331631E-4</v>
      </c>
      <c r="K475" s="469">
        <f t="shared" si="361"/>
        <v>1.3636229737885169E-2</v>
      </c>
      <c r="L475" s="469">
        <f t="shared" si="361"/>
        <v>1.8815248848754251E-2</v>
      </c>
      <c r="M475" s="469">
        <f t="shared" si="361"/>
        <v>3.3011427366059887E-2</v>
      </c>
      <c r="N475" s="469">
        <f t="shared" si="361"/>
        <v>4.7500250746742058E-2</v>
      </c>
      <c r="O475" s="469">
        <f t="shared" si="361"/>
        <v>5.150465904857722E-2</v>
      </c>
      <c r="P475" s="469">
        <f t="shared" si="361"/>
        <v>5.9814141335330473E-2</v>
      </c>
    </row>
    <row r="476" spans="2:20" ht="15" customHeight="1">
      <c r="B476" s="352" t="s">
        <v>627</v>
      </c>
      <c r="C476" s="469">
        <f>Lending!N335</f>
        <v>0</v>
      </c>
      <c r="D476" s="469">
        <f>Lending!O335</f>
        <v>0</v>
      </c>
      <c r="E476" s="469">
        <f>Lending!P335</f>
        <v>0</v>
      </c>
      <c r="F476" s="469">
        <f>Lending!Q335</f>
        <v>0</v>
      </c>
      <c r="G476" s="469">
        <f>Lending!R335</f>
        <v>0</v>
      </c>
      <c r="H476" s="469">
        <f>Lending!S335</f>
        <v>0</v>
      </c>
      <c r="I476" s="469">
        <f>Lending!T335</f>
        <v>0</v>
      </c>
      <c r="J476" s="469">
        <f>Lending!U335</f>
        <v>0</v>
      </c>
      <c r="K476" s="469">
        <f>Lending!V335</f>
        <v>0</v>
      </c>
      <c r="L476" s="469">
        <f>Lending!W335</f>
        <v>0</v>
      </c>
      <c r="M476" s="469">
        <f>Lending!X335</f>
        <v>2.7273247031444135E-3</v>
      </c>
      <c r="N476" s="469">
        <f>Lending!Y335</f>
        <v>6.7643725692181052E-3</v>
      </c>
      <c r="O476" s="469">
        <f>Lending!Z335</f>
        <v>1.3648023402628606E-2</v>
      </c>
      <c r="P476" s="469">
        <f>Lending!AA335</f>
        <v>1.8898916536697685E-2</v>
      </c>
    </row>
    <row r="477" spans="2:20" ht="15" customHeight="1">
      <c r="B477" s="393" t="s">
        <v>628</v>
      </c>
      <c r="C477" s="394">
        <f>Lending!N336</f>
        <v>0</v>
      </c>
      <c r="D477" s="394">
        <f>Lending!O336</f>
        <v>0</v>
      </c>
      <c r="E477" s="394">
        <f>Lending!P336</f>
        <v>0</v>
      </c>
      <c r="F477" s="394">
        <f>Lending!Q336</f>
        <v>0</v>
      </c>
      <c r="G477" s="394">
        <f>Lending!R336</f>
        <v>0</v>
      </c>
      <c r="H477" s="394">
        <f>Lending!S336</f>
        <v>0</v>
      </c>
      <c r="I477" s="394">
        <f>Lending!T336</f>
        <v>0</v>
      </c>
      <c r="J477" s="394">
        <f>Lending!U336</f>
        <v>7.0691387081658154E-5</v>
      </c>
      <c r="K477" s="394">
        <f>Lending!V336</f>
        <v>1.6069087821420444E-4</v>
      </c>
      <c r="L477" s="394">
        <f>Lending!W336</f>
        <v>3.732430866265951E-4</v>
      </c>
      <c r="M477" s="394">
        <f>Lending!X336</f>
        <v>6.3597105908971881E-3</v>
      </c>
      <c r="N477" s="394">
        <f>Lending!Y336</f>
        <v>8.4413202624518124E-3</v>
      </c>
      <c r="O477" s="394">
        <f>Lending!Z336</f>
        <v>1.6271407882750506E-2</v>
      </c>
      <c r="P477" s="394">
        <f>Lending!AA336</f>
        <v>2.7411015244515457E-2</v>
      </c>
      <c r="Q477" s="394"/>
      <c r="R477" s="469"/>
      <c r="S477" s="469"/>
      <c r="T477" s="469"/>
    </row>
    <row r="478" spans="2:20" ht="15" customHeight="1">
      <c r="B478" s="361" t="s">
        <v>236</v>
      </c>
      <c r="C478" s="383">
        <f>C459-C463-C464</f>
        <v>0</v>
      </c>
      <c r="D478" s="383">
        <f t="shared" ref="D478:P478" si="362">D459-D463-D464</f>
        <v>0</v>
      </c>
      <c r="E478" s="383">
        <f t="shared" si="362"/>
        <v>0</v>
      </c>
      <c r="F478" s="383">
        <f t="shared" si="362"/>
        <v>0</v>
      </c>
      <c r="G478" s="383">
        <f t="shared" si="362"/>
        <v>1.4852540860537462E-3</v>
      </c>
      <c r="H478" s="383">
        <f t="shared" si="362"/>
        <v>3.166953054146857E-4</v>
      </c>
      <c r="I478" s="383">
        <f t="shared" si="362"/>
        <v>-0.49984972298120933</v>
      </c>
      <c r="J478" s="383">
        <f t="shared" si="362"/>
        <v>1.5958793868781902</v>
      </c>
      <c r="K478" s="383">
        <f t="shared" si="362"/>
        <v>4.3631871485440472</v>
      </c>
      <c r="L478" s="383">
        <f t="shared" si="362"/>
        <v>6.7129806792046818</v>
      </c>
      <c r="M478" s="383">
        <f t="shared" si="362"/>
        <v>7.6226573627662582</v>
      </c>
      <c r="N478" s="383">
        <f t="shared" si="362"/>
        <v>11.171541753967219</v>
      </c>
      <c r="O478" s="383">
        <f t="shared" si="362"/>
        <v>11.101792565998535</v>
      </c>
      <c r="P478" s="383">
        <f t="shared" si="362"/>
        <v>10.181187003940668</v>
      </c>
      <c r="Q478" s="383">
        <f>Q459-Q463-Q464</f>
        <v>52.251178127709849</v>
      </c>
      <c r="R478" s="383"/>
      <c r="S478" s="383"/>
      <c r="T478" s="383"/>
    </row>
    <row r="482" spans="2:24" ht="26.25" customHeight="1">
      <c r="B482" s="378" t="s">
        <v>698</v>
      </c>
      <c r="C482" s="90" t="s">
        <v>613</v>
      </c>
      <c r="D482" s="90" t="s">
        <v>614</v>
      </c>
      <c r="E482" s="579">
        <v>45658</v>
      </c>
      <c r="F482" s="579">
        <v>45689</v>
      </c>
      <c r="G482" s="579">
        <v>45717</v>
      </c>
      <c r="H482" s="579">
        <v>45748</v>
      </c>
      <c r="I482" s="579">
        <v>45778</v>
      </c>
      <c r="J482" s="579">
        <v>45809</v>
      </c>
      <c r="K482" s="579">
        <v>45839</v>
      </c>
      <c r="L482" s="579">
        <v>45870</v>
      </c>
      <c r="M482" s="579">
        <v>45901</v>
      </c>
      <c r="N482" s="579">
        <v>45931</v>
      </c>
      <c r="O482" s="579">
        <v>45962</v>
      </c>
      <c r="P482" s="579">
        <v>45992</v>
      </c>
      <c r="Q482" s="78" t="s">
        <v>76</v>
      </c>
      <c r="R482" s="1129"/>
      <c r="S482" s="1129"/>
      <c r="T482" s="824"/>
      <c r="U482" s="824"/>
      <c r="V482" s="824"/>
      <c r="W482" s="825"/>
      <c r="X482" s="826"/>
    </row>
    <row r="483" spans="2:24" ht="24" customHeight="1">
      <c r="B483" s="361" t="s">
        <v>80</v>
      </c>
      <c r="C483" s="382">
        <f>SUMIFS(Lending!$N$516:$N$670,Lending!$E$516:$E$670,"VDS",Lending!$L$516:$L$670,$B483)/10^9</f>
        <v>123.94</v>
      </c>
      <c r="D483" s="382">
        <f>SUMIFS(Lending!O$516:O$670,Lending!$E$516:$E$670,"VDS",Lending!$L$516:$L$670,$B$483)/10^9</f>
        <v>170.9725</v>
      </c>
      <c r="E483" s="382">
        <f>SUMIFS(Lending!P$516:P$670,Lending!$E$516:$E$670,"VDS",Lending!$L$516:$L$670,$B$483)/10^9</f>
        <v>141.375</v>
      </c>
      <c r="F483" s="382">
        <f>SUMIFS(Lending!Q$516:Q$670,Lending!$E$516:$E$670,"VDS",Lending!$L$516:$L$670,$B$483)/10^9</f>
        <v>133.48500000000001</v>
      </c>
      <c r="G483" s="382">
        <f>SUMIFS(Lending!R$516:R$670,Lending!$E$516:$E$670,"VDS",Lending!$L$516:$L$670,$B$483)/10^9</f>
        <v>158.8175</v>
      </c>
      <c r="H483" s="382">
        <f>SUMIFS(Lending!S$516:S$670,Lending!$E$516:$E$670,"VDS",Lending!$L$516:$L$670,$B$483)/10^9</f>
        <v>163.79782800000001</v>
      </c>
      <c r="I483" s="382">
        <f>SUMIFS(Lending!T$516:T$670,Lending!$E$516:$E$670,"VDS",Lending!$L$516:$L$670,$B$483)/10^9</f>
        <v>167.858172</v>
      </c>
      <c r="J483" s="382">
        <f>SUMIFS(Lending!U$516:U$670,Lending!$E$516:$E$670,"VDS",Lending!$L$516:$L$670,$B$483)/10^9</f>
        <v>164.60463200000001</v>
      </c>
      <c r="K483" s="382">
        <f>SUMIFS(Lending!V$516:V$670,Lending!$E$516:$E$670,"VDS",Lending!$L$516:$L$670,$B$483)/10^9</f>
        <v>181.99758</v>
      </c>
      <c r="L483" s="382">
        <f>SUMIFS(Lending!W$516:W$670,Lending!$E$516:$E$670,"VDS",Lending!$L$516:$L$670,$B$483)/10^9</f>
        <v>189.25458</v>
      </c>
      <c r="M483" s="382">
        <f>SUMIFS(Lending!X$516:X$670,Lending!$E$516:$E$670,"VDS",Lending!$L$516:$L$670,$B$483)/10^9</f>
        <v>270.72902800000003</v>
      </c>
      <c r="N483" s="382">
        <f>SUMIFS(Lending!Y$516:Y$670,Lending!$E$516:$E$670,"VDS",Lending!$L$516:$L$670,$B$483)/10^9</f>
        <v>323.12770799999998</v>
      </c>
      <c r="O483" s="382">
        <f>SUMIFS(Lending!Z$516:Z$670,Lending!$E$516:$E$670,"VDS",Lending!$L$516:$L$670,$B$483)/10^9</f>
        <v>291.06663200000003</v>
      </c>
      <c r="P483" s="382">
        <f>SUMIFS(Lending!AA$516:AA$670,Lending!$E$516:$E$670,"VDS",Lending!$L$516:$L$670,$B$483)/10^9</f>
        <v>305.530732</v>
      </c>
      <c r="Q483" s="382">
        <f>SUMIFS(Lending!$M$516:$M$670,Lending!$E$516:$E$670,"VDS",Lending!$L$516:$L$670,$B$483)/10^9</f>
        <v>2491.6443920000002</v>
      </c>
      <c r="R483" s="434"/>
      <c r="S483" s="434"/>
      <c r="T483" s="434"/>
    </row>
    <row r="484" spans="2:24" ht="21" customHeight="1">
      <c r="B484" s="361" t="s">
        <v>530</v>
      </c>
      <c r="C484" s="382">
        <f>SUMIFS(Lending!$N$516:$N$670,Lending!$E$516:$E$670,"VDS",Lending!$L$516:$L$670,$B$484)/10^9</f>
        <v>151.81805954999999</v>
      </c>
      <c r="D484" s="382">
        <f>SUMIFS(Lending!O$516:O$670,Lending!$E$516:$E$670,"VDS",Lending!$L$516:$L$670,$B$484)/10^9</f>
        <v>187.14167712099999</v>
      </c>
      <c r="E484" s="382">
        <f>SUMIFS(Lending!P$516:P$670,Lending!$E$516:$E$670,"VDS",Lending!$L$516:$L$670,$B$484)/10^9</f>
        <v>175.92065707099999</v>
      </c>
      <c r="F484" s="382">
        <f>SUMIFS(Lending!Q$516:Q$670,Lending!$E$516:$E$670,"VDS",Lending!$L$516:$L$670,$B$484)/10^9</f>
        <v>160.895056264</v>
      </c>
      <c r="G484" s="382">
        <f>SUMIFS(Lending!R$516:R$670,Lending!$E$516:$E$670,"VDS",Lending!$L$516:$L$670,$B$484)/10^9</f>
        <v>166.348729244</v>
      </c>
      <c r="H484" s="382">
        <f>SUMIFS(Lending!S$516:S$670,Lending!$E$516:$E$670,"VDS",Lending!$L$516:$L$670,$B$484)/10^9</f>
        <v>172.651980581</v>
      </c>
      <c r="I484" s="382">
        <f>SUMIFS(Lending!T$516:T$670,Lending!$E$516:$E$670,"VDS",Lending!$L$516:$L$670,$B$484)/10^9</f>
        <v>176.19666438600001</v>
      </c>
      <c r="J484" s="382">
        <f>SUMIFS(Lending!U$516:U$670,Lending!$E$516:$E$670,"VDS",Lending!$L$516:$L$670,$B$484)/10^9</f>
        <v>176.38213534100001</v>
      </c>
      <c r="K484" s="382">
        <f>SUMIFS(Lending!V$516:V$670,Lending!$E$516:$E$670,"VDS",Lending!$L$516:$L$670,$B$484)/10^9</f>
        <v>185.543415264</v>
      </c>
      <c r="L484" s="382">
        <f>SUMIFS(Lending!W$516:W$670,Lending!$E$516:$E$670,"VDS",Lending!$L$516:$L$670,$B$484)/10^9</f>
        <v>192.87751549000001</v>
      </c>
      <c r="M484" s="382">
        <f>SUMIFS(Lending!X$516:X$670,Lending!$E$516:$E$670,"VDS",Lending!$L$516:$L$670,$B$484)/10^9</f>
        <v>259.00419433600001</v>
      </c>
      <c r="N484" s="382">
        <f>SUMIFS(Lending!Y$516:Y$670,Lending!$E$516:$E$670,"VDS",Lending!$L$516:$L$670,$B$484)/10^9</f>
        <v>294.44620077000002</v>
      </c>
      <c r="O484" s="382">
        <f>SUMIFS(Lending!Z$516:Z$670,Lending!$E$516:$E$670,"VDS",Lending!$L$516:$L$670,$B$484)/10^9</f>
        <v>296.70968375299998</v>
      </c>
      <c r="P484" s="382">
        <f>SUMIFS(Lending!AA$516:AA$670,Lending!$E$516:$E$670,"VDS",Lending!$L$516:$L$670,$B$484)/10^9</f>
        <v>304.325195028</v>
      </c>
      <c r="Q484" s="382">
        <f>M484</f>
        <v>259.00419433600001</v>
      </c>
      <c r="R484" s="434"/>
      <c r="S484" s="434"/>
      <c r="T484" s="434"/>
    </row>
    <row r="485" spans="2:24" ht="15" customHeight="1">
      <c r="B485" s="409" t="s">
        <v>640</v>
      </c>
      <c r="C485" s="386">
        <f t="shared" ref="C485:Q485" si="363">C484-C486</f>
        <v>110.02461275399999</v>
      </c>
      <c r="D485" s="386">
        <f t="shared" si="363"/>
        <v>142.54754986099999</v>
      </c>
      <c r="E485" s="386">
        <f t="shared" si="363"/>
        <v>126.227446458</v>
      </c>
      <c r="F485" s="386">
        <f t="shared" si="363"/>
        <v>122.13809721200001</v>
      </c>
      <c r="G485" s="386">
        <f t="shared" si="363"/>
        <v>125.406929125</v>
      </c>
      <c r="H485" s="386">
        <f t="shared" si="363"/>
        <v>132.67148658299999</v>
      </c>
      <c r="I485" s="386">
        <f t="shared" si="363"/>
        <v>134.541769085</v>
      </c>
      <c r="J485" s="386">
        <f t="shared" si="363"/>
        <v>131.57881276700002</v>
      </c>
      <c r="K485" s="386">
        <f t="shared" si="363"/>
        <v>139.914099693</v>
      </c>
      <c r="L485" s="386">
        <f t="shared" si="363"/>
        <v>148.97021948900002</v>
      </c>
      <c r="M485" s="386">
        <f t="shared" si="363"/>
        <v>209.26878781300002</v>
      </c>
      <c r="N485" s="386">
        <f t="shared" si="363"/>
        <v>240.99070613700002</v>
      </c>
      <c r="O485" s="386">
        <f t="shared" si="363"/>
        <v>230.36396424499998</v>
      </c>
      <c r="P485" s="386">
        <f t="shared" si="363"/>
        <v>224.48195873999998</v>
      </c>
      <c r="Q485" s="386">
        <f t="shared" si="363"/>
        <v>209.26878781300002</v>
      </c>
      <c r="R485" s="490"/>
      <c r="S485" s="490"/>
      <c r="T485" s="490"/>
    </row>
    <row r="486" spans="2:24" ht="15" customHeight="1">
      <c r="B486" s="409" t="s">
        <v>617</v>
      </c>
      <c r="C486" s="386">
        <f>(Lending!N$527+Lending!N$566)/10^9</f>
        <v>41.793446795999998</v>
      </c>
      <c r="D486" s="386">
        <f>(Lending!O$527+Lending!O$566)/10^9</f>
        <v>44.59412726</v>
      </c>
      <c r="E486" s="386">
        <f>(Lending!P$527+Lending!P$566)/10^9</f>
        <v>49.693210612999998</v>
      </c>
      <c r="F486" s="386">
        <f>(Lending!Q$527+Lending!Q$566)/10^9</f>
        <v>38.756959051999999</v>
      </c>
      <c r="G486" s="386">
        <f>(Lending!R$527+Lending!R$566)/10^9</f>
        <v>40.941800119</v>
      </c>
      <c r="H486" s="386">
        <f>(Lending!S$527+Lending!S$566)/10^9</f>
        <v>39.980493998</v>
      </c>
      <c r="I486" s="386">
        <f>(Lending!T$527+Lending!T$566)/10^9</f>
        <v>41.654895301000003</v>
      </c>
      <c r="J486" s="386">
        <f>(Lending!U$527+Lending!U$566)/10^9</f>
        <v>44.803322573999999</v>
      </c>
      <c r="K486" s="386">
        <f>(Lending!V$527+Lending!V$566)/10^9</f>
        <v>45.629315570999999</v>
      </c>
      <c r="L486" s="386">
        <f>(Lending!W$527+Lending!W$566)/10^9</f>
        <v>43.907296000999999</v>
      </c>
      <c r="M486" s="386">
        <f>(Lending!X$527+Lending!X$566)/10^9</f>
        <v>49.735406523000002</v>
      </c>
      <c r="N486" s="386">
        <f>(Lending!Y$527+Lending!Y$566)/10^9</f>
        <v>53.455494633000001</v>
      </c>
      <c r="O486" s="386">
        <f>(Lending!Z$527+Lending!Z$566)/10^9</f>
        <v>66.345719508000002</v>
      </c>
      <c r="P486" s="386">
        <f>(Lending!AA$527+Lending!AA$566)/10^9</f>
        <v>79.843236288</v>
      </c>
      <c r="Q486" s="386">
        <f>M486</f>
        <v>49.735406523000002</v>
      </c>
      <c r="R486" s="490"/>
      <c r="S486" s="490"/>
      <c r="T486" s="490"/>
    </row>
    <row r="487" spans="2:24" ht="15" hidden="1" customHeight="1">
      <c r="B487" s="409" t="s">
        <v>690</v>
      </c>
      <c r="C487" s="386">
        <f>(Lending!N529+Lending!N568)/10^9</f>
        <v>14.429622517</v>
      </c>
      <c r="D487" s="386">
        <f>(Lending!O529+Lending!O568)/10^9</f>
        <v>15.02005454</v>
      </c>
      <c r="E487" s="386">
        <f>(Lending!P529+Lending!P568)/10^9</f>
        <v>18.726156008</v>
      </c>
      <c r="F487" s="386">
        <f>(Lending!Q529+Lending!Q568)/10^9</f>
        <v>20.673498922</v>
      </c>
      <c r="G487" s="386">
        <f>(Lending!R529+Lending!R568)/10^9</f>
        <v>20.583864460000001</v>
      </c>
      <c r="H487" s="386">
        <f>(Lending!S529+Lending!S568)/10^9</f>
        <v>17.855577321999998</v>
      </c>
      <c r="I487" s="386">
        <f>(Lending!T529+Lending!T568)/10^9</f>
        <v>17.020421714000001</v>
      </c>
      <c r="J487" s="386">
        <f>(Lending!U529+Lending!U568)/10^9</f>
        <v>19.326822875000001</v>
      </c>
      <c r="K487" s="386">
        <f>(Lending!V529+Lending!V568)/10^9</f>
        <v>19.127387239000001</v>
      </c>
      <c r="L487" s="386">
        <f>(Lending!W529+Lending!W568)/10^9</f>
        <v>20.413609065999999</v>
      </c>
      <c r="M487" s="386">
        <f>(Lending!X529+Lending!X568)/10^9</f>
        <v>26.159230106999999</v>
      </c>
      <c r="N487" s="386">
        <f>(Lending!Y529+Lending!Y568)/10^9</f>
        <v>32.945201410999999</v>
      </c>
      <c r="O487" s="386">
        <f>(Lending!Z529+Lending!Z568)/10^9</f>
        <v>46.507879531</v>
      </c>
      <c r="P487" s="386">
        <f>(Lending!AA529+Lending!AA568)/10^9</f>
        <v>56.516249504000001</v>
      </c>
      <c r="Q487" s="386">
        <f>M487</f>
        <v>26.159230106999999</v>
      </c>
      <c r="R487" s="490"/>
      <c r="S487" s="490"/>
      <c r="T487" s="490"/>
    </row>
    <row r="488" spans="2:24" ht="15" customHeight="1">
      <c r="B488" s="361" t="s">
        <v>217</v>
      </c>
      <c r="C488" s="383">
        <f>C489+C490+C491</f>
        <v>13.104638620000001</v>
      </c>
      <c r="D488" s="383">
        <f t="shared" ref="D488:P488" si="364">D489+D490+D491</f>
        <v>17.526541083205387</v>
      </c>
      <c r="E488" s="383">
        <f t="shared" si="364"/>
        <v>15.524875821</v>
      </c>
      <c r="F488" s="383">
        <f t="shared" si="364"/>
        <v>14.035501479000001</v>
      </c>
      <c r="G488" s="383">
        <f t="shared" si="364"/>
        <v>16.68250319184175</v>
      </c>
      <c r="H488" s="383">
        <f t="shared" si="364"/>
        <v>16.120454666000001</v>
      </c>
      <c r="I488" s="383">
        <f t="shared" si="364"/>
        <v>16.563785160000002</v>
      </c>
      <c r="J488" s="383">
        <f t="shared" si="364"/>
        <v>16.334634848</v>
      </c>
      <c r="K488" s="383">
        <f t="shared" si="364"/>
        <v>17.534350296000003</v>
      </c>
      <c r="L488" s="383">
        <f t="shared" si="364"/>
        <v>18.107309137999998</v>
      </c>
      <c r="M488" s="383">
        <f t="shared" si="364"/>
        <v>24.396617594999999</v>
      </c>
      <c r="N488" s="383">
        <f t="shared" si="364"/>
        <v>30.031828133999998</v>
      </c>
      <c r="O488" s="383">
        <f t="shared" si="364"/>
        <v>27.778141046999998</v>
      </c>
      <c r="P488" s="383">
        <f t="shared" si="364"/>
        <v>28.731832274999999</v>
      </c>
      <c r="Q488" s="383">
        <f>Q489+Q490+Q491</f>
        <v>241.84183365084175</v>
      </c>
      <c r="R488" s="383"/>
      <c r="S488" s="383"/>
      <c r="T488" s="383"/>
    </row>
    <row r="489" spans="2:24" ht="15" customHeight="1">
      <c r="B489" s="409" t="s">
        <v>218</v>
      </c>
      <c r="C489" s="386">
        <f>SUMIFS(Lending!N$516:N$670,Lending!$E$516:$E$670,"VDS",Lending!$L$516:$L$670,$B$489)/10^9</f>
        <v>4.6593681059999996</v>
      </c>
      <c r="D489" s="386">
        <f>SUMIFS(Lending!O$516:O$670,Lending!$E$516:$E$670,"VDS",Lending!$L$516:$L$670,$B$489)/10^9</f>
        <v>5.8330256140000003</v>
      </c>
      <c r="E489" s="386">
        <f>SUMIFS(Lending!P$516:P$670,Lending!$E$516:$E$670,"VDS",Lending!$L$516:$L$670,$B$489)/10^9</f>
        <v>5.8558103910000003</v>
      </c>
      <c r="F489" s="386">
        <f>SUMIFS(Lending!Q$516:Q$670,Lending!$E$516:$E$670,"VDS",Lending!$L$516:$L$670,$B$489)/10^9</f>
        <v>4.8388102880000003</v>
      </c>
      <c r="G489" s="386">
        <f>SUMIFS(Lending!R$516:R$670,Lending!$E$516:$E$670,"VDS",Lending!$L$516:$L$670,$B$489)/10^9</f>
        <v>5.5610900358417519</v>
      </c>
      <c r="H489" s="386">
        <f>SUMIFS(Lending!S$516:S$670,Lending!$E$516:$E$670,"VDS",Lending!$L$516:$L$670,$B$489)/10^9</f>
        <v>5.5548449900000003</v>
      </c>
      <c r="I489" s="386">
        <f>SUMIFS(Lending!T$516:T$670,Lending!$E$516:$E$670,"VDS",Lending!$L$516:$L$670,$B$489)/10^9</f>
        <v>5.7423654559999999</v>
      </c>
      <c r="J489" s="386">
        <f>SUMIFS(Lending!U$516:U$670,Lending!$E$516:$E$670,"VDS",Lending!$L$516:$L$670,$B$489)/10^9</f>
        <v>5.6862507070000001</v>
      </c>
      <c r="K489" s="386">
        <f>SUMIFS(Lending!V$516:V$670,Lending!$E$516:$E$670,"VDS",Lending!$L$516:$L$670,$B$489)/10^9</f>
        <v>5.9737739100000002</v>
      </c>
      <c r="L489" s="386">
        <f>SUMIFS(Lending!W$516:W$670,Lending!$E$516:$E$670,"VDS",Lending!$L$516:$L$670,$B$489)/10^9</f>
        <v>6.1187088599999999</v>
      </c>
      <c r="M489" s="386">
        <f>SUMIFS(Lending!X$516:X$670,Lending!$E$516:$E$670,"VDS",Lending!$L$516:$L$670,$B$489)/10^9</f>
        <v>7.3710431209999996</v>
      </c>
      <c r="N489" s="386">
        <f>SUMIFS(Lending!Y$516:Y$670,Lending!$E$516:$E$670,"VDS",Lending!$L$516:$L$670,$B$489)/10^9</f>
        <v>9.5954297589999999</v>
      </c>
      <c r="O489" s="386">
        <f>SUMIFS(Lending!Z$516:Z$670,Lending!$E$516:$E$670,"VDS",Lending!$L$516:$L$670,$B$489)/10^9</f>
        <v>9.0791440849999994</v>
      </c>
      <c r="P489" s="386">
        <f>SUMIFS(Lending!AA$516:AA$670,Lending!$E$516:$E$670,"VDS",Lending!$L$516:$L$670,$B$489)/10^9</f>
        <v>9.1859776610000008</v>
      </c>
      <c r="Q489" s="386">
        <f>SUMIFS(Lending!$M$516:$M$670,Lending!$E$516:$E$670,"VDS",Lending!$L$516:$L$670,$B$489)/10^9</f>
        <v>80.563249263841755</v>
      </c>
      <c r="R489" s="391"/>
      <c r="S489" s="391"/>
      <c r="T489" s="391"/>
    </row>
    <row r="490" spans="2:24" ht="15" customHeight="1">
      <c r="B490" s="409" t="s">
        <v>220</v>
      </c>
      <c r="C490" s="386">
        <f>SUMIFS(Lending!N$516:N$670,Lending!$E$516:$E$670,"VDS",Lending!$L$516:$L$670,$B$490)/10^9</f>
        <v>8.4274934380000008</v>
      </c>
      <c r="D490" s="386">
        <f>SUMIFS(Lending!O$516:O$670,Lending!$E$516:$E$670,"VDS",Lending!$L$516:$L$670,$B$490)/10^9</f>
        <v>11.663739212205387</v>
      </c>
      <c r="E490" s="386">
        <f>SUMIFS(Lending!P$516:P$670,Lending!$E$516:$E$670,"VDS",Lending!$L$516:$L$670,$B$490)/10^9</f>
        <v>9.6500770770000006</v>
      </c>
      <c r="F490" s="386">
        <f>SUMIFS(Lending!Q$516:Q$670,Lending!$E$516:$E$670,"VDS",Lending!$L$516:$L$670,$B$490)/10^9</f>
        <v>9.0920469799999992</v>
      </c>
      <c r="G490" s="386">
        <f>SUMIFS(Lending!R$516:R$670,Lending!$E$516:$E$670,"VDS",Lending!$L$516:$L$670,$B$490)/10^9</f>
        <v>10.797132761</v>
      </c>
      <c r="H490" s="386">
        <f>SUMIFS(Lending!S$516:S$670,Lending!$E$516:$E$670,"VDS",Lending!$L$516:$L$670,$B$490)/10^9</f>
        <v>10.34971717</v>
      </c>
      <c r="I490" s="386">
        <f>SUMIFS(Lending!T$516:T$670,Lending!$E$516:$E$670,"VDS",Lending!$L$516:$L$670,$B$490)/10^9</f>
        <v>10.613550423</v>
      </c>
      <c r="J490" s="386">
        <f>SUMIFS(Lending!U$516:U$670,Lending!$E$516:$E$670,"VDS",Lending!$L$516:$L$670,$B$490)/10^9</f>
        <v>10.421053028999999</v>
      </c>
      <c r="K490" s="386">
        <f>SUMIFS(Lending!V$516:V$670,Lending!$E$516:$E$670,"VDS",Lending!$L$516:$L$670,$B$490)/10^9</f>
        <v>11.229130547</v>
      </c>
      <c r="L490" s="386">
        <f>SUMIFS(Lending!W$516:W$670,Lending!$E$516:$E$670,"VDS",Lending!$L$516:$L$670,$B$490)/10^9</f>
        <v>11.669876455000001</v>
      </c>
      <c r="M490" s="386">
        <f>SUMIFS(Lending!X$516:X$670,Lending!$E$516:$E$670,"VDS",Lending!$L$516:$L$670,$B$490)/10^9</f>
        <v>16.707766689</v>
      </c>
      <c r="N490" s="386">
        <f>SUMIFS(Lending!Y$516:Y$670,Lending!$E$516:$E$670,"VDS",Lending!$L$516:$L$670,$B$490)/10^9</f>
        <v>20.033783333999999</v>
      </c>
      <c r="O490" s="386">
        <f>SUMIFS(Lending!Z$516:Z$670,Lending!$E$516:$E$670,"VDS",Lending!$L$516:$L$670,$B$490)/10^9</f>
        <v>18.224460801999999</v>
      </c>
      <c r="P490" s="386">
        <f>SUMIFS(Lending!AA$516:AA$670,Lending!$E$516:$E$670,"VDS",Lending!$L$516:$L$670,$B$490)/10^9</f>
        <v>19.132798679</v>
      </c>
      <c r="Q490" s="386">
        <f>SUMIFS(Lending!$M$516:$M$670,Lending!$E$516:$E$670,"VDS",Lending!$L$516:$L$670,$B$490)/10^9</f>
        <v>157.92139394599999</v>
      </c>
      <c r="R490" s="391"/>
      <c r="S490" s="391"/>
      <c r="T490" s="391"/>
    </row>
    <row r="491" spans="2:24" ht="15" customHeight="1">
      <c r="B491" s="409" t="s">
        <v>89</v>
      </c>
      <c r="C491" s="386">
        <f>SUMIFS(Lending!$N$516:$N$670,Lending!$E$516:$E$670,"VDS",Lending!$L$516:$L$670,$B$491)/10^9</f>
        <v>1.7777075999999999E-2</v>
      </c>
      <c r="D491" s="386">
        <f>SUMIFS(Lending!O$516:O$670,Lending!$E$516:$E$670,"VDS",Lending!$L$516:$L$670,$B$491)/10^9</f>
        <v>2.9776257E-2</v>
      </c>
      <c r="E491" s="386">
        <f>SUMIFS(Lending!P$516:P$670,Lending!$E$516:$E$670,"VDS",Lending!$L$516:$L$670,$B$491)/10^9</f>
        <v>1.8988352999999999E-2</v>
      </c>
      <c r="F491" s="386">
        <f>SUMIFS(Lending!Q$516:Q$670,Lending!$E$516:$E$670,"VDS",Lending!$L$516:$L$670,$B$491)/10^9</f>
        <v>0.104644211</v>
      </c>
      <c r="G491" s="386">
        <f>SUMIFS(Lending!R$516:R$670,Lending!$E$516:$E$670,"VDS",Lending!$L$516:$L$670,$B$491)/10^9</f>
        <v>0.324280395</v>
      </c>
      <c r="H491" s="386">
        <f>SUMIFS(Lending!S$516:S$670,Lending!$E$516:$E$670,"VDS",Lending!$L$516:$L$670,$B$491)/10^9</f>
        <v>0.21589250600000001</v>
      </c>
      <c r="I491" s="386">
        <f>SUMIFS(Lending!T$516:T$670,Lending!$E$516:$E$670,"VDS",Lending!$L$516:$L$670,$B$491)/10^9</f>
        <v>0.20786928099999999</v>
      </c>
      <c r="J491" s="386">
        <f>SUMIFS(Lending!U$516:U$670,Lending!$E$516:$E$670,"VDS",Lending!$L$516:$L$670,$B$491)/10^9</f>
        <v>0.227331112</v>
      </c>
      <c r="K491" s="386">
        <f>SUMIFS(Lending!V$516:V$670,Lending!$E$516:$E$670,"VDS",Lending!$L$516:$L$670,$B$491)/10^9</f>
        <v>0.33144583900000002</v>
      </c>
      <c r="L491" s="386">
        <f>SUMIFS(Lending!W$516:W$670,Lending!$E$516:$E$670,"VDS",Lending!$L$516:$L$670,$B$491)/10^9</f>
        <v>0.31872382300000002</v>
      </c>
      <c r="M491" s="386">
        <f>SUMIFS(Lending!X$516:X$670,Lending!$E$516:$E$670,"VDS",Lending!$L$516:$L$670,$B$491)/10^9</f>
        <v>0.31780778500000001</v>
      </c>
      <c r="N491" s="386">
        <f>SUMIFS(Lending!Y$516:Y$670,Lending!$E$516:$E$670,"VDS",Lending!$L$516:$L$670,$B$491)/10^9</f>
        <v>0.40261504100000001</v>
      </c>
      <c r="O491" s="386">
        <f>SUMIFS(Lending!Z$516:Z$670,Lending!$E$516:$E$670,"VDS",Lending!$L$516:$L$670,$B$491)/10^9</f>
        <v>0.47453615999999998</v>
      </c>
      <c r="P491" s="386">
        <f>SUMIFS(Lending!AA$516:AA$670,Lending!$E$516:$E$670,"VDS",Lending!$L$516:$L$670,$B$491)/10^9</f>
        <v>0.41305593499999999</v>
      </c>
      <c r="Q491" s="386">
        <f>SUMIFS(Lending!$M$516:$M$670,Lending!$E$516:$E$670,"VDS",Lending!$L$516:$L$670,$B$491)/10^9</f>
        <v>3.3571904410000002</v>
      </c>
      <c r="R491" s="391"/>
      <c r="S491" s="391"/>
      <c r="T491" s="391"/>
    </row>
    <row r="492" spans="2:24" s="1324" customFormat="1" ht="15" customHeight="1">
      <c r="B492" s="361" t="s">
        <v>699</v>
      </c>
      <c r="C492" s="382">
        <f>SUMIFS(Lending!N$516:N$670,Lending!$E$516:$E$670,"VDS",Lending!$L$516:$L$670,$B$492)/10^9</f>
        <v>2.7761465699999999</v>
      </c>
      <c r="D492" s="382">
        <f>SUMIFS(Lending!O$516:O$670,Lending!$E$516:$E$670,"VDS",Lending!$L$516:$L$670,$B$492)/10^9</f>
        <v>3.9873279469999998</v>
      </c>
      <c r="E492" s="382">
        <f>SUMIFS(Lending!P$516:P$670,Lending!$E$516:$E$670,"VDS",Lending!$L$516:$L$670,$B$492)/10^9</f>
        <v>10.026816787</v>
      </c>
      <c r="F492" s="382">
        <f>SUMIFS(Lending!Q$516:Q$670,Lending!$E$516:$E$670,"VDS",Lending!$L$516:$L$670,$B$492)/10^9</f>
        <v>4.036297706</v>
      </c>
      <c r="G492" s="382">
        <f>SUMIFS(Lending!R$516:R$670,Lending!$E$516:$E$670,"VDS",Lending!$L$516:$L$670,$B$492)/10^9</f>
        <v>4.9211262769999999</v>
      </c>
      <c r="H492" s="382">
        <f>SUMIFS(Lending!S$516:S$670,Lending!$E$516:$E$670,"VDS",Lending!$L$516:$L$670,$B$492)/10^9</f>
        <v>4.1106846819999996</v>
      </c>
      <c r="I492" s="382">
        <f>SUMIFS(Lending!T$516:T$670,Lending!$E$516:$E$670,"VDS",Lending!$L$516:$L$670,$B$492)/10^9</f>
        <v>5.02691716</v>
      </c>
      <c r="J492" s="382">
        <f>SUMIFS(Lending!U$516:U$670,Lending!$E$516:$E$670,"VDS",Lending!$L$516:$L$670,$B$492)/10^9</f>
        <v>5.3990658979999999</v>
      </c>
      <c r="K492" s="382">
        <f>SUMIFS(Lending!V$516:V$670,Lending!$E$516:$E$670,"VDS",Lending!$L$516:$L$670,$B$492)/10^9</f>
        <v>6.4097877600000004</v>
      </c>
      <c r="L492" s="382">
        <f>SUMIFS(Lending!W$516:W$670,Lending!$E$516:$E$670,"VDS",Lending!$L$516:$L$670,$B$492)/10^9</f>
        <v>6.838302015</v>
      </c>
      <c r="M492" s="382">
        <f>SUMIFS(Lending!X$516:X$670,Lending!$E$516:$E$670,"VDS",Lending!$L$516:$L$670,$B$492)/10^9</f>
        <v>8.7431251339999996</v>
      </c>
      <c r="N492" s="382">
        <f>SUMIFS(Lending!Y$516:Y$670,Lending!$E$516:$E$670,"VDS",Lending!$L$516:$L$670,$B$492)/10^9</f>
        <v>8.4819771789999994</v>
      </c>
      <c r="O492" s="382">
        <f>SUMIFS(Lending!Z$516:Z$670,Lending!$E$516:$E$670,"VDS",Lending!$L$516:$L$670,$B$492)/10^9</f>
        <v>8.9942615480000008</v>
      </c>
      <c r="P492" s="382">
        <f>SUMIFS(Lending!AA$516:AA$670,Lending!$E$516:$E$670,"VDS",Lending!$L$516:$L$670,$B$492)/10^9</f>
        <v>10.858937738</v>
      </c>
      <c r="Q492" s="382">
        <f>SUMIFS(Lending!$M516:$M670,Lending!$E$516:$E$670,"VDS",Lending!$L$516:$L$670,$B$492)/10^9</f>
        <v>83.847299883999995</v>
      </c>
      <c r="R492" s="383"/>
      <c r="S492" s="383"/>
      <c r="T492" s="383"/>
    </row>
    <row r="493" spans="2:24" ht="15" customHeight="1">
      <c r="B493" s="361" t="s">
        <v>84</v>
      </c>
      <c r="C493" s="383">
        <f>SUM(C494:C501)</f>
        <v>4.6456454501140128</v>
      </c>
      <c r="D493" s="383">
        <f t="shared" ref="D493:P493" si="365">SUM(D494:D501)</f>
        <v>5.6302104020565418</v>
      </c>
      <c r="E493" s="383">
        <f t="shared" si="365"/>
        <v>6.3920009325567726</v>
      </c>
      <c r="F493" s="383">
        <f t="shared" si="365"/>
        <v>5.8571501314943557</v>
      </c>
      <c r="G493" s="383">
        <f t="shared" si="365"/>
        <v>6.0570811602405623</v>
      </c>
      <c r="H493" s="383">
        <f t="shared" si="365"/>
        <v>4.5243285664577115</v>
      </c>
      <c r="I493" s="383">
        <f t="shared" si="365"/>
        <v>5.1140941695480819</v>
      </c>
      <c r="J493" s="383">
        <f t="shared" si="365"/>
        <v>5.445682463231595</v>
      </c>
      <c r="K493" s="383">
        <f t="shared" si="365"/>
        <v>6.16025416676018</v>
      </c>
      <c r="L493" s="383">
        <f t="shared" si="365"/>
        <v>6.2175202764497728</v>
      </c>
      <c r="M493" s="383">
        <f t="shared" si="365"/>
        <v>8.6438795143056115</v>
      </c>
      <c r="N493" s="383">
        <f t="shared" si="365"/>
        <v>11.57405238627716</v>
      </c>
      <c r="O493" s="383">
        <f t="shared" si="365"/>
        <v>10.426496224493198</v>
      </c>
      <c r="P493" s="383">
        <f t="shared" si="365"/>
        <v>0</v>
      </c>
      <c r="Q493" s="383">
        <f>SUM(Q494:Q501)</f>
        <v>86.617212680759891</v>
      </c>
      <c r="R493" s="383"/>
      <c r="S493" s="383"/>
      <c r="T493" s="383"/>
    </row>
    <row r="494" spans="2:24" ht="15" customHeight="1">
      <c r="B494" s="409" t="s">
        <v>230</v>
      </c>
      <c r="C494" s="386">
        <f>SUMIFS(Lending!N$516:N$670,Lending!$E$516:$E$670,"VDS",Lending!$L$516:$L$670,$B$494)/10^9</f>
        <v>0</v>
      </c>
      <c r="D494" s="386">
        <f>SUMIFS(Lending!O$516:O$670,Lending!$E$516:$E$670,"VDS",Lending!$L$516:$L$670,$B$494)/10^9</f>
        <v>0</v>
      </c>
      <c r="E494" s="386">
        <f>SUMIFS(Lending!P$516:P$670,Lending!$E$516:$E$670,"VDS",Lending!$L$516:$L$670,$B$494)/10^9</f>
        <v>0</v>
      </c>
      <c r="F494" s="386">
        <f>SUMIFS(Lending!Q$516:Q$670,Lending!$E$516:$E$670,"VDS",Lending!$L$516:$L$670,$B$494)/10^9</f>
        <v>0</v>
      </c>
      <c r="G494" s="386">
        <f>SUMIFS(Lending!R$516:R$670,Lending!$E$516:$E$670,"VDS",Lending!$L$516:$L$670,$B$494)/10^9</f>
        <v>0</v>
      </c>
      <c r="H494" s="386">
        <f>SUMIFS(Lending!S$516:S$670,Lending!$E$516:$E$670,"VDS",Lending!$L$516:$L$670,$B$494)/10^9</f>
        <v>0</v>
      </c>
      <c r="I494" s="386">
        <f>SUMIFS(Lending!T$516:T$670,Lending!$E$516:$E$670,"VDS",Lending!$L$516:$L$670,$B$494)/10^9</f>
        <v>0</v>
      </c>
      <c r="J494" s="386">
        <f>SUMIFS(Lending!U$516:U$670,Lending!$E$516:$E$670,"VDS",Lending!$L$516:$L$670,$B$494)/10^9</f>
        <v>0</v>
      </c>
      <c r="K494" s="386">
        <f>SUMIFS(Lending!V$516:V$670,Lending!$E$516:$E$670,"VDS",Lending!$L$516:$L$670,$B$494)/10^9</f>
        <v>0</v>
      </c>
      <c r="L494" s="386">
        <f>SUMIFS(Lending!W$516:W$670,Lending!$E$516:$E$670,"VDS",Lending!$L$516:$L$670,$B$494)/10^9</f>
        <v>0</v>
      </c>
      <c r="M494" s="386">
        <f>SUMIFS(Lending!X$516:X$670,Lending!$E$516:$E$670,"VDS",Lending!$L$516:$L$670,$B$494)/10^9</f>
        <v>0</v>
      </c>
      <c r="N494" s="386">
        <f>SUMIFS(Lending!Y$516:Y$670,Lending!$E$516:$E$670,"VDS",Lending!$L$516:$L$670,$B$494)/10^9</f>
        <v>0</v>
      </c>
      <c r="O494" s="386">
        <f>SUMIFS(Lending!Z$516:Z$670,Lending!$E$516:$E$670,"VDS",Lending!$L$516:$L$670,$B$494)/10^9</f>
        <v>0</v>
      </c>
      <c r="P494" s="386">
        <f>SUMIFS(Lending!AA$516:AA$670,Lending!$E$516:$E$670,"VDS",Lending!$L$516:$L$670,$B$494)/10^9</f>
        <v>0</v>
      </c>
      <c r="Q494" s="386">
        <f>SUMIFS(Lending!$M$516:$M$670,Lending!$E$516:$E$670,"VDS",Lending!$L$516:$L$670,$B494)/10^9</f>
        <v>0</v>
      </c>
      <c r="R494" s="383"/>
      <c r="S494" s="383"/>
      <c r="T494" s="383"/>
    </row>
    <row r="495" spans="2:24" ht="15" customHeight="1">
      <c r="B495" s="409" t="s">
        <v>231</v>
      </c>
      <c r="C495" s="386">
        <f>SUMIFS(Lending!N$516:N$670,Lending!$E$516:$E$670,"VDS",Lending!$L$516:$L$670,$B$495)/10^9</f>
        <v>4.1337958090000004</v>
      </c>
      <c r="D495" s="386">
        <f>SUMIFS(Lending!O$516:O$670,Lending!$E$516:$E$670,"VDS",Lending!$L$516:$L$670,$B$495)/10^9</f>
        <v>4.8391450730000001</v>
      </c>
      <c r="E495" s="386">
        <f>SUMIFS(Lending!P$516:P$670,Lending!$E$516:$E$670,"VDS",Lending!$L$516:$L$670,$B$495)/10^9</f>
        <v>5.6135973349999997</v>
      </c>
      <c r="F495" s="386">
        <f>SUMIFS(Lending!Q$516:Q$670,Lending!$E$516:$E$670,"VDS",Lending!$L$516:$L$670,$B$495)/10^9</f>
        <v>5.0908928199999997</v>
      </c>
      <c r="G495" s="386">
        <f>SUMIFS(Lending!R$516:R$670,Lending!$E$516:$E$670,"VDS",Lending!$L$516:$L$670,$B$495)/10^9</f>
        <v>5.4819078369999996</v>
      </c>
      <c r="H495" s="386">
        <f>SUMIFS(Lending!S$516:S$670,Lending!$E$516:$E$670,"VDS",Lending!$L$516:$L$670,$B$495)/10^9</f>
        <v>3.923265598</v>
      </c>
      <c r="I495" s="386">
        <f>SUMIFS(Lending!T$516:T$670,Lending!$E$516:$E$670,"VDS",Lending!$L$516:$L$670,$B$495)/10^9</f>
        <v>4.5646286680000001</v>
      </c>
      <c r="J495" s="386">
        <f>SUMIFS(Lending!U$516:U$670,Lending!$E$516:$E$670,"VDS",Lending!$L$516:$L$670,$B$495)/10^9</f>
        <v>5.0179282369999996</v>
      </c>
      <c r="K495" s="386">
        <f>SUMIFS(Lending!V$516:V$670,Lending!$E$516:$E$670,"VDS",Lending!$L$516:$L$670,$B$495)/10^9</f>
        <v>5.5195658099999996</v>
      </c>
      <c r="L495" s="386">
        <f>SUMIFS(Lending!W$516:W$670,Lending!$E$516:$E$670,"VDS",Lending!$L$516:$L$670,$B$495)/10^9</f>
        <v>5.5787037079999999</v>
      </c>
      <c r="M495" s="386">
        <f>SUMIFS(Lending!X$516:X$670,Lending!$E$516:$E$670,"VDS",Lending!$L$516:$L$670,$B$495)/10^9</f>
        <v>7.8995799030000002</v>
      </c>
      <c r="N495" s="386">
        <f>SUMIFS(Lending!Y$516:Y$670,Lending!$E$516:$E$670,"VDS",Lending!$L$516:$L$670,$B$495)/10^9</f>
        <v>10.678943392000001</v>
      </c>
      <c r="O495" s="386">
        <f>SUMIFS(Lending!Z$516:Z$670,Lending!$E$516:$E$670,"VDS",Lending!$L$516:$L$670,$B$495)/10^9</f>
        <v>9.5672343840000007</v>
      </c>
      <c r="P495" s="386">
        <f>SUMIFS(Lending!AA$516:AA$670,Lending!$E$516:$E$670,"VDS",Lending!$L$516:$L$670,$B$494)/10^9</f>
        <v>0</v>
      </c>
      <c r="Q495" s="386">
        <f>SUMIFS(Lending!$M$516:$M$670,Lending!$E$516:$E$670,"VDS",Lending!$L$516:$L$670,$B495)/10^9</f>
        <v>78.146024381999993</v>
      </c>
      <c r="R495" s="383"/>
      <c r="S495" s="383"/>
      <c r="T495" s="383"/>
    </row>
    <row r="496" spans="2:24" ht="15" customHeight="1">
      <c r="B496" s="409" t="s">
        <v>232</v>
      </c>
      <c r="C496" s="386">
        <f>SUMIFS(Lending!N$516:N$670,Lending!$E$516:$E$670,"VDS",Lending!$L$516:$L$670,$B$496)/10^9</f>
        <v>0.24896722700000001</v>
      </c>
      <c r="D496" s="386">
        <f>SUMIFS(Lending!O$516:O$670,Lending!$E$516:$E$670,"VDS",Lending!$L$516:$L$670,$B$496)/10^9</f>
        <v>0.44547279600000006</v>
      </c>
      <c r="E496" s="386">
        <f>SUMIFS(Lending!P$516:P$670,Lending!$E$516:$E$670,"VDS",Lending!$L$516:$L$670,$B$496)/10^9</f>
        <v>0.294708631</v>
      </c>
      <c r="F496" s="386">
        <f>SUMIFS(Lending!Q$516:Q$670,Lending!$E$516:$E$670,"VDS",Lending!$L$516:$L$670,$B$496)/10^9</f>
        <v>0.241456911</v>
      </c>
      <c r="G496" s="386">
        <f>SUMIFS(Lending!R$516:R$670,Lending!$E$516:$E$670,"VDS",Lending!$L$516:$L$670,$B$496)/10^9</f>
        <v>0.27443088999999998</v>
      </c>
      <c r="H496" s="386">
        <f>SUMIFS(Lending!S$516:S$670,Lending!$E$516:$E$670,"VDS",Lending!$L$516:$L$670,$B$496)/10^9</f>
        <v>0.25677810700000003</v>
      </c>
      <c r="I496" s="386">
        <f>SUMIFS(Lending!T$516:T$670,Lending!$E$516:$E$670,"VDS",Lending!$L$516:$L$670,$B$496)/10^9</f>
        <v>0.23072639</v>
      </c>
      <c r="J496" s="386">
        <f>SUMIFS(Lending!U$516:U$670,Lending!$E$516:$E$670,"VDS",Lending!$L$516:$L$670,$B$496)/10^9</f>
        <v>0.26131896700000001</v>
      </c>
      <c r="K496" s="386">
        <f>SUMIFS(Lending!V$516:V$670,Lending!$E$516:$E$670,"VDS",Lending!$L$516:$L$670,$B$496)/10^9</f>
        <v>0.43592037055144262</v>
      </c>
      <c r="L496" s="386">
        <f>SUMIFS(Lending!W$516:W$670,Lending!$E$516:$E$670,"VDS",Lending!$L$516:$L$670,$B$496)/10^9</f>
        <v>0.48668554198475272</v>
      </c>
      <c r="M496" s="386">
        <f>SUMIFS(Lending!X$516:X$670,Lending!$E$516:$E$670,"VDS",Lending!$L$516:$L$670,$B$496)/10^9</f>
        <v>0.57623460499471713</v>
      </c>
      <c r="N496" s="386">
        <f>SUMIFS(Lending!Y$516:Y$670,Lending!$E$516:$E$670,"VDS",Lending!$L$516:$L$670,$B$496)/10^9</f>
        <v>0.59188557208360459</v>
      </c>
      <c r="O496" s="386">
        <f>SUMIFS(Lending!Z$516:Z$670,Lending!$E$516:$E$670,"VDS",Lending!$L$516:$L$670,$B$496)/10^9</f>
        <v>0.52115330751114231</v>
      </c>
      <c r="P496" s="386">
        <f>SUMIFS(Lending!AA$516:AA$670,Lending!$E$516:$E$670,"VDS",Lending!$L$516:$L$670,$B$494)/10^9</f>
        <v>0</v>
      </c>
      <c r="Q496" s="386">
        <f>SUMIFS(Lending!$M$516:$M$670,Lending!$E$516:$E$670,"VDS",Lending!$L$516:$L$670,$B496)/10^9</f>
        <v>4.8424730600534067</v>
      </c>
      <c r="R496" s="383"/>
      <c r="S496" s="383"/>
      <c r="T496" s="383"/>
    </row>
    <row r="497" spans="2:24" ht="15" customHeight="1">
      <c r="B497" s="409" t="s">
        <v>233</v>
      </c>
      <c r="C497" s="386">
        <f>SUMIFS(Lending!N$516:N$670,Lending!$E$516:$E$670,"VDS",Lending!$L$516:$L$670,$B$497)/10^9</f>
        <v>2.6277707000000001E-2</v>
      </c>
      <c r="D497" s="386">
        <f>SUMIFS(Lending!O$516:O$670,Lending!$E$516:$E$670,"VDS",Lending!$L$516:$L$670,$B$497)/10^9</f>
        <v>3.6646593999999998E-2</v>
      </c>
      <c r="E497" s="386">
        <f>SUMIFS(Lending!P$516:P$670,Lending!$E$516:$E$670,"VDS",Lending!$L$516:$L$670,$B$497)/10^9</f>
        <v>2.9923064999999999E-2</v>
      </c>
      <c r="F497" s="386">
        <f>SUMIFS(Lending!Q$516:Q$670,Lending!$E$516:$E$670,"VDS",Lending!$L$516:$L$670,$B$497)/10^9</f>
        <v>2.821893E-2</v>
      </c>
      <c r="G497" s="386">
        <f>SUMIFS(Lending!R$516:R$670,Lending!$E$516:$E$670,"VDS",Lending!$L$516:$L$670,$B$497)/10^9</f>
        <v>3.3706488999999999E-2</v>
      </c>
      <c r="H497" s="386">
        <f>SUMIFS(Lending!S$516:S$670,Lending!$E$516:$E$670,"VDS",Lending!$L$516:$L$670,$B$497)/10^9</f>
        <v>8.4853828000000006E-2</v>
      </c>
      <c r="I497" s="386">
        <f>SUMIFS(Lending!T$516:T$670,Lending!$E$516:$E$670,"VDS",Lending!$L$516:$L$670,$B$497)/10^9</f>
        <v>3.2273105000000003E-2</v>
      </c>
      <c r="J497" s="386">
        <f>SUMIFS(Lending!U$516:U$670,Lending!$E$516:$E$670,"VDS",Lending!$L$516:$L$670,$B$497)/10^9</f>
        <v>3.0953739000000001E-2</v>
      </c>
      <c r="K497" s="386">
        <f>SUMIFS(Lending!V$516:V$670,Lending!$E$516:$E$670,"VDS",Lending!$L$516:$L$670,$B$497)/10^9</f>
        <v>3.2981249999999997E-2</v>
      </c>
      <c r="L497" s="386">
        <f>SUMIFS(Lending!W$516:W$670,Lending!$E$516:$E$670,"VDS",Lending!$L$516:$L$670,$B$497)/10^9</f>
        <v>3.3429294999999998E-2</v>
      </c>
      <c r="M497" s="386">
        <f>SUMIFS(Lending!X$516:X$670,Lending!$E$516:$E$670,"VDS",Lending!$L$516:$L$670,$B$497)/10^9</f>
        <v>4.8459989000000002E-2</v>
      </c>
      <c r="N497" s="386">
        <f>SUMIFS(Lending!Y$516:Y$670,Lending!$E$516:$E$670,"VDS",Lending!$L$516:$L$670,$B$497)/10^9</f>
        <v>5.4823378999999998E-2</v>
      </c>
      <c r="O497" s="386">
        <f>SUMIFS(Lending!Z$516:Z$670,Lending!$E$516:$E$670,"VDS",Lending!$L$516:$L$670,$B$497)/10^9</f>
        <v>4.8359332999999997E-2</v>
      </c>
      <c r="P497" s="386">
        <f>SUMIFS(Lending!AA$516:AA$670,Lending!$E$516:$E$670,"VDS",Lending!$L$516:$L$670,$B$494)/10^9</f>
        <v>0</v>
      </c>
      <c r="Q497" s="386">
        <f>SUMIFS(Lending!$M$516:$M$670,Lending!$E$516:$E$670,"VDS",Lending!$L$516:$L$670,$B497)/10^9</f>
        <v>0.51129720199999995</v>
      </c>
      <c r="R497" s="383"/>
      <c r="S497" s="383"/>
      <c r="T497" s="383"/>
    </row>
    <row r="498" spans="2:24" ht="15" customHeight="1">
      <c r="B498" s="409" t="s">
        <v>152</v>
      </c>
      <c r="C498" s="386">
        <f>SUMIFS(Lending!N$516:N$670,Lending!$E$516:$E$670,"VDS",Lending!$L$516:$L$670,$B498)/10^9</f>
        <v>0</v>
      </c>
      <c r="D498" s="386">
        <f>SUMIFS(Lending!O$516:O$670,Lending!$E$516:$E$670,"VDS",Lending!$L$516:$L$670,$B498)/10^9</f>
        <v>0</v>
      </c>
      <c r="E498" s="386">
        <f>SUMIFS(Lending!P$516:P$670,Lending!$E$516:$E$670,"VDS",Lending!$L$516:$L$670,$B498)/10^9</f>
        <v>4.4622000000000002E-2</v>
      </c>
      <c r="F498" s="386">
        <f>SUMIFS(Lending!Q$516:Q$670,Lending!$E$516:$E$670,"VDS",Lending!$L$516:$L$670,$B498)/10^9</f>
        <v>2.7912375E-2</v>
      </c>
      <c r="G498" s="386">
        <f>SUMIFS(Lending!R$516:R$670,Lending!$E$516:$E$670,"VDS",Lending!$L$516:$L$670,$B498)/10^9</f>
        <v>4.1446125E-2</v>
      </c>
      <c r="H498" s="386">
        <f>SUMIFS(Lending!S$516:S$670,Lending!$E$516:$E$670,"VDS",Lending!$L$516:$L$670,$B498)/10^9</f>
        <v>3.4462125000000003E-2</v>
      </c>
      <c r="I498" s="386">
        <f>SUMIFS(Lending!T$516:T$670,Lending!$E$516:$E$670,"VDS",Lending!$L$516:$L$670,$B498)/10^9</f>
        <v>3.4519499999999995E-2</v>
      </c>
      <c r="J498" s="386">
        <f>SUMIFS(Lending!U$516:U$670,Lending!$E$516:$E$670,"VDS",Lending!$L$516:$L$670,$B498)/10^9</f>
        <v>3.7423125000000008E-2</v>
      </c>
      <c r="K498" s="386">
        <f>SUMIFS(Lending!V$516:V$670,Lending!$E$516:$E$670,"VDS",Lending!$L$516:$L$670,$B498)/10^9</f>
        <v>2.7566741165742977E-2</v>
      </c>
      <c r="L498" s="386">
        <f>SUMIFS(Lending!W$516:W$670,Lending!$E$516:$E$670,"VDS",Lending!$L$516:$L$670,$B498)/10^9</f>
        <v>1.8352258846471185E-2</v>
      </c>
      <c r="M498" s="386">
        <f>SUMIFS(Lending!X$516:X$670,Lending!$E$516:$E$670,"VDS",Lending!$L$516:$L$670,$B498)/10^9</f>
        <v>1.7622089789613386E-2</v>
      </c>
      <c r="N498" s="386">
        <f>SUMIFS(Lending!Y$516:Y$670,Lending!$E$516:$E$670,"VDS",Lending!$L$516:$L$670,$B498)/10^9</f>
        <v>1.844653461885563E-2</v>
      </c>
      <c r="O498" s="386">
        <f>SUMIFS(Lending!Z$516:Z$670,Lending!$E$516:$E$670,"VDS",Lending!$L$516:$L$670,$B498)/10^9</f>
        <v>1.6546829388944934E-2</v>
      </c>
      <c r="P498" s="386">
        <f>SUMIFS(Lending!AA$516:AA$670,Lending!$E$516:$E$670,"VDS",Lending!$L$516:$L$670,$B$494)/10^9</f>
        <v>0</v>
      </c>
      <c r="Q498" s="386">
        <f>SUMIFS(Lending!$M$516:$M$670,Lending!$E$516:$E$670,"VDS",Lending!$L$516:$L$670,$B498)/10^9</f>
        <v>0.33899400170797994</v>
      </c>
      <c r="R498" s="383"/>
      <c r="S498" s="383"/>
      <c r="T498" s="383"/>
    </row>
    <row r="499" spans="2:24" ht="15" customHeight="1">
      <c r="B499" s="409" t="s">
        <v>234</v>
      </c>
      <c r="C499" s="386">
        <f>SUMIFS(Lending!N$516:N$670,Lending!$E$516:$E$670,"VDS",Lending!$L$516:$L$670,$B499)/10^9</f>
        <v>0.22876078101913536</v>
      </c>
      <c r="D499" s="386">
        <f>SUMIFS(Lending!O$516:O$670,Lending!$E$516:$E$670,"VDS",Lending!$L$516:$L$670,$B499)/10^9</f>
        <v>0.2897540835586529</v>
      </c>
      <c r="E499" s="386">
        <f>SUMIFS(Lending!P$516:P$670,Lending!$E$516:$E$670,"VDS",Lending!$L$516:$L$670,$B499)/10^9</f>
        <v>0.38013327753800524</v>
      </c>
      <c r="F499" s="386">
        <f>SUMIFS(Lending!Q$516:Q$670,Lending!$E$516:$E$670,"VDS",Lending!$L$516:$L$670,$B499)/10^9</f>
        <v>0.45412169413414444</v>
      </c>
      <c r="G499" s="386">
        <f>SUMIFS(Lending!R$516:R$670,Lending!$E$516:$E$670,"VDS",Lending!$L$516:$L$670,$B499)/10^9</f>
        <v>0.20636976419294606</v>
      </c>
      <c r="H499" s="386">
        <f>SUMIFS(Lending!S$516:S$670,Lending!$E$516:$E$670,"VDS",Lending!$L$516:$L$670,$B499)/10^9</f>
        <v>0.19828551063344127</v>
      </c>
      <c r="I499" s="386">
        <f>SUMIFS(Lending!T$516:T$670,Lending!$E$516:$E$670,"VDS",Lending!$L$516:$L$670,$B499)/10^9</f>
        <v>0.23158827235682464</v>
      </c>
      <c r="J499" s="386">
        <f>SUMIFS(Lending!U$516:U$670,Lending!$E$516:$E$670,"VDS",Lending!$L$516:$L$670,$B499)/10^9</f>
        <v>8.0922782523786568E-2</v>
      </c>
      <c r="K499" s="386">
        <f>SUMIFS(Lending!V$516:V$670,Lending!$E$516:$E$670,"VDS",Lending!$L$516:$L$670,$B499)/10^9</f>
        <v>0.121000549</v>
      </c>
      <c r="L499" s="386">
        <f>SUMIFS(Lending!W$516:W$670,Lending!$E$516:$E$670,"VDS",Lending!$L$516:$L$670,$B499)/10^9</f>
        <v>8.4028734997530219E-2</v>
      </c>
      <c r="M499" s="386">
        <f>SUMIFS(Lending!X$516:X$670,Lending!$E$516:$E$670,"VDS",Lending!$L$516:$L$670,$B499)/10^9</f>
        <v>7.9316087806696051E-2</v>
      </c>
      <c r="N499" s="386">
        <f>SUMIFS(Lending!Y$516:Y$670,Lending!$E$516:$E$670,"VDS",Lending!$L$516:$L$670,$B499)/10^9</f>
        <v>0.19856685761261428</v>
      </c>
      <c r="O499" s="386">
        <f>SUMIFS(Lending!Z$516:Z$670,Lending!$E$516:$E$670,"VDS",Lending!$L$516:$L$670,$B499)/10^9</f>
        <v>0.24384629519569528</v>
      </c>
      <c r="P499" s="386">
        <f>SUMIFS(Lending!AA$516:AA$670,Lending!$E$516:$E$670,"VDS",Lending!$L$516:$L$670,$B$494)/10^9</f>
        <v>0</v>
      </c>
      <c r="Q499" s="386">
        <f>SUMIFS(Lending!$M$516:$M$670,Lending!$E$516:$E$670,"VDS",Lending!$L$516:$L$670,$B499)/10^9</f>
        <v>2.5038019868272334</v>
      </c>
      <c r="R499" s="383"/>
      <c r="S499" s="383"/>
      <c r="T499" s="383"/>
    </row>
    <row r="500" spans="2:24" ht="15" customHeight="1">
      <c r="B500" s="409" t="s">
        <v>235</v>
      </c>
      <c r="C500" s="386">
        <f>SUMIFS(Lending!N$516:N$670,Lending!$E$516:$E$670,"VDS",Lending!$L$516:$L$670,$B500)/10^9</f>
        <v>0</v>
      </c>
      <c r="D500" s="386">
        <f>SUMIFS(Lending!O$516:O$670,Lending!$E$516:$E$670,"VDS",Lending!$L$516:$L$670,$B500)/10^9</f>
        <v>0</v>
      </c>
      <c r="E500" s="386">
        <f>SUMIFS(Lending!P$516:P$670,Lending!$E$516:$E$670,"VDS",Lending!$L$516:$L$670,$B500)/10^9</f>
        <v>0</v>
      </c>
      <c r="F500" s="386">
        <f>SUMIFS(Lending!Q$516:Q$670,Lending!$E$516:$E$670,"VDS",Lending!$L$516:$L$670,$B500)/10^9</f>
        <v>0</v>
      </c>
      <c r="G500" s="386">
        <f>SUMIFS(Lending!R$516:R$670,Lending!$E$516:$E$670,"VDS",Lending!$L$516:$L$670,$B500)/10^9</f>
        <v>0</v>
      </c>
      <c r="H500" s="386">
        <f>SUMIFS(Lending!S$516:S$670,Lending!$E$516:$E$670,"VDS",Lending!$L$516:$L$670,$B500)/10^9</f>
        <v>0</v>
      </c>
      <c r="I500" s="386">
        <f>SUMIFS(Lending!T$516:T$670,Lending!$E$516:$E$670,"VDS",Lending!$L$516:$L$670,$B500)/10^9</f>
        <v>0</v>
      </c>
      <c r="J500" s="386">
        <f>SUMIFS(Lending!U$516:U$670,Lending!$E$516:$E$670,"VDS",Lending!$L$516:$L$670,$B500)/10^9</f>
        <v>0</v>
      </c>
      <c r="K500" s="386">
        <f>SUMIFS(Lending!V$516:V$670,Lending!$E$516:$E$670,"VDS",Lending!$L$516:$L$670,$B500)/10^9</f>
        <v>0</v>
      </c>
      <c r="L500" s="386">
        <f>SUMIFS(Lending!W$516:W$670,Lending!$E$516:$E$670,"VDS",Lending!$L$516:$L$670,$B500)/10^9</f>
        <v>0</v>
      </c>
      <c r="M500" s="386">
        <f>SUMIFS(Lending!X$516:X$670,Lending!$E$516:$E$670,"VDS",Lending!$L$516:$L$670,$B500)/10^9</f>
        <v>0</v>
      </c>
      <c r="N500" s="386">
        <f>SUMIFS(Lending!Y$516:Y$670,Lending!$E$516:$E$670,"VDS",Lending!$L$516:$L$670,$B500)/10^9</f>
        <v>0</v>
      </c>
      <c r="O500" s="386">
        <f>SUMIFS(Lending!Z$516:Z$670,Lending!$E$516:$E$670,"VDS",Lending!$L$516:$L$670,$B500)/10^9</f>
        <v>0</v>
      </c>
      <c r="P500" s="386">
        <f>SUMIFS(Lending!AA$516:AA$670,Lending!$E$516:$E$670,"VDS",Lending!$L$516:$L$670,$B$494)/10^9</f>
        <v>0</v>
      </c>
      <c r="Q500" s="386">
        <f>SUMIFS(Lending!$M$516:$M$670,Lending!$E$516:$E$670,"VDS",Lending!$L$516:$L$670,$B500)/10^9</f>
        <v>0</v>
      </c>
      <c r="R500" s="383"/>
      <c r="S500" s="383"/>
      <c r="T500" s="383"/>
    </row>
    <row r="501" spans="2:24" ht="15" customHeight="1">
      <c r="B501" s="409" t="s">
        <v>163</v>
      </c>
      <c r="C501" s="386">
        <f>SUMIFS(Lending!N$516:N$670,Lending!$E$516:$E$670,"VDS",Lending!$L$516:$L$670,$B501)/10^9</f>
        <v>7.8439260948775513E-3</v>
      </c>
      <c r="D501" s="386">
        <f>SUMIFS(Lending!O$516:O$670,Lending!$E$516:$E$670,"VDS",Lending!$L$516:$L$670,$B501)/10^9</f>
        <v>1.919185549788921E-2</v>
      </c>
      <c r="E501" s="386">
        <f>SUMIFS(Lending!P$516:P$670,Lending!$E$516:$E$670,"VDS",Lending!$L$516:$L$670,$B501)/10^9</f>
        <v>2.9016624018767628E-2</v>
      </c>
      <c r="F501" s="386">
        <f>SUMIFS(Lending!Q$516:Q$670,Lending!$E$516:$E$670,"VDS",Lending!$L$516:$L$670,$B501)/10^9</f>
        <v>1.4547401360210788E-2</v>
      </c>
      <c r="G501" s="386">
        <f>SUMIFS(Lending!R$516:R$670,Lending!$E$516:$E$670,"VDS",Lending!$L$516:$L$670,$B501)/10^9</f>
        <v>1.9220055047617278E-2</v>
      </c>
      <c r="H501" s="386">
        <f>SUMIFS(Lending!S$516:S$670,Lending!$E$516:$E$670,"VDS",Lending!$L$516:$L$670,$B501)/10^9</f>
        <v>2.6683397824269522E-2</v>
      </c>
      <c r="I501" s="386">
        <f>SUMIFS(Lending!T$516:T$670,Lending!$E$516:$E$670,"VDS",Lending!$L$516:$L$670,$B501)/10^9</f>
        <v>2.0358234191257301E-2</v>
      </c>
      <c r="J501" s="386">
        <f>SUMIFS(Lending!U$516:U$670,Lending!$E$516:$E$670,"VDS",Lending!$L$516:$L$670,$B501)/10^9</f>
        <v>1.713561270780865E-2</v>
      </c>
      <c r="K501" s="386">
        <f>SUMIFS(Lending!V$516:V$670,Lending!$E$516:$E$670,"VDS",Lending!$L$516:$L$670,$B501)/10^9</f>
        <v>2.3219446042995105E-2</v>
      </c>
      <c r="L501" s="386">
        <f>SUMIFS(Lending!W$516:W$670,Lending!$E$516:$E$670,"VDS",Lending!$L$516:$L$670,$B501)/10^9</f>
        <v>1.6320737621017871E-2</v>
      </c>
      <c r="M501" s="386">
        <f>SUMIFS(Lending!X$516:X$670,Lending!$E$516:$E$670,"VDS",Lending!$L$516:$L$670,$B501)/10^9</f>
        <v>2.266683971458475E-2</v>
      </c>
      <c r="N501" s="386">
        <f>SUMIFS(Lending!Y$516:Y$670,Lending!$E$516:$E$670,"VDS",Lending!$L$516:$L$670,$B501)/10^9</f>
        <v>3.1386650962084248E-2</v>
      </c>
      <c r="O501" s="386">
        <f>SUMIFS(Lending!Z$516:Z$670,Lending!$E$516:$E$670,"VDS",Lending!$L$516:$L$670,$B501)/10^9</f>
        <v>2.9356075397415242E-2</v>
      </c>
      <c r="P501" s="386">
        <f>SUMIFS(Lending!AA$516:AA$670,Lending!$E$516:$E$670,"VDS",Lending!$L$516:$L$670,$B$494)/10^9</f>
        <v>0</v>
      </c>
      <c r="Q501" s="386">
        <f>SUMIFS(Lending!$M$516:$M$670,Lending!$E$516:$E$670,"VDS",Lending!$L$516:$L$670,$B501)/10^9</f>
        <v>0.27462204817129843</v>
      </c>
      <c r="R501" s="383"/>
      <c r="S501" s="383"/>
      <c r="T501" s="383"/>
    </row>
    <row r="502" spans="2:24" ht="15" customHeight="1">
      <c r="B502" s="409" t="s">
        <v>697</v>
      </c>
      <c r="C502" s="391">
        <f>C498+C501</f>
        <v>7.8439260948775513E-3</v>
      </c>
      <c r="D502" s="391">
        <f t="shared" ref="D502:P502" si="366">D498+D501</f>
        <v>1.919185549788921E-2</v>
      </c>
      <c r="E502" s="391">
        <f t="shared" si="366"/>
        <v>7.3638624018767626E-2</v>
      </c>
      <c r="F502" s="391">
        <f t="shared" si="366"/>
        <v>4.2459776360210789E-2</v>
      </c>
      <c r="G502" s="391">
        <f t="shared" si="366"/>
        <v>6.0666180047617278E-2</v>
      </c>
      <c r="H502" s="391">
        <f t="shared" si="366"/>
        <v>6.1145522824269521E-2</v>
      </c>
      <c r="I502" s="391">
        <f t="shared" si="366"/>
        <v>5.4877734191257299E-2</v>
      </c>
      <c r="J502" s="391">
        <f t="shared" si="366"/>
        <v>5.4558737707808655E-2</v>
      </c>
      <c r="K502" s="391">
        <f t="shared" si="366"/>
        <v>5.0786187208738079E-2</v>
      </c>
      <c r="L502" s="391">
        <f t="shared" si="366"/>
        <v>3.4672996467489059E-2</v>
      </c>
      <c r="M502" s="391">
        <f t="shared" si="366"/>
        <v>4.0288929504198136E-2</v>
      </c>
      <c r="N502" s="391">
        <f t="shared" si="366"/>
        <v>4.9833185580939882E-2</v>
      </c>
      <c r="O502" s="391">
        <f t="shared" si="366"/>
        <v>4.590290478636018E-2</v>
      </c>
      <c r="P502" s="391">
        <f t="shared" si="366"/>
        <v>0</v>
      </c>
      <c r="Q502" s="391">
        <f>Q498+Q501</f>
        <v>0.61361604987927842</v>
      </c>
      <c r="R502" s="391"/>
      <c r="S502" s="391"/>
      <c r="T502" s="391"/>
    </row>
    <row r="503" spans="2:24" ht="15" hidden="1" customHeight="1">
      <c r="B503" s="409" t="s">
        <v>625</v>
      </c>
      <c r="C503" s="469"/>
      <c r="D503" s="469"/>
      <c r="E503" s="469"/>
      <c r="F503" s="469"/>
      <c r="G503" s="469"/>
      <c r="H503" s="469"/>
      <c r="I503" s="469"/>
      <c r="J503" s="469">
        <f t="shared" ref="J503:P503" si="367">J486/J484</f>
        <v>0.25401281420809213</v>
      </c>
      <c r="K503" s="469">
        <f t="shared" si="367"/>
        <v>0.24592258100928258</v>
      </c>
      <c r="L503" s="469">
        <f t="shared" si="367"/>
        <v>0.22764341343497049</v>
      </c>
      <c r="M503" s="469">
        <f t="shared" si="367"/>
        <v>0.19202548688643797</v>
      </c>
      <c r="N503" s="469">
        <f t="shared" si="367"/>
        <v>0.18154588000527658</v>
      </c>
      <c r="O503" s="469">
        <f t="shared" si="367"/>
        <v>0.2236048337513325</v>
      </c>
      <c r="P503" s="469">
        <f t="shared" si="367"/>
        <v>0.2623615710840303</v>
      </c>
    </row>
    <row r="504" spans="2:24" ht="15" customHeight="1">
      <c r="B504" s="828" t="s">
        <v>626</v>
      </c>
      <c r="C504" s="469">
        <f>C487/C484</f>
        <v>9.5045494322417726E-2</v>
      </c>
      <c r="D504" s="469">
        <f t="shared" ref="D504:P504" si="368">D487/D484</f>
        <v>8.0260339498232136E-2</v>
      </c>
      <c r="E504" s="469">
        <f t="shared" si="368"/>
        <v>0.10644660109723381</v>
      </c>
      <c r="F504" s="469">
        <f t="shared" si="368"/>
        <v>0.12849057890304899</v>
      </c>
      <c r="G504" s="469">
        <f t="shared" si="368"/>
        <v>0.12373923476029461</v>
      </c>
      <c r="H504" s="469">
        <f t="shared" si="368"/>
        <v>0.1034194757680351</v>
      </c>
      <c r="I504" s="469">
        <f t="shared" si="368"/>
        <v>9.6599000743355645E-2</v>
      </c>
      <c r="J504" s="469">
        <f t="shared" si="368"/>
        <v>0.10957358486240916</v>
      </c>
      <c r="K504" s="469">
        <f t="shared" si="368"/>
        <v>0.10308847237604549</v>
      </c>
      <c r="L504" s="469">
        <f t="shared" si="368"/>
        <v>0.10583716310395117</v>
      </c>
      <c r="M504" s="469">
        <f t="shared" si="368"/>
        <v>0.1009992528270189</v>
      </c>
      <c r="N504" s="469">
        <f t="shared" si="368"/>
        <v>0.11188869588008166</v>
      </c>
      <c r="O504" s="469">
        <f t="shared" si="368"/>
        <v>0.15674540494511166</v>
      </c>
      <c r="P504" s="469">
        <f t="shared" si="368"/>
        <v>0.18571005762043502</v>
      </c>
    </row>
    <row r="505" spans="2:24" ht="15" customHeight="1">
      <c r="B505" s="352" t="s">
        <v>627</v>
      </c>
      <c r="C505" s="469">
        <f>(Lending!N$526+Lending!N$565)/10^9/'Slide 2025'!C484</f>
        <v>0.17673306924439611</v>
      </c>
      <c r="D505" s="469">
        <f>(Lending!O$526+Lending!O$565)/10^9/'Slide 2025'!D484</f>
        <v>0.15230524223404854</v>
      </c>
      <c r="E505" s="469">
        <f>(Lending!P$526+Lending!P$565)/10^9/'Slide 2025'!E484</f>
        <v>0.17266324823776044</v>
      </c>
      <c r="F505" s="469">
        <f>(Lending!Q$526+Lending!Q$565)/10^9/'Slide 2025'!F484</f>
        <v>0.10754382767739258</v>
      </c>
      <c r="G505" s="469">
        <f>(Lending!R$526+Lending!R$565)/10^9/'Slide 2025'!G484</f>
        <v>0.10711745866638597</v>
      </c>
      <c r="H505" s="469">
        <f>(Lending!S$526+Lending!S$565)/10^9/'Slide 2025'!H484</f>
        <v>0.12311862935176345</v>
      </c>
      <c r="I505" s="469">
        <f>(Lending!T$526+Lending!T$565)/10^9/'Slide 2025'!I484</f>
        <v>0.13575169749865323</v>
      </c>
      <c r="J505" s="469">
        <f>(Lending!U$526+Lending!U$565)/10^9/'Slide 2025'!J484</f>
        <v>0.13604056796120631</v>
      </c>
      <c r="K505" s="469">
        <f>(Lending!V$526+Lending!V$565)/10^9/'Slide 2025'!K484</f>
        <v>0.13883901670855039</v>
      </c>
      <c r="L505" s="469">
        <f>(Lending!W$526+Lending!W$565)/10^9/'Slide 2025'!L484</f>
        <v>0.11798340608643848</v>
      </c>
      <c r="M505" s="469">
        <f>(Lending!X$526+Lending!X$565)/10^9/'Slide 2025'!M484</f>
        <v>8.3726102191488169E-2</v>
      </c>
      <c r="N505" s="469">
        <f>(Lending!Y$526+Lending!Y$565)/10^9/'Slide 2025'!N484</f>
        <v>6.6025999789299294E-2</v>
      </c>
      <c r="O505" s="469">
        <f>(Lending!Z$526+Lending!Z$565)/10^9/'Slide 2025'!O484</f>
        <v>6.2052243152693677E-2</v>
      </c>
      <c r="P505" s="469">
        <f>(Lending!AA$526+Lending!AA$565)/10^9/'Slide 2025'!P484</f>
        <v>6.1061672508877472E-2</v>
      </c>
    </row>
    <row r="506" spans="2:24" ht="15" customHeight="1">
      <c r="B506" s="393" t="s">
        <v>628</v>
      </c>
      <c r="C506" s="394">
        <f>(Lending!N$528+Lending!N$567)/10^9/'Slide 2025'!C484</f>
        <v>0.18024090388263694</v>
      </c>
      <c r="D506" s="394">
        <f>(Lending!O$528+Lending!O$567)/10^9/'Slide 2025'!D484</f>
        <v>0.15803039266810848</v>
      </c>
      <c r="E506" s="394">
        <f>(Lending!P$528+Lending!P$567)/10^9/'Slide 2025'!E484</f>
        <v>0.17602852968257149</v>
      </c>
      <c r="F506" s="394">
        <f>(Lending!Q$528+Lending!Q$567)/10^9/'Slide 2025'!F484</f>
        <v>0.11239288856910729</v>
      </c>
      <c r="G506" s="394">
        <f>(Lending!R$528+Lending!R$567)/10^9/'Slide 2025'!G484</f>
        <v>0.12238107108794932</v>
      </c>
      <c r="H506" s="394">
        <f>(Lending!S$528+Lending!S$567)/10^9/'Slide 2025'!H484</f>
        <v>0.12814748259212733</v>
      </c>
      <c r="I506" s="394">
        <f>(Lending!T$528+Lending!T$567)/10^9/'Slide 2025'!I484</f>
        <v>0.13981237200400357</v>
      </c>
      <c r="J506" s="394">
        <f>(Lending!U$528+Lending!U$567)/10^9/'Slide 2025'!J484</f>
        <v>0.14443922934568301</v>
      </c>
      <c r="K506" s="394">
        <f>(Lending!V$528+Lending!V$567)/10^9/'Slide 2025'!K484</f>
        <v>0.14283410863323709</v>
      </c>
      <c r="L506" s="394">
        <f>(Lending!W$528+Lending!W$567)/10^9/'Slide 2025'!L484</f>
        <v>0.12180625033101933</v>
      </c>
      <c r="M506" s="394">
        <f>(Lending!X$528+Lending!X$567)/10^9/'Slide 2025'!M484</f>
        <v>9.0992875526279673E-2</v>
      </c>
      <c r="N506" s="394">
        <f>(Lending!Y$528+Lending!Y$567)/10^9/'Slide 2025'!N484</f>
        <v>6.9657184125194921E-2</v>
      </c>
      <c r="O506" s="394">
        <f>(Lending!Z$528+Lending!Z$567)/10^9/'Slide 2025'!O484</f>
        <v>6.6859428806220839E-2</v>
      </c>
      <c r="P506" s="394">
        <f>(Lending!AA$528+Lending!AA$567)/10^9/'Slide 2025'!P484</f>
        <v>7.6651513463595278E-2</v>
      </c>
      <c r="Q506" s="394"/>
      <c r="R506" s="469"/>
      <c r="S506" s="469"/>
      <c r="T506" s="469"/>
    </row>
    <row r="507" spans="2:24" ht="15" customHeight="1">
      <c r="B507" s="361" t="s">
        <v>236</v>
      </c>
      <c r="C507" s="383">
        <f>C488-C492-C493</f>
        <v>5.6828465998859885</v>
      </c>
      <c r="D507" s="383">
        <f t="shared" ref="D507:P507" si="369">D488-D492-D493</f>
        <v>7.9090027341488449</v>
      </c>
      <c r="E507" s="383">
        <f t="shared" si="369"/>
        <v>-0.89394189855677197</v>
      </c>
      <c r="F507" s="383">
        <f t="shared" si="369"/>
        <v>4.1420536415056457</v>
      </c>
      <c r="G507" s="383">
        <f t="shared" si="369"/>
        <v>5.7042957546011888</v>
      </c>
      <c r="H507" s="383">
        <f t="shared" si="369"/>
        <v>7.4854414175422903</v>
      </c>
      <c r="I507" s="383">
        <f t="shared" si="369"/>
        <v>6.42277383045192</v>
      </c>
      <c r="J507" s="383">
        <f t="shared" si="369"/>
        <v>5.4898864867684054</v>
      </c>
      <c r="K507" s="383">
        <f t="shared" si="369"/>
        <v>4.9643083692398227</v>
      </c>
      <c r="L507" s="383">
        <f t="shared" si="369"/>
        <v>5.0514868465502252</v>
      </c>
      <c r="M507" s="383">
        <f t="shared" si="369"/>
        <v>7.0096129466943875</v>
      </c>
      <c r="N507" s="383">
        <f t="shared" si="369"/>
        <v>9.975798568722837</v>
      </c>
      <c r="O507" s="383">
        <f t="shared" si="369"/>
        <v>8.3573832745068</v>
      </c>
      <c r="P507" s="383">
        <f t="shared" si="369"/>
        <v>17.872894537000001</v>
      </c>
      <c r="Q507" s="383">
        <f>Q488-Q492-Q493</f>
        <v>71.377321086081864</v>
      </c>
      <c r="R507" s="383"/>
      <c r="S507" s="383"/>
      <c r="T507" s="383"/>
    </row>
    <row r="511" spans="2:24" ht="26.25" customHeight="1">
      <c r="B511" s="378" t="s">
        <v>700</v>
      </c>
      <c r="C511" s="90" t="s">
        <v>613</v>
      </c>
      <c r="D511" s="90" t="s">
        <v>614</v>
      </c>
      <c r="E511" s="579">
        <v>45658</v>
      </c>
      <c r="F511" s="579">
        <v>45689</v>
      </c>
      <c r="G511" s="579">
        <v>45717</v>
      </c>
      <c r="H511" s="579">
        <v>45748</v>
      </c>
      <c r="I511" s="579">
        <v>45778</v>
      </c>
      <c r="J511" s="579">
        <v>45809</v>
      </c>
      <c r="K511" s="579">
        <v>45839</v>
      </c>
      <c r="L511" s="579">
        <v>45870</v>
      </c>
      <c r="M511" s="579">
        <v>45901</v>
      </c>
      <c r="N511" s="579">
        <v>45931</v>
      </c>
      <c r="O511" s="579">
        <v>45962</v>
      </c>
      <c r="P511" s="579">
        <v>45992</v>
      </c>
      <c r="Q511" s="78" t="s">
        <v>76</v>
      </c>
      <c r="R511" s="1129"/>
      <c r="S511" s="1129"/>
      <c r="T511" s="824"/>
      <c r="U511" s="824"/>
      <c r="V511" s="824"/>
      <c r="W511" s="825"/>
      <c r="X511" s="826"/>
    </row>
    <row r="512" spans="2:24" ht="24" customHeight="1">
      <c r="B512" s="361" t="s">
        <v>80</v>
      </c>
      <c r="C512" s="382">
        <f>SUMIFS(Lending!$N$516:$N$670,Lending!$E$516:$E$670,"CAKE",Lending!$L$516:$L$670,$B512)/10^9</f>
        <v>0</v>
      </c>
      <c r="D512" s="382">
        <f>SUMIFS(Lending!O$516:O$670,Lending!$E$516:$E$670,"CAKE",Lending!$L$516:$L$670,$B$512)/10^9</f>
        <v>0</v>
      </c>
      <c r="E512" s="382">
        <f>SUMIFS(Lending!P$516:P$670,Lending!$E$516:$E$670,"CAKE",Lending!$L$516:$L$670,$B$512)/10^9</f>
        <v>0</v>
      </c>
      <c r="F512" s="382">
        <f>SUMIFS(Lending!Q$516:Q$670,Lending!$E$516:$E$670,"CAKE",Lending!$L$516:$L$670,$B$512)/10^9</f>
        <v>0</v>
      </c>
      <c r="G512" s="382">
        <f>SUMIFS(Lending!R$516:R$670,Lending!$E$516:$E$670,"CAKE",Lending!$L$516:$L$670,$B$512)/10^9</f>
        <v>0</v>
      </c>
      <c r="H512" s="382">
        <f>SUMIFS(Lending!S$516:S$670,Lending!$E$516:$E$670,"CAKE",Lending!$L$516:$L$670,$B$512)/10^9</f>
        <v>0</v>
      </c>
      <c r="I512" s="382">
        <f>SUMIFS(Lending!T$516:T$670,Lending!$E$516:$E$670,"CAKE",Lending!$L$516:$L$670,$B$512)/10^9</f>
        <v>0</v>
      </c>
      <c r="J512" s="382">
        <f>SUMIFS(Lending!U$516:U$670,Lending!$E$516:$E$670,"CAKE",Lending!$L$516:$L$670,$B$512)/10^9</f>
        <v>0</v>
      </c>
      <c r="K512" s="382">
        <f>SUMIFS(Lending!V$516:V$670,Lending!$E$516:$E$670,"CAKE",Lending!$L$516:$L$670,$B$512)/10^9</f>
        <v>54.643680000000003</v>
      </c>
      <c r="L512" s="382">
        <f>SUMIFS(Lending!W$516:W$670,Lending!$E$516:$E$670,"CAKE",Lending!$L$516:$L$670,$B$512)/10^9</f>
        <v>124.745616</v>
      </c>
      <c r="M512" s="382">
        <f>SUMIFS(Lending!X$516:X$670,Lending!$E$516:$E$670,"CAKE",Lending!$L$516:$L$670,$B$512)/10^9</f>
        <v>196.882488</v>
      </c>
      <c r="N512" s="382">
        <f>SUMIFS(Lending!Y$516:Y$670,Lending!$E$516:$E$670,"CAKE",Lending!$L$516:$L$670,$B$512)/10^9</f>
        <v>261.60073199999999</v>
      </c>
      <c r="O512" s="382">
        <f>SUMIFS(Lending!Z$516:Z$670,Lending!$E$516:$E$670,"CAKE",Lending!$L$516:$L$670,$B$512)/10^9</f>
        <v>276.09627599999999</v>
      </c>
      <c r="P512" s="382">
        <f>SUMIFS(Lending!AA$516:AA$670,Lending!$E$516:$E$670,"CAKE",Lending!$L$516:$L$670,$B$512)/10^9</f>
        <v>384.58692400000001</v>
      </c>
      <c r="Q512" s="382">
        <f>SUMIFS(Lending!M$516:M$670,Lending!$E$516:$E$670,"CAKE",Lending!$L$516:$L$670,$B$512)/10^9</f>
        <v>1298.5557160000001</v>
      </c>
      <c r="R512" s="434"/>
      <c r="S512" s="434"/>
      <c r="T512" s="434"/>
    </row>
    <row r="513" spans="2:20" ht="21" customHeight="1">
      <c r="B513" s="361" t="s">
        <v>530</v>
      </c>
      <c r="C513" s="382">
        <f>SUMIFS(Lending!N$516:N$670,Lending!$E$516:$E$670,"CAKE",Lending!$L$516:$L$670,$B513)/10^9</f>
        <v>0</v>
      </c>
      <c r="D513" s="382">
        <f>SUMIFS(Lending!O$516:O$670,Lending!$E$516:$E$670,"CAKE",Lending!$L$516:$L$670,$B513)/10^9</f>
        <v>0</v>
      </c>
      <c r="E513" s="382">
        <f>SUMIFS(Lending!P$516:P$670,Lending!$E$516:$E$670,"CAKE",Lending!$L$516:$L$670,$B513)/10^9</f>
        <v>0</v>
      </c>
      <c r="F513" s="382">
        <f>SUMIFS(Lending!Q$516:Q$670,Lending!$E$516:$E$670,"CAKE",Lending!$L$516:$L$670,$B513)/10^9</f>
        <v>0</v>
      </c>
      <c r="G513" s="382">
        <f>SUMIFS(Lending!R$516:R$670,Lending!$E$516:$E$670,"CAKE",Lending!$L$516:$L$670,$B513)/10^9</f>
        <v>0</v>
      </c>
      <c r="H513" s="382">
        <f>SUMIFS(Lending!S$516:S$670,Lending!$E$516:$E$670,"CAKE",Lending!$L$516:$L$670,$B513)/10^9</f>
        <v>0</v>
      </c>
      <c r="I513" s="382">
        <f>SUMIFS(Lending!T$516:T$670,Lending!$E$516:$E$670,"CAKE",Lending!$L$516:$L$670,$B513)/10^9</f>
        <v>0</v>
      </c>
      <c r="J513" s="382">
        <f>SUMIFS(Lending!U$516:U$670,Lending!$E$516:$E$670,"CAKE",Lending!$L$516:$L$670,$B513)/10^9</f>
        <v>0</v>
      </c>
      <c r="K513" s="382">
        <f>SUMIFS(Lending!V$516:V$670,Lending!$E$516:$E$670,"CAKE",Lending!$L$516:$L$670,$B513)/10^9</f>
        <v>48.634267020999999</v>
      </c>
      <c r="L513" s="382">
        <f>SUMIFS(Lending!W$516:W$670,Lending!$E$516:$E$670,"CAKE",Lending!$L$516:$L$670,$B513)/10^9</f>
        <v>96.267633528999994</v>
      </c>
      <c r="M513" s="382">
        <f>SUMIFS(Lending!X$516:X$670,Lending!$E$516:$E$670,"CAKE",Lending!$L$516:$L$670,$B513)/10^9</f>
        <v>170.71287405300001</v>
      </c>
      <c r="N513" s="382">
        <f>SUMIFS(Lending!Y$516:Y$670,Lending!$E$516:$E$670,"CAKE",Lending!$L$516:$L$670,$B513)/10^9</f>
        <v>220.12664515899999</v>
      </c>
      <c r="O513" s="382">
        <f>SUMIFS(Lending!Z$516:Z$670,Lending!$E$516:$E$670,"CAKE",Lending!$L$516:$L$670,$B513)/10^9</f>
        <v>259.49083840100002</v>
      </c>
      <c r="P513" s="382">
        <f>SUMIFS(Lending!AA$516:AA$670,Lending!$E$516:$E$670,"CAKE",Lending!$L$516:$L$670,$B513)/10^9</f>
        <v>347.67988788600002</v>
      </c>
      <c r="Q513" s="382">
        <f>M513</f>
        <v>170.71287405300001</v>
      </c>
      <c r="R513" s="434"/>
      <c r="S513" s="434"/>
      <c r="T513" s="434"/>
    </row>
    <row r="514" spans="2:20" ht="15" customHeight="1">
      <c r="B514" s="409" t="s">
        <v>640</v>
      </c>
      <c r="C514" s="386">
        <f t="shared" ref="C514:Q514" si="370">C513-C515</f>
        <v>0</v>
      </c>
      <c r="D514" s="386">
        <f t="shared" si="370"/>
        <v>0</v>
      </c>
      <c r="E514" s="386">
        <f t="shared" si="370"/>
        <v>0</v>
      </c>
      <c r="F514" s="386">
        <f t="shared" si="370"/>
        <v>0</v>
      </c>
      <c r="G514" s="386">
        <f t="shared" si="370"/>
        <v>0</v>
      </c>
      <c r="H514" s="386">
        <f t="shared" si="370"/>
        <v>0</v>
      </c>
      <c r="I514" s="386">
        <f t="shared" si="370"/>
        <v>0</v>
      </c>
      <c r="J514" s="386">
        <f t="shared" si="370"/>
        <v>0</v>
      </c>
      <c r="K514" s="386">
        <f t="shared" si="370"/>
        <v>48.432707020999999</v>
      </c>
      <c r="L514" s="386">
        <f t="shared" si="370"/>
        <v>92.836699493999987</v>
      </c>
      <c r="M514" s="386">
        <f t="shared" si="370"/>
        <v>153.892278576</v>
      </c>
      <c r="N514" s="386">
        <f t="shared" si="370"/>
        <v>195.68502966099999</v>
      </c>
      <c r="O514" s="386">
        <f t="shared" si="370"/>
        <v>220.52866593500002</v>
      </c>
      <c r="P514" s="386">
        <f t="shared" si="370"/>
        <v>287.33402198600004</v>
      </c>
      <c r="Q514" s="386">
        <f t="shared" si="370"/>
        <v>153.892278576</v>
      </c>
      <c r="R514" s="490"/>
      <c r="S514" s="490"/>
      <c r="T514" s="490"/>
    </row>
    <row r="515" spans="2:20" ht="15" customHeight="1">
      <c r="B515" s="409" t="s">
        <v>617</v>
      </c>
      <c r="C515" s="386">
        <f>Lending!N605/10^9</f>
        <v>0</v>
      </c>
      <c r="D515" s="386">
        <f>Lending!O605/10^9</f>
        <v>0</v>
      </c>
      <c r="E515" s="386">
        <f>Lending!P605/10^9</f>
        <v>0</v>
      </c>
      <c r="F515" s="386">
        <f>Lending!Q605/10^9</f>
        <v>0</v>
      </c>
      <c r="G515" s="386">
        <f>Lending!R605/10^9</f>
        <v>0</v>
      </c>
      <c r="H515" s="386">
        <f>Lending!S605/10^9</f>
        <v>0</v>
      </c>
      <c r="I515" s="386">
        <f>Lending!T605/10^9</f>
        <v>0</v>
      </c>
      <c r="J515" s="386">
        <f>Lending!U605/10^9</f>
        <v>0</v>
      </c>
      <c r="K515" s="386">
        <f>Lending!V605/10^9</f>
        <v>0.20155999999999999</v>
      </c>
      <c r="L515" s="386">
        <f>Lending!W605/10^9</f>
        <v>3.4309340349999999</v>
      </c>
      <c r="M515" s="386">
        <f>Lending!X605/10^9</f>
        <v>16.820595477000001</v>
      </c>
      <c r="N515" s="386">
        <f>Lending!Y605/10^9</f>
        <v>24.441615498000001</v>
      </c>
      <c r="O515" s="386">
        <f>Lending!Z605/10^9</f>
        <v>38.962172465999998</v>
      </c>
      <c r="P515" s="386">
        <f>Lending!AA605/10^9</f>
        <v>60.3458659</v>
      </c>
      <c r="Q515" s="386">
        <f>M515</f>
        <v>16.820595477000001</v>
      </c>
      <c r="R515" s="490"/>
      <c r="S515" s="490"/>
      <c r="T515" s="490"/>
    </row>
    <row r="516" spans="2:20" ht="15" customHeight="1">
      <c r="B516" s="409" t="s">
        <v>690</v>
      </c>
      <c r="C516" s="386">
        <f>Lending!N607/10^9</f>
        <v>0</v>
      </c>
      <c r="D516" s="386">
        <f>Lending!O607/10^9</f>
        <v>0</v>
      </c>
      <c r="E516" s="386">
        <f>Lending!P607/10^9</f>
        <v>0</v>
      </c>
      <c r="F516" s="386">
        <f>Lending!Q607/10^9</f>
        <v>0</v>
      </c>
      <c r="G516" s="386">
        <f>Lending!R607/10^9</f>
        <v>0</v>
      </c>
      <c r="H516" s="386">
        <f>Lending!S607/10^9</f>
        <v>0</v>
      </c>
      <c r="I516" s="386">
        <f>Lending!T607/10^9</f>
        <v>0</v>
      </c>
      <c r="J516" s="386">
        <f>Lending!U607/10^9</f>
        <v>0</v>
      </c>
      <c r="K516" s="386">
        <f>Lending!V607/10^9</f>
        <v>0.20155999999999999</v>
      </c>
      <c r="L516" s="386">
        <f>Lending!W607/10^9</f>
        <v>3.428774035</v>
      </c>
      <c r="M516" s="386">
        <f>Lending!X607/10^9</f>
        <v>16.722955796000001</v>
      </c>
      <c r="N516" s="386">
        <f>Lending!Y607/10^9</f>
        <v>24.220958057000001</v>
      </c>
      <c r="O516" s="386">
        <f>Lending!Z607/10^9</f>
        <v>33.549393815999998</v>
      </c>
      <c r="P516" s="386">
        <f>Lending!AA607/10^9</f>
        <v>45.439050934999997</v>
      </c>
      <c r="Q516" s="386">
        <f>M516</f>
        <v>16.722955796000001</v>
      </c>
      <c r="R516" s="490"/>
      <c r="S516" s="490"/>
      <c r="T516" s="490"/>
    </row>
    <row r="517" spans="2:20" ht="15" customHeight="1">
      <c r="B517" s="361" t="s">
        <v>217</v>
      </c>
      <c r="C517" s="383">
        <f>C518+C519+C520</f>
        <v>0</v>
      </c>
      <c r="D517" s="383">
        <f t="shared" ref="D517:P517" si="371">D518+D519+D520</f>
        <v>0</v>
      </c>
      <c r="E517" s="383">
        <f t="shared" si="371"/>
        <v>0</v>
      </c>
      <c r="F517" s="383">
        <f t="shared" si="371"/>
        <v>0</v>
      </c>
      <c r="G517" s="383">
        <f t="shared" si="371"/>
        <v>0</v>
      </c>
      <c r="H517" s="383">
        <f t="shared" si="371"/>
        <v>0</v>
      </c>
      <c r="I517" s="383">
        <f t="shared" si="371"/>
        <v>0</v>
      </c>
      <c r="J517" s="383">
        <f t="shared" si="371"/>
        <v>0</v>
      </c>
      <c r="K517" s="383">
        <f t="shared" si="371"/>
        <v>3.7468851609999998</v>
      </c>
      <c r="L517" s="383">
        <f t="shared" si="371"/>
        <v>10.829491213000001</v>
      </c>
      <c r="M517" s="383">
        <f t="shared" si="371"/>
        <v>16.638366603000001</v>
      </c>
      <c r="N517" s="383">
        <f t="shared" si="371"/>
        <v>23.266112691000004</v>
      </c>
      <c r="O517" s="383">
        <f t="shared" si="371"/>
        <v>24.765868671</v>
      </c>
      <c r="P517" s="383">
        <f t="shared" si="371"/>
        <v>34.148360737000004</v>
      </c>
      <c r="Q517" s="383">
        <f>Q518+Q519+Q520</f>
        <v>113.39508507599999</v>
      </c>
      <c r="R517" s="383"/>
      <c r="S517" s="383"/>
      <c r="T517" s="383"/>
    </row>
    <row r="518" spans="2:20" ht="15" customHeight="1">
      <c r="B518" s="409" t="s">
        <v>218</v>
      </c>
      <c r="C518" s="386">
        <f>SUMIFS(Lending!N$516:N$670,Lending!$E$516:$E$670,"CAKE",Lending!$L$516:$L$670,$B518)/10^9</f>
        <v>0</v>
      </c>
      <c r="D518" s="386">
        <f>SUMIFS(Lending!O$516:O$670,Lending!$E$516:$E$670,"CAKE",Lending!$L$516:$L$670,$B518)/10^9</f>
        <v>0</v>
      </c>
      <c r="E518" s="386">
        <f>SUMIFS(Lending!P$516:P$670,Lending!$E$516:$E$670,"CAKE",Lending!$L$516:$L$670,$B518)/10^9</f>
        <v>0</v>
      </c>
      <c r="F518" s="386">
        <f>SUMIFS(Lending!Q$516:Q$670,Lending!$E$516:$E$670,"CAKE",Lending!$L$516:$L$670,$B518)/10^9</f>
        <v>0</v>
      </c>
      <c r="G518" s="386">
        <f>SUMIFS(Lending!R$516:R$670,Lending!$E$516:$E$670,"CAKE",Lending!$L$516:$L$670,$B518)/10^9</f>
        <v>0</v>
      </c>
      <c r="H518" s="386">
        <f>SUMIFS(Lending!S$516:S$670,Lending!$E$516:$E$670,"CAKE",Lending!$L$516:$L$670,$B518)/10^9</f>
        <v>0</v>
      </c>
      <c r="I518" s="386">
        <f>SUMIFS(Lending!T$516:T$670,Lending!$E$516:$E$670,"CAKE",Lending!$L$516:$L$670,$B518)/10^9</f>
        <v>0</v>
      </c>
      <c r="J518" s="386">
        <f>SUMIFS(Lending!U$516:U$670,Lending!$E$516:$E$670,"CAKE",Lending!$L$516:$L$670,$B518)/10^9</f>
        <v>0</v>
      </c>
      <c r="K518" s="386">
        <f>SUMIFS(Lending!V$516:V$670,Lending!$E$516:$E$670,"CAKE",Lending!$L$516:$L$670,$B518)/10^9</f>
        <v>0.36625318699999998</v>
      </c>
      <c r="L518" s="386">
        <f>SUMIFS(Lending!W$516:W$670,Lending!$E$516:$E$670,"CAKE",Lending!$L$516:$L$670,$B518)/10^9</f>
        <v>3.1120742360000002</v>
      </c>
      <c r="M518" s="386">
        <f>SUMIFS(Lending!X$516:X$670,Lending!$E$516:$E$670,"CAKE",Lending!$L$516:$L$670,$B518)/10^9</f>
        <v>4.4574677170000001</v>
      </c>
      <c r="N518" s="386">
        <f>SUMIFS(Lending!Y$516:Y$670,Lending!$E$516:$E$670,"CAKE",Lending!$L$516:$L$670,$B518)/10^9</f>
        <v>7.0265760420000003</v>
      </c>
      <c r="O518" s="386">
        <f>SUMIFS(Lending!Z$516:Z$670,Lending!$E$516:$E$670,"CAKE",Lending!$L$516:$L$670,$B518)/10^9</f>
        <v>7.4371174910000004</v>
      </c>
      <c r="P518" s="386">
        <f>SUMIFS(Lending!AA$516:AA$670,Lending!$E$516:$E$670,"CAKE",Lending!$L$516:$L$670,$B518)/10^9</f>
        <v>10.010614678</v>
      </c>
      <c r="Q518" s="386">
        <f>SUMIFS(Lending!M$516:M$670,Lending!$E$516:$E$670,"CAKE",Lending!$L$516:$L$670,$B518)/10^9</f>
        <v>32.410103350999997</v>
      </c>
      <c r="R518" s="391"/>
      <c r="S518" s="391"/>
      <c r="T518" s="391"/>
    </row>
    <row r="519" spans="2:20" ht="15" customHeight="1">
      <c r="B519" s="409" t="s">
        <v>220</v>
      </c>
      <c r="C519" s="386">
        <f>SUMIFS(Lending!N$516:N$670,Lending!$E$516:$E$670,"CAKE",Lending!$L$516:$L$670,$B519)/10^9</f>
        <v>0</v>
      </c>
      <c r="D519" s="386">
        <f>SUMIFS(Lending!O$516:O$670,Lending!$E$516:$E$670,"CAKE",Lending!$L$516:$L$670,$B519)/10^9</f>
        <v>0</v>
      </c>
      <c r="E519" s="386">
        <f>SUMIFS(Lending!P$516:P$670,Lending!$E$516:$E$670,"CAKE",Lending!$L$516:$L$670,$B519)/10^9</f>
        <v>0</v>
      </c>
      <c r="F519" s="386">
        <f>SUMIFS(Lending!Q$516:Q$670,Lending!$E$516:$E$670,"CAKE",Lending!$L$516:$L$670,$B519)/10^9</f>
        <v>0</v>
      </c>
      <c r="G519" s="386">
        <f>SUMIFS(Lending!R$516:R$670,Lending!$E$516:$E$670,"CAKE",Lending!$L$516:$L$670,$B519)/10^9</f>
        <v>0</v>
      </c>
      <c r="H519" s="386">
        <f>SUMIFS(Lending!S$516:S$670,Lending!$E$516:$E$670,"CAKE",Lending!$L$516:$L$670,$B519)/10^9</f>
        <v>0</v>
      </c>
      <c r="I519" s="386">
        <f>SUMIFS(Lending!T$516:T$670,Lending!$E$516:$E$670,"CAKE",Lending!$L$516:$L$670,$B519)/10^9</f>
        <v>0</v>
      </c>
      <c r="J519" s="386">
        <f>SUMIFS(Lending!U$516:U$670,Lending!$E$516:$E$670,"CAKE",Lending!$L$516:$L$670,$B519)/10^9</f>
        <v>0</v>
      </c>
      <c r="K519" s="386">
        <f>SUMIFS(Lending!V$516:V$670,Lending!$E$516:$E$670,"CAKE",Lending!$L$516:$L$670,$B519)/10^9</f>
        <v>3.3806319739999999</v>
      </c>
      <c r="L519" s="386">
        <f>SUMIFS(Lending!W$516:W$670,Lending!$E$516:$E$670,"CAKE",Lending!$L$516:$L$670,$B519)/10^9</f>
        <v>7.7174169770000001</v>
      </c>
      <c r="M519" s="386">
        <f>SUMIFS(Lending!X$516:X$670,Lending!$E$516:$E$670,"CAKE",Lending!$L$516:$L$670,$B519)/10^9</f>
        <v>12.180898886</v>
      </c>
      <c r="N519" s="386">
        <f>SUMIFS(Lending!Y$516:Y$670,Lending!$E$516:$E$670,"CAKE",Lending!$L$516:$L$670,$B519)/10^9</f>
        <v>16.239536649000001</v>
      </c>
      <c r="O519" s="386">
        <f>SUMIFS(Lending!Z$516:Z$670,Lending!$E$516:$E$670,"CAKE",Lending!$L$516:$L$670,$B519)/10^9</f>
        <v>17.328751180000001</v>
      </c>
      <c r="P519" s="386">
        <f>SUMIFS(Lending!AA$516:AA$670,Lending!$E$516:$E$670,"CAKE",Lending!$L$516:$L$670,$B519)/10^9</f>
        <v>24.137746059000001</v>
      </c>
      <c r="Q519" s="386">
        <f>SUMIFS(Lending!M$516:M$670,Lending!$E$516:$E$670,"CAKE",Lending!$L$516:$L$670,$B519)/10^9</f>
        <v>80.984981724999997</v>
      </c>
      <c r="R519" s="391"/>
      <c r="S519" s="391"/>
      <c r="T519" s="391"/>
    </row>
    <row r="520" spans="2:20" ht="15" customHeight="1">
      <c r="B520" s="409" t="s">
        <v>89</v>
      </c>
      <c r="C520" s="386">
        <f>SUMIFS(Lending!N$516:N$670,Lending!$E$516:$E$670,"CAKE",Lending!$L$516:$L$670,$B520)/10^9</f>
        <v>0</v>
      </c>
      <c r="D520" s="386">
        <f>SUMIFS(Lending!O$516:O$670,Lending!$E$516:$E$670,"CAKE",Lending!$L$516:$L$670,$B520)/10^9</f>
        <v>0</v>
      </c>
      <c r="E520" s="386">
        <f>SUMIFS(Lending!P$516:P$670,Lending!$E$516:$E$670,"CAKE",Lending!$L$516:$L$670,$B520)/10^9</f>
        <v>0</v>
      </c>
      <c r="F520" s="386">
        <f>SUMIFS(Lending!Q$516:Q$670,Lending!$E$516:$E$670,"CAKE",Lending!$L$516:$L$670,$B520)/10^9</f>
        <v>0</v>
      </c>
      <c r="G520" s="386">
        <f>SUMIFS(Lending!R$516:R$670,Lending!$E$516:$E$670,"CAKE",Lending!$L$516:$L$670,$B520)/10^9</f>
        <v>0</v>
      </c>
      <c r="H520" s="386">
        <f>SUMIFS(Lending!S$516:S$670,Lending!$E$516:$E$670,"CAKE",Lending!$L$516:$L$670,$B520)/10^9</f>
        <v>0</v>
      </c>
      <c r="I520" s="386">
        <f>SUMIFS(Lending!T$516:T$670,Lending!$E$516:$E$670,"CAKE",Lending!$L$516:$L$670,$B520)/10^9</f>
        <v>0</v>
      </c>
      <c r="J520" s="386">
        <f>SUMIFS(Lending!U$516:U$670,Lending!$E$516:$E$670,"CAKE",Lending!$L$516:$L$670,$B520)/10^9</f>
        <v>0</v>
      </c>
      <c r="K520" s="386">
        <f>SUMIFS(Lending!V$516:V$670,Lending!$E$516:$E$670,"CAKE",Lending!$L$516:$L$670,$B520)/10^9</f>
        <v>0</v>
      </c>
      <c r="L520" s="386">
        <f>SUMIFS(Lending!W$516:W$670,Lending!$E$516:$E$670,"CAKE",Lending!$L$516:$L$670,$B520)/10^9</f>
        <v>0</v>
      </c>
      <c r="M520" s="386">
        <f>SUMIFS(Lending!X$516:X$670,Lending!$E$516:$E$670,"CAKE",Lending!$L$516:$L$670,$B520)/10^9</f>
        <v>0</v>
      </c>
      <c r="N520" s="386">
        <f>SUMIFS(Lending!Y$516:Y$670,Lending!$E$516:$E$670,"CAKE",Lending!$L$516:$L$670,$B520)/10^9</f>
        <v>0</v>
      </c>
      <c r="O520" s="386">
        <f>SUMIFS(Lending!Z$516:Z$670,Lending!$E$516:$E$670,"CAKE",Lending!$L$516:$L$670,$B520)/10^9</f>
        <v>0</v>
      </c>
      <c r="P520" s="386">
        <f>SUMIFS(Lending!AA$516:AA$670,Lending!$E$516:$E$670,"CAKE",Lending!$L$516:$L$670,$B520)/10^9</f>
        <v>0</v>
      </c>
      <c r="Q520" s="386">
        <f>SUMIFS(Lending!M$516:M$670,Lending!$E$516:$E$670,"CAKE",Lending!$L$516:$L$670,$B520)/10^9</f>
        <v>0</v>
      </c>
      <c r="R520" s="391"/>
      <c r="S520" s="391"/>
      <c r="T520" s="391"/>
    </row>
    <row r="521" spans="2:20" ht="15" customHeight="1">
      <c r="B521" s="361" t="s">
        <v>699</v>
      </c>
      <c r="C521" s="382">
        <f>SUMIFS(Lending!N$516:N$670,Lending!$E$516:$E$670,"CAKE",Lending!$L$516:$L$670,$B521)/10^9</f>
        <v>0</v>
      </c>
      <c r="D521" s="382">
        <f>SUMIFS(Lending!O$516:O$670,Lending!$E$516:$E$670,"CAKE",Lending!$L$516:$L$670,$B521)/10^9</f>
        <v>0</v>
      </c>
      <c r="E521" s="382">
        <f>SUMIFS(Lending!P$516:P$670,Lending!$E$516:$E$670,"CAKE",Lending!$L$516:$L$670,$B521)/10^9</f>
        <v>0</v>
      </c>
      <c r="F521" s="382">
        <f>SUMIFS(Lending!Q$516:Q$670,Lending!$E$516:$E$670,"CAKE",Lending!$L$516:$L$670,$B521)/10^9</f>
        <v>0</v>
      </c>
      <c r="G521" s="382">
        <f>SUMIFS(Lending!R$516:R$670,Lending!$E$516:$E$670,"CAKE",Lending!$L$516:$L$670,$B521)/10^9</f>
        <v>0</v>
      </c>
      <c r="H521" s="382">
        <f>SUMIFS(Lending!S$516:S$670,Lending!$E$516:$E$670,"CAKE",Lending!$L$516:$L$670,$B521)/10^9</f>
        <v>0</v>
      </c>
      <c r="I521" s="382">
        <f>SUMIFS(Lending!T$516:T$670,Lending!$E$516:$E$670,"CAKE",Lending!$L$516:$L$670,$B521)/10^9</f>
        <v>0</v>
      </c>
      <c r="J521" s="382">
        <f>SUMIFS(Lending!U$516:U$670,Lending!$E$516:$E$670,"CAKE",Lending!$L$516:$L$670,$B521)/10^9</f>
        <v>0</v>
      </c>
      <c r="K521" s="382">
        <f>SUMIFS(Lending!V$516:V$670,Lending!$E$516:$E$670,"CAKE",Lending!$L$516:$L$670,$B521)/10^9</f>
        <v>0.374835003</v>
      </c>
      <c r="L521" s="382">
        <f>SUMIFS(Lending!W$516:W$670,Lending!$E$516:$E$670,"CAKE",Lending!$L$516:$L$670,$B521)/10^9</f>
        <v>0.52075477000000003</v>
      </c>
      <c r="M521" s="382">
        <f>SUMIFS(Lending!X$516:X$670,Lending!$E$516:$E$670,"CAKE",Lending!$L$516:$L$670,$B521)/10^9</f>
        <v>1.244504144</v>
      </c>
      <c r="N521" s="382">
        <f>SUMIFS(Lending!Y$516:Y$670,Lending!$E$516:$E$670,"CAKE",Lending!$L$516:$L$670,$B521)/10^9</f>
        <v>0.76504180099999997</v>
      </c>
      <c r="O521" s="382">
        <f>SUMIFS(Lending!Z$516:Z$670,Lending!$E$516:$E$670,"CAKE",Lending!$L$516:$L$670,$B521)/10^9</f>
        <v>1.8176824199999999</v>
      </c>
      <c r="P521" s="382">
        <f>SUMIFS(Lending!AA$516:AA$670,Lending!$E$516:$E$670,"CAKE",Lending!$L$516:$L$670,$B521)/10^9</f>
        <v>7.1921338390000003</v>
      </c>
      <c r="Q521" s="382">
        <f>SUMIFS(Lending!M$516:M$670,Lending!$E$516:$E$670,"CAKE",Lending!$L$516:$L$670,$B521)/10^9</f>
        <v>11.914951976999999</v>
      </c>
      <c r="R521" s="383"/>
      <c r="S521" s="383"/>
      <c r="T521" s="383"/>
    </row>
    <row r="522" spans="2:20" ht="15" customHeight="1">
      <c r="B522" s="361" t="s">
        <v>701</v>
      </c>
      <c r="C522" s="383">
        <f>SUM(C523:C530)</f>
        <v>0</v>
      </c>
      <c r="D522" s="383">
        <f t="shared" ref="D522:P522" si="372">SUM(D523:D530)</f>
        <v>0</v>
      </c>
      <c r="E522" s="383">
        <f t="shared" si="372"/>
        <v>0</v>
      </c>
      <c r="F522" s="383">
        <f t="shared" si="372"/>
        <v>0</v>
      </c>
      <c r="G522" s="383">
        <f t="shared" si="372"/>
        <v>0</v>
      </c>
      <c r="H522" s="383">
        <f t="shared" si="372"/>
        <v>0</v>
      </c>
      <c r="I522" s="383">
        <f t="shared" si="372"/>
        <v>0</v>
      </c>
      <c r="J522" s="383">
        <f t="shared" si="372"/>
        <v>0</v>
      </c>
      <c r="K522" s="383">
        <f t="shared" si="372"/>
        <v>0.40993778128281438</v>
      </c>
      <c r="L522" s="383">
        <f t="shared" si="372"/>
        <v>0.73838712945893092</v>
      </c>
      <c r="M522" s="383">
        <f t="shared" si="372"/>
        <v>0.94470375981063237</v>
      </c>
      <c r="N522" s="383">
        <f t="shared" si="372"/>
        <v>1.2229606345567141</v>
      </c>
      <c r="O522" s="383">
        <f t="shared" si="372"/>
        <v>1.3249256129722682</v>
      </c>
      <c r="P522" s="383">
        <f t="shared" si="372"/>
        <v>1.432814997622603</v>
      </c>
      <c r="Q522" s="383">
        <f>SUM(Q523:Q530)</f>
        <v>6.0737299157039635</v>
      </c>
      <c r="R522" s="383"/>
      <c r="S522" s="383"/>
      <c r="T522" s="383"/>
    </row>
    <row r="523" spans="2:20" ht="15" customHeight="1">
      <c r="B523" s="409" t="s">
        <v>230</v>
      </c>
      <c r="C523" s="386">
        <f>SUMIFS(Lending!N$516:N$670,Lending!$E$516:$E$670,"CAKE",Lending!$L$516:$L$670,$B$523)/10^9</f>
        <v>0</v>
      </c>
      <c r="D523" s="386">
        <f>SUMIFS(Lending!O$516:O$670,Lending!$E$516:$E$670,"CAKE",Lending!$L$516:$L$670,$B$523)/10^9</f>
        <v>0</v>
      </c>
      <c r="E523" s="386">
        <f>SUMIFS(Lending!P$516:P$670,Lending!$E$516:$E$670,"CAKE",Lending!$L$516:$L$670,$B$523)/10^9</f>
        <v>0</v>
      </c>
      <c r="F523" s="386">
        <f>SUMIFS(Lending!Q$516:Q$670,Lending!$E$516:$E$670,"CAKE",Lending!$L$516:$L$670,$B$523)/10^9</f>
        <v>0</v>
      </c>
      <c r="G523" s="386">
        <f>SUMIFS(Lending!R$516:R$670,Lending!$E$516:$E$670,"CAKE",Lending!$L$516:$L$670,$B$523)/10^9</f>
        <v>0</v>
      </c>
      <c r="H523" s="386">
        <f>SUMIFS(Lending!S$516:S$670,Lending!$E$516:$E$670,"CAKE",Lending!$L$516:$L$670,$B$523)/10^9</f>
        <v>0</v>
      </c>
      <c r="I523" s="386">
        <f>SUMIFS(Lending!T$516:T$670,Lending!$E$516:$E$670,"CAKE",Lending!$L$516:$L$670,$B$523)/10^9</f>
        <v>0</v>
      </c>
      <c r="J523" s="386">
        <f>SUMIFS(Lending!U$516:U$670,Lending!$E$516:$E$670,"CAKE",Lending!$L$516:$L$670,$B$523)/10^9</f>
        <v>0</v>
      </c>
      <c r="K523" s="386">
        <f>SUMIFS(Lending!V$516:V$670,Lending!$E$516:$E$670,"CAKE",Lending!$L$516:$L$670,$B$523)/10^9</f>
        <v>0.04</v>
      </c>
      <c r="L523" s="386">
        <f>SUMIFS(Lending!W$516:W$670,Lending!$E$516:$E$670,"CAKE",Lending!$L$516:$L$670,$B$523)/10^9</f>
        <v>3.8824927000000002E-2</v>
      </c>
      <c r="M523" s="386">
        <f>SUMIFS(Lending!X$516:X$670,Lending!$E$516:$E$670,"CAKE",Lending!$L$516:$L$670,$B$523)/10^9</f>
        <v>0.10440397999999999</v>
      </c>
      <c r="N523" s="386">
        <f>SUMIFS(Lending!Y$516:Y$670,Lending!$E$516:$E$670,"CAKE",Lending!$L$516:$L$670,$B$523)/10^9</f>
        <v>9.4113532999999999E-2</v>
      </c>
      <c r="O523" s="386">
        <f>SUMIFS(Lending!Z$516:Z$670,Lending!$E$516:$E$670,"CAKE",Lending!$L$516:$L$670,$B$523)/10^9</f>
        <v>0.12575704700000001</v>
      </c>
      <c r="P523" s="386">
        <f>SUMIFS(Lending!AA$516:AA$670,Lending!$E$516:$E$670,"CAKE",Lending!$L$516:$L$670,$B$523)/10^9</f>
        <v>2.4403979999999999E-2</v>
      </c>
      <c r="Q523" s="386">
        <f>SUMIFS(Lending!M$516:M$670,Lending!$E$516:$E$670,"CAKE",Lending!$L$516:$L$670,$B$523)/10^9</f>
        <v>0.42750346700000003</v>
      </c>
      <c r="R523" s="391"/>
      <c r="S523" s="391"/>
      <c r="T523" s="391"/>
    </row>
    <row r="524" spans="2:20" ht="15" customHeight="1">
      <c r="B524" s="409" t="s">
        <v>231</v>
      </c>
      <c r="C524" s="386">
        <f>SUMIFS(Lending!N$516:N$670,Lending!$E$516:$E$670,"CAKE",Lending!$L$516:$L$670,$B$524)/10^9</f>
        <v>0</v>
      </c>
      <c r="D524" s="386">
        <f>SUMIFS(Lending!O$516:O$670,Lending!$E$516:$E$670,"CAKE",Lending!$L$516:$L$670,$B$524)/10^9</f>
        <v>0</v>
      </c>
      <c r="E524" s="386">
        <f>SUMIFS(Lending!P$516:P$670,Lending!$E$516:$E$670,"CAKE",Lending!$L$516:$L$670,$B$524)/10^9</f>
        <v>0</v>
      </c>
      <c r="F524" s="386">
        <f>SUMIFS(Lending!Q$516:Q$670,Lending!$E$516:$E$670,"CAKE",Lending!$L$516:$L$670,$B$524)/10^9</f>
        <v>0</v>
      </c>
      <c r="G524" s="386">
        <f>SUMIFS(Lending!R$516:R$670,Lending!$E$516:$E$670,"CAKE",Lending!$L$516:$L$670,$B$524)/10^9</f>
        <v>0</v>
      </c>
      <c r="H524" s="386">
        <f>SUMIFS(Lending!S$516:S$670,Lending!$E$516:$E$670,"CAKE",Lending!$L$516:$L$670,$B$524)/10^9</f>
        <v>0</v>
      </c>
      <c r="I524" s="386">
        <f>SUMIFS(Lending!T$516:T$670,Lending!$E$516:$E$670,"CAKE",Lending!$L$516:$L$670,$B$524)/10^9</f>
        <v>0</v>
      </c>
      <c r="J524" s="386">
        <f>SUMIFS(Lending!U$516:U$670,Lending!$E$516:$E$670,"CAKE",Lending!$L$516:$L$670,$B$524)/10^9</f>
        <v>0</v>
      </c>
      <c r="K524" s="386">
        <f>SUMIFS(Lending!V$516:V$670,Lending!$E$516:$E$670,"CAKE",Lending!$L$516:$L$670,$B$524)/10^9</f>
        <v>0</v>
      </c>
      <c r="L524" s="386">
        <f>SUMIFS(Lending!W$516:W$670,Lending!$E$516:$E$670,"CAKE",Lending!$L$516:$L$670,$B$524)/10^9</f>
        <v>0</v>
      </c>
      <c r="M524" s="386">
        <f>SUMIFS(Lending!X$516:X$670,Lending!$E$516:$E$670,"CAKE",Lending!$L$516:$L$670,$B$524)/10^9</f>
        <v>0</v>
      </c>
      <c r="N524" s="386">
        <f>SUMIFS(Lending!Y$516:Y$670,Lending!$E$516:$E$670,"CAKE",Lending!$L$516:$L$670,$B$524)/10^9</f>
        <v>0</v>
      </c>
      <c r="O524" s="386">
        <f>SUMIFS(Lending!Z$516:Z$670,Lending!$E$516:$E$670,"CAKE",Lending!$L$516:$L$670,$B$524)/10^9</f>
        <v>0</v>
      </c>
      <c r="P524" s="386">
        <f>SUMIFS(Lending!AA$516:AA$670,Lending!$E$516:$E$670,"CAKE",Lending!$L$516:$L$670,$B$524)/10^9</f>
        <v>0</v>
      </c>
      <c r="Q524" s="386">
        <f>SUMIFS(Lending!M$516:M$670,Lending!$E$516:$E$670,"CAKE",Lending!$L$516:$L$670,$B$524)/10^9</f>
        <v>0</v>
      </c>
      <c r="R524" s="391"/>
      <c r="S524" s="391"/>
      <c r="T524" s="391"/>
    </row>
    <row r="525" spans="2:20" ht="15" customHeight="1">
      <c r="B525" s="409" t="s">
        <v>232</v>
      </c>
      <c r="C525" s="386">
        <f>SUMIFS(Lending!N$516:N$670,Lending!$E$516:$E$670,"CAKE",Lending!$L$516:$L$670,$B$525)/10^9</f>
        <v>0</v>
      </c>
      <c r="D525" s="386">
        <f>SUMIFS(Lending!O$516:O$670,Lending!$E$516:$E$670,"CAKE",Lending!$L$516:$L$670,$B$525)/10^9</f>
        <v>0</v>
      </c>
      <c r="E525" s="386">
        <f>SUMIFS(Lending!P$516:P$670,Lending!$E$516:$E$670,"CAKE",Lending!$L$516:$L$670,$B$525)/10^9</f>
        <v>0</v>
      </c>
      <c r="F525" s="386">
        <f>SUMIFS(Lending!Q$516:Q$670,Lending!$E$516:$E$670,"CAKE",Lending!$L$516:$L$670,$B$525)/10^9</f>
        <v>0</v>
      </c>
      <c r="G525" s="386">
        <f>SUMIFS(Lending!R$516:R$670,Lending!$E$516:$E$670,"CAKE",Lending!$L$516:$L$670,$B$525)/10^9</f>
        <v>0</v>
      </c>
      <c r="H525" s="386">
        <f>SUMIFS(Lending!S$516:S$670,Lending!$E$516:$E$670,"CAKE",Lending!$L$516:$L$670,$B$525)/10^9</f>
        <v>0</v>
      </c>
      <c r="I525" s="386">
        <f>SUMIFS(Lending!T$516:T$670,Lending!$E$516:$E$670,"CAKE",Lending!$L$516:$L$670,$B$525)/10^9</f>
        <v>0</v>
      </c>
      <c r="J525" s="386">
        <f>SUMIFS(Lending!U$516:U$670,Lending!$E$516:$E$670,"CAKE",Lending!$L$516:$L$670,$B$525)/10^9</f>
        <v>0</v>
      </c>
      <c r="K525" s="386">
        <f>SUMIFS(Lending!V$516:V$670,Lending!$E$516:$E$670,"CAKE",Lending!$L$516:$L$670,$B$525)/10^9</f>
        <v>0.33863397744855739</v>
      </c>
      <c r="L525" s="386">
        <f>SUMIFS(Lending!W$516:W$670,Lending!$E$516:$E$670,"CAKE",Lending!$L$516:$L$670,$B$525)/10^9</f>
        <v>0.60216191501524718</v>
      </c>
      <c r="M525" s="386">
        <f>SUMIFS(Lending!X$516:X$670,Lending!$E$516:$E$670,"CAKE",Lending!$L$516:$L$670,$B$525)/10^9</f>
        <v>0.67033038533437217</v>
      </c>
      <c r="N525" s="386">
        <f>SUMIFS(Lending!Y$516:Y$670,Lending!$E$516:$E$670,"CAKE",Lending!$L$516:$L$670,$B$525)/10^9</f>
        <v>0.76250325948489528</v>
      </c>
      <c r="O525" s="386">
        <f>SUMIFS(Lending!Z$516:Z$670,Lending!$E$516:$E$670,"CAKE",Lending!$L$516:$L$670,$B$525)/10^9</f>
        <v>0.71919214008755061</v>
      </c>
      <c r="P525" s="386">
        <f>SUMIFS(Lending!AA$516:AA$670,Lending!$E$516:$E$670,"CAKE",Lending!$L$516:$L$670,$B$525)/10^9</f>
        <v>0.87762919241843995</v>
      </c>
      <c r="Q525" s="386">
        <f>SUMIFS(Lending!M$516:M$670,Lending!$E$516:$E$670,"CAKE",Lending!$L$516:$L$670,$B$525)/10^9</f>
        <v>3.9704508697890626</v>
      </c>
      <c r="R525" s="391"/>
      <c r="S525" s="391"/>
      <c r="T525" s="391"/>
    </row>
    <row r="526" spans="2:20" ht="15" customHeight="1">
      <c r="B526" s="409" t="s">
        <v>233</v>
      </c>
      <c r="C526" s="386">
        <f>SUMIFS(Lending!N$516:N$670,Lending!$E$516:$E$670,"CAKE",Lending!$L$516:$L$670,$B$526)/10^9</f>
        <v>0</v>
      </c>
      <c r="D526" s="386">
        <f>SUMIFS(Lending!O$516:O$670,Lending!$E$516:$E$670,"CAKE",Lending!$L$516:$L$670,$B$526)/10^9</f>
        <v>0</v>
      </c>
      <c r="E526" s="386">
        <f>SUMIFS(Lending!P$516:P$670,Lending!$E$516:$E$670,"CAKE",Lending!$L$516:$L$670,$B$526)/10^9</f>
        <v>0</v>
      </c>
      <c r="F526" s="386">
        <f>SUMIFS(Lending!Q$516:Q$670,Lending!$E$516:$E$670,"CAKE",Lending!$L$516:$L$670,$B$526)/10^9</f>
        <v>0</v>
      </c>
      <c r="G526" s="386">
        <f>SUMIFS(Lending!R$516:R$670,Lending!$E$516:$E$670,"CAKE",Lending!$L$516:$L$670,$B$526)/10^9</f>
        <v>0</v>
      </c>
      <c r="H526" s="386">
        <f>SUMIFS(Lending!S$516:S$670,Lending!$E$516:$E$670,"CAKE",Lending!$L$516:$L$670,$B$526)/10^9</f>
        <v>0</v>
      </c>
      <c r="I526" s="386">
        <f>SUMIFS(Lending!T$516:T$670,Lending!$E$516:$E$670,"CAKE",Lending!$L$516:$L$670,$B$526)/10^9</f>
        <v>0</v>
      </c>
      <c r="J526" s="386">
        <f>SUMIFS(Lending!U$516:U$670,Lending!$E$516:$E$670,"CAKE",Lending!$L$516:$L$670,$B$526)/10^9</f>
        <v>0</v>
      </c>
      <c r="K526" s="386">
        <f>SUMIFS(Lending!V$516:V$670,Lending!$E$516:$E$670,"CAKE",Lending!$L$516:$L$670,$B$526)/10^9</f>
        <v>1.6497794999999999E-2</v>
      </c>
      <c r="L526" s="386">
        <f>SUMIFS(Lending!W$516:W$670,Lending!$E$516:$E$670,"CAKE",Lending!$L$516:$L$670,$B$526)/10^9</f>
        <v>3.7018919999999997E-2</v>
      </c>
      <c r="M526" s="386">
        <f>SUMIFS(Lending!X$516:X$670,Lending!$E$516:$E$670,"CAKE",Lending!$L$516:$L$670,$B$526)/10^9</f>
        <v>5.6309037999999999E-2</v>
      </c>
      <c r="N526" s="386">
        <f>SUMIFS(Lending!Y$516:Y$670,Lending!$E$516:$E$670,"CAKE",Lending!$L$516:$L$670,$B$526)/10^9</f>
        <v>7.3589575000000004E-2</v>
      </c>
      <c r="O526" s="386">
        <f>SUMIFS(Lending!Z$516:Z$670,Lending!$E$516:$E$670,"CAKE",Lending!$L$516:$L$670,$B$526)/10^9</f>
        <v>7.8132234999999994E-2</v>
      </c>
      <c r="P526" s="386">
        <f>SUMIFS(Lending!AA$516:AA$670,Lending!$E$516:$E$670,"CAKE",Lending!$L$516:$L$670,$B$526)/10^9</f>
        <v>9.197226E-2</v>
      </c>
      <c r="Q526" s="386">
        <f>SUMIFS(Lending!M$516:M$670,Lending!$E$516:$E$670,"CAKE",Lending!$L$516:$L$670,$B$526)/10^9</f>
        <v>0.35351982300000001</v>
      </c>
      <c r="R526" s="391"/>
      <c r="S526" s="391"/>
      <c r="T526" s="391"/>
    </row>
    <row r="527" spans="2:20" ht="15" customHeight="1">
      <c r="B527" s="409" t="s">
        <v>152</v>
      </c>
      <c r="C527" s="386">
        <f>SUMIFS(Lending!N$516:N$670,Lending!$E$516:$E$670,"CAKE",Lending!$L$516:$L$670,$B$527)/10^9</f>
        <v>0</v>
      </c>
      <c r="D527" s="386">
        <f>SUMIFS(Lending!O$516:O$670,Lending!$E$516:$E$670,"CAKE",Lending!$L$516:$L$670,$B$527)/10^9</f>
        <v>0</v>
      </c>
      <c r="E527" s="386">
        <f>SUMIFS(Lending!P$516:P$670,Lending!$E$516:$E$670,"CAKE",Lending!$L$516:$L$670,$B$527)/10^9</f>
        <v>0</v>
      </c>
      <c r="F527" s="386">
        <f>SUMIFS(Lending!Q$516:Q$670,Lending!$E$516:$E$670,"CAKE",Lending!$L$516:$L$670,$B$527)/10^9</f>
        <v>0</v>
      </c>
      <c r="G527" s="386">
        <f>SUMIFS(Lending!R$516:R$670,Lending!$E$516:$E$670,"CAKE",Lending!$L$516:$L$670,$B$527)/10^9</f>
        <v>0</v>
      </c>
      <c r="H527" s="386">
        <f>SUMIFS(Lending!S$516:S$670,Lending!$E$516:$E$670,"CAKE",Lending!$L$516:$L$670,$B$527)/10^9</f>
        <v>0</v>
      </c>
      <c r="I527" s="386">
        <f>SUMIFS(Lending!T$516:T$670,Lending!$E$516:$E$670,"CAKE",Lending!$L$516:$L$670,$B$527)/10^9</f>
        <v>0</v>
      </c>
      <c r="J527" s="386">
        <f>SUMIFS(Lending!U$516:U$670,Lending!$E$516:$E$670,"CAKE",Lending!$L$516:$L$670,$B$527)/10^9</f>
        <v>0</v>
      </c>
      <c r="K527" s="386">
        <f>SUMIFS(Lending!V$516:V$670,Lending!$E$516:$E$670,"CAKE",Lending!$L$516:$L$670,$B$527)/10^9</f>
        <v>1.4806008834257024E-2</v>
      </c>
      <c r="L527" s="386">
        <f>SUMIFS(Lending!W$516:W$670,Lending!$E$516:$E$670,"CAKE",Lending!$L$516:$L$670,$B$527)/10^9</f>
        <v>2.2326366153528818E-2</v>
      </c>
      <c r="M527" s="386">
        <f>SUMIFS(Lending!X$516:X$670,Lending!$E$516:$E$670,"CAKE",Lending!$L$516:$L$670,$B$527)/10^9</f>
        <v>2.2427585003154709E-2</v>
      </c>
      <c r="N527" s="386">
        <f>SUMIFS(Lending!Y$516:Y$670,Lending!$E$516:$E$670,"CAKE",Lending!$L$516:$L$670,$B$527)/10^9</f>
        <v>2.6901241311590211E-2</v>
      </c>
      <c r="O527" s="386">
        <f>SUMIFS(Lending!Z$516:Z$670,Lending!$E$516:$E$670,"CAKE",Lending!$L$516:$L$670,$B$527)/10^9</f>
        <v>2.8758788670484217E-2</v>
      </c>
      <c r="P527" s="386">
        <f>SUMIFS(Lending!AA$516:AA$670,Lending!$E$516:$E$670,"CAKE",Lending!$L$516:$L$670,$B$527)/10^9</f>
        <v>3.7924410394762034E-2</v>
      </c>
      <c r="Q527" s="386">
        <f>SUMIFS(Lending!M$516:M$670,Lending!$E$516:$E$670,"CAKE",Lending!$L$516:$L$670,$B$527)/10^9</f>
        <v>0.15314440036777702</v>
      </c>
      <c r="R527" s="391"/>
      <c r="S527" s="391"/>
      <c r="T527" s="391"/>
    </row>
    <row r="528" spans="2:20" ht="15" customHeight="1">
      <c r="B528" s="409" t="s">
        <v>234</v>
      </c>
      <c r="C528" s="386">
        <f>SUMIFS(Lending!N$516:N$670,Lending!$E$516:$E$670,"CAKE",Lending!$L$516:$L$670,$B$528)/10^9</f>
        <v>0</v>
      </c>
      <c r="D528" s="386">
        <f>SUMIFS(Lending!O$516:O$670,Lending!$E$516:$E$670,"CAKE",Lending!$L$516:$L$670,$B$528)/10^9</f>
        <v>0</v>
      </c>
      <c r="E528" s="386">
        <f>SUMIFS(Lending!P$516:P$670,Lending!$E$516:$E$670,"CAKE",Lending!$L$516:$L$670,$B$528)/10^9</f>
        <v>0</v>
      </c>
      <c r="F528" s="386">
        <f>SUMIFS(Lending!Q$516:Q$670,Lending!$E$516:$E$670,"CAKE",Lending!$L$516:$L$670,$B$528)/10^9</f>
        <v>0</v>
      </c>
      <c r="G528" s="386">
        <f>SUMIFS(Lending!R$516:R$670,Lending!$E$516:$E$670,"CAKE",Lending!$L$516:$L$670,$B$528)/10^9</f>
        <v>0</v>
      </c>
      <c r="H528" s="386">
        <f>SUMIFS(Lending!S$516:S$670,Lending!$E$516:$E$670,"CAKE",Lending!$L$516:$L$670,$B$528)/10^9</f>
        <v>0</v>
      </c>
      <c r="I528" s="386">
        <f>SUMIFS(Lending!T$516:T$670,Lending!$E$516:$E$670,"CAKE",Lending!$L$516:$L$670,$B$528)/10^9</f>
        <v>0</v>
      </c>
      <c r="J528" s="386">
        <f>SUMIFS(Lending!U$516:U$670,Lending!$E$516:$E$670,"CAKE",Lending!$L$516:$L$670,$B$528)/10^9</f>
        <v>0</v>
      </c>
      <c r="K528" s="386">
        <f>SUMIFS(Lending!V$516:V$670,Lending!$E$516:$E$670,"CAKE",Lending!$L$516:$L$670,$B$528)/10^9</f>
        <v>0</v>
      </c>
      <c r="L528" s="386">
        <f>SUMIFS(Lending!W$516:W$670,Lending!$E$516:$E$670,"CAKE",Lending!$L$516:$L$670,$B$528)/10^9</f>
        <v>3.7462818920080382E-2</v>
      </c>
      <c r="M528" s="386">
        <f>SUMIFS(Lending!X$516:X$670,Lending!$E$516:$E$670,"CAKE",Lending!$L$516:$L$670,$B$528)/10^9</f>
        <v>7.1001474566656106E-2</v>
      </c>
      <c r="N528" s="386">
        <f>SUMIFS(Lending!Y$516:Y$670,Lending!$E$516:$E$670,"CAKE",Lending!$L$516:$L$670,$B$528)/10^9</f>
        <v>0.22963213591735288</v>
      </c>
      <c r="O528" s="386">
        <f>SUMIFS(Lending!Z$516:Z$670,Lending!$E$516:$E$670,"CAKE",Lending!$L$516:$L$670,$B$528)/10^9</f>
        <v>0.33176053383567694</v>
      </c>
      <c r="P528" s="386">
        <f>SUMIFS(Lending!AA$516:AA$670,Lending!$E$516:$E$670,"CAKE",Lending!$L$516:$L$670,$B$528)/10^9</f>
        <v>0.36119790562934295</v>
      </c>
      <c r="Q528" s="386">
        <f>SUMIFS(Lending!M$516:M$670,Lending!$E$516:$E$670,"CAKE",Lending!$L$516:$L$670,$B$528)/10^9</f>
        <v>1.0310548688691095</v>
      </c>
      <c r="R528" s="391"/>
      <c r="S528" s="391"/>
      <c r="T528" s="391"/>
    </row>
    <row r="529" spans="2:20" ht="15" customHeight="1">
      <c r="B529" s="409" t="s">
        <v>235</v>
      </c>
      <c r="C529" s="386">
        <f>SUMIFS(Lending!N$516:N$670,Lending!$E$516:$E$670,"CAKE",Lending!$L$516:$L$670,$B$529)/10^9</f>
        <v>0</v>
      </c>
      <c r="D529" s="386">
        <f>SUMIFS(Lending!O$516:O$670,Lending!$E$516:$E$670,"CAKE",Lending!$L$516:$L$670,$B$529)/10^9</f>
        <v>0</v>
      </c>
      <c r="E529" s="386">
        <f>SUMIFS(Lending!P$516:P$670,Lending!$E$516:$E$670,"CAKE",Lending!$L$516:$L$670,$B$529)/10^9</f>
        <v>0</v>
      </c>
      <c r="F529" s="386">
        <f>SUMIFS(Lending!Q$516:Q$670,Lending!$E$516:$E$670,"CAKE",Lending!$L$516:$L$670,$B$529)/10^9</f>
        <v>0</v>
      </c>
      <c r="G529" s="386">
        <f>SUMIFS(Lending!R$516:R$670,Lending!$E$516:$E$670,"CAKE",Lending!$L$516:$L$670,$B$529)/10^9</f>
        <v>0</v>
      </c>
      <c r="H529" s="386">
        <f>SUMIFS(Lending!S$516:S$670,Lending!$E$516:$E$670,"CAKE",Lending!$L$516:$L$670,$B$529)/10^9</f>
        <v>0</v>
      </c>
      <c r="I529" s="386">
        <f>SUMIFS(Lending!T$516:T$670,Lending!$E$516:$E$670,"CAKE",Lending!$L$516:$L$670,$B$529)/10^9</f>
        <v>0</v>
      </c>
      <c r="J529" s="386">
        <f>SUMIFS(Lending!U$516:U$670,Lending!$E$516:$E$670,"CAKE",Lending!$L$516:$L$670,$B$529)/10^9</f>
        <v>0</v>
      </c>
      <c r="K529" s="386">
        <f>SUMIFS(Lending!V$516:V$670,Lending!$E$516:$E$670,"CAKE",Lending!$L$516:$L$670,$B$529)/10^9</f>
        <v>0</v>
      </c>
      <c r="L529" s="386">
        <f>SUMIFS(Lending!W$516:W$670,Lending!$E$516:$E$670,"CAKE",Lending!$L$516:$L$670,$B$529)/10^9</f>
        <v>0</v>
      </c>
      <c r="M529" s="386">
        <f>SUMIFS(Lending!X$516:X$670,Lending!$E$516:$E$670,"CAKE",Lending!$L$516:$L$670,$B$529)/10^9</f>
        <v>0</v>
      </c>
      <c r="N529" s="386">
        <f>SUMIFS(Lending!Y$516:Y$670,Lending!$E$516:$E$670,"CAKE",Lending!$L$516:$L$670,$B$529)/10^9</f>
        <v>0</v>
      </c>
      <c r="O529" s="386">
        <f>SUMIFS(Lending!Z$516:Z$670,Lending!$E$516:$E$670,"CAKE",Lending!$L$516:$L$670,$B$529)/10^9</f>
        <v>0</v>
      </c>
      <c r="P529" s="386">
        <f>SUMIFS(Lending!AA$516:AA$670,Lending!$E$516:$E$670,"CAKE",Lending!$L$516:$L$670,$B$529)/10^9</f>
        <v>0</v>
      </c>
      <c r="Q529" s="386">
        <f>SUMIFS(Lending!M$516:M$670,Lending!$E$516:$E$670,"CAKE",Lending!$L$516:$L$670,$B$529)/10^9</f>
        <v>0</v>
      </c>
      <c r="R529" s="391"/>
      <c r="S529" s="391"/>
      <c r="T529" s="391"/>
    </row>
    <row r="530" spans="2:20" ht="15" customHeight="1">
      <c r="B530" s="409" t="s">
        <v>163</v>
      </c>
      <c r="C530" s="386">
        <f>SUMIFS(Lending!N$516:N$670,Lending!$E$516:$E$670,"CAKE",Lending!$L$516:$L$670,$B$530)/10^9</f>
        <v>0</v>
      </c>
      <c r="D530" s="386">
        <f>SUMIFS(Lending!O$516:O$670,Lending!$E$516:$E$670,"CAKE",Lending!$L$516:$L$670,$B$530)/10^9</f>
        <v>0</v>
      </c>
      <c r="E530" s="386">
        <f>SUMIFS(Lending!P$516:P$670,Lending!$E$516:$E$670,"CAKE",Lending!$L$516:$L$670,$B$530)/10^9</f>
        <v>0</v>
      </c>
      <c r="F530" s="386">
        <f>SUMIFS(Lending!Q$516:Q$670,Lending!$E$516:$E$670,"CAKE",Lending!$L$516:$L$670,$B$530)/10^9</f>
        <v>0</v>
      </c>
      <c r="G530" s="386">
        <f>SUMIFS(Lending!R$516:R$670,Lending!$E$516:$E$670,"CAKE",Lending!$L$516:$L$670,$B$530)/10^9</f>
        <v>0</v>
      </c>
      <c r="H530" s="386">
        <f>SUMIFS(Lending!S$516:S$670,Lending!$E$516:$E$670,"CAKE",Lending!$L$516:$L$670,$B$530)/10^9</f>
        <v>0</v>
      </c>
      <c r="I530" s="386">
        <f>SUMIFS(Lending!T$516:T$670,Lending!$E$516:$E$670,"CAKE",Lending!$L$516:$L$670,$B$530)/10^9</f>
        <v>0</v>
      </c>
      <c r="J530" s="386">
        <f>SUMIFS(Lending!U$516:U$670,Lending!$E$516:$E$670,"CAKE",Lending!$L$516:$L$670,$B$530)/10^9</f>
        <v>0</v>
      </c>
      <c r="K530" s="386">
        <f>SUMIFS(Lending!V$516:V$670,Lending!$E$516:$E$670,"CAKE",Lending!$L$516:$L$670,$B$530)/10^9</f>
        <v>0</v>
      </c>
      <c r="L530" s="386">
        <f>SUMIFS(Lending!W$516:W$670,Lending!$E$516:$E$670,"CAKE",Lending!$L$516:$L$670,$B$530)/10^9</f>
        <v>5.9218237007461561E-4</v>
      </c>
      <c r="M530" s="386">
        <f>SUMIFS(Lending!X$516:X$670,Lending!$E$516:$E$670,"CAKE",Lending!$L$516:$L$670,$B$530)/10^9</f>
        <v>2.0231296906449498E-2</v>
      </c>
      <c r="N530" s="386">
        <f>SUMIFS(Lending!Y$516:Y$670,Lending!$E$516:$E$670,"CAKE",Lending!$L$516:$L$670,$B$530)/10^9</f>
        <v>3.6220889842875692E-2</v>
      </c>
      <c r="O530" s="386">
        <f>SUMIFS(Lending!Z$516:Z$670,Lending!$E$516:$E$670,"CAKE",Lending!$L$516:$L$670,$B$530)/10^9</f>
        <v>4.1324868378556333E-2</v>
      </c>
      <c r="P530" s="386">
        <f>SUMIFS(Lending!AA$516:AA$670,Lending!$E$516:$E$670,"CAKE",Lending!$L$516:$L$670,$B$530)/10^9</f>
        <v>3.9687249180057942E-2</v>
      </c>
      <c r="Q530" s="386">
        <f>SUMIFS(Lending!M$516:M$670,Lending!$E$516:$E$670,"CAKE",Lending!$L$516:$L$670,$B$530)/10^9</f>
        <v>0.13805648667801407</v>
      </c>
      <c r="R530" s="391"/>
      <c r="S530" s="391"/>
      <c r="T530" s="391"/>
    </row>
    <row r="531" spans="2:20" ht="15" customHeight="1">
      <c r="B531" s="409" t="s">
        <v>697</v>
      </c>
      <c r="C531" s="391">
        <f>C527+C530</f>
        <v>0</v>
      </c>
      <c r="D531" s="391">
        <f t="shared" ref="D531:P531" si="373">D527+D530</f>
        <v>0</v>
      </c>
      <c r="E531" s="391">
        <f t="shared" si="373"/>
        <v>0</v>
      </c>
      <c r="F531" s="391">
        <f t="shared" si="373"/>
        <v>0</v>
      </c>
      <c r="G531" s="391">
        <f t="shared" si="373"/>
        <v>0</v>
      </c>
      <c r="H531" s="391">
        <f t="shared" si="373"/>
        <v>0</v>
      </c>
      <c r="I531" s="391">
        <f t="shared" si="373"/>
        <v>0</v>
      </c>
      <c r="J531" s="391">
        <f t="shared" si="373"/>
        <v>0</v>
      </c>
      <c r="K531" s="391">
        <f t="shared" si="373"/>
        <v>1.4806008834257024E-2</v>
      </c>
      <c r="L531" s="391">
        <f t="shared" si="373"/>
        <v>2.2918548523603435E-2</v>
      </c>
      <c r="M531" s="391">
        <f t="shared" si="373"/>
        <v>4.2658881909604207E-2</v>
      </c>
      <c r="N531" s="391">
        <f t="shared" si="373"/>
        <v>6.312213115446591E-2</v>
      </c>
      <c r="O531" s="391">
        <f t="shared" si="373"/>
        <v>7.0083657049040543E-2</v>
      </c>
      <c r="P531" s="391">
        <f t="shared" si="373"/>
        <v>7.7611659574819969E-2</v>
      </c>
      <c r="Q531" s="391">
        <f>Q527+Q530</f>
        <v>0.29120088704579106</v>
      </c>
      <c r="R531" s="391"/>
      <c r="S531" s="391"/>
      <c r="T531" s="391"/>
    </row>
    <row r="532" spans="2:20" ht="15" hidden="1" customHeight="1">
      <c r="B532" s="409" t="s">
        <v>625</v>
      </c>
      <c r="C532" s="469"/>
      <c r="D532" s="469"/>
      <c r="E532" s="469"/>
      <c r="F532" s="469"/>
      <c r="G532" s="469"/>
      <c r="H532" s="469"/>
      <c r="I532" s="469"/>
      <c r="J532" s="469" t="e">
        <f t="shared" ref="J532:P532" si="374">J515/J513</f>
        <v>#DIV/0!</v>
      </c>
      <c r="K532" s="469">
        <f t="shared" si="374"/>
        <v>4.144402955902831E-3</v>
      </c>
      <c r="L532" s="469">
        <f t="shared" si="374"/>
        <v>3.5639538536765353E-2</v>
      </c>
      <c r="M532" s="469">
        <f t="shared" si="374"/>
        <v>9.8531499573827286E-2</v>
      </c>
      <c r="N532" s="469">
        <f t="shared" si="374"/>
        <v>0.11103433425946933</v>
      </c>
      <c r="O532" s="469">
        <f t="shared" si="374"/>
        <v>0.15014854746351555</v>
      </c>
      <c r="P532" s="469">
        <f t="shared" si="374"/>
        <v>0.17356731868190969</v>
      </c>
    </row>
    <row r="533" spans="2:20" ht="15" customHeight="1">
      <c r="B533" s="828" t="s">
        <v>626</v>
      </c>
      <c r="C533" s="469" t="e">
        <f>C516/C513</f>
        <v>#DIV/0!</v>
      </c>
      <c r="D533" s="469" t="e">
        <f t="shared" ref="D533:P533" si="375">D516/D513</f>
        <v>#DIV/0!</v>
      </c>
      <c r="E533" s="469" t="e">
        <f t="shared" si="375"/>
        <v>#DIV/0!</v>
      </c>
      <c r="F533" s="469" t="e">
        <f t="shared" si="375"/>
        <v>#DIV/0!</v>
      </c>
      <c r="G533" s="469" t="e">
        <f t="shared" si="375"/>
        <v>#DIV/0!</v>
      </c>
      <c r="H533" s="469" t="e">
        <f t="shared" si="375"/>
        <v>#DIV/0!</v>
      </c>
      <c r="I533" s="469" t="e">
        <f t="shared" si="375"/>
        <v>#DIV/0!</v>
      </c>
      <c r="J533" s="469" t="e">
        <f t="shared" si="375"/>
        <v>#DIV/0!</v>
      </c>
      <c r="K533" s="469">
        <f t="shared" si="375"/>
        <v>4.144402955902831E-3</v>
      </c>
      <c r="L533" s="469">
        <f t="shared" si="375"/>
        <v>3.5617101088987552E-2</v>
      </c>
      <c r="M533" s="469">
        <f t="shared" si="375"/>
        <v>9.7959546922091786E-2</v>
      </c>
      <c r="N533" s="469">
        <f t="shared" si="375"/>
        <v>0.11003192293920132</v>
      </c>
      <c r="O533" s="469">
        <f t="shared" si="375"/>
        <v>0.12928931912484315</v>
      </c>
      <c r="P533" s="469">
        <f t="shared" si="375"/>
        <v>0.13069220428965078</v>
      </c>
    </row>
    <row r="534" spans="2:20" ht="15" customHeight="1">
      <c r="B534" s="352" t="s">
        <v>627</v>
      </c>
      <c r="C534" s="469" t="e">
        <f>Lending!N608</f>
        <v>#DIV/0!</v>
      </c>
      <c r="D534" s="469" t="e">
        <f>Lending!O608</f>
        <v>#DIV/0!</v>
      </c>
      <c r="E534" s="469" t="e">
        <f>Lending!P608</f>
        <v>#DIV/0!</v>
      </c>
      <c r="F534" s="469" t="e">
        <f>Lending!Q608</f>
        <v>#DIV/0!</v>
      </c>
      <c r="G534" s="469" t="e">
        <f>Lending!R608</f>
        <v>#DIV/0!</v>
      </c>
      <c r="H534" s="469" t="e">
        <f>Lending!S608</f>
        <v>#DIV/0!</v>
      </c>
      <c r="I534" s="469" t="e">
        <f>Lending!T608</f>
        <v>#DIV/0!</v>
      </c>
      <c r="J534" s="469" t="e">
        <f>Lending!U608</f>
        <v>#DIV/0!</v>
      </c>
      <c r="K534" s="469">
        <f>Lending!V608</f>
        <v>0</v>
      </c>
      <c r="L534" s="469">
        <f>Lending!W608</f>
        <v>0</v>
      </c>
      <c r="M534" s="469">
        <f>Lending!X608</f>
        <v>0</v>
      </c>
      <c r="N534" s="469">
        <f>Lending!Y608</f>
        <v>0</v>
      </c>
      <c r="O534" s="469">
        <f>Lending!Z608</f>
        <v>1.801310743301366E-2</v>
      </c>
      <c r="P534" s="469">
        <f>Lending!AA608</f>
        <v>2.8294389263682575E-2</v>
      </c>
    </row>
    <row r="535" spans="2:20" ht="15" customHeight="1">
      <c r="B535" s="393" t="s">
        <v>628</v>
      </c>
      <c r="C535" s="394" t="e">
        <f>Lending!N609</f>
        <v>#DIV/0!</v>
      </c>
      <c r="D535" s="394" t="e">
        <f>Lending!O609</f>
        <v>#DIV/0!</v>
      </c>
      <c r="E535" s="394" t="e">
        <f>Lending!P609</f>
        <v>#DIV/0!</v>
      </c>
      <c r="F535" s="394" t="e">
        <f>Lending!Q609</f>
        <v>#DIV/0!</v>
      </c>
      <c r="G535" s="394" t="e">
        <f>Lending!R609</f>
        <v>#DIV/0!</v>
      </c>
      <c r="H535" s="394" t="e">
        <f>Lending!S609</f>
        <v>#DIV/0!</v>
      </c>
      <c r="I535" s="394" t="e">
        <f>Lending!T609</f>
        <v>#DIV/0!</v>
      </c>
      <c r="J535" s="394" t="e">
        <f>Lending!U609</f>
        <v>#DIV/0!</v>
      </c>
      <c r="K535" s="394">
        <f>Lending!V609</f>
        <v>0</v>
      </c>
      <c r="L535" s="394">
        <f>Lending!W609</f>
        <v>2.2437447777807003E-5</v>
      </c>
      <c r="M535" s="394">
        <f>Lending!X609</f>
        <v>5.7195265173548961E-4</v>
      </c>
      <c r="N535" s="394">
        <f>Lending!Y609</f>
        <v>1.0024113202680056E-3</v>
      </c>
      <c r="O535" s="394">
        <f>Lending!Z609</f>
        <v>2.0859228338672403E-2</v>
      </c>
      <c r="P535" s="394">
        <f>Lending!AA609</f>
        <v>4.2875114392258905E-2</v>
      </c>
      <c r="Q535" s="394"/>
      <c r="R535" s="469"/>
      <c r="S535" s="469"/>
      <c r="T535" s="469"/>
    </row>
    <row r="536" spans="2:20" ht="15" customHeight="1">
      <c r="B536" s="361" t="s">
        <v>236</v>
      </c>
      <c r="C536" s="383">
        <f>C517-C521-C522</f>
        <v>0</v>
      </c>
      <c r="D536" s="383">
        <f t="shared" ref="D536:P536" si="376">D517-D521-D522</f>
        <v>0</v>
      </c>
      <c r="E536" s="383">
        <f t="shared" si="376"/>
        <v>0</v>
      </c>
      <c r="F536" s="383">
        <f t="shared" si="376"/>
        <v>0</v>
      </c>
      <c r="G536" s="383">
        <f t="shared" si="376"/>
        <v>0</v>
      </c>
      <c r="H536" s="383">
        <f t="shared" si="376"/>
        <v>0</v>
      </c>
      <c r="I536" s="383">
        <f t="shared" si="376"/>
        <v>0</v>
      </c>
      <c r="J536" s="383">
        <f t="shared" si="376"/>
        <v>0</v>
      </c>
      <c r="K536" s="383">
        <f>K517-K521-K522</f>
        <v>2.9621123767171857</v>
      </c>
      <c r="L536" s="383">
        <f t="shared" si="376"/>
        <v>9.5703493135410707</v>
      </c>
      <c r="M536" s="383">
        <f t="shared" si="376"/>
        <v>14.449158699189368</v>
      </c>
      <c r="N536" s="383">
        <f t="shared" si="376"/>
        <v>21.278110255443291</v>
      </c>
      <c r="O536" s="383">
        <f t="shared" si="376"/>
        <v>21.62326063802773</v>
      </c>
      <c r="P536" s="383">
        <f t="shared" si="376"/>
        <v>25.5234119003774</v>
      </c>
      <c r="Q536" s="383">
        <f>Q517-Q521-Q522</f>
        <v>95.406403183296021</v>
      </c>
      <c r="R536" s="383"/>
      <c r="S536" s="383"/>
      <c r="T536" s="383"/>
    </row>
  </sheetData>
  <phoneticPr fontId="18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3CF19-64CE-4F06-892F-E49758574270}">
  <sheetPr>
    <tabColor rgb="FF92D050"/>
  </sheetPr>
  <dimension ref="A1:X123"/>
  <sheetViews>
    <sheetView topLeftCell="A83" zoomScale="70" zoomScaleNormal="70" workbookViewId="0">
      <selection activeCell="S121" sqref="S121"/>
    </sheetView>
  </sheetViews>
  <sheetFormatPr baseColWidth="10" defaultColWidth="8.83203125" defaultRowHeight="15"/>
  <cols>
    <col min="1" max="1" width="24.5" customWidth="1"/>
    <col min="2" max="12" width="18.1640625" hidden="1" customWidth="1"/>
    <col min="13" max="13" width="18.1640625" customWidth="1"/>
    <col min="14" max="14" width="21.5" customWidth="1"/>
    <col min="15" max="15" width="19.6640625" customWidth="1"/>
    <col min="16" max="16" width="15.83203125" customWidth="1"/>
    <col min="17" max="17" width="20" hidden="1" customWidth="1"/>
    <col min="18" max="19" width="18.1640625" customWidth="1"/>
    <col min="20" max="20" width="13.33203125" customWidth="1"/>
    <col min="21" max="21" width="12.83203125" customWidth="1"/>
    <col min="22" max="22" width="12.5" customWidth="1"/>
    <col min="23" max="23" width="13.83203125" customWidth="1"/>
    <col min="24" max="24" width="14.5" customWidth="1"/>
    <col min="25" max="25" width="14" customWidth="1"/>
    <col min="26" max="26" width="19.33203125" customWidth="1"/>
    <col min="27" max="27" width="18.1640625" customWidth="1"/>
  </cols>
  <sheetData>
    <row r="1" spans="1:24" ht="27.75" customHeight="1"/>
    <row r="2" spans="1:24" ht="31">
      <c r="A2" s="360" t="s">
        <v>702</v>
      </c>
      <c r="B2" s="90">
        <v>45962</v>
      </c>
      <c r="C2" s="90">
        <v>45992</v>
      </c>
      <c r="D2" s="75">
        <v>45658</v>
      </c>
      <c r="E2" s="75">
        <v>45689</v>
      </c>
      <c r="F2" s="75">
        <v>45717</v>
      </c>
      <c r="G2" s="75">
        <v>45748</v>
      </c>
      <c r="H2" s="75">
        <v>45778</v>
      </c>
      <c r="I2" s="75">
        <v>45809</v>
      </c>
      <c r="J2" s="90">
        <v>45839</v>
      </c>
      <c r="K2" s="90">
        <v>45870</v>
      </c>
      <c r="L2" s="90">
        <v>45901</v>
      </c>
      <c r="M2" s="90">
        <v>45931</v>
      </c>
      <c r="N2" s="90">
        <v>45962</v>
      </c>
      <c r="O2" s="90">
        <v>45992</v>
      </c>
      <c r="P2" s="78" t="s">
        <v>76</v>
      </c>
      <c r="Q2" s="78" t="s">
        <v>174</v>
      </c>
      <c r="R2" s="78" t="s">
        <v>175</v>
      </c>
      <c r="S2" s="79" t="s">
        <v>173</v>
      </c>
      <c r="T2" s="77" t="s">
        <v>576</v>
      </c>
    </row>
    <row r="3" spans="1:24">
      <c r="A3" s="361" t="s">
        <v>199</v>
      </c>
      <c r="B3" s="574">
        <f>Card!K176/10^9</f>
        <v>10.061120000000001</v>
      </c>
      <c r="C3" s="574">
        <f>Card!L176/10^9</f>
        <v>11.90405</v>
      </c>
      <c r="D3" s="574">
        <f>Card!M176/10^9</f>
        <v>10.9907074</v>
      </c>
      <c r="E3" s="574">
        <f>Card!N176/10^9</f>
        <v>7.7331042080000003</v>
      </c>
      <c r="F3" s="574">
        <f>Card!O176/10^9</f>
        <v>10.891578129000001</v>
      </c>
      <c r="G3" s="574">
        <f>Card!P176/10^9</f>
        <v>10.187638078000001</v>
      </c>
      <c r="H3" s="574">
        <f>Card!Q176/10^9</f>
        <v>9.1448848280000004</v>
      </c>
      <c r="I3" s="574">
        <f>Card!R176/10^9</f>
        <v>8.3411821699999997</v>
      </c>
      <c r="J3" s="574">
        <f>Card!S176/10^9</f>
        <v>9.4731921589999999</v>
      </c>
      <c r="K3" s="574">
        <f>Card!T176/10^9</f>
        <v>10.181878663000001</v>
      </c>
      <c r="L3" s="574">
        <f>Card!U176/10^9</f>
        <v>9.2907445200000005</v>
      </c>
      <c r="M3" s="574">
        <f>Card!V176/10^9</f>
        <v>10.904891291</v>
      </c>
      <c r="N3" s="574">
        <f>Card!W176/10^9</f>
        <v>10.731498029000001</v>
      </c>
      <c r="O3" s="574">
        <f>Card!X176/10^9</f>
        <v>13.858453827</v>
      </c>
      <c r="P3" s="527">
        <f>SUM(D3:O3)</f>
        <v>121.72975330200001</v>
      </c>
      <c r="Q3" s="763">
        <f>SUM('BG 2025 CC_PL'!AR501:BB501)</f>
        <v>91.070999999999998</v>
      </c>
      <c r="R3" s="372">
        <f>SUM('BG 2025 CC_PL'!AR501:BC501)</f>
        <v>100</v>
      </c>
      <c r="S3" s="362">
        <f t="shared" ref="S3:S24" si="0">P3-Q3</f>
        <v>30.658753302000008</v>
      </c>
      <c r="T3" s="517">
        <f>P3/R3</f>
        <v>1.21729753302</v>
      </c>
      <c r="U3" s="5"/>
      <c r="V3" s="42"/>
      <c r="W3" s="362"/>
      <c r="X3" s="362"/>
    </row>
    <row r="4" spans="1:24">
      <c r="A4" s="361" t="s">
        <v>82</v>
      </c>
      <c r="B4" s="574">
        <f>Card!K177/10^9</f>
        <v>20.006536876999998</v>
      </c>
      <c r="C4" s="574">
        <f>Card!L177/10^9</f>
        <v>19.933912592999999</v>
      </c>
      <c r="D4" s="574">
        <f>Card!M177/10^9</f>
        <v>20.19964396</v>
      </c>
      <c r="E4" s="574">
        <f>Card!N177/10^9</f>
        <v>19.083005282999999</v>
      </c>
      <c r="F4" s="574">
        <f>Card!O177/10^9</f>
        <v>18.261998690999999</v>
      </c>
      <c r="G4" s="574">
        <f>Card!P177/10^9</f>
        <v>18.403455863000001</v>
      </c>
      <c r="H4" s="574">
        <f>Card!Q177/10^9</f>
        <v>17.960888719</v>
      </c>
      <c r="I4" s="574">
        <f>Card!R177/10^9</f>
        <v>17.963673027999999</v>
      </c>
      <c r="J4" s="574">
        <f>Card!S177/10^9</f>
        <v>17.760851743</v>
      </c>
      <c r="K4" s="574">
        <f>Card!T177/10^9</f>
        <v>18.592013314999999</v>
      </c>
      <c r="L4" s="574">
        <f>Card!U177/10^9</f>
        <v>19.447948967999999</v>
      </c>
      <c r="M4" s="574">
        <f>Card!V177/10^9</f>
        <v>19.858363523000001</v>
      </c>
      <c r="N4" s="574">
        <f>Card!W177/10^9</f>
        <v>20.810057348000001</v>
      </c>
      <c r="O4" s="574">
        <f>Card!X177/10^9</f>
        <v>21.184347243000001</v>
      </c>
      <c r="P4" s="527">
        <f>M4</f>
        <v>19.858363523000001</v>
      </c>
      <c r="Q4" s="362">
        <f t="shared" ref="Q4:Q27" si="1">R4/12*12</f>
        <v>16.313483749312528</v>
      </c>
      <c r="R4" s="362">
        <f t="shared" ref="R4:R25" si="2">$R$3/$P$3*P4</f>
        <v>16.313483749312528</v>
      </c>
      <c r="S4" s="362">
        <f t="shared" si="0"/>
        <v>3.5448797736874731</v>
      </c>
      <c r="T4" s="517">
        <f t="shared" ref="T4:T19" si="3">P4/R4</f>
        <v>1.21729753302</v>
      </c>
      <c r="U4" s="5"/>
    </row>
    <row r="5" spans="1:24">
      <c r="A5" s="361" t="s">
        <v>217</v>
      </c>
      <c r="B5" s="574">
        <f>B6+B9+B12</f>
        <v>0.72639813284557408</v>
      </c>
      <c r="C5" s="574">
        <f t="shared" ref="C5:O5" si="4">C6+C9+C12</f>
        <v>0.33252848746466745</v>
      </c>
      <c r="D5" s="574">
        <f t="shared" si="4"/>
        <v>0.40220085041095421</v>
      </c>
      <c r="E5" s="574">
        <f t="shared" si="4"/>
        <v>0.33821838191477294</v>
      </c>
      <c r="F5" s="574">
        <f t="shared" si="4"/>
        <v>0.39811518629685255</v>
      </c>
      <c r="G5" s="574">
        <f t="shared" si="4"/>
        <v>0.36733276833053918</v>
      </c>
      <c r="H5" s="574">
        <f t="shared" si="4"/>
        <v>0.44746165208173733</v>
      </c>
      <c r="I5" s="574">
        <f t="shared" si="4"/>
        <v>0.55153894353628385</v>
      </c>
      <c r="J5" s="574">
        <f t="shared" si="4"/>
        <v>0.41624045868861637</v>
      </c>
      <c r="K5" s="574">
        <f t="shared" si="4"/>
        <v>0.69699318394783871</v>
      </c>
      <c r="L5" s="574">
        <f t="shared" si="4"/>
        <v>0.59378153701403702</v>
      </c>
      <c r="M5" s="574">
        <f t="shared" si="4"/>
        <v>0.57519106575345424</v>
      </c>
      <c r="N5" s="574">
        <f t="shared" si="4"/>
        <v>0.55734759793256172</v>
      </c>
      <c r="O5" s="574">
        <f t="shared" si="4"/>
        <v>0.42263340509553493</v>
      </c>
      <c r="P5" s="574">
        <f t="shared" ref="P5" si="5">P6+P9+P12</f>
        <v>5.7670550310031832</v>
      </c>
      <c r="Q5" s="362">
        <f t="shared" si="1"/>
        <v>4.737588695095492</v>
      </c>
      <c r="R5" s="362">
        <f t="shared" si="2"/>
        <v>4.737588695095492</v>
      </c>
      <c r="S5" s="362">
        <f t="shared" si="0"/>
        <v>1.0294663359076912</v>
      </c>
      <c r="T5" s="517">
        <f t="shared" si="3"/>
        <v>1.21729753302</v>
      </c>
      <c r="U5" s="5"/>
      <c r="W5" s="42"/>
      <c r="X5" s="42"/>
    </row>
    <row r="6" spans="1:24">
      <c r="A6" s="361" t="s">
        <v>591</v>
      </c>
      <c r="B6" s="574">
        <f t="shared" ref="B6" si="6">B7-B8</f>
        <v>0.3147807598501749</v>
      </c>
      <c r="C6" s="574">
        <f t="shared" ref="C6:O6" si="7">C7-C8</f>
        <v>0.26481481842100152</v>
      </c>
      <c r="D6" s="574">
        <f t="shared" si="7"/>
        <v>0.29134346944963663</v>
      </c>
      <c r="E6" s="574">
        <f t="shared" si="7"/>
        <v>0.25431637696492509</v>
      </c>
      <c r="F6" s="574">
        <f t="shared" si="7"/>
        <v>0.24527139983279281</v>
      </c>
      <c r="G6" s="574">
        <f t="shared" si="7"/>
        <v>0.32061396376591034</v>
      </c>
      <c r="H6" s="574">
        <f t="shared" si="7"/>
        <v>0.27486935573970805</v>
      </c>
      <c r="I6" s="574">
        <f t="shared" si="7"/>
        <v>0.28503282970157751</v>
      </c>
      <c r="J6" s="574">
        <f t="shared" si="7"/>
        <v>0.27758662469082085</v>
      </c>
      <c r="K6" s="574">
        <f t="shared" si="7"/>
        <v>0.34345212557459392</v>
      </c>
      <c r="L6" s="574">
        <f t="shared" si="7"/>
        <v>0.32313434732076585</v>
      </c>
      <c r="M6" s="574">
        <f t="shared" si="7"/>
        <v>0.31807709065829592</v>
      </c>
      <c r="N6" s="574">
        <f t="shared" si="7"/>
        <v>0.31482720409277404</v>
      </c>
      <c r="O6" s="574">
        <f t="shared" si="7"/>
        <v>0.29143147140637216</v>
      </c>
      <c r="P6" s="574">
        <f t="shared" ref="P6" si="8">P7-P8</f>
        <v>3.5399562591981732</v>
      </c>
      <c r="Q6" s="362">
        <f t="shared" si="1"/>
        <v>2.9080452093054658</v>
      </c>
      <c r="R6" s="362">
        <f t="shared" si="2"/>
        <v>2.9080452093054658</v>
      </c>
      <c r="S6" s="362">
        <f t="shared" si="0"/>
        <v>0.63191104989270741</v>
      </c>
      <c r="T6" s="517">
        <f t="shared" si="3"/>
        <v>1.21729753302</v>
      </c>
      <c r="U6" s="5"/>
    </row>
    <row r="7" spans="1:24">
      <c r="A7" s="409" t="s">
        <v>255</v>
      </c>
      <c r="B7" s="575">
        <f>Card!K192/10^9</f>
        <v>0.38395130100000002</v>
      </c>
      <c r="C7" s="575">
        <f>Card!L192/10^9</f>
        <v>0.337006588</v>
      </c>
      <c r="D7" s="575">
        <f>Card!M192/10^9</f>
        <v>0.36548762099999998</v>
      </c>
      <c r="E7" s="575">
        <f>Card!N192/10^9</f>
        <v>0.32144433</v>
      </c>
      <c r="F7" s="575">
        <f>Card!O192/10^9</f>
        <v>0.31415166999999999</v>
      </c>
      <c r="G7" s="575">
        <f>Card!P192/10^9</f>
        <v>0.38396296000000002</v>
      </c>
      <c r="H7" s="575">
        <f>Card!Q192/10^9</f>
        <v>0.34277155300000001</v>
      </c>
      <c r="I7" s="575">
        <f>Card!R192/10^9</f>
        <v>0.35311041700000001</v>
      </c>
      <c r="J7" s="575">
        <f>Card!S192/10^9</f>
        <v>0.351039243</v>
      </c>
      <c r="K7" s="575">
        <f>Card!T192/10^9</f>
        <v>0.42475933199999999</v>
      </c>
      <c r="L7" s="575">
        <f>Card!U192/10^9</f>
        <v>0.40762305100000001</v>
      </c>
      <c r="M7" s="575">
        <f>Card!V192/10^9</f>
        <v>0.41048920799999999</v>
      </c>
      <c r="N7" s="575">
        <f>Card!W192/10^9</f>
        <v>0.404014184</v>
      </c>
      <c r="O7" s="575">
        <f>Card!X192/10^9</f>
        <v>0.40568886399999998</v>
      </c>
      <c r="P7" s="527">
        <f t="shared" ref="P7:P12" si="9">SUM(D7:O7)</f>
        <v>4.4845424329999997</v>
      </c>
      <c r="Q7" s="362">
        <f t="shared" si="1"/>
        <v>3.6840150508432181</v>
      </c>
      <c r="R7" s="362">
        <f t="shared" si="2"/>
        <v>3.6840150508432186</v>
      </c>
      <c r="S7" s="362">
        <f t="shared" si="0"/>
        <v>0.80052738215678154</v>
      </c>
      <c r="T7" s="517">
        <f t="shared" si="3"/>
        <v>1.21729753302</v>
      </c>
      <c r="U7" s="5"/>
    </row>
    <row r="8" spans="1:24">
      <c r="A8" s="409" t="s">
        <v>219</v>
      </c>
      <c r="B8" s="575">
        <f>Card!K196/10^9</f>
        <v>6.917054114982514E-2</v>
      </c>
      <c r="C8" s="575">
        <f>Card!L196/10^9</f>
        <v>7.2191769578998463E-2</v>
      </c>
      <c r="D8" s="575">
        <f>Card!M196/10^9</f>
        <v>7.4144151550363371E-2</v>
      </c>
      <c r="E8" s="575">
        <f>Card!N196/10^9</f>
        <v>6.7127953035074892E-2</v>
      </c>
      <c r="F8" s="575">
        <f>Card!O196/10^9</f>
        <v>6.8880270167207186E-2</v>
      </c>
      <c r="G8" s="575">
        <f>Card!P196/10^9</f>
        <v>6.3348996234089669E-2</v>
      </c>
      <c r="H8" s="575">
        <f>Card!Q196/10^9</f>
        <v>6.790219726029198E-2</v>
      </c>
      <c r="I8" s="575">
        <f>Card!R196/10^9</f>
        <v>6.8077587298422532E-2</v>
      </c>
      <c r="J8" s="575">
        <f>Card!S196/10^9</f>
        <v>7.3452618309179138E-2</v>
      </c>
      <c r="K8" s="575">
        <f>Card!T196/10^9</f>
        <v>8.1307206425406037E-2</v>
      </c>
      <c r="L8" s="575">
        <f>Card!U196/10^9</f>
        <v>8.4488703679234167E-2</v>
      </c>
      <c r="M8" s="575">
        <f>Card!V196/10^9</f>
        <v>9.2412117341704084E-2</v>
      </c>
      <c r="N8" s="575">
        <f>Card!W196/10^9</f>
        <v>8.9186979907225947E-2</v>
      </c>
      <c r="O8" s="575">
        <f>Card!X196/10^9</f>
        <v>0.11425739259362781</v>
      </c>
      <c r="P8" s="527">
        <f t="shared" si="9"/>
        <v>0.94458617380182663</v>
      </c>
      <c r="Q8" s="362">
        <f t="shared" si="1"/>
        <v>0.77596984153775261</v>
      </c>
      <c r="R8" s="362">
        <f t="shared" si="2"/>
        <v>0.77596984153775261</v>
      </c>
      <c r="S8" s="362">
        <f t="shared" si="0"/>
        <v>0.16861633226407402</v>
      </c>
      <c r="T8" s="517">
        <f t="shared" si="3"/>
        <v>1.21729753302</v>
      </c>
      <c r="U8" s="5"/>
    </row>
    <row r="9" spans="1:24">
      <c r="A9" s="361" t="s">
        <v>593</v>
      </c>
      <c r="B9" s="574">
        <f t="shared" ref="B9" si="10">B10-B11</f>
        <v>0.41161737299539919</v>
      </c>
      <c r="C9" s="574">
        <f t="shared" ref="C9:O9" si="11">C10-C11</f>
        <v>6.6533399043665953E-2</v>
      </c>
      <c r="D9" s="574">
        <f t="shared" si="11"/>
        <v>9.7021703961317582E-2</v>
      </c>
      <c r="E9" s="574">
        <f t="shared" si="11"/>
        <v>4.1138604949847807E-2</v>
      </c>
      <c r="F9" s="574">
        <f t="shared" si="11"/>
        <v>0.1061496314640597</v>
      </c>
      <c r="G9" s="574">
        <f t="shared" si="11"/>
        <v>3.6188112564628852E-2</v>
      </c>
      <c r="H9" s="574">
        <f t="shared" si="11"/>
        <v>0.17208305434202925</v>
      </c>
      <c r="I9" s="574">
        <f t="shared" si="11"/>
        <v>0.26572024983470627</v>
      </c>
      <c r="J9" s="574">
        <f t="shared" si="11"/>
        <v>0.13795095899779553</v>
      </c>
      <c r="K9" s="574">
        <f t="shared" si="11"/>
        <v>0.29871053137324477</v>
      </c>
      <c r="L9" s="574">
        <f t="shared" si="11"/>
        <v>0.26617887669327128</v>
      </c>
      <c r="M9" s="574">
        <f t="shared" si="11"/>
        <v>0.22809562309515827</v>
      </c>
      <c r="N9" s="574">
        <f t="shared" si="11"/>
        <v>0.23240743283978763</v>
      </c>
      <c r="O9" s="574">
        <f t="shared" si="11"/>
        <v>0.11932963968916274</v>
      </c>
      <c r="P9" s="527">
        <f t="shared" si="9"/>
        <v>2.0009744198050097</v>
      </c>
      <c r="Q9" s="362">
        <f t="shared" si="1"/>
        <v>1.6437841739815093</v>
      </c>
      <c r="R9" s="362">
        <f t="shared" si="2"/>
        <v>1.6437841739815093</v>
      </c>
      <c r="S9" s="362">
        <f t="shared" si="0"/>
        <v>0.35719024582350034</v>
      </c>
      <c r="T9" s="517">
        <f t="shared" si="3"/>
        <v>1.21729753302</v>
      </c>
      <c r="U9" s="5"/>
    </row>
    <row r="10" spans="1:24">
      <c r="A10" s="409" t="s">
        <v>22</v>
      </c>
      <c r="B10" s="575">
        <f>Card!K198/10^9</f>
        <v>0.5014085122789631</v>
      </c>
      <c r="C10" s="575">
        <f>Card!L198/10^9</f>
        <v>0.15707632566902779</v>
      </c>
      <c r="D10" s="575">
        <f>Card!M198/10^9</f>
        <v>0.19146281144801497</v>
      </c>
      <c r="E10" s="575">
        <f>Card!N198/10^9</f>
        <v>0.11820504627493501</v>
      </c>
      <c r="F10" s="575">
        <f>Card!O198/10^9</f>
        <v>0.18634286914877976</v>
      </c>
      <c r="G10" s="575">
        <f>Card!P198/10^9</f>
        <v>0.12805024912560858</v>
      </c>
      <c r="H10" s="575">
        <f>Card!Q198/10^9</f>
        <v>0.23363756045359796</v>
      </c>
      <c r="I10" s="575">
        <f>Card!R198/10^9</f>
        <v>0.27905819527618086</v>
      </c>
      <c r="J10" s="575">
        <f>Card!S198/10^9</f>
        <v>0.18819648942293549</v>
      </c>
      <c r="K10" s="575">
        <f>Card!T198/10^9</f>
        <v>0.35249340442224564</v>
      </c>
      <c r="L10" s="575">
        <f>Card!U198/10^9</f>
        <v>0.32263304745225618</v>
      </c>
      <c r="M10" s="575">
        <f>Card!V198/10^9</f>
        <v>0.28709189150780268</v>
      </c>
      <c r="N10" s="575">
        <f>Card!W198/10^9</f>
        <v>0.29056064252074398</v>
      </c>
      <c r="O10" s="575">
        <f>Card!X198/10^9</f>
        <v>0.17936915249161012</v>
      </c>
      <c r="P10" s="527">
        <f t="shared" si="9"/>
        <v>2.7571013595447118</v>
      </c>
      <c r="Q10" s="362">
        <f t="shared" si="1"/>
        <v>2.2649362910517072</v>
      </c>
      <c r="R10" s="362">
        <f t="shared" si="2"/>
        <v>2.2649362910517072</v>
      </c>
      <c r="S10" s="362">
        <f t="shared" si="0"/>
        <v>0.49216506849300456</v>
      </c>
      <c r="T10" s="517">
        <f t="shared" si="3"/>
        <v>1.21729753302</v>
      </c>
      <c r="U10" s="5"/>
    </row>
    <row r="11" spans="1:24">
      <c r="A11" s="409" t="s">
        <v>295</v>
      </c>
      <c r="B11" s="575">
        <f>Card!K209/10^9</f>
        <v>8.9791139283563914E-2</v>
      </c>
      <c r="C11" s="575">
        <f>Card!L209/10^9</f>
        <v>9.0542926625361841E-2</v>
      </c>
      <c r="D11" s="575">
        <f>Card!M209/10^9</f>
        <v>9.4441107486697387E-2</v>
      </c>
      <c r="E11" s="575">
        <f>Card!N209/10^9</f>
        <v>7.7066441325087207E-2</v>
      </c>
      <c r="F11" s="575">
        <f>Card!O209/10^9</f>
        <v>8.0193237684720059E-2</v>
      </c>
      <c r="G11" s="575">
        <f>Card!P209/10^9</f>
        <v>9.1862136560979732E-2</v>
      </c>
      <c r="H11" s="575">
        <f>Card!Q209/10^9</f>
        <v>6.1554506111568708E-2</v>
      </c>
      <c r="I11" s="575">
        <f>Card!R209/10^9</f>
        <v>1.333794544147459E-2</v>
      </c>
      <c r="J11" s="575">
        <f>Card!S209/10^9</f>
        <v>5.0245530425139948E-2</v>
      </c>
      <c r="K11" s="575">
        <f>Card!T209/10^9</f>
        <v>5.3782873049000861E-2</v>
      </c>
      <c r="L11" s="575">
        <f>Card!U209/10^9</f>
        <v>5.6454170758984894E-2</v>
      </c>
      <c r="M11" s="575">
        <f>Card!V209/10^9</f>
        <v>5.8996268412644409E-2</v>
      </c>
      <c r="N11" s="575">
        <f>Card!W209/10^9</f>
        <v>5.8153209680956365E-2</v>
      </c>
      <c r="O11" s="575">
        <f>Card!X209/10^9</f>
        <v>6.0039512802447376E-2</v>
      </c>
      <c r="P11" s="527">
        <f t="shared" si="9"/>
        <v>0.75612693973970146</v>
      </c>
      <c r="Q11" s="362">
        <f t="shared" si="1"/>
        <v>0.62115211707019735</v>
      </c>
      <c r="R11" s="362">
        <f t="shared" si="2"/>
        <v>0.62115211707019735</v>
      </c>
      <c r="S11" s="362">
        <f t="shared" si="0"/>
        <v>0.13497482266950411</v>
      </c>
      <c r="T11" s="517">
        <f t="shared" si="3"/>
        <v>1.21729753302</v>
      </c>
      <c r="U11" s="5"/>
    </row>
    <row r="12" spans="1:24">
      <c r="A12" s="352" t="s">
        <v>89</v>
      </c>
      <c r="B12" s="575">
        <f>Card!K214/10^9</f>
        <v>0</v>
      </c>
      <c r="C12" s="575">
        <f>Card!L214/10^9</f>
        <v>1.18027E-3</v>
      </c>
      <c r="D12" s="575">
        <f>Card!M214/10^9</f>
        <v>1.3835676999999999E-2</v>
      </c>
      <c r="E12" s="575">
        <f>Card!N214/10^9</f>
        <v>4.27634E-2</v>
      </c>
      <c r="F12" s="575">
        <f>Card!O214/10^9</f>
        <v>4.6694155000000001E-2</v>
      </c>
      <c r="G12" s="575">
        <f>Card!P214/10^9</f>
        <v>1.0530691999999999E-2</v>
      </c>
      <c r="H12" s="575">
        <f>Card!Q214/10^9</f>
        <v>5.0924200000000003E-4</v>
      </c>
      <c r="I12" s="575">
        <f>Card!R214/10^9</f>
        <v>7.8586400000000005E-4</v>
      </c>
      <c r="J12" s="575">
        <f>Card!S214/10^9</f>
        <v>7.0287500000000005E-4</v>
      </c>
      <c r="K12" s="575">
        <f>Card!T214/10^9</f>
        <v>5.4830526999999997E-2</v>
      </c>
      <c r="L12" s="575">
        <f>Card!U214/10^9</f>
        <v>4.4683129999999998E-3</v>
      </c>
      <c r="M12" s="575">
        <f>Card!V214/10^9</f>
        <v>2.9018352000000001E-2</v>
      </c>
      <c r="N12" s="575">
        <f>Card!W214/10^9</f>
        <v>1.0112961E-2</v>
      </c>
      <c r="O12" s="575">
        <f>Card!X214/10^9</f>
        <v>1.1872294E-2</v>
      </c>
      <c r="P12" s="527">
        <f t="shared" si="9"/>
        <v>0.226124352</v>
      </c>
      <c r="Q12" s="362">
        <f t="shared" si="1"/>
        <v>0.18575931180851643</v>
      </c>
      <c r="R12" s="362">
        <f t="shared" si="2"/>
        <v>0.18575931180851643</v>
      </c>
      <c r="S12" s="362">
        <f t="shared" si="0"/>
        <v>4.036504019148357E-2</v>
      </c>
      <c r="T12" s="517">
        <f t="shared" si="3"/>
        <v>1.21729753302</v>
      </c>
      <c r="U12" s="5"/>
    </row>
    <row r="13" spans="1:24">
      <c r="A13" s="361" t="s">
        <v>577</v>
      </c>
      <c r="B13" s="574">
        <f>SUM(B14:B22)</f>
        <v>3.8599734235731674E-2</v>
      </c>
      <c r="C13" s="574">
        <f t="shared" ref="C13:O13" si="12">SUM(C14:C22)</f>
        <v>3.0701904786520601E-2</v>
      </c>
      <c r="D13" s="574">
        <f t="shared" si="12"/>
        <v>3.119513833014196E-2</v>
      </c>
      <c r="E13" s="574">
        <f t="shared" si="12"/>
        <v>2.9594919155534978E-2</v>
      </c>
      <c r="F13" s="574">
        <f t="shared" si="12"/>
        <v>3.1739763586119824E-2</v>
      </c>
      <c r="G13" s="574">
        <f t="shared" si="12"/>
        <v>2.3001048112523407E-2</v>
      </c>
      <c r="H13" s="574">
        <f t="shared" si="12"/>
        <v>2.4162117458340123E-2</v>
      </c>
      <c r="I13" s="574">
        <f t="shared" si="12"/>
        <v>8.0311888327935198E-3</v>
      </c>
      <c r="J13" s="574">
        <f t="shared" si="12"/>
        <v>2.0774690485854723E-2</v>
      </c>
      <c r="K13" s="574">
        <f t="shared" si="12"/>
        <v>3.891796903450731E-2</v>
      </c>
      <c r="L13" s="574">
        <f t="shared" si="12"/>
        <v>3.7942726163398971E-2</v>
      </c>
      <c r="M13" s="574">
        <f t="shared" si="12"/>
        <v>4.0512305916070503E-2</v>
      </c>
      <c r="N13" s="574">
        <f t="shared" si="12"/>
        <v>0.10295532045750015</v>
      </c>
      <c r="O13" s="574">
        <f t="shared" si="12"/>
        <v>0.10942887276104118</v>
      </c>
      <c r="P13" s="574">
        <f t="shared" ref="P13" si="13">SUM(P14:P22)</f>
        <v>0.49556272364090093</v>
      </c>
      <c r="Q13" s="362">
        <f t="shared" si="1"/>
        <v>0.4071007376573389</v>
      </c>
      <c r="R13" s="362">
        <f t="shared" si="2"/>
        <v>0.40710073765733895</v>
      </c>
      <c r="S13" s="362">
        <f t="shared" si="0"/>
        <v>8.846198598356203E-2</v>
      </c>
      <c r="T13" s="517">
        <f t="shared" si="3"/>
        <v>1.21729753302</v>
      </c>
      <c r="U13" s="5"/>
    </row>
    <row r="14" spans="1:24">
      <c r="A14" s="409" t="s">
        <v>232</v>
      </c>
      <c r="B14" s="575">
        <f>Card!K219/10^9</f>
        <v>3.1702562800172639E-3</v>
      </c>
      <c r="C14" s="575">
        <f>Card!L219/10^9</f>
        <v>1.5914215506939932E-3</v>
      </c>
      <c r="D14" s="575">
        <f>Card!M219/10^9</f>
        <v>1.0130957693826816E-4</v>
      </c>
      <c r="E14" s="575">
        <f>Card!N219/10^9</f>
        <v>5.7017845809241032E-5</v>
      </c>
      <c r="F14" s="575">
        <f>Card!O219/10^9</f>
        <v>2.9368283188147635E-5</v>
      </c>
      <c r="G14" s="575">
        <f>Card!P219/10^9</f>
        <v>0</v>
      </c>
      <c r="H14" s="575">
        <f>Card!Q219/10^9</f>
        <v>1.5219461820237979E-3</v>
      </c>
      <c r="I14" s="575">
        <f>Card!R219/10^9</f>
        <v>0</v>
      </c>
      <c r="J14" s="575">
        <f>Card!S219/10^9</f>
        <v>3.2327024714684993E-3</v>
      </c>
      <c r="K14" s="575">
        <f>Card!T219/10^9</f>
        <v>9.1998414308865264E-3</v>
      </c>
      <c r="L14" s="575">
        <f>Card!U219/10^9</f>
        <v>1.0473746474830776E-2</v>
      </c>
      <c r="M14" s="575">
        <f>Card!V219/10^9</f>
        <v>9.3526587974991204E-3</v>
      </c>
      <c r="N14" s="575">
        <f>Card!W219/10^9</f>
        <v>7.747350126444238E-3</v>
      </c>
      <c r="O14" s="575">
        <f>Card!X219/10^9</f>
        <v>8.9575149230769237E-3</v>
      </c>
      <c r="P14" s="527">
        <f t="shared" ref="P14:P21" si="14">SUM(D14:O14)</f>
        <v>5.0673456112165532E-2</v>
      </c>
      <c r="Q14" s="362">
        <f t="shared" si="1"/>
        <v>4.1627831107526755E-2</v>
      </c>
      <c r="R14" s="362">
        <f t="shared" si="2"/>
        <v>4.1627831107526755E-2</v>
      </c>
      <c r="S14" s="362">
        <f t="shared" si="0"/>
        <v>9.0456250046387771E-3</v>
      </c>
      <c r="T14" s="517">
        <f t="shared" si="3"/>
        <v>1.21729753302</v>
      </c>
      <c r="U14" s="5"/>
    </row>
    <row r="15" spans="1:24">
      <c r="A15" s="409" t="s">
        <v>234</v>
      </c>
      <c r="B15" s="575">
        <f>Card!K224/10^9</f>
        <v>1.7285830074192359E-2</v>
      </c>
      <c r="C15" s="575">
        <f>Card!L224/10^9</f>
        <v>2.1509281220883272E-2</v>
      </c>
      <c r="D15" s="575">
        <f>Card!M224/10^9</f>
        <v>1.9685711809967189E-2</v>
      </c>
      <c r="E15" s="575">
        <f>Card!N224/10^9</f>
        <v>2.4597738270815038E-2</v>
      </c>
      <c r="F15" s="575">
        <f>Card!O224/10^9</f>
        <v>2.0699836728418828E-2</v>
      </c>
      <c r="G15" s="575">
        <f>Card!P224/10^9</f>
        <v>2.0439991944991368E-2</v>
      </c>
      <c r="H15" s="575">
        <f>Card!Q224/10^9</f>
        <v>1.936032425822181E-2</v>
      </c>
      <c r="I15" s="575">
        <f>Card!R224/10^9</f>
        <v>6.8587859755109976E-3</v>
      </c>
      <c r="J15" s="575">
        <f>Card!S224/10^9</f>
        <v>9.9477311242136303E-3</v>
      </c>
      <c r="K15" s="575">
        <f>Card!T224/10^9</f>
        <v>1.0106633576518283E-2</v>
      </c>
      <c r="L15" s="575">
        <f>Card!U224/10^9</f>
        <v>1.2118786741279686E-2</v>
      </c>
      <c r="M15" s="575">
        <f>Card!V224/10^9</f>
        <v>3.897168900630044E-3</v>
      </c>
      <c r="N15" s="575">
        <f>Card!W224/10^9</f>
        <v>4.7163998066460438E-3</v>
      </c>
      <c r="O15" s="575">
        <f>Card!X224/10^9</f>
        <v>4.0010764804961074E-3</v>
      </c>
      <c r="P15" s="527">
        <f t="shared" si="14"/>
        <v>0.15643018561770905</v>
      </c>
      <c r="Q15" s="362">
        <f t="shared" si="1"/>
        <v>0.12850612227038738</v>
      </c>
      <c r="R15" s="362">
        <f t="shared" si="2"/>
        <v>0.12850612227038738</v>
      </c>
      <c r="S15" s="362">
        <f t="shared" si="0"/>
        <v>2.792406334732167E-2</v>
      </c>
      <c r="T15" s="517">
        <f t="shared" si="3"/>
        <v>1.21729753302</v>
      </c>
      <c r="U15" s="5"/>
    </row>
    <row r="16" spans="1:24" hidden="1">
      <c r="A16" s="409" t="s">
        <v>594</v>
      </c>
      <c r="B16" s="575">
        <f>Card!K217/10^9</f>
        <v>0</v>
      </c>
      <c r="C16" s="575">
        <f>Card!L217/10^9</f>
        <v>0</v>
      </c>
      <c r="D16" s="575">
        <f>Card!M217/10^9</f>
        <v>0</v>
      </c>
      <c r="E16" s="575">
        <f>Card!N217/10^9</f>
        <v>0</v>
      </c>
      <c r="F16" s="575">
        <f>Card!O217/10^9</f>
        <v>0</v>
      </c>
      <c r="G16" s="575">
        <f>Card!P217/10^9</f>
        <v>0</v>
      </c>
      <c r="H16" s="575">
        <f>Card!Q217/10^9</f>
        <v>0</v>
      </c>
      <c r="I16" s="575">
        <f>Card!R217/10^9</f>
        <v>0</v>
      </c>
      <c r="J16" s="575">
        <f>Card!S217/10^9</f>
        <v>0</v>
      </c>
      <c r="K16" s="575">
        <f>Card!T217/10^9</f>
        <v>0</v>
      </c>
      <c r="L16" s="575">
        <f>Card!U217/10^9</f>
        <v>0</v>
      </c>
      <c r="M16" s="575">
        <f>Card!V217/10^9</f>
        <v>0</v>
      </c>
      <c r="N16" s="575">
        <f>Card!W217/10^9</f>
        <v>0</v>
      </c>
      <c r="O16" s="575">
        <f>Card!X217/10^9</f>
        <v>0</v>
      </c>
      <c r="P16" s="527">
        <f t="shared" si="14"/>
        <v>0</v>
      </c>
      <c r="Q16" s="362">
        <f t="shared" si="1"/>
        <v>0</v>
      </c>
      <c r="R16" s="362">
        <f t="shared" si="2"/>
        <v>0</v>
      </c>
      <c r="S16" s="362">
        <f t="shared" si="0"/>
        <v>0</v>
      </c>
      <c r="T16" s="517" t="e">
        <f t="shared" si="3"/>
        <v>#DIV/0!</v>
      </c>
      <c r="U16" s="5"/>
    </row>
    <row r="17" spans="1:21">
      <c r="A17" s="409" t="s">
        <v>235</v>
      </c>
      <c r="B17" s="575">
        <f>Card!K225/10^9</f>
        <v>1.0384023389997476E-2</v>
      </c>
      <c r="C17" s="575">
        <f>Card!L225/10^9</f>
        <v>7.529867998941188E-4</v>
      </c>
      <c r="D17" s="575">
        <f>Card!M225/10^9</f>
        <v>6.5776349822118359E-3</v>
      </c>
      <c r="E17" s="575">
        <f>Card!N225/10^9</f>
        <v>1.960427039237459E-3</v>
      </c>
      <c r="F17" s="575">
        <f>Card!O225/10^9</f>
        <v>7.9239966657887097E-3</v>
      </c>
      <c r="G17" s="575">
        <f>Card!P225/10^9</f>
        <v>2.3934950194013608E-4</v>
      </c>
      <c r="H17" s="575">
        <f>Card!Q225/10^9</f>
        <v>1.8960211746085771E-3</v>
      </c>
      <c r="I17" s="575">
        <f>Card!R225/10^9</f>
        <v>2.2969273358664185E-4</v>
      </c>
      <c r="J17" s="575">
        <f>Card!S225/10^9</f>
        <v>4.4346807753510819E-4</v>
      </c>
      <c r="K17" s="575">
        <f>Card!T225/10^9</f>
        <v>3.7283321426249379E-3</v>
      </c>
      <c r="L17" s="575">
        <f>Card!U225/10^9</f>
        <v>6.3154089824201201E-4</v>
      </c>
      <c r="M17" s="575">
        <f>Card!V225/10^9</f>
        <v>1.0510920308168775E-2</v>
      </c>
      <c r="N17" s="575">
        <f>Card!W225/10^9</f>
        <v>7.6933618555894701E-2</v>
      </c>
      <c r="O17" s="575">
        <f>Card!X225/10^9</f>
        <v>8.3336676921803562E-2</v>
      </c>
      <c r="P17" s="527">
        <f t="shared" si="14"/>
        <v>0.19441167900164247</v>
      </c>
      <c r="Q17" s="362">
        <f t="shared" si="1"/>
        <v>0.15970760946120172</v>
      </c>
      <c r="R17" s="362">
        <f t="shared" si="2"/>
        <v>0.15970760946120172</v>
      </c>
      <c r="S17" s="362">
        <f t="shared" si="0"/>
        <v>3.4704069540440752E-2</v>
      </c>
      <c r="T17" s="517">
        <f t="shared" si="3"/>
        <v>1.21729753302</v>
      </c>
      <c r="U17" s="5"/>
    </row>
    <row r="18" spans="1:21">
      <c r="A18" s="409" t="s">
        <v>595</v>
      </c>
      <c r="B18" s="575">
        <f>Card!K223/10^9+Card!K222/10^9</f>
        <v>2.4863846989090907E-3</v>
      </c>
      <c r="C18" s="575">
        <f>Card!L223/10^9+Card!L222/10^9</f>
        <v>1.2458809036391594E-3</v>
      </c>
      <c r="D18" s="575">
        <f>Card!M223/10^9+Card!M222/10^9</f>
        <v>6.3778377023901314E-5</v>
      </c>
      <c r="E18" s="575">
        <f>Card!N223/10^9+Card!N222/10^9</f>
        <v>0</v>
      </c>
      <c r="F18" s="575">
        <f>Card!O223/10^9+Card!O222/10^9</f>
        <v>6.1296031233025529E-5</v>
      </c>
      <c r="G18" s="575">
        <f>Card!P223/10^9+Card!P222/10^9</f>
        <v>0</v>
      </c>
      <c r="H18" s="575">
        <f>Card!Q223/10^9+Card!Q222/10^9</f>
        <v>0</v>
      </c>
      <c r="I18" s="575">
        <f>Card!R223/10^9+Card!R222/10^9</f>
        <v>0</v>
      </c>
      <c r="J18" s="575">
        <f>Card!S223/10^9+Card!S222/10^9</f>
        <v>1.3222247821759259E-3</v>
      </c>
      <c r="K18" s="575">
        <f>Card!T223/10^9+Card!T222/10^9</f>
        <v>3.7136095250000002E-3</v>
      </c>
      <c r="L18" s="575">
        <f>Card!U223/10^9+Card!U222/10^9</f>
        <v>3.5120586907507042E-3</v>
      </c>
      <c r="M18" s="575">
        <f>Card!V223/10^9+Card!V222/10^9</f>
        <v>4.2399317387883557E-3</v>
      </c>
      <c r="N18" s="575">
        <f>Card!W223/10^9+Card!W222/10^9</f>
        <v>3.1263417350527551E-3</v>
      </c>
      <c r="O18" s="575">
        <f>Card!X223/10^9+Card!X222/10^9</f>
        <v>3.4681947524042994E-3</v>
      </c>
      <c r="P18" s="527">
        <f t="shared" si="14"/>
        <v>1.9507435632428967E-2</v>
      </c>
      <c r="Q18" s="362">
        <f t="shared" si="1"/>
        <v>1.6025199347962912E-2</v>
      </c>
      <c r="R18" s="362">
        <f t="shared" si="2"/>
        <v>1.6025199347962912E-2</v>
      </c>
      <c r="S18" s="362">
        <f t="shared" si="0"/>
        <v>3.4822362844660545E-3</v>
      </c>
      <c r="T18" s="517">
        <f t="shared" si="3"/>
        <v>1.21729753302</v>
      </c>
      <c r="U18" s="5"/>
    </row>
    <row r="19" spans="1:21">
      <c r="A19" s="409" t="s">
        <v>233</v>
      </c>
      <c r="B19" s="575">
        <f>Card!K220/10^9</f>
        <v>2.5813720430107526E-5</v>
      </c>
      <c r="C19" s="575">
        <f>Card!L220/10^9</f>
        <v>1.4233006150691953E-5</v>
      </c>
      <c r="D19" s="575">
        <f>Card!M220/10^9</f>
        <v>7.9876778350515468E-7</v>
      </c>
      <c r="E19" s="575">
        <f>Card!N220/10^9</f>
        <v>0</v>
      </c>
      <c r="F19" s="575">
        <f>Card!O220/10^9</f>
        <v>1.0178222645617856E-6</v>
      </c>
      <c r="G19" s="575">
        <f>Card!P220/10^9</f>
        <v>0</v>
      </c>
      <c r="H19" s="575">
        <f>Card!Q220/10^9</f>
        <v>0</v>
      </c>
      <c r="I19" s="575">
        <f>Card!R220/10^9</f>
        <v>0</v>
      </c>
      <c r="J19" s="575">
        <f>Card!S220/10^9</f>
        <v>1.4277440046296296E-5</v>
      </c>
      <c r="K19" s="575">
        <f>Card!T220/10^9</f>
        <v>3.9943853058354811E-5</v>
      </c>
      <c r="L19" s="575">
        <f>Card!U220/10^9</f>
        <v>3.4162584166026135E-5</v>
      </c>
      <c r="M19" s="575">
        <f>Card!V220/10^9</f>
        <v>4.0736132966168367E-5</v>
      </c>
      <c r="N19" s="575">
        <f>Card!W220/10^9</f>
        <v>3.4805882473622507E-5</v>
      </c>
      <c r="O19" s="575">
        <f>Card!X220/10^9</f>
        <v>4.4967160475202718E-5</v>
      </c>
      <c r="P19" s="527">
        <f t="shared" si="14"/>
        <v>2.1070964323373776E-4</v>
      </c>
      <c r="Q19" s="362">
        <f t="shared" si="1"/>
        <v>1.7309625421731289E-4</v>
      </c>
      <c r="R19" s="362">
        <f t="shared" si="2"/>
        <v>1.7309625421731289E-4</v>
      </c>
      <c r="S19" s="362">
        <f t="shared" si="0"/>
        <v>3.7613389016424875E-5</v>
      </c>
      <c r="T19" s="517">
        <f t="shared" si="3"/>
        <v>1.21729753302</v>
      </c>
      <c r="U19" s="5"/>
    </row>
    <row r="20" spans="1:21" hidden="1">
      <c r="A20" s="409" t="s">
        <v>703</v>
      </c>
      <c r="B20" s="575"/>
      <c r="C20" s="575"/>
      <c r="D20" s="575"/>
      <c r="E20" s="575"/>
      <c r="F20" s="575"/>
      <c r="G20" s="575"/>
      <c r="H20" s="575"/>
      <c r="I20" s="575"/>
      <c r="J20" s="575"/>
      <c r="K20" s="575"/>
      <c r="L20" s="575"/>
      <c r="M20" s="575"/>
      <c r="N20" s="575"/>
      <c r="O20" s="575"/>
      <c r="P20" s="527">
        <f t="shared" si="14"/>
        <v>0</v>
      </c>
      <c r="Q20" s="362">
        <f t="shared" si="1"/>
        <v>0</v>
      </c>
      <c r="R20" s="362">
        <f t="shared" si="2"/>
        <v>0</v>
      </c>
      <c r="S20" s="362">
        <f t="shared" si="0"/>
        <v>0</v>
      </c>
      <c r="T20" s="517"/>
      <c r="U20" s="5"/>
    </row>
    <row r="21" spans="1:21">
      <c r="A21" s="409" t="s">
        <v>163</v>
      </c>
      <c r="B21" s="575">
        <f>Card!K226/10^9</f>
        <v>5.2474260721853761E-3</v>
      </c>
      <c r="C21" s="575">
        <f>Card!L226/10^9</f>
        <v>5.5881013052593662E-3</v>
      </c>
      <c r="D21" s="575">
        <f>Card!M226/10^9</f>
        <v>4.7548643213718988E-3</v>
      </c>
      <c r="E21" s="575">
        <f>Card!N226/10^9</f>
        <v>2.979735999673239E-3</v>
      </c>
      <c r="F21" s="575">
        <f>Card!O226/10^9</f>
        <v>3.0134183655150652E-3</v>
      </c>
      <c r="G21" s="575">
        <f>Card!P226/10^9</f>
        <v>2.3217066655919034E-3</v>
      </c>
      <c r="H21" s="575">
        <f>Card!Q226/10^9</f>
        <v>1.3838258434859356E-3</v>
      </c>
      <c r="I21" s="575">
        <f>Card!R226/10^9</f>
        <v>9.4271012369587974E-4</v>
      </c>
      <c r="J21" s="575">
        <f>Card!S226/10^9</f>
        <v>5.6353794237485981E-3</v>
      </c>
      <c r="K21" s="575">
        <f>Card!T226/10^9</f>
        <v>1.1644553798193288E-2</v>
      </c>
      <c r="L21" s="575">
        <f>Card!U226/10^9</f>
        <v>1.0718276062369584E-2</v>
      </c>
      <c r="M21" s="575">
        <f>Card!V226/10^9</f>
        <v>1.1832995624170669E-2</v>
      </c>
      <c r="N21" s="575">
        <f>Card!W226/10^9</f>
        <v>1.0099037399054435E-2</v>
      </c>
      <c r="O21" s="575">
        <f>Card!X226/10^9</f>
        <v>9.0027540068506988E-3</v>
      </c>
      <c r="P21" s="527">
        <f t="shared" si="14"/>
        <v>7.4329257633721196E-2</v>
      </c>
      <c r="Q21" s="362">
        <f t="shared" si="1"/>
        <v>6.1060879216042876E-2</v>
      </c>
      <c r="R21" s="362">
        <f t="shared" si="2"/>
        <v>6.1060879216042883E-2</v>
      </c>
      <c r="S21" s="362">
        <f t="shared" si="0"/>
        <v>1.326837841767832E-2</v>
      </c>
      <c r="T21" s="517">
        <f t="shared" ref="T21:T24" si="15">P21/R21</f>
        <v>1.21729753302</v>
      </c>
      <c r="U21" s="5"/>
    </row>
    <row r="22" spans="1:21">
      <c r="A22" s="409" t="s">
        <v>152</v>
      </c>
      <c r="B22" s="575">
        <f>Card!K221/10^9</f>
        <v>0</v>
      </c>
      <c r="C22" s="575">
        <f>Card!L221/10^9</f>
        <v>0</v>
      </c>
      <c r="D22" s="575">
        <f>Card!M221/10^9</f>
        <v>1.1040494845360825E-5</v>
      </c>
      <c r="E22" s="575">
        <f>Card!N221/10^9</f>
        <v>0</v>
      </c>
      <c r="F22" s="575">
        <f>Card!O221/10^9</f>
        <v>1.0829689711486119E-5</v>
      </c>
      <c r="G22" s="575">
        <f>Card!P221/10^9</f>
        <v>0</v>
      </c>
      <c r="H22" s="575">
        <f>Card!Q221/10^9</f>
        <v>0</v>
      </c>
      <c r="I22" s="575">
        <f>Card!R221/10^9</f>
        <v>0</v>
      </c>
      <c r="J22" s="575">
        <f>Card!S221/10^9</f>
        <v>1.7890716666666665E-4</v>
      </c>
      <c r="K22" s="575">
        <f>Card!T221/10^9</f>
        <v>4.8505470822591987E-4</v>
      </c>
      <c r="L22" s="575">
        <f>Card!U221/10^9</f>
        <v>4.541547117601845E-4</v>
      </c>
      <c r="M22" s="575">
        <f>Card!V221/10^9</f>
        <v>6.3789441384736422E-4</v>
      </c>
      <c r="N22" s="575">
        <f>Card!W221/10^9</f>
        <v>2.9776695193434936E-4</v>
      </c>
      <c r="O22" s="575">
        <f>Card!X221/10^9</f>
        <v>6.1768851593437674E-4</v>
      </c>
      <c r="P22" s="527"/>
      <c r="Q22" s="362">
        <f t="shared" si="1"/>
        <v>0</v>
      </c>
      <c r="R22" s="362">
        <f t="shared" si="2"/>
        <v>0</v>
      </c>
      <c r="S22" s="362"/>
      <c r="T22" s="517"/>
      <c r="U22" s="5"/>
    </row>
    <row r="23" spans="1:21" s="4" customFormat="1">
      <c r="A23" s="352" t="s">
        <v>578</v>
      </c>
      <c r="B23" s="573">
        <f>Card!K218/10^9</f>
        <v>0</v>
      </c>
      <c r="C23" s="573">
        <f>Card!L218/10^9</f>
        <v>0</v>
      </c>
      <c r="D23" s="573">
        <f>Card!M218/10^9</f>
        <v>0</v>
      </c>
      <c r="E23" s="573">
        <f>Card!N218/10^9</f>
        <v>0</v>
      </c>
      <c r="F23" s="573">
        <f>Card!O218/10^9</f>
        <v>0</v>
      </c>
      <c r="G23" s="573">
        <f>Card!P218/10^9</f>
        <v>0</v>
      </c>
      <c r="H23" s="573">
        <f>Card!Q218/10^9</f>
        <v>0</v>
      </c>
      <c r="I23" s="573">
        <f>Card!R218/10^9</f>
        <v>0</v>
      </c>
      <c r="J23" s="573">
        <f>Card!S218/10^9</f>
        <v>0</v>
      </c>
      <c r="K23" s="573">
        <f>Card!T218/10^9</f>
        <v>0</v>
      </c>
      <c r="L23" s="573">
        <f>Card!U218/10^9</f>
        <v>0</v>
      </c>
      <c r="M23" s="573">
        <f>Card!V218/10^9</f>
        <v>5.17668155E-2</v>
      </c>
      <c r="N23" s="573">
        <f>Card!W218/10^9</f>
        <v>7.0546692999999994E-2</v>
      </c>
      <c r="O23" s="573">
        <f>Card!X218/10^9</f>
        <v>5.5E-2</v>
      </c>
      <c r="P23" s="527">
        <f>SUM(D23:O23)</f>
        <v>0.17731350849999999</v>
      </c>
      <c r="Q23" s="362">
        <f t="shared" si="1"/>
        <v>0.14566160177791698</v>
      </c>
      <c r="R23" s="362">
        <f t="shared" si="2"/>
        <v>0.14566160177791698</v>
      </c>
      <c r="S23" s="362">
        <f t="shared" si="0"/>
        <v>3.1651906722083012E-2</v>
      </c>
      <c r="T23" s="517"/>
      <c r="U23" s="5"/>
    </row>
    <row r="24" spans="1:21">
      <c r="A24" s="350" t="s">
        <v>136</v>
      </c>
      <c r="B24" s="574">
        <f>Card!K215/10^9</f>
        <v>0.21007300700000001</v>
      </c>
      <c r="C24" s="574">
        <f>Card!L215/10^9</f>
        <v>0.23248105699999999</v>
      </c>
      <c r="D24" s="574">
        <f>Card!M215/10^9</f>
        <v>0.56923115800000001</v>
      </c>
      <c r="E24" s="574">
        <f>Card!N215/10^9</f>
        <v>0.265682694</v>
      </c>
      <c r="F24" s="574">
        <f>Card!O215/10^9</f>
        <v>0.30248017599999999</v>
      </c>
      <c r="G24" s="574">
        <f>Card!P215/10^9</f>
        <v>0.198092981</v>
      </c>
      <c r="H24" s="574">
        <f>Card!Q215/10^9</f>
        <v>7.8406474000000004E-2</v>
      </c>
      <c r="I24" s="574">
        <f>Card!R215/10^9</f>
        <v>0.31643231199999999</v>
      </c>
      <c r="J24" s="574">
        <f>Card!S215/10^9</f>
        <v>0.14642529300000001</v>
      </c>
      <c r="K24" s="574">
        <f>Card!T215/10^9</f>
        <v>0.25511176099999999</v>
      </c>
      <c r="L24" s="574">
        <f>Card!U215/10^9</f>
        <v>0.31857723300000002</v>
      </c>
      <c r="M24" s="574">
        <f>Card!V215/10^9</f>
        <v>0.23978084399999999</v>
      </c>
      <c r="N24" s="574">
        <f>Card!W215/10^9</f>
        <v>0.34508326</v>
      </c>
      <c r="O24" s="574">
        <f>Card!X215/10^9</f>
        <v>0.35622685300000001</v>
      </c>
      <c r="P24" s="527">
        <f>SUM(D24:O24)</f>
        <v>3.3915310390000002</v>
      </c>
      <c r="Q24" s="362">
        <f t="shared" si="1"/>
        <v>2.7861151008709699</v>
      </c>
      <c r="R24" s="362">
        <f t="shared" si="2"/>
        <v>2.7861151008709699</v>
      </c>
      <c r="S24" s="362">
        <f t="shared" si="0"/>
        <v>0.60541593812903027</v>
      </c>
      <c r="T24" s="517">
        <f t="shared" si="15"/>
        <v>1.21729753302</v>
      </c>
      <c r="U24" s="5"/>
    </row>
    <row r="25" spans="1:21">
      <c r="A25" s="542" t="s">
        <v>211</v>
      </c>
      <c r="B25" s="577">
        <f>Card!K182/Card!K177</f>
        <v>5.7055500210647474E-2</v>
      </c>
      <c r="C25" s="577">
        <f>Card!L182/Card!L177</f>
        <v>6.2390859907589642E-2</v>
      </c>
      <c r="D25" s="577">
        <f>Card!M182/Card!M177</f>
        <v>6.4723514463370768E-2</v>
      </c>
      <c r="E25" s="577">
        <f>Card!N182/Card!N177</f>
        <v>7.5716900119877209E-2</v>
      </c>
      <c r="F25" s="577">
        <f>Card!O182/Card!O177</f>
        <v>6.3399863869807352E-2</v>
      </c>
      <c r="G25" s="577">
        <f>Card!P182/Card!P177</f>
        <v>6.2569997101201508E-2</v>
      </c>
      <c r="H25" s="577">
        <f>Card!Q182/Card!Q177</f>
        <v>7.5530822790796218E-2</v>
      </c>
      <c r="I25" s="577">
        <f>Card!R182/Card!R177</f>
        <v>8.3226383026993492E-2</v>
      </c>
      <c r="J25" s="577">
        <f>Card!S182/Card!S177</f>
        <v>0.10253440045282405</v>
      </c>
      <c r="K25" s="577">
        <f>Card!T182/Card!T177</f>
        <v>7.8854528079386754E-2</v>
      </c>
      <c r="L25" s="577">
        <f>Card!U182/Card!U177</f>
        <v>7.9617768873610717E-2</v>
      </c>
      <c r="M25" s="577">
        <f>Card!V182/Card!V177</f>
        <v>7.4348631511855515E-2</v>
      </c>
      <c r="N25" s="577">
        <f>Card!W182/Card!W177</f>
        <v>7.7967047993547894E-2</v>
      </c>
      <c r="O25" s="577">
        <f>Card!X182/Card!X177</f>
        <v>8.7056697846066358E-2</v>
      </c>
      <c r="P25" s="362"/>
      <c r="Q25" s="362">
        <f t="shared" si="1"/>
        <v>0</v>
      </c>
      <c r="R25" s="362">
        <f t="shared" si="2"/>
        <v>0</v>
      </c>
      <c r="S25" s="362"/>
      <c r="T25" s="517"/>
      <c r="U25" s="5"/>
    </row>
    <row r="26" spans="1:21" ht="16" thickBot="1">
      <c r="A26" s="353" t="s">
        <v>214</v>
      </c>
      <c r="B26" s="354">
        <f>Card!K183/Card!K177</f>
        <v>0.10113699454532538</v>
      </c>
      <c r="C26" s="354">
        <f>Card!L183/Card!L177</f>
        <v>0.10683798496978791</v>
      </c>
      <c r="D26" s="354">
        <f>Card!M183/Card!M177</f>
        <v>0.10773450726702809</v>
      </c>
      <c r="E26" s="354">
        <f>Card!N183/Card!N177</f>
        <v>7.7617137659102955E-2</v>
      </c>
      <c r="F26" s="354">
        <f>Card!O183/Card!O177</f>
        <v>8.979698535452052E-2</v>
      </c>
      <c r="G26" s="354">
        <f>Card!P183/Card!P177</f>
        <v>8.1814003098576615E-2</v>
      </c>
      <c r="H26" s="354">
        <f>Card!Q183/Card!Q177</f>
        <v>7.7841209022191479E-2</v>
      </c>
      <c r="I26" s="354">
        <f>Card!R183/Card!R177</f>
        <v>8.2022171674099129E-2</v>
      </c>
      <c r="J26" s="354">
        <f>Card!S183/Card!S177</f>
        <v>7.666495220515844E-2</v>
      </c>
      <c r="K26" s="354">
        <f>Card!T183/Card!T177</f>
        <v>7.2367319999415564E-2</v>
      </c>
      <c r="L26" s="354">
        <f>Card!U183/Card!U177</f>
        <v>6.5867046808264745E-2</v>
      </c>
      <c r="M26" s="354">
        <f>Card!V183/Card!V177</f>
        <v>5.3364448826441195E-2</v>
      </c>
      <c r="N26" s="354">
        <f>Card!W183/Card!W177</f>
        <v>5.1150966198673258E-2</v>
      </c>
      <c r="O26" s="354">
        <f>Card!X183/Card!X177</f>
        <v>5.0481641455975071E-2</v>
      </c>
      <c r="P26" s="369"/>
      <c r="Q26" s="369">
        <f t="shared" si="1"/>
        <v>0</v>
      </c>
      <c r="R26" s="369"/>
      <c r="S26" s="369"/>
      <c r="T26" s="519"/>
      <c r="U26" s="5"/>
    </row>
    <row r="27" spans="1:21" ht="39.75" customHeight="1" thickTop="1">
      <c r="A27" s="464" t="s">
        <v>236</v>
      </c>
      <c r="B27" s="576">
        <f t="shared" ref="B27:O27" si="16">B5-B13-B23-B24</f>
        <v>0.4777253916098424</v>
      </c>
      <c r="C27" s="576">
        <f t="shared" si="16"/>
        <v>6.9345525678146891E-2</v>
      </c>
      <c r="D27" s="576">
        <f t="shared" si="16"/>
        <v>-0.19822544591918778</v>
      </c>
      <c r="E27" s="576">
        <f t="shared" si="16"/>
        <v>4.2940768759237968E-2</v>
      </c>
      <c r="F27" s="576">
        <f t="shared" si="16"/>
        <v>6.3895246710732767E-2</v>
      </c>
      <c r="G27" s="576">
        <f t="shared" si="16"/>
        <v>0.14623873921801578</v>
      </c>
      <c r="H27" s="576">
        <f t="shared" si="16"/>
        <v>0.3448930606233972</v>
      </c>
      <c r="I27" s="576">
        <f t="shared" si="16"/>
        <v>0.22707544270349034</v>
      </c>
      <c r="J27" s="576">
        <f t="shared" si="16"/>
        <v>0.24904047520276162</v>
      </c>
      <c r="K27" s="576">
        <f t="shared" si="16"/>
        <v>0.40296345391333144</v>
      </c>
      <c r="L27" s="576">
        <f t="shared" si="16"/>
        <v>0.23726157785063801</v>
      </c>
      <c r="M27" s="576">
        <f t="shared" si="16"/>
        <v>0.24313110033738378</v>
      </c>
      <c r="N27" s="576">
        <f t="shared" si="16"/>
        <v>3.876232447506156E-2</v>
      </c>
      <c r="O27" s="576">
        <f t="shared" si="16"/>
        <v>-9.8022320665506257E-2</v>
      </c>
      <c r="P27" s="576">
        <f>P5-P13-P23-P24</f>
        <v>1.7026477598622822</v>
      </c>
      <c r="Q27" s="362">
        <f t="shared" si="1"/>
        <v>1.3987112547892666</v>
      </c>
      <c r="R27" s="365">
        <f>R5-R13-R23-R24</f>
        <v>1.3987112547892666</v>
      </c>
      <c r="S27" s="365">
        <f>S5-S13-S23-S24</f>
        <v>0.30393650507301584</v>
      </c>
      <c r="T27" s="517">
        <f>P27/R27</f>
        <v>1.2172975330199995</v>
      </c>
      <c r="U27" s="5"/>
    </row>
    <row r="29" spans="1:21" ht="31">
      <c r="A29" s="360" t="s">
        <v>704</v>
      </c>
      <c r="B29" s="90">
        <v>45962</v>
      </c>
      <c r="C29" s="90">
        <v>45992</v>
      </c>
      <c r="D29" s="75">
        <v>45658</v>
      </c>
      <c r="E29" s="75">
        <v>45689</v>
      </c>
      <c r="F29" s="75">
        <v>45717</v>
      </c>
      <c r="G29" s="75">
        <v>45748</v>
      </c>
      <c r="H29" s="75">
        <v>45778</v>
      </c>
      <c r="I29" s="75">
        <v>45809</v>
      </c>
      <c r="J29" s="90">
        <v>45839</v>
      </c>
      <c r="K29" s="90">
        <v>45870</v>
      </c>
      <c r="L29" s="90">
        <v>45901</v>
      </c>
      <c r="M29" s="90">
        <v>45931</v>
      </c>
      <c r="N29" s="90">
        <v>45962</v>
      </c>
      <c r="O29" s="90">
        <v>45992</v>
      </c>
      <c r="P29" s="78" t="s">
        <v>76</v>
      </c>
      <c r="Q29" s="78" t="s">
        <v>174</v>
      </c>
      <c r="R29" s="78" t="s">
        <v>175</v>
      </c>
      <c r="S29" s="79" t="s">
        <v>173</v>
      </c>
      <c r="T29" s="77" t="s">
        <v>576</v>
      </c>
    </row>
    <row r="30" spans="1:21">
      <c r="A30" s="361" t="s">
        <v>199</v>
      </c>
      <c r="B30" s="574">
        <f>Paylater!N165/10^9</f>
        <v>2.44</v>
      </c>
      <c r="C30" s="574">
        <f>Paylater!O165/10^9</f>
        <v>4.452</v>
      </c>
      <c r="D30" s="574">
        <f>Paylater!P165/10^9</f>
        <v>5.181</v>
      </c>
      <c r="E30" s="574">
        <f>Paylater!Q165/10^9</f>
        <v>5.543897694</v>
      </c>
      <c r="F30" s="574">
        <f>Paylater!R165/10^9</f>
        <v>5.6923374280000001</v>
      </c>
      <c r="G30" s="574">
        <f>Paylater!S165/10^9</f>
        <v>5.6045945010000002</v>
      </c>
      <c r="H30" s="574">
        <f>Paylater!T165/10^9</f>
        <v>7.1459591790000001</v>
      </c>
      <c r="I30" s="574">
        <f>Paylater!U165/10^9</f>
        <v>7.7452886999999997</v>
      </c>
      <c r="J30" s="574">
        <f>Paylater!V165/10^9</f>
        <v>8.1422165129999993</v>
      </c>
      <c r="K30" s="574">
        <f>Paylater!W165/10^9</f>
        <v>7.801255169</v>
      </c>
      <c r="L30" s="574">
        <f>Paylater!X165/10^9</f>
        <v>7.9262012479999999</v>
      </c>
      <c r="M30" s="574">
        <f>Paylater!Y165/10^9</f>
        <v>10.040981446</v>
      </c>
      <c r="N30" s="574">
        <f>Paylater!Z165/10^9</f>
        <v>9.4945900000000005</v>
      </c>
      <c r="O30" s="574">
        <f>Paylater!AA165/10^9</f>
        <v>11.211193271999999</v>
      </c>
      <c r="P30" s="565">
        <f>SUM(D30:O30)</f>
        <v>91.529515150000009</v>
      </c>
      <c r="Q30" s="763">
        <f>SUM('BG 2025 CC_PL'!AR500:BB500)</f>
        <v>84.951999999999998</v>
      </c>
      <c r="R30" s="372">
        <f>SUM('BG 2025 CC_PL'!AR500:BC500)</f>
        <v>95.451999999999998</v>
      </c>
      <c r="S30" s="362">
        <f t="shared" ref="S30:S48" si="17">P30-Q30</f>
        <v>6.5775151500000106</v>
      </c>
      <c r="T30" s="517">
        <f>P30/R30</f>
        <v>0.95890620573691498</v>
      </c>
      <c r="U30" s="5"/>
    </row>
    <row r="31" spans="1:21">
      <c r="A31" s="361" t="s">
        <v>82</v>
      </c>
      <c r="B31" s="574">
        <f>Paylater!N166/10^9</f>
        <v>2.638953265</v>
      </c>
      <c r="C31" s="574">
        <f>Paylater!O166/10^9</f>
        <v>4.7283844129999997</v>
      </c>
      <c r="D31" s="574">
        <f>Paylater!P166/10^9</f>
        <v>6.0813258570000004</v>
      </c>
      <c r="E31" s="574">
        <f>Paylater!Q166/10^9</f>
        <v>6.9252638720000004</v>
      </c>
      <c r="F31" s="574">
        <f>Paylater!R166/10^9</f>
        <v>7.9523429190000003</v>
      </c>
      <c r="G31" s="574">
        <f>Paylater!S166/10^9</f>
        <v>9.3840873479999996</v>
      </c>
      <c r="H31" s="574">
        <f>Paylater!T166/10^9</f>
        <v>11.375268136000001</v>
      </c>
      <c r="I31" s="574">
        <f>Paylater!U166/10^9</f>
        <v>13.217594611000001</v>
      </c>
      <c r="J31" s="574">
        <f>Paylater!V166/10^9</f>
        <v>15.461800030999999</v>
      </c>
      <c r="K31" s="574">
        <f>Paylater!W166/10^9</f>
        <v>17.508750374000002</v>
      </c>
      <c r="L31" s="574">
        <f>Paylater!X166/10^9</f>
        <v>19.473181025999999</v>
      </c>
      <c r="M31" s="574">
        <f>Paylater!Y166/10^9</f>
        <v>21.010523130999999</v>
      </c>
      <c r="N31" s="574">
        <f>Paylater!Z166/10^9</f>
        <v>22.319288242999999</v>
      </c>
      <c r="O31" s="574">
        <f>Paylater!AA166/10^9</f>
        <v>25.487930309999999</v>
      </c>
      <c r="P31" s="565">
        <f>M31</f>
        <v>21.010523130999999</v>
      </c>
      <c r="Q31" s="362">
        <f t="shared" ref="Q31:Q51" si="18">R31/12*12</f>
        <v>21.91092622542109</v>
      </c>
      <c r="R31" s="362">
        <f t="shared" ref="R31:R48" si="19">$R$30/$P$30*P31</f>
        <v>21.91092622542109</v>
      </c>
      <c r="S31" s="362">
        <f t="shared" si="17"/>
        <v>-0.90040309442109034</v>
      </c>
      <c r="T31" s="517">
        <f t="shared" ref="T31:T43" si="20">P31/R31</f>
        <v>0.95890620573691487</v>
      </c>
      <c r="U31" s="5"/>
    </row>
    <row r="32" spans="1:21">
      <c r="A32" s="361" t="s">
        <v>217</v>
      </c>
      <c r="B32" s="574">
        <f t="shared" ref="B32" si="21">B33+B36</f>
        <v>9.2506687000000004E-2</v>
      </c>
      <c r="C32" s="574">
        <f t="shared" ref="C32:O32" si="22">C33+C36</f>
        <v>0.11496854300000001</v>
      </c>
      <c r="D32" s="574">
        <f t="shared" si="22"/>
        <v>0.20261225399999999</v>
      </c>
      <c r="E32" s="574">
        <f t="shared" si="22"/>
        <v>0.23692451399999997</v>
      </c>
      <c r="F32" s="574">
        <f t="shared" si="22"/>
        <v>0.22434559977760019</v>
      </c>
      <c r="G32" s="574">
        <f t="shared" si="22"/>
        <v>0.28733442984130003</v>
      </c>
      <c r="H32" s="574">
        <f t="shared" si="22"/>
        <v>0.32049413938769988</v>
      </c>
      <c r="I32" s="574">
        <f t="shared" si="22"/>
        <v>0.38451881306769975</v>
      </c>
      <c r="J32" s="574">
        <f t="shared" si="22"/>
        <v>0.45570314452439953</v>
      </c>
      <c r="K32" s="574">
        <f t="shared" si="22"/>
        <v>0.5404135844812763</v>
      </c>
      <c r="L32" s="574">
        <f t="shared" si="22"/>
        <v>0.59251189562439999</v>
      </c>
      <c r="M32" s="574">
        <f t="shared" si="22"/>
        <v>0.5903197185902016</v>
      </c>
      <c r="N32" s="574">
        <f t="shared" si="22"/>
        <v>0.67098946186030073</v>
      </c>
      <c r="O32" s="574">
        <f t="shared" si="22"/>
        <v>0.44819918979670026</v>
      </c>
      <c r="P32" s="565">
        <f t="shared" ref="P32:P39" si="23">SUM(D32:O32)</f>
        <v>4.954366744951578</v>
      </c>
      <c r="Q32" s="362">
        <f t="shared" si="18"/>
        <v>5.1666854540211995</v>
      </c>
      <c r="R32" s="362">
        <f t="shared" si="19"/>
        <v>5.1666854540211995</v>
      </c>
      <c r="S32" s="362">
        <f t="shared" si="17"/>
        <v>-0.21231870906962147</v>
      </c>
      <c r="T32" s="517">
        <f t="shared" si="20"/>
        <v>0.95890620573691487</v>
      </c>
      <c r="U32" s="5"/>
    </row>
    <row r="33" spans="1:21">
      <c r="A33" s="361" t="s">
        <v>591</v>
      </c>
      <c r="B33" s="574">
        <f t="shared" ref="B33" si="24">B34-B35</f>
        <v>1.5298813000000001E-2</v>
      </c>
      <c r="C33" s="574">
        <f t="shared" ref="C33:O33" si="25">C34-C35</f>
        <v>1.8284348999999998E-2</v>
      </c>
      <c r="D33" s="574">
        <f t="shared" si="25"/>
        <v>5.5887898000000005E-2</v>
      </c>
      <c r="E33" s="574">
        <f t="shared" si="25"/>
        <v>8.2524794999999998E-2</v>
      </c>
      <c r="F33" s="574">
        <f t="shared" si="25"/>
        <v>6.3044065777600189E-2</v>
      </c>
      <c r="G33" s="574">
        <f t="shared" si="25"/>
        <v>0.10396458784130004</v>
      </c>
      <c r="H33" s="574">
        <f t="shared" si="25"/>
        <v>0.11019910338769992</v>
      </c>
      <c r="I33" s="574">
        <f t="shared" si="25"/>
        <v>0.14128067706769976</v>
      </c>
      <c r="J33" s="574">
        <f t="shared" si="25"/>
        <v>0.18150648952439954</v>
      </c>
      <c r="K33" s="574">
        <f t="shared" si="25"/>
        <v>0.24828605148127636</v>
      </c>
      <c r="L33" s="574">
        <f t="shared" si="25"/>
        <v>0.27514155862439993</v>
      </c>
      <c r="M33" s="574">
        <f t="shared" si="25"/>
        <v>0.28861308059020158</v>
      </c>
      <c r="N33" s="574">
        <f t="shared" si="25"/>
        <v>0.34197507786030079</v>
      </c>
      <c r="O33" s="574">
        <f t="shared" si="25"/>
        <v>0.37134535479670028</v>
      </c>
      <c r="P33" s="565">
        <f t="shared" si="23"/>
        <v>2.2637687399515785</v>
      </c>
      <c r="Q33" s="362">
        <f t="shared" si="18"/>
        <v>2.360782239605888</v>
      </c>
      <c r="R33" s="362">
        <f t="shared" si="19"/>
        <v>2.360782239605888</v>
      </c>
      <c r="S33" s="362">
        <f t="shared" si="17"/>
        <v>-9.7013499654309499E-2</v>
      </c>
      <c r="T33" s="517">
        <f t="shared" si="20"/>
        <v>0.95890620573691498</v>
      </c>
      <c r="U33" s="5"/>
    </row>
    <row r="34" spans="1:21">
      <c r="A34" s="409" t="s">
        <v>255</v>
      </c>
      <c r="B34" s="575">
        <f>Paylater!N182/10^9</f>
        <v>2.2581237000000001E-2</v>
      </c>
      <c r="C34" s="575">
        <f>Paylater!O182/10^9</f>
        <v>3.1216087E-2</v>
      </c>
      <c r="D34" s="575">
        <f>Paylater!P182/10^9</f>
        <v>7.6377650000000005E-2</v>
      </c>
      <c r="E34" s="575">
        <f>Paylater!Q182/10^9</f>
        <v>0.104154017</v>
      </c>
      <c r="F34" s="575">
        <f>Paylater!R182/10^9</f>
        <v>9.0831105999999995E-2</v>
      </c>
      <c r="G34" s="575">
        <f>Paylater!S182/10^9</f>
        <v>0.133405196</v>
      </c>
      <c r="H34" s="575">
        <f>Paylater!T182/10^9</f>
        <v>0.14877646999999999</v>
      </c>
      <c r="I34" s="575">
        <f>Paylater!U182/10^9</f>
        <v>0.18605008200000001</v>
      </c>
      <c r="J34" s="575">
        <f>Paylater!V182/10^9</f>
        <v>0.23849020700000001</v>
      </c>
      <c r="K34" s="575">
        <f>Paylater!W182/10^9</f>
        <v>0.32091050399999999</v>
      </c>
      <c r="L34" s="575">
        <f>Paylater!X182/10^9</f>
        <v>0.35456006299999998</v>
      </c>
      <c r="M34" s="575">
        <f>Paylater!Y182/10^9</f>
        <v>0.38668167799999997</v>
      </c>
      <c r="N34" s="575">
        <f>Paylater!Z182/10^9</f>
        <v>0.44038178500000003</v>
      </c>
      <c r="O34" s="575">
        <f>Paylater!AA182/10^9</f>
        <v>0.499687143</v>
      </c>
      <c r="P34" s="565">
        <f t="shared" si="23"/>
        <v>2.9803059009999999</v>
      </c>
      <c r="Q34" s="362">
        <f t="shared" si="18"/>
        <v>3.1080265026647194</v>
      </c>
      <c r="R34" s="362">
        <f t="shared" si="19"/>
        <v>3.1080265026647198</v>
      </c>
      <c r="S34" s="362">
        <f t="shared" si="17"/>
        <v>-0.12772060166471944</v>
      </c>
      <c r="T34" s="517">
        <f t="shared" si="20"/>
        <v>0.95890620573691487</v>
      </c>
      <c r="U34" s="5"/>
    </row>
    <row r="35" spans="1:21">
      <c r="A35" s="409" t="s">
        <v>219</v>
      </c>
      <c r="B35" s="575">
        <f>Paylater!N188/10^9</f>
        <v>7.282424E-3</v>
      </c>
      <c r="C35" s="575">
        <f>Paylater!O188/10^9</f>
        <v>1.2931738E-2</v>
      </c>
      <c r="D35" s="575">
        <f>Paylater!P188/10^9</f>
        <v>2.0489752E-2</v>
      </c>
      <c r="E35" s="575">
        <f>Paylater!Q188/10^9</f>
        <v>2.1629222E-2</v>
      </c>
      <c r="F35" s="575">
        <f>Paylater!R188/10^9</f>
        <v>2.7787040222399806E-2</v>
      </c>
      <c r="G35" s="575">
        <f>Paylater!S188/10^9</f>
        <v>2.9440608158699959E-2</v>
      </c>
      <c r="H35" s="575">
        <f>Paylater!T188/10^9</f>
        <v>3.8577366612300067E-2</v>
      </c>
      <c r="I35" s="575">
        <f>Paylater!U188/10^9</f>
        <v>4.4769404932300236E-2</v>
      </c>
      <c r="J35" s="575">
        <f>Paylater!V188/10^9</f>
        <v>5.6983717475600458E-2</v>
      </c>
      <c r="K35" s="575">
        <f>Paylater!W188/10^9</f>
        <v>7.2624452518723639E-2</v>
      </c>
      <c r="L35" s="575">
        <f>Paylater!X188/10^9</f>
        <v>7.9418504375600052E-2</v>
      </c>
      <c r="M35" s="575">
        <f>Paylater!Y188/10^9</f>
        <v>9.8068597409798383E-2</v>
      </c>
      <c r="N35" s="575">
        <f>Paylater!Z188/10^9</f>
        <v>9.8406707139699207E-2</v>
      </c>
      <c r="O35" s="575">
        <f>Paylater!AA188/10^9</f>
        <v>0.12834178820329969</v>
      </c>
      <c r="P35" s="565">
        <f t="shared" si="23"/>
        <v>0.71653716104842147</v>
      </c>
      <c r="Q35" s="362">
        <f t="shared" si="18"/>
        <v>0.74724426305883174</v>
      </c>
      <c r="R35" s="362">
        <f t="shared" si="19"/>
        <v>0.74724426305883174</v>
      </c>
      <c r="S35" s="362">
        <f t="shared" si="17"/>
        <v>-3.070710201041027E-2</v>
      </c>
      <c r="T35" s="517">
        <f t="shared" si="20"/>
        <v>0.95890620573691487</v>
      </c>
      <c r="U35" s="5"/>
    </row>
    <row r="36" spans="1:21">
      <c r="A36" s="361" t="s">
        <v>593</v>
      </c>
      <c r="B36" s="574">
        <f t="shared" ref="B36" si="26">B37-B38</f>
        <v>7.7207873999999996E-2</v>
      </c>
      <c r="C36" s="574">
        <f t="shared" ref="C36:N36" si="27">C37-C38</f>
        <v>9.6684194000000001E-2</v>
      </c>
      <c r="D36" s="574">
        <f t="shared" si="27"/>
        <v>0.146724356</v>
      </c>
      <c r="E36" s="574">
        <f t="shared" si="27"/>
        <v>0.15439971899999999</v>
      </c>
      <c r="F36" s="574">
        <f t="shared" si="27"/>
        <v>0.161301534</v>
      </c>
      <c r="G36" s="574">
        <f t="shared" si="27"/>
        <v>0.18336984200000001</v>
      </c>
      <c r="H36" s="574">
        <f t="shared" si="27"/>
        <v>0.21029503599999999</v>
      </c>
      <c r="I36" s="574">
        <f t="shared" si="27"/>
        <v>0.24323813599999999</v>
      </c>
      <c r="J36" s="574">
        <f t="shared" si="27"/>
        <v>0.27419665500000001</v>
      </c>
      <c r="K36" s="574">
        <f t="shared" si="27"/>
        <v>0.29212753299999999</v>
      </c>
      <c r="L36" s="574">
        <f t="shared" si="27"/>
        <v>0.317370337</v>
      </c>
      <c r="M36" s="574">
        <f t="shared" si="27"/>
        <v>0.30170663800000003</v>
      </c>
      <c r="N36" s="574">
        <f t="shared" si="27"/>
        <v>0.32901438399999999</v>
      </c>
      <c r="O36" s="574">
        <f>O37-O38</f>
        <v>7.6853834999999995E-2</v>
      </c>
      <c r="P36" s="565">
        <f t="shared" si="23"/>
        <v>2.690598005</v>
      </c>
      <c r="Q36" s="362">
        <f t="shared" si="18"/>
        <v>2.805903214415312</v>
      </c>
      <c r="R36" s="362">
        <f t="shared" si="19"/>
        <v>2.805903214415312</v>
      </c>
      <c r="S36" s="362">
        <f t="shared" si="17"/>
        <v>-0.11530520941531197</v>
      </c>
      <c r="T36" s="517">
        <f t="shared" si="20"/>
        <v>0.95890620573691487</v>
      </c>
      <c r="U36" s="5"/>
    </row>
    <row r="37" spans="1:21">
      <c r="A37" s="409" t="s">
        <v>22</v>
      </c>
      <c r="B37" s="575">
        <f>Paylater!N189/10^9</f>
        <v>7.7207873999999996E-2</v>
      </c>
      <c r="C37" s="575">
        <f>Paylater!O189/10^9</f>
        <v>9.6684194000000001E-2</v>
      </c>
      <c r="D37" s="575">
        <f>Paylater!P189/10^9</f>
        <v>0.146724356</v>
      </c>
      <c r="E37" s="575">
        <f>Paylater!Q189/10^9</f>
        <v>0.15439971899999999</v>
      </c>
      <c r="F37" s="575">
        <f>Paylater!R189/10^9</f>
        <v>0.161301534</v>
      </c>
      <c r="G37" s="575">
        <f>Paylater!S189/10^9</f>
        <v>0.18336984200000001</v>
      </c>
      <c r="H37" s="575">
        <f>Paylater!T189/10^9</f>
        <v>0.21029503599999999</v>
      </c>
      <c r="I37" s="575">
        <f>Paylater!U189/10^9</f>
        <v>0.24323813599999999</v>
      </c>
      <c r="J37" s="575">
        <f>Paylater!V189/10^9</f>
        <v>0.27419665500000001</v>
      </c>
      <c r="K37" s="575">
        <f>Paylater!W189/10^9</f>
        <v>0.29212753299999999</v>
      </c>
      <c r="L37" s="575">
        <f>Paylater!X189/10^9</f>
        <v>0.317370337</v>
      </c>
      <c r="M37" s="575">
        <f>Paylater!Y189/10^9</f>
        <v>0.30170663800000003</v>
      </c>
      <c r="N37" s="575">
        <f>Paylater!Z189/10^9</f>
        <v>0.32901438399999999</v>
      </c>
      <c r="O37" s="575">
        <f>Paylater!AA189/10^9</f>
        <v>7.6853834999999995E-2</v>
      </c>
      <c r="P37" s="565">
        <f t="shared" si="23"/>
        <v>2.690598005</v>
      </c>
      <c r="Q37" s="362">
        <f t="shared" si="18"/>
        <v>2.805903214415312</v>
      </c>
      <c r="R37" s="362">
        <f t="shared" si="19"/>
        <v>2.805903214415312</v>
      </c>
      <c r="S37" s="362">
        <f t="shared" si="17"/>
        <v>-0.11530520941531197</v>
      </c>
      <c r="T37" s="517">
        <f t="shared" si="20"/>
        <v>0.95890620573691487</v>
      </c>
      <c r="U37" s="5"/>
    </row>
    <row r="38" spans="1:21" hidden="1">
      <c r="A38" s="409" t="s">
        <v>295</v>
      </c>
      <c r="B38" s="575">
        <v>0</v>
      </c>
      <c r="C38" s="575">
        <v>0</v>
      </c>
      <c r="D38" s="575">
        <v>0</v>
      </c>
      <c r="E38" s="575">
        <v>0</v>
      </c>
      <c r="F38" s="575">
        <v>0</v>
      </c>
      <c r="G38" s="575">
        <v>0</v>
      </c>
      <c r="H38" s="575">
        <v>0</v>
      </c>
      <c r="I38" s="575">
        <v>0</v>
      </c>
      <c r="J38" s="575">
        <v>0</v>
      </c>
      <c r="K38" s="575">
        <v>0</v>
      </c>
      <c r="L38" s="575">
        <v>0</v>
      </c>
      <c r="M38" s="575">
        <v>0</v>
      </c>
      <c r="N38" s="575">
        <v>0</v>
      </c>
      <c r="O38" s="575">
        <v>0</v>
      </c>
      <c r="P38" s="565">
        <f t="shared" si="23"/>
        <v>0</v>
      </c>
      <c r="Q38" s="362">
        <f t="shared" si="18"/>
        <v>0</v>
      </c>
      <c r="R38" s="362">
        <f t="shared" si="19"/>
        <v>0</v>
      </c>
      <c r="S38" s="362">
        <f t="shared" si="17"/>
        <v>0</v>
      </c>
      <c r="T38" s="517"/>
      <c r="U38" s="5"/>
    </row>
    <row r="39" spans="1:21">
      <c r="A39" s="409" t="s">
        <v>89</v>
      </c>
      <c r="B39" s="575"/>
      <c r="C39" s="575"/>
      <c r="D39" s="575"/>
      <c r="E39" s="575"/>
      <c r="F39" s="575"/>
      <c r="G39" s="575"/>
      <c r="H39" s="575"/>
      <c r="I39" s="575"/>
      <c r="J39" s="575"/>
      <c r="K39" s="575">
        <f>Paylater!W198/10^9</f>
        <v>0</v>
      </c>
      <c r="L39" s="575">
        <f>Paylater!X198/10^9</f>
        <v>0</v>
      </c>
      <c r="M39" s="575">
        <f>Paylater!Y198/10^9</f>
        <v>2.6958419999999999E-3</v>
      </c>
      <c r="N39" s="575"/>
      <c r="O39" s="575"/>
      <c r="P39" s="565">
        <f t="shared" si="23"/>
        <v>2.6958419999999999E-3</v>
      </c>
      <c r="Q39" s="362">
        <f t="shared" si="18"/>
        <v>2.8113719401036286E-3</v>
      </c>
      <c r="R39" s="362">
        <f t="shared" si="19"/>
        <v>2.8113719401036286E-3</v>
      </c>
      <c r="S39" s="362">
        <f>P39-Q39</f>
        <v>-1.1552994010362869E-4</v>
      </c>
      <c r="T39" s="517">
        <f>P39/R39</f>
        <v>0.95890620573691498</v>
      </c>
      <c r="U39" s="5"/>
    </row>
    <row r="40" spans="1:21">
      <c r="A40" s="361" t="s">
        <v>577</v>
      </c>
      <c r="B40" s="574">
        <f>SUM(B41:B46)</f>
        <v>6.4803699370119844E-2</v>
      </c>
      <c r="C40" s="574">
        <f t="shared" ref="C40:O40" si="28">SUM(C41:C46)</f>
        <v>9.5131268997777046E-2</v>
      </c>
      <c r="D40" s="574">
        <f t="shared" si="28"/>
        <v>0.10257963379990533</v>
      </c>
      <c r="E40" s="574">
        <f t="shared" si="28"/>
        <v>0.10415687102226856</v>
      </c>
      <c r="F40" s="574">
        <f t="shared" si="28"/>
        <v>0.11330435619925495</v>
      </c>
      <c r="G40" s="574">
        <f t="shared" si="28"/>
        <v>0.1386539916511427</v>
      </c>
      <c r="H40" s="574">
        <f t="shared" si="28"/>
        <v>0.15784037652733351</v>
      </c>
      <c r="I40" s="574">
        <f t="shared" si="28"/>
        <v>0.12998305942692451</v>
      </c>
      <c r="J40" s="574">
        <f t="shared" si="28"/>
        <v>0.14271945677565739</v>
      </c>
      <c r="K40" s="574">
        <f t="shared" si="28"/>
        <v>0.16075818849867504</v>
      </c>
      <c r="L40" s="574">
        <f t="shared" si="28"/>
        <v>0.17562099822904009</v>
      </c>
      <c r="M40" s="574">
        <f t="shared" si="28"/>
        <v>0.13542507479453619</v>
      </c>
      <c r="N40" s="574">
        <f t="shared" si="28"/>
        <v>0.13905874619971645</v>
      </c>
      <c r="O40" s="574">
        <f t="shared" si="28"/>
        <v>0.18025451045501767</v>
      </c>
      <c r="P40" s="574">
        <f t="shared" ref="P40" si="29">SUM(P41:P46)</f>
        <v>1.6585033076944373</v>
      </c>
      <c r="Q40" s="362">
        <f t="shared" si="18"/>
        <v>1.7295782400530877</v>
      </c>
      <c r="R40" s="362">
        <f t="shared" si="19"/>
        <v>1.7295782400530877</v>
      </c>
      <c r="S40" s="362">
        <f t="shared" si="17"/>
        <v>-7.1074932358650367E-2</v>
      </c>
      <c r="T40" s="517">
        <f t="shared" si="20"/>
        <v>0.95890620573691487</v>
      </c>
      <c r="U40" s="5"/>
    </row>
    <row r="41" spans="1:21">
      <c r="A41" s="409" t="s">
        <v>232</v>
      </c>
      <c r="B41" s="575">
        <f>Paylater!N203/10^9</f>
        <v>1.3812047098556572E-2</v>
      </c>
      <c r="C41" s="575">
        <f>Paylater!O203/10^9</f>
        <v>2.031600211551857E-2</v>
      </c>
      <c r="D41" s="575">
        <f>Paylater!P203/10^9</f>
        <v>1.1603595475382649E-2</v>
      </c>
      <c r="E41" s="575">
        <f>Paylater!Q203/10^9</f>
        <v>1.4460475215849679E-2</v>
      </c>
      <c r="F41" s="575">
        <f>Paylater!R203/10^9</f>
        <v>1.4369181824432019E-2</v>
      </c>
      <c r="G41" s="575">
        <f>Paylater!S203/10^9</f>
        <v>2.1513650688189622E-2</v>
      </c>
      <c r="H41" s="575">
        <f>Paylater!T203/10^9</f>
        <v>4.1114954136666604E-2</v>
      </c>
      <c r="I41" s="575">
        <f>Paylater!U203/10^9</f>
        <v>4.9820157942142354E-2</v>
      </c>
      <c r="J41" s="575">
        <f>Paylater!V203/10^9</f>
        <v>4.465994511872385E-2</v>
      </c>
      <c r="K41" s="575">
        <f>Paylater!W203/10^9</f>
        <v>4.7917903833197086E-2</v>
      </c>
      <c r="L41" s="575">
        <f>Paylater!X203/10^9</f>
        <v>4.608242380864782E-2</v>
      </c>
      <c r="M41" s="575">
        <f>Paylater!Y203/10^9</f>
        <v>4.425962987734737E-2</v>
      </c>
      <c r="N41" s="575">
        <f>Paylater!Z203/10^9</f>
        <v>3.4176286399580258E-2</v>
      </c>
      <c r="O41" s="575">
        <f>Paylater!AA203/10^9</f>
        <v>5.7596341866424788E-2</v>
      </c>
      <c r="P41" s="565">
        <f>SUM(D41:O41)</f>
        <v>0.42757454618658408</v>
      </c>
      <c r="Q41" s="362">
        <f t="shared" si="18"/>
        <v>0.44589819486880378</v>
      </c>
      <c r="R41" s="362">
        <f t="shared" si="19"/>
        <v>0.44589819486880372</v>
      </c>
      <c r="S41" s="362">
        <f t="shared" si="17"/>
        <v>-1.8323648682219695E-2</v>
      </c>
      <c r="T41" s="517">
        <f t="shared" si="20"/>
        <v>0.95890620573691487</v>
      </c>
      <c r="U41" s="5"/>
    </row>
    <row r="42" spans="1:21">
      <c r="A42" s="409" t="s">
        <v>234</v>
      </c>
      <c r="B42" s="575">
        <f>Paylater!N206/10^9</f>
        <v>1.3733220825815401E-2</v>
      </c>
      <c r="C42" s="575">
        <f>Paylater!O206/10^9</f>
        <v>2.8559057882258484E-2</v>
      </c>
      <c r="D42" s="575">
        <f>Paylater!P206/10^9</f>
        <v>3.8719689527753794E-2</v>
      </c>
      <c r="E42" s="575">
        <f>Paylater!Q206/10^9</f>
        <v>4.9567759316780001E-2</v>
      </c>
      <c r="F42" s="575">
        <f>Paylater!R206/10^9</f>
        <v>5.3340706310058002E-2</v>
      </c>
      <c r="G42" s="575">
        <f>Paylater!S206/10^9</f>
        <v>6.0435856718918872E-2</v>
      </c>
      <c r="H42" s="575">
        <f>Paylater!T206/10^9</f>
        <v>6.5607751644285964E-2</v>
      </c>
      <c r="I42" s="575">
        <f>Paylater!U206/10^9</f>
        <v>3.0852587785312538E-2</v>
      </c>
      <c r="J42" s="575">
        <f>Paylater!V206/10^9</f>
        <v>4.6212271637946577E-2</v>
      </c>
      <c r="K42" s="575">
        <f>Paylater!W206/10^9</f>
        <v>5.8532057230430173E-2</v>
      </c>
      <c r="L42" s="575">
        <f>Paylater!X206/10^9</f>
        <v>7.4722117631350657E-2</v>
      </c>
      <c r="M42" s="575">
        <f>Paylater!Y206/10^9</f>
        <v>3.3295616554463205E-2</v>
      </c>
      <c r="N42" s="575">
        <f>Paylater!Z206/10^9</f>
        <v>4.319037524536825E-2</v>
      </c>
      <c r="O42" s="575">
        <f>Paylater!AA206/10^9</f>
        <v>4.7302973924055552E-2</v>
      </c>
      <c r="P42" s="565">
        <f>SUM(D42:O42)</f>
        <v>0.60177976352672358</v>
      </c>
      <c r="Q42" s="362">
        <f t="shared" si="18"/>
        <v>0.62756895296579984</v>
      </c>
      <c r="R42" s="362">
        <f t="shared" si="19"/>
        <v>0.62756895296579984</v>
      </c>
      <c r="S42" s="362">
        <f t="shared" si="17"/>
        <v>-2.5789189439076265E-2</v>
      </c>
      <c r="T42" s="517">
        <f t="shared" si="20"/>
        <v>0.95890620573691498</v>
      </c>
      <c r="U42" s="5"/>
    </row>
    <row r="43" spans="1:21">
      <c r="A43" s="409" t="s">
        <v>233</v>
      </c>
      <c r="B43" s="575">
        <f>Paylater!N204/10^9</f>
        <v>8.0911700000000004E-4</v>
      </c>
      <c r="C43" s="575">
        <f>Paylater!O204/10^9</f>
        <v>1.3936829999999999E-3</v>
      </c>
      <c r="D43" s="575">
        <f>Paylater!P204/10^9</f>
        <v>9.6265399999999996E-4</v>
      </c>
      <c r="E43" s="575">
        <f>Paylater!Q204/10^9</f>
        <v>6.6081799999999997E-4</v>
      </c>
      <c r="F43" s="575">
        <f>Paylater!R204/10^9</f>
        <v>2.4591209999999999E-3</v>
      </c>
      <c r="G43" s="575">
        <f>Paylater!S204/10^9</f>
        <v>2.7667439999999998E-3</v>
      </c>
      <c r="H43" s="575">
        <f>Paylater!T204/10^9</f>
        <v>4.7589600000000001E-4</v>
      </c>
      <c r="I43" s="575">
        <f>Paylater!U204/10^9</f>
        <v>2.1497529999999999E-3</v>
      </c>
      <c r="J43" s="575">
        <f>Paylater!V204/10^9</f>
        <v>3.3606E-3</v>
      </c>
      <c r="K43" s="575">
        <f>Paylater!W204/10^9</f>
        <v>3.1338E-3</v>
      </c>
      <c r="L43" s="575">
        <f>Paylater!X204/10^9</f>
        <v>1.8178140000000001E-3</v>
      </c>
      <c r="M43" s="575">
        <f>Paylater!Y204/10^9</f>
        <v>1.543525E-3</v>
      </c>
      <c r="N43" s="575">
        <f>Paylater!Z204/10^9</f>
        <v>1.6062800000000001E-3</v>
      </c>
      <c r="O43" s="575">
        <f>Paylater!AA204/10^9</f>
        <v>3.171082E-3</v>
      </c>
      <c r="P43" s="565">
        <f>SUM(D43:O43)</f>
        <v>2.4108087E-2</v>
      </c>
      <c r="Q43" s="362">
        <f t="shared" si="18"/>
        <v>2.51412357702629E-2</v>
      </c>
      <c r="R43" s="362">
        <f t="shared" si="19"/>
        <v>2.51412357702629E-2</v>
      </c>
      <c r="S43" s="362">
        <f t="shared" si="17"/>
        <v>-1.0331487702628997E-3</v>
      </c>
      <c r="T43" s="517">
        <f t="shared" si="20"/>
        <v>0.95890620573691487</v>
      </c>
      <c r="U43" s="5"/>
    </row>
    <row r="44" spans="1:21" hidden="1">
      <c r="A44" s="409" t="s">
        <v>703</v>
      </c>
      <c r="B44" s="575"/>
      <c r="C44" s="575"/>
      <c r="D44" s="575"/>
      <c r="E44" s="575"/>
      <c r="F44" s="575"/>
      <c r="G44" s="575"/>
      <c r="H44" s="575"/>
      <c r="I44" s="575"/>
      <c r="J44" s="575"/>
      <c r="K44" s="575"/>
      <c r="L44" s="575"/>
      <c r="M44" s="575"/>
      <c r="N44" s="575"/>
      <c r="O44" s="575"/>
      <c r="P44" s="565">
        <f>SUM(D44:O44)</f>
        <v>0</v>
      </c>
      <c r="Q44" s="362">
        <f t="shared" si="18"/>
        <v>0</v>
      </c>
      <c r="R44" s="362">
        <f t="shared" si="19"/>
        <v>0</v>
      </c>
      <c r="S44" s="362">
        <f t="shared" si="17"/>
        <v>0</v>
      </c>
      <c r="T44" s="517"/>
      <c r="U44" s="5"/>
    </row>
    <row r="45" spans="1:21">
      <c r="A45" s="409" t="s">
        <v>163</v>
      </c>
      <c r="B45" s="575">
        <f>Paylater!N208/10^9</f>
        <v>3.6449314445747866E-2</v>
      </c>
      <c r="C45" s="575">
        <f>Paylater!O208/10^9</f>
        <v>4.4862526E-2</v>
      </c>
      <c r="D45" s="575">
        <f>Paylater!P208/10^9</f>
        <v>4.9538117635647277E-2</v>
      </c>
      <c r="E45" s="575">
        <f>Paylater!Q208/10^9</f>
        <v>3.913659043561106E-2</v>
      </c>
      <c r="F45" s="575">
        <f>Paylater!R208/10^9</f>
        <v>4.1580544916974882E-2</v>
      </c>
      <c r="G45" s="575">
        <f>Paylater!S208/10^9</f>
        <v>5.2465674616851636E-2</v>
      </c>
      <c r="H45" s="575">
        <f>Paylater!T208/10^9</f>
        <v>4.8697199777055798E-2</v>
      </c>
      <c r="I45" s="575">
        <f>Paylater!U208/10^9</f>
        <v>4.5659557739494754E-2</v>
      </c>
      <c r="J45" s="575">
        <f>Paylater!V208/10^9</f>
        <v>4.6799145589363669E-2</v>
      </c>
      <c r="K45" s="575">
        <f>Paylater!W208/10^9</f>
        <v>4.9613503452489639E-2</v>
      </c>
      <c r="L45" s="575">
        <f>Paylater!X208/10^9</f>
        <v>5.1256088452548733E-2</v>
      </c>
      <c r="M45" s="575">
        <f>Paylater!Y208/10^9</f>
        <v>5.4306979430681766E-2</v>
      </c>
      <c r="N45" s="575">
        <f>Paylater!Z208/10^9</f>
        <v>5.794574829492543E-2</v>
      </c>
      <c r="O45" s="575">
        <f>Paylater!AA208/10^9</f>
        <v>6.804176063948511E-2</v>
      </c>
      <c r="P45" s="565">
        <f>SUM(D45:O45)</f>
        <v>0.60504091098112966</v>
      </c>
      <c r="Q45" s="362">
        <f t="shared" si="18"/>
        <v>0.63096985644822123</v>
      </c>
      <c r="R45" s="362">
        <f t="shared" si="19"/>
        <v>0.63096985644822123</v>
      </c>
      <c r="S45" s="362">
        <f t="shared" si="17"/>
        <v>-2.5928945467091569E-2</v>
      </c>
      <c r="T45" s="517">
        <f t="shared" ref="T45:T48" si="30">P45/R45</f>
        <v>0.95890620573691487</v>
      </c>
      <c r="U45" s="5"/>
    </row>
    <row r="46" spans="1:21">
      <c r="A46" s="409" t="s">
        <v>152</v>
      </c>
      <c r="B46" s="575">
        <f>Paylater!N205/10^9</f>
        <v>0</v>
      </c>
      <c r="C46" s="575">
        <f>Paylater!O205/10^9</f>
        <v>0</v>
      </c>
      <c r="D46" s="575">
        <f>Paylater!P205/10^9</f>
        <v>1.755577161121604E-3</v>
      </c>
      <c r="E46" s="575">
        <f>Paylater!Q205/10^9</f>
        <v>3.3122805402782267E-4</v>
      </c>
      <c r="F46" s="575">
        <f>Paylater!R205/10^9</f>
        <v>1.5548021477900552E-3</v>
      </c>
      <c r="G46" s="575">
        <f>Paylater!S205/10^9</f>
        <v>1.4720656271825674E-3</v>
      </c>
      <c r="H46" s="575">
        <f>Paylater!T205/10^9</f>
        <v>1.9445749693251535E-3</v>
      </c>
      <c r="I46" s="575">
        <f>Paylater!U205/10^9</f>
        <v>1.5010029599748533E-3</v>
      </c>
      <c r="J46" s="575">
        <f>Paylater!V205/10^9</f>
        <v>1.687494429623306E-3</v>
      </c>
      <c r="K46" s="575">
        <f>Paylater!W205/10^9</f>
        <v>1.5609239825581395E-3</v>
      </c>
      <c r="L46" s="575">
        <f>Paylater!X205/10^9</f>
        <v>1.742554336492891E-3</v>
      </c>
      <c r="M46" s="575">
        <f>Paylater!Y205/10^9</f>
        <v>2.0193239320438561E-3</v>
      </c>
      <c r="N46" s="575">
        <f>Paylater!Z205/10^9</f>
        <v>2.1400562598425195E-3</v>
      </c>
      <c r="O46" s="575">
        <f>Paylater!AA205/10^9</f>
        <v>4.1423520250521914E-3</v>
      </c>
      <c r="P46" s="565"/>
      <c r="Q46" s="362">
        <f t="shared" si="18"/>
        <v>0</v>
      </c>
      <c r="R46" s="362">
        <f t="shared" si="19"/>
        <v>0</v>
      </c>
      <c r="S46" s="362"/>
      <c r="T46" s="517"/>
      <c r="U46" s="5"/>
    </row>
    <row r="47" spans="1:21">
      <c r="A47" s="409" t="s">
        <v>675</v>
      </c>
      <c r="B47" s="575">
        <f>Paylater!N202/10^9</f>
        <v>1.2690352E-2</v>
      </c>
      <c r="C47" s="575">
        <f>Paylater!O202/10^9</f>
        <v>0</v>
      </c>
      <c r="D47" s="575">
        <f>Paylater!P202/10^9</f>
        <v>6.337156E-3</v>
      </c>
      <c r="E47" s="575">
        <f>Paylater!Q202/10^9</f>
        <v>1.2977619500000001E-2</v>
      </c>
      <c r="F47" s="575">
        <f>Paylater!R202/10^9</f>
        <v>0</v>
      </c>
      <c r="G47" s="575">
        <f>Paylater!S202/10^9</f>
        <v>0</v>
      </c>
      <c r="H47" s="575">
        <f>Paylater!T202/10^9</f>
        <v>0</v>
      </c>
      <c r="I47" s="575">
        <f>Paylater!U202/10^9</f>
        <v>0</v>
      </c>
      <c r="J47" s="575">
        <f>Paylater!V202/10^9</f>
        <v>0</v>
      </c>
      <c r="K47" s="575">
        <f>Paylater!W202/10^9</f>
        <v>0</v>
      </c>
      <c r="L47" s="575">
        <f>Paylater!X202/10^9</f>
        <v>0</v>
      </c>
      <c r="M47" s="575">
        <f>Paylater!Y202/10^9</f>
        <v>0</v>
      </c>
      <c r="N47" s="575">
        <f>Paylater!Z202/10^9</f>
        <v>0</v>
      </c>
      <c r="O47" s="575">
        <f>Paylater!AA202/10^9</f>
        <v>0</v>
      </c>
      <c r="P47" s="565">
        <f>SUM(D47:O47)</f>
        <v>1.9314775499999999E-2</v>
      </c>
      <c r="Q47" s="362">
        <f t="shared" si="18"/>
        <v>2.0142507561682413E-2</v>
      </c>
      <c r="R47" s="362">
        <f t="shared" si="19"/>
        <v>2.0142507561682413E-2</v>
      </c>
      <c r="S47" s="362">
        <f t="shared" si="17"/>
        <v>-8.2773206168241381E-4</v>
      </c>
      <c r="T47" s="517">
        <f t="shared" si="30"/>
        <v>0.95890620573691487</v>
      </c>
      <c r="U47" s="5"/>
    </row>
    <row r="48" spans="1:21">
      <c r="A48" s="350" t="s">
        <v>136</v>
      </c>
      <c r="B48" s="574">
        <f>Paylater!N199/10^9</f>
        <v>2.9282776999999999E-2</v>
      </c>
      <c r="C48" s="574">
        <f>Paylater!O199/10^9</f>
        <v>6.5231653000000001E-2</v>
      </c>
      <c r="D48" s="574">
        <f>Paylater!P199/10^9</f>
        <v>5.2038602000000003E-2</v>
      </c>
      <c r="E48" s="574">
        <f>Paylater!Q199/10^9</f>
        <v>9.9148600000000003E-2</v>
      </c>
      <c r="F48" s="574">
        <f>Paylater!R199/10^9</f>
        <v>0.18594727699999999</v>
      </c>
      <c r="G48" s="574">
        <f>Paylater!S199/10^9</f>
        <v>0.139525176</v>
      </c>
      <c r="H48" s="574">
        <f>Paylater!T199/10^9</f>
        <v>0.24001297199999999</v>
      </c>
      <c r="I48" s="574">
        <f>Paylater!U199/10^9</f>
        <v>0.35097104600000001</v>
      </c>
      <c r="J48" s="574">
        <f>Paylater!V199/10^9</f>
        <v>0.33275537399999999</v>
      </c>
      <c r="K48" s="574">
        <f>Paylater!W199/10^9</f>
        <v>0.59105917100000005</v>
      </c>
      <c r="L48" s="574">
        <f>Paylater!X199/10^9</f>
        <v>0.65649376000000004</v>
      </c>
      <c r="M48" s="574">
        <f>Paylater!Y199/10^9</f>
        <v>1.051340977</v>
      </c>
      <c r="N48" s="574">
        <f>Paylater!Z199/10^9</f>
        <v>0.68452982200000001</v>
      </c>
      <c r="O48" s="574">
        <f>Paylater!AA199/10^9</f>
        <v>0.97462633300000001</v>
      </c>
      <c r="P48" s="565">
        <f>SUM(D48:O48)</f>
        <v>5.3584491099999996</v>
      </c>
      <c r="Q48" s="362">
        <f t="shared" si="18"/>
        <v>5.5880847135430276</v>
      </c>
      <c r="R48" s="362">
        <f t="shared" si="19"/>
        <v>5.5880847135430276</v>
      </c>
      <c r="S48" s="362">
        <f t="shared" si="17"/>
        <v>-0.22963560354302803</v>
      </c>
      <c r="T48" s="517">
        <f t="shared" si="30"/>
        <v>0.95890620573691487</v>
      </c>
      <c r="U48" s="5"/>
    </row>
    <row r="49" spans="1:23">
      <c r="A49" s="542" t="s">
        <v>211</v>
      </c>
      <c r="B49" s="577">
        <f>Paylater!N171/Paylater!N166</f>
        <v>0.18840519519393611</v>
      </c>
      <c r="C49" s="577">
        <f>Paylater!O171/Paylater!O166</f>
        <v>0.16933825151749565</v>
      </c>
      <c r="D49" s="577">
        <f>Paylater!P171/Paylater!P166</f>
        <v>0.17701616461826114</v>
      </c>
      <c r="E49" s="577">
        <f>Paylater!Q171/Paylater!Q166</f>
        <v>0.22207416633149196</v>
      </c>
      <c r="F49" s="577">
        <f>Paylater!R171/Paylater!R166</f>
        <v>0.24013711310630165</v>
      </c>
      <c r="G49" s="577">
        <f>Paylater!S171/Paylater!S166</f>
        <v>0.19742975894132736</v>
      </c>
      <c r="H49" s="577">
        <f>Paylater!T171/Paylater!T166</f>
        <v>0.16257040474918261</v>
      </c>
      <c r="I49" s="577">
        <f>Paylater!U171/Paylater!U166</f>
        <v>0.15893816279186535</v>
      </c>
      <c r="J49" s="577">
        <f>Paylater!V171/Paylater!V166</f>
        <v>0.15889216960989941</v>
      </c>
      <c r="K49" s="577">
        <f>Paylater!W171/Paylater!W166</f>
        <v>0.14852660912121357</v>
      </c>
      <c r="L49" s="577">
        <f>Paylater!X171/Paylater!X166</f>
        <v>0.16223797723555347</v>
      </c>
      <c r="M49" s="577">
        <f>Paylater!Y171/Paylater!Y166</f>
        <v>0.16343937566853722</v>
      </c>
      <c r="N49" s="577">
        <f>Paylater!Z171/Paylater!Z166</f>
        <v>0.17256010868572033</v>
      </c>
      <c r="O49" s="577">
        <f>Paylater!AA171/Paylater!AA166</f>
        <v>0.16612224666742664</v>
      </c>
      <c r="P49" s="525"/>
      <c r="Q49" s="362">
        <f t="shared" si="18"/>
        <v>0</v>
      </c>
      <c r="R49" s="362"/>
      <c r="S49" s="362"/>
      <c r="T49" s="517"/>
      <c r="U49" s="5"/>
    </row>
    <row r="50" spans="1:23" ht="16" thickBot="1">
      <c r="A50" s="353" t="s">
        <v>214</v>
      </c>
      <c r="B50" s="354">
        <f>Paylater!N174</f>
        <v>2.879911668310655E-2</v>
      </c>
      <c r="C50" s="354">
        <f>Paylater!O174</f>
        <v>5.0021209643979936E-2</v>
      </c>
      <c r="D50" s="354">
        <f>Paylater!P174</f>
        <v>5.7052864812470121E-2</v>
      </c>
      <c r="E50" s="354">
        <f>Paylater!Q174</f>
        <v>7.8398979307513675E-2</v>
      </c>
      <c r="F50" s="354">
        <f>Paylater!R174</f>
        <v>0.11921447548934604</v>
      </c>
      <c r="G50" s="354">
        <f>Paylater!S174</f>
        <v>0.13483281421817389</v>
      </c>
      <c r="H50" s="354">
        <f>Paylater!T174</f>
        <v>0.16424106927970528</v>
      </c>
      <c r="I50" s="354">
        <f>Paylater!U174</f>
        <v>0.19042581461117866</v>
      </c>
      <c r="J50" s="354">
        <f>Paylater!V174</f>
        <v>0.17918954665337308</v>
      </c>
      <c r="K50" s="354">
        <f>Paylater!W174</f>
        <v>0.188027196097827</v>
      </c>
      <c r="L50" s="354">
        <f>Paylater!X174</f>
        <v>0.21191269246099392</v>
      </c>
      <c r="M50" s="354">
        <f>Paylater!Y174</f>
        <v>0.1225513298715018</v>
      </c>
      <c r="N50" s="354">
        <f>Paylater!Z174</f>
        <v>8.7389317605668954E-2</v>
      </c>
      <c r="O50" s="354">
        <f>Paylater!AA174</f>
        <v>0.10168110990099455</v>
      </c>
      <c r="P50" s="472"/>
      <c r="Q50" s="369">
        <f t="shared" si="18"/>
        <v>0</v>
      </c>
      <c r="R50" s="369"/>
      <c r="S50" s="369"/>
      <c r="T50" s="519"/>
      <c r="U50" s="5"/>
    </row>
    <row r="51" spans="1:23" ht="31" thickTop="1">
      <c r="A51" s="464" t="s">
        <v>236</v>
      </c>
      <c r="B51" s="578">
        <f t="shared" ref="B51:O51" si="31">B32-B40-B47-B48</f>
        <v>-1.4270141370119839E-2</v>
      </c>
      <c r="C51" s="578">
        <f t="shared" si="31"/>
        <v>-4.5394378997777041E-2</v>
      </c>
      <c r="D51" s="578">
        <f t="shared" si="31"/>
        <v>4.1656862200094666E-2</v>
      </c>
      <c r="E51" s="578">
        <f t="shared" si="31"/>
        <v>2.0641423477731416E-2</v>
      </c>
      <c r="F51" s="578">
        <f t="shared" si="31"/>
        <v>-7.4906033421654764E-2</v>
      </c>
      <c r="G51" s="578">
        <f t="shared" si="31"/>
        <v>9.1552621901573317E-3</v>
      </c>
      <c r="H51" s="578">
        <f t="shared" si="31"/>
        <v>-7.7359209139633622E-2</v>
      </c>
      <c r="I51" s="578">
        <f t="shared" si="31"/>
        <v>-9.6435292359224767E-2</v>
      </c>
      <c r="J51" s="578">
        <f t="shared" si="31"/>
        <v>-1.9771686251257858E-2</v>
      </c>
      <c r="K51" s="578">
        <f t="shared" si="31"/>
        <v>-0.21140377501739882</v>
      </c>
      <c r="L51" s="578">
        <f t="shared" si="31"/>
        <v>-0.23960286260464014</v>
      </c>
      <c r="M51" s="578">
        <f t="shared" si="31"/>
        <v>-0.5964463332043346</v>
      </c>
      <c r="N51" s="578">
        <f t="shared" si="31"/>
        <v>-0.15259910633941576</v>
      </c>
      <c r="O51" s="578">
        <f t="shared" si="31"/>
        <v>-0.70668165365831737</v>
      </c>
      <c r="P51" s="527">
        <f>P32-P40-P47-P48</f>
        <v>-2.0819004482428589</v>
      </c>
      <c r="Q51" s="362">
        <f t="shared" si="18"/>
        <v>-2.1711200071365981</v>
      </c>
      <c r="R51" s="365">
        <f>R32-R40-R47-R48</f>
        <v>-2.1711200071365981</v>
      </c>
      <c r="S51" s="365">
        <f>S32-S40-S47-S48</f>
        <v>8.9219558893739337E-2</v>
      </c>
      <c r="T51" s="517">
        <f>P51/R51</f>
        <v>0.95890620573691487</v>
      </c>
      <c r="U51" s="5"/>
    </row>
    <row r="52" spans="1:23">
      <c r="A52" s="464"/>
      <c r="B52" s="578"/>
      <c r="C52" s="578"/>
      <c r="D52" s="578"/>
      <c r="E52" s="578"/>
      <c r="F52" s="578"/>
      <c r="G52" s="578"/>
      <c r="H52" s="578"/>
      <c r="I52" s="578"/>
      <c r="J52" s="578"/>
      <c r="K52" s="578"/>
      <c r="L52" s="578"/>
      <c r="M52" s="578"/>
      <c r="N52" s="578"/>
      <c r="O52" s="578"/>
      <c r="P52" s="528"/>
      <c r="Q52" s="527"/>
      <c r="R52" s="527"/>
      <c r="S52" s="528"/>
      <c r="T52" s="365"/>
      <c r="U52" s="365"/>
      <c r="V52" s="365"/>
      <c r="W52" s="517"/>
    </row>
    <row r="53" spans="1:23">
      <c r="A53" s="464"/>
      <c r="B53" s="578"/>
      <c r="C53" s="578"/>
      <c r="D53" s="578"/>
      <c r="E53" s="578"/>
      <c r="F53" s="578"/>
      <c r="G53" s="578"/>
      <c r="H53" s="578"/>
      <c r="I53" s="578"/>
      <c r="J53" s="578"/>
      <c r="K53" s="578"/>
      <c r="L53" s="578"/>
      <c r="M53" s="578"/>
      <c r="N53" s="578"/>
      <c r="O53" s="578"/>
      <c r="P53" s="528"/>
      <c r="Q53" s="527"/>
      <c r="R53" s="527"/>
      <c r="S53" s="528"/>
      <c r="T53" s="365"/>
      <c r="U53" s="365"/>
      <c r="V53" s="365"/>
      <c r="W53" s="517"/>
    </row>
    <row r="54" spans="1:23">
      <c r="A54" s="464"/>
      <c r="B54" s="578"/>
      <c r="C54" s="578"/>
      <c r="D54" s="578"/>
      <c r="E54" s="578"/>
      <c r="F54" s="578"/>
      <c r="G54" s="578"/>
      <c r="H54" s="578"/>
      <c r="I54" s="578"/>
      <c r="J54" s="578"/>
      <c r="K54" s="578"/>
      <c r="L54" s="578"/>
      <c r="M54" s="578"/>
      <c r="N54" s="578"/>
      <c r="O54" s="578"/>
      <c r="P54" s="528"/>
      <c r="Q54" s="527"/>
      <c r="R54" s="527"/>
      <c r="S54" s="528"/>
      <c r="T54" s="365"/>
      <c r="U54" s="365"/>
      <c r="V54" s="365"/>
      <c r="W54" s="517"/>
    </row>
    <row r="55" spans="1:23" ht="31">
      <c r="A55" s="378" t="s">
        <v>705</v>
      </c>
      <c r="B55" s="90" t="s">
        <v>613</v>
      </c>
      <c r="C55" s="90" t="s">
        <v>614</v>
      </c>
      <c r="D55" s="579">
        <v>45658</v>
      </c>
      <c r="E55" s="579">
        <v>45689</v>
      </c>
      <c r="F55" s="579">
        <v>45717</v>
      </c>
      <c r="G55" s="579">
        <v>45748</v>
      </c>
      <c r="H55" s="579">
        <v>45778</v>
      </c>
      <c r="I55" s="579">
        <v>45809</v>
      </c>
      <c r="J55" s="579">
        <v>45839</v>
      </c>
      <c r="K55" s="579">
        <v>45870</v>
      </c>
      <c r="L55" s="579">
        <v>45901</v>
      </c>
      <c r="M55" s="579">
        <v>45931</v>
      </c>
      <c r="N55" s="579">
        <v>45962</v>
      </c>
      <c r="O55" s="579">
        <v>45992</v>
      </c>
      <c r="P55" s="78" t="s">
        <v>76</v>
      </c>
      <c r="Q55" s="78" t="s">
        <v>174</v>
      </c>
      <c r="R55" s="78" t="s">
        <v>175</v>
      </c>
      <c r="S55" s="79" t="s">
        <v>173</v>
      </c>
      <c r="T55" s="77" t="s">
        <v>576</v>
      </c>
      <c r="U55" s="365"/>
      <c r="V55" s="365"/>
      <c r="W55" s="517"/>
    </row>
    <row r="56" spans="1:23">
      <c r="A56" s="361" t="s">
        <v>80</v>
      </c>
      <c r="B56" s="382">
        <f>Lending!N130/10^9</f>
        <v>0.90054999999999996</v>
      </c>
      <c r="C56" s="382">
        <f>Lending!O130/10^9</f>
        <v>0.52005000000000001</v>
      </c>
      <c r="D56" s="382">
        <f>Lending!P130/10^9</f>
        <v>0.30514999999999998</v>
      </c>
      <c r="E56" s="382">
        <f>Lending!Q130/10^9</f>
        <v>0.1065</v>
      </c>
      <c r="F56" s="382">
        <f>Lending!R130/10^9</f>
        <v>0.12015000000000001</v>
      </c>
      <c r="G56" s="382">
        <f>Lending!S130/10^9</f>
        <v>3.1E-2</v>
      </c>
      <c r="H56" s="382">
        <f>Lending!T130/10^9</f>
        <v>0</v>
      </c>
      <c r="I56" s="382">
        <f>Lending!U130/10^9</f>
        <v>4.8649999999999999E-2</v>
      </c>
      <c r="J56" s="382">
        <f>Lending!V130/10^9</f>
        <v>9.8750000000000004E-2</v>
      </c>
      <c r="K56" s="382">
        <f>Lending!W130/10^9</f>
        <v>1.89E-2</v>
      </c>
      <c r="L56" s="382">
        <f>Lending!X130/10^9</f>
        <v>4.2000000000000003E-2</v>
      </c>
      <c r="M56" s="382">
        <f>Lending!Y130/10^9</f>
        <v>0.85645000000000004</v>
      </c>
      <c r="N56" s="382">
        <f>Lending!Z130/10^9</f>
        <v>2.1257000000000001</v>
      </c>
      <c r="O56" s="382">
        <f>Lending!AA130/10^9</f>
        <v>9.5570000000000004</v>
      </c>
      <c r="P56" s="382">
        <f>Lending!M130/10^9</f>
        <v>13.31025</v>
      </c>
      <c r="Q56" s="527">
        <f>SUM('BG 2025 CC_PL'!AR502:BB502)</f>
        <v>2.6110000000000002</v>
      </c>
      <c r="R56" s="527">
        <f>SUM('BG 2025 CC_PL'!AR502:BC502)</f>
        <v>4.548</v>
      </c>
      <c r="S56" s="527">
        <f t="shared" ref="S56:S80" si="32">P56-Q56</f>
        <v>10.699249999999999</v>
      </c>
      <c r="T56" s="517">
        <f t="shared" ref="T56:T66" si="33">P56/R56</f>
        <v>2.9266160949868074</v>
      </c>
      <c r="U56" s="365"/>
      <c r="V56" s="365"/>
      <c r="W56" s="517"/>
    </row>
    <row r="57" spans="1:23">
      <c r="A57" s="361" t="s">
        <v>82</v>
      </c>
      <c r="B57" s="382">
        <f>Lending!N133/10^9</f>
        <v>30.063300846000001</v>
      </c>
      <c r="C57" s="382">
        <f>Lending!O133/10^9</f>
        <v>27.46484938</v>
      </c>
      <c r="D57" s="382">
        <f>Lending!P133/10^9</f>
        <v>25.600133441000001</v>
      </c>
      <c r="E57" s="382">
        <f>Lending!Q133/10^9</f>
        <v>18.687643231999999</v>
      </c>
      <c r="F57" s="382">
        <f>Lending!R133/10^9</f>
        <v>16.048545381</v>
      </c>
      <c r="G57" s="382">
        <f>Lending!S133/10^9</f>
        <v>13.635524092000001</v>
      </c>
      <c r="H57" s="382">
        <f>Lending!T133/10^9</f>
        <v>11.299587556000001</v>
      </c>
      <c r="I57" s="382">
        <f>Lending!U133/10^9</f>
        <v>9.245510049</v>
      </c>
      <c r="J57" s="382">
        <f>Lending!V133/10^9</f>
        <v>7.6857483249999996</v>
      </c>
      <c r="K57" s="382">
        <f>Lending!W133/10^9</f>
        <v>6.1133294210000004</v>
      </c>
      <c r="L57" s="382">
        <f>Lending!X133/10^9</f>
        <v>4.8608818559999998</v>
      </c>
      <c r="M57" s="382">
        <f>Lending!Y133/10^9</f>
        <v>4.739078728</v>
      </c>
      <c r="N57" s="382">
        <f>Lending!Z133/10^9</f>
        <v>5.8428197239999999</v>
      </c>
      <c r="O57" s="382">
        <f>Lending!AA133/10^9</f>
        <v>14.158374367</v>
      </c>
      <c r="P57" s="382">
        <f>Lending!M133/10^9</f>
        <v>14.158374367</v>
      </c>
      <c r="Q57" s="527">
        <f t="shared" ref="Q57:Q79" si="34">R57/12*12</f>
        <v>4.8377969325231316</v>
      </c>
      <c r="R57" s="527">
        <f t="shared" ref="R57:R79" si="35">$R$56/$P$56*P57</f>
        <v>4.8377969325231316</v>
      </c>
      <c r="S57" s="527">
        <f t="shared" si="32"/>
        <v>9.3205774344768688</v>
      </c>
      <c r="T57" s="517">
        <f t="shared" si="33"/>
        <v>2.926616094986807</v>
      </c>
      <c r="U57" s="365"/>
      <c r="V57" s="365"/>
      <c r="W57" s="517"/>
    </row>
    <row r="58" spans="1:23">
      <c r="A58" s="409" t="s">
        <v>640</v>
      </c>
      <c r="B58" s="386">
        <f t="shared" ref="B58:P58" si="36">B57-B59</f>
        <v>19.635865303000003</v>
      </c>
      <c r="C58" s="386">
        <f t="shared" si="36"/>
        <v>16.549386246000001</v>
      </c>
      <c r="D58" s="386">
        <f t="shared" si="36"/>
        <v>14.605329543</v>
      </c>
      <c r="E58" s="386">
        <f t="shared" si="36"/>
        <v>12.004078276</v>
      </c>
      <c r="F58" s="386">
        <f t="shared" si="36"/>
        <v>9.9055483950000003</v>
      </c>
      <c r="G58" s="386">
        <f t="shared" si="36"/>
        <v>8.3350900460000013</v>
      </c>
      <c r="H58" s="386">
        <f t="shared" si="36"/>
        <v>6.8029695170000002</v>
      </c>
      <c r="I58" s="386">
        <f t="shared" si="36"/>
        <v>5.5357265880000002</v>
      </c>
      <c r="J58" s="386">
        <f t="shared" si="36"/>
        <v>4.3960646329999999</v>
      </c>
      <c r="K58" s="386">
        <f t="shared" si="36"/>
        <v>3.5769897130000006</v>
      </c>
      <c r="L58" s="386">
        <f t="shared" si="36"/>
        <v>2.9915779999999996</v>
      </c>
      <c r="M58" s="386">
        <f t="shared" si="36"/>
        <v>3.2763213819999999</v>
      </c>
      <c r="N58" s="386">
        <f t="shared" si="36"/>
        <v>4.820065466</v>
      </c>
      <c r="O58" s="386">
        <f t="shared" si="36"/>
        <v>13.097725249</v>
      </c>
      <c r="P58" s="386">
        <f t="shared" si="36"/>
        <v>12.695617021</v>
      </c>
      <c r="Q58" s="527">
        <f t="shared" si="34"/>
        <v>4.3379851025719285</v>
      </c>
      <c r="R58" s="527">
        <f t="shared" si="35"/>
        <v>4.3379851025719285</v>
      </c>
      <c r="S58" s="527">
        <f t="shared" si="32"/>
        <v>8.3576319184280727</v>
      </c>
      <c r="T58" s="517">
        <f t="shared" si="33"/>
        <v>2.926616094986807</v>
      </c>
      <c r="U58" s="365"/>
      <c r="V58" s="365"/>
      <c r="W58" s="517"/>
    </row>
    <row r="59" spans="1:23">
      <c r="A59" s="409" t="s">
        <v>617</v>
      </c>
      <c r="B59" s="386">
        <f>Lending!N137/10^9</f>
        <v>10.427435543</v>
      </c>
      <c r="C59" s="386">
        <f>Lending!O137/10^9</f>
        <v>10.915463133999999</v>
      </c>
      <c r="D59" s="386">
        <f>Lending!P137/10^9</f>
        <v>10.994803898000001</v>
      </c>
      <c r="E59" s="386">
        <f>Lending!Q137/10^9</f>
        <v>6.6835649559999997</v>
      </c>
      <c r="F59" s="386">
        <f>Lending!R137/10^9</f>
        <v>6.142996986</v>
      </c>
      <c r="G59" s="386">
        <f>Lending!S137/10^9</f>
        <v>5.3004340460000003</v>
      </c>
      <c r="H59" s="386">
        <f>Lending!T137/10^9</f>
        <v>4.4966180390000003</v>
      </c>
      <c r="I59" s="386">
        <f>Lending!U137/10^9</f>
        <v>3.7097834609999998</v>
      </c>
      <c r="J59" s="386">
        <f>Lending!V137/10^9</f>
        <v>3.2896836920000001</v>
      </c>
      <c r="K59" s="386">
        <f>Lending!W137/10^9</f>
        <v>2.5363397079999999</v>
      </c>
      <c r="L59" s="386">
        <f>Lending!X137/10^9</f>
        <v>1.8693038559999999</v>
      </c>
      <c r="M59" s="386">
        <f>Lending!Y137/10^9</f>
        <v>1.4627573460000001</v>
      </c>
      <c r="N59" s="386">
        <f>Lending!Z137/10^9</f>
        <v>1.022754258</v>
      </c>
      <c r="O59" s="386">
        <f>Lending!AA137/10^9</f>
        <v>1.0606491179999999</v>
      </c>
      <c r="P59" s="386">
        <f>Lending!M137/10^9</f>
        <v>1.4627573460000001</v>
      </c>
      <c r="Q59" s="527">
        <f t="shared" si="34"/>
        <v>0.4998118299512031</v>
      </c>
      <c r="R59" s="527">
        <f t="shared" si="35"/>
        <v>0.4998118299512031</v>
      </c>
      <c r="S59" s="527">
        <f t="shared" si="32"/>
        <v>0.96294551604879697</v>
      </c>
      <c r="T59" s="517">
        <f t="shared" si="33"/>
        <v>2.926616094986807</v>
      </c>
      <c r="U59" s="365"/>
      <c r="V59" s="365"/>
      <c r="W59" s="517"/>
    </row>
    <row r="60" spans="1:23">
      <c r="A60" s="409" t="s">
        <v>690</v>
      </c>
      <c r="B60" s="386">
        <f>Lending!N139/10^9</f>
        <v>3.688104906</v>
      </c>
      <c r="C60" s="386">
        <f>Lending!O139/10^9</f>
        <v>3.5338217759999999</v>
      </c>
      <c r="D60" s="386">
        <f>Lending!P139/10^9</f>
        <v>2.9995202729999999</v>
      </c>
      <c r="E60" s="386">
        <f>Lending!Q139/10^9</f>
        <v>2.579830265</v>
      </c>
      <c r="F60" s="386">
        <f>Lending!R139/10^9</f>
        <v>1.902978775</v>
      </c>
      <c r="G60" s="386">
        <f>Lending!S139/10^9</f>
        <v>1.576461576</v>
      </c>
      <c r="H60" s="386">
        <f>Lending!T139/10^9</f>
        <v>1.1318308130000001</v>
      </c>
      <c r="I60" s="386">
        <f>Lending!U139/10^9</f>
        <v>0.95624819500000002</v>
      </c>
      <c r="J60" s="386">
        <f>Lending!V139/10^9</f>
        <v>0.94735930300000004</v>
      </c>
      <c r="K60" s="386">
        <f>Lending!W139/10^9</f>
        <v>0.80175409200000003</v>
      </c>
      <c r="L60" s="386">
        <f>Lending!X139/10^9</f>
        <v>0.62313355999999998</v>
      </c>
      <c r="M60" s="386">
        <f>Lending!Y139/10^9</f>
        <v>0.50480420699999995</v>
      </c>
      <c r="N60" s="386">
        <f>Lending!Z139/10^9</f>
        <v>0.40453912400000003</v>
      </c>
      <c r="O60" s="386">
        <f>Lending!AA139/10^9</f>
        <v>0.55538410000000005</v>
      </c>
      <c r="P60" s="386">
        <f>Lending!M139/10^9</f>
        <v>0.50480420699999995</v>
      </c>
      <c r="Q60" s="527">
        <f t="shared" si="34"/>
        <v>0.17248733370417535</v>
      </c>
      <c r="R60" s="527">
        <f t="shared" si="35"/>
        <v>0.17248733370417535</v>
      </c>
      <c r="S60" s="527">
        <f t="shared" si="32"/>
        <v>0.3323168732958246</v>
      </c>
      <c r="T60" s="517">
        <f t="shared" si="33"/>
        <v>2.926616094986807</v>
      </c>
      <c r="U60" s="365"/>
      <c r="V60" s="365"/>
      <c r="W60" s="517"/>
    </row>
    <row r="61" spans="1:23">
      <c r="A61" s="361" t="s">
        <v>687</v>
      </c>
      <c r="B61" s="383">
        <f>B62+B63</f>
        <v>0.72036965999999991</v>
      </c>
      <c r="C61" s="383">
        <f>C62+C63</f>
        <v>0.64069354300000003</v>
      </c>
      <c r="D61" s="383">
        <f t="shared" ref="D61:P61" si="37">D62+D63+D64</f>
        <v>0.532133403</v>
      </c>
      <c r="E61" s="383">
        <f t="shared" si="37"/>
        <v>0.396526879</v>
      </c>
      <c r="F61" s="383">
        <f t="shared" si="37"/>
        <v>0.4134968479565001</v>
      </c>
      <c r="G61" s="383">
        <f t="shared" si="37"/>
        <v>0.345054745</v>
      </c>
      <c r="H61" s="383">
        <f t="shared" si="37"/>
        <v>0.33187129100000001</v>
      </c>
      <c r="I61" s="383">
        <f t="shared" si="37"/>
        <v>0.22241408399999998</v>
      </c>
      <c r="J61" s="383">
        <f t="shared" si="37"/>
        <v>0.19592038099999998</v>
      </c>
      <c r="K61" s="383">
        <f t="shared" si="37"/>
        <v>0.169853119</v>
      </c>
      <c r="L61" s="383">
        <f t="shared" si="37"/>
        <v>0.206025651</v>
      </c>
      <c r="M61" s="383">
        <f t="shared" si="37"/>
        <v>0.20395286099999999</v>
      </c>
      <c r="N61" s="383">
        <f t="shared" si="37"/>
        <v>0.24895535500000002</v>
      </c>
      <c r="O61" s="383">
        <f t="shared" si="37"/>
        <v>0.70039838499999996</v>
      </c>
      <c r="P61" s="383">
        <f t="shared" si="37"/>
        <v>3.9666030019565004</v>
      </c>
      <c r="Q61" s="527">
        <f t="shared" si="34"/>
        <v>1.3553547418642149</v>
      </c>
      <c r="R61" s="527">
        <f t="shared" si="35"/>
        <v>1.3553547418642149</v>
      </c>
      <c r="S61" s="527">
        <f t="shared" si="32"/>
        <v>2.6112482600922853</v>
      </c>
      <c r="T61" s="517">
        <f t="shared" si="33"/>
        <v>2.926616094986807</v>
      </c>
      <c r="U61" s="365"/>
      <c r="V61" s="365"/>
      <c r="W61" s="517"/>
    </row>
    <row r="62" spans="1:23">
      <c r="A62" s="409" t="s">
        <v>618</v>
      </c>
      <c r="B62" s="391">
        <f>Lending!N143/10^9</f>
        <v>0.67105056799999996</v>
      </c>
      <c r="C62" s="391">
        <f>Lending!O143/10^9</f>
        <v>0.61424464400000001</v>
      </c>
      <c r="D62" s="391">
        <f>Lending!P143/10^9</f>
        <v>0.511960164</v>
      </c>
      <c r="E62" s="391">
        <f>Lending!Q143/10^9</f>
        <v>0.38454041500000002</v>
      </c>
      <c r="F62" s="391">
        <f>Lending!R143/10^9</f>
        <v>0.37935044695650005</v>
      </c>
      <c r="G62" s="391">
        <f>Lending!S143/10^9</f>
        <v>0.31550756699999999</v>
      </c>
      <c r="H62" s="391">
        <f>Lending!T143/10^9</f>
        <v>0.26619414299999999</v>
      </c>
      <c r="I62" s="391">
        <f>Lending!U143/10^9</f>
        <v>0.20507777999999999</v>
      </c>
      <c r="J62" s="391">
        <f>Lending!V143/10^9</f>
        <v>0.164723971</v>
      </c>
      <c r="K62" s="391">
        <f>Lending!W143/10^9</f>
        <v>0.14005424</v>
      </c>
      <c r="L62" s="391">
        <f>Lending!X143/10^9</f>
        <v>0.118964532</v>
      </c>
      <c r="M62" s="391">
        <f>Lending!Y143/10^9</f>
        <v>0.10069985300000001</v>
      </c>
      <c r="N62" s="391">
        <f>Lending!Z143/10^9</f>
        <v>0.12936442300000001</v>
      </c>
      <c r="O62" s="391">
        <f>Lending!AA143/10^9</f>
        <v>0.25655213900000001</v>
      </c>
      <c r="P62" s="391">
        <f>Lending!M143/10^9</f>
        <v>2.9729896739565</v>
      </c>
      <c r="Q62" s="527">
        <f t="shared" si="34"/>
        <v>1.0158454602396021</v>
      </c>
      <c r="R62" s="527">
        <f t="shared" si="35"/>
        <v>1.0158454602396021</v>
      </c>
      <c r="S62" s="527">
        <f t="shared" si="32"/>
        <v>1.957144213716898</v>
      </c>
      <c r="T62" s="517">
        <f t="shared" si="33"/>
        <v>2.926616094986807</v>
      </c>
      <c r="U62" s="365"/>
      <c r="V62" s="365"/>
      <c r="W62" s="517"/>
    </row>
    <row r="63" spans="1:23">
      <c r="A63" s="409" t="s">
        <v>619</v>
      </c>
      <c r="B63" s="391">
        <f>Lending!N148/10^9</f>
        <v>4.9319092000000002E-2</v>
      </c>
      <c r="C63" s="391">
        <f>Lending!O148/10^9</f>
        <v>2.6448899000000001E-2</v>
      </c>
      <c r="D63" s="391">
        <f>Lending!P148/10^9</f>
        <v>2.0173238999999999E-2</v>
      </c>
      <c r="E63" s="391">
        <f>Lending!Q148/10^9</f>
        <v>1.1986464E-2</v>
      </c>
      <c r="F63" s="391">
        <f>Lending!R148/10^9</f>
        <v>1.5665615000000001E-2</v>
      </c>
      <c r="G63" s="391">
        <f>Lending!S148/10^9</f>
        <v>1.0094657999999999E-2</v>
      </c>
      <c r="H63" s="391">
        <f>Lending!T148/10^9</f>
        <v>6.3521319999999999E-3</v>
      </c>
      <c r="I63" s="391">
        <f>Lending!U148/10^9</f>
        <v>6.8771429999999996E-3</v>
      </c>
      <c r="J63" s="391">
        <f>Lending!V148/10^9</f>
        <v>9.7193929999999998E-3</v>
      </c>
      <c r="K63" s="391">
        <f>Lending!W148/10^9</f>
        <v>6.7315090000000001E-3</v>
      </c>
      <c r="L63" s="391">
        <f>Lending!X148/10^9</f>
        <v>5.3836229999999997E-3</v>
      </c>
      <c r="M63" s="391">
        <f>Lending!Y148/10^9</f>
        <v>3.2029005999999999E-2</v>
      </c>
      <c r="N63" s="391">
        <f>Lending!Z148/10^9</f>
        <v>7.9567602000000001E-2</v>
      </c>
      <c r="O63" s="391">
        <f>Lending!AA148/10^9</f>
        <v>0.35535703499999999</v>
      </c>
      <c r="P63" s="391">
        <f>Lending!M148/10^9</f>
        <v>0.55993741900000005</v>
      </c>
      <c r="Q63" s="527">
        <f t="shared" si="34"/>
        <v>0.19132588656201049</v>
      </c>
      <c r="R63" s="527">
        <f t="shared" si="35"/>
        <v>0.19132588656201052</v>
      </c>
      <c r="S63" s="527">
        <f t="shared" si="32"/>
        <v>0.36861153243798955</v>
      </c>
      <c r="T63" s="517">
        <f t="shared" si="33"/>
        <v>2.926616094986807</v>
      </c>
      <c r="U63" s="365"/>
      <c r="V63" s="365"/>
      <c r="W63" s="517"/>
    </row>
    <row r="64" spans="1:23">
      <c r="A64" s="409" t="s">
        <v>620</v>
      </c>
      <c r="B64" s="391">
        <f>Lending!N152/10^9</f>
        <v>0</v>
      </c>
      <c r="C64" s="391">
        <f>Lending!O152/10^9</f>
        <v>0</v>
      </c>
      <c r="D64" s="391">
        <f>Lending!P152/10^9</f>
        <v>0</v>
      </c>
      <c r="E64" s="391">
        <f>Lending!Q152/10^9</f>
        <v>0</v>
      </c>
      <c r="F64" s="391">
        <f>Lending!R152/10^9</f>
        <v>1.8480785999999999E-2</v>
      </c>
      <c r="G64" s="391">
        <f>Lending!S152/10^9</f>
        <v>1.9452520000000001E-2</v>
      </c>
      <c r="H64" s="391">
        <f>Lending!T152/10^9</f>
        <v>5.9325016000000001E-2</v>
      </c>
      <c r="I64" s="391">
        <f>Lending!U152/10^9</f>
        <v>1.0459161E-2</v>
      </c>
      <c r="J64" s="391">
        <f>Lending!V152/10^9</f>
        <v>2.1477017000000001E-2</v>
      </c>
      <c r="K64" s="391">
        <f>Lending!W152/10^9</f>
        <v>2.306737E-2</v>
      </c>
      <c r="L64" s="391">
        <f>Lending!X152/10^9</f>
        <v>8.1677496000000002E-2</v>
      </c>
      <c r="M64" s="391">
        <f>Lending!Y152/10^9</f>
        <v>7.1224001999999995E-2</v>
      </c>
      <c r="N64" s="391">
        <f>Lending!Z152/10^9</f>
        <v>4.0023330000000003E-2</v>
      </c>
      <c r="O64" s="391">
        <f>Lending!AA152/10^9</f>
        <v>8.8489210999999998E-2</v>
      </c>
      <c r="P64" s="391">
        <f>Lending!M152/10^9</f>
        <v>0.43367590900000003</v>
      </c>
      <c r="Q64" s="527">
        <f t="shared" si="34"/>
        <v>0.14818339506260214</v>
      </c>
      <c r="R64" s="527">
        <f t="shared" si="35"/>
        <v>0.14818339506260214</v>
      </c>
      <c r="S64" s="527">
        <f t="shared" si="32"/>
        <v>0.28549251393739788</v>
      </c>
      <c r="T64" s="517">
        <f t="shared" si="33"/>
        <v>2.9266160949868074</v>
      </c>
      <c r="U64" s="365"/>
      <c r="V64" s="365"/>
      <c r="W64" s="517"/>
    </row>
    <row r="65" spans="1:23">
      <c r="A65" s="361" t="s">
        <v>621</v>
      </c>
      <c r="B65" s="383">
        <f>Lending!N153/10^9</f>
        <v>0.47095046000000002</v>
      </c>
      <c r="C65" s="383">
        <f>Lending!O153/10^9</f>
        <v>0.649708709</v>
      </c>
      <c r="D65" s="383">
        <f>Lending!P153/10^9</f>
        <v>2.7223003619999999</v>
      </c>
      <c r="E65" s="383">
        <f>Lending!Q153/10^9</f>
        <v>0.77546397600000005</v>
      </c>
      <c r="F65" s="383">
        <f>Lending!R153/10^9</f>
        <v>0.91638436199999995</v>
      </c>
      <c r="G65" s="383">
        <f>Lending!S153/10^9</f>
        <v>0.671454832</v>
      </c>
      <c r="H65" s="383">
        <f>Lending!T153/10^9</f>
        <v>0.76090679900000002</v>
      </c>
      <c r="I65" s="383">
        <f>Lending!U153/10^9</f>
        <v>0.66659251900000005</v>
      </c>
      <c r="J65" s="383">
        <f>Lending!V153/10^9</f>
        <v>0.513669457</v>
      </c>
      <c r="K65" s="383">
        <f>Lending!W153/10^9</f>
        <v>0.51832685999999994</v>
      </c>
      <c r="L65" s="383">
        <f>Lending!X153/10^9</f>
        <v>0.33389782200000001</v>
      </c>
      <c r="M65" s="383">
        <f>Lending!Y153/10^9</f>
        <v>0.34211850300000002</v>
      </c>
      <c r="N65" s="383">
        <f>Lending!Z153/10^9</f>
        <v>0.164510665</v>
      </c>
      <c r="O65" s="383">
        <f>Lending!AA153/10^9</f>
        <v>0.23609443099999999</v>
      </c>
      <c r="P65" s="383">
        <f>Lending!M153/10^9</f>
        <v>8.6217205880000005</v>
      </c>
      <c r="Q65" s="527">
        <f t="shared" si="34"/>
        <v>2.9459691015739002</v>
      </c>
      <c r="R65" s="527">
        <f t="shared" si="35"/>
        <v>2.9459691015739002</v>
      </c>
      <c r="S65" s="527">
        <f t="shared" si="32"/>
        <v>5.6757514864261003</v>
      </c>
      <c r="T65" s="517">
        <f t="shared" si="33"/>
        <v>2.926616094986807</v>
      </c>
      <c r="U65" s="365"/>
      <c r="V65" s="365"/>
      <c r="W65" s="517"/>
    </row>
    <row r="66" spans="1:23">
      <c r="A66" s="361" t="s">
        <v>84</v>
      </c>
      <c r="B66" s="383">
        <f>SUM(B68:B74)</f>
        <v>4.1881174589631406E-2</v>
      </c>
      <c r="C66" s="383">
        <f t="shared" ref="C66:P66" si="38">SUM(C67:C74)</f>
        <v>4.101634775884689E-2</v>
      </c>
      <c r="D66" s="383">
        <f t="shared" si="38"/>
        <v>2.8472826665006126E-2</v>
      </c>
      <c r="E66" s="383">
        <f t="shared" si="38"/>
        <v>3.1383555227508353E-2</v>
      </c>
      <c r="F66" s="383">
        <f t="shared" si="38"/>
        <v>1.6619327354784701E-2</v>
      </c>
      <c r="G66" s="383">
        <f t="shared" si="38"/>
        <v>1.227854603359271E-2</v>
      </c>
      <c r="H66" s="383">
        <f t="shared" si="38"/>
        <v>1.1803504922421899E-2</v>
      </c>
      <c r="I66" s="383">
        <f t="shared" si="38"/>
        <v>5.7721805942360614E-3</v>
      </c>
      <c r="J66" s="383">
        <f t="shared" si="38"/>
        <v>6.7089165567616182E-3</v>
      </c>
      <c r="K66" s="383">
        <f t="shared" si="38"/>
        <v>5.39861739023748E-3</v>
      </c>
      <c r="L66" s="383">
        <f t="shared" si="38"/>
        <v>5.2036961298868884E-3</v>
      </c>
      <c r="M66" s="383">
        <f t="shared" si="38"/>
        <v>1.6537516789308402E-2</v>
      </c>
      <c r="N66" s="383">
        <f t="shared" si="38"/>
        <v>3.5701221442229897E-2</v>
      </c>
      <c r="O66" s="383">
        <f t="shared" si="38"/>
        <v>0.10206296554576075</v>
      </c>
      <c r="P66" s="383">
        <f t="shared" si="38"/>
        <v>0.27794287465173484</v>
      </c>
      <c r="Q66" s="527">
        <f t="shared" si="34"/>
        <v>9.4970732624563042E-2</v>
      </c>
      <c r="R66" s="527">
        <f t="shared" si="35"/>
        <v>9.4970732624563042E-2</v>
      </c>
      <c r="S66" s="527">
        <f t="shared" si="32"/>
        <v>0.1829721420271718</v>
      </c>
      <c r="T66" s="517">
        <f t="shared" si="33"/>
        <v>2.926616094986807</v>
      </c>
      <c r="U66" s="365"/>
      <c r="V66" s="365"/>
      <c r="W66" s="517"/>
    </row>
    <row r="67" spans="1:23">
      <c r="A67" s="409" t="s">
        <v>231</v>
      </c>
      <c r="B67" s="391">
        <f>Lending!N156/10^9</f>
        <v>0</v>
      </c>
      <c r="C67" s="391">
        <f>Lending!O156/10^9</f>
        <v>0</v>
      </c>
      <c r="D67" s="391">
        <f>Lending!P156/10^9</f>
        <v>0</v>
      </c>
      <c r="E67" s="391">
        <f>Lending!Q156/10^9</f>
        <v>0</v>
      </c>
      <c r="F67" s="391">
        <f>Lending!R156/10^9</f>
        <v>0</v>
      </c>
      <c r="G67" s="391">
        <f>Lending!S156/10^9</f>
        <v>0</v>
      </c>
      <c r="H67" s="391">
        <f>Lending!T156/10^9</f>
        <v>0</v>
      </c>
      <c r="I67" s="391">
        <f>Lending!U156/10^9</f>
        <v>0</v>
      </c>
      <c r="J67" s="391">
        <f>Lending!V156/10^9</f>
        <v>0</v>
      </c>
      <c r="K67" s="391">
        <f>Lending!W156/10^9</f>
        <v>0</v>
      </c>
      <c r="L67" s="391">
        <f>Lending!X156/10^9</f>
        <v>0</v>
      </c>
      <c r="M67" s="391">
        <f>Lending!Y156/10^9</f>
        <v>0</v>
      </c>
      <c r="N67" s="391">
        <f>Lending!Z156/10^9</f>
        <v>0</v>
      </c>
      <c r="O67" s="391">
        <f>Lending!AA156/10^9</f>
        <v>0</v>
      </c>
      <c r="P67" s="391">
        <f>Lending!M156/10^9</f>
        <v>0</v>
      </c>
      <c r="Q67" s="527">
        <f t="shared" si="34"/>
        <v>0</v>
      </c>
      <c r="R67" s="527">
        <f t="shared" si="35"/>
        <v>0</v>
      </c>
      <c r="S67" s="527">
        <f t="shared" si="32"/>
        <v>0</v>
      </c>
      <c r="T67" s="517"/>
      <c r="U67" s="365"/>
      <c r="V67" s="365"/>
      <c r="W67" s="517"/>
    </row>
    <row r="68" spans="1:23">
      <c r="A68" s="409" t="s">
        <v>230</v>
      </c>
      <c r="B68" s="391">
        <f>Lending!N155/10^9</f>
        <v>0</v>
      </c>
      <c r="C68" s="391">
        <f>Lending!O155/10^9</f>
        <v>0</v>
      </c>
      <c r="D68" s="391">
        <f>Lending!P155/10^9</f>
        <v>0</v>
      </c>
      <c r="E68" s="391">
        <f>Lending!Q155/10^9</f>
        <v>0</v>
      </c>
      <c r="F68" s="391">
        <f>Lending!R155/10^9</f>
        <v>0</v>
      </c>
      <c r="G68" s="391">
        <f>Lending!S155/10^9</f>
        <v>0</v>
      </c>
      <c r="H68" s="391">
        <f>Lending!T155/10^9</f>
        <v>0</v>
      </c>
      <c r="I68" s="391">
        <f>Lending!U155/10^9</f>
        <v>0</v>
      </c>
      <c r="J68" s="391">
        <f>Lending!V155/10^9</f>
        <v>0</v>
      </c>
      <c r="K68" s="391">
        <f>Lending!W155/10^9</f>
        <v>0</v>
      </c>
      <c r="L68" s="391">
        <f>Lending!X155/10^9</f>
        <v>0</v>
      </c>
      <c r="M68" s="391">
        <f>Lending!Y155/10^9</f>
        <v>0</v>
      </c>
      <c r="N68" s="391">
        <f>Lending!Z155/10^9</f>
        <v>0</v>
      </c>
      <c r="O68" s="391">
        <f>Lending!AA155/10^9</f>
        <v>0</v>
      </c>
      <c r="P68" s="391">
        <f>Lending!M155/10^9</f>
        <v>0</v>
      </c>
      <c r="Q68" s="527">
        <f t="shared" si="34"/>
        <v>0</v>
      </c>
      <c r="R68" s="527">
        <f t="shared" si="35"/>
        <v>0</v>
      </c>
      <c r="S68" s="527">
        <f t="shared" si="32"/>
        <v>0</v>
      </c>
      <c r="T68" s="517"/>
      <c r="U68" s="365"/>
      <c r="V68" s="365"/>
      <c r="W68" s="517"/>
    </row>
    <row r="69" spans="1:23">
      <c r="A69" s="409" t="s">
        <v>232</v>
      </c>
      <c r="B69" s="391">
        <f>Lending!N157/10^9</f>
        <v>1.8488891687863322E-2</v>
      </c>
      <c r="C69" s="391">
        <f>Lending!O157/10^9</f>
        <v>1.4731844316265804E-2</v>
      </c>
      <c r="D69" s="391">
        <f>Lending!P157/10^9</f>
        <v>6.8131993934879486E-3</v>
      </c>
      <c r="E69" s="391">
        <f>Lending!Q157/10^9</f>
        <v>4.7291287924198901E-3</v>
      </c>
      <c r="F69" s="391">
        <f>Lending!R157/10^9</f>
        <v>3.1536793797142647E-3</v>
      </c>
      <c r="G69" s="391">
        <f>Lending!S157/10^9</f>
        <v>8.6915357778608005E-4</v>
      </c>
      <c r="H69" s="391">
        <f>Lending!T157/10^9</f>
        <v>1.0667683903966597E-3</v>
      </c>
      <c r="I69" s="391">
        <f>Lending!U157/10^9</f>
        <v>1.0406122108705391E-3</v>
      </c>
      <c r="J69" s="391">
        <f>Lending!V157/10^9</f>
        <v>1.0344472581518371E-3</v>
      </c>
      <c r="K69" s="391">
        <f>Lending!W157/10^9</f>
        <v>9.9302631122017847E-4</v>
      </c>
      <c r="L69" s="391">
        <f>Lending!X157/10^9</f>
        <v>9.1816077834988943E-4</v>
      </c>
      <c r="M69" s="391">
        <f>Lending!Y157/10^9</f>
        <v>7.9267743932603246E-3</v>
      </c>
      <c r="N69" s="391">
        <f>Lending!Z157/10^9</f>
        <v>1.9314502509398916E-2</v>
      </c>
      <c r="O69" s="391">
        <f>Lending!AA157/10^9</f>
        <v>5.6287824217411325E-2</v>
      </c>
      <c r="P69" s="391">
        <f>Lending!M157/10^9</f>
        <v>0.10414727721246785</v>
      </c>
      <c r="Q69" s="527">
        <f t="shared" si="34"/>
        <v>3.5586244943731624E-2</v>
      </c>
      <c r="R69" s="527">
        <f t="shared" si="35"/>
        <v>3.5586244943731624E-2</v>
      </c>
      <c r="S69" s="527">
        <f t="shared" si="32"/>
        <v>6.8561032268736222E-2</v>
      </c>
      <c r="T69" s="517">
        <f>P69/R69</f>
        <v>2.926616094986807</v>
      </c>
      <c r="U69" s="365"/>
      <c r="V69" s="365"/>
      <c r="W69" s="517"/>
    </row>
    <row r="70" spans="1:23">
      <c r="A70" s="409" t="s">
        <v>233</v>
      </c>
      <c r="B70" s="391">
        <f>Lending!N158/10^9</f>
        <v>3.9928000000000001E-5</v>
      </c>
      <c r="C70" s="391">
        <f>Lending!O158/10^9</f>
        <v>2.5772E-5</v>
      </c>
      <c r="D70" s="391">
        <f>Lending!P158/10^9</f>
        <v>1.3859999999999999E-5</v>
      </c>
      <c r="E70" s="391">
        <f>Lending!Q158/10^9</f>
        <v>3.8229999999999997E-6</v>
      </c>
      <c r="F70" s="391">
        <f>Lending!R158/10^9</f>
        <v>5.8980000000000001E-6</v>
      </c>
      <c r="G70" s="391">
        <f>Lending!S158/10^9</f>
        <v>3.185E-6</v>
      </c>
      <c r="H70" s="391">
        <f>Lending!T158/10^9</f>
        <v>0</v>
      </c>
      <c r="I70" s="391">
        <f>Lending!U158/10^9</f>
        <v>3.765E-6</v>
      </c>
      <c r="J70" s="391">
        <f>Lending!V158/10^9</f>
        <v>9.0000000000000002E-6</v>
      </c>
      <c r="K70" s="391">
        <f>Lending!W158/10^9</f>
        <v>1.7999999999999999E-6</v>
      </c>
      <c r="L70" s="391">
        <f>Lending!X158/10^9</f>
        <v>1.996E-6</v>
      </c>
      <c r="M70" s="391">
        <f>Lending!Y158/10^9</f>
        <v>4.3052E-5</v>
      </c>
      <c r="N70" s="391">
        <f>Lending!Z158/10^9</f>
        <v>1.0548399999999999E-4</v>
      </c>
      <c r="O70" s="391">
        <f>Lending!AA158/10^9</f>
        <v>5.5075100000000004E-4</v>
      </c>
      <c r="P70" s="391">
        <f>Lending!M158/10^9</f>
        <v>7.4261399999999995E-4</v>
      </c>
      <c r="Q70" s="527">
        <f t="shared" si="34"/>
        <v>2.5374493131233446E-4</v>
      </c>
      <c r="R70" s="527">
        <f t="shared" si="35"/>
        <v>2.5374493131233446E-4</v>
      </c>
      <c r="S70" s="527">
        <f t="shared" si="32"/>
        <v>4.8886906868766543E-4</v>
      </c>
      <c r="T70" s="517">
        <f>P70/R70</f>
        <v>2.9266160949868074</v>
      </c>
      <c r="U70" s="365"/>
      <c r="V70" s="365"/>
      <c r="W70" s="517"/>
    </row>
    <row r="71" spans="1:23">
      <c r="A71" s="409" t="s">
        <v>152</v>
      </c>
      <c r="B71" s="391">
        <f>Lending!N159/10^9</f>
        <v>0</v>
      </c>
      <c r="C71" s="391">
        <f>Lending!O159/10^9</f>
        <v>0</v>
      </c>
      <c r="D71" s="391">
        <f>Lending!P159/10^9</f>
        <v>6.5218859578832658E-5</v>
      </c>
      <c r="E71" s="391">
        <f>Lending!Q159/10^9</f>
        <v>1.6797818455366098E-5</v>
      </c>
      <c r="F71" s="391">
        <f>Lending!R159/10^9</f>
        <v>2.3700428877769836E-5</v>
      </c>
      <c r="G71" s="391">
        <f>Lending!S159/10^9</f>
        <v>4.2552400061737925E-6</v>
      </c>
      <c r="H71" s="391">
        <f>Lending!T159/10^9</f>
        <v>0</v>
      </c>
      <c r="I71" s="391">
        <f>Lending!U159/10^9</f>
        <v>7.9205873274835757E-6</v>
      </c>
      <c r="J71" s="391">
        <f>Lending!V159/10^9</f>
        <v>8.3664829288358684E-6</v>
      </c>
      <c r="K71" s="391">
        <f>Lending!W159/10^9</f>
        <v>1.7631420212381708E-6</v>
      </c>
      <c r="L71" s="391">
        <f>Lending!X159/10^9</f>
        <v>4.4877296231307936E-6</v>
      </c>
      <c r="M71" s="391">
        <f>Lending!Y159/10^9</f>
        <v>9.1055785418149844E-5</v>
      </c>
      <c r="N71" s="391">
        <f>Lending!Z159/10^9</f>
        <v>2.0506299454297407E-4</v>
      </c>
      <c r="O71" s="391">
        <f>Lending!AA159/10^9</f>
        <v>1.2741955614429844E-3</v>
      </c>
      <c r="P71" s="391">
        <f>Lending!M159/10^9</f>
        <v>1.7028246302229393E-3</v>
      </c>
      <c r="Q71" s="527">
        <f t="shared" si="34"/>
        <v>5.8184079324234543E-4</v>
      </c>
      <c r="R71" s="527">
        <f t="shared" si="35"/>
        <v>5.8184079324234543E-4</v>
      </c>
      <c r="S71" s="527">
        <f t="shared" si="32"/>
        <v>1.1209838369805939E-3</v>
      </c>
      <c r="T71" s="517">
        <f>P71/R71</f>
        <v>2.9266160949868074</v>
      </c>
      <c r="U71" s="365"/>
      <c r="V71" s="365"/>
      <c r="W71" s="517"/>
    </row>
    <row r="72" spans="1:23">
      <c r="A72" s="409" t="s">
        <v>234</v>
      </c>
      <c r="B72" s="391">
        <f>Lending!N160/10^9</f>
        <v>1.8998003402551551E-2</v>
      </c>
      <c r="C72" s="391">
        <f>Lending!O160/10^9</f>
        <v>2.1869650804501282E-2</v>
      </c>
      <c r="D72" s="391">
        <f>Lending!P160/10^9</f>
        <v>1.7940827358154034E-2</v>
      </c>
      <c r="E72" s="391">
        <f>Lending!Q160/10^9</f>
        <v>2.4630244133847252E-2</v>
      </c>
      <c r="F72" s="391">
        <f>Lending!R160/10^9</f>
        <v>1.1510735798548669E-2</v>
      </c>
      <c r="G72" s="391">
        <f>Lending!S160/10^9</f>
        <v>9.9603510045127037E-3</v>
      </c>
      <c r="H72" s="391">
        <f>Lending!T160/10^9</f>
        <v>9.5252989978872413E-3</v>
      </c>
      <c r="I72" s="391">
        <f>Lending!U160/10^9</f>
        <v>3.7389939708731969E-3</v>
      </c>
      <c r="J72" s="391">
        <f>Lending!V160/10^9</f>
        <v>4.5967819999999998E-3</v>
      </c>
      <c r="K72" s="391">
        <f>Lending!W160/10^9</f>
        <v>3.6480563625332731E-3</v>
      </c>
      <c r="L72" s="391">
        <f>Lending!X160/10^9</f>
        <v>3.459008829619829E-3</v>
      </c>
      <c r="M72" s="391">
        <f>Lending!Y160/10^9</f>
        <v>2.1315095045637495E-3</v>
      </c>
      <c r="N72" s="391">
        <f>Lending!Z160/10^9</f>
        <v>2.8685159027416955E-3</v>
      </c>
      <c r="O72" s="391">
        <f>Lending!AA160/10^9</f>
        <v>2.6195923193114245E-3</v>
      </c>
      <c r="P72" s="391">
        <f>Lending!M160/10^9</f>
        <v>9.6629916182593062E-2</v>
      </c>
      <c r="Q72" s="527">
        <f t="shared" si="34"/>
        <v>3.3017626175198309E-2</v>
      </c>
      <c r="R72" s="527">
        <f t="shared" si="35"/>
        <v>3.3017626175198309E-2</v>
      </c>
      <c r="S72" s="527">
        <f t="shared" si="32"/>
        <v>6.3612290007394753E-2</v>
      </c>
      <c r="T72" s="517">
        <f>P72/R72</f>
        <v>2.926616094986807</v>
      </c>
      <c r="U72" s="365"/>
      <c r="V72" s="365"/>
      <c r="W72" s="517"/>
    </row>
    <row r="73" spans="1:23">
      <c r="A73" s="409" t="s">
        <v>235</v>
      </c>
      <c r="B73" s="391">
        <f>Lending!N161/10^9</f>
        <v>0</v>
      </c>
      <c r="C73" s="391">
        <f>Lending!O161/10^9</f>
        <v>0</v>
      </c>
      <c r="D73" s="391">
        <f>Lending!P161/10^9</f>
        <v>0</v>
      </c>
      <c r="E73" s="391">
        <f>Lending!Q161/10^9</f>
        <v>0</v>
      </c>
      <c r="F73" s="391">
        <f>Lending!R161/10^9</f>
        <v>0</v>
      </c>
      <c r="G73" s="391">
        <f>Lending!S161/10^9</f>
        <v>0</v>
      </c>
      <c r="H73" s="391">
        <f>Lending!T161/10^9</f>
        <v>0</v>
      </c>
      <c r="I73" s="391">
        <f>Lending!U161/10^9</f>
        <v>0</v>
      </c>
      <c r="J73" s="391">
        <f>Lending!V161/10^9</f>
        <v>0</v>
      </c>
      <c r="K73" s="391">
        <f>Lending!W161/10^9</f>
        <v>0</v>
      </c>
      <c r="L73" s="391">
        <f>Lending!X161/10^9</f>
        <v>0</v>
      </c>
      <c r="M73" s="391">
        <f>Lending!Y161/10^9</f>
        <v>0</v>
      </c>
      <c r="N73" s="391">
        <f>Lending!Z161/10^9</f>
        <v>0</v>
      </c>
      <c r="O73" s="391">
        <f>Lending!AA161/10^9</f>
        <v>0</v>
      </c>
      <c r="P73" s="391">
        <f>Lending!M161/10^9</f>
        <v>0</v>
      </c>
      <c r="Q73" s="527">
        <f t="shared" si="34"/>
        <v>0</v>
      </c>
      <c r="R73" s="527">
        <f t="shared" si="35"/>
        <v>0</v>
      </c>
      <c r="S73" s="527">
        <f t="shared" si="32"/>
        <v>0</v>
      </c>
      <c r="T73" s="517"/>
      <c r="U73" s="365"/>
      <c r="V73" s="365"/>
      <c r="W73" s="517"/>
    </row>
    <row r="74" spans="1:23">
      <c r="A74" s="409" t="s">
        <v>163</v>
      </c>
      <c r="B74" s="391">
        <f>Lending!N162/10^9</f>
        <v>4.3543514992165373E-3</v>
      </c>
      <c r="C74" s="391">
        <f>Lending!O162/10^9</f>
        <v>4.3890806380798E-3</v>
      </c>
      <c r="D74" s="391">
        <f>Lending!P162/10^9</f>
        <v>3.6397210537853111E-3</v>
      </c>
      <c r="E74" s="391">
        <f>Lending!Q162/10^9</f>
        <v>2.0035614827858456E-3</v>
      </c>
      <c r="F74" s="391">
        <f>Lending!R162/10^9</f>
        <v>1.9253137476439976E-3</v>
      </c>
      <c r="G74" s="391">
        <f>Lending!S162/10^9</f>
        <v>1.441601211287751E-3</v>
      </c>
      <c r="H74" s="391">
        <f>Lending!T162/10^9</f>
        <v>1.2114375341379978E-3</v>
      </c>
      <c r="I74" s="391">
        <f>Lending!U162/10^9</f>
        <v>9.8088882516484148E-4</v>
      </c>
      <c r="J74" s="391">
        <f>Lending!V162/10^9</f>
        <v>1.0603208156809453E-3</v>
      </c>
      <c r="K74" s="391">
        <f>Lending!W162/10^9</f>
        <v>7.5397157446279004E-4</v>
      </c>
      <c r="L74" s="391">
        <f>Lending!X162/10^9</f>
        <v>8.2004279229403918E-4</v>
      </c>
      <c r="M74" s="391">
        <f>Lending!Y162/10^9</f>
        <v>6.3451251060661767E-3</v>
      </c>
      <c r="N74" s="391">
        <f>Lending!Z162/10^9</f>
        <v>1.3207656035546307E-2</v>
      </c>
      <c r="O74" s="391">
        <f>Lending!AA162/10^9</f>
        <v>4.1330602447595011E-2</v>
      </c>
      <c r="P74" s="391">
        <f>Lending!M162/10^9</f>
        <v>7.4720242626451022E-2</v>
      </c>
      <c r="Q74" s="527">
        <f t="shared" si="34"/>
        <v>2.5531275781078437E-2</v>
      </c>
      <c r="R74" s="527">
        <f t="shared" si="35"/>
        <v>2.5531275781078437E-2</v>
      </c>
      <c r="S74" s="527">
        <f t="shared" si="32"/>
        <v>4.9188966845372585E-2</v>
      </c>
      <c r="T74" s="517">
        <f>P74/R74</f>
        <v>2.9266160949868074</v>
      </c>
      <c r="U74" s="365"/>
      <c r="V74" s="365"/>
      <c r="W74" s="517"/>
    </row>
    <row r="75" spans="1:23">
      <c r="A75" s="409" t="s">
        <v>691</v>
      </c>
      <c r="B75" s="391">
        <f t="shared" ref="B75:P75" si="39">B71+B74</f>
        <v>4.3543514992165373E-3</v>
      </c>
      <c r="C75" s="391">
        <f t="shared" si="39"/>
        <v>4.3890806380798E-3</v>
      </c>
      <c r="D75" s="391">
        <f t="shared" si="39"/>
        <v>3.7049399133641438E-3</v>
      </c>
      <c r="E75" s="391">
        <f t="shared" si="39"/>
        <v>2.0203593012412119E-3</v>
      </c>
      <c r="F75" s="391">
        <f t="shared" si="39"/>
        <v>1.9490141765217675E-3</v>
      </c>
      <c r="G75" s="391">
        <f t="shared" si="39"/>
        <v>1.4458564512939249E-3</v>
      </c>
      <c r="H75" s="391">
        <f t="shared" si="39"/>
        <v>1.2114375341379978E-3</v>
      </c>
      <c r="I75" s="391">
        <f t="shared" si="39"/>
        <v>9.8880941249232502E-4</v>
      </c>
      <c r="J75" s="391">
        <f t="shared" si="39"/>
        <v>1.0686872986097812E-3</v>
      </c>
      <c r="K75" s="391">
        <f t="shared" si="39"/>
        <v>7.5573471648402823E-4</v>
      </c>
      <c r="L75" s="391">
        <f t="shared" si="39"/>
        <v>8.2453052191716993E-4</v>
      </c>
      <c r="M75" s="391">
        <f t="shared" si="39"/>
        <v>6.436180891484327E-3</v>
      </c>
      <c r="N75" s="391">
        <f t="shared" si="39"/>
        <v>1.3412719030089282E-2</v>
      </c>
      <c r="O75" s="391">
        <f t="shared" si="39"/>
        <v>4.2604798009037992E-2</v>
      </c>
      <c r="P75" s="391">
        <f t="shared" si="39"/>
        <v>7.6423067256673957E-2</v>
      </c>
      <c r="Q75" s="527">
        <f t="shared" si="34"/>
        <v>2.6113116574320777E-2</v>
      </c>
      <c r="R75" s="527">
        <f t="shared" si="35"/>
        <v>2.6113116574320781E-2</v>
      </c>
      <c r="S75" s="527">
        <f t="shared" si="32"/>
        <v>5.030995068235318E-2</v>
      </c>
      <c r="T75" s="517">
        <f>P75/R75</f>
        <v>2.9266160949868074</v>
      </c>
      <c r="U75" s="365"/>
      <c r="V75" s="365"/>
      <c r="W75" s="517"/>
    </row>
    <row r="76" spans="1:23">
      <c r="A76" s="409" t="s">
        <v>625</v>
      </c>
      <c r="B76" s="469"/>
      <c r="C76" s="469"/>
      <c r="D76" s="469"/>
      <c r="E76" s="469"/>
      <c r="F76" s="469"/>
      <c r="G76" s="469"/>
      <c r="H76" s="469"/>
      <c r="I76" s="469">
        <f t="shared" ref="I76:O76" si="40">I59/I57</f>
        <v>0.40125243943694078</v>
      </c>
      <c r="J76" s="469">
        <f t="shared" si="40"/>
        <v>0.42802386350583504</v>
      </c>
      <c r="K76" s="469">
        <f t="shared" si="40"/>
        <v>0.41488680444527931</v>
      </c>
      <c r="L76" s="469">
        <f t="shared" si="40"/>
        <v>0.38456064380429988</v>
      </c>
      <c r="M76" s="469">
        <f t="shared" si="40"/>
        <v>0.30865858745024843</v>
      </c>
      <c r="N76" s="469">
        <f t="shared" si="40"/>
        <v>0.17504463706092602</v>
      </c>
      <c r="O76" s="469">
        <f t="shared" si="40"/>
        <v>7.4913199107952355E-2</v>
      </c>
      <c r="P76" s="348"/>
      <c r="Q76" s="527">
        <f t="shared" si="34"/>
        <v>0</v>
      </c>
      <c r="R76" s="527">
        <f t="shared" si="35"/>
        <v>0</v>
      </c>
      <c r="S76" s="527">
        <f t="shared" si="32"/>
        <v>0</v>
      </c>
      <c r="T76" s="517"/>
      <c r="U76" s="365"/>
      <c r="V76" s="365"/>
      <c r="W76" s="517"/>
    </row>
    <row r="77" spans="1:23">
      <c r="A77" s="828" t="s">
        <v>626</v>
      </c>
      <c r="B77" s="469">
        <f t="shared" ref="B77:O77" si="41">B60/B57</f>
        <v>0.12267797621067654</v>
      </c>
      <c r="C77" s="469">
        <f t="shared" si="41"/>
        <v>0.12866707285033724</v>
      </c>
      <c r="D77" s="469">
        <f t="shared" si="41"/>
        <v>0.11716814992050416</v>
      </c>
      <c r="E77" s="469">
        <f t="shared" si="41"/>
        <v>0.13805005976261353</v>
      </c>
      <c r="F77" s="469">
        <f t="shared" si="41"/>
        <v>0.11857640239799874</v>
      </c>
      <c r="G77" s="469">
        <f t="shared" si="41"/>
        <v>0.11561430021783427</v>
      </c>
      <c r="H77" s="469">
        <f t="shared" si="41"/>
        <v>0.100165674843504</v>
      </c>
      <c r="I77" s="469">
        <f t="shared" si="41"/>
        <v>0.10342838739366558</v>
      </c>
      <c r="J77" s="469">
        <f t="shared" si="41"/>
        <v>0.12326181692919279</v>
      </c>
      <c r="K77" s="469">
        <f t="shared" si="41"/>
        <v>0.13114851773664954</v>
      </c>
      <c r="L77" s="469">
        <f t="shared" si="41"/>
        <v>0.12819352094123393</v>
      </c>
      <c r="M77" s="469">
        <f t="shared" si="41"/>
        <v>0.1065194811002937</v>
      </c>
      <c r="N77" s="469">
        <f t="shared" si="41"/>
        <v>6.9236968297740356E-2</v>
      </c>
      <c r="O77" s="469">
        <f t="shared" si="41"/>
        <v>3.9226544347808458E-2</v>
      </c>
      <c r="P77" s="348"/>
      <c r="Q77" s="527">
        <f t="shared" si="34"/>
        <v>0</v>
      </c>
      <c r="R77" s="527">
        <f t="shared" si="35"/>
        <v>0</v>
      </c>
      <c r="S77" s="527">
        <f t="shared" si="32"/>
        <v>0</v>
      </c>
      <c r="T77" s="517"/>
      <c r="U77" s="365"/>
      <c r="V77" s="365"/>
      <c r="W77" s="517"/>
    </row>
    <row r="78" spans="1:23">
      <c r="A78" s="829" t="s">
        <v>692</v>
      </c>
      <c r="B78" s="469">
        <f>Lending!N140</f>
        <v>0.21100309175943374</v>
      </c>
      <c r="C78" s="469">
        <f>Lending!O140</f>
        <v>0.24520030773968149</v>
      </c>
      <c r="D78" s="469">
        <f>Lending!P140</f>
        <v>0.29440459450611345</v>
      </c>
      <c r="E78" s="469">
        <f>Lending!Q140</f>
        <v>0.19544066143909997</v>
      </c>
      <c r="F78" s="469">
        <f>Lending!R140</f>
        <v>0.2271983547067617</v>
      </c>
      <c r="G78" s="469">
        <f>Lending!S140</f>
        <v>0.24432460061836545</v>
      </c>
      <c r="H78" s="469">
        <f>Lending!T140</f>
        <v>0.2637150511230571</v>
      </c>
      <c r="I78" s="469">
        <f>Lending!U140</f>
        <v>0.24827309632833866</v>
      </c>
      <c r="J78" s="469">
        <f>Lending!V140</f>
        <v>0.26154346122178024</v>
      </c>
      <c r="K78" s="469">
        <f>Lending!W140</f>
        <v>0.24327526223128423</v>
      </c>
      <c r="L78" s="469">
        <f>Lending!X140</f>
        <v>0.20862409353731884</v>
      </c>
      <c r="M78" s="469">
        <f>Lending!Y140</f>
        <v>0.16759828915844929</v>
      </c>
      <c r="N78" s="469">
        <f>Lending!Z140</f>
        <v>8.4457729711052781E-2</v>
      </c>
      <c r="O78" s="469">
        <f>Lending!AA140</f>
        <v>2.6041507410580252E-2</v>
      </c>
      <c r="P78" s="348"/>
      <c r="Q78" s="527">
        <f t="shared" si="34"/>
        <v>0</v>
      </c>
      <c r="R78" s="527">
        <f t="shared" si="35"/>
        <v>0</v>
      </c>
      <c r="S78" s="527">
        <f t="shared" si="32"/>
        <v>0</v>
      </c>
      <c r="T78" s="517"/>
      <c r="U78" s="365"/>
      <c r="V78" s="365"/>
      <c r="W78" s="517"/>
    </row>
    <row r="79" spans="1:23" ht="16" thickBot="1">
      <c r="A79" s="830" t="s">
        <v>693</v>
      </c>
      <c r="B79" s="394">
        <f>Lending!N141</f>
        <v>0.22417134670349032</v>
      </c>
      <c r="C79" s="394">
        <f>Lending!O141</f>
        <v>0.26876686108372899</v>
      </c>
      <c r="D79" s="394">
        <f>Lending!P141</f>
        <v>0.31231413865191499</v>
      </c>
      <c r="E79" s="394">
        <f>Lending!Q141</f>
        <v>0.21959615988242556</v>
      </c>
      <c r="F79" s="394">
        <f>Lending!R141</f>
        <v>0.26419953399762891</v>
      </c>
      <c r="G79" s="394">
        <f>Lending!S141</f>
        <v>0.2731081288019479</v>
      </c>
      <c r="H79" s="394">
        <f>Lending!T141</f>
        <v>0.29777964986105376</v>
      </c>
      <c r="I79" s="394">
        <f>Lending!U141</f>
        <v>0.29782405204327522</v>
      </c>
      <c r="J79" s="394">
        <f>Lending!V141</f>
        <v>0.30476204657664224</v>
      </c>
      <c r="K79" s="394">
        <f>Lending!W141</f>
        <v>0.28373828670862983</v>
      </c>
      <c r="L79" s="394">
        <f>Lending!X141</f>
        <v>0.25636712286306595</v>
      </c>
      <c r="M79" s="394">
        <f>Lending!Y141</f>
        <v>0.20213910634995469</v>
      </c>
      <c r="N79" s="394">
        <f>Lending!Z141</f>
        <v>0.10580766876318569</v>
      </c>
      <c r="O79" s="394">
        <f>Lending!AA141</f>
        <v>3.5686654760143904E-2</v>
      </c>
      <c r="P79" s="394"/>
      <c r="Q79" s="567">
        <f t="shared" si="34"/>
        <v>0</v>
      </c>
      <c r="R79" s="567">
        <f t="shared" si="35"/>
        <v>0</v>
      </c>
      <c r="S79" s="567">
        <f t="shared" si="32"/>
        <v>0</v>
      </c>
      <c r="T79" s="519"/>
      <c r="U79" s="365"/>
      <c r="V79" s="365"/>
      <c r="W79" s="517"/>
    </row>
    <row r="80" spans="1:23" ht="16" thickTop="1">
      <c r="A80" s="361" t="s">
        <v>236</v>
      </c>
      <c r="B80" s="383">
        <f t="shared" ref="B80:R80" si="42">B61-B65-B66</f>
        <v>0.20753802541036848</v>
      </c>
      <c r="C80" s="383">
        <f t="shared" si="42"/>
        <v>-5.0031513758846853E-2</v>
      </c>
      <c r="D80" s="383">
        <f t="shared" si="42"/>
        <v>-2.218639785665006</v>
      </c>
      <c r="E80" s="383">
        <f t="shared" si="42"/>
        <v>-0.41032065222750841</v>
      </c>
      <c r="F80" s="383">
        <f t="shared" si="42"/>
        <v>-0.51950684139828451</v>
      </c>
      <c r="G80" s="383">
        <f t="shared" si="42"/>
        <v>-0.33867863303359269</v>
      </c>
      <c r="H80" s="383">
        <f t="shared" si="42"/>
        <v>-0.44083901292242189</v>
      </c>
      <c r="I80" s="383">
        <f t="shared" si="42"/>
        <v>-0.44995061559423616</v>
      </c>
      <c r="J80" s="383">
        <f t="shared" si="42"/>
        <v>-0.32445799255676167</v>
      </c>
      <c r="K80" s="383">
        <f t="shared" si="42"/>
        <v>-0.35387235839023745</v>
      </c>
      <c r="L80" s="383">
        <f t="shared" si="42"/>
        <v>-0.13307586712988689</v>
      </c>
      <c r="M80" s="383">
        <f t="shared" si="42"/>
        <v>-0.15470315878930843</v>
      </c>
      <c r="N80" s="383">
        <f t="shared" si="42"/>
        <v>4.874346855777012E-2</v>
      </c>
      <c r="O80" s="383">
        <f t="shared" si="42"/>
        <v>0.36224098845423924</v>
      </c>
      <c r="P80" s="383">
        <f t="shared" si="42"/>
        <v>-4.9330604606952351</v>
      </c>
      <c r="Q80" s="383">
        <f t="shared" si="42"/>
        <v>-1.6855850923342484</v>
      </c>
      <c r="R80" s="383">
        <f t="shared" si="42"/>
        <v>-1.6855850923342484</v>
      </c>
      <c r="S80" s="527">
        <f t="shared" si="32"/>
        <v>-3.2474753683609867</v>
      </c>
      <c r="T80" s="517">
        <f>P80/R80</f>
        <v>2.9266160949868074</v>
      </c>
      <c r="U80" s="365"/>
      <c r="V80" s="365"/>
      <c r="W80" s="517"/>
    </row>
    <row r="81" spans="1:24">
      <c r="A81" s="464"/>
      <c r="B81" s="578"/>
      <c r="C81" s="578"/>
      <c r="D81" s="578"/>
      <c r="E81" s="578"/>
      <c r="F81" s="578"/>
      <c r="G81" s="578"/>
      <c r="H81" s="578"/>
      <c r="I81" s="578"/>
      <c r="J81" s="578"/>
      <c r="K81" s="578"/>
      <c r="L81" s="578"/>
      <c r="M81" s="578"/>
      <c r="N81" s="578"/>
      <c r="O81" s="578"/>
      <c r="P81" s="528"/>
      <c r="Q81" s="527"/>
      <c r="R81" s="527"/>
      <c r="S81" s="528"/>
      <c r="T81" s="365"/>
      <c r="U81" s="365"/>
      <c r="V81" s="365"/>
      <c r="W81" s="517"/>
    </row>
    <row r="83" spans="1:24" ht="31">
      <c r="A83" s="360" t="s">
        <v>706</v>
      </c>
      <c r="B83" s="90">
        <v>45962</v>
      </c>
      <c r="C83" s="90">
        <v>45992</v>
      </c>
      <c r="D83" s="75">
        <v>45658</v>
      </c>
      <c r="E83" s="75">
        <v>45689</v>
      </c>
      <c r="F83" s="75">
        <v>45717</v>
      </c>
      <c r="G83" s="75">
        <v>45748</v>
      </c>
      <c r="H83" s="75">
        <v>45778</v>
      </c>
      <c r="I83" s="75">
        <v>45809</v>
      </c>
      <c r="J83" s="90">
        <v>45839</v>
      </c>
      <c r="K83" s="90">
        <v>45870</v>
      </c>
      <c r="L83" s="90">
        <v>45901</v>
      </c>
      <c r="M83" s="90">
        <v>45931</v>
      </c>
      <c r="N83" s="90">
        <v>45962</v>
      </c>
      <c r="O83" s="90">
        <v>45992</v>
      </c>
      <c r="P83" s="78" t="s">
        <v>76</v>
      </c>
      <c r="Q83" s="78" t="s">
        <v>174</v>
      </c>
      <c r="R83" s="78" t="s">
        <v>175</v>
      </c>
      <c r="S83" s="79" t="s">
        <v>173</v>
      </c>
      <c r="T83" s="77" t="s">
        <v>576</v>
      </c>
      <c r="U83" s="824"/>
      <c r="V83" s="824"/>
      <c r="W83" s="825"/>
      <c r="X83" s="826"/>
    </row>
    <row r="84" spans="1:24">
      <c r="A84" s="361" t="s">
        <v>199</v>
      </c>
      <c r="B84" s="566">
        <f>B3+B30</f>
        <v>12.50112</v>
      </c>
      <c r="C84" s="566">
        <f>C3+C30</f>
        <v>16.35605</v>
      </c>
      <c r="D84" s="349">
        <f t="shared" ref="D84:M84" si="43">SUM(D85:D87)</f>
        <v>16.4768574</v>
      </c>
      <c r="E84" s="349">
        <f t="shared" si="43"/>
        <v>13.383501902000001</v>
      </c>
      <c r="F84" s="349">
        <f t="shared" si="43"/>
        <v>16.704065557</v>
      </c>
      <c r="G84" s="349">
        <f t="shared" si="43"/>
        <v>15.823232579000001</v>
      </c>
      <c r="H84" s="349">
        <f t="shared" si="43"/>
        <v>16.290844007</v>
      </c>
      <c r="I84" s="349">
        <f t="shared" si="43"/>
        <v>16.135120869999998</v>
      </c>
      <c r="J84" s="349">
        <f t="shared" si="43"/>
        <v>17.714158672</v>
      </c>
      <c r="K84" s="349">
        <f t="shared" si="43"/>
        <v>18.002033831999999</v>
      </c>
      <c r="L84" s="349">
        <f t="shared" si="43"/>
        <v>17.258945768000004</v>
      </c>
      <c r="M84" s="349">
        <f t="shared" si="43"/>
        <v>21.802322737000001</v>
      </c>
      <c r="N84" s="364">
        <f>SUM(N85:N87)</f>
        <v>22.351788029000005</v>
      </c>
      <c r="O84" s="364">
        <f>SUM(O85:O87)</f>
        <v>34.626647099000003</v>
      </c>
      <c r="P84" s="362">
        <f>SUM(D84:O84)</f>
        <v>226.56951845200001</v>
      </c>
      <c r="Q84" s="362">
        <f>Q85+Q86+Q87</f>
        <v>200</v>
      </c>
      <c r="R84" s="763">
        <f>R3+R30+R87</f>
        <v>200</v>
      </c>
      <c r="S84" s="362">
        <f t="shared" ref="S84" si="44">P84-Q84</f>
        <v>26.569518452000011</v>
      </c>
      <c r="T84" s="517">
        <f>P84/R84</f>
        <v>1.1328475922600001</v>
      </c>
      <c r="U84" s="551"/>
      <c r="V84" s="827"/>
      <c r="W84" s="551"/>
      <c r="X84" s="487"/>
    </row>
    <row r="85" spans="1:24">
      <c r="A85" s="358" t="s">
        <v>707</v>
      </c>
      <c r="B85" s="986">
        <f>B3</f>
        <v>10.061120000000001</v>
      </c>
      <c r="C85" s="986">
        <f>C3</f>
        <v>11.90405</v>
      </c>
      <c r="D85" s="986">
        <f t="shared" ref="D85:M85" si="45">D3</f>
        <v>10.9907074</v>
      </c>
      <c r="E85" s="986">
        <f t="shared" si="45"/>
        <v>7.7331042080000003</v>
      </c>
      <c r="F85" s="986">
        <f t="shared" si="45"/>
        <v>10.891578129000001</v>
      </c>
      <c r="G85" s="986">
        <f t="shared" si="45"/>
        <v>10.187638078000001</v>
      </c>
      <c r="H85" s="986">
        <f t="shared" si="45"/>
        <v>9.1448848280000004</v>
      </c>
      <c r="I85" s="986">
        <f t="shared" si="45"/>
        <v>8.3411821699999997</v>
      </c>
      <c r="J85" s="986">
        <f t="shared" si="45"/>
        <v>9.4731921589999999</v>
      </c>
      <c r="K85" s="986">
        <f t="shared" si="45"/>
        <v>10.181878663000001</v>
      </c>
      <c r="L85" s="986">
        <f t="shared" si="45"/>
        <v>9.2907445200000005</v>
      </c>
      <c r="M85" s="986">
        <f t="shared" si="45"/>
        <v>10.904891291</v>
      </c>
      <c r="N85" s="375">
        <f>N3</f>
        <v>10.731498029000001</v>
      </c>
      <c r="O85" s="375">
        <f>O3</f>
        <v>13.858453827</v>
      </c>
      <c r="P85" s="362">
        <f>SUM(D85:O85)</f>
        <v>121.72975330200001</v>
      </c>
      <c r="Q85" s="362">
        <f>SUM('BG 2025 CC_PL'!AR501:BC501)</f>
        <v>100</v>
      </c>
      <c r="R85" s="763">
        <f>SUM('BG 2025 CC_PL'!AR501:BC501)</f>
        <v>100</v>
      </c>
      <c r="S85" s="362">
        <f>P85-Q85</f>
        <v>21.729753302000006</v>
      </c>
      <c r="T85" s="517">
        <f>P85/R85</f>
        <v>1.21729753302</v>
      </c>
      <c r="U85" s="551"/>
      <c r="V85" s="827"/>
      <c r="W85" s="551"/>
      <c r="X85" s="487"/>
    </row>
    <row r="86" spans="1:24">
      <c r="A86" s="358" t="s">
        <v>708</v>
      </c>
      <c r="B86" s="986">
        <f>B30</f>
        <v>2.44</v>
      </c>
      <c r="C86" s="986">
        <f>C30</f>
        <v>4.452</v>
      </c>
      <c r="D86" s="986">
        <f t="shared" ref="D86:M86" si="46">D30</f>
        <v>5.181</v>
      </c>
      <c r="E86" s="986">
        <f t="shared" si="46"/>
        <v>5.543897694</v>
      </c>
      <c r="F86" s="986">
        <f t="shared" si="46"/>
        <v>5.6923374280000001</v>
      </c>
      <c r="G86" s="986">
        <f t="shared" si="46"/>
        <v>5.6045945010000002</v>
      </c>
      <c r="H86" s="986">
        <f t="shared" si="46"/>
        <v>7.1459591790000001</v>
      </c>
      <c r="I86" s="986">
        <f t="shared" si="46"/>
        <v>7.7452886999999997</v>
      </c>
      <c r="J86" s="986">
        <f t="shared" si="46"/>
        <v>8.1422165129999993</v>
      </c>
      <c r="K86" s="986">
        <f t="shared" si="46"/>
        <v>7.801255169</v>
      </c>
      <c r="L86" s="986">
        <f t="shared" si="46"/>
        <v>7.9262012479999999</v>
      </c>
      <c r="M86" s="986">
        <f t="shared" si="46"/>
        <v>10.040981446</v>
      </c>
      <c r="N86" s="986">
        <f t="shared" ref="N86" si="47">N30</f>
        <v>9.4945900000000005</v>
      </c>
      <c r="O86" s="375">
        <f>O30</f>
        <v>11.211193271999999</v>
      </c>
      <c r="P86" s="362">
        <f>SUM(D86:O86)</f>
        <v>91.529515150000009</v>
      </c>
      <c r="Q86" s="362">
        <f>SUM('BG 2025 CC_PL'!AR500:BC500)</f>
        <v>95.451999999999998</v>
      </c>
      <c r="R86" s="362">
        <f>SUM('BG 2025 CC_PL'!AR500:BC500)</f>
        <v>95.451999999999998</v>
      </c>
      <c r="S86" s="362">
        <f>P86-Q86</f>
        <v>-3.9224848499999894</v>
      </c>
      <c r="T86" s="517">
        <f>P86/R86</f>
        <v>0.95890620573691498</v>
      </c>
      <c r="U86" s="551"/>
      <c r="V86" s="827"/>
      <c r="W86" s="551"/>
      <c r="X86" s="487"/>
    </row>
    <row r="87" spans="1:24">
      <c r="A87" s="358" t="s">
        <v>81</v>
      </c>
      <c r="B87" s="986"/>
      <c r="C87" s="986"/>
      <c r="D87" s="986">
        <f t="shared" ref="D87:M87" si="48">D56</f>
        <v>0.30514999999999998</v>
      </c>
      <c r="E87" s="986">
        <f t="shared" si="48"/>
        <v>0.1065</v>
      </c>
      <c r="F87" s="986">
        <f t="shared" si="48"/>
        <v>0.12015000000000001</v>
      </c>
      <c r="G87" s="986">
        <f t="shared" si="48"/>
        <v>3.1E-2</v>
      </c>
      <c r="H87" s="986">
        <f t="shared" si="48"/>
        <v>0</v>
      </c>
      <c r="I87" s="986">
        <f t="shared" si="48"/>
        <v>4.8649999999999999E-2</v>
      </c>
      <c r="J87" s="986">
        <f t="shared" si="48"/>
        <v>9.8750000000000004E-2</v>
      </c>
      <c r="K87" s="986">
        <f t="shared" si="48"/>
        <v>1.89E-2</v>
      </c>
      <c r="L87" s="986">
        <f t="shared" si="48"/>
        <v>4.2000000000000003E-2</v>
      </c>
      <c r="M87" s="986">
        <f t="shared" si="48"/>
        <v>0.85645000000000004</v>
      </c>
      <c r="N87" s="986">
        <f t="shared" ref="N87:O87" si="49">N56</f>
        <v>2.1257000000000001</v>
      </c>
      <c r="O87" s="986">
        <f t="shared" si="49"/>
        <v>9.5570000000000004</v>
      </c>
      <c r="P87" s="362">
        <f>SUM(D87:O87)</f>
        <v>13.31025</v>
      </c>
      <c r="Q87" s="362">
        <f>SUM('BG 2025 CC_PL'!AT502:BC502)</f>
        <v>4.548</v>
      </c>
      <c r="R87" s="362">
        <f>SUM('BG 2025 CC_PL'!AU502:BD502)</f>
        <v>4.548</v>
      </c>
      <c r="S87" s="362">
        <f>P87-Q87</f>
        <v>8.7622499999999999</v>
      </c>
      <c r="T87" s="517">
        <f>P87/R87</f>
        <v>2.9266160949868074</v>
      </c>
      <c r="U87" s="551"/>
      <c r="V87" s="827"/>
      <c r="W87" s="551"/>
      <c r="X87" s="487"/>
    </row>
    <row r="88" spans="1:24">
      <c r="A88" s="361" t="s">
        <v>82</v>
      </c>
      <c r="B88" s="566">
        <f>B4+B31</f>
        <v>22.645490142</v>
      </c>
      <c r="C88" s="566">
        <f>C4+C31</f>
        <v>24.662297005999999</v>
      </c>
      <c r="D88" s="566">
        <f t="shared" ref="D88:M88" si="50">D4+D31+D57</f>
        <v>51.881103257999996</v>
      </c>
      <c r="E88" s="566">
        <f t="shared" si="50"/>
        <v>44.695912387</v>
      </c>
      <c r="F88" s="566">
        <f t="shared" si="50"/>
        <v>42.262886991000002</v>
      </c>
      <c r="G88" s="566">
        <f t="shared" si="50"/>
        <v>41.423067302999996</v>
      </c>
      <c r="H88" s="566">
        <f t="shared" si="50"/>
        <v>40.635744410999997</v>
      </c>
      <c r="I88" s="566">
        <f t="shared" si="50"/>
        <v>40.426777688000001</v>
      </c>
      <c r="J88" s="566">
        <f t="shared" si="50"/>
        <v>40.908400098999998</v>
      </c>
      <c r="K88" s="566">
        <f t="shared" si="50"/>
        <v>42.214093110000007</v>
      </c>
      <c r="L88" s="349">
        <f t="shared" si="50"/>
        <v>43.782011849999996</v>
      </c>
      <c r="M88" s="349">
        <f t="shared" si="50"/>
        <v>45.607965382000003</v>
      </c>
      <c r="N88" s="364">
        <f>N4+N31</f>
        <v>43.129345591000003</v>
      </c>
      <c r="O88" s="565">
        <f>O4+O31</f>
        <v>46.672277553000001</v>
      </c>
      <c r="P88" s="362">
        <f>M88</f>
        <v>45.607965382000003</v>
      </c>
      <c r="Q88" s="362">
        <f>Q4+Q31+Q57</f>
        <v>43.062206907256751</v>
      </c>
      <c r="R88" s="362">
        <f>R4+R31+R57</f>
        <v>43.062206907256751</v>
      </c>
      <c r="S88" s="362">
        <f t="shared" ref="S88:S101" si="51">P88-Q88</f>
        <v>2.545758474743252</v>
      </c>
      <c r="T88" s="517">
        <f t="shared" ref="T88:T100" si="52">P88/R88</f>
        <v>1.0591181608556677</v>
      </c>
      <c r="U88" s="551"/>
    </row>
    <row r="89" spans="1:24">
      <c r="A89" s="361" t="s">
        <v>217</v>
      </c>
      <c r="B89" s="364">
        <f>B90+B91</f>
        <v>0.81890481984557417</v>
      </c>
      <c r="C89" s="364">
        <f t="shared" ref="C89" si="53">C90+C91</f>
        <v>0.44631676046466745</v>
      </c>
      <c r="D89" s="364">
        <f t="shared" ref="D89:M89" si="54">D90+D91+D61</f>
        <v>1.6552442334109543</v>
      </c>
      <c r="E89" s="364">
        <f t="shared" si="54"/>
        <v>1.3254332539147731</v>
      </c>
      <c r="F89" s="364">
        <f t="shared" si="54"/>
        <v>1.3842795409874529</v>
      </c>
      <c r="G89" s="364">
        <f t="shared" si="54"/>
        <v>1.3147934761718392</v>
      </c>
      <c r="H89" s="364">
        <f t="shared" si="54"/>
        <v>1.3718641154694371</v>
      </c>
      <c r="I89" s="364">
        <f t="shared" si="54"/>
        <v>1.3696408996039833</v>
      </c>
      <c r="J89" s="364">
        <f t="shared" si="54"/>
        <v>1.241604473213016</v>
      </c>
      <c r="K89" s="364">
        <f t="shared" si="54"/>
        <v>1.4992151094291151</v>
      </c>
      <c r="L89" s="364">
        <f t="shared" si="54"/>
        <v>1.5121989256384372</v>
      </c>
      <c r="M89" s="364">
        <f t="shared" si="54"/>
        <v>1.4731741523436557</v>
      </c>
      <c r="N89" s="364">
        <f>N90+N91+N61</f>
        <v>1.4671794537928626</v>
      </c>
      <c r="O89" s="364">
        <f t="shared" ref="O89" si="55">O90+O91</f>
        <v>0.85896030089223518</v>
      </c>
      <c r="P89" s="362">
        <f t="shared" ref="P89:P103" si="56">SUM(D89:O89)</f>
        <v>16.473587934867762</v>
      </c>
      <c r="Q89" s="362">
        <f>Q90+Q91+Q92</f>
        <v>11.262440262921009</v>
      </c>
      <c r="R89" s="362">
        <f>R90+R91+R92</f>
        <v>11.262440262921009</v>
      </c>
      <c r="S89" s="362">
        <f t="shared" si="51"/>
        <v>5.2111476719467529</v>
      </c>
      <c r="T89" s="517">
        <f t="shared" si="52"/>
        <v>1.4627014705776737</v>
      </c>
      <c r="U89" s="551"/>
    </row>
    <row r="90" spans="1:24">
      <c r="A90" s="361" t="s">
        <v>591</v>
      </c>
      <c r="B90" s="362">
        <f>B6+B33</f>
        <v>0.33007957285017492</v>
      </c>
      <c r="C90" s="362">
        <f>C6+C33</f>
        <v>0.2830991674210015</v>
      </c>
      <c r="D90" s="362">
        <f t="shared" ref="D90:M90" si="57">D6+D33+D62</f>
        <v>0.85919153144963656</v>
      </c>
      <c r="E90" s="362">
        <f t="shared" si="57"/>
        <v>0.72138158696492516</v>
      </c>
      <c r="F90" s="362">
        <f t="shared" si="57"/>
        <v>0.68766591256689313</v>
      </c>
      <c r="G90" s="362">
        <f t="shared" si="57"/>
        <v>0.7400861186072103</v>
      </c>
      <c r="H90" s="362">
        <f t="shared" si="57"/>
        <v>0.65126260212740794</v>
      </c>
      <c r="I90" s="362">
        <f t="shared" si="57"/>
        <v>0.63139128676927725</v>
      </c>
      <c r="J90" s="362">
        <f t="shared" si="57"/>
        <v>0.62381708521522039</v>
      </c>
      <c r="K90" s="362">
        <f t="shared" si="57"/>
        <v>0.73179241705587028</v>
      </c>
      <c r="L90" s="362">
        <f t="shared" si="57"/>
        <v>0.71724043794516579</v>
      </c>
      <c r="M90" s="362">
        <f t="shared" si="57"/>
        <v>0.70739002424849762</v>
      </c>
      <c r="N90" s="362">
        <f>N6+N33</f>
        <v>0.65680228195307477</v>
      </c>
      <c r="O90" s="362">
        <f>O6+O33</f>
        <v>0.66277682620307243</v>
      </c>
      <c r="P90" s="362">
        <f t="shared" si="56"/>
        <v>8.3907981111062515</v>
      </c>
      <c r="Q90" s="362">
        <f>Q6+Q33+Q62</f>
        <v>6.2846729091509559</v>
      </c>
      <c r="R90" s="362">
        <f>R6+R33+R62</f>
        <v>6.2846729091509559</v>
      </c>
      <c r="S90" s="362">
        <f t="shared" si="51"/>
        <v>2.1061252019552956</v>
      </c>
      <c r="T90" s="517">
        <f t="shared" si="52"/>
        <v>1.3351208937045267</v>
      </c>
      <c r="U90" s="551"/>
    </row>
    <row r="91" spans="1:24">
      <c r="A91" s="361" t="s">
        <v>593</v>
      </c>
      <c r="B91" s="362">
        <f>B9+B36</f>
        <v>0.4888252469953992</v>
      </c>
      <c r="C91" s="362">
        <f>C9+C36</f>
        <v>0.16321759304366595</v>
      </c>
      <c r="D91" s="362">
        <f t="shared" ref="D91:M91" si="58">D9+D36+D63</f>
        <v>0.26391929896131761</v>
      </c>
      <c r="E91" s="362">
        <f t="shared" si="58"/>
        <v>0.2075247879498478</v>
      </c>
      <c r="F91" s="362">
        <f t="shared" si="58"/>
        <v>0.28311678046405969</v>
      </c>
      <c r="G91" s="362">
        <f t="shared" si="58"/>
        <v>0.22965261256462885</v>
      </c>
      <c r="H91" s="362">
        <f t="shared" si="58"/>
        <v>0.38873022234202925</v>
      </c>
      <c r="I91" s="362">
        <f t="shared" si="58"/>
        <v>0.51583552883470618</v>
      </c>
      <c r="J91" s="362">
        <f t="shared" si="58"/>
        <v>0.42186700699779556</v>
      </c>
      <c r="K91" s="362">
        <f t="shared" si="58"/>
        <v>0.59756957337324468</v>
      </c>
      <c r="L91" s="362">
        <f t="shared" si="58"/>
        <v>0.58893283669327123</v>
      </c>
      <c r="M91" s="362">
        <f t="shared" si="58"/>
        <v>0.56183126709515829</v>
      </c>
      <c r="N91" s="362">
        <f>N9+N36</f>
        <v>0.56142181683978765</v>
      </c>
      <c r="O91" s="362">
        <f>O9+O36</f>
        <v>0.19618347468916275</v>
      </c>
      <c r="P91" s="362">
        <f t="shared" si="56"/>
        <v>4.8165852068050103</v>
      </c>
      <c r="Q91" s="362">
        <f>Q9+Q36+Q63</f>
        <v>4.6410132749588318</v>
      </c>
      <c r="R91" s="362">
        <f>R9+R36+R63</f>
        <v>4.6410132749588318</v>
      </c>
      <c r="S91" s="362">
        <f t="shared" si="51"/>
        <v>0.17557193184617859</v>
      </c>
      <c r="T91" s="517">
        <f t="shared" si="52"/>
        <v>1.0378305170540016</v>
      </c>
      <c r="U91" s="551"/>
    </row>
    <row r="92" spans="1:24">
      <c r="A92" s="361" t="s">
        <v>89</v>
      </c>
      <c r="B92" s="362"/>
      <c r="C92" s="362"/>
      <c r="D92" s="362">
        <f t="shared" ref="D92:M92" si="59">D12+D39+D64</f>
        <v>1.3835676999999999E-2</v>
      </c>
      <c r="E92" s="362">
        <f t="shared" si="59"/>
        <v>4.27634E-2</v>
      </c>
      <c r="F92" s="362">
        <f t="shared" si="59"/>
        <v>6.5174941E-2</v>
      </c>
      <c r="G92" s="362">
        <f t="shared" si="59"/>
        <v>2.9983212000000002E-2</v>
      </c>
      <c r="H92" s="362">
        <f t="shared" si="59"/>
        <v>5.9834258000000001E-2</v>
      </c>
      <c r="I92" s="362">
        <f t="shared" si="59"/>
        <v>1.1245025000000001E-2</v>
      </c>
      <c r="J92" s="362">
        <f t="shared" si="59"/>
        <v>2.2179892E-2</v>
      </c>
      <c r="K92" s="362">
        <f t="shared" si="59"/>
        <v>7.7897896999999994E-2</v>
      </c>
      <c r="L92" s="362">
        <f t="shared" si="59"/>
        <v>8.6145809000000004E-2</v>
      </c>
      <c r="M92" s="362">
        <f t="shared" si="59"/>
        <v>0.102938196</v>
      </c>
      <c r="N92" s="362">
        <f>N12+N39+N64</f>
        <v>5.0136290999999999E-2</v>
      </c>
      <c r="O92" s="362"/>
      <c r="P92" s="362">
        <f t="shared" si="56"/>
        <v>0.5621345980000001</v>
      </c>
      <c r="Q92" s="362">
        <f>Q12+Q39+Q64</f>
        <v>0.33675407881122221</v>
      </c>
      <c r="R92" s="362">
        <f>R12+R39+R64</f>
        <v>0.33675407881122221</v>
      </c>
      <c r="S92" s="362"/>
      <c r="T92" s="517"/>
      <c r="U92" s="551"/>
    </row>
    <row r="93" spans="1:24">
      <c r="A93" s="361" t="s">
        <v>577</v>
      </c>
      <c r="B93" s="362">
        <f>SUM(B94:B99)</f>
        <v>9.301941021585404E-2</v>
      </c>
      <c r="C93" s="362">
        <f t="shared" ref="C93:D93" si="60">SUM(C94:C99)</f>
        <v>0.12508018698440354</v>
      </c>
      <c r="D93" s="362">
        <f t="shared" si="60"/>
        <v>0.15566996381284157</v>
      </c>
      <c r="E93" s="362">
        <f t="shared" ref="E93:M93" si="61">SUM(E94:E99)</f>
        <v>0.16317491836607442</v>
      </c>
      <c r="F93" s="362">
        <f t="shared" si="61"/>
        <v>0.15373945047437079</v>
      </c>
      <c r="G93" s="362">
        <f t="shared" si="61"/>
        <v>0.17369423629531866</v>
      </c>
      <c r="H93" s="362">
        <f t="shared" si="61"/>
        <v>0.19190997773348695</v>
      </c>
      <c r="I93" s="362">
        <f t="shared" si="61"/>
        <v>0.14355673612036743</v>
      </c>
      <c r="J93" s="362">
        <f t="shared" si="61"/>
        <v>0.16975959574073862</v>
      </c>
      <c r="K93" s="362">
        <f t="shared" si="61"/>
        <v>0.20134644278079486</v>
      </c>
      <c r="L93" s="362">
        <f t="shared" si="61"/>
        <v>0.21813587962408393</v>
      </c>
      <c r="M93" s="362">
        <f t="shared" si="61"/>
        <v>0.18196397719174634</v>
      </c>
      <c r="N93" s="362">
        <f t="shared" ref="N93:O93" si="62">SUM(N94:N99)</f>
        <v>0.16508044810132191</v>
      </c>
      <c r="O93" s="362">
        <f t="shared" si="62"/>
        <v>0.20634670629425522</v>
      </c>
      <c r="P93" s="362">
        <f t="shared" si="56"/>
        <v>2.1243783325354011</v>
      </c>
      <c r="Q93" s="362">
        <f t="shared" ref="Q93:R93" si="63">SUM(Q94:Q99)</f>
        <v>2.0719421008737884</v>
      </c>
      <c r="R93" s="362">
        <f t="shared" si="63"/>
        <v>2.0719421008737884</v>
      </c>
      <c r="S93" s="362">
        <f t="shared" si="51"/>
        <v>5.2436231661612709E-2</v>
      </c>
      <c r="T93" s="517">
        <f t="shared" si="52"/>
        <v>1.0253077688027572</v>
      </c>
      <c r="U93" s="551"/>
    </row>
    <row r="94" spans="1:24">
      <c r="A94" s="409" t="s">
        <v>232</v>
      </c>
      <c r="B94" s="365">
        <f>B14+B41</f>
        <v>1.6982303378573836E-2</v>
      </c>
      <c r="C94" s="365">
        <f>C14+C41</f>
        <v>2.1907423666212563E-2</v>
      </c>
      <c r="D94" s="365">
        <f t="shared" ref="D94:M94" si="64">D14+D41+D69</f>
        <v>1.8518104445808866E-2</v>
      </c>
      <c r="E94" s="365">
        <f t="shared" si="64"/>
        <v>1.924662185407881E-2</v>
      </c>
      <c r="F94" s="365">
        <f t="shared" si="64"/>
        <v>1.7552229487334432E-2</v>
      </c>
      <c r="G94" s="365">
        <f t="shared" si="64"/>
        <v>2.2382804265975702E-2</v>
      </c>
      <c r="H94" s="365">
        <f t="shared" si="64"/>
        <v>4.3703668709087061E-2</v>
      </c>
      <c r="I94" s="365">
        <f t="shared" si="64"/>
        <v>5.0860770153012894E-2</v>
      </c>
      <c r="J94" s="365">
        <f t="shared" si="64"/>
        <v>4.8927094848344184E-2</v>
      </c>
      <c r="K94" s="365">
        <f t="shared" si="64"/>
        <v>5.8110771575303789E-2</v>
      </c>
      <c r="L94" s="365">
        <f t="shared" si="64"/>
        <v>5.747433106182849E-2</v>
      </c>
      <c r="M94" s="365">
        <f t="shared" si="64"/>
        <v>6.1539063068106817E-2</v>
      </c>
      <c r="N94" s="365">
        <f>N14+N41</f>
        <v>4.1923636526024495E-2</v>
      </c>
      <c r="O94" s="365">
        <f>O14+O41</f>
        <v>6.6553856789501709E-2</v>
      </c>
      <c r="P94" s="362">
        <f t="shared" si="56"/>
        <v>0.50679295278440728</v>
      </c>
      <c r="Q94" s="362">
        <f>Q14+Q41+Q69</f>
        <v>0.52311227092006218</v>
      </c>
      <c r="R94" s="362">
        <f>R14+R41+R69</f>
        <v>0.52311227092006207</v>
      </c>
      <c r="S94" s="362">
        <f t="shared" si="51"/>
        <v>-1.6319318135654903E-2</v>
      </c>
      <c r="T94" s="517">
        <f t="shared" si="52"/>
        <v>0.96880341172851481</v>
      </c>
      <c r="U94" s="551"/>
    </row>
    <row r="95" spans="1:24">
      <c r="A95" s="409" t="s">
        <v>234</v>
      </c>
      <c r="B95" s="365">
        <f>B15+B42</f>
        <v>3.1019050900007762E-2</v>
      </c>
      <c r="C95" s="365">
        <f>C15+C42</f>
        <v>5.0068339103141755E-2</v>
      </c>
      <c r="D95" s="365">
        <f t="shared" ref="D95:M95" si="65">D15+D42+D72</f>
        <v>7.6346228695875012E-2</v>
      </c>
      <c r="E95" s="365">
        <f t="shared" si="65"/>
        <v>9.8795741721442287E-2</v>
      </c>
      <c r="F95" s="365">
        <f t="shared" si="65"/>
        <v>8.5551278837025499E-2</v>
      </c>
      <c r="G95" s="365">
        <f t="shared" si="65"/>
        <v>9.0836199668422934E-2</v>
      </c>
      <c r="H95" s="365">
        <f t="shared" si="65"/>
        <v>9.4493374900395014E-2</v>
      </c>
      <c r="I95" s="365">
        <f t="shared" si="65"/>
        <v>4.1450367731696733E-2</v>
      </c>
      <c r="J95" s="365">
        <f t="shared" si="65"/>
        <v>6.0756784762160211E-2</v>
      </c>
      <c r="K95" s="365">
        <f t="shared" si="65"/>
        <v>7.2286747169481733E-2</v>
      </c>
      <c r="L95" s="365">
        <f t="shared" si="65"/>
        <v>9.029991320225017E-2</v>
      </c>
      <c r="M95" s="365">
        <f t="shared" si="65"/>
        <v>3.9324294959656995E-2</v>
      </c>
      <c r="N95" s="365">
        <f>N15+N42</f>
        <v>4.7906775052014294E-2</v>
      </c>
      <c r="O95" s="365">
        <f>O15+O42</f>
        <v>5.130405040455166E-2</v>
      </c>
      <c r="P95" s="362">
        <f t="shared" si="56"/>
        <v>0.84935175710497246</v>
      </c>
      <c r="Q95" s="362">
        <f>Q15+Q42+Q72</f>
        <v>0.78909270141138554</v>
      </c>
      <c r="R95" s="362">
        <f>R15+R42+R72</f>
        <v>0.78909270141138554</v>
      </c>
      <c r="S95" s="362">
        <f t="shared" si="51"/>
        <v>6.0259055693586916E-2</v>
      </c>
      <c r="T95" s="517">
        <f t="shared" si="52"/>
        <v>1.0763649892918874</v>
      </c>
      <c r="U95" s="551"/>
    </row>
    <row r="96" spans="1:24">
      <c r="A96" s="409" t="s">
        <v>233</v>
      </c>
      <c r="B96" s="365">
        <f>B19+B43</f>
        <v>8.3493072043010761E-4</v>
      </c>
      <c r="C96" s="365">
        <f>C19+C43</f>
        <v>1.4079160061506919E-3</v>
      </c>
      <c r="D96" s="365">
        <f t="shared" ref="D96:M96" si="66">D19+D43+D70</f>
        <v>9.7731276778350511E-4</v>
      </c>
      <c r="E96" s="365">
        <f t="shared" si="66"/>
        <v>6.6464099999999999E-4</v>
      </c>
      <c r="F96" s="365">
        <f t="shared" si="66"/>
        <v>2.4660368222645616E-3</v>
      </c>
      <c r="G96" s="365">
        <f t="shared" si="66"/>
        <v>2.769929E-3</v>
      </c>
      <c r="H96" s="365">
        <f t="shared" si="66"/>
        <v>4.7589600000000001E-4</v>
      </c>
      <c r="I96" s="365">
        <f t="shared" si="66"/>
        <v>2.1535180000000001E-3</v>
      </c>
      <c r="J96" s="365">
        <f t="shared" si="66"/>
        <v>3.3838774400462963E-3</v>
      </c>
      <c r="K96" s="365">
        <f t="shared" si="66"/>
        <v>3.1755438530583547E-3</v>
      </c>
      <c r="L96" s="365">
        <f t="shared" si="66"/>
        <v>1.8539725841660263E-3</v>
      </c>
      <c r="M96" s="365">
        <f t="shared" si="66"/>
        <v>1.6273131329661685E-3</v>
      </c>
      <c r="N96" s="365">
        <f>N19+N43</f>
        <v>1.6410858824736226E-3</v>
      </c>
      <c r="O96" s="365">
        <f>O19+O43</f>
        <v>3.2160491604752029E-3</v>
      </c>
      <c r="P96" s="362">
        <f t="shared" si="56"/>
        <v>2.4405175643233738E-2</v>
      </c>
      <c r="Q96" s="362">
        <f>Q19+Q43+Q70</f>
        <v>2.5568076955792544E-2</v>
      </c>
      <c r="R96" s="362">
        <f>R19+R43+R70</f>
        <v>2.5568076955792544E-2</v>
      </c>
      <c r="S96" s="362">
        <f t="shared" si="51"/>
        <v>-1.1629013125588061E-3</v>
      </c>
      <c r="T96" s="517">
        <f t="shared" si="52"/>
        <v>0.95451745101637975</v>
      </c>
      <c r="U96" s="551"/>
    </row>
    <row r="97" spans="1:21">
      <c r="A97" s="409" t="s">
        <v>709</v>
      </c>
      <c r="B97" s="365">
        <f>B20+B21+B44+B45</f>
        <v>4.1696740517933241E-2</v>
      </c>
      <c r="C97" s="365">
        <f>C20+C21+C44+C45</f>
        <v>5.0450627305259364E-2</v>
      </c>
      <c r="D97" s="365">
        <f t="shared" ref="D97:M97" si="67">D20+D21+D44+D45+D74</f>
        <v>5.7932703010804484E-2</v>
      </c>
      <c r="E97" s="365">
        <f t="shared" si="67"/>
        <v>4.4119887918070144E-2</v>
      </c>
      <c r="F97" s="365">
        <f t="shared" si="67"/>
        <v>4.6519277030133949E-2</v>
      </c>
      <c r="G97" s="365">
        <f t="shared" si="67"/>
        <v>5.6228982493731289E-2</v>
      </c>
      <c r="H97" s="365">
        <f t="shared" si="67"/>
        <v>5.1292463154679731E-2</v>
      </c>
      <c r="I97" s="365">
        <f t="shared" si="67"/>
        <v>4.7583156688355471E-2</v>
      </c>
      <c r="J97" s="365">
        <f t="shared" si="67"/>
        <v>5.3494845828793214E-2</v>
      </c>
      <c r="K97" s="365">
        <f t="shared" si="67"/>
        <v>6.2012028825145712E-2</v>
      </c>
      <c r="L97" s="365">
        <f t="shared" si="67"/>
        <v>6.2794407307212363E-2</v>
      </c>
      <c r="M97" s="365">
        <f t="shared" si="67"/>
        <v>7.2485100160918609E-2</v>
      </c>
      <c r="N97" s="365">
        <f>N20+N21+N44+N45</f>
        <v>6.804478569397987E-2</v>
      </c>
      <c r="O97" s="365">
        <f>O20+O21+O44+O45</f>
        <v>7.7044514646335813E-2</v>
      </c>
      <c r="P97" s="362">
        <f t="shared" si="56"/>
        <v>0.69955215275816063</v>
      </c>
      <c r="Q97" s="362">
        <f>Q21+Q45+Q74</f>
        <v>0.71756201144534248</v>
      </c>
      <c r="R97" s="362">
        <f>R21+R45+R74</f>
        <v>0.71756201144534248</v>
      </c>
      <c r="S97" s="362">
        <f t="shared" si="51"/>
        <v>-1.8009858687181857E-2</v>
      </c>
      <c r="T97" s="517">
        <f t="shared" si="52"/>
        <v>0.97490132086158565</v>
      </c>
      <c r="U97" s="551"/>
    </row>
    <row r="98" spans="1:21">
      <c r="A98" s="409" t="s">
        <v>595</v>
      </c>
      <c r="B98" s="365">
        <f>B18</f>
        <v>2.4863846989090907E-3</v>
      </c>
      <c r="C98" s="365">
        <f>C18</f>
        <v>1.2458809036391594E-3</v>
      </c>
      <c r="D98" s="365">
        <f>D18</f>
        <v>6.3778377023901314E-5</v>
      </c>
      <c r="E98" s="365">
        <f t="shared" ref="E98:M98" si="68">E18</f>
        <v>0</v>
      </c>
      <c r="F98" s="365">
        <f t="shared" si="68"/>
        <v>6.1296031233025529E-5</v>
      </c>
      <c r="G98" s="365">
        <f t="shared" si="68"/>
        <v>0</v>
      </c>
      <c r="H98" s="365">
        <f t="shared" si="68"/>
        <v>0</v>
      </c>
      <c r="I98" s="365">
        <f t="shared" si="68"/>
        <v>0</v>
      </c>
      <c r="J98" s="365">
        <f t="shared" si="68"/>
        <v>1.3222247821759259E-3</v>
      </c>
      <c r="K98" s="365">
        <f t="shared" si="68"/>
        <v>3.7136095250000002E-3</v>
      </c>
      <c r="L98" s="365">
        <f t="shared" si="68"/>
        <v>3.5120586907507042E-3</v>
      </c>
      <c r="M98" s="365">
        <f t="shared" si="68"/>
        <v>4.2399317387883557E-3</v>
      </c>
      <c r="N98" s="365">
        <f>N18</f>
        <v>3.1263417350527551E-3</v>
      </c>
      <c r="O98" s="365">
        <f>O18</f>
        <v>3.4681947524042994E-3</v>
      </c>
      <c r="P98" s="362">
        <f t="shared" si="56"/>
        <v>1.9507435632428967E-2</v>
      </c>
      <c r="Q98" s="362">
        <f>Q18</f>
        <v>1.6025199347962912E-2</v>
      </c>
      <c r="R98" s="362">
        <f>R18</f>
        <v>1.6025199347962912E-2</v>
      </c>
      <c r="S98" s="362">
        <f t="shared" si="51"/>
        <v>3.4822362844660545E-3</v>
      </c>
      <c r="T98" s="517">
        <f t="shared" si="52"/>
        <v>1.21729753302</v>
      </c>
      <c r="U98" s="551"/>
    </row>
    <row r="99" spans="1:21">
      <c r="A99" s="409" t="s">
        <v>152</v>
      </c>
      <c r="B99" s="365">
        <f t="shared" ref="B99:C101" si="69">B22+B46</f>
        <v>0</v>
      </c>
      <c r="C99" s="365">
        <f t="shared" si="69"/>
        <v>0</v>
      </c>
      <c r="D99" s="365">
        <f t="shared" ref="D99:M99" si="70">D22+D46+D71</f>
        <v>1.8318365155457976E-3</v>
      </c>
      <c r="E99" s="365">
        <f t="shared" si="70"/>
        <v>3.4802587248318874E-4</v>
      </c>
      <c r="F99" s="365">
        <f t="shared" si="70"/>
        <v>1.5893322663793111E-3</v>
      </c>
      <c r="G99" s="365">
        <f t="shared" si="70"/>
        <v>1.4763208671887413E-3</v>
      </c>
      <c r="H99" s="365">
        <f t="shared" si="70"/>
        <v>1.9445749693251535E-3</v>
      </c>
      <c r="I99" s="365">
        <f t="shared" si="70"/>
        <v>1.5089235473023368E-3</v>
      </c>
      <c r="J99" s="365">
        <f t="shared" si="70"/>
        <v>1.8747680792188086E-3</v>
      </c>
      <c r="K99" s="365">
        <f t="shared" si="70"/>
        <v>2.0477418328052974E-3</v>
      </c>
      <c r="L99" s="365">
        <f t="shared" si="70"/>
        <v>2.201196777876206E-3</v>
      </c>
      <c r="M99" s="365">
        <f t="shared" si="70"/>
        <v>2.7482741313093703E-3</v>
      </c>
      <c r="N99" s="365">
        <f t="shared" ref="N99:O101" si="71">N22+N46</f>
        <v>2.437823211776869E-3</v>
      </c>
      <c r="O99" s="365">
        <f t="shared" si="71"/>
        <v>4.7600405409865681E-3</v>
      </c>
      <c r="P99" s="362">
        <f t="shared" si="56"/>
        <v>2.4768858612197651E-2</v>
      </c>
      <c r="Q99" s="362">
        <f>Q46+Q22+Q71</f>
        <v>5.8184079324234543E-4</v>
      </c>
      <c r="R99" s="362">
        <f>R46+R22+R71</f>
        <v>5.8184079324234543E-4</v>
      </c>
      <c r="S99" s="362">
        <f t="shared" si="51"/>
        <v>2.4187017818955305E-2</v>
      </c>
      <c r="T99" s="517"/>
      <c r="U99" s="551"/>
    </row>
    <row r="100" spans="1:21" s="4" customFormat="1">
      <c r="A100" s="352" t="s">
        <v>675</v>
      </c>
      <c r="B100" s="362">
        <f t="shared" si="69"/>
        <v>1.2690352E-2</v>
      </c>
      <c r="C100" s="362">
        <f t="shared" si="69"/>
        <v>0</v>
      </c>
      <c r="D100" s="362">
        <f t="shared" ref="D100:M100" si="72">D23+D47+D67</f>
        <v>6.337156E-3</v>
      </c>
      <c r="E100" s="362">
        <f t="shared" si="72"/>
        <v>1.2977619500000001E-2</v>
      </c>
      <c r="F100" s="362">
        <f t="shared" si="72"/>
        <v>0</v>
      </c>
      <c r="G100" s="362">
        <f t="shared" si="72"/>
        <v>0</v>
      </c>
      <c r="H100" s="362">
        <f t="shared" si="72"/>
        <v>0</v>
      </c>
      <c r="I100" s="362">
        <f t="shared" si="72"/>
        <v>0</v>
      </c>
      <c r="J100" s="362">
        <f t="shared" si="72"/>
        <v>0</v>
      </c>
      <c r="K100" s="362">
        <f t="shared" si="72"/>
        <v>0</v>
      </c>
      <c r="L100" s="362">
        <f t="shared" si="72"/>
        <v>0</v>
      </c>
      <c r="M100" s="362">
        <f t="shared" si="72"/>
        <v>5.17668155E-2</v>
      </c>
      <c r="N100" s="362">
        <f t="shared" si="71"/>
        <v>7.0546692999999994E-2</v>
      </c>
      <c r="O100" s="362">
        <f t="shared" si="71"/>
        <v>5.5E-2</v>
      </c>
      <c r="P100" s="362">
        <f t="shared" si="56"/>
        <v>0.19662828399999999</v>
      </c>
      <c r="Q100" s="362">
        <f>Q47+Q23+Q67</f>
        <v>0.16580410933959938</v>
      </c>
      <c r="R100" s="362">
        <f>R47+R23</f>
        <v>0.16580410933959938</v>
      </c>
      <c r="S100" s="362">
        <f t="shared" si="51"/>
        <v>3.0824174660400605E-2</v>
      </c>
      <c r="T100" s="517">
        <f t="shared" si="52"/>
        <v>1.1859071815721205</v>
      </c>
      <c r="U100" s="551"/>
    </row>
    <row r="101" spans="1:21" ht="16" thickBot="1">
      <c r="A101" s="552" t="s">
        <v>136</v>
      </c>
      <c r="B101" s="368">
        <f t="shared" si="69"/>
        <v>0.23935578400000002</v>
      </c>
      <c r="C101" s="368">
        <f t="shared" si="69"/>
        <v>0.29771270999999999</v>
      </c>
      <c r="D101" s="368">
        <f t="shared" ref="D101:M101" si="73">D24+D48+D65</f>
        <v>3.343570122</v>
      </c>
      <c r="E101" s="368">
        <f t="shared" si="73"/>
        <v>1.1402952700000002</v>
      </c>
      <c r="F101" s="368">
        <f t="shared" si="73"/>
        <v>1.404811815</v>
      </c>
      <c r="G101" s="368">
        <f t="shared" si="73"/>
        <v>1.0090729889999999</v>
      </c>
      <c r="H101" s="368">
        <f t="shared" si="73"/>
        <v>1.0793262450000001</v>
      </c>
      <c r="I101" s="368">
        <f t="shared" si="73"/>
        <v>1.333995877</v>
      </c>
      <c r="J101" s="368">
        <f t="shared" si="73"/>
        <v>0.99285012400000006</v>
      </c>
      <c r="K101" s="368">
        <f t="shared" si="73"/>
        <v>1.3644977919999999</v>
      </c>
      <c r="L101" s="368">
        <f t="shared" si="73"/>
        <v>1.3089688150000001</v>
      </c>
      <c r="M101" s="368">
        <f t="shared" si="73"/>
        <v>1.633240324</v>
      </c>
      <c r="N101" s="368">
        <f t="shared" si="71"/>
        <v>1.029613082</v>
      </c>
      <c r="O101" s="368">
        <f t="shared" si="71"/>
        <v>1.3308531860000001</v>
      </c>
      <c r="P101" s="369">
        <f t="shared" si="56"/>
        <v>16.971095641000002</v>
      </c>
      <c r="Q101" s="369">
        <f>Q48+Q24+Q65</f>
        <v>11.3201689159879</v>
      </c>
      <c r="R101" s="369">
        <f>R48+R24+R65</f>
        <v>11.3201689159879</v>
      </c>
      <c r="S101" s="369">
        <f t="shared" si="51"/>
        <v>5.650926725012102</v>
      </c>
      <c r="T101" s="519">
        <f>P101/R101</f>
        <v>1.4991910250589182</v>
      </c>
      <c r="U101" s="551"/>
    </row>
    <row r="102" spans="1:21" ht="16" hidden="1" thickTop="1">
      <c r="A102" s="542" t="s">
        <v>211</v>
      </c>
      <c r="B102" s="365"/>
      <c r="C102" s="365"/>
      <c r="D102" s="366"/>
      <c r="E102" s="366"/>
      <c r="F102" s="366"/>
      <c r="G102" s="366"/>
      <c r="H102" s="366"/>
      <c r="I102" s="366"/>
      <c r="J102" s="366"/>
      <c r="K102" s="366"/>
      <c r="L102" s="366"/>
      <c r="M102" s="366"/>
      <c r="N102" s="366"/>
      <c r="O102" s="366"/>
      <c r="P102" s="362">
        <f t="shared" si="56"/>
        <v>0</v>
      </c>
      <c r="U102" s="551"/>
    </row>
    <row r="103" spans="1:21" ht="17" hidden="1" thickTop="1" thickBot="1">
      <c r="A103" s="353" t="s">
        <v>214</v>
      </c>
      <c r="B103" s="368"/>
      <c r="C103" s="368"/>
      <c r="D103" s="368"/>
      <c r="E103" s="368"/>
      <c r="F103" s="368"/>
      <c r="G103" s="368"/>
      <c r="H103" s="368"/>
      <c r="I103" s="368"/>
      <c r="J103" s="368"/>
      <c r="K103" s="368"/>
      <c r="L103" s="368"/>
      <c r="M103" s="368"/>
      <c r="N103" s="368"/>
      <c r="O103" s="368"/>
      <c r="P103" s="362">
        <f t="shared" si="56"/>
        <v>0</v>
      </c>
      <c r="U103" s="551"/>
    </row>
    <row r="104" spans="1:21" ht="36.75" customHeight="1" thickTop="1">
      <c r="A104" s="464" t="s">
        <v>236</v>
      </c>
      <c r="B104" s="365">
        <f>B89-B93-B101</f>
        <v>0.48652962562972013</v>
      </c>
      <c r="C104" s="365">
        <f>C89-C93-C101</f>
        <v>2.3523863480263918E-2</v>
      </c>
      <c r="D104" s="366">
        <f t="shared" ref="D104:M104" si="74">D89-D93-D101-D100</f>
        <v>-1.8503330084018874</v>
      </c>
      <c r="E104" s="366">
        <f t="shared" si="74"/>
        <v>8.9854460486984231E-3</v>
      </c>
      <c r="F104" s="365">
        <f t="shared" si="74"/>
        <v>-0.17427172448691786</v>
      </c>
      <c r="G104" s="366">
        <f t="shared" si="74"/>
        <v>0.13202625087652065</v>
      </c>
      <c r="H104" s="366">
        <f t="shared" si="74"/>
        <v>0.10062789273595008</v>
      </c>
      <c r="I104" s="366">
        <f t="shared" si="74"/>
        <v>-0.10791171351638407</v>
      </c>
      <c r="J104" s="366">
        <f t="shared" si="74"/>
        <v>7.8994753472277468E-2</v>
      </c>
      <c r="K104" s="366">
        <f t="shared" si="74"/>
        <v>-6.6629125351679752E-2</v>
      </c>
      <c r="L104" s="367">
        <f t="shared" si="74"/>
        <v>-1.4905768985646883E-2</v>
      </c>
      <c r="M104" s="367">
        <f t="shared" si="74"/>
        <v>-0.39379696434809058</v>
      </c>
      <c r="N104" s="367">
        <f t="shared" ref="N104:O104" si="75">N89-N93-N101</f>
        <v>0.27248592369154068</v>
      </c>
      <c r="O104" s="366">
        <f t="shared" si="75"/>
        <v>-0.67823959140202017</v>
      </c>
      <c r="P104" s="362">
        <f>P89-P93-P101-P100</f>
        <v>-2.8185143226676397</v>
      </c>
      <c r="Q104" s="367">
        <f>Q89-Q93-Q101-Q100</f>
        <v>-2.2954748632802788</v>
      </c>
      <c r="R104" s="362">
        <f>R89-R93-R101-R100</f>
        <v>-2.2954748632802788</v>
      </c>
      <c r="S104" s="367">
        <f>S89-S93-S101-S100</f>
        <v>-0.5230394593873624</v>
      </c>
      <c r="T104" s="518">
        <f>P104/R104</f>
        <v>1.227856757551214</v>
      </c>
      <c r="U104" s="551"/>
    </row>
    <row r="105" spans="1:21">
      <c r="S105" s="98"/>
    </row>
    <row r="108" spans="1:21" ht="16">
      <c r="M108" s="1394"/>
      <c r="N108" s="1394"/>
      <c r="O108" s="1394"/>
    </row>
    <row r="109" spans="1:21" ht="16">
      <c r="M109" s="1394"/>
      <c r="N109" s="1394"/>
      <c r="O109" s="1395"/>
      <c r="Q109" s="1396"/>
      <c r="R109" s="1397"/>
    </row>
    <row r="110" spans="1:21" ht="16">
      <c r="M110" s="1394"/>
      <c r="N110" s="1394"/>
      <c r="O110" s="1395"/>
      <c r="Q110" s="1396"/>
      <c r="R110" s="1397"/>
    </row>
    <row r="111" spans="1:21" ht="16">
      <c r="M111" s="1394"/>
      <c r="N111" s="1394"/>
      <c r="O111" s="1395"/>
    </row>
    <row r="112" spans="1:21" ht="16">
      <c r="M112" s="1394"/>
      <c r="N112" s="1394"/>
      <c r="O112" s="1395"/>
    </row>
    <row r="113" spans="13:15" ht="16">
      <c r="M113" s="1394"/>
      <c r="N113" s="1394"/>
      <c r="O113" s="1395"/>
    </row>
    <row r="114" spans="13:15" ht="16">
      <c r="M114" s="1394"/>
      <c r="N114" s="1394"/>
      <c r="O114" s="1395"/>
    </row>
    <row r="115" spans="13:15" ht="16">
      <c r="M115" s="1394"/>
      <c r="N115" s="1394"/>
      <c r="O115" s="1395"/>
    </row>
    <row r="116" spans="13:15" ht="16">
      <c r="M116" s="132"/>
      <c r="N116" s="132"/>
      <c r="O116" s="132"/>
    </row>
    <row r="117" spans="13:15" ht="16">
      <c r="M117" s="132"/>
      <c r="N117" s="1398"/>
      <c r="O117" s="1398"/>
    </row>
    <row r="118" spans="13:15" ht="16">
      <c r="M118" s="1394"/>
      <c r="N118" s="1395"/>
      <c r="O118" s="1395"/>
    </row>
    <row r="119" spans="13:15" ht="16">
      <c r="M119" s="1394"/>
      <c r="N119" s="1395"/>
      <c r="O119" s="1395"/>
    </row>
    <row r="120" spans="13:15" ht="16">
      <c r="M120" s="1394"/>
      <c r="N120" s="1395"/>
      <c r="O120" s="1395"/>
    </row>
    <row r="121" spans="13:15" ht="16">
      <c r="M121" s="1394"/>
      <c r="N121" s="1395"/>
      <c r="O121" s="1395"/>
    </row>
    <row r="122" spans="13:15" ht="16">
      <c r="M122" s="1394"/>
      <c r="N122" s="1395"/>
    </row>
    <row r="123" spans="13:15" ht="16">
      <c r="M123" s="1394"/>
      <c r="N123" s="139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50955-D66A-4FED-B5C6-8ACE8BD185D9}">
  <dimension ref="A1:AA154"/>
  <sheetViews>
    <sheetView topLeftCell="A133" zoomScale="80" zoomScaleNormal="80" workbookViewId="0">
      <pane xSplit="2" topLeftCell="C1" activePane="topRight" state="frozen"/>
      <selection activeCell="A133" sqref="A133"/>
      <selection pane="topRight" activeCell="I148" sqref="I148"/>
    </sheetView>
  </sheetViews>
  <sheetFormatPr baseColWidth="10" defaultColWidth="8.83203125" defaultRowHeight="15"/>
  <cols>
    <col min="1" max="1" width="29.1640625" customWidth="1"/>
    <col min="2" max="2" width="10.5" customWidth="1"/>
    <col min="3" max="4" width="12.33203125" customWidth="1"/>
    <col min="5" max="5" width="12.5" customWidth="1"/>
    <col min="6" max="6" width="8.5" customWidth="1"/>
    <col min="7" max="7" width="8.5" bestFit="1" customWidth="1"/>
    <col min="8" max="8" width="10.1640625" bestFit="1" customWidth="1"/>
    <col min="9" max="9" width="8.83203125" customWidth="1"/>
    <col min="10" max="10" width="8.5" bestFit="1" customWidth="1"/>
    <col min="11" max="11" width="8.1640625" customWidth="1"/>
    <col min="12" max="12" width="7.83203125" customWidth="1"/>
    <col min="13" max="14" width="8.1640625" customWidth="1"/>
    <col min="15" max="17" width="8.83203125" customWidth="1"/>
    <col min="18" max="21" width="9" customWidth="1"/>
    <col min="22" max="22" width="9" hidden="1" customWidth="1"/>
    <col min="23" max="23" width="10.1640625" customWidth="1"/>
    <col min="24" max="24" width="8.6640625" hidden="1" customWidth="1"/>
    <col min="25" max="25" width="8.5" hidden="1" customWidth="1"/>
    <col min="26" max="26" width="7.5" customWidth="1"/>
  </cols>
  <sheetData>
    <row r="1" spans="1:22">
      <c r="B1" s="284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</row>
    <row r="2" spans="1:22" ht="32">
      <c r="A2" s="34"/>
      <c r="B2" s="82" t="s">
        <v>185</v>
      </c>
      <c r="C2" s="82" t="s">
        <v>8</v>
      </c>
      <c r="D2" s="83">
        <v>45597</v>
      </c>
      <c r="E2" s="83">
        <v>45627</v>
      </c>
      <c r="F2" s="83">
        <v>45658</v>
      </c>
      <c r="G2" s="83">
        <v>45689</v>
      </c>
      <c r="H2" s="83">
        <v>45717</v>
      </c>
      <c r="I2" s="83">
        <v>45748</v>
      </c>
      <c r="J2" s="83">
        <v>45778</v>
      </c>
      <c r="K2" s="83">
        <v>45809</v>
      </c>
      <c r="L2" s="83">
        <v>45839</v>
      </c>
      <c r="M2" s="83">
        <v>45870</v>
      </c>
      <c r="N2" s="83">
        <v>45901</v>
      </c>
      <c r="O2" s="83">
        <v>45931</v>
      </c>
      <c r="P2" s="83">
        <v>45962</v>
      </c>
      <c r="Q2" s="83">
        <v>45992</v>
      </c>
      <c r="R2" s="84" t="s">
        <v>9</v>
      </c>
    </row>
    <row r="3" spans="1:22">
      <c r="B3" s="82" t="s">
        <v>710</v>
      </c>
      <c r="F3" s="7"/>
      <c r="G3" s="7"/>
      <c r="H3" s="7"/>
      <c r="I3" s="7"/>
      <c r="J3" s="7"/>
      <c r="K3" s="7"/>
      <c r="L3" s="7"/>
    </row>
    <row r="4" spans="1:22">
      <c r="B4" s="1052" t="s">
        <v>193</v>
      </c>
      <c r="C4" s="7">
        <f>SUMIFS(Lending!M:M,Lending!$C:$C,"Cashloan",Lending!$L:$L,$B$4)</f>
        <v>364555</v>
      </c>
      <c r="D4" s="7">
        <f>SUMIFS(Lending!N:N,Lending!$C:$C,"Cashloan",Lending!$L:$L,$B$4)</f>
        <v>32371</v>
      </c>
      <c r="E4" s="7">
        <f>SUMIFS(Lending!O:O,Lending!$C:$C,"Cashloan",Lending!$L:$L,"New account")</f>
        <v>32648</v>
      </c>
      <c r="F4" s="7">
        <f>SUMIFS(Lending!P:P,Lending!$C:$C,"Cashloan",Lending!$L:$L,"New account")</f>
        <v>31234</v>
      </c>
      <c r="G4" s="7">
        <f>SUMIFS(Lending!Q:Q,Lending!$C:$C,"Cashloan",Lending!$L:$L,"New account")</f>
        <v>23928</v>
      </c>
      <c r="H4" s="7">
        <f>SUMIFS(Lending!R:R,Lending!$C:$C,"Cashloan",Lending!$L:$L,"New account")</f>
        <v>37699</v>
      </c>
      <c r="I4" s="7">
        <f>SUMIFS(Lending!S:S,Lending!$C:$C,"Cashloan",Lending!$L:$L,"New account")</f>
        <v>38942</v>
      </c>
      <c r="J4" s="7">
        <f>SUMIFS(Lending!T:T,Lending!$C:$C,"Cashloan",Lending!$L:$L,"New account")</f>
        <v>39080</v>
      </c>
      <c r="K4" s="7">
        <f>SUMIFS(Lending!U:U,Lending!$C:$C,"Cashloan",Lending!$L:$L,"New account")</f>
        <v>45358</v>
      </c>
      <c r="L4" s="7">
        <f>SUMIFS(Lending!V:V,Lending!$C:$C,"Cashloan",Lending!$L:$L,"New account")</f>
        <v>60775</v>
      </c>
      <c r="M4" s="7">
        <f>SUMIFS(Lending!W:W,Lending!$C:$C,"Cashloan",Lending!$L:$L,"New account")</f>
        <v>55372</v>
      </c>
      <c r="N4" s="7">
        <f>SUMIFS(Lending!X:X,Lending!$C:$C,"Cashloan",Lending!$L:$L,"New account")</f>
        <v>64399</v>
      </c>
      <c r="O4" s="7">
        <f>SUMIFS(Lending!Y:Y,Lending!$C:$C,"Cashloan",Lending!$L:$L,"New account")</f>
        <v>71637</v>
      </c>
      <c r="P4" s="7">
        <f>SUMIFS(Lending!Z:Z,Lending!$C:$C,"Cashloan",Lending!$L:$L,"New account")</f>
        <v>79164</v>
      </c>
      <c r="Q4" s="7">
        <f>SUMIFS(Lending!AA:AA,Lending!$C:$C,"Cashloan",Lending!$L:$L,"New account")</f>
        <v>82662</v>
      </c>
      <c r="R4" s="34">
        <f>Q4-P4</f>
        <v>3498</v>
      </c>
    </row>
    <row r="5" spans="1:22">
      <c r="B5" s="1052" t="s">
        <v>527</v>
      </c>
      <c r="C5" s="7">
        <f>SUMIFS(Lending!M:M,Lending!$C:$C,"Cashloan",Lending!$L:$L,$B$5)</f>
        <v>0</v>
      </c>
      <c r="D5" s="7">
        <f>SUMIFS(Lending!N:N,Lending!$C:$C,"Cashloan",Lending!$L:$L,$B$5)</f>
        <v>6151</v>
      </c>
      <c r="E5" s="7">
        <f>SUMIFS(Lending!O:O,Lending!$C:$C,"Cashloan",Lending!$L:$L,$B$5)</f>
        <v>7105</v>
      </c>
      <c r="F5" s="7">
        <f>SUMIFS(Lending!P:P,Lending!$C:$C,"Cashloan",Lending!$L:$L,$B$5)</f>
        <v>7657</v>
      </c>
      <c r="G5" s="7">
        <f>SUMIFS(Lending!Q:Q,Lending!$C:$C,"Cashloan",Lending!$L:$L,$B$5)</f>
        <v>6944</v>
      </c>
      <c r="H5" s="7">
        <f>SUMIFS(Lending!R:R,Lending!$C:$C,"Cashloan",Lending!$L:$L,$B$5)</f>
        <v>11298</v>
      </c>
      <c r="I5" s="7">
        <f>SUMIFS(Lending!S:S,Lending!$C:$C,"Cashloan",Lending!$L:$L,$B$5)</f>
        <v>12008</v>
      </c>
      <c r="J5" s="7">
        <f>SUMIFS(Lending!T:T,Lending!$C:$C,"Cashloan",Lending!$L:$L,$B$5)</f>
        <v>10515</v>
      </c>
      <c r="K5" s="7">
        <f>SUMIFS(Lending!U:U,Lending!$C:$C,"Cashloan",Lending!$L:$L,$B$5)</f>
        <v>12299</v>
      </c>
      <c r="L5" s="7">
        <f>SUMIFS(Lending!V:V,Lending!$C:$C,"Cashloan",Lending!$L:$L,$B$5)</f>
        <v>16831</v>
      </c>
      <c r="M5" s="7">
        <f>SUMIFS(Lending!W:W,Lending!$C:$C,"Cashloan",Lending!$L:$L,$B$5)</f>
        <v>16700</v>
      </c>
      <c r="N5" s="7">
        <f>SUMIFS(Lending!X:X,Lending!$C:$C,"Cashloan",Lending!$L:$L,$B$5)</f>
        <v>25790</v>
      </c>
      <c r="O5" s="7">
        <f>SUMIFS(Lending!Y:Y,Lending!$C:$C,"Cashloan",Lending!$L:$L,$B$5)</f>
        <v>29498</v>
      </c>
      <c r="P5" s="7">
        <f>SUMIFS(Lending!Z:Z,Lending!$C:$C,"Cashloan",Lending!$L:$L,$B$5)</f>
        <v>31394</v>
      </c>
      <c r="Q5" s="7">
        <f>SUMIFS(Lending!AA:AA,Lending!$C:$C,"Cashloan",Lending!$L:$L,$B$5)</f>
        <v>32384</v>
      </c>
      <c r="R5" s="34"/>
    </row>
    <row r="6" spans="1:22">
      <c r="B6" s="1052" t="s">
        <v>194</v>
      </c>
      <c r="C6" s="7">
        <f>SUMIFS(Lending!M:M,Lending!$C:$C,"Cashloan",Lending!$L:$L,$B$6)</f>
        <v>2055802</v>
      </c>
      <c r="D6" s="7">
        <f>SUMIFS(Lending!N:N,Lending!$C:$C,"Cashloan",Lending!$L:$L,$B$6)</f>
        <v>188505</v>
      </c>
      <c r="E6" s="7">
        <f>SUMIFS(Lending!O:O,Lending!$C:$C,"Cashloan",Lending!$L:$L,$B$6)</f>
        <v>204507</v>
      </c>
      <c r="F6" s="7">
        <f>SUMIFS(Lending!P:P,Lending!$C:$C,"Cashloan",Lending!$L:$L,$B$6)</f>
        <v>214259</v>
      </c>
      <c r="G6" s="7">
        <f>SUMIFS(Lending!Q:Q,Lending!$C:$C,"Cashloan",Lending!$L:$L,$B$6)</f>
        <v>213147</v>
      </c>
      <c r="H6" s="7">
        <f>SUMIFS(Lending!R:R,Lending!$C:$C,"Cashloan",Lending!$L:$L,$B$6)</f>
        <v>226182</v>
      </c>
      <c r="I6" s="7">
        <f>SUMIFS(Lending!S:S,Lending!$C:$C,"Cashloan",Lending!$L:$L,$B$6)</f>
        <v>239742</v>
      </c>
      <c r="J6" s="7">
        <f>SUMIFS(Lending!T:T,Lending!$C:$C,"Cashloan",Lending!$L:$L,$B$6)</f>
        <v>254759</v>
      </c>
      <c r="K6" s="7">
        <f>SUMIFS(Lending!U:U,Lending!$C:$C,"Cashloan",Lending!$L:$L,$B$6)</f>
        <v>269434</v>
      </c>
      <c r="L6" s="7">
        <f>SUMIFS(Lending!V:V,Lending!$C:$C,"Cashloan",Lending!$L:$L,$B$6)</f>
        <v>298196</v>
      </c>
      <c r="M6" s="7">
        <f>SUMIFS(Lending!W:W,Lending!$C:$C,"Cashloan",Lending!$L:$L,$B$6)</f>
        <v>320397</v>
      </c>
      <c r="N6" s="7">
        <f>SUMIFS(Lending!X:X,Lending!$C:$C,"Cashloan",Lending!$L:$L,$B$6)</f>
        <v>346390</v>
      </c>
      <c r="O6" s="7">
        <f>SUMIFS(Lending!Y:Y,Lending!$C:$C,"Cashloan",Lending!$L:$L,$B$6)</f>
        <v>373714</v>
      </c>
      <c r="P6" s="7">
        <f>SUMIFS(Lending!Z:Z,Lending!$C:$C,"Cashloan",Lending!$L:$L,$B$6)</f>
        <v>407378</v>
      </c>
      <c r="Q6" s="7">
        <f>SUMIFS(Lending!AA:AA,Lending!$C:$C,"Cashloan",Lending!$L:$L,$B$6)</f>
        <v>437036</v>
      </c>
    </row>
    <row r="7" spans="1:22">
      <c r="B7" s="282" t="s">
        <v>80</v>
      </c>
      <c r="C7" s="7">
        <f>SUMIFS(Lending!M:M,Lending!$C:$C,"Cashloan",Lending!$L:$L,$B$7)</f>
        <v>9609420730000</v>
      </c>
      <c r="D7" s="7">
        <f>SUMIFS(Lending!N:N,Lending!$C:$C,"Cashloan",Lending!$L:$L,$B$7)</f>
        <v>335767620000</v>
      </c>
      <c r="E7" s="7">
        <f>SUMIFS(Lending!O:O,Lending!$C:$C,"Cashloan",Lending!$L:$L,$B$7)</f>
        <v>364065330000</v>
      </c>
      <c r="F7" s="7">
        <f>SUMIFS(Lending!P:P,Lending!$C:$C,"Cashloan",Lending!$L:$L,$B$7)</f>
        <v>357049950000</v>
      </c>
      <c r="G7" s="7">
        <f>SUMIFS(Lending!Q:Q,Lending!$C:$C,"Cashloan",Lending!$L:$L,$B$7)</f>
        <v>266708210000</v>
      </c>
      <c r="H7" s="7">
        <f>SUMIFS(Lending!R:R,Lending!$C:$C,"Cashloan",Lending!$L:$L,$B$7)</f>
        <v>412641920000</v>
      </c>
      <c r="I7" s="7">
        <f>SUMIFS(Lending!S:S,Lending!$C:$C,"Cashloan",Lending!$L:$L,$B$7)</f>
        <v>519905010000</v>
      </c>
      <c r="J7" s="7">
        <f>SUMIFS(Lending!T:T,Lending!$C:$C,"Cashloan",Lending!$L:$L,$B$7)</f>
        <v>553555290000</v>
      </c>
      <c r="K7" s="7">
        <f>SUMIFS(Lending!U:U,Lending!$C:$C,"Cashloan",Lending!$L:$L,$B$7)</f>
        <v>640594980000</v>
      </c>
      <c r="L7" s="7">
        <f>SUMIFS(Lending!V:V,Lending!$C:$C,"Cashloan",Lending!$L:$L,$B$7)</f>
        <v>913801540000</v>
      </c>
      <c r="M7" s="7">
        <f>SUMIFS(Lending!W:W,Lending!$C:$C,"Cashloan",Lending!$L:$L,$B$7)</f>
        <v>847454320000</v>
      </c>
      <c r="N7" s="7">
        <f>SUMIFS(Lending!X:X,Lending!$C:$C,"Cashloan",Lending!$L:$L,$B$7)</f>
        <v>1159826780000</v>
      </c>
      <c r="O7" s="7">
        <f>SUMIFS(Lending!Y:Y,Lending!$C:$C,"Cashloan",Lending!$L:$L,$B$7)</f>
        <v>1240752810000</v>
      </c>
      <c r="P7" s="7">
        <f>SUMIFS(Lending!Z:Z,Lending!$C:$C,"Cashloan",Lending!$L:$L,$B$7)</f>
        <v>1332395440000</v>
      </c>
      <c r="Q7" s="7">
        <f>SUMIFS(Lending!AA:AA,Lending!$C:$C,"Cashloan",Lending!$L:$L,$B$7)</f>
        <v>1364734480000</v>
      </c>
      <c r="S7" s="34">
        <f t="shared" ref="S7:S16" si="0">O7-N7</f>
        <v>80926030000</v>
      </c>
      <c r="T7" s="7">
        <v>786221040000</v>
      </c>
      <c r="U7" s="80">
        <f>T7/N7</f>
        <v>0.67787798450385839</v>
      </c>
      <c r="V7" s="34">
        <f>T7+408000000000</f>
        <v>1194221040000</v>
      </c>
    </row>
    <row r="8" spans="1:22">
      <c r="B8" s="282" t="s">
        <v>528</v>
      </c>
      <c r="C8" s="7">
        <f>SUMIFS(Lending!M:M,Lending!$C:$C,"Cashloan",Lending!$L:$L,$B$8)</f>
        <v>7625882860000</v>
      </c>
      <c r="D8" s="7">
        <f>SUMIFS(Lending!N:N,Lending!$C:$C,"Cashloan",Lending!$L:$L,$B$8)</f>
        <v>291243060000</v>
      </c>
      <c r="E8" s="7">
        <f>SUMIFS(Lending!O:O,Lending!$C:$C,"Cashloan",Lending!$L:$L,$B$8)</f>
        <v>311187930000</v>
      </c>
      <c r="F8" s="7">
        <f>SUMIFS(Lending!P:P,Lending!$C:$C,"Cashloan",Lending!$L:$L,$B$8)</f>
        <v>302741950000</v>
      </c>
      <c r="G8" s="7">
        <f>SUMIFS(Lending!Q:Q,Lending!$C:$C,"Cashloan",Lending!$L:$L,$B$8)</f>
        <v>216696210000</v>
      </c>
      <c r="H8" s="7">
        <f>SUMIFS(Lending!R:R,Lending!$C:$C,"Cashloan",Lending!$L:$L,$B$8)</f>
        <v>338150920000</v>
      </c>
      <c r="I8" s="7">
        <f>SUMIFS(Lending!S:S,Lending!$C:$C,"Cashloan",Lending!$L:$L,$B$8)</f>
        <v>424295110000</v>
      </c>
      <c r="J8" s="7">
        <f>SUMIFS(Lending!T:T,Lending!$C:$C,"Cashloan",Lending!$L:$L,$B$8)</f>
        <v>426052290000</v>
      </c>
      <c r="K8" s="7">
        <f>SUMIFS(Lending!U:U,Lending!$C:$C,"Cashloan",Lending!$L:$L,$B$8)</f>
        <v>504955580000</v>
      </c>
      <c r="L8" s="7">
        <f>SUMIFS(Lending!V:V,Lending!$C:$C,"Cashloan",Lending!$L:$L,$B$8)</f>
        <v>723445280000</v>
      </c>
      <c r="M8" s="7">
        <f>SUMIFS(Lending!W:W,Lending!$C:$C,"Cashloan",Lending!$L:$L,$B$8)</f>
        <v>665409320000</v>
      </c>
      <c r="N8" s="7">
        <f>SUMIFS(Lending!X:X,Lending!$C:$C,"Cashloan",Lending!$L:$L,$B$8)</f>
        <v>926047780000</v>
      </c>
      <c r="O8" s="7">
        <f>SUMIFS(Lending!Y:Y,Lending!$C:$C,"Cashloan",Lending!$L:$L,$B$8)</f>
        <v>950732750000</v>
      </c>
      <c r="P8" s="7">
        <f>SUMIFS(Lending!Z:Z,Lending!$C:$C,"Cashloan",Lending!$L:$L,$B$8)</f>
        <v>1081518440000</v>
      </c>
      <c r="Q8" s="7">
        <f>SUMIFS(Lending!AA:AA,Lending!$C:$C,"Cashloan",Lending!$L:$L,$B$8)</f>
        <v>1086726480000</v>
      </c>
      <c r="R8" s="7"/>
      <c r="S8" s="34">
        <f t="shared" si="0"/>
        <v>24684970000</v>
      </c>
    </row>
    <row r="9" spans="1:22">
      <c r="B9" s="282" t="s">
        <v>529</v>
      </c>
      <c r="C9" s="7">
        <f>SUMIFS(Lending!M:M,Lending!$C:$C,"Cashloan",Lending!$L:$L,$B$9)</f>
        <v>1958356620000</v>
      </c>
      <c r="D9" s="7">
        <f>SUMIFS(Lending!N:N,Lending!$C:$C,"Cashloan",Lending!$L:$L,$B$9)</f>
        <v>44524560000</v>
      </c>
      <c r="E9" s="7">
        <f>SUMIFS(Lending!O:O,Lending!$C:$C,"Cashloan",Lending!$L:$L,$B$9)</f>
        <v>52877400000</v>
      </c>
      <c r="F9" s="7">
        <f>SUMIFS(Lending!P:P,Lending!$C:$C,"Cashloan",Lending!$L:$L,$B$9)</f>
        <v>54308000000</v>
      </c>
      <c r="G9" s="7">
        <f>SUMIFS(Lending!Q:Q,Lending!$C:$C,"Cashloan",Lending!$L:$L,$B$9)</f>
        <v>50012000000</v>
      </c>
      <c r="H9" s="7">
        <f>SUMIFS(Lending!R:R,Lending!$C:$C,"Cashloan",Lending!$L:$L,$B$9)</f>
        <v>74491000000</v>
      </c>
      <c r="I9" s="7">
        <f>SUMIFS(Lending!S:S,Lending!$C:$C,"Cashloan",Lending!$L:$L,$B$9)</f>
        <v>95609900000</v>
      </c>
      <c r="J9" s="7">
        <f>SUMIFS(Lending!T:T,Lending!$C:$C,"Cashloan",Lending!$L:$L,$B$9)</f>
        <v>127503000000</v>
      </c>
      <c r="K9" s="7">
        <f>SUMIFS(Lending!U:U,Lending!$C:$C,"Cashloan",Lending!$L:$L,$B$9)</f>
        <v>135639400000</v>
      </c>
      <c r="L9" s="7">
        <f>SUMIFS(Lending!V:V,Lending!$C:$C,"Cashloan",Lending!$L:$L,$B$9)</f>
        <v>190356260000</v>
      </c>
      <c r="M9" s="7">
        <f>SUMIFS(Lending!W:W,Lending!$C:$C,"Cashloan",Lending!$L:$L,$B$9)</f>
        <v>182045000000</v>
      </c>
      <c r="N9" s="7">
        <f>SUMIFS(Lending!X:X,Lending!$C:$C,"Cashloan",Lending!$L:$L,$B$9)</f>
        <v>233779000000</v>
      </c>
      <c r="O9" s="7">
        <f>SUMIFS(Lending!Y:Y,Lending!$C:$C,"Cashloan",Lending!$L:$L,$B$9)</f>
        <v>290020060000</v>
      </c>
      <c r="P9" s="7">
        <f>SUMIFS(Lending!Z:Z,Lending!$C:$C,"Cashloan",Lending!$L:$L,$B$9)</f>
        <v>250877000000</v>
      </c>
      <c r="Q9" s="7">
        <f>SUMIFS(Lending!AA:AA,Lending!$C:$C,"Cashloan",Lending!$L:$L,$B$9)</f>
        <v>278008000000</v>
      </c>
      <c r="S9" s="34">
        <f t="shared" si="0"/>
        <v>56241060000</v>
      </c>
    </row>
    <row r="10" spans="1:22">
      <c r="B10" s="282" t="s">
        <v>530</v>
      </c>
      <c r="C10" s="7">
        <f>SUMIFS(Lending!M:M,Lending!$C:$C,"Cashloan",Lending!$L:$L,$B$10)</f>
        <v>5801043211856</v>
      </c>
      <c r="D10" s="7">
        <f>SUMIFS(Lending!N:N,Lending!$C:$C,"Cashloan",Lending!$L:$L,$B$10)</f>
        <v>1663126743373</v>
      </c>
      <c r="E10" s="7">
        <f>SUMIFS(Lending!O:O,Lending!$C:$C,"Cashloan",Lending!$L:$L,$B$10)</f>
        <v>1777969373344</v>
      </c>
      <c r="F10" s="7">
        <f>SUMIFS(Lending!P:P,Lending!$C:$C,"Cashloan",Lending!$L:$L,$B$10)</f>
        <v>1925258607912</v>
      </c>
      <c r="G10" s="7">
        <f>SUMIFS(Lending!Q:Q,Lending!$C:$C,"Cashloan",Lending!$L:$L,$B$10)</f>
        <v>1863369305036</v>
      </c>
      <c r="H10" s="7">
        <f>SUMIFS(Lending!R:R,Lending!$C:$C,"Cashloan",Lending!$L:$L,$B$10)</f>
        <v>1965791861879</v>
      </c>
      <c r="I10" s="7">
        <f>SUMIFS(Lending!S:S,Lending!$C:$C,"Cashloan",Lending!$L:$L,$B$10)</f>
        <v>2160337019148</v>
      </c>
      <c r="J10" s="7">
        <f>SUMIFS(Lending!T:T,Lending!$C:$C,"Cashloan",Lending!$L:$L,$B$10)</f>
        <v>2375869757903</v>
      </c>
      <c r="K10" s="7">
        <f>SUMIFS(Lending!U:U,Lending!$C:$C,"Cashloan",Lending!$L:$L,$B$10)</f>
        <v>2609472318688</v>
      </c>
      <c r="L10" s="7">
        <f>SUMIFS(Lending!V:V,Lending!$C:$C,"Cashloan",Lending!$L:$L,$B$10)</f>
        <v>3086423146685</v>
      </c>
      <c r="M10" s="7">
        <f>SUMIFS(Lending!W:W,Lending!$C:$C,"Cashloan",Lending!$L:$L,$B$10)</f>
        <v>3452860964931</v>
      </c>
      <c r="N10" s="7">
        <f>SUMIFS(Lending!X:X,Lending!$C:$C,"Cashloan",Lending!$L:$L,$B$10)</f>
        <v>4048757088147</v>
      </c>
      <c r="O10" s="7">
        <f>SUMIFS(Lending!Y:Y,Lending!$C:$C,"Cashloan",Lending!$L:$L,$B$10)</f>
        <v>4622143666120</v>
      </c>
      <c r="P10" s="7">
        <f>SUMIFS(Lending!Z:Z,Lending!$C:$C,"Cashloan",Lending!$L:$L,$B$10)</f>
        <v>5243982808103</v>
      </c>
      <c r="Q10" s="7">
        <f>SUMIFS(Lending!AA:AA,Lending!$C:$C,"Cashloan",Lending!$L:$L,$B$10)</f>
        <v>5801043211856</v>
      </c>
      <c r="R10" s="34"/>
      <c r="S10" s="34">
        <f t="shared" si="0"/>
        <v>573386577973</v>
      </c>
    </row>
    <row r="11" spans="1:22">
      <c r="B11" s="1103" t="s">
        <v>531</v>
      </c>
      <c r="C11" s="7">
        <f>SUMIFS(Lending!M:M,Lending!$C:$C,"Cashloan",Lending!$L:$L,$B$11)</f>
        <v>5306887330882</v>
      </c>
      <c r="D11" s="7">
        <f>SUMIFS(Lending!N:N,Lending!$C:$C,"Cashloan",Lending!$L:$L,$B$11)</f>
        <v>1550803804761</v>
      </c>
      <c r="E11" s="7">
        <f>SUMIFS(Lending!O:O,Lending!$C:$C,"Cashloan",Lending!$L:$L,$B$11)</f>
        <v>1668386212988</v>
      </c>
      <c r="F11" s="7">
        <f>SUMIFS(Lending!P:P,Lending!$C:$C,"Cashloan",Lending!$L:$L,$B$11)</f>
        <v>1806698117106</v>
      </c>
      <c r="G11" s="7">
        <f>SUMIFS(Lending!Q:Q,Lending!$C:$C,"Cashloan",Lending!$L:$L,$B$11)</f>
        <v>1773690054305</v>
      </c>
      <c r="H11" s="7">
        <f>SUMIFS(Lending!R:R,Lending!$C:$C,"Cashloan",Lending!$L:$L,$B$11)</f>
        <v>1867422519304</v>
      </c>
      <c r="I11" s="7">
        <f>SUMIFS(Lending!S:S,Lending!$C:$C,"Cashloan",Lending!$L:$L,$B$11)</f>
        <v>2054988998816</v>
      </c>
      <c r="J11" s="7">
        <f>SUMIFS(Lending!T:T,Lending!$C:$C,"Cashloan",Lending!$L:$L,$B$11)</f>
        <v>2265472472406</v>
      </c>
      <c r="K11" s="7">
        <f>SUMIFS(Lending!U:U,Lending!$C:$C,"Cashloan",Lending!$L:$L,$B$11)</f>
        <v>2503048824216</v>
      </c>
      <c r="L11" s="7">
        <f>SUMIFS(Lending!V:V,Lending!$C:$C,"Cashloan",Lending!$L:$L,$B$11)</f>
        <v>2971699864499</v>
      </c>
      <c r="M11" s="7">
        <f>SUMIFS(Lending!W:W,Lending!$C:$C,"Cashloan",Lending!$L:$L,$B$11)</f>
        <v>3334425331978</v>
      </c>
      <c r="N11" s="7">
        <f>SUMIFS(Lending!X:X,Lending!$C:$C,"Cashloan",Lending!$L:$L,$B$11)</f>
        <v>3926011621012</v>
      </c>
      <c r="O11" s="7">
        <f>SUMIFS(Lending!Y:Y,Lending!$C:$C,"Cashloan",Lending!$L:$L,$B$11)</f>
        <v>4496434509157</v>
      </c>
      <c r="P11" s="7">
        <f>SUMIFS(Lending!Z:Z,Lending!$C:$C,"Cashloan",Lending!$L:$L,$B$11)</f>
        <v>5111613146030</v>
      </c>
      <c r="Q11" s="7">
        <f>SUMIFS(Lending!AA:AA,Lending!$C:$C,"Cashloan",Lending!$L:$L,$B$11)</f>
        <v>5663713141268</v>
      </c>
      <c r="R11" s="281"/>
      <c r="S11" s="34">
        <f t="shared" si="0"/>
        <v>570422888145</v>
      </c>
    </row>
    <row r="12" spans="1:22">
      <c r="B12" s="1103" t="s">
        <v>532</v>
      </c>
      <c r="C12" s="7">
        <f>SUMIFS(Lending!M:M,Lending!$C:$C,"Cashloan",Lending!$L:$L,$B$12)</f>
        <v>137492360575</v>
      </c>
      <c r="D12" s="7">
        <f>SUMIFS(Lending!N:N,Lending!$C:$C,"Cashloan",Lending!$L:$L,$B$12)</f>
        <v>112322938612</v>
      </c>
      <c r="E12" s="7">
        <f>SUMIFS(Lending!O:O,Lending!$C:$C,"Cashloan",Lending!$L:$L,$B$12)</f>
        <v>109583160356</v>
      </c>
      <c r="F12" s="7">
        <f>SUMIFS(Lending!P:P,Lending!$C:$C,"Cashloan",Lending!$L:$L,$B$12)</f>
        <v>118560490806</v>
      </c>
      <c r="G12" s="7">
        <f>SUMIFS(Lending!Q:Q,Lending!$C:$C,"Cashloan",Lending!$L:$L,$B$12)</f>
        <v>89679250731</v>
      </c>
      <c r="H12" s="7">
        <f>SUMIFS(Lending!R:R,Lending!$C:$C,"Cashloan",Lending!$L:$L,$B$12)</f>
        <v>98369342575</v>
      </c>
      <c r="I12" s="7">
        <f>SUMIFS(Lending!S:S,Lending!$C:$C,"Cashloan",Lending!$L:$L,$B$12)</f>
        <v>105348020332</v>
      </c>
      <c r="J12" s="7">
        <f>SUMIFS(Lending!T:T,Lending!$C:$C,"Cashloan",Lending!$L:$L,$B$12)</f>
        <v>110397285497</v>
      </c>
      <c r="K12" s="7">
        <f>SUMIFS(Lending!U:U,Lending!$C:$C,"Cashloan",Lending!$L:$L,$B$12)</f>
        <v>106423494472</v>
      </c>
      <c r="L12" s="7">
        <f>SUMIFS(Lending!V:V,Lending!$C:$C,"Cashloan",Lending!$L:$L,$B$12)</f>
        <v>114723282186</v>
      </c>
      <c r="M12" s="7">
        <f>SUMIFS(Lending!W:W,Lending!$C:$C,"Cashloan",Lending!$L:$L,$B$12)</f>
        <v>118435632953</v>
      </c>
      <c r="N12" s="7">
        <f>SUMIFS(Lending!X:X,Lending!$C:$C,"Cashloan",Lending!$L:$L,$B$12)</f>
        <v>122745467135</v>
      </c>
      <c r="O12" s="7">
        <f>SUMIFS(Lending!Y:Y,Lending!$C:$C,"Cashloan",Lending!$L:$L,$B$12)</f>
        <v>125709156963</v>
      </c>
      <c r="P12" s="7">
        <f>SUMIFS(Lending!Z:Z,Lending!$C:$C,"Cashloan",Lending!$L:$L,$B$12)</f>
        <v>132369662073</v>
      </c>
      <c r="Q12" s="7">
        <f>SUMIFS(Lending!AA:AA,Lending!$C:$C,"Cashloan",Lending!$L:$L,$B$12)</f>
        <v>137330070588</v>
      </c>
      <c r="S12" s="34">
        <f t="shared" si="0"/>
        <v>2963689828</v>
      </c>
    </row>
    <row r="13" spans="1:22">
      <c r="A13" s="1077" t="s">
        <v>711</v>
      </c>
      <c r="B13" s="1052" t="s">
        <v>533</v>
      </c>
      <c r="C13" s="7">
        <f>SUMIFS(Lending!M:M,Lending!$C:$C,"Cashloan",Lending!$L:$L,$B$13)</f>
        <v>794261487</v>
      </c>
      <c r="D13" s="7">
        <f>SUMIFS(Lending!N:N,Lending!$C:$C,"Cashloan",Lending!$L:$L,$B$13)</f>
        <v>160907357206</v>
      </c>
      <c r="E13" s="7">
        <f>SUMIFS(Lending!O:O,Lending!$C:$C,"Cashloan",Lending!$L:$L,$B$13)</f>
        <v>165806451797</v>
      </c>
      <c r="F13" s="7">
        <f>SUMIFS(Lending!P:P,Lending!$C:$C,"Cashloan",Lending!$L:$L,$B$13)</f>
        <v>196474090124</v>
      </c>
      <c r="G13" s="7">
        <f>SUMIFS(Lending!Q:Q,Lending!$C:$C,"Cashloan",Lending!$L:$L,$B$13)</f>
        <v>159498021387</v>
      </c>
      <c r="H13" s="7">
        <f>SUMIFS(Lending!R:R,Lending!$C:$C,"Cashloan",Lending!$L:$L,$B$13)</f>
        <v>166489453988</v>
      </c>
      <c r="I13" s="7">
        <f>SUMIFS(Lending!S:S,Lending!$C:$C,"Cashloan",Lending!$L:$L,$B$13)</f>
        <v>169768390267</v>
      </c>
      <c r="J13" s="7">
        <f>SUMIFS(Lending!T:T,Lending!$C:$C,"Cashloan",Lending!$L:$L,$B$13)</f>
        <v>184528189688</v>
      </c>
      <c r="K13" s="7">
        <f>SUMIFS(Lending!U:U,Lending!$C:$C,"Cashloan",Lending!$L:$L,$B$13)</f>
        <v>170054030576</v>
      </c>
      <c r="L13" s="7">
        <f>SUMIFS(Lending!V:V,Lending!$C:$C,"Cashloan",Lending!$L:$L,$B$13)</f>
        <v>180627825398</v>
      </c>
      <c r="M13" s="7">
        <f>SUMIFS(Lending!W:W,Lending!$C:$C,"Cashloan",Lending!$L:$L,$B$13)</f>
        <v>183698893731</v>
      </c>
      <c r="N13" s="7">
        <f>SUMIFS(Lending!X:X,Lending!$C:$C,"Cashloan",Lending!$L:$L,$B$13)</f>
        <v>187235667719</v>
      </c>
      <c r="O13" s="7">
        <f>SUMIFS(Lending!Y:Y,Lending!$C:$C,"Cashloan",Lending!$L:$L,$B$13)</f>
        <v>187977536311</v>
      </c>
      <c r="P13" s="7">
        <f>SUMIFS(Lending!Z:Z,Lending!$C:$C,"Cashloan",Lending!$L:$L,$B$13)</f>
        <v>199287961443</v>
      </c>
      <c r="Q13" s="7">
        <f>SUMIFS(Lending!AA:AA,Lending!$C:$C,"Cashloan",Lending!$L:$L,$B$13)</f>
        <v>208878694082</v>
      </c>
      <c r="S13" s="34">
        <f t="shared" si="0"/>
        <v>741868592</v>
      </c>
    </row>
    <row r="14" spans="1:22">
      <c r="A14" s="1109" t="s">
        <v>712</v>
      </c>
      <c r="B14" s="282" t="s">
        <v>534</v>
      </c>
      <c r="C14" s="7">
        <f>SUMIFS(Lending!M:M,Lending!$C:$C,"Cashloan",Lending!$L:$L,$B$14)</f>
        <v>1462757346</v>
      </c>
      <c r="D14" s="7">
        <f>SUMIFS(Lending!N:N,Lending!$C:$C,"Cashloan",Lending!$L:$L,$B$14)</f>
        <v>335764760854</v>
      </c>
      <c r="E14" s="7">
        <f>SUMIFS(Lending!O:O,Lending!$C:$C,"Cashloan",Lending!$L:$L,$B$14)</f>
        <v>374519000688</v>
      </c>
      <c r="F14" s="7">
        <f>SUMIFS(Lending!P:P,Lending!$C:$C,"Cashloan",Lending!$L:$L,$B$14)</f>
        <v>391925371208</v>
      </c>
      <c r="G14" s="7">
        <f>SUMIFS(Lending!Q:Q,Lending!$C:$C,"Cashloan",Lending!$L:$L,$B$14)</f>
        <v>359401097701</v>
      </c>
      <c r="H14" s="7">
        <f>SUMIFS(Lending!R:R,Lending!$C:$C,"Cashloan",Lending!$L:$L,$B$14)</f>
        <v>388504588317</v>
      </c>
      <c r="I14" s="7">
        <f>SUMIFS(Lending!S:S,Lending!$C:$C,"Cashloan",Lending!$L:$L,$B$14)</f>
        <v>376230784944</v>
      </c>
      <c r="J14" s="7">
        <f>SUMIFS(Lending!T:T,Lending!$C:$C,"Cashloan",Lending!$L:$L,$B$14)</f>
        <v>395277948891</v>
      </c>
      <c r="K14" s="7">
        <f>SUMIFS(Lending!U:U,Lending!$C:$C,"Cashloan",Lending!$L:$L,$B$14)</f>
        <v>433474466401</v>
      </c>
      <c r="L14" s="7">
        <f>SUMIFS(Lending!V:V,Lending!$C:$C,"Cashloan",Lending!$L:$L,$B$14)</f>
        <v>468433383375</v>
      </c>
      <c r="M14" s="7">
        <f>SUMIFS(Lending!W:W,Lending!$C:$C,"Cashloan",Lending!$L:$L,$B$14)</f>
        <v>508897645413</v>
      </c>
      <c r="N14" s="7">
        <f>SUMIFS(Lending!X:X,Lending!$C:$C,"Cashloan",Lending!$L:$L,$B$14)</f>
        <v>613862254791</v>
      </c>
      <c r="O14" s="7">
        <f>SUMIFS(Lending!Y:Y,Lending!$C:$C,"Cashloan",Lending!$L:$L,$B$14)</f>
        <v>642852185747</v>
      </c>
      <c r="P14" s="7">
        <f>SUMIFS(Lending!Z:Z,Lending!$C:$C,"Cashloan",Lending!$L:$L,$B$14)</f>
        <v>726885288136</v>
      </c>
      <c r="Q14" s="7">
        <f>SUMIFS(Lending!AA:AA,Lending!$C:$C,"Cashloan",Lending!$L:$L,$B$14)</f>
        <v>880031767869</v>
      </c>
      <c r="S14" s="34">
        <f t="shared" si="0"/>
        <v>28989930956</v>
      </c>
    </row>
    <row r="15" spans="1:22">
      <c r="A15" s="1077" t="s">
        <v>713</v>
      </c>
      <c r="B15" s="282" t="s">
        <v>535</v>
      </c>
      <c r="C15" s="7">
        <f>SUMIFS(Lending!M:M,Lending!$C:$C,"Cashloan",Lending!$L:$L,$B$15)</f>
        <v>957953139</v>
      </c>
      <c r="D15" s="7">
        <f>SUMIFS(Lending!N:N,Lending!$C:$C,"Cashloan",Lending!$L:$L,$B$15)</f>
        <v>173686686026</v>
      </c>
      <c r="E15" s="7">
        <f>SUMIFS(Lending!O:O,Lending!$C:$C,"Cashloan",Lending!$L:$L,$B$15)</f>
        <v>189009112062</v>
      </c>
      <c r="F15" s="7">
        <f>SUMIFS(Lending!P:P,Lending!$C:$C,"Cashloan",Lending!$L:$L,$B$15)</f>
        <v>212187275298</v>
      </c>
      <c r="G15" s="7">
        <f>SUMIFS(Lending!Q:Q,Lending!$C:$C,"Cashloan",Lending!$L:$L,$B$15)</f>
        <v>176276090757</v>
      </c>
      <c r="H15" s="7">
        <f>SUMIFS(Lending!R:R,Lending!$C:$C,"Cashloan",Lending!$L:$L,$B$15)</f>
        <v>195314798295</v>
      </c>
      <c r="I15" s="7">
        <f>SUMIFS(Lending!S:S,Lending!$C:$C,"Cashloan",Lending!$L:$L,$B$15)</f>
        <v>191323086513</v>
      </c>
      <c r="J15" s="7">
        <f>SUMIFS(Lending!T:T,Lending!$C:$C,"Cashloan",Lending!$L:$L,$B$15)</f>
        <v>205504392912</v>
      </c>
      <c r="K15" s="7">
        <f>SUMIFS(Lending!U:U,Lending!$C:$C,"Cashloan",Lending!$L:$L,$B$15)</f>
        <v>208538288108</v>
      </c>
      <c r="L15" s="7">
        <f>SUMIFS(Lending!V:V,Lending!$C:$C,"Cashloan",Lending!$L:$L,$B$15)</f>
        <v>206160349581</v>
      </c>
      <c r="M15" s="7">
        <f>SUMIFS(Lending!W:W,Lending!$C:$C,"Cashloan",Lending!$L:$L,$B$15)</f>
        <v>211157620098</v>
      </c>
      <c r="N15" s="7">
        <f>SUMIFS(Lending!X:X,Lending!$C:$C,"Cashloan",Lending!$L:$L,$B$15)</f>
        <v>236824370871</v>
      </c>
      <c r="O15" s="7">
        <f>SUMIFS(Lending!Y:Y,Lending!$C:$C,"Cashloan",Lending!$L:$L,$B$15)</f>
        <v>218465561296</v>
      </c>
      <c r="P15" s="7">
        <f>SUMIFS(Lending!Z:Z,Lending!$C:$C,"Cashloan",Lending!$L:$L,$B$15)</f>
        <v>235910102402</v>
      </c>
      <c r="Q15" s="7">
        <f>SUMIFS(Lending!AA:AA,Lending!$C:$C,"Cashloan",Lending!$L:$L,$B$15)</f>
        <v>282921377722</v>
      </c>
      <c r="S15" s="34">
        <f t="shared" si="0"/>
        <v>-18358809575</v>
      </c>
    </row>
    <row r="16" spans="1:22">
      <c r="A16" s="1109" t="s">
        <v>714</v>
      </c>
      <c r="B16" s="282" t="s">
        <v>536</v>
      </c>
      <c r="C16" s="7">
        <f>SUMIFS(Lending!M:M,Lending!$C:$C,"Cashloan",Lending!$L:$L,$B$16)</f>
        <v>504804207</v>
      </c>
      <c r="D16" s="7">
        <f>SUMIFS(Lending!N:N,Lending!$C:$C,"Cashloan",Lending!$L:$L,$B$16)</f>
        <v>162078074828</v>
      </c>
      <c r="E16" s="7">
        <f>SUMIFS(Lending!O:O,Lending!$C:$C,"Cashloan",Lending!$L:$L,$B$16)</f>
        <v>185261437220</v>
      </c>
      <c r="F16" s="7">
        <f>SUMIFS(Lending!P:P,Lending!$C:$C,"Cashloan",Lending!$L:$L,$B$16)</f>
        <v>179738095910</v>
      </c>
      <c r="G16" s="7">
        <f>SUMIFS(Lending!Q:Q,Lending!$C:$C,"Cashloan",Lending!$L:$L,$B$16)</f>
        <v>183125006944</v>
      </c>
      <c r="H16" s="7">
        <f>SUMIFS(Lending!R:R,Lending!$C:$C,"Cashloan",Lending!$L:$L,$B$16)</f>
        <v>193189790022</v>
      </c>
      <c r="I16" s="7">
        <f>SUMIFS(Lending!S:S,Lending!$C:$C,"Cashloan",Lending!$L:$L,$B$16)</f>
        <v>184907698431</v>
      </c>
      <c r="J16" s="7">
        <f>SUMIFS(Lending!T:T,Lending!$C:$C,"Cashloan",Lending!$L:$L,$B$16)</f>
        <v>189773555979</v>
      </c>
      <c r="K16" s="7">
        <f>SUMIFS(Lending!U:U,Lending!$C:$C,"Cashloan",Lending!$L:$L,$B$16)</f>
        <v>224936178293</v>
      </c>
      <c r="L16" s="7">
        <f>SUMIFS(Lending!V:V,Lending!$C:$C,"Cashloan",Lending!$L:$L,$B$16)</f>
        <v>262273033794</v>
      </c>
      <c r="M16" s="7">
        <f>SUMIFS(Lending!W:W,Lending!$C:$C,"Cashloan",Lending!$L:$L,$B$16)</f>
        <v>297740025315</v>
      </c>
      <c r="N16" s="7">
        <f>SUMIFS(Lending!X:X,Lending!$C:$C,"Cashloan",Lending!$L:$L,$B$16)</f>
        <v>377037883920</v>
      </c>
      <c r="O16" s="7">
        <f>SUMIFS(Lending!Y:Y,Lending!$C:$C,"Cashloan",Lending!$L:$L,$B$16)</f>
        <v>424168562599</v>
      </c>
      <c r="P16" s="7">
        <f>SUMIFS(Lending!Z:Z,Lending!$C:$C,"Cashloan",Lending!$L:$L,$B$16)</f>
        <v>490111345594</v>
      </c>
      <c r="Q16" s="7">
        <f>SUMIFS(Lending!AA:AA,Lending!$C:$C,"Cashloan",Lending!$L:$L,$B$16)</f>
        <v>594421514140</v>
      </c>
      <c r="S16" s="34">
        <f t="shared" si="0"/>
        <v>47130678679</v>
      </c>
    </row>
    <row r="17" spans="1:26" s="306" customFormat="1">
      <c r="B17" s="282" t="s">
        <v>537</v>
      </c>
      <c r="C17" s="307"/>
      <c r="D17" s="7">
        <f>SUMIFS(Lending!M:M,Lending!C:C,"Cashloan",Lending!L:L,B17)</f>
        <v>0</v>
      </c>
      <c r="E17" s="305"/>
      <c r="F17" s="305"/>
      <c r="G17" s="305"/>
      <c r="H17" s="305"/>
      <c r="I17" s="305"/>
      <c r="J17" s="307"/>
      <c r="K17" s="307"/>
      <c r="L17" s="307"/>
      <c r="P17" s="305"/>
      <c r="Q17" s="305"/>
    </row>
    <row r="18" spans="1:26" s="306" customFormat="1">
      <c r="B18" s="282" t="s">
        <v>538</v>
      </c>
      <c r="C18" s="307"/>
      <c r="D18" s="7">
        <f>SUMIFS(Lending!M:M,Lending!C:C,"Cashloan",Lending!L:L,B18)</f>
        <v>0</v>
      </c>
      <c r="E18" s="305"/>
      <c r="F18" s="305"/>
      <c r="G18" s="305"/>
      <c r="H18" s="305"/>
      <c r="I18" s="305"/>
      <c r="J18" s="307"/>
      <c r="K18" s="307"/>
      <c r="L18" s="307"/>
      <c r="P18" s="305"/>
      <c r="Q18" s="305"/>
    </row>
    <row r="19" spans="1:26" s="4" customFormat="1">
      <c r="B19" s="1051" t="s">
        <v>217</v>
      </c>
      <c r="C19" s="47">
        <f>SUMIFS(Lending!M:M,Lending!$C:$C,"Cashloan",Lending!$L:$L,$B$19)</f>
        <v>1678459947537.6726</v>
      </c>
      <c r="D19" s="47">
        <f>SUMIFS(Lending!N:N,Lending!$C:$C,"Cashloan",Lending!$L:$L,$B$19)</f>
        <v>61497119899</v>
      </c>
      <c r="E19" s="47">
        <f>SUMIFS(Lending!O:O,Lending!$C:$C,"Cashloan",Lending!$L:$L,$B$19)</f>
        <v>67274444903</v>
      </c>
      <c r="F19" s="47">
        <f>SUMIFS(Lending!P:P,Lending!$C:$C,"Cashloan",Lending!$L:$L,$B$19)</f>
        <v>72448128470</v>
      </c>
      <c r="G19" s="47">
        <f>SUMIFS(Lending!Q:Q,Lending!$C:$C,"Cashloan",Lending!$L:$L,$B$19)</f>
        <v>63843469607</v>
      </c>
      <c r="H19" s="47">
        <f>SUMIFS(Lending!R:R,Lending!$C:$C,"Cashloan",Lending!$L:$L,$B$19)</f>
        <v>79661951204.672684</v>
      </c>
      <c r="I19" s="47">
        <f>SUMIFS(Lending!S:S,Lending!$C:$C,"Cashloan",Lending!$L:$L,$B$19)</f>
        <v>89130890664</v>
      </c>
      <c r="J19" s="47">
        <f>SUMIFS(Lending!T:T,Lending!$C:$C,"Cashloan",Lending!$L:$L,$B$19)</f>
        <v>97491877976</v>
      </c>
      <c r="K19" s="47">
        <f>SUMIFS(Lending!U:U,Lending!$C:$C,"Cashloan",Lending!$L:$L,$B$19)</f>
        <v>111076867332</v>
      </c>
      <c r="L19" s="47">
        <f>SUMIFS(Lending!V:V,Lending!$C:$C,"Cashloan",Lending!$L:$L,$B$19)</f>
        <v>138762175721</v>
      </c>
      <c r="M19" s="47">
        <f>SUMIFS(Lending!W:W,Lending!$C:$C,"Cashloan",Lending!$L:$L,$B$19)</f>
        <v>153386458042</v>
      </c>
      <c r="N19" s="47">
        <f>SUMIFS(Lending!X:X,Lending!$C:$C,"Cashloan",Lending!$L:$L,$B$19)</f>
        <v>181781989110</v>
      </c>
      <c r="O19" s="47">
        <f>SUMIFS(Lending!Y:Y,Lending!$C:$C,"Cashloan",Lending!$L:$L,$B$19)</f>
        <v>211334001386</v>
      </c>
      <c r="P19" s="47">
        <f>SUMIFS(Lending!Z:Z,Lending!$C:$C,"Cashloan",Lending!$L:$L,$B$19)</f>
        <v>226629915235</v>
      </c>
      <c r="Q19" s="47">
        <f>SUMIFS(Lending!AA:AA,Lending!$C:$C,"Cashloan",Lending!$L:$L,$B$19)</f>
        <v>252912222790</v>
      </c>
      <c r="S19" s="81">
        <f>O19-N19</f>
        <v>29552012276</v>
      </c>
      <c r="T19" s="81">
        <f>N19-M19</f>
        <v>28395531068</v>
      </c>
      <c r="U19" s="81">
        <f>M19-L19</f>
        <v>14624282321</v>
      </c>
    </row>
    <row r="20" spans="1:26" s="4" customFormat="1">
      <c r="B20" s="1055" t="s">
        <v>218</v>
      </c>
      <c r="C20" s="47">
        <f>SUMIFS(Lending!M:M,Lending!$C:$C,"Cashloan",Lending!$L:$L,$B$20)</f>
        <v>1105710226933.6726</v>
      </c>
      <c r="D20" s="47">
        <f>SUMIFS(Lending!N:N,Lending!$C:$C,"Cashloan",Lending!$L:$L,$B$20)</f>
        <v>42791779358</v>
      </c>
      <c r="E20" s="47">
        <f>SUMIFS(Lending!O:O,Lending!$C:$C,"Cashloan",Lending!$L:$L,$B$20)</f>
        <v>47221789360</v>
      </c>
      <c r="F20" s="47">
        <f>SUMIFS(Lending!P:P,Lending!$C:$C,"Cashloan",Lending!$L:$L,$B$20)</f>
        <v>52905172894</v>
      </c>
      <c r="G20" s="47">
        <f>SUMIFS(Lending!Q:Q,Lending!$C:$C,"Cashloan",Lending!$L:$L,$B$20)</f>
        <v>48964464533</v>
      </c>
      <c r="H20" s="47">
        <f>SUMIFS(Lending!R:R,Lending!$C:$C,"Cashloan",Lending!$L:$L,$B$20)</f>
        <v>56105890255.672668</v>
      </c>
      <c r="I20" s="47">
        <f>SUMIFS(Lending!S:S,Lending!$C:$C,"Cashloan",Lending!$L:$L,$B$20)</f>
        <v>59785776460</v>
      </c>
      <c r="J20" s="47">
        <f>SUMIFS(Lending!T:T,Lending!$C:$C,"Cashloan",Lending!$L:$L,$B$20)</f>
        <v>67939453398</v>
      </c>
      <c r="K20" s="47">
        <f>SUMIFS(Lending!U:U,Lending!$C:$C,"Cashloan",Lending!$L:$L,$B$20)</f>
        <v>73495097298</v>
      </c>
      <c r="L20" s="47">
        <f>SUMIFS(Lending!V:V,Lending!$C:$C,"Cashloan",Lending!$L:$L,$B$20)</f>
        <v>87751771705</v>
      </c>
      <c r="M20" s="47">
        <f>SUMIFS(Lending!W:W,Lending!$C:$C,"Cashloan",Lending!$L:$L,$B$20)</f>
        <v>101292392396</v>
      </c>
      <c r="N20" s="47">
        <f>SUMIFS(Lending!X:X,Lending!$C:$C,"Cashloan",Lending!$L:$L,$B$20)</f>
        <v>111845176219</v>
      </c>
      <c r="O20" s="47">
        <f>SUMIFS(Lending!Y:Y,Lending!$C:$C,"Cashloan",Lending!$L:$L,$B$20)</f>
        <v>133372337055</v>
      </c>
      <c r="P20" s="47">
        <f>SUMIFS(Lending!Z:Z,Lending!$C:$C,"Cashloan",Lending!$L:$L,$B$20)</f>
        <v>144710813748</v>
      </c>
      <c r="Q20" s="47">
        <f>SUMIFS(Lending!AA:AA,Lending!$C:$C,"Cashloan",Lending!$L:$L,$B$20)</f>
        <v>167541880972</v>
      </c>
      <c r="R20" s="81"/>
      <c r="Z20" s="4">
        <v>6459362775</v>
      </c>
    </row>
    <row r="21" spans="1:26">
      <c r="A21" s="126"/>
      <c r="B21" s="1104" t="s">
        <v>20</v>
      </c>
      <c r="C21" s="7">
        <f>SUMIFS(Lending!M:M,Lending!$C:$C,"Cashloan",Lending!$L:$L,$B$21)</f>
        <v>1322792791217</v>
      </c>
      <c r="D21" s="7">
        <f>SUMIFS(Lending!N:N,Lending!$C:$C,"Cashloan",Lending!$L:$L,$B$21)</f>
        <v>51497992410</v>
      </c>
      <c r="E21" s="7">
        <f>SUMIFS(Lending!O:O,Lending!$C:$C,"Cashloan",Lending!$L:$L,$B$21)</f>
        <v>56912007079</v>
      </c>
      <c r="F21" s="7">
        <f>SUMIFS(Lending!P:P,Lending!$C:$C,"Cashloan",Lending!$L:$L,$B$21)</f>
        <v>63292834343</v>
      </c>
      <c r="G21" s="7">
        <f>SUMIFS(Lending!Q:Q,Lending!$C:$C,"Cashloan",Lending!$L:$L,$B$21)</f>
        <v>58656532500</v>
      </c>
      <c r="H21" s="7">
        <f>SUMIFS(Lending!R:R,Lending!$C:$C,"Cashloan",Lending!$L:$L,$B$21)</f>
        <v>66792043318</v>
      </c>
      <c r="I21" s="7">
        <f>SUMIFS(Lending!S:S,Lending!$C:$C,"Cashloan",Lending!$L:$L,$B$21)</f>
        <v>70965264921</v>
      </c>
      <c r="J21" s="7">
        <f>SUMIFS(Lending!T:T,Lending!$C:$C,"Cashloan",Lending!$L:$L,$B$21)</f>
        <v>80640575196</v>
      </c>
      <c r="K21" s="7">
        <f>SUMIFS(Lending!U:U,Lending!$C:$C,"Cashloan",Lending!$L:$L,$B$21)</f>
        <v>87091876643</v>
      </c>
      <c r="L21" s="7">
        <f>SUMIFS(Lending!V:V,Lending!$C:$C,"Cashloan",Lending!$L:$L,$B$21)</f>
        <v>103985240627</v>
      </c>
      <c r="M21" s="7">
        <f>SUMIFS(Lending!W:W,Lending!$C:$C,"Cashloan",Lending!$L:$L,$B$21)</f>
        <v>120435719522</v>
      </c>
      <c r="N21" s="7">
        <f>SUMIFS(Lending!X:X,Lending!$C:$C,"Cashloan",Lending!$L:$L,$B$21)</f>
        <v>133463589720</v>
      </c>
      <c r="O21" s="7">
        <f>SUMIFS(Lending!Y:Y,Lending!$C:$C,"Cashloan",Lending!$L:$L,$B$21)</f>
        <v>160076722624</v>
      </c>
      <c r="P21" s="7">
        <f>SUMIFS(Lending!Z:Z,Lending!$C:$C,"Cashloan",Lending!$L:$L,$B$21)</f>
        <v>174424486579</v>
      </c>
      <c r="Q21" s="7">
        <f>SUMIFS(Lending!AA:AA,Lending!$C:$C,"Cashloan",Lending!$L:$L,$B$21)</f>
        <v>202967905224</v>
      </c>
      <c r="R21" s="126"/>
    </row>
    <row r="22" spans="1:26">
      <c r="A22" s="126"/>
      <c r="B22" s="1105" t="s">
        <v>539</v>
      </c>
      <c r="C22" s="7">
        <f>SUMIFS(Lending!M:M,Lending!$C:$C,"Cashloan",Lending!$L:$L,$B$22)</f>
        <v>1336532769089</v>
      </c>
      <c r="D22" s="7">
        <f>SUMIFS(Lending!N:N,Lending!$C:$C,"Cashloan",Lending!$L:$L,$B$22)</f>
        <v>52470653668</v>
      </c>
      <c r="E22" s="7">
        <f>SUMIFS(Lending!O:O,Lending!$C:$C,"Cashloan",Lending!$L:$L,$B$22)</f>
        <v>58283976917</v>
      </c>
      <c r="F22" s="7">
        <f>SUMIFS(Lending!P:P,Lending!$C:$C,"Cashloan",Lending!$L:$L,$B$22)</f>
        <v>63840787721</v>
      </c>
      <c r="G22" s="7">
        <f>SUMIFS(Lending!Q:Q,Lending!$C:$C,"Cashloan",Lending!$L:$L,$B$22)</f>
        <v>58044467459</v>
      </c>
      <c r="H22" s="7">
        <f>SUMIFS(Lending!R:R,Lending!$C:$C,"Cashloan",Lending!$L:$L,$B$22)</f>
        <v>66863802345</v>
      </c>
      <c r="I22" s="7">
        <f>SUMIFS(Lending!S:S,Lending!$C:$C,"Cashloan",Lending!$L:$L,$B$22)</f>
        <v>71396751577</v>
      </c>
      <c r="J22" s="7">
        <f>SUMIFS(Lending!T:T,Lending!$C:$C,"Cashloan",Lending!$L:$L,$B$22)</f>
        <v>81030987940</v>
      </c>
      <c r="K22" s="7">
        <f>SUMIFS(Lending!U:U,Lending!$C:$C,"Cashloan",Lending!$L:$L,$B$22)</f>
        <v>87589944410</v>
      </c>
      <c r="L22" s="7">
        <f>SUMIFS(Lending!V:V,Lending!$C:$C,"Cashloan",Lending!$L:$L,$B$22)</f>
        <v>106108627740</v>
      </c>
      <c r="M22" s="7">
        <f>SUMIFS(Lending!W:W,Lending!$C:$C,"Cashloan",Lending!$L:$L,$B$22)</f>
        <v>121377125554</v>
      </c>
      <c r="N22" s="7">
        <f>SUMIFS(Lending!X:X,Lending!$C:$C,"Cashloan",Lending!$L:$L,$B$22)</f>
        <v>135282451913</v>
      </c>
      <c r="O22" s="7">
        <f>SUMIFS(Lending!Y:Y,Lending!$C:$C,"Cashloan",Lending!$L:$L,$B$22)</f>
        <v>162501281874</v>
      </c>
      <c r="P22" s="7">
        <f>SUMIFS(Lending!Z:Z,Lending!$C:$C,"Cashloan",Lending!$L:$L,$B$22)</f>
        <v>177086225156</v>
      </c>
      <c r="Q22" s="7">
        <f>SUMIFS(Lending!AA:AA,Lending!$C:$C,"Cashloan",Lending!$L:$L,$B$22)</f>
        <v>205410315400</v>
      </c>
      <c r="R22" s="126"/>
    </row>
    <row r="23" spans="1:26">
      <c r="A23" s="34"/>
      <c r="B23" s="1105" t="s">
        <v>187</v>
      </c>
      <c r="C23" s="7">
        <f>SUMIFS(Lending!M:M,Lending!$C:$C,"Cashloan",Lending!$L:$L,$B$23)</f>
        <v>79389478684</v>
      </c>
      <c r="D23" s="7">
        <f>SUMIFS(Lending!N:N,Lending!$C:$C,"Cashloan",Lending!$L:$L,$B$23)</f>
        <v>7432024033</v>
      </c>
      <c r="E23" s="7">
        <f>SUMIFS(Lending!O:O,Lending!$C:$C,"Cashloan",Lending!$L:$L,$B$23)</f>
        <v>8803993871</v>
      </c>
      <c r="F23" s="7">
        <f>SUMIFS(Lending!P:P,Lending!$C:$C,"Cashloan",Lending!$L:$L,$B$23)</f>
        <v>9351947249</v>
      </c>
      <c r="G23" s="7">
        <f>SUMIFS(Lending!Q:Q,Lending!$C:$C,"Cashloan",Lending!$L:$L,$B$23)</f>
        <v>8739882208</v>
      </c>
      <c r="H23" s="7">
        <f>SUMIFS(Lending!R:R,Lending!$C:$C,"Cashloan",Lending!$L:$L,$B$23)</f>
        <v>8811641235</v>
      </c>
      <c r="I23" s="7">
        <f>SUMIFS(Lending!S:S,Lending!$C:$C,"Cashloan",Lending!$L:$L,$B$23)</f>
        <v>9243127891</v>
      </c>
      <c r="J23" s="7">
        <f>SUMIFS(Lending!T:T,Lending!$C:$C,"Cashloan",Lending!$L:$L,$B$23)</f>
        <v>9633540635</v>
      </c>
      <c r="K23" s="7">
        <f>SUMIFS(Lending!U:U,Lending!$C:$C,"Cashloan",Lending!$L:$L,$B$23)</f>
        <v>10131608402</v>
      </c>
      <c r="L23" s="7">
        <f>SUMIFS(Lending!V:V,Lending!$C:$C,"Cashloan",Lending!$L:$L,$B$23)</f>
        <v>12254995515</v>
      </c>
      <c r="M23" s="7">
        <f>SUMIFS(Lending!W:W,Lending!$C:$C,"Cashloan",Lending!$L:$L,$B$23)</f>
        <v>13196401547</v>
      </c>
      <c r="N23" s="7">
        <f>SUMIFS(Lending!X:X,Lending!$C:$C,"Cashloan",Lending!$L:$L,$B$23)</f>
        <v>15015263740</v>
      </c>
      <c r="O23" s="7">
        <f>SUMIFS(Lending!Y:Y,Lending!$C:$C,"Cashloan",Lending!$L:$L,$B$23)</f>
        <v>17439822990</v>
      </c>
      <c r="P23" s="7">
        <f>SUMIFS(Lending!Z:Z,Lending!$C:$C,"Cashloan",Lending!$L:$L,$B$23)</f>
        <v>20101561567</v>
      </c>
      <c r="Q23" s="7">
        <f>SUMIFS(Lending!AA:AA,Lending!$C:$C,"Cashloan",Lending!$L:$L,$B$23)</f>
        <v>22543971743</v>
      </c>
    </row>
    <row r="24" spans="1:26">
      <c r="A24" s="34"/>
      <c r="B24" s="1104" t="s">
        <v>219</v>
      </c>
      <c r="C24" s="7">
        <f>SUMIFS(Lending!M:M,Lending!$C:$C,"Cashloan",Lending!$L:$L,$B$24)</f>
        <v>217082564283.32733</v>
      </c>
      <c r="D24" s="7">
        <f>SUMIFS(Lending!N:N,Lending!$C:$C,"Cashloan",Lending!$L:$L,$B$24)</f>
        <v>8706213052</v>
      </c>
      <c r="E24" s="7">
        <f>SUMIFS(Lending!O:O,Lending!$C:$C,"Cashloan",Lending!$L:$L,$B$24)</f>
        <v>9690217719</v>
      </c>
      <c r="F24" s="7">
        <f>SUMIFS(Lending!P:P,Lending!$C:$C,"Cashloan",Lending!$L:$L,$B$24)</f>
        <v>10387661449</v>
      </c>
      <c r="G24" s="7">
        <f>SUMIFS(Lending!Q:Q,Lending!$C:$C,"Cashloan",Lending!$L:$L,$B$24)</f>
        <v>9692067967</v>
      </c>
      <c r="H24" s="7">
        <f>SUMIFS(Lending!R:R,Lending!$C:$C,"Cashloan",Lending!$L:$L,$B$24)</f>
        <v>10686153062.327332</v>
      </c>
      <c r="I24" s="7">
        <f>SUMIFS(Lending!S:S,Lending!$C:$C,"Cashloan",Lending!$L:$L,$B$24)</f>
        <v>11179488461</v>
      </c>
      <c r="J24" s="7">
        <f>SUMIFS(Lending!T:T,Lending!$C:$C,"Cashloan",Lending!$L:$L,$B$24)</f>
        <v>12701121798</v>
      </c>
      <c r="K24" s="7">
        <f>SUMIFS(Lending!U:U,Lending!$C:$C,"Cashloan",Lending!$L:$L,$B$24)</f>
        <v>13596779345</v>
      </c>
      <c r="L24" s="7">
        <f>SUMIFS(Lending!V:V,Lending!$C:$C,"Cashloan",Lending!$L:$L,$B$24)</f>
        <v>16233468922</v>
      </c>
      <c r="M24" s="7">
        <f>SUMIFS(Lending!W:W,Lending!$C:$C,"Cashloan",Lending!$L:$L,$B$24)</f>
        <v>19143327126</v>
      </c>
      <c r="N24" s="7">
        <f>SUMIFS(Lending!X:X,Lending!$C:$C,"Cashloan",Lending!$L:$L,$B$24)</f>
        <v>21618413501</v>
      </c>
      <c r="O24" s="7">
        <f>SUMIFS(Lending!Y:Y,Lending!$C:$C,"Cashloan",Lending!$L:$L,$B$24)</f>
        <v>26704385569</v>
      </c>
      <c r="P24" s="7">
        <f>SUMIFS(Lending!Z:Z,Lending!$C:$C,"Cashloan",Lending!$L:$L,$B$24)</f>
        <v>29713672831</v>
      </c>
      <c r="Q24" s="7">
        <f>SUMIFS(Lending!AA:AA,Lending!$C:$C,"Cashloan",Lending!$L:$L,$B$24)</f>
        <v>35426024252</v>
      </c>
    </row>
    <row r="25" spans="1:26" s="4" customFormat="1">
      <c r="B25" s="1055" t="s">
        <v>220</v>
      </c>
      <c r="C25" s="47">
        <f>SUMIFS(Lending!M:M,Lending!$C:$C,"Cashloan",Lending!$L:$L,$B$25)</f>
        <v>559650145237</v>
      </c>
      <c r="D25" s="47">
        <f>SUMIFS(Lending!M:M,Lending!$C:$C,"Cashloan",Lending!$L:$L,$B$25)</f>
        <v>559650145237</v>
      </c>
      <c r="E25" s="47">
        <f>SUMIFS(Lending!O:O,Lending!$C:$C,"Cashloan",Lending!$L:$L,$B$25)</f>
        <v>20046415071</v>
      </c>
      <c r="F25" s="47">
        <f>SUMIFS(Lending!P:P,Lending!$C:$C,"Cashloan",Lending!$L:$L,$B$25)</f>
        <v>19525655638</v>
      </c>
      <c r="G25" s="47">
        <f>SUMIFS(Lending!Q:Q,Lending!$C:$C,"Cashloan",Lending!$L:$L,$B$25)</f>
        <v>14764350635</v>
      </c>
      <c r="H25" s="47">
        <f>SUMIFS(Lending!R:R,Lending!$C:$C,"Cashloan",Lending!$L:$L,$B$25)</f>
        <v>22950014536</v>
      </c>
      <c r="I25" s="47">
        <f>SUMIFS(Lending!S:S,Lending!$C:$C,"Cashloan",Lending!$L:$L,$B$25)</f>
        <v>28823422605</v>
      </c>
      <c r="J25" s="47">
        <f>SUMIFS(Lending!T:T,Lending!$C:$C,"Cashloan",Lending!$L:$L,$B$25)</f>
        <v>28757815681</v>
      </c>
      <c r="K25" s="47">
        <f>SUMIFS(Lending!U:U,Lending!$C:$C,"Cashloan",Lending!$L:$L,$B$25)</f>
        <v>36531285001</v>
      </c>
      <c r="L25" s="47">
        <f>SUMIFS(Lending!V:V,Lending!$C:$C,"Cashloan",Lending!$L:$L,$B$25)</f>
        <v>49591351751</v>
      </c>
      <c r="M25" s="47">
        <f>SUMIFS(Lending!W:W,Lending!$C:$C,"Cashloan",Lending!$L:$L,$B$25)</f>
        <v>50659711816</v>
      </c>
      <c r="N25" s="47">
        <f>SUMIFS(Lending!X:X,Lending!$C:$C,"Cashloan",Lending!$L:$L,$B$25)</f>
        <v>68521806415</v>
      </c>
      <c r="O25" s="47">
        <f>SUMIFS(Lending!Y:Y,Lending!$C:$C,"Cashloan",Lending!$L:$L,$B$25)</f>
        <v>76168193920</v>
      </c>
      <c r="P25" s="47">
        <f>SUMIFS(Lending!Z:Z,Lending!$C:$C,"Cashloan",Lending!$L:$L,$B$25)</f>
        <v>80356855852</v>
      </c>
      <c r="Q25" s="47">
        <f>SUMIFS(Lending!AA:AA,Lending!$C:$C,"Cashloan",Lending!$L:$L,$B$25)</f>
        <v>82999681387</v>
      </c>
    </row>
    <row r="26" spans="1:26">
      <c r="A26" s="138"/>
      <c r="B26" s="1104" t="s">
        <v>540</v>
      </c>
      <c r="C26" s="7">
        <f>SUMIFS(Lending!M:M,Lending!$C:$C,"Cashloan",Lending!$L:$L,$B$26)</f>
        <v>416359288447</v>
      </c>
      <c r="D26" s="7">
        <f>SUMIFS(Lending!N:N,Lending!$C:$C,"Cashloan",Lending!$L:$L,$B$26)</f>
        <v>16282957435</v>
      </c>
      <c r="E26" s="7">
        <f>SUMIFS(Lending!O:O,Lending!$C:$C,"Cashloan",Lending!$L:$L,$B$26)</f>
        <v>17413068347</v>
      </c>
      <c r="F26" s="7">
        <f>SUMIFS(Lending!P:P,Lending!$C:$C,"Cashloan",Lending!$L:$L,$B$26)</f>
        <v>16940447088</v>
      </c>
      <c r="G26" s="7">
        <f>SUMIFS(Lending!Q:Q,Lending!$C:$C,"Cashloan",Lending!$L:$L,$B$26)</f>
        <v>12123525598</v>
      </c>
      <c r="H26" s="7">
        <f>SUMIFS(Lending!R:R,Lending!$C:$C,"Cashloan",Lending!$L:$L,$B$26)</f>
        <v>18916597832</v>
      </c>
      <c r="I26" s="7">
        <f>SUMIFS(Lending!S:S,Lending!$C:$C,"Cashloan",Lending!$L:$L,$B$26)</f>
        <v>23528887640</v>
      </c>
      <c r="J26" s="7">
        <f>SUMIFS(Lending!T:T,Lending!$C:$C,"Cashloan",Lending!$L:$L,$B$26)</f>
        <v>23655285680</v>
      </c>
      <c r="K26" s="7">
        <f>SUMIFS(Lending!U:U,Lending!$C:$C,"Cashloan",Lending!$L:$L,$B$26)</f>
        <v>28027439037</v>
      </c>
      <c r="L26" s="7">
        <f>SUMIFS(Lending!V:V,Lending!$C:$C,"Cashloan",Lending!$L:$L,$B$26)</f>
        <v>39195992170</v>
      </c>
      <c r="M26" s="7">
        <f>SUMIFS(Lending!W:W,Lending!$C:$C,"Cashloan",Lending!$L:$L,$B$26)</f>
        <v>36043616002</v>
      </c>
      <c r="N26" s="7">
        <f>SUMIFS(Lending!X:X,Lending!$C:$C,"Cashloan",Lending!$L:$L,$B$26)</f>
        <v>50124688235</v>
      </c>
      <c r="O26" s="7">
        <f>SUMIFS(Lending!Y:Y,Lending!$C:$C,"Cashloan",Lending!$L:$L,$B$26)</f>
        <v>53641535860</v>
      </c>
      <c r="P26" s="7">
        <f>SUMIFS(Lending!Z:Z,Lending!$C:$C,"Cashloan",Lending!$L:$L,$B$26)</f>
        <v>57038858517</v>
      </c>
      <c r="Q26" s="7">
        <f>SUMIFS(Lending!AA:AA,Lending!$C:$C,"Cashloan",Lending!$L:$L,$B$26)</f>
        <v>57122414788</v>
      </c>
      <c r="R26" s="135"/>
    </row>
    <row r="27" spans="1:26">
      <c r="A27" s="138"/>
      <c r="B27" s="1104" t="s">
        <v>541</v>
      </c>
      <c r="C27" s="7">
        <f>SUMIFS(Lending!M:M,Lending!$C:$C,"Cashloan",Lending!$L:$L,$B$27)</f>
        <v>143290856790</v>
      </c>
      <c r="D27" s="7">
        <f>SUMIFS(Lending!N:N,Lending!$C:$C,"Cashloan",Lending!$L:$L,$B$27)</f>
        <v>2422383106</v>
      </c>
      <c r="E27" s="7">
        <f>SUMIFS(Lending!O:O,Lending!$C:$C,"Cashloan",Lending!$L:$L,$B$27)</f>
        <v>2633346724</v>
      </c>
      <c r="F27" s="7">
        <f>SUMIFS(Lending!P:P,Lending!$C:$C,"Cashloan",Lending!$L:$L,$B$27)</f>
        <v>2585208550</v>
      </c>
      <c r="G27" s="7">
        <f>SUMIFS(Lending!Q:Q,Lending!$C:$C,"Cashloan",Lending!$L:$L,$B$27)</f>
        <v>2640825037</v>
      </c>
      <c r="H27" s="7">
        <f>SUMIFS(Lending!R:R,Lending!$C:$C,"Cashloan",Lending!$L:$L,$B$27)</f>
        <v>4033416704</v>
      </c>
      <c r="I27" s="7">
        <f>SUMIFS(Lending!S:S,Lending!$C:$C,"Cashloan",Lending!$L:$L,$B$27)</f>
        <v>5294534965</v>
      </c>
      <c r="J27" s="7">
        <f>SUMIFS(Lending!T:T,Lending!$C:$C,"Cashloan",Lending!$L:$L,$B$27)</f>
        <v>5102530001</v>
      </c>
      <c r="K27" s="7">
        <f>SUMIFS(Lending!U:U,Lending!$C:$C,"Cashloan",Lending!$L:$L,$B$27)</f>
        <v>8503845964</v>
      </c>
      <c r="L27" s="7">
        <f>SUMIFS(Lending!V:V,Lending!$C:$C,"Cashloan",Lending!$L:$L,$B$27)</f>
        <v>10395359581</v>
      </c>
      <c r="M27" s="7">
        <f>SUMIFS(Lending!W:W,Lending!$C:$C,"Cashloan",Lending!$L:$L,$B$27)</f>
        <v>14616095814</v>
      </c>
      <c r="N27" s="7">
        <f>SUMIFS(Lending!X:X,Lending!$C:$C,"Cashloan",Lending!$L:$L,$B$27)</f>
        <v>18397118180</v>
      </c>
      <c r="O27" s="7">
        <f>SUMIFS(Lending!Y:Y,Lending!$C:$C,"Cashloan",Lending!$L:$L,$B$27)</f>
        <v>22526658060</v>
      </c>
      <c r="P27" s="7">
        <f>SUMIFS(Lending!Z:Z,Lending!$C:$C,"Cashloan",Lending!$L:$L,$B$27)</f>
        <v>23317997335</v>
      </c>
      <c r="Q27" s="7">
        <f>SUMIFS(Lending!AA:AA,Lending!$C:$C,"Cashloan",Lending!$L:$L,$B$27)</f>
        <v>25877266599</v>
      </c>
      <c r="R27" s="135"/>
    </row>
    <row r="28" spans="1:26">
      <c r="A28" s="138"/>
      <c r="B28" s="1104" t="s">
        <v>542</v>
      </c>
      <c r="C28" s="7">
        <f>SUMIFS(Lending!M:M,Lending!$C:$C,"Cashloan",Lending!$L:$L,$B$28)</f>
        <v>0</v>
      </c>
      <c r="D28" s="7">
        <f>SUMIFS(Lending!M:M,Lending!$C:$C,"Cashloan",Lending!$L:$L,$B$28)</f>
        <v>0</v>
      </c>
      <c r="E28" s="7">
        <f>SUMIFS(Lending!O:O,Lending!$C:$C,"Cashloan",Lending!$L:$L,$B$28)</f>
        <v>0</v>
      </c>
      <c r="F28" s="7">
        <f>SUMIFS(Lending!P:P,Lending!$C:$C,"Cashloan",Lending!$L:$L,$B$28)</f>
        <v>0</v>
      </c>
      <c r="G28" s="7">
        <f>SUMIFS(Lending!Q:Q,Lending!$C:$C,"Cashloan",Lending!$L:$L,$B$28)</f>
        <v>0</v>
      </c>
      <c r="H28" s="7">
        <f>SUMIFS(Lending!R:R,Lending!$C:$C,"Cashloan",Lending!$L:$L,$B$28)</f>
        <v>0</v>
      </c>
      <c r="I28" s="7">
        <f>SUMIFS(Lending!S:S,Lending!$C:$C,"Cashloan",Lending!$L:$L,$B$28)</f>
        <v>0</v>
      </c>
      <c r="J28" s="7">
        <f>SUMIFS(Lending!T:T,Lending!$C:$C,"Cashloan",Lending!$L:$L,$B$28)</f>
        <v>0</v>
      </c>
      <c r="K28" s="7">
        <f>SUMIFS(Lending!U:U,Lending!$C:$C,"Cashloan",Lending!$L:$L,$B$28)</f>
        <v>0</v>
      </c>
      <c r="L28" s="7">
        <f>SUMIFS(Lending!V:V,Lending!$C:$C,"Cashloan",Lending!$L:$L,$B$28)</f>
        <v>0</v>
      </c>
      <c r="M28" s="7">
        <f>SUMIFS(Lending!W:W,Lending!$C:$C,"Cashloan",Lending!$L:$L,$B$28)</f>
        <v>0</v>
      </c>
      <c r="N28" s="7">
        <f>SUMIFS(Lending!X:X,Lending!$C:$C,"Cashloan",Lending!$L:$L,$B$28)</f>
        <v>0</v>
      </c>
      <c r="O28" s="7">
        <f>SUMIFS(Lending!Y:Y,Lending!$C:$C,"Cashloan",Lending!$L:$L,$B$28)</f>
        <v>0</v>
      </c>
      <c r="P28" s="7">
        <f>SUMIFS(Lending!Z:Z,Lending!$C:$C,"Cashloan",Lending!$L:$L,$B$28)</f>
        <v>0</v>
      </c>
      <c r="Q28" s="7">
        <f>SUMIFS(Lending!AA:AA,Lending!$C:$C,"Cashloan",Lending!$L:$L,$B$28)</f>
        <v>0</v>
      </c>
      <c r="R28" s="135"/>
    </row>
    <row r="29" spans="1:26" s="4" customFormat="1">
      <c r="A29" s="141"/>
      <c r="B29" s="1055" t="s">
        <v>89</v>
      </c>
      <c r="C29" s="47">
        <f>SUMIFS(Lending!M:M,Lending!$C:$C,"Cashloan",Lending!$L:$L,$B$29)</f>
        <v>13099575367</v>
      </c>
      <c r="D29" s="47">
        <f>SUMIFS(Lending!N:N,Lending!$C:$C,"Cashloan",Lending!$L:$L,$B$29)</f>
        <v>0</v>
      </c>
      <c r="E29" s="47">
        <f>SUMIFS(Lending!O:O,Lending!$C:$C,"Cashloan",Lending!$L:$L,$B$29)</f>
        <v>6240472</v>
      </c>
      <c r="F29" s="47">
        <f>SUMIFS(Lending!P:P,Lending!$C:$C,"Cashloan",Lending!$L:$L,$B$29)</f>
        <v>17299938</v>
      </c>
      <c r="G29" s="47">
        <f>SUMIFS(Lending!Q:Q,Lending!$C:$C,"Cashloan",Lending!$L:$L,$B$29)</f>
        <v>114654439</v>
      </c>
      <c r="H29" s="47">
        <f>SUMIFS(Lending!R:R,Lending!$C:$C,"Cashloan",Lending!$L:$L,$B$29)</f>
        <v>606046413</v>
      </c>
      <c r="I29" s="47">
        <f>SUMIFS(Lending!S:S,Lending!$C:$C,"Cashloan",Lending!$L:$L,$B$29)</f>
        <v>521691599</v>
      </c>
      <c r="J29" s="47">
        <f>SUMIFS(Lending!T:T,Lending!$C:$C,"Cashloan",Lending!$L:$L,$B$29)</f>
        <v>794608897</v>
      </c>
      <c r="K29" s="47">
        <f>SUMIFS(Lending!U:U,Lending!$C:$C,"Cashloan",Lending!$L:$L,$B$29)</f>
        <v>1050485033</v>
      </c>
      <c r="L29" s="47">
        <f>SUMIFS(Lending!V:V,Lending!$C:$C,"Cashloan",Lending!$L:$L,$B$29)</f>
        <v>1419052265</v>
      </c>
      <c r="M29" s="47">
        <f>SUMIFS(Lending!W:W,Lending!$C:$C,"Cashloan",Lending!$L:$L,$B$29)</f>
        <v>1434353830</v>
      </c>
      <c r="N29" s="47">
        <f>SUMIFS(Lending!X:X,Lending!$C:$C,"Cashloan",Lending!$L:$L,$B$29)</f>
        <v>1415006476</v>
      </c>
      <c r="O29" s="47">
        <f>SUMIFS(Lending!Y:Y,Lending!$C:$C,"Cashloan",Lending!$L:$L,$B$29)</f>
        <v>1793470411</v>
      </c>
      <c r="P29" s="47">
        <f>SUMIFS(Lending!Z:Z,Lending!$C:$C,"Cashloan",Lending!$L:$L,$B$29)</f>
        <v>1562245635</v>
      </c>
      <c r="Q29" s="47">
        <f>SUMIFS(Lending!AA:AA,Lending!$C:$C,"Cashloan",Lending!$L:$L,$B$29)</f>
        <v>2370660431</v>
      </c>
      <c r="R29" s="789"/>
    </row>
    <row r="30" spans="1:26" s="4" customFormat="1">
      <c r="B30" s="1065" t="s">
        <v>136</v>
      </c>
      <c r="C30" s="47">
        <f>SUMIFS(Lending!M:M,Lending!$C:$C,"Cashloan",Lending!$L:$L,$B$30)</f>
        <v>752347597827</v>
      </c>
      <c r="D30" s="47">
        <f>SUMIFS(Lending!N:N,Lending!$C:$C,"Cashloan",Lending!$L:$L,$B$30)</f>
        <v>16513141633</v>
      </c>
      <c r="E30" s="47">
        <f>SUMIFS(Lending!O:O,Lending!$C:$C,"Cashloan",Lending!$L:$L,$B$30)</f>
        <v>23752078872</v>
      </c>
      <c r="F30" s="47">
        <f>SUMIFS(Lending!P:P,Lending!$C:$C,"Cashloan",Lending!$L:$L,$B$30)</f>
        <v>55301753057</v>
      </c>
      <c r="G30" s="47">
        <f>SUMIFS(Lending!Q:Q,Lending!$C:$C,"Cashloan",Lending!$L:$L,$B$30)</f>
        <v>37430629384</v>
      </c>
      <c r="H30" s="47">
        <f>SUMIFS(Lending!R:R,Lending!$C:$C,"Cashloan",Lending!$L:$L,$B$30)</f>
        <v>45279395128</v>
      </c>
      <c r="I30" s="47">
        <f>SUMIFS(Lending!S:S,Lending!$C:$C,"Cashloan",Lending!$L:$L,$B$30)</f>
        <v>32170289324</v>
      </c>
      <c r="J30" s="47">
        <f>SUMIFS(Lending!T:T,Lending!$C:$C,"Cashloan",Lending!$L:$L,$B$30)</f>
        <v>52529617864</v>
      </c>
      <c r="K30" s="47">
        <f>SUMIFS(Lending!U:U,Lending!$C:$C,"Cashloan",Lending!$L:$L,$B$30)</f>
        <v>50388423622</v>
      </c>
      <c r="L30" s="47">
        <f>SUMIFS(Lending!V:V,Lending!$C:$C,"Cashloan",Lending!$L:$L,$B$30)</f>
        <v>42280600684</v>
      </c>
      <c r="M30" s="47">
        <f>SUMIFS(Lending!W:W,Lending!$C:$C,"Cashloan",Lending!$L:$L,$B$30)</f>
        <v>58964410431</v>
      </c>
      <c r="N30" s="47">
        <f>SUMIFS(Lending!X:X,Lending!$C:$C,"Cashloan",Lending!$L:$L,$B$30)</f>
        <v>79115698466</v>
      </c>
      <c r="O30" s="47">
        <f>SUMIFS(Lending!Y:Y,Lending!$C:$C,"Cashloan",Lending!$L:$L,$B$30)</f>
        <v>74759341725</v>
      </c>
      <c r="P30" s="47">
        <f>SUMIFS(Lending!Z:Z,Lending!$C:$C,"Cashloan",Lending!$L:$L,$B$30)</f>
        <v>96800353317</v>
      </c>
      <c r="Q30" s="47">
        <f>SUMIFS(Lending!AA:AA,Lending!$C:$C,"Cashloan",Lending!$L:$L,$B$30)</f>
        <v>127327084825</v>
      </c>
    </row>
    <row r="31" spans="1:26" s="4" customFormat="1">
      <c r="B31" s="1065" t="s">
        <v>229</v>
      </c>
      <c r="C31" s="47">
        <f>SUMIFS(Lending!M:M,Lending!$C:$C,"Cashloan",Lending!$L:$L,$B$31)</f>
        <v>380047571923.21088</v>
      </c>
      <c r="D31" s="47">
        <f>SUMIFS(Lending!N:N,Lending!$C:$C,"Cashloan",Lending!$L:$L,$B$31)</f>
        <v>15181482827.714025</v>
      </c>
      <c r="E31" s="47">
        <f>SUMIFS(Lending!O:O,Lending!$C:$C,"Cashloan",Lending!$L:$L,$B$31)</f>
        <v>14620181304.418653</v>
      </c>
      <c r="F31" s="47">
        <f>SUMIFS(Lending!P:P,Lending!$C:$C,"Cashloan",Lending!$L:$L,$B$31)</f>
        <v>13197475166.77619</v>
      </c>
      <c r="G31" s="47">
        <f>SUMIFS(Lending!Q:Q,Lending!$C:$C,"Cashloan",Lending!$L:$L,$B$31)</f>
        <v>13236317685.364206</v>
      </c>
      <c r="H31" s="47">
        <f>SUMIFS(Lending!R:R,Lending!$C:$C,"Cashloan",Lending!$L:$L,$B$31)</f>
        <v>13536680559.935719</v>
      </c>
      <c r="I31" s="47">
        <f>SUMIFS(Lending!S:S,Lending!$C:$C,"Cashloan",Lending!$L:$L,$B$31)</f>
        <v>24292594939.094227</v>
      </c>
      <c r="J31" s="47">
        <f>SUMIFS(Lending!T:T,Lending!$C:$C,"Cashloan",Lending!$L:$L,$B$31)</f>
        <v>18684654947.54961</v>
      </c>
      <c r="K31" s="47">
        <f>SUMIFS(Lending!U:U,Lending!$C:$C,"Cashloan",Lending!$L:$L,$B$31)</f>
        <v>25547484264.829975</v>
      </c>
      <c r="L31" s="47">
        <f>SUMIFS(Lending!V:V,Lending!$C:$C,"Cashloan",Lending!$L:$L,$B$31)</f>
        <v>40946158247.98391</v>
      </c>
      <c r="M31" s="47">
        <f>SUMIFS(Lending!W:W,Lending!$C:$C,"Cashloan",Lending!$L:$L,$B$31)</f>
        <v>32327099095.01836</v>
      </c>
      <c r="N31" s="47">
        <f>SUMIFS(Lending!X:X,Lending!$C:$C,"Cashloan",Lending!$L:$L,$B$31)</f>
        <v>42351922074.987999</v>
      </c>
      <c r="O31" s="47">
        <f>SUMIFS(Lending!Y:Y,Lending!$C:$C,"Cashloan",Lending!$L:$L,$B$31)</f>
        <v>47519624402.17511</v>
      </c>
      <c r="P31" s="47">
        <f>SUMIFS(Lending!Z:Z,Lending!$C:$C,"Cashloan",Lending!$L:$L,$B$31)</f>
        <v>51450514632.256882</v>
      </c>
      <c r="Q31" s="47">
        <f>SUMIFS(Lending!AA:AA,Lending!$C:$C,"Cashloan",Lending!$L:$L,$B$31)</f>
        <v>56957045907.238716</v>
      </c>
    </row>
    <row r="32" spans="1:26">
      <c r="A32" s="34"/>
      <c r="B32" s="1106" t="s">
        <v>231</v>
      </c>
      <c r="C32" s="7">
        <f>SUMIFS(Lending!M:M,Lending!$C:$C,"Cashloan",Lending!$L:$L,$B$32)</f>
        <v>288555526977</v>
      </c>
      <c r="D32" s="7">
        <f>SUMIFS(Lending!N:N,Lending!$C:$C,"Cashloan",Lending!$L:$L,$B$32)</f>
        <v>10923385147</v>
      </c>
      <c r="E32" s="7">
        <f>SUMIFS(Lending!O:O,Lending!$C:$C,"Cashloan",Lending!$L:$L,$B$32)</f>
        <v>9166853312</v>
      </c>
      <c r="F32" s="7">
        <f>SUMIFS(Lending!P:P,Lending!$C:$C,"Cashloan",Lending!$L:$L,$B$32)</f>
        <v>8194801400</v>
      </c>
      <c r="G32" s="7">
        <f>SUMIFS(Lending!Q:Q,Lending!$C:$C,"Cashloan",Lending!$L:$L,$B$32)</f>
        <v>8739479207</v>
      </c>
      <c r="H32" s="7">
        <f>SUMIFS(Lending!R:R,Lending!$C:$C,"Cashloan",Lending!$L:$L,$B$32)</f>
        <v>8685406047</v>
      </c>
      <c r="I32" s="7">
        <f>SUMIFS(Lending!S:S,Lending!$C:$C,"Cashloan",Lending!$L:$L,$B$32)</f>
        <v>18537863224</v>
      </c>
      <c r="J32" s="7">
        <f>SUMIFS(Lending!T:T,Lending!$C:$C,"Cashloan",Lending!$L:$L,$B$32)</f>
        <v>13377977067</v>
      </c>
      <c r="K32" s="7">
        <f>SUMIFS(Lending!U:U,Lending!$C:$C,"Cashloan",Lending!$L:$L,$B$32)</f>
        <v>19322962075</v>
      </c>
      <c r="L32" s="7">
        <f>SUMIFS(Lending!V:V,Lending!$C:$C,"Cashloan",Lending!$L:$L,$B$32)</f>
        <v>31527627809</v>
      </c>
      <c r="M32" s="7">
        <f>SUMIFS(Lending!W:W,Lending!$C:$C,"Cashloan",Lending!$L:$L,$B$32)</f>
        <v>22974615280</v>
      </c>
      <c r="N32" s="7">
        <f>SUMIFS(Lending!X:X,Lending!$C:$C,"Cashloan",Lending!$L:$L,$B$32)</f>
        <v>33351649307</v>
      </c>
      <c r="O32" s="7">
        <f>SUMIFS(Lending!Y:Y,Lending!$C:$C,"Cashloan",Lending!$L:$L,$B$32)</f>
        <v>37587870122</v>
      </c>
      <c r="P32" s="7">
        <f>SUMIFS(Lending!Z:Z,Lending!$C:$C,"Cashloan",Lending!$L:$L,$B$32)</f>
        <v>41000633139</v>
      </c>
      <c r="Q32" s="7">
        <f>SUMIFS(Lending!AA:AA,Lending!$C:$C,"Cashloan",Lending!$L:$L,$B$32)</f>
        <v>45254642300</v>
      </c>
    </row>
    <row r="33" spans="1:17">
      <c r="B33" s="1106" t="s">
        <v>715</v>
      </c>
      <c r="C33" s="7">
        <f>SUMIFS(Lending!M:M,Lending!$C:$C,"Cashloan",Lending!$L:$L,$B$33)</f>
        <v>33119844835</v>
      </c>
      <c r="D33" s="7">
        <f>SUMIFS(Lending!N:N,Lending!$C:$C,"Cashloan",Lending!$L:$L,$B$33)</f>
        <v>1046521280</v>
      </c>
      <c r="E33" s="7">
        <f>SUMIFS(Lending!O:O,Lending!$C:$C,"Cashloan",Lending!$L:$L,$B$33)</f>
        <v>1347275366</v>
      </c>
      <c r="F33" s="7">
        <f>SUMIFS(Lending!P:P,Lending!$C:$C,"Cashloan",Lending!$L:$L,$B$33)</f>
        <v>1181479170</v>
      </c>
      <c r="G33" s="7">
        <f>SUMIFS(Lending!Q:Q,Lending!$C:$C,"Cashloan",Lending!$L:$L,$B$33)</f>
        <v>885757119</v>
      </c>
      <c r="H33" s="7">
        <f>SUMIFS(Lending!R:R,Lending!$C:$C,"Cashloan",Lending!$L:$L,$B$33)</f>
        <v>1489077794</v>
      </c>
      <c r="I33" s="7">
        <f>SUMIFS(Lending!S:S,Lending!$C:$C,"Cashloan",Lending!$L:$L,$B$33)</f>
        <v>2078254342</v>
      </c>
      <c r="J33" s="7">
        <f>SUMIFS(Lending!T:T,Lending!$C:$C,"Cashloan",Lending!$L:$L,$B$33)</f>
        <v>1414197238</v>
      </c>
      <c r="K33" s="7">
        <f>SUMIFS(Lending!U:U,Lending!$C:$C,"Cashloan",Lending!$L:$L,$B$33)</f>
        <v>2978507515</v>
      </c>
      <c r="L33" s="7">
        <f>SUMIFS(Lending!V:V,Lending!$C:$C,"Cashloan",Lending!$L:$L,$B$33)</f>
        <v>5204446655</v>
      </c>
      <c r="M33" s="7">
        <f>SUMIFS(Lending!W:W,Lending!$C:$C,"Cashloan",Lending!$L:$L,$B$33)</f>
        <v>3809809457</v>
      </c>
      <c r="N33" s="7">
        <f>SUMIFS(Lending!X:X,Lending!$C:$C,"Cashloan",Lending!$L:$L,$B$33)</f>
        <v>2550319498</v>
      </c>
      <c r="O33" s="7">
        <f>SUMIFS(Lending!Y:Y,Lending!$C:$C,"Cashloan",Lending!$L:$L,$B$33)</f>
        <v>3521268286</v>
      </c>
      <c r="P33" s="7">
        <f>SUMIFS(Lending!Z:Z,Lending!$C:$C,"Cashloan",Lending!$L:$L,$B$33)</f>
        <v>3572659134</v>
      </c>
      <c r="Q33" s="7">
        <f>SUMIFS(Lending!AA:AA,Lending!$C:$C,"Cashloan",Lending!$L:$L,$B$33)</f>
        <v>4434068627</v>
      </c>
    </row>
    <row r="34" spans="1:17">
      <c r="A34" s="34"/>
      <c r="B34" s="1106" t="s">
        <v>232</v>
      </c>
      <c r="C34" s="7">
        <f>SUMIFS(Lending!M:M,Lending!$C:$C,"Cashloan",Lending!$L:$L,$B$34)</f>
        <v>38897710828.000008</v>
      </c>
      <c r="D34" s="7">
        <f>SUMIFS(Lending!N:N,Lending!$C:$C,"Cashloan",Lending!$L:$L,$B$34)</f>
        <v>1965613500.9999955</v>
      </c>
      <c r="E34" s="7">
        <f>SUMIFS(Lending!O:O,Lending!$C:$C,"Cashloan",Lending!$L:$L,$B$34)</f>
        <v>2391430109.7522507</v>
      </c>
      <c r="F34" s="7">
        <f>SUMIFS(Lending!P:P,Lending!$C:$C,"Cashloan",Lending!$L:$L,$B$34)</f>
        <v>2064182386</v>
      </c>
      <c r="G34" s="7">
        <f>SUMIFS(Lending!Q:Q,Lending!$C:$C,"Cashloan",Lending!$L:$L,$B$34)</f>
        <v>1514575612</v>
      </c>
      <c r="H34" s="7">
        <f>SUMIFS(Lending!R:R,Lending!$C:$C,"Cashloan",Lending!$L:$L,$B$34)</f>
        <v>1807353878</v>
      </c>
      <c r="I34" s="7">
        <f>SUMIFS(Lending!S:S,Lending!$C:$C,"Cashloan",Lending!$L:$L,$B$34)</f>
        <v>1949838037.9999998</v>
      </c>
      <c r="J34" s="7">
        <f>SUMIFS(Lending!T:T,Lending!$C:$C,"Cashloan",Lending!$L:$L,$B$34)</f>
        <v>2028732966.9999998</v>
      </c>
      <c r="K34" s="7">
        <f>SUMIFS(Lending!U:U,Lending!$C:$C,"Cashloan",Lending!$L:$L,$B$34)</f>
        <v>2352362147.0000005</v>
      </c>
      <c r="L34" s="7">
        <f>SUMIFS(Lending!V:V,Lending!$C:$C,"Cashloan",Lending!$L:$L,$B$34)</f>
        <v>2900476591</v>
      </c>
      <c r="M34" s="7">
        <f>SUMIFS(Lending!W:W,Lending!$C:$C,"Cashloan",Lending!$L:$L,$B$34)</f>
        <v>4192251000</v>
      </c>
      <c r="N34" s="7">
        <f>SUMIFS(Lending!X:X,Lending!$C:$C,"Cashloan",Lending!$L:$L,$B$34)</f>
        <v>4814367983.000001</v>
      </c>
      <c r="O34" s="7">
        <f>SUMIFS(Lending!Y:Y,Lending!$C:$C,"Cashloan",Lending!$L:$L,$B$34)</f>
        <v>5002657424</v>
      </c>
      <c r="P34" s="7">
        <f>SUMIFS(Lending!Z:Z,Lending!$C:$C,"Cashloan",Lending!$L:$L,$B$34)</f>
        <v>4908200114.000001</v>
      </c>
      <c r="Q34" s="7">
        <f>SUMIFS(Lending!AA:AA,Lending!$C:$C,"Cashloan",Lending!$L:$L,$B$34)</f>
        <v>5362712687.999999</v>
      </c>
    </row>
    <row r="35" spans="1:17">
      <c r="B35" s="1106" t="s">
        <v>233</v>
      </c>
      <c r="C35" s="7">
        <f>SUMIFS(Lending!M:M,Lending!$C:$C,"Cashloan",Lending!$L:$L,$B$35)</f>
        <v>628706843</v>
      </c>
      <c r="D35" s="7">
        <f>SUMIFS(Lending!N:N,Lending!$C:$C,"Cashloan",Lending!$L:$L,$B$35)</f>
        <v>24706971</v>
      </c>
      <c r="E35" s="7">
        <f>SUMIFS(Lending!O:O,Lending!$C:$C,"Cashloan",Lending!$L:$L,$B$35)</f>
        <v>24889644</v>
      </c>
      <c r="F35" s="7">
        <f>SUMIFS(Lending!P:P,Lending!$C:$C,"Cashloan",Lending!$L:$L,$B$35)</f>
        <v>23665784</v>
      </c>
      <c r="G35" s="7">
        <f>SUMIFS(Lending!Q:Q,Lending!$C:$C,"Cashloan",Lending!$L:$L,$B$35)</f>
        <v>18613927</v>
      </c>
      <c r="H35" s="7">
        <f>SUMIFS(Lending!R:R,Lending!$C:$C,"Cashloan",Lending!$L:$L,$B$35)</f>
        <v>31499612</v>
      </c>
      <c r="I35" s="7">
        <f>SUMIFS(Lending!S:S,Lending!$C:$C,"Cashloan",Lending!$L:$L,$B$35)</f>
        <v>88422096</v>
      </c>
      <c r="J35" s="7">
        <f>SUMIFS(Lending!T:T,Lending!$C:$C,"Cashloan",Lending!$L:$L,$B$35)</f>
        <v>33180901</v>
      </c>
      <c r="K35" s="7">
        <f>SUMIFS(Lending!U:U,Lending!$C:$C,"Cashloan",Lending!$L:$L,$B$35)</f>
        <v>38591992</v>
      </c>
      <c r="L35" s="7">
        <f>SUMIFS(Lending!V:V,Lending!$C:$C,"Cashloan",Lending!$L:$L,$B$35)</f>
        <v>54682427</v>
      </c>
      <c r="M35" s="7">
        <f>SUMIFS(Lending!W:W,Lending!$C:$C,"Cashloan",Lending!$L:$L,$B$35)</f>
        <v>101129981</v>
      </c>
      <c r="N35" s="7">
        <f>SUMIFS(Lending!X:X,Lending!$C:$C,"Cashloan",Lending!$L:$L,$B$35)</f>
        <v>56765433</v>
      </c>
      <c r="O35" s="7">
        <f>SUMIFS(Lending!Y:Y,Lending!$C:$C,"Cashloan",Lending!$L:$L,$B$35)</f>
        <v>55104127</v>
      </c>
      <c r="P35" s="7">
        <f>SUMIFS(Lending!Z:Z,Lending!$C:$C,"Cashloan",Lending!$L:$L,$B$35)</f>
        <v>60824363</v>
      </c>
      <c r="Q35" s="7">
        <f>SUMIFS(Lending!AA:AA,Lending!$C:$C,"Cashloan",Lending!$L:$L,$B$35)</f>
        <v>66226200</v>
      </c>
    </row>
    <row r="36" spans="1:17">
      <c r="B36" s="1106" t="s">
        <v>152</v>
      </c>
      <c r="C36" s="7">
        <f>SUMIFS(Lending!M:M,Lending!$C:$C,"Cashloan",Lending!$L:$L,$B$36)</f>
        <v>1186764149.9999998</v>
      </c>
      <c r="D36" s="7">
        <f>SUMIFS(Lending!N:N,Lending!$C:$C,"Cashloan",Lending!$L:$L,$B$36)</f>
        <v>0</v>
      </c>
      <c r="E36" s="7">
        <f>SUMIFS(Lending!O:O,Lending!$C:$C,"Cashloan",Lending!$L:$L,$B$36)</f>
        <v>0</v>
      </c>
      <c r="F36" s="7">
        <f>SUMIFS(Lending!P:P,Lending!$C:$C,"Cashloan",Lending!$L:$L,$B$36)</f>
        <v>107092799.99999999</v>
      </c>
      <c r="G36" s="7">
        <f>SUMIFS(Lending!Q:Q,Lending!$C:$C,"Cashloan",Lending!$L:$L,$B$36)</f>
        <v>66989699.999999993</v>
      </c>
      <c r="H36" s="7">
        <f>SUMIFS(Lending!R:R,Lending!$C:$C,"Cashloan",Lending!$L:$L,$B$36)</f>
        <v>99470699.999999985</v>
      </c>
      <c r="I36" s="7">
        <f>SUMIFS(Lending!S:S,Lending!$C:$C,"Cashloan",Lending!$L:$L,$B$36)</f>
        <v>82709100</v>
      </c>
      <c r="J36" s="7">
        <f>SUMIFS(Lending!T:T,Lending!$C:$C,"Cashloan",Lending!$L:$L,$B$36)</f>
        <v>82846800.000000015</v>
      </c>
      <c r="K36" s="7">
        <f>SUMIFS(Lending!U:U,Lending!$C:$C,"Cashloan",Lending!$L:$L,$B$36)</f>
        <v>89815500</v>
      </c>
      <c r="L36" s="7">
        <f>SUMIFS(Lending!V:V,Lending!$C:$C,"Cashloan",Lending!$L:$L,$B$36)</f>
        <v>101694600</v>
      </c>
      <c r="M36" s="7">
        <f>SUMIFS(Lending!W:W,Lending!$C:$C,"Cashloan",Lending!$L:$L,$B$36)</f>
        <v>97628700</v>
      </c>
      <c r="N36" s="7">
        <f>SUMIFS(Lending!X:X,Lending!$C:$C,"Cashloan",Lending!$L:$L,$B$36)</f>
        <v>96335099.999999985</v>
      </c>
      <c r="O36" s="7">
        <f>SUMIFS(Lending!Y:Y,Lending!$C:$C,"Cashloan",Lending!$L:$L,$B$36)</f>
        <v>110558700</v>
      </c>
      <c r="P36" s="7">
        <f>SUMIFS(Lending!Z:Z,Lending!$C:$C,"Cashloan",Lending!$L:$L,$B$36)</f>
        <v>110432699.99999999</v>
      </c>
      <c r="Q36" s="7">
        <f>SUMIFS(Lending!AA:AA,Lending!$C:$C,"Cashloan",Lending!$L:$L,$B$36)</f>
        <v>141189750.00000003</v>
      </c>
    </row>
    <row r="37" spans="1:17">
      <c r="B37" s="1106" t="s">
        <v>234</v>
      </c>
      <c r="C37" s="7">
        <f>SUMIFS(Lending!M:M,Lending!$C:$C,"Cashloan",Lending!$L:$L,$B$37)</f>
        <v>15924244408.189133</v>
      </c>
      <c r="D37" s="7">
        <f>SUMIFS(Lending!N:N,Lending!$C:$C,"Cashloan",Lending!$L:$L,$B$37)</f>
        <v>1183172485.4727464</v>
      </c>
      <c r="E37" s="7">
        <f>SUMIFS(Lending!O:O,Lending!$C:$C,"Cashloan",Lending!$L:$L,$B$37)</f>
        <v>1601165815.2416735</v>
      </c>
      <c r="F37" s="7">
        <f>SUMIFS(Lending!P:P,Lending!$C:$C,"Cashloan",Lending!$L:$L,$B$37)</f>
        <v>1508724456.0470755</v>
      </c>
      <c r="G37" s="7">
        <f>SUMIFS(Lending!Q:Q,Lending!$C:$C,"Cashloan",Lending!$L:$L,$B$37)</f>
        <v>1942042390.2557094</v>
      </c>
      <c r="H37" s="7">
        <f>SUMIFS(Lending!R:R,Lending!$C:$C,"Cashloan",Lending!$L:$L,$B$37)</f>
        <v>1332450479.7309186</v>
      </c>
      <c r="I37" s="7">
        <f>SUMIFS(Lending!S:S,Lending!$C:$C,"Cashloan",Lending!$L:$L,$B$37)</f>
        <v>1412608858.1515362</v>
      </c>
      <c r="J37" s="7">
        <f>SUMIFS(Lending!T:T,Lending!$C:$C,"Cashloan",Lending!$L:$L,$B$37)</f>
        <v>1626728608.1806202</v>
      </c>
      <c r="K37" s="7">
        <f>SUMIFS(Lending!U:U,Lending!$C:$C,"Cashloan",Lending!$L:$L,$B$37)</f>
        <v>654668292.11387289</v>
      </c>
      <c r="L37" s="7">
        <f>SUMIFS(Lending!V:V,Lending!$C:$C,"Cashloan",Lending!$L:$L,$B$37)</f>
        <v>998009193</v>
      </c>
      <c r="M37" s="7">
        <f>SUMIFS(Lending!W:W,Lending!$C:$C,"Cashloan",Lending!$L:$L,$B$37)</f>
        <v>1051049096.6975574</v>
      </c>
      <c r="N37" s="7">
        <f>SUMIFS(Lending!X:X,Lending!$C:$C,"Cashloan",Lending!$L:$L,$B$37)</f>
        <v>1300428985.0258408</v>
      </c>
      <c r="O37" s="7">
        <f>SUMIFS(Lending!Y:Y,Lending!$C:$C,"Cashloan",Lending!$L:$L,$B$37)</f>
        <v>1033820918.7100002</v>
      </c>
      <c r="P37" s="7">
        <f>SUMIFS(Lending!Z:Z,Lending!$C:$C,"Cashloan",Lending!$L:$L,$B$37)</f>
        <v>1590098376.9059999</v>
      </c>
      <c r="Q37" s="7">
        <f>SUMIFS(Lending!AA:AA,Lending!$C:$C,"Cashloan",Lending!$L:$L,$B$37)</f>
        <v>1473614753.3699996</v>
      </c>
    </row>
    <row r="38" spans="1:17">
      <c r="B38" s="1106" t="s">
        <v>235</v>
      </c>
      <c r="C38" s="7">
        <f>SUMIFS(Lending!M:M,Lending!$C:$C,"Cashloan",Lending!$L:$L,$B$38)</f>
        <v>0</v>
      </c>
      <c r="D38" s="7">
        <f>SUMIFS(Lending!N:N,Lending!$C:$C,"Cashloan",Lending!$L:$L,$B$38)</f>
        <v>0</v>
      </c>
      <c r="E38" s="7">
        <f>SUMIFS(Lending!O:O,Lending!$C:$C,"Cashloan",Lending!$L:$L,$B$38)</f>
        <v>0</v>
      </c>
      <c r="F38" s="7">
        <f>SUMIFS(Lending!P:P,Lending!$C:$C,"Cashloan",Lending!$L:$L,$B$38)</f>
        <v>0</v>
      </c>
      <c r="G38" s="7">
        <f>SUMIFS(Lending!Q:Q,Lending!$C:$C,"Cashloan",Lending!$L:$L,$B$38)</f>
        <v>0</v>
      </c>
      <c r="H38" s="7">
        <f>SUMIFS(Lending!R:R,Lending!$C:$C,"Cashloan",Lending!$L:$L,$B$38)</f>
        <v>0</v>
      </c>
      <c r="I38" s="7">
        <f>SUMIFS(Lending!S:S,Lending!$C:$C,"Cashloan",Lending!$L:$L,$B$38)</f>
        <v>0</v>
      </c>
      <c r="J38" s="7">
        <f>SUMIFS(Lending!T:T,Lending!$C:$C,"Cashloan",Lending!$L:$L,$B$38)</f>
        <v>0</v>
      </c>
      <c r="K38" s="7">
        <f>SUMIFS(Lending!U:U,Lending!$C:$C,"Cashloan",Lending!$L:$L,$B$38)</f>
        <v>0</v>
      </c>
      <c r="L38" s="7">
        <f>SUMIFS(Lending!V:V,Lending!$C:$C,"Cashloan",Lending!$L:$L,$B$38)</f>
        <v>0</v>
      </c>
      <c r="M38" s="7">
        <f>SUMIFS(Lending!W:W,Lending!$C:$C,"Cashloan",Lending!$L:$L,$B$38)</f>
        <v>0</v>
      </c>
      <c r="N38" s="7">
        <f>SUMIFS(Lending!X:X,Lending!$C:$C,"Cashloan",Lending!$L:$L,$B$38)</f>
        <v>0</v>
      </c>
      <c r="O38" s="7">
        <f>SUMIFS(Lending!Y:Y,Lending!$C:$C,"Cashloan",Lending!$L:$L,$B$38)</f>
        <v>0</v>
      </c>
      <c r="P38" s="7">
        <f>SUMIFS(Lending!Z:Z,Lending!$C:$C,"Cashloan",Lending!$L:$L,$B$38)</f>
        <v>0</v>
      </c>
      <c r="Q38" s="7">
        <f>SUMIFS(Lending!AA:AA,Lending!$C:$C,"Cashloan",Lending!$L:$L,$B$38)</f>
        <v>0</v>
      </c>
    </row>
    <row r="39" spans="1:17">
      <c r="B39" s="1107" t="s">
        <v>163</v>
      </c>
      <c r="C39" s="283">
        <f>SUMIFS(Lending!M:M,Lending!$C:$C,"Cashloan",Lending!$L:$L,$B$39)</f>
        <v>1734773882.0217721</v>
      </c>
      <c r="D39" s="283">
        <f>SUMIFS(Lending!N:N,Lending!$C:$C,"Cashloan",Lending!$L:$L,$B$39)</f>
        <v>38083443.241282195</v>
      </c>
      <c r="E39" s="283">
        <f>SUMIFS(Lending!O:O,Lending!$C:$C,"Cashloan",Lending!$L:$L,$B$39)</f>
        <v>88567057.424727425</v>
      </c>
      <c r="F39" s="283">
        <f>SUMIFS(Lending!P:P,Lending!$C:$C,"Cashloan",Lending!$L:$L,$B$39)</f>
        <v>117529170.72911492</v>
      </c>
      <c r="G39" s="283">
        <f>SUMIFS(Lending!Q:Q,Lending!$C:$C,"Cashloan",Lending!$L:$L,$B$39)</f>
        <v>68859730.108497679</v>
      </c>
      <c r="H39" s="283">
        <f>SUMIFS(Lending!R:R,Lending!$C:$C,"Cashloan",Lending!$L:$L,$B$39)</f>
        <v>91422049.204799309</v>
      </c>
      <c r="I39" s="283">
        <f>SUMIFS(Lending!S:S,Lending!$C:$C,"Cashloan",Lending!$L:$L,$B$39)</f>
        <v>142899280.94268873</v>
      </c>
      <c r="J39" s="283">
        <f>SUMIFS(Lending!T:T,Lending!$C:$C,"Cashloan",Lending!$L:$L,$B$39)</f>
        <v>120991366.36898966</v>
      </c>
      <c r="K39" s="283">
        <f>SUMIFS(Lending!U:U,Lending!$C:$C,"Cashloan",Lending!$L:$L,$B$39)</f>
        <v>110576743.7161034</v>
      </c>
      <c r="L39" s="283">
        <f>SUMIFS(Lending!V:V,Lending!$C:$C,"Cashloan",Lending!$L:$L,$B$39)</f>
        <v>159220972.98391071</v>
      </c>
      <c r="M39" s="283">
        <f>SUMIFS(Lending!W:W,Lending!$C:$C,"Cashloan",Lending!$L:$L,$B$39)</f>
        <v>100615580.32080086</v>
      </c>
      <c r="N39" s="283">
        <f>SUMIFS(Lending!X:X,Lending!$C:$C,"Cashloan",Lending!$L:$L,$B$39)</f>
        <v>182055768.96216005</v>
      </c>
      <c r="O39" s="283">
        <f>SUMIFS(Lending!Y:Y,Lending!$C:$C,"Cashloan",Lending!$L:$L,$B$39)</f>
        <v>208344824.46510589</v>
      </c>
      <c r="P39" s="283">
        <f>SUMIFS(Lending!Z:Z,Lending!$C:$C,"Cashloan",Lending!$L:$L,$B$39)</f>
        <v>207666805.35088351</v>
      </c>
      <c r="Q39" s="283">
        <f>SUMIFS(Lending!AA:AA,Lending!$C:$C,"Cashloan",Lending!$L:$L,$B$39)</f>
        <v>224591588.86871761</v>
      </c>
    </row>
    <row r="40" spans="1:17">
      <c r="B40" s="1077" t="s">
        <v>627</v>
      </c>
      <c r="C40" s="1111"/>
      <c r="D40" s="1111">
        <f>D13/D10</f>
        <v>9.6749906672574187E-2</v>
      </c>
      <c r="E40" s="1111">
        <f t="shared" ref="E40:Q40" si="1">E13/E10</f>
        <v>9.3256078694511857E-2</v>
      </c>
      <c r="F40" s="1111">
        <f t="shared" si="1"/>
        <v>0.10205075272307546</v>
      </c>
      <c r="G40" s="1111">
        <f t="shared" si="1"/>
        <v>8.5596570124846255E-2</v>
      </c>
      <c r="H40" s="1111">
        <f t="shared" si="1"/>
        <v>8.4693327516811079E-2</v>
      </c>
      <c r="I40" s="1111">
        <f t="shared" si="1"/>
        <v>7.8584215685918182E-2</v>
      </c>
      <c r="J40" s="1111">
        <f t="shared" si="1"/>
        <v>7.7667636903998069E-2</v>
      </c>
      <c r="K40" s="1111">
        <f>J13/J10</f>
        <v>7.7667636903998069E-2</v>
      </c>
      <c r="L40" s="1111">
        <f t="shared" si="1"/>
        <v>5.8523351081009388E-2</v>
      </c>
      <c r="M40" s="1111">
        <f t="shared" si="1"/>
        <v>5.3201937638595577E-2</v>
      </c>
      <c r="N40" s="1111">
        <f>N13/N10</f>
        <v>4.6245221346359507E-2</v>
      </c>
      <c r="O40" s="1111">
        <f t="shared" si="1"/>
        <v>4.0668908171085767E-2</v>
      </c>
      <c r="P40" s="1111">
        <f t="shared" si="1"/>
        <v>3.800316834278334E-2</v>
      </c>
      <c r="Q40" s="1111">
        <f t="shared" si="1"/>
        <v>3.6007091561583257E-2</v>
      </c>
    </row>
    <row r="41" spans="1:17" s="1097" customFormat="1">
      <c r="B41" s="1110" t="s">
        <v>628</v>
      </c>
      <c r="C41" s="1112"/>
      <c r="D41" s="1112">
        <f>D15/D10</f>
        <v>0.10443382425186953</v>
      </c>
      <c r="E41" s="1112">
        <f t="shared" ref="E41:Q41" si="2">E15/E10</f>
        <v>0.10630616865267604</v>
      </c>
      <c r="F41" s="1112">
        <f t="shared" si="2"/>
        <v>0.11021234987653081</v>
      </c>
      <c r="G41" s="1112">
        <f t="shared" si="2"/>
        <v>9.4600726909362914E-2</v>
      </c>
      <c r="H41" s="1112">
        <f t="shared" si="2"/>
        <v>9.935680479840249E-2</v>
      </c>
      <c r="I41" s="1112">
        <f t="shared" si="2"/>
        <v>8.8561684967308735E-2</v>
      </c>
      <c r="J41" s="1112">
        <f t="shared" si="2"/>
        <v>8.6496489223964509E-2</v>
      </c>
      <c r="K41" s="1112">
        <f>J15/J10</f>
        <v>8.6496489223964509E-2</v>
      </c>
      <c r="L41" s="1112">
        <f t="shared" si="2"/>
        <v>6.6795879820441453E-2</v>
      </c>
      <c r="M41" s="1112">
        <f t="shared" si="2"/>
        <v>6.1154394064117684E-2</v>
      </c>
      <c r="N41" s="1112">
        <f>N15/N10</f>
        <v>5.8493104356474923E-2</v>
      </c>
      <c r="O41" s="1112">
        <f t="shared" si="2"/>
        <v>4.7264987217367944E-2</v>
      </c>
      <c r="P41" s="1112">
        <f>P15/P10</f>
        <v>4.4986818423102343E-2</v>
      </c>
      <c r="Q41" s="1112">
        <f t="shared" si="2"/>
        <v>4.8770775770774072E-2</v>
      </c>
    </row>
    <row r="42" spans="1:17">
      <c r="B42" s="286" t="s">
        <v>236</v>
      </c>
      <c r="C42" s="1108">
        <f>SUMIFS(Lending!M:M,Lending!$C:$C,"Cashloan",Lending!$L:$L,$B$42)</f>
        <v>546064777787.46185</v>
      </c>
      <c r="D42" s="1108">
        <f>SUMIFS(Lending!N:N,Lending!$C:$C,"Cashloan",Lending!$L:$L,$B$42)</f>
        <v>29802495438.285976</v>
      </c>
      <c r="E42" s="1108">
        <f>SUMIFS(Lending!O:O,Lending!$C:$C,"Cashloan",Lending!$L:$L,$B$42)</f>
        <v>28902184726.581348</v>
      </c>
      <c r="F42" s="1108">
        <f>SUMIFS(Lending!P:P,Lending!$C:$C,"Cashloan",Lending!$L:$L,$B$42)</f>
        <v>3948900246.2238102</v>
      </c>
      <c r="G42" s="1108">
        <f>SUMIFS(Lending!Q:Q,Lending!$C:$C,"Cashloan",Lending!$L:$L,$B$42)</f>
        <v>13176522537.635794</v>
      </c>
      <c r="H42" s="1108">
        <f>SUMIFS(Lending!R:R,Lending!$C:$C,"Cashloan",Lending!$L:$L,$B$42)</f>
        <v>20845875516.736954</v>
      </c>
      <c r="I42" s="1108">
        <f>SUMIFS(Lending!S:S,Lending!$C:$C,"Cashloan",Lending!$L:$L,$B$42)</f>
        <v>32668006400.905773</v>
      </c>
      <c r="J42" s="1108">
        <f>SUMIFS(Lending!T:T,Lending!$C:$C,"Cashloan",Lending!$L:$L,$B$42)</f>
        <v>26277605164.45039</v>
      </c>
      <c r="K42" s="1108">
        <f>SUMIFS(Lending!U:U,Lending!$C:$C,"Cashloan",Lending!$L:$L,$B$42)</f>
        <v>35140959445.170021</v>
      </c>
      <c r="L42" s="1108">
        <f>SUMIFS(Lending!V:V,Lending!$C:$C,"Cashloan",Lending!$L:$L,$B$42)</f>
        <v>55535416789.01609</v>
      </c>
      <c r="M42" s="1108">
        <f>SUMIFS(Lending!W:W,Lending!$C:$C,"Cashloan",Lending!$L:$L,$B$42)</f>
        <v>62094948515.981651</v>
      </c>
      <c r="N42" s="1108">
        <f>SUMIFS(Lending!X:X,Lending!$C:$C,"Cashloan",Lending!$L:$L,$B$42)</f>
        <v>60314368569.011993</v>
      </c>
      <c r="O42" s="1108">
        <f>SUMIFS(Lending!Y:Y,Lending!$C:$C,"Cashloan",Lending!$L:$L,$B$42)</f>
        <v>89055035258.824875</v>
      </c>
      <c r="P42" s="1108">
        <f>SUMIFS(Lending!Z:Z,Lending!$C:$C,"Cashloan",Lending!$L:$L,$B$42)</f>
        <v>78379047285.743118</v>
      </c>
      <c r="Q42" s="1108">
        <f>SUMIFS(Lending!AA:AA,Lending!$C:$C,"Cashloan",Lending!$L:$L,$B$42)</f>
        <v>68628092057.761276</v>
      </c>
    </row>
    <row r="44" spans="1:17">
      <c r="M44" s="34"/>
    </row>
    <row r="45" spans="1:17">
      <c r="M45" s="34"/>
    </row>
    <row r="47" spans="1:17">
      <c r="C47" s="34"/>
    </row>
    <row r="48" spans="1:17">
      <c r="J48" s="34"/>
    </row>
    <row r="49" spans="1:18">
      <c r="C49" t="s">
        <v>716</v>
      </c>
      <c r="D49" t="s">
        <v>717</v>
      </c>
      <c r="E49" t="s">
        <v>718</v>
      </c>
      <c r="N49" t="s">
        <v>719</v>
      </c>
      <c r="O49" t="s">
        <v>214</v>
      </c>
    </row>
    <row r="50" spans="1:18">
      <c r="B50" s="82" t="s">
        <v>544</v>
      </c>
      <c r="C50" s="147">
        <f>Lending!T60</f>
        <v>125809078154</v>
      </c>
      <c r="D50" s="104">
        <f>Lending!T63</f>
        <v>0.10672507793285409</v>
      </c>
      <c r="M50" t="s">
        <v>545</v>
      </c>
      <c r="N50" s="34">
        <f>Q15</f>
        <v>282921377722</v>
      </c>
      <c r="O50" s="526">
        <f>Q41</f>
        <v>4.8770775770774072E-2</v>
      </c>
    </row>
    <row r="51" spans="1:18">
      <c r="B51" s="82" t="s">
        <v>550</v>
      </c>
      <c r="C51" s="147">
        <f>Lending!T99</f>
        <v>434134510</v>
      </c>
      <c r="D51" s="104">
        <f>Lending!T102</f>
        <v>4.723084708769397E-2</v>
      </c>
      <c r="M51" t="s">
        <v>566</v>
      </c>
      <c r="N51" s="34">
        <f>Q74</f>
        <v>38257561749</v>
      </c>
      <c r="O51" s="526">
        <f>Q100</f>
        <v>5.7966725500775841E-2</v>
      </c>
    </row>
    <row r="52" spans="1:18">
      <c r="B52" s="82" t="s">
        <v>551</v>
      </c>
      <c r="C52" s="147">
        <f>Lending!T138</f>
        <v>3364787226</v>
      </c>
      <c r="D52" s="104">
        <f>Lending!T141</f>
        <v>0.29777964986105376</v>
      </c>
      <c r="M52" t="s">
        <v>720</v>
      </c>
      <c r="N52" s="89">
        <f>Lending!AA489</f>
        <v>23915922155</v>
      </c>
      <c r="O52" s="526">
        <f>Lending!AA492</f>
        <v>0.15328354759945079</v>
      </c>
    </row>
    <row r="53" spans="1:18">
      <c r="B53" s="82" t="s">
        <v>552</v>
      </c>
      <c r="C53" s="147">
        <f>Lending!T177</f>
        <v>12467400262</v>
      </c>
      <c r="D53" s="104">
        <f>Lending!T180</f>
        <v>0.35890809883598285</v>
      </c>
    </row>
    <row r="54" spans="1:18">
      <c r="B54" s="82" t="s">
        <v>721</v>
      </c>
      <c r="C54" s="147">
        <f>Lending!T216</f>
        <v>60686203867</v>
      </c>
      <c r="D54" s="104">
        <f>Lending!T219</f>
        <v>6.4403502473895397E-2</v>
      </c>
    </row>
    <row r="55" spans="1:18">
      <c r="B55" s="82" t="s">
        <v>554</v>
      </c>
      <c r="C55" s="147">
        <f>Lending!T255</f>
        <v>2196763514</v>
      </c>
      <c r="D55" s="104">
        <f>Lending!T258</f>
        <v>1.9415137376934358E-2</v>
      </c>
    </row>
    <row r="56" spans="1:18">
      <c r="B56" s="82" t="s">
        <v>555</v>
      </c>
      <c r="C56" s="147">
        <f>Lending!T294</f>
        <v>546025379</v>
      </c>
      <c r="D56" s="104">
        <f>Lending!T297</f>
        <v>9.4250477145253232E-3</v>
      </c>
    </row>
    <row r="57" spans="1:18">
      <c r="B57" s="82" t="s">
        <v>567</v>
      </c>
      <c r="C57" s="147">
        <f>Lending!T528</f>
        <v>24620483289</v>
      </c>
      <c r="D57" s="104">
        <f>Lending!T531</f>
        <v>0.14029306536296149</v>
      </c>
    </row>
    <row r="58" spans="1:18">
      <c r="B58" s="82" t="s">
        <v>568</v>
      </c>
      <c r="C58" s="147">
        <f>Lending!T567</f>
        <v>13990298</v>
      </c>
      <c r="D58" s="104">
        <f>Lending!T570</f>
        <v>1.9888581959526929E-2</v>
      </c>
    </row>
    <row r="59" spans="1:18">
      <c r="C59" s="147">
        <f>C57+C58</f>
        <v>24634473587</v>
      </c>
    </row>
    <row r="60" spans="1:18">
      <c r="F60" s="7"/>
      <c r="K60" s="34"/>
      <c r="L60" s="34"/>
    </row>
    <row r="61" spans="1:18" ht="32">
      <c r="A61" s="34"/>
      <c r="B61" s="82" t="s">
        <v>185</v>
      </c>
      <c r="C61" s="82" t="s">
        <v>8</v>
      </c>
      <c r="D61" s="83">
        <v>45597</v>
      </c>
      <c r="E61" s="83">
        <v>45627</v>
      </c>
      <c r="F61" s="83">
        <v>45658</v>
      </c>
      <c r="G61" s="83">
        <v>45689</v>
      </c>
      <c r="H61" s="83">
        <v>45717</v>
      </c>
      <c r="I61" s="83">
        <v>45748</v>
      </c>
      <c r="J61" s="83">
        <v>45778</v>
      </c>
      <c r="K61" s="83">
        <v>45809</v>
      </c>
      <c r="L61" s="83">
        <v>45839</v>
      </c>
      <c r="M61" s="83">
        <v>45870</v>
      </c>
      <c r="N61" s="83">
        <v>45901</v>
      </c>
      <c r="O61" s="83">
        <v>45931</v>
      </c>
      <c r="P61" s="83">
        <v>45962</v>
      </c>
      <c r="Q61" s="83">
        <v>45992</v>
      </c>
      <c r="R61" s="84" t="s">
        <v>9</v>
      </c>
    </row>
    <row r="62" spans="1:18">
      <c r="B62" s="82" t="s">
        <v>722</v>
      </c>
      <c r="F62" s="7"/>
      <c r="G62" s="7"/>
      <c r="H62" s="7"/>
      <c r="I62" s="7"/>
      <c r="J62" s="7"/>
      <c r="K62" s="7"/>
      <c r="L62" s="7"/>
    </row>
    <row r="63" spans="1:18">
      <c r="B63" s="1052" t="s">
        <v>193</v>
      </c>
      <c r="C63" s="7">
        <f>SUMIFS(Lending!M:M,Lending!$C:$C,"Payday",Lending!$L:$L,$B$63)</f>
        <v>1054120</v>
      </c>
      <c r="D63" s="7">
        <f>SUMIFS(Lending!N:N,Lending!$C:$C,"Payday",Lending!$L:$L,$B$63)</f>
        <v>33114</v>
      </c>
      <c r="E63" s="7">
        <f>SUMIFS(Lending!O:O,Lending!$C:$C,"Payday",Lending!$L:$L,$B$63)</f>
        <v>45673</v>
      </c>
      <c r="F63" s="7">
        <f>SUMIFS(Lending!P:P,Lending!$C:$C,"Payday",Lending!$L:$L,$B$63)</f>
        <v>37557</v>
      </c>
      <c r="G63" s="7">
        <f>SUMIFS(Lending!Q:Q,Lending!$C:$C,"Payday",Lending!$L:$L,$B$63)</f>
        <v>35357</v>
      </c>
      <c r="H63" s="7">
        <f>SUMIFS(Lending!R:R,Lending!$C:$C,"Payday",Lending!$L:$L,$B$63)</f>
        <v>42315</v>
      </c>
      <c r="I63" s="7">
        <f>SUMIFS(Lending!S:S,Lending!$C:$C,"Payday",Lending!$L:$L,$B$63)</f>
        <v>40433</v>
      </c>
      <c r="J63" s="7">
        <f>SUMIFS(Lending!T:T,Lending!$C:$C,"Payday",Lending!$L:$L,$B$63)</f>
        <v>40883</v>
      </c>
      <c r="K63" s="7">
        <f>SUMIFS(Lending!U:U,Lending!$C:$C,"Payday",Lending!$L:$L,$B$63)</f>
        <v>37045</v>
      </c>
      <c r="L63" s="7">
        <f>SUMIFS(Lending!V:V,Lending!$C:$C,"Payday",Lending!$L:$L,$B$63)</f>
        <v>63333</v>
      </c>
      <c r="M63" s="7">
        <f>SUMIFS(Lending!W:W,Lending!$C:$C,"Payday",Lending!$L:$L,$B$63)</f>
        <v>92113</v>
      </c>
      <c r="N63" s="7">
        <f>SUMIFS(Lending!X:X,Lending!$C:$C,"Payday",Lending!$L:$L,$B$63)</f>
        <v>137889</v>
      </c>
      <c r="O63" s="7">
        <f>SUMIFS(Lending!Y:Y,Lending!$C:$C,"Payday",Lending!$L:$L,$B$63)</f>
        <v>170644</v>
      </c>
      <c r="P63" s="7">
        <f>SUMIFS(Lending!Z:Z,Lending!$C:$C,"Payday",Lending!$L:$L,$B$63)</f>
        <v>168520</v>
      </c>
      <c r="Q63" s="7">
        <f>SUMIFS(Lending!AA:AA,Lending!$C:$C,"Payday",Lending!$L:$L,$B$63)</f>
        <v>188031</v>
      </c>
      <c r="R63" s="34">
        <f>Q63-P63</f>
        <v>19511</v>
      </c>
    </row>
    <row r="64" spans="1:18">
      <c r="B64" s="1052" t="s">
        <v>527</v>
      </c>
      <c r="C64" s="7">
        <f>SUMIFS(Lending!M:M,Lending!$C:$C,"Payday",Lending!$L:$L,$B$64)</f>
        <v>752854</v>
      </c>
      <c r="D64" s="7">
        <f>SUMIFS(Lending!N:N,Lending!$C:$C,"Payday",Lending!$L:$L,$B$64)</f>
        <v>24309</v>
      </c>
      <c r="E64" s="7">
        <f>SUMIFS(Lending!O:O,Lending!$C:$C,"Payday",Lending!$L:$L,$B$64)</f>
        <v>33045</v>
      </c>
      <c r="F64" s="7">
        <f>SUMIFS(Lending!P:P,Lending!$C:$C,"Payday",Lending!$L:$L,$B$64)</f>
        <v>27924</v>
      </c>
      <c r="G64" s="7">
        <f>SUMIFS(Lending!Q:Q,Lending!$C:$C,"Payday",Lending!$L:$L,$B$64)</f>
        <v>27511</v>
      </c>
      <c r="H64" s="7">
        <f>SUMIFS(Lending!R:R,Lending!$C:$C,"Payday",Lending!$L:$L,$B$64)</f>
        <v>32654</v>
      </c>
      <c r="I64" s="7">
        <f>SUMIFS(Lending!S:S,Lending!$C:$C,"Payday",Lending!$L:$L,$B$64)</f>
        <v>31471</v>
      </c>
      <c r="J64" s="7">
        <f>SUMIFS(Lending!T:T,Lending!$C:$C,"Payday",Lending!$L:$L,$B$64)</f>
        <v>32835</v>
      </c>
      <c r="K64" s="7">
        <f>SUMIFS(Lending!U:U,Lending!$C:$C,"Payday",Lending!$L:$L,$B$64)</f>
        <v>32234</v>
      </c>
      <c r="L64" s="7">
        <f>SUMIFS(Lending!V:V,Lending!$C:$C,"Payday",Lending!$L:$L,$B$64)</f>
        <v>33337</v>
      </c>
      <c r="M64" s="7">
        <f>SUMIFS(Lending!W:W,Lending!$C:$C,"Payday",Lending!$L:$L,$B$64)</f>
        <v>55651</v>
      </c>
      <c r="N64" s="7">
        <f>SUMIFS(Lending!X:X,Lending!$C:$C,"Payday",Lending!$L:$L,$B$64)</f>
        <v>87634</v>
      </c>
      <c r="O64" s="7">
        <f>SUMIFS(Lending!Y:Y,Lending!$C:$C,"Payday",Lending!$L:$L,$B$64)</f>
        <v>122150</v>
      </c>
      <c r="P64" s="7">
        <f>SUMIFS(Lending!Z:Z,Lending!$C:$C,"Payday",Lending!$L:$L,$B$64)</f>
        <v>125846</v>
      </c>
      <c r="Q64" s="7">
        <f>SUMIFS(Lending!AA:AA,Lending!$C:$C,"Payday",Lending!$L:$L,$B$64)</f>
        <v>143607</v>
      </c>
      <c r="R64" s="34"/>
    </row>
    <row r="65" spans="1:26">
      <c r="B65" s="1052" t="s">
        <v>194</v>
      </c>
      <c r="C65" s="7">
        <f>SUMIFS(Lending!M:M,Lending!$C:$C,"Payday",Lending!$L:$L,$B$65)</f>
        <v>103198</v>
      </c>
      <c r="D65" s="7">
        <f>SUMIFS(Lending!N:N,Lending!$C:$C,"Payday",Lending!$L:$L,$B$65)</f>
        <v>44922</v>
      </c>
      <c r="E65" s="7">
        <f>SUMIFS(Lending!O:O,Lending!$C:$C,"Payday",Lending!$L:$L,$B$65)</f>
        <v>55034</v>
      </c>
      <c r="F65" s="7">
        <f>SUMIFS(Lending!P:P,Lending!$C:$C,"Payday",Lending!$L:$L,$B$65)</f>
        <v>48569</v>
      </c>
      <c r="G65" s="7">
        <f>SUMIFS(Lending!Q:Q,Lending!$C:$C,"Payday",Lending!$L:$L,$B$65)</f>
        <v>43818</v>
      </c>
      <c r="H65" s="7">
        <f>SUMIFS(Lending!R:R,Lending!$C:$C,"Payday",Lending!$L:$L,$B$65)</f>
        <v>45385</v>
      </c>
      <c r="I65" s="7">
        <f>SUMIFS(Lending!S:S,Lending!$C:$C,"Payday",Lending!$L:$L,$B$65)</f>
        <v>44806</v>
      </c>
      <c r="J65" s="7">
        <f>SUMIFS(Lending!T:T,Lending!$C:$C,"Payday",Lending!$L:$L,$B$65)</f>
        <v>44647</v>
      </c>
      <c r="K65" s="7">
        <f>SUMIFS(Lending!U:U,Lending!$C:$C,"Payday",Lending!$L:$L,$B$65)</f>
        <v>42621</v>
      </c>
      <c r="L65" s="7">
        <f>SUMIFS(Lending!V:V,Lending!$C:$C,"Payday",Lending!$L:$L,$B$65)</f>
        <v>45925</v>
      </c>
      <c r="M65" s="7">
        <f>SUMIFS(Lending!W:W,Lending!$C:$C,"Payday",Lending!$L:$L,$B$65)</f>
        <v>83734</v>
      </c>
      <c r="N65" s="7">
        <f>SUMIFS(Lending!X:X,Lending!$C:$C,"Payday",Lending!$L:$L,$B$65)</f>
        <v>127388</v>
      </c>
      <c r="O65" s="7">
        <f>SUMIFS(Lending!Y:Y,Lending!$C:$C,"Payday",Lending!$L:$L,$B$65)</f>
        <v>151899</v>
      </c>
      <c r="P65" s="7">
        <f>SUMIFS(Lending!Z:Z,Lending!$C:$C,"Payday",Lending!$L:$L,$B$65)</f>
        <v>165822</v>
      </c>
      <c r="Q65" s="7">
        <f>SUMIFS(Lending!AA:AA,Lending!$C:$C,"Payday",Lending!$L:$L,$B$65)</f>
        <v>184132</v>
      </c>
    </row>
    <row r="66" spans="1:26">
      <c r="B66" s="282" t="s">
        <v>80</v>
      </c>
      <c r="C66" s="7">
        <f>SUMIFS(Lending!M:M,Lending!$C:$C,"Payday",Lending!$L:$L,$B$66)</f>
        <v>3812960136000</v>
      </c>
      <c r="D66" s="7">
        <f>SUMIFS(Lending!N:N,Lending!$C:$C,"Payday",Lending!$L:$L,$B$66)</f>
        <v>123940000000</v>
      </c>
      <c r="E66" s="7">
        <f>SUMIFS(Lending!O:O,Lending!$C:$C,"Payday",Lending!$L:$L,$B$66)</f>
        <v>170972500000</v>
      </c>
      <c r="F66" s="7">
        <f>SUMIFS(Lending!P:P,Lending!$C:$C,"Payday",Lending!$L:$L,$B$66)</f>
        <v>141375000000</v>
      </c>
      <c r="G66" s="7">
        <f>SUMIFS(Lending!Q:Q,Lending!$C:$C,"Payday",Lending!$L:$L,$B$66)</f>
        <v>133485000000</v>
      </c>
      <c r="H66" s="7">
        <f>SUMIFS(Lending!R:R,Lending!$C:$C,"Payday",Lending!$L:$L,$B$66)</f>
        <v>158817500000</v>
      </c>
      <c r="I66" s="7">
        <f>SUMIFS(Lending!S:S,Lending!$C:$C,"Payday",Lending!$L:$L,$B$66)</f>
        <v>163797828000</v>
      </c>
      <c r="J66" s="7">
        <f>SUMIFS(Lending!T:T,Lending!$C:$C,"Payday",Lending!$L:$L,$B$66)</f>
        <v>167858172000</v>
      </c>
      <c r="K66" s="7">
        <f>SUMIFS(Lending!U:U,Lending!$C:$C,"Payday",Lending!$L:$L,$B$66)</f>
        <v>164604632000</v>
      </c>
      <c r="L66" s="7">
        <f>SUMIFS(Lending!V:V,Lending!$C:$C,"Payday",Lending!$L:$L,$B$66)</f>
        <v>236641260000</v>
      </c>
      <c r="M66" s="7">
        <f>SUMIFS(Lending!W:W,Lending!$C:$C,"Payday",Lending!$L:$L,$B$66)</f>
        <v>314000196000</v>
      </c>
      <c r="N66" s="7">
        <f>SUMIFS(Lending!X:X,Lending!$C:$C,"Payday",Lending!$L:$L,$B$66)</f>
        <v>468367516000</v>
      </c>
      <c r="O66" s="7">
        <f>SUMIFS(Lending!Y:Y,Lending!$C:$C,"Payday",Lending!$L:$L,$B$66)</f>
        <v>591173880000</v>
      </c>
      <c r="P66" s="7">
        <f>SUMIFS(Lending!Z:Z,Lending!$C:$C,"Payday",Lending!$L:$L,$B$66)</f>
        <v>573628436000</v>
      </c>
      <c r="Q66" s="7">
        <f>SUMIFS(Lending!AA:AA,Lending!$C:$C,"Payday",Lending!$L:$L,$B$66)</f>
        <v>699210716000</v>
      </c>
      <c r="S66" s="34">
        <f>P66-O66</f>
        <v>-17545444000</v>
      </c>
      <c r="T66" s="7">
        <v>381607356000</v>
      </c>
      <c r="U66" s="80">
        <f>T66/N66</f>
        <v>0.81476050956531321</v>
      </c>
    </row>
    <row r="67" spans="1:26">
      <c r="B67" s="282" t="s">
        <v>528</v>
      </c>
      <c r="C67" s="7">
        <f>SUMIFS(Lending!M:M,Lending!$C:$C,"Payday",Lending!$L:$L,$B$67)</f>
        <v>3812956136000</v>
      </c>
      <c r="D67" s="7">
        <f>SUMIFS(Lending!N:N,Lending!$C:$C,"Payday",Lending!$L:$L,$B$67)</f>
        <v>123940000000</v>
      </c>
      <c r="E67" s="7">
        <f>SUMIFS(Lending!O:O,Lending!$C:$C,"Payday",Lending!$L:$L,$B$67)</f>
        <v>170972500000</v>
      </c>
      <c r="F67" s="7">
        <f>SUMIFS(Lending!P:P,Lending!$C:$C,"Payday",Lending!$L:$L,$B$67)</f>
        <v>141375000000</v>
      </c>
      <c r="G67" s="7">
        <f>SUMIFS(Lending!Q:Q,Lending!$C:$C,"Payday",Lending!$L:$L,$B$67)</f>
        <v>133485000000</v>
      </c>
      <c r="H67" s="7">
        <f>SUMIFS(Lending!R:R,Lending!$C:$C,"Payday",Lending!$L:$L,$B$67)</f>
        <v>158817500000</v>
      </c>
      <c r="I67" s="7">
        <f>SUMIFS(Lending!S:S,Lending!$C:$C,"Payday",Lending!$L:$L,$B$67)</f>
        <v>163797828000</v>
      </c>
      <c r="J67" s="7">
        <f>SUMIFS(Lending!T:T,Lending!$C:$C,"Payday",Lending!$L:$L,$B$67)</f>
        <v>167858172000</v>
      </c>
      <c r="K67" s="7">
        <f>SUMIFS(Lending!U:U,Lending!$C:$C,"Payday",Lending!$L:$L,$B$67)</f>
        <v>164604632000</v>
      </c>
      <c r="L67" s="7">
        <f>SUMIFS(Lending!V:V,Lending!$C:$C,"Payday",Lending!$L:$L,$B$67)</f>
        <v>236641260000</v>
      </c>
      <c r="M67" s="7">
        <f>SUMIFS(Lending!W:W,Lending!$C:$C,"Payday",Lending!$L:$L,$B$67)</f>
        <v>314000196000</v>
      </c>
      <c r="N67" s="7">
        <f>SUMIFS(Lending!X:X,Lending!$C:$C,"Payday",Lending!$L:$L,$B$67)</f>
        <v>468367516000</v>
      </c>
      <c r="O67" s="7">
        <f>SUMIFS(Lending!Y:Y,Lending!$C:$C,"Payday",Lending!$L:$L,$B$67)</f>
        <v>591173880000</v>
      </c>
      <c r="P67" s="7">
        <f>SUMIFS(Lending!Z:Z,Lending!$C:$C,"Payday",Lending!$L:$L,$B$67)</f>
        <v>573628436000</v>
      </c>
      <c r="Q67" s="7">
        <f>SUMIFS(Lending!AA:AA,Lending!$C:$C,"Payday",Lending!$L:$L,$B$67)</f>
        <v>699206716000</v>
      </c>
      <c r="R67" s="7"/>
    </row>
    <row r="68" spans="1:26">
      <c r="B68" s="282" t="s">
        <v>529</v>
      </c>
      <c r="C68" s="7">
        <f>SUMIFS(Lending!M:M,Lending!$C:$C,"Payday",Lending!$L:$L,$B$68)</f>
        <v>0</v>
      </c>
      <c r="D68" s="7">
        <f>SUMIFS(Lending!M:M,Lending!$C:$C,"Payday",Lending!$L:$L,$B$68)</f>
        <v>0</v>
      </c>
      <c r="E68" s="7">
        <f>SUMIFS(Lending!O:O,Lending!$C:$C,"Payday",Lending!$L:$L,$B$68)</f>
        <v>0</v>
      </c>
      <c r="F68" s="7">
        <f>SUMIFS(Lending!P:P,Lending!$C:$C,"Payday",Lending!$L:$L,$B$68)</f>
        <v>0</v>
      </c>
      <c r="G68" s="7">
        <f>SUMIFS(Lending!Q:Q,Lending!$C:$C,"Payday",Lending!$L:$L,$B$68)</f>
        <v>0</v>
      </c>
      <c r="H68" s="7">
        <f>SUMIFS(Lending!R:R,Lending!$C:$C,"Payday",Lending!$L:$L,$B$68)</f>
        <v>0</v>
      </c>
      <c r="I68" s="7">
        <f>SUMIFS(Lending!S:S,Lending!$C:$C,"Payday",Lending!$L:$L,$B$68)</f>
        <v>0</v>
      </c>
      <c r="J68" s="7">
        <f>SUMIFS(Lending!T:T,Lending!$C:$C,"Payday",Lending!$L:$L,$B$68)</f>
        <v>0</v>
      </c>
      <c r="K68" s="7">
        <f>SUMIFS(Lending!U:U,Lending!$C:$C,"Payday",Lending!$L:$L,$B$68)</f>
        <v>0</v>
      </c>
      <c r="L68" s="7">
        <f>SUMIFS(Lending!V:V,Lending!$C:$C,"Payday",Lending!$L:$L,$B$68)</f>
        <v>0</v>
      </c>
      <c r="M68" s="7">
        <f>SUMIFS(Lending!W:W,Lending!$C:$C,"Payday",Lending!$L:$L,$B$68)</f>
        <v>0</v>
      </c>
      <c r="N68" s="7">
        <f>SUMIFS(Lending!X:X,Lending!$C:$C,"Payday",Lending!$L:$L,$B$68)</f>
        <v>0</v>
      </c>
      <c r="O68" s="7">
        <f>SUMIFS(Lending!Y:Y,Lending!$C:$C,"Payday",Lending!$L:$L,$B$68)</f>
        <v>0</v>
      </c>
      <c r="P68" s="7">
        <f>SUMIFS(Lending!Z:Z,Lending!$C:$C,"Payday",Lending!$L:$L,$B$68)</f>
        <v>0</v>
      </c>
      <c r="Q68" s="7">
        <f>SUMIFS(Lending!AA:AA,Lending!$C:$C,"Payday",Lending!$L:$L,$B$68)</f>
        <v>0</v>
      </c>
    </row>
    <row r="69" spans="1:26">
      <c r="B69" s="282" t="s">
        <v>530</v>
      </c>
      <c r="C69" s="7">
        <f>SUMIFS(Lending!M:M,Lending!$C:$C,"Payday",Lending!$L:$L,$B$69)</f>
        <v>659991769735</v>
      </c>
      <c r="D69" s="7">
        <f>SUMIFS(Lending!N:N,Lending!$C:$C,"Payday",Lending!$L:$L,$B$69)</f>
        <v>151818059550</v>
      </c>
      <c r="E69" s="7">
        <f>SUMIFS(Lending!O:O,Lending!$C:$C,"Payday",Lending!$L:$L,$B$69)</f>
        <v>187141677121</v>
      </c>
      <c r="F69" s="7">
        <f>SUMIFS(Lending!P:P,Lending!$C:$C,"Payday",Lending!$L:$L,$B$69)</f>
        <v>175920657071</v>
      </c>
      <c r="G69" s="7">
        <f>SUMIFS(Lending!Q:Q,Lending!$C:$C,"Payday",Lending!$L:$L,$B$69)</f>
        <v>160895056264</v>
      </c>
      <c r="H69" s="7">
        <f>SUMIFS(Lending!R:R,Lending!$C:$C,"Payday",Lending!$L:$L,$B$69)</f>
        <v>166348729244</v>
      </c>
      <c r="I69" s="7">
        <f>SUMIFS(Lending!S:S,Lending!$C:$C,"Payday",Lending!$L:$L,$B$69)</f>
        <v>172651980581</v>
      </c>
      <c r="J69" s="7">
        <f>SUMIFS(Lending!T:T,Lending!$C:$C,"Payday",Lending!$L:$L,$B$69)</f>
        <v>176196664386</v>
      </c>
      <c r="K69" s="7">
        <f>SUMIFS(Lending!U:U,Lending!$C:$C,"Payday",Lending!$L:$L,$B$69)</f>
        <v>176382135341</v>
      </c>
      <c r="L69" s="7">
        <f>SUMIFS(Lending!V:V,Lending!$C:$C,"Payday",Lending!$L:$L,$B$69)</f>
        <v>234177682285</v>
      </c>
      <c r="M69" s="7">
        <f>SUMIFS(Lending!W:W,Lending!$C:$C,"Payday",Lending!$L:$L,$B$69)</f>
        <v>289145149019</v>
      </c>
      <c r="N69" s="7">
        <f>SUMIFS(Lending!X:X,Lending!$C:$C,"Payday",Lending!$L:$L,$B$69)</f>
        <v>430391655491</v>
      </c>
      <c r="O69" s="7">
        <f>SUMIFS(Lending!Y:Y,Lending!$C:$C,"Payday",Lending!$L:$L,$B$69)</f>
        <v>518885604440</v>
      </c>
      <c r="P69" s="7">
        <f>SUMIFS(Lending!Z:Z,Lending!$C:$C,"Payday",Lending!$L:$L,$B$69)</f>
        <v>561580317886</v>
      </c>
      <c r="Q69" s="7">
        <f>SUMIFS(Lending!AA:AA,Lending!$C:$C,"Payday",Lending!$L:$L,$B$69)</f>
        <v>659991769735</v>
      </c>
      <c r="R69" s="34"/>
    </row>
    <row r="70" spans="1:26">
      <c r="B70" s="1103" t="s">
        <v>531</v>
      </c>
      <c r="C70" s="7">
        <f>SUMIFS(Lending!M:M,Lending!$C:$C,"Payday",Lending!$L:$L,$B70)</f>
        <v>4913849310</v>
      </c>
      <c r="D70" s="7">
        <f>SUMIFS(Lending!N:N,Lending!$C:$C,"Payday",Lending!$L:$L,$B$70)</f>
        <v>108874517647</v>
      </c>
      <c r="E70" s="7">
        <f>SUMIFS(Lending!O:O,Lending!$C:$C,"Payday",Lending!$L:$L,$B$70)</f>
        <v>139815989172</v>
      </c>
      <c r="F70" s="7">
        <f>SUMIFS(Lending!P:P,Lending!$C:$C,"Payday",Lending!$L:$L,$B$70)</f>
        <v>125736974174</v>
      </c>
      <c r="G70" s="7">
        <f>SUMIFS(Lending!Q:Q,Lending!$C:$C,"Payday",Lending!$L:$L,$B$70)</f>
        <v>120903183307</v>
      </c>
      <c r="H70" s="7">
        <f>SUMIFS(Lending!R:R,Lending!$C:$C,"Payday",Lending!$L:$L,$B$70)</f>
        <v>126268112832</v>
      </c>
      <c r="I70" s="7">
        <f>SUMIFS(Lending!S:S,Lending!$C:$C,"Payday",Lending!$L:$L,$B$70)</f>
        <v>130882226527</v>
      </c>
      <c r="J70" s="7">
        <f>SUMIFS(Lending!T:T,Lending!$C:$C,"Payday",Lending!$L:$L,$B$70)</f>
        <v>133075545709</v>
      </c>
      <c r="K70" s="7">
        <f>SUMIFS(Lending!U:U,Lending!$C:$C,"Payday",Lending!$L:$L,$B$70)</f>
        <v>132844175133</v>
      </c>
      <c r="L70" s="7">
        <f>SUMIFS(Lending!V:V,Lending!$C:$C,"Payday",Lending!$L:$L,$B$70)</f>
        <v>187653696383</v>
      </c>
      <c r="M70" s="7">
        <f>SUMIFS(Lending!W:W,Lending!$C:$C,"Payday",Lending!$L:$L,$B$70)</f>
        <v>237108785375</v>
      </c>
      <c r="N70" s="7">
        <f>SUMIFS(Lending!X:X,Lending!$C:$C,"Payday",Lending!$L:$L,$B$70)</f>
        <v>371270208906</v>
      </c>
      <c r="O70" s="7">
        <f>SUMIFS(Lending!Y:Y,Lending!$C:$C,"Payday",Lending!$L:$L,$B$70)</f>
        <v>433693141086</v>
      </c>
      <c r="P70" s="7">
        <f>SUMIFS(Lending!Z:Z,Lending!$C:$C,"Payday",Lending!$L:$L,$B$70)</f>
        <v>451201475699</v>
      </c>
      <c r="Q70" s="7">
        <f>SUMIFS(Lending!AA:AA,Lending!$C:$C,"Payday",Lending!$L:$L,$B$70)</f>
        <v>528141429989</v>
      </c>
      <c r="R70" s="281"/>
    </row>
    <row r="71" spans="1:26">
      <c r="B71" s="1103" t="s">
        <v>532</v>
      </c>
      <c r="C71" s="7">
        <f>SUMIFS(Lending!M:M,Lending!$C:$C,"Payday",Lending!$L:$L,$B71)</f>
        <v>0</v>
      </c>
      <c r="D71" s="7">
        <f>SUMIFS(Lending!N:N,Lending!$C:$C,"Payday",Lending!$L:$L,$B$71)</f>
        <v>42943541903</v>
      </c>
      <c r="E71" s="7">
        <f>SUMIFS(Lending!O:O,Lending!$C:$C,"Payday",Lending!$L:$L,$B$71)</f>
        <v>47325687949</v>
      </c>
      <c r="F71" s="7">
        <f>SUMIFS(Lending!P:P,Lending!$C:$C,"Payday",Lending!$L:$L,$B$71)</f>
        <v>50183682897</v>
      </c>
      <c r="G71" s="7">
        <f>SUMIFS(Lending!Q:Q,Lending!$C:$C,"Payday",Lending!$L:$L,$B$71)</f>
        <v>39991872957</v>
      </c>
      <c r="H71" s="7">
        <f>SUMIFS(Lending!R:R,Lending!$C:$C,"Payday",Lending!$L:$L,$B$71)</f>
        <v>40080616412</v>
      </c>
      <c r="I71" s="7">
        <f>SUMIFS(Lending!S:S,Lending!$C:$C,"Payday",Lending!$L:$L,$B$71)</f>
        <v>41769754054</v>
      </c>
      <c r="J71" s="7">
        <f>SUMIFS(Lending!T:T,Lending!$C:$C,"Payday",Lending!$L:$L,$B$71)</f>
        <v>43121118677</v>
      </c>
      <c r="K71" s="7">
        <f>SUMIFS(Lending!U:U,Lending!$C:$C,"Payday",Lending!$L:$L,$B$71)</f>
        <v>43537960208</v>
      </c>
      <c r="L71" s="7">
        <f>SUMIFS(Lending!V:V,Lending!$C:$C,"Payday",Lending!$L:$L,$B$71)</f>
        <v>46523985902</v>
      </c>
      <c r="M71" s="7">
        <f>SUMIFS(Lending!W:W,Lending!$C:$C,"Payday",Lending!$L:$L,$B$71)</f>
        <v>52036363644</v>
      </c>
      <c r="N71" s="7">
        <f>SUMIFS(Lending!X:X,Lending!$C:$C,"Payday",Lending!$L:$L,$B$71)</f>
        <v>59121446585</v>
      </c>
      <c r="O71" s="7">
        <f>SUMIFS(Lending!Y:Y,Lending!$C:$C,"Payday",Lending!$L:$L,$B$71)</f>
        <v>85192463354</v>
      </c>
      <c r="P71" s="7">
        <f>SUMIFS(Lending!Z:Z,Lending!$C:$C,"Payday",Lending!$L:$L,$B$71)</f>
        <v>110378842187</v>
      </c>
      <c r="Q71" s="7">
        <f>SUMIFS(Lending!AA:AA,Lending!$C:$C,"Payday",Lending!$L:$L,$B$71)</f>
        <v>131850339746</v>
      </c>
    </row>
    <row r="72" spans="1:26">
      <c r="A72" s="1077" t="s">
        <v>711</v>
      </c>
      <c r="B72" s="1052" t="s">
        <v>533</v>
      </c>
      <c r="C72" s="7">
        <f>SUMIFS(Lending!M:M,Lending!$C:$C,"Payday",Lending!$L:$L,$B72)</f>
        <v>0</v>
      </c>
      <c r="D72" s="7">
        <f>SUMIFS(Lending!N:N,Lending!$C:$C,"Payday",Lending!$L:$L,$B$72)</f>
        <v>26831271631</v>
      </c>
      <c r="E72" s="7">
        <f>SUMIFS(Lending!O:O,Lending!$C:$C,"Payday",Lending!$L:$L,$B$72)</f>
        <v>28502658466</v>
      </c>
      <c r="F72" s="7">
        <f>SUMIFS(Lending!P:P,Lending!$C:$C,"Payday",Lending!$L:$L,$B$72)</f>
        <v>30375032082</v>
      </c>
      <c r="G72" s="7">
        <f>SUMIFS(Lending!Q:Q,Lending!$C:$C,"Payday",Lending!$L:$L,$B$72)</f>
        <v>17303270205</v>
      </c>
      <c r="H72" s="7">
        <f>SUMIFS(Lending!R:R,Lending!$C:$C,"Payday",Lending!$L:$L,$B$72)</f>
        <v>17818853129</v>
      </c>
      <c r="I72" s="7">
        <f>SUMIFS(Lending!S:S,Lending!$C:$C,"Payday",Lending!$L:$L,$B$72)</f>
        <v>21256675204</v>
      </c>
      <c r="J72" s="7">
        <f>SUMIFS(Lending!T:T,Lending!$C:$C,"Payday",Lending!$L:$L,$B$72)</f>
        <v>23918996284</v>
      </c>
      <c r="K72" s="7">
        <f>SUMIFS(Lending!U:U,Lending!$C:$C,"Payday",Lending!$L:$L,$B$72)</f>
        <v>23995125870</v>
      </c>
      <c r="L72" s="7">
        <f>SUMIFS(Lending!V:V,Lending!$C:$C,"Payday",Lending!$L:$L,$B$72)</f>
        <v>25760665332</v>
      </c>
      <c r="M72" s="7">
        <f>SUMIFS(Lending!W:W,Lending!$C:$C,"Payday",Lending!$L:$L,$B$72)</f>
        <v>22756346235</v>
      </c>
      <c r="N72" s="7">
        <f>SUMIFS(Lending!X:X,Lending!$C:$C,"Payday",Lending!$L:$L,$B$72)</f>
        <v>21685411643</v>
      </c>
      <c r="O72" s="7">
        <f>SUMIFS(Lending!Y:Y,Lending!$C:$C,"Payday",Lending!$L:$L,$B$72)</f>
        <v>19441104790</v>
      </c>
      <c r="P72" s="7">
        <f>SUMIFS(Lending!Z:Z,Lending!$C:$C,"Payday",Lending!$L:$L,$B$72)</f>
        <v>23085737792</v>
      </c>
      <c r="Q72" s="7">
        <f>SUMIFS(Lending!AA:AA,Lending!$C:$C,"Payday",Lending!$L:$L,$B$72)</f>
        <v>28419995482</v>
      </c>
    </row>
    <row r="73" spans="1:26">
      <c r="A73" s="1109" t="s">
        <v>712</v>
      </c>
      <c r="B73" s="282" t="s">
        <v>534</v>
      </c>
      <c r="C73" s="7">
        <f>SUMIFS(Lending!M:M,Lending!$C:$C,"Payday",Lending!$L:$L,$B73)</f>
        <v>425452925</v>
      </c>
      <c r="D73" s="7">
        <f>SUMIFS(Lending!N:N,Lending!$C:$C,"Payday",Lending!$L:$L,$B$73)</f>
        <v>41793446796</v>
      </c>
      <c r="E73" s="7">
        <f>SUMIFS(Lending!O:O,Lending!$C:$C,"Payday",Lending!$L:$L,$B$73)</f>
        <v>44594127260</v>
      </c>
      <c r="F73" s="7">
        <f>SUMIFS(Lending!P:P,Lending!$C:$C,"Payday",Lending!$L:$L,$B$73)</f>
        <v>49693210613</v>
      </c>
      <c r="G73" s="7">
        <f>SUMIFS(Lending!Q:Q,Lending!$C:$C,"Payday",Lending!$L:$L,$B$73)</f>
        <v>38756959052</v>
      </c>
      <c r="H73" s="7">
        <f>SUMIFS(Lending!R:R,Lending!$C:$C,"Payday",Lending!$L:$L,$B$73)</f>
        <v>40941800119</v>
      </c>
      <c r="I73" s="7">
        <f>SUMIFS(Lending!S:S,Lending!$C:$C,"Payday",Lending!$L:$L,$B$73)</f>
        <v>39980493998</v>
      </c>
      <c r="J73" s="7">
        <f>SUMIFS(Lending!T:T,Lending!$C:$C,"Payday",Lending!$L:$L,$B$73)</f>
        <v>41654895301</v>
      </c>
      <c r="K73" s="7">
        <f>SUMIFS(Lending!U:U,Lending!$C:$C,"Payday",Lending!$L:$L,$B$73)</f>
        <v>44803322574</v>
      </c>
      <c r="L73" s="7">
        <f>SUMIFS(Lending!V:V,Lending!$C:$C,"Payday",Lending!$L:$L,$B$73)</f>
        <v>45830875571</v>
      </c>
      <c r="M73" s="7">
        <f>SUMIFS(Lending!W:W,Lending!$C:$C,"Payday",Lending!$L:$L,$B$73)</f>
        <v>47338230036</v>
      </c>
      <c r="N73" s="7">
        <f>SUMIFS(Lending!X:X,Lending!$C:$C,"Payday",Lending!$L:$L,$B$73)</f>
        <v>66564642000</v>
      </c>
      <c r="O73" s="7">
        <f>SUMIFS(Lending!Y:Y,Lending!$C:$C,"Payday",Lending!$L:$L,$B$73)</f>
        <v>77953270131</v>
      </c>
      <c r="P73" s="7">
        <f>SUMIFS(Lending!Z:Z,Lending!$C:$C,"Payday",Lending!$L:$L,$B$73)</f>
        <v>105733344899</v>
      </c>
      <c r="Q73" s="7">
        <f>SUMIFS(Lending!AA:AA,Lending!$C:$C,"Payday",Lending!$L:$L,$B$73)</f>
        <v>141160779945</v>
      </c>
    </row>
    <row r="74" spans="1:26">
      <c r="A74" s="1077" t="s">
        <v>713</v>
      </c>
      <c r="B74" s="282" t="s">
        <v>535</v>
      </c>
      <c r="C74" s="7">
        <f>SUMIFS(Lending!M:M,Lending!$C:$C,"Payday",Lending!$L:$L,$B74)</f>
        <v>0</v>
      </c>
      <c r="D74" s="7">
        <f>SUMIFS(Lending!N:N,Lending!$C:$C,"Payday",Lending!$L:$L,$B$74)</f>
        <v>27363824279</v>
      </c>
      <c r="E74" s="7">
        <f>SUMIFS(Lending!O:O,Lending!$C:$C,"Payday",Lending!$L:$L,$B$74)</f>
        <v>29574072720</v>
      </c>
      <c r="F74" s="7">
        <f>SUMIFS(Lending!P:P,Lending!$C:$C,"Payday",Lending!$L:$L,$B$74)</f>
        <v>30967054605</v>
      </c>
      <c r="G74" s="7">
        <f>SUMIFS(Lending!Q:Q,Lending!$C:$C,"Payday",Lending!$L:$L,$B$74)</f>
        <v>18083460130</v>
      </c>
      <c r="H74" s="7">
        <f>SUMIFS(Lending!R:R,Lending!$C:$C,"Payday",Lending!$L:$L,$B$74)</f>
        <v>20357935659</v>
      </c>
      <c r="I74" s="7">
        <f>SUMIFS(Lending!S:S,Lending!$C:$C,"Payday",Lending!$L:$L,$B$74)</f>
        <v>22124916676</v>
      </c>
      <c r="J74" s="7">
        <f>SUMIFS(Lending!T:T,Lending!$C:$C,"Payday",Lending!$L:$L,$B$74)</f>
        <v>24634473587</v>
      </c>
      <c r="K74" s="7">
        <f>SUMIFS(Lending!U:U,Lending!$C:$C,"Payday",Lending!$L:$L,$B$74)</f>
        <v>25476499699</v>
      </c>
      <c r="L74" s="7">
        <f>SUMIFS(Lending!V:V,Lending!$C:$C,"Payday",Lending!$L:$L,$B$74)</f>
        <v>26501928332</v>
      </c>
      <c r="M74" s="7">
        <f>SUMIFS(Lending!W:W,Lending!$C:$C,"Payday",Lending!$L:$L,$B$74)</f>
        <v>23495846935</v>
      </c>
      <c r="N74" s="7">
        <f>SUMIFS(Lending!X:X,Lending!$C:$C,"Payday",Lending!$L:$L,$B$74)</f>
        <v>23665176097</v>
      </c>
      <c r="O74" s="7">
        <f>SUMIFS(Lending!Y:Y,Lending!$C:$C,"Payday",Lending!$L:$L,$B$74)</f>
        <v>20730950663</v>
      </c>
      <c r="P74" s="7">
        <f>SUMIFS(Lending!Z:Z,Lending!$C:$C,"Payday",Lending!$L:$L,$B$74)</f>
        <v>25250618627</v>
      </c>
      <c r="Q74" s="7">
        <f>SUMIFS(Lending!AA:AA,Lending!$C:$C,"Payday",Lending!$L:$L,$B$74)</f>
        <v>38257561749</v>
      </c>
    </row>
    <row r="75" spans="1:26">
      <c r="A75" s="1109" t="s">
        <v>714</v>
      </c>
      <c r="B75" s="282" t="s">
        <v>536</v>
      </c>
      <c r="C75" s="7">
        <f>SUMIFS(Lending!M:M,Lending!$C:$C,"Payday",Lending!$L:$L,$B75)</f>
        <v>425452925</v>
      </c>
      <c r="D75" s="7">
        <f>SUMIFS(Lending!N:N,Lending!$C:$C,"Payday",Lending!$L:$L,$B$75)</f>
        <v>14429622517</v>
      </c>
      <c r="E75" s="7">
        <f>SUMIFS(Lending!O:O,Lending!$C:$C,"Payday",Lending!$L:$L,$B$75)</f>
        <v>15020054540</v>
      </c>
      <c r="F75" s="7">
        <f>SUMIFS(Lending!P:P,Lending!$C:$C,"Payday",Lending!$L:$L,$B$75)</f>
        <v>18726156008</v>
      </c>
      <c r="G75" s="7">
        <f>SUMIFS(Lending!Q:Q,Lending!$C:$C,"Payday",Lending!$L:$L,$B$75)</f>
        <v>20673498922</v>
      </c>
      <c r="H75" s="7">
        <f>SUMIFS(Lending!R:R,Lending!$C:$C,"Payday",Lending!$L:$L,$B$75)</f>
        <v>20583864460</v>
      </c>
      <c r="I75" s="7">
        <f>SUMIFS(Lending!S:S,Lending!$C:$C,"Payday",Lending!$L:$L,$B$75)</f>
        <v>17855577322</v>
      </c>
      <c r="J75" s="7">
        <f>SUMIFS(Lending!T:T,Lending!$C:$C,"Payday",Lending!$L:$L,$B$75)</f>
        <v>17020421714</v>
      </c>
      <c r="K75" s="7">
        <f>SUMIFS(Lending!U:U,Lending!$C:$C,"Payday",Lending!$L:$L,$B$75)</f>
        <v>19326822875</v>
      </c>
      <c r="L75" s="7">
        <f>SUMIFS(Lending!V:V,Lending!$C:$C,"Payday",Lending!$L:$L,$B$75)</f>
        <v>19328947239</v>
      </c>
      <c r="M75" s="7">
        <f>SUMIFS(Lending!W:W,Lending!$C:$C,"Payday",Lending!$L:$L,$B$75)</f>
        <v>23842383101</v>
      </c>
      <c r="N75" s="7">
        <f>SUMIFS(Lending!X:X,Lending!$C:$C,"Payday",Lending!$L:$L,$B$75)</f>
        <v>42890825903</v>
      </c>
      <c r="O75" s="7">
        <f>SUMIFS(Lending!Y:Y,Lending!$C:$C,"Payday",Lending!$L:$L,$B$75)</f>
        <v>57222319468</v>
      </c>
      <c r="P75" s="7">
        <f>SUMIFS(Lending!Z:Z,Lending!$C:$C,"Payday",Lending!$L:$L,$B$75)</f>
        <v>80482726272</v>
      </c>
      <c r="Q75" s="7">
        <f>SUMIFS(Lending!AA:AA,Lending!$C:$C,"Payday",Lending!$L:$L,$B$75)</f>
        <v>102903218196</v>
      </c>
    </row>
    <row r="76" spans="1:26" s="306" customFormat="1">
      <c r="B76" s="282" t="s">
        <v>537</v>
      </c>
      <c r="C76" s="307"/>
      <c r="D76" s="7">
        <f>SUMIFS(Lending!N:N,Lending!C:C,"Cashloan",Lending!L:L,B76)</f>
        <v>0.56932818362117987</v>
      </c>
      <c r="E76" s="305"/>
      <c r="F76" s="305"/>
      <c r="G76" s="305"/>
      <c r="H76" s="305"/>
      <c r="I76" s="305"/>
      <c r="J76" s="307"/>
      <c r="K76" s="307"/>
      <c r="L76" s="307"/>
      <c r="P76" s="305"/>
      <c r="Q76" s="305"/>
    </row>
    <row r="77" spans="1:26" s="306" customFormat="1">
      <c r="B77" s="282" t="s">
        <v>538</v>
      </c>
      <c r="C77" s="307"/>
      <c r="D77" s="7">
        <f>SUMIFS(Lending!N:N,Lending!C:C,"Cashloan",Lending!L:L,B77)</f>
        <v>0.62868008124988173</v>
      </c>
      <c r="E77" s="305"/>
      <c r="F77" s="305"/>
      <c r="G77" s="305"/>
      <c r="H77" s="305"/>
      <c r="I77" s="305"/>
      <c r="J77" s="307"/>
      <c r="K77" s="307"/>
      <c r="L77" s="307"/>
      <c r="P77" s="305"/>
      <c r="Q77" s="305"/>
    </row>
    <row r="78" spans="1:26" s="4" customFormat="1">
      <c r="B78" s="1051" t="s">
        <v>217</v>
      </c>
      <c r="C78" s="47">
        <f>SUMIFS(Lending!M:M,Lending!$C:$C,"Payday",Lending!$L:$L,$B$78)</f>
        <v>357209408632.84174</v>
      </c>
      <c r="D78" s="47">
        <f>SUMIFS(Lending!N:N,Lending!$C:$C,"Payday",Lending!$L:$L,$B$78)</f>
        <v>13104638620</v>
      </c>
      <c r="E78" s="47">
        <f>SUMIFS(Lending!O:O,Lending!$C:$C,"Payday",Lending!$L:$L,$B$78)</f>
        <v>17526541083.205387</v>
      </c>
      <c r="F78" s="47">
        <f>SUMIFS(Lending!P:P,Lending!$C:$C,"Payday",Lending!$L:$L,$B$78)</f>
        <v>15524875821</v>
      </c>
      <c r="G78" s="47">
        <f>SUMIFS(Lending!Q:Q,Lending!$C:$C,"Payday",Lending!$L:$L,$B$78)</f>
        <v>14035501479</v>
      </c>
      <c r="H78" s="47">
        <f>SUMIFS(Lending!R:R,Lending!$C:$C,"Payday",Lending!$L:$L,$B$78)</f>
        <v>16682503191.841753</v>
      </c>
      <c r="I78" s="47">
        <f>SUMIFS(Lending!S:S,Lending!$C:$C,"Payday",Lending!$L:$L,$B$78)</f>
        <v>16120454666</v>
      </c>
      <c r="J78" s="47">
        <f>SUMIFS(Lending!T:T,Lending!$C:$C,"Payday",Lending!$L:$L,$B$78)</f>
        <v>16563785160</v>
      </c>
      <c r="K78" s="47">
        <f>SUMIFS(Lending!U:U,Lending!$C:$C,"Payday",Lending!$L:$L,$B$78)</f>
        <v>16334634848</v>
      </c>
      <c r="L78" s="47">
        <f>SUMIFS(Lending!V:V,Lending!$C:$C,"Payday",Lending!$L:$L,$B$78)</f>
        <v>21281235457</v>
      </c>
      <c r="M78" s="47">
        <f>SUMIFS(Lending!W:W,Lending!$C:$C,"Payday",Lending!$L:$L,$B$78)</f>
        <v>28936800351</v>
      </c>
      <c r="N78" s="47">
        <f>SUMIFS(Lending!X:X,Lending!$C:$C,"Payday",Lending!$L:$L,$B$78)</f>
        <v>41082578815</v>
      </c>
      <c r="O78" s="47">
        <f>SUMIFS(Lending!Y:Y,Lending!$C:$C,"Payday",Lending!$L:$L,$B$78)</f>
        <v>53825366272</v>
      </c>
      <c r="P78" s="47">
        <f>SUMIFS(Lending!Z:Z,Lending!$C:$C,"Payday",Lending!$L:$L,$B$78)</f>
        <v>53133103706</v>
      </c>
      <c r="Q78" s="47">
        <f>SUMIFS(Lending!AA:AA,Lending!$C:$C,"Payday",Lending!$L:$L,$B$78)</f>
        <v>63688568866</v>
      </c>
      <c r="S78" s="81">
        <f>P78-O78</f>
        <v>-692262566</v>
      </c>
      <c r="T78" s="81"/>
    </row>
    <row r="79" spans="1:26" s="4" customFormat="1">
      <c r="B79" s="1055" t="s">
        <v>218</v>
      </c>
      <c r="C79" s="47">
        <f>SUMIFS(Lending!M:M,Lending!$C:$C,"Payday",Lending!$L:$L,$B$79)</f>
        <v>113523846647.84175</v>
      </c>
      <c r="D79" s="47">
        <f>SUMIFS(Lending!N:N,Lending!$C:$C,"Payday",Lending!$L:$L,$B$79)</f>
        <v>4659368106</v>
      </c>
      <c r="E79" s="47">
        <f>SUMIFS(Lending!O:O,Lending!$C:$C,"Payday",Lending!$L:$L,$B$79)</f>
        <v>5833025614</v>
      </c>
      <c r="F79" s="47">
        <f>SUMIFS(Lending!P:P,Lending!$C:$C,"Payday",Lending!$L:$L,$B$79)</f>
        <v>5855810391</v>
      </c>
      <c r="G79" s="47">
        <f>SUMIFS(Lending!Q:Q,Lending!$C:$C,"Payday",Lending!$L:$L,$B$79)</f>
        <v>4838810288</v>
      </c>
      <c r="H79" s="47">
        <f>SUMIFS(Lending!R:R,Lending!$C:$C,"Payday",Lending!$L:$L,$B$79)</f>
        <v>5561090035.8417521</v>
      </c>
      <c r="I79" s="47">
        <f>SUMIFS(Lending!S:S,Lending!$C:$C,"Payday",Lending!$L:$L,$B$79)</f>
        <v>5554844990</v>
      </c>
      <c r="J79" s="47">
        <f>SUMIFS(Lending!T:T,Lending!$C:$C,"Payday",Lending!$L:$L,$B$79)</f>
        <v>5742365456</v>
      </c>
      <c r="K79" s="47">
        <f>SUMIFS(Lending!U:U,Lending!$C:$C,"Payday",Lending!$L:$L,$B$79)</f>
        <v>5686250707</v>
      </c>
      <c r="L79" s="47">
        <f>SUMIFS(Lending!V:V,Lending!$C:$C,"Payday",Lending!$L:$L,$B$79)</f>
        <v>6340027097</v>
      </c>
      <c r="M79" s="47">
        <f>SUMIFS(Lending!W:W,Lending!$C:$C,"Payday",Lending!$L:$L,$B$79)</f>
        <v>9230783096</v>
      </c>
      <c r="N79" s="47">
        <f>SUMIFS(Lending!X:X,Lending!$C:$C,"Payday",Lending!$L:$L,$B$79)</f>
        <v>11830737263</v>
      </c>
      <c r="O79" s="47">
        <f>SUMIFS(Lending!Y:Y,Lending!$C:$C,"Payday",Lending!$L:$L,$B$79)</f>
        <v>16749314022</v>
      </c>
      <c r="P79" s="47">
        <f>SUMIFS(Lending!Z:Z,Lending!$C:$C,"Payday",Lending!$L:$L,$B$79)</f>
        <v>16699556806</v>
      </c>
      <c r="Q79" s="47">
        <f>SUMIFS(Lending!AA:AA,Lending!$C:$C,"Payday",Lending!$L:$L,$B$79)</f>
        <v>19434256496</v>
      </c>
      <c r="R79" s="81"/>
      <c r="Z79" s="4">
        <v>6459362775</v>
      </c>
    </row>
    <row r="80" spans="1:26">
      <c r="A80" s="126"/>
      <c r="B80" s="1104" t="s">
        <v>20</v>
      </c>
      <c r="C80" s="7">
        <f>SUMIFS(Lending!M:M,Lending!$C:$C,"Payday",Lending!$L:$L,$B$80)</f>
        <v>129592635848</v>
      </c>
      <c r="D80" s="7">
        <f>SUMIFS(Lending!N:N,Lending!$C:$C,"Payday",Lending!$L:$L,$B$80)</f>
        <v>5244090192</v>
      </c>
      <c r="E80" s="7">
        <f>SUMIFS(Lending!O:O,Lending!$C:$C,"Payday",Lending!$L:$L,$B$80)</f>
        <v>6508988960</v>
      </c>
      <c r="F80" s="7">
        <f>SUMIFS(Lending!P:P,Lending!$C:$C,"Payday",Lending!$L:$L,$B$80)</f>
        <v>6617667581</v>
      </c>
      <c r="G80" s="7">
        <f>SUMIFS(Lending!Q:Q,Lending!$C:$C,"Payday",Lending!$L:$L,$B$80)</f>
        <v>5508505087</v>
      </c>
      <c r="H80" s="7">
        <f>SUMIFS(Lending!R:R,Lending!$C:$C,"Payday",Lending!$L:$L,$B$80)</f>
        <v>6253552987</v>
      </c>
      <c r="I80" s="7">
        <f>SUMIFS(Lending!S:S,Lending!$C:$C,"Payday",Lending!$L:$L,$B$80)</f>
        <v>6257769480</v>
      </c>
      <c r="J80" s="7">
        <f>SUMIFS(Lending!T:T,Lending!$C:$C,"Payday",Lending!$L:$L,$B$80)</f>
        <v>6481107879</v>
      </c>
      <c r="K80" s="7">
        <f>SUMIFS(Lending!U:U,Lending!$C:$C,"Payday",Lending!$L:$L,$B$80)</f>
        <v>6421218020</v>
      </c>
      <c r="L80" s="7">
        <f>SUMIFS(Lending!V:V,Lending!$C:$C,"Payday",Lending!$L:$L,$B$80)</f>
        <v>7177920604</v>
      </c>
      <c r="M80" s="7">
        <f>SUMIFS(Lending!W:W,Lending!$C:$C,"Payday",Lending!$L:$L,$B$80)</f>
        <v>10463266016</v>
      </c>
      <c r="N80" s="7">
        <f>SUMIFS(Lending!X:X,Lending!$C:$C,"Payday",Lending!$L:$L,$B$80)</f>
        <v>13403106307</v>
      </c>
      <c r="O80" s="7">
        <f>SUMIFS(Lending!Y:Y,Lending!$C:$C,"Payday",Lending!$L:$L,$B$80)</f>
        <v>19103005639</v>
      </c>
      <c r="P80" s="7">
        <f>SUMIFS(Lending!Z:Z,Lending!$C:$C,"Payday",Lending!$L:$L,$B$80)</f>
        <v>19245289107</v>
      </c>
      <c r="Q80" s="7">
        <f>SUMIFS(Lending!AA:AA,Lending!$C:$C,"Payday",Lending!$L:$L,$B$80)</f>
        <v>22660227141</v>
      </c>
      <c r="R80" s="126"/>
    </row>
    <row r="81" spans="1:18">
      <c r="A81" s="126"/>
      <c r="B81" s="1105" t="s">
        <v>539</v>
      </c>
      <c r="C81" s="7">
        <f>SUMIFS(Lending!M:M,Lending!$C:$C,"Payday",Lending!$L:$L,$B$81)</f>
        <v>129994649739</v>
      </c>
      <c r="D81" s="7">
        <f>SUMIFS(Lending!N:N,Lending!$C:$C,"Payday",Lending!$L:$L,$B$81)</f>
        <v>5224481293</v>
      </c>
      <c r="E81" s="7">
        <f>SUMIFS(Lending!O:O,Lending!$C:$C,"Payday",Lending!$L:$L,$B$81)</f>
        <v>6675824625</v>
      </c>
      <c r="F81" s="7">
        <f>SUMIFS(Lending!P:P,Lending!$C:$C,"Payday",Lending!$L:$L,$B$81)</f>
        <v>6550984528</v>
      </c>
      <c r="G81" s="7">
        <f>SUMIFS(Lending!Q:Q,Lending!$C:$C,"Payday",Lending!$L:$L,$B$81)</f>
        <v>5427410948</v>
      </c>
      <c r="H81" s="7">
        <f>SUMIFS(Lending!R:R,Lending!$C:$C,"Payday",Lending!$L:$L,$B$81)</f>
        <v>6263597203</v>
      </c>
      <c r="I81" s="7">
        <f>SUMIFS(Lending!S:S,Lending!$C:$C,"Payday",Lending!$L:$L,$B$81)</f>
        <v>6226805804</v>
      </c>
      <c r="J81" s="7">
        <f>SUMIFS(Lending!T:T,Lending!$C:$C,"Payday",Lending!$L:$L,$B$81)</f>
        <v>6511277442</v>
      </c>
      <c r="K81" s="7">
        <f>SUMIFS(Lending!U:U,Lending!$C:$C,"Payday",Lending!$L:$L,$B$81)</f>
        <v>6421740781</v>
      </c>
      <c r="L81" s="7">
        <f>SUMIFS(Lending!V:V,Lending!$C:$C,"Payday",Lending!$L:$L,$B$81)</f>
        <v>7243462161</v>
      </c>
      <c r="M81" s="7">
        <f>SUMIFS(Lending!W:W,Lending!$C:$C,"Payday",Lending!$L:$L,$B$81)</f>
        <v>10646665908</v>
      </c>
      <c r="N81" s="7">
        <f>SUMIFS(Lending!X:X,Lending!$C:$C,"Payday",Lending!$L:$L,$B$81)</f>
        <v>13388910162</v>
      </c>
      <c r="O81" s="7">
        <f>SUMIFS(Lending!Y:Y,Lending!$C:$C,"Payday",Lending!$L:$L,$B$81)</f>
        <v>19342313321</v>
      </c>
      <c r="P81" s="7">
        <f>SUMIFS(Lending!Z:Z,Lending!$C:$C,"Payday",Lending!$L:$L,$B$81)</f>
        <v>19315236295</v>
      </c>
      <c r="Q81" s="7">
        <f>SUMIFS(Lending!AA:AA,Lending!$C:$C,"Payday",Lending!$L:$L,$B$81)</f>
        <v>22656245186</v>
      </c>
      <c r="R81" s="126"/>
    </row>
    <row r="82" spans="1:18">
      <c r="A82" s="34"/>
      <c r="B82" s="1105" t="s">
        <v>187</v>
      </c>
      <c r="C82" s="7">
        <f>SUMIFS(Lending!M:M,Lending!$C:$C,"Payday",Lending!$L:$L,$B$82)</f>
        <v>0</v>
      </c>
      <c r="D82" s="7">
        <f>SUMIFS(Lending!N:N,Lending!$C:$C,"Payday",Lending!$L:$L,$B$82)</f>
        <v>77091089</v>
      </c>
      <c r="E82" s="7">
        <f>SUMIFS(Lending!O:O,Lending!$C:$C,"Payday",Lending!$L:$L,$B$82)</f>
        <v>243926754</v>
      </c>
      <c r="F82" s="7">
        <f>SUMIFS(Lending!P:P,Lending!$C:$C,"Payday",Lending!$L:$L,$B$82)</f>
        <v>177243701</v>
      </c>
      <c r="G82" s="7">
        <f>SUMIFS(Lending!Q:Q,Lending!$C:$C,"Payday",Lending!$L:$L,$B$82)</f>
        <v>96149562</v>
      </c>
      <c r="H82" s="7">
        <f>SUMIFS(Lending!R:R,Lending!$C:$C,"Payday",Lending!$L:$L,$B$82)</f>
        <v>106193778</v>
      </c>
      <c r="I82" s="7">
        <f>SUMIFS(Lending!S:S,Lending!$C:$C,"Payday",Lending!$L:$L,$B$82)</f>
        <v>75230102</v>
      </c>
      <c r="J82" s="7">
        <f>SUMIFS(Lending!T:T,Lending!$C:$C,"Payday",Lending!$L:$L,$B$82)</f>
        <v>105399665</v>
      </c>
      <c r="K82" s="7">
        <f>SUMIFS(Lending!U:U,Lending!$C:$C,"Payday",Lending!$L:$L,$B$82)</f>
        <v>105922426</v>
      </c>
      <c r="L82" s="7">
        <f>SUMIFS(Lending!V:V,Lending!$C:$C,"Payday",Lending!$L:$L,$B$82)</f>
        <v>171463983</v>
      </c>
      <c r="M82" s="7">
        <f>SUMIFS(Lending!W:W,Lending!$C:$C,"Payday",Lending!$L:$L,$B$82)</f>
        <v>354863875</v>
      </c>
      <c r="N82" s="7">
        <f>SUMIFS(Lending!X:X,Lending!$C:$C,"Payday",Lending!$L:$L,$B$82)</f>
        <v>340667730</v>
      </c>
      <c r="O82" s="7">
        <f>SUMIFS(Lending!Y:Y,Lending!$C:$C,"Payday",Lending!$L:$L,$B$82)</f>
        <v>579975412</v>
      </c>
      <c r="P82" s="7">
        <f>SUMIFS(Lending!Z:Z,Lending!$C:$C,"Payday",Lending!$L:$L,$B$82)</f>
        <v>649922600</v>
      </c>
      <c r="Q82" s="7">
        <f>SUMIFS(Lending!AA:AA,Lending!$C:$C,"Payday",Lending!$L:$L,$B$82)</f>
        <v>645940645</v>
      </c>
    </row>
    <row r="83" spans="1:18">
      <c r="A83" s="34"/>
      <c r="B83" s="1104" t="s">
        <v>219</v>
      </c>
      <c r="C83" s="7">
        <f>SUMIFS(Lending!M:M,Lending!$C:$C,"Payday",Lending!$L:$L,$B$83)</f>
        <v>16068789200.158247</v>
      </c>
      <c r="D83" s="7">
        <f>SUMIFS(Lending!N:N,Lending!$C:$C,"Payday",Lending!$L:$L,$B$83)</f>
        <v>584722086</v>
      </c>
      <c r="E83" s="7">
        <f>SUMIFS(Lending!O:O,Lending!$C:$C,"Payday",Lending!$L:$L,$B$83)</f>
        <v>675963346</v>
      </c>
      <c r="F83" s="7">
        <f>SUMIFS(Lending!P:P,Lending!$C:$C,"Payday",Lending!$L:$L,$B$83)</f>
        <v>761857190</v>
      </c>
      <c r="G83" s="7">
        <f>SUMIFS(Lending!Q:Q,Lending!$C:$C,"Payday",Lending!$L:$L,$B$83)</f>
        <v>669694799</v>
      </c>
      <c r="H83" s="7">
        <f>SUMIFS(Lending!R:R,Lending!$C:$C,"Payday",Lending!$L:$L,$B$83)</f>
        <v>692462951.15824807</v>
      </c>
      <c r="I83" s="7">
        <f>SUMIFS(Lending!S:S,Lending!$C:$C,"Payday",Lending!$L:$L,$B$83)</f>
        <v>702924490</v>
      </c>
      <c r="J83" s="7">
        <f>SUMIFS(Lending!T:T,Lending!$C:$C,"Payday",Lending!$L:$L,$B$83)</f>
        <v>738742423</v>
      </c>
      <c r="K83" s="7">
        <f>SUMIFS(Lending!U:U,Lending!$C:$C,"Payday",Lending!$L:$L,$B$83)</f>
        <v>734967313</v>
      </c>
      <c r="L83" s="7">
        <f>SUMIFS(Lending!V:V,Lending!$C:$C,"Payday",Lending!$L:$L,$B$83)</f>
        <v>837893507</v>
      </c>
      <c r="M83" s="7">
        <f>SUMIFS(Lending!W:W,Lending!$C:$C,"Payday",Lending!$L:$L,$B$83)</f>
        <v>1232482920</v>
      </c>
      <c r="N83" s="7">
        <f>SUMIFS(Lending!X:X,Lending!$C:$C,"Payday",Lending!$L:$L,$B$83)</f>
        <v>1572369044</v>
      </c>
      <c r="O83" s="7">
        <f>SUMIFS(Lending!Y:Y,Lending!$C:$C,"Payday",Lending!$L:$L,$B$83)</f>
        <v>2353691617</v>
      </c>
      <c r="P83" s="7">
        <f>SUMIFS(Lending!Z:Z,Lending!$C:$C,"Payday",Lending!$L:$L,$B$83)</f>
        <v>2545732301</v>
      </c>
      <c r="Q83" s="7">
        <f>SUMIFS(Lending!AA:AA,Lending!$C:$C,"Payday",Lending!$L:$L,$B$83)</f>
        <v>3225970645</v>
      </c>
    </row>
    <row r="84" spans="1:18" s="4" customFormat="1">
      <c r="B84" s="1055" t="s">
        <v>220</v>
      </c>
      <c r="C84" s="47">
        <f>SUMIFS(Lending!M:M,Lending!$C:$C,"Payday",Lending!$L:$L,$B$84)</f>
        <v>240328371544</v>
      </c>
      <c r="D84" s="47">
        <f>SUMIFS(Lending!N:N,Lending!$C:$C,"Payday",Lending!$L:$L,$B$84)</f>
        <v>8427493438</v>
      </c>
      <c r="E84" s="47">
        <f>SUMIFS(Lending!O:O,Lending!$C:$C,"Payday",Lending!$L:$L,$B$84)</f>
        <v>11663739212.205387</v>
      </c>
      <c r="F84" s="47">
        <f>SUMIFS(Lending!P:P,Lending!$C:$C,"Payday",Lending!$L:$L,$B$84)</f>
        <v>9650077077</v>
      </c>
      <c r="G84" s="47">
        <f>SUMIFS(Lending!Q:Q,Lending!$C:$C,"Payday",Lending!$L:$L,$B$84)</f>
        <v>9092046980</v>
      </c>
      <c r="H84" s="47">
        <f>SUMIFS(Lending!R:R,Lending!$C:$C,"Payday",Lending!$L:$L,$B$84)</f>
        <v>10797132761</v>
      </c>
      <c r="I84" s="47">
        <f>SUMIFS(Lending!S:S,Lending!$C:$C,"Payday",Lending!$L:$L,$B$84)</f>
        <v>10349717170</v>
      </c>
      <c r="J84" s="47">
        <f>SUMIFS(Lending!T:T,Lending!$C:$C,"Payday",Lending!$L:$L,$B$84)</f>
        <v>10613550423</v>
      </c>
      <c r="K84" s="47">
        <f>SUMIFS(Lending!U:U,Lending!$C:$C,"Payday",Lending!$L:$L,$B$84)</f>
        <v>10421053029</v>
      </c>
      <c r="L84" s="47">
        <f>SUMIFS(Lending!V:V,Lending!$C:$C,"Payday",Lending!$L:$L,$B$84)</f>
        <v>14609762521</v>
      </c>
      <c r="M84" s="47">
        <f>SUMIFS(Lending!W:W,Lending!$C:$C,"Payday",Lending!$L:$L,$B$84)</f>
        <v>19387293432</v>
      </c>
      <c r="N84" s="47">
        <f>SUMIFS(Lending!X:X,Lending!$C:$C,"Payday",Lending!$L:$L,$B$84)</f>
        <v>28934033767</v>
      </c>
      <c r="O84" s="47">
        <f>SUMIFS(Lending!Y:Y,Lending!$C:$C,"Payday",Lending!$L:$L,$B$84)</f>
        <v>36673437209</v>
      </c>
      <c r="P84" s="47">
        <f>SUMIFS(Lending!Z:Z,Lending!$C:$C,"Payday",Lending!$L:$L,$B$84)</f>
        <v>35959010740</v>
      </c>
      <c r="Q84" s="47">
        <f>SUMIFS(Lending!AA:AA,Lending!$C:$C,"Payday",Lending!$L:$L,$B$84)</f>
        <v>43841256435</v>
      </c>
    </row>
    <row r="85" spans="1:18">
      <c r="A85" s="138"/>
      <c r="B85" s="1104" t="s">
        <v>540</v>
      </c>
      <c r="C85" s="7">
        <f>SUMIFS(Lending!M:M,Lending!$C:$C,"Payday",Lending!$L:$L,$B$85)</f>
        <v>240328371544</v>
      </c>
      <c r="D85" s="7">
        <f>SUMIFS(Lending!N:N,Lending!$C:$C,"Payday",Lending!$L:$L,$B$85)</f>
        <v>8427493438</v>
      </c>
      <c r="E85" s="7">
        <f>SUMIFS(Lending!O:O,Lending!$C:$C,"Payday",Lending!$L:$L,$B$85)</f>
        <v>11663739212.205387</v>
      </c>
      <c r="F85" s="7">
        <f>SUMIFS(Lending!P:P,Lending!$C:$C,"Payday",Lending!$L:$L,$B$85)</f>
        <v>9650077077</v>
      </c>
      <c r="G85" s="7">
        <f>SUMIFS(Lending!Q:Q,Lending!$C:$C,"Payday",Lending!$L:$L,$B$85)</f>
        <v>9092046980</v>
      </c>
      <c r="H85" s="7">
        <f>SUMIFS(Lending!R:R,Lending!$C:$C,"Payday",Lending!$L:$L,$B$85)</f>
        <v>10797132761</v>
      </c>
      <c r="I85" s="7">
        <f>SUMIFS(Lending!S:S,Lending!$C:$C,"Payday",Lending!$L:$L,$B$85)</f>
        <v>10349717170</v>
      </c>
      <c r="J85" s="7">
        <f>SUMIFS(Lending!T:T,Lending!$C:$C,"Payday",Lending!$L:$L,$B$85)</f>
        <v>10613550423</v>
      </c>
      <c r="K85" s="7">
        <f>SUMIFS(Lending!U:U,Lending!$C:$C,"Payday",Lending!$L:$L,$B$85)</f>
        <v>10421053029</v>
      </c>
      <c r="L85" s="7">
        <f>SUMIFS(Lending!V:V,Lending!$C:$C,"Payday",Lending!$L:$L,$B$85)</f>
        <v>14609762521</v>
      </c>
      <c r="M85" s="7">
        <f>SUMIFS(Lending!W:W,Lending!$C:$C,"Payday",Lending!$L:$L,$B$85)</f>
        <v>19387293432</v>
      </c>
      <c r="N85" s="7">
        <f>SUMIFS(Lending!X:X,Lending!$C:$C,"Payday",Lending!$L:$L,$B$85)</f>
        <v>28934033767</v>
      </c>
      <c r="O85" s="7">
        <f>SUMIFS(Lending!Y:Y,Lending!$C:$C,"Payday",Lending!$L:$L,$B$85)</f>
        <v>36673437209</v>
      </c>
      <c r="P85" s="7">
        <f>SUMIFS(Lending!Z:Z,Lending!$C:$C,"Payday",Lending!$L:$L,$B$85)</f>
        <v>35959010740</v>
      </c>
      <c r="Q85" s="7">
        <f>SUMIFS(Lending!AA:AA,Lending!$C:$C,"Payday",Lending!$L:$L,$B$85)</f>
        <v>43841256435</v>
      </c>
      <c r="R85" s="135"/>
    </row>
    <row r="86" spans="1:18">
      <c r="A86" s="138"/>
      <c r="B86" s="1104" t="s">
        <v>541</v>
      </c>
      <c r="C86" s="7">
        <f>SUMIFS(Lending!M:M,Lending!$C:$C,"Payday",Lending!$L:$L,$B$86)</f>
        <v>0</v>
      </c>
      <c r="D86" s="7">
        <f>SUMIFS(Lending!N:N,Lending!$C:$C,"Payday",Lending!$L:$L,$B$86)</f>
        <v>0</v>
      </c>
      <c r="E86" s="7">
        <f>SUMIFS(Lending!O:O,Lending!$C:$C,"Payday",Lending!$L:$L,$B$86)</f>
        <v>0</v>
      </c>
      <c r="F86" s="7">
        <f>SUMIFS(Lending!P:P,Lending!$C:$C,"Payday",Lending!$L:$L,$B$86)</f>
        <v>0</v>
      </c>
      <c r="G86" s="7">
        <f>SUMIFS(Lending!Q:Q,Lending!$C:$C,"Payday",Lending!$L:$L,$B$86)</f>
        <v>0</v>
      </c>
      <c r="H86" s="7">
        <f>SUMIFS(Lending!R:R,Lending!$C:$C,"Payday",Lending!$L:$L,$B$86)</f>
        <v>0</v>
      </c>
      <c r="I86" s="7">
        <f>SUMIFS(Lending!S:S,Lending!$C:$C,"Payday",Lending!$L:$L,$B$86)</f>
        <v>0</v>
      </c>
      <c r="J86" s="7">
        <f>SUMIFS(Lending!T:T,Lending!$C:$C,"Payday",Lending!$L:$L,$B$86)</f>
        <v>0</v>
      </c>
      <c r="K86" s="7">
        <f>SUMIFS(Lending!U:U,Lending!$C:$C,"Payday",Lending!$L:$L,$B$86)</f>
        <v>0</v>
      </c>
      <c r="L86" s="7">
        <f>SUMIFS(Lending!V:V,Lending!$C:$C,"Payday",Lending!$L:$L,$B$86)</f>
        <v>0</v>
      </c>
      <c r="M86" s="7">
        <f>SUMIFS(Lending!W:W,Lending!$C:$C,"Payday",Lending!$L:$L,$B$86)</f>
        <v>0</v>
      </c>
      <c r="N86" s="7">
        <f>SUMIFS(Lending!X:X,Lending!$C:$C,"Payday",Lending!$L:$L,$B$86)</f>
        <v>0</v>
      </c>
      <c r="O86" s="7">
        <f>SUMIFS(Lending!Y:Y,Lending!$C:$C,"Payday",Lending!$L:$L,$B$86)</f>
        <v>0</v>
      </c>
      <c r="P86" s="7">
        <f>SUMIFS(Lending!Z:Z,Lending!$C:$C,"Payday",Lending!$L:$L,$B$86)</f>
        <v>0</v>
      </c>
      <c r="Q86" s="7">
        <f>SUMIFS(Lending!AA:AA,Lending!$C:$C,"Payday",Lending!$L:$L,$B$86)</f>
        <v>0</v>
      </c>
      <c r="R86" s="135"/>
    </row>
    <row r="87" spans="1:18">
      <c r="A87" s="138"/>
      <c r="B87" s="1104" t="s">
        <v>542</v>
      </c>
      <c r="C87" s="7">
        <f>SUMIFS(Lending!M:M,Lending!$C:$C,"Payday",Lending!$L:$L,$B$87)</f>
        <v>0</v>
      </c>
      <c r="D87" s="7">
        <f>SUMIFS(Lending!N:N,Lending!$C:$C,"Payday",Lending!$L:$L,$B$87)</f>
        <v>0</v>
      </c>
      <c r="E87" s="7">
        <f>SUMIFS(Lending!O:O,Lending!$C:$C,"Payday",Lending!$L:$L,$B$87)</f>
        <v>0</v>
      </c>
      <c r="F87" s="7">
        <f>SUMIFS(Lending!P:P,Lending!$C:$C,"Payday",Lending!$L:$L,$B$87)</f>
        <v>0</v>
      </c>
      <c r="G87" s="7">
        <f>SUMIFS(Lending!Q:Q,Lending!$C:$C,"Payday",Lending!$L:$L,$B$87)</f>
        <v>0</v>
      </c>
      <c r="H87" s="7">
        <f>SUMIFS(Lending!R:R,Lending!$C:$C,"Payday",Lending!$L:$L,$B$87)</f>
        <v>0</v>
      </c>
      <c r="I87" s="7">
        <f>SUMIFS(Lending!S:S,Lending!$C:$C,"Payday",Lending!$L:$L,$B$87)</f>
        <v>0</v>
      </c>
      <c r="J87" s="7">
        <f>SUMIFS(Lending!T:T,Lending!$C:$C,"Payday",Lending!$L:$L,$B$87)</f>
        <v>0</v>
      </c>
      <c r="K87" s="7">
        <f>SUMIFS(Lending!U:U,Lending!$C:$C,"Payday",Lending!$L:$L,$B$87)</f>
        <v>0</v>
      </c>
      <c r="L87" s="7">
        <f>SUMIFS(Lending!V:V,Lending!$C:$C,"Payday",Lending!$L:$L,$B$87)</f>
        <v>0</v>
      </c>
      <c r="M87" s="7">
        <f>SUMIFS(Lending!W:W,Lending!$C:$C,"Payday",Lending!$L:$L,$B$87)</f>
        <v>0</v>
      </c>
      <c r="N87" s="7">
        <f>SUMIFS(Lending!X:X,Lending!$C:$C,"Payday",Lending!$L:$L,$B$87)</f>
        <v>0</v>
      </c>
      <c r="O87" s="7">
        <f>SUMIFS(Lending!Y:Y,Lending!$C:$C,"Payday",Lending!$L:$L,$B$87)</f>
        <v>0</v>
      </c>
      <c r="P87" s="7">
        <f>SUMIFS(Lending!Z:Z,Lending!$C:$C,"Payday",Lending!$L:$L,$B$87)</f>
        <v>0</v>
      </c>
      <c r="Q87" s="7">
        <f>SUMIFS(Lending!AA:AA,Lending!$C:$C,"Payday",Lending!$L:$L,$B$87)</f>
        <v>0</v>
      </c>
      <c r="R87" s="135"/>
    </row>
    <row r="88" spans="1:18" s="4" customFormat="1">
      <c r="A88" s="141"/>
      <c r="B88" s="1055" t="s">
        <v>89</v>
      </c>
      <c r="C88" s="47">
        <f>SUMIFS(Lending!M:M,Lending!$C:$C,"Payday",Lending!$L:$L,$B$88)</f>
        <v>3357190441</v>
      </c>
      <c r="D88" s="47">
        <f>SUMIFS(Lending!N:N,Lending!$C:$C,"Payday",Lending!$L:$L,$B$88)</f>
        <v>17777076</v>
      </c>
      <c r="E88" s="47">
        <f>SUMIFS(Lending!O:O,Lending!$C:$C,"Payday",Lending!$L:$L,$B$88)</f>
        <v>29776257</v>
      </c>
      <c r="F88" s="47">
        <f>SUMIFS(Lending!P:P,Lending!$C:$C,"Payday",Lending!$L:$L,$B$88)</f>
        <v>18988353</v>
      </c>
      <c r="G88" s="47">
        <f>SUMIFS(Lending!Q:Q,Lending!$C:$C,"Payday",Lending!$L:$L,$B$88)</f>
        <v>104644211</v>
      </c>
      <c r="H88" s="47">
        <f>SUMIFS(Lending!R:R,Lending!$C:$C,"Payday",Lending!$L:$L,$B$88)</f>
        <v>324280395</v>
      </c>
      <c r="I88" s="47">
        <f>SUMIFS(Lending!S:S,Lending!$C:$C,"Payday",Lending!$L:$L,$B$88)</f>
        <v>215892506</v>
      </c>
      <c r="J88" s="47">
        <f>SUMIFS(Lending!T:T,Lending!$C:$C,"Payday",Lending!$L:$L,$B$88)</f>
        <v>207869281</v>
      </c>
      <c r="K88" s="47">
        <f>SUMIFS(Lending!U:U,Lending!$C:$C,"Payday",Lending!$L:$L,$B$88)</f>
        <v>227331112</v>
      </c>
      <c r="L88" s="47">
        <f>SUMIFS(Lending!V:V,Lending!$C:$C,"Payday",Lending!$L:$L,$B$88)</f>
        <v>331445839</v>
      </c>
      <c r="M88" s="47">
        <f>SUMIFS(Lending!W:W,Lending!$C:$C,"Payday",Lending!$L:$L,$B$88)</f>
        <v>318723823</v>
      </c>
      <c r="N88" s="47">
        <f>SUMIFS(Lending!X:X,Lending!$C:$C,"Payday",Lending!$L:$L,$B$88)</f>
        <v>317807785</v>
      </c>
      <c r="O88" s="47">
        <f>SUMIFS(Lending!Y:Y,Lending!$C:$C,"Payday",Lending!$L:$L,$B$88)</f>
        <v>402615041</v>
      </c>
      <c r="P88" s="47">
        <f>SUMIFS(Lending!Z:Z,Lending!$C:$C,"Payday",Lending!$L:$L,$B$88)</f>
        <v>474536160</v>
      </c>
      <c r="Q88" s="47">
        <f>SUMIFS(Lending!AA:AA,Lending!$C:$C,"Payday",Lending!$L:$L,$B$88)</f>
        <v>413055935</v>
      </c>
      <c r="R88" s="789"/>
    </row>
    <row r="89" spans="1:18" s="4" customFormat="1">
      <c r="B89" s="1065" t="s">
        <v>136</v>
      </c>
      <c r="C89" s="47">
        <f>SUMIFS(Lending!M:M,Lending!$C:$C,"Payday",Lending!$L:$L,$B$89)</f>
        <v>95874299903</v>
      </c>
      <c r="D89" s="47">
        <f>SUMIFS(Lending!N:N,Lending!$C:$C,"Payday",Lending!$L:$L,$B$89)</f>
        <v>2776146570</v>
      </c>
      <c r="E89" s="47">
        <f>SUMIFS(Lending!O:O,Lending!$C:$C,"Payday",Lending!$L:$L,$B$89)</f>
        <v>3987327947</v>
      </c>
      <c r="F89" s="47">
        <f>SUMIFS(Lending!P:P,Lending!$C:$C,"Payday",Lending!$L:$L,$B$89)</f>
        <v>10026816787</v>
      </c>
      <c r="G89" s="47">
        <f>SUMIFS(Lending!Q:Q,Lending!$C:$C,"Payday",Lending!$L:$L,$B$89)</f>
        <v>4036297706</v>
      </c>
      <c r="H89" s="47">
        <f>SUMIFS(Lending!R:R,Lending!$C:$C,"Payday",Lending!$L:$L,$B$89)</f>
        <v>4921126277</v>
      </c>
      <c r="I89" s="47">
        <f>SUMIFS(Lending!S:S,Lending!$C:$C,"Payday",Lending!$L:$L,$B$89)</f>
        <v>4110684682</v>
      </c>
      <c r="J89" s="47">
        <f>SUMIFS(Lending!T:T,Lending!$C:$C,"Payday",Lending!$L:$L,$B$89)</f>
        <v>5026917160</v>
      </c>
      <c r="K89" s="47">
        <f>SUMIFS(Lending!U:U,Lending!$C:$C,"Payday",Lending!$L:$L,$B$89)</f>
        <v>5399065898</v>
      </c>
      <c r="L89" s="47">
        <f>SUMIFS(Lending!V:V,Lending!$C:$C,"Payday",Lending!$L:$L,$B$89)</f>
        <v>6784622763</v>
      </c>
      <c r="M89" s="47">
        <f>SUMIFS(Lending!W:W,Lending!$C:$C,"Payday",Lending!$L:$L,$B$89)</f>
        <v>7359056785</v>
      </c>
      <c r="N89" s="47">
        <f>SUMIFS(Lending!X:X,Lending!$C:$C,"Payday",Lending!$L:$L,$B$89)</f>
        <v>9993120681</v>
      </c>
      <c r="O89" s="47">
        <f>SUMIFS(Lending!Y:Y,Lending!$C:$C,"Payday",Lending!$L:$L,$B$89)</f>
        <v>9276681264</v>
      </c>
      <c r="P89" s="47">
        <f>SUMIFS(Lending!Z:Z,Lending!$C:$C,"Payday",Lending!$L:$L,$B$89)</f>
        <v>10838411396</v>
      </c>
      <c r="Q89" s="47">
        <f>SUMIFS(Lending!AA:AA,Lending!$C:$C,"Payday",Lending!$L:$L,$B$89)</f>
        <v>18101498504</v>
      </c>
    </row>
    <row r="90" spans="1:18" s="4" customFormat="1">
      <c r="B90" s="1065" t="s">
        <v>229</v>
      </c>
      <c r="C90" s="47">
        <f>SUMIFS(Lending!M:M,Lending!$C:$C,"Payday",Lending!$L:$L,$B$90)</f>
        <v>92996011323.042557</v>
      </c>
      <c r="D90" s="47">
        <f>SUMIFS(Lending!N:N,Lending!$C:$C,"Payday",Lending!$L:$L,$B$90)</f>
        <v>4645645450.1140137</v>
      </c>
      <c r="E90" s="47">
        <f>SUMIFS(Lending!O:O,Lending!$C:$C,"Payday",Lending!$L:$L,$B$90)</f>
        <v>5630210402.0565434</v>
      </c>
      <c r="F90" s="47">
        <f>SUMIFS(Lending!P:P,Lending!$C:$C,"Payday",Lending!$L:$L,$B$90)</f>
        <v>6392000932.5567732</v>
      </c>
      <c r="G90" s="47">
        <f>SUMIFS(Lending!Q:Q,Lending!$C:$C,"Payday",Lending!$L:$L,$B$90)</f>
        <v>5857150131.4943552</v>
      </c>
      <c r="H90" s="47">
        <f>SUMIFS(Lending!R:R,Lending!$C:$C,"Payday",Lending!$L:$L,$B$90)</f>
        <v>6057081160.2405643</v>
      </c>
      <c r="I90" s="47">
        <f>SUMIFS(Lending!S:S,Lending!$C:$C,"Payday",Lending!$L:$L,$B$90)</f>
        <v>4524328566.4577112</v>
      </c>
      <c r="J90" s="47">
        <f>SUMIFS(Lending!T:T,Lending!$C:$C,"Payday",Lending!$L:$L,$B$90)</f>
        <v>5114094169.5480824</v>
      </c>
      <c r="K90" s="47">
        <f>SUMIFS(Lending!U:U,Lending!$C:$C,"Payday",Lending!$L:$L,$B$90)</f>
        <v>5445682463.231595</v>
      </c>
      <c r="L90" s="47">
        <f>SUMIFS(Lending!V:V,Lending!$C:$C,"Payday",Lending!$L:$L,$B$90)</f>
        <v>6570191948.0429945</v>
      </c>
      <c r="M90" s="47">
        <f>SUMIFS(Lending!W:W,Lending!$C:$C,"Payday",Lending!$L:$L,$B$90)</f>
        <v>6955907405.9087038</v>
      </c>
      <c r="N90" s="47">
        <f>SUMIFS(Lending!X:X,Lending!$C:$C,"Payday",Lending!$L:$L,$B$90)</f>
        <v>9599701656.9943886</v>
      </c>
      <c r="O90" s="47">
        <f>SUMIFS(Lending!Y:Y,Lending!$C:$C,"Payday",Lending!$L:$L,$B$90)</f>
        <v>12885597319.543001</v>
      </c>
      <c r="P90" s="47">
        <f>SUMIFS(Lending!Z:Z,Lending!$C:$C,"Payday",Lending!$L:$L,$B$90)</f>
        <v>11840394507.783892</v>
      </c>
      <c r="Q90" s="47">
        <f>SUMIFS(Lending!AA:AA,Lending!$C:$C,"Payday",Lending!$L:$L,$B$90)</f>
        <v>11753881061.240501</v>
      </c>
    </row>
    <row r="91" spans="1:18">
      <c r="A91" s="34"/>
      <c r="B91" s="1106" t="s">
        <v>231</v>
      </c>
      <c r="C91" s="7">
        <f>SUMIFS(Lending!M:M,Lending!$C:$C,"Payday",Lending!$L:$L,$B$91)</f>
        <v>78356665382</v>
      </c>
      <c r="D91" s="7">
        <f>SUMIFS(Lending!N:N,Lending!$C:$C,"Payday",Lending!$L:$L,$B$91)</f>
        <v>4133795809</v>
      </c>
      <c r="E91" s="7">
        <f>SUMIFS(Lending!O:O,Lending!$C:$C,"Payday",Lending!$L:$L,$B$91)</f>
        <v>4839145073</v>
      </c>
      <c r="F91" s="7">
        <f>SUMIFS(Lending!P:P,Lending!$C:$C,"Payday",Lending!$L:$L,$B$91)</f>
        <v>5613597335</v>
      </c>
      <c r="G91" s="7">
        <f>SUMIFS(Lending!Q:Q,Lending!$C:$C,"Payday",Lending!$L:$L,$B$91)</f>
        <v>5090892820</v>
      </c>
      <c r="H91" s="7">
        <f>SUMIFS(Lending!R:R,Lending!$C:$C,"Payday",Lending!$L:$L,$B$91)</f>
        <v>5481907837</v>
      </c>
      <c r="I91" s="7">
        <f>SUMIFS(Lending!S:S,Lending!$C:$C,"Payday",Lending!$L:$L,$B$91)</f>
        <v>3923265598</v>
      </c>
      <c r="J91" s="7">
        <f>SUMIFS(Lending!T:T,Lending!$C:$C,"Payday",Lending!$L:$L,$B$91)</f>
        <v>4564628668</v>
      </c>
      <c r="K91" s="7">
        <f>SUMIFS(Lending!U:U,Lending!$C:$C,"Payday",Lending!$L:$L,$B$91)</f>
        <v>5017928237</v>
      </c>
      <c r="L91" s="7">
        <f>SUMIFS(Lending!V:V,Lending!$C:$C,"Payday",Lending!$L:$L,$B$91)</f>
        <v>5519565810</v>
      </c>
      <c r="M91" s="7">
        <f>SUMIFS(Lending!W:W,Lending!$C:$C,"Payday",Lending!$L:$L,$B$91)</f>
        <v>5578703708</v>
      </c>
      <c r="N91" s="7">
        <f>SUMIFS(Lending!X:X,Lending!$C:$C,"Payday",Lending!$L:$L,$B$91)</f>
        <v>7906579903</v>
      </c>
      <c r="O91" s="7">
        <f>SUMIFS(Lending!Y:Y,Lending!$C:$C,"Payday",Lending!$L:$L,$B$91)</f>
        <v>10738623392</v>
      </c>
      <c r="P91" s="7">
        <f>SUMIFS(Lending!Z:Z,Lending!$C:$C,"Payday",Lending!$L:$L,$B$91)</f>
        <v>9627100384</v>
      </c>
      <c r="Q91" s="7">
        <f>SUMIFS(Lending!AA:AA,Lending!$C:$C,"Payday",Lending!$L:$L,$B$91)</f>
        <v>9293871690</v>
      </c>
    </row>
    <row r="92" spans="1:18">
      <c r="B92" s="1106" t="s">
        <v>230</v>
      </c>
      <c r="C92" s="7">
        <f>SUMIFS(Lending!M:M,Lending!$C:$C,"Payday",Lending!$L:$L,$B$92)</f>
        <v>427503467</v>
      </c>
      <c r="D92" s="7">
        <f>SUMIFS(Lending!N:N,Lending!$C:$C,"Payday",Lending!$L:$L,$B$92)</f>
        <v>0</v>
      </c>
      <c r="E92" s="7">
        <f>SUMIFS(Lending!O:O,Lending!$C:$C,"Payday",Lending!$L:$L,$B$92)</f>
        <v>0</v>
      </c>
      <c r="F92" s="7">
        <f>SUMIFS(Lending!P:P,Lending!$C:$C,"Payday",Lending!$L:$L,$B$92)</f>
        <v>0</v>
      </c>
      <c r="G92" s="7">
        <f>SUMIFS(Lending!Q:Q,Lending!$C:$C,"Payday",Lending!$L:$L,$B$92)</f>
        <v>0</v>
      </c>
      <c r="H92" s="7">
        <f>SUMIFS(Lending!R:R,Lending!$C:$C,"Payday",Lending!$L:$L,$B$92)</f>
        <v>0</v>
      </c>
      <c r="I92" s="7">
        <f>SUMIFS(Lending!S:S,Lending!$C:$C,"Payday",Lending!$L:$L,$B$92)</f>
        <v>0</v>
      </c>
      <c r="J92" s="7">
        <f>SUMIFS(Lending!T:T,Lending!$C:$C,"Payday",Lending!$L:$L,$B$92)</f>
        <v>0</v>
      </c>
      <c r="K92" s="7">
        <f>SUMIFS(Lending!U:U,Lending!$C:$C,"Payday",Lending!$L:$L,$B$92)</f>
        <v>0</v>
      </c>
      <c r="L92" s="7">
        <f>SUMIFS(Lending!V:V,Lending!$C:$C,"Payday",Lending!$L:$L,$B$92)</f>
        <v>40000000</v>
      </c>
      <c r="M92" s="7">
        <f>SUMIFS(Lending!W:W,Lending!$C:$C,"Payday",Lending!$L:$L,$B$92)</f>
        <v>38824927</v>
      </c>
      <c r="N92" s="7">
        <f>SUMIFS(Lending!X:X,Lending!$C:$C,"Payday",Lending!$L:$L,$B$92)</f>
        <v>104403980</v>
      </c>
      <c r="O92" s="7">
        <f>SUMIFS(Lending!Y:Y,Lending!$C:$C,"Payday",Lending!$L:$L,$B$92)</f>
        <v>94113533</v>
      </c>
      <c r="P92" s="7">
        <f>SUMIFS(Lending!Z:Z,Lending!$C:$C,"Payday",Lending!$L:$L,$B$92)</f>
        <v>125757047</v>
      </c>
      <c r="Q92" s="7">
        <f>SUMIFS(Lending!AA:AA,Lending!$C:$C,"Payday",Lending!$L:$L,$B$92)</f>
        <v>24403980</v>
      </c>
    </row>
    <row r="93" spans="1:18">
      <c r="A93" s="34"/>
      <c r="B93" s="1106" t="s">
        <v>232</v>
      </c>
      <c r="C93" s="7">
        <f>SUMIFS(Lending!M:M,Lending!$C:$C,"Payday",Lending!$L:$L,$B$93)</f>
        <v>8874054232.9999981</v>
      </c>
      <c r="D93" s="7">
        <f>SUMIFS(Lending!N:N,Lending!$C:$C,"Payday",Lending!$L:$L,$B$93)</f>
        <v>248967227</v>
      </c>
      <c r="E93" s="7">
        <f>SUMIFS(Lending!O:O,Lending!$C:$C,"Payday",Lending!$L:$L,$B$93)</f>
        <v>445472796.00000006</v>
      </c>
      <c r="F93" s="7">
        <f>SUMIFS(Lending!P:P,Lending!$C:$C,"Payday",Lending!$L:$L,$B$93)</f>
        <v>294708631</v>
      </c>
      <c r="G93" s="7">
        <f>SUMIFS(Lending!Q:Q,Lending!$C:$C,"Payday",Lending!$L:$L,$B$93)</f>
        <v>241456911</v>
      </c>
      <c r="H93" s="7">
        <f>SUMIFS(Lending!R:R,Lending!$C:$C,"Payday",Lending!$L:$L,$B$93)</f>
        <v>274430890</v>
      </c>
      <c r="I93" s="7">
        <f>SUMIFS(Lending!S:S,Lending!$C:$C,"Payday",Lending!$L:$L,$B$93)</f>
        <v>256778107.00000003</v>
      </c>
      <c r="J93" s="7">
        <f>SUMIFS(Lending!T:T,Lending!$C:$C,"Payday",Lending!$L:$L,$B$93)</f>
        <v>230726390</v>
      </c>
      <c r="K93" s="7">
        <f>SUMIFS(Lending!U:U,Lending!$C:$C,"Payday",Lending!$L:$L,$B$93)</f>
        <v>261318967.00000003</v>
      </c>
      <c r="L93" s="7">
        <f>SUMIFS(Lending!V:V,Lending!$C:$C,"Payday",Lending!$L:$L,$B$93)</f>
        <v>774554348</v>
      </c>
      <c r="M93" s="7">
        <f>SUMIFS(Lending!W:W,Lending!$C:$C,"Payday",Lending!$L:$L,$B$93)</f>
        <v>1088847457</v>
      </c>
      <c r="N93" s="7">
        <f>SUMIFS(Lending!X:X,Lending!$C:$C,"Payday",Lending!$L:$L,$B$93)</f>
        <v>1250064987.9999998</v>
      </c>
      <c r="O93" s="7">
        <f>SUMIFS(Lending!Y:Y,Lending!$C:$C,"Payday",Lending!$L:$L,$B$93)</f>
        <v>1377055722</v>
      </c>
      <c r="P93" s="7">
        <f>SUMIFS(Lending!Z:Z,Lending!$C:$C,"Payday",Lending!$L:$L,$B$93)</f>
        <v>1256868674</v>
      </c>
      <c r="Q93" s="7">
        <f>SUMIFS(Lending!AA:AA,Lending!$C:$C,"Payday",Lending!$L:$L,$B$93)</f>
        <v>1567243148</v>
      </c>
    </row>
    <row r="94" spans="1:18">
      <c r="B94" s="1106" t="s">
        <v>233</v>
      </c>
      <c r="C94" s="7">
        <f>SUMIFS(Lending!M:M,Lending!$C:$C,"Payday",Lending!$L:$L,$B$94)</f>
        <v>870731877</v>
      </c>
      <c r="D94" s="7">
        <f>SUMIFS(Lending!N:N,Lending!$C:$C,"Payday",Lending!$L:$L,$B$94)</f>
        <v>26277707</v>
      </c>
      <c r="E94" s="7">
        <f>SUMIFS(Lending!O:O,Lending!$C:$C,"Payday",Lending!$L:$L,$B$94)</f>
        <v>36646594</v>
      </c>
      <c r="F94" s="7">
        <f>SUMIFS(Lending!P:P,Lending!$C:$C,"Payday",Lending!$L:$L,$B$94)</f>
        <v>29923065</v>
      </c>
      <c r="G94" s="7">
        <f>SUMIFS(Lending!Q:Q,Lending!$C:$C,"Payday",Lending!$L:$L,$B$94)</f>
        <v>28218930</v>
      </c>
      <c r="H94" s="7">
        <f>SUMIFS(Lending!R:R,Lending!$C:$C,"Payday",Lending!$L:$L,$B$94)</f>
        <v>33706489</v>
      </c>
      <c r="I94" s="7">
        <f>SUMIFS(Lending!S:S,Lending!$C:$C,"Payday",Lending!$L:$L,$B$94)</f>
        <v>84853828</v>
      </c>
      <c r="J94" s="7">
        <f>SUMIFS(Lending!T:T,Lending!$C:$C,"Payday",Lending!$L:$L,$B$94)</f>
        <v>32273105</v>
      </c>
      <c r="K94" s="7">
        <f>SUMIFS(Lending!U:U,Lending!$C:$C,"Payday",Lending!$L:$L,$B$94)</f>
        <v>30953739</v>
      </c>
      <c r="L94" s="7">
        <f>SUMIFS(Lending!V:V,Lending!$C:$C,"Payday",Lending!$L:$L,$B$94)</f>
        <v>49479045</v>
      </c>
      <c r="M94" s="7">
        <f>SUMIFS(Lending!W:W,Lending!$C:$C,"Payday",Lending!$L:$L,$B$94)</f>
        <v>70448215</v>
      </c>
      <c r="N94" s="7">
        <f>SUMIFS(Lending!X:X,Lending!$C:$C,"Payday",Lending!$L:$L,$B$94)</f>
        <v>104982612</v>
      </c>
      <c r="O94" s="7">
        <f>SUMIFS(Lending!Y:Y,Lending!$C:$C,"Payday",Lending!$L:$L,$B$94)</f>
        <v>130307243</v>
      </c>
      <c r="P94" s="7">
        <f>SUMIFS(Lending!Z:Z,Lending!$C:$C,"Payday",Lending!$L:$L,$B$94)</f>
        <v>128342988</v>
      </c>
      <c r="Q94" s="7">
        <f>SUMIFS(Lending!AA:AA,Lending!$C:$C,"Payday",Lending!$L:$L,$B$94)</f>
        <v>147242618</v>
      </c>
    </row>
    <row r="95" spans="1:18">
      <c r="B95" s="1106" t="s">
        <v>152</v>
      </c>
      <c r="C95" s="7">
        <f>SUMIFS(Lending!M:M,Lending!$C:$C,"Payday",Lending!$L:$L,$B$95)</f>
        <v>494485062.49999994</v>
      </c>
      <c r="D95" s="7">
        <f>SUMIFS(Lending!N:N,Lending!$C:$C,"Payday",Lending!$L:$L,$B$95)</f>
        <v>0</v>
      </c>
      <c r="E95" s="7">
        <f>SUMIFS(Lending!O:O,Lending!$C:$C,"Payday",Lending!$L:$L,$B$95)</f>
        <v>0</v>
      </c>
      <c r="F95" s="7">
        <f>SUMIFS(Lending!P:P,Lending!$C:$C,"Payday",Lending!$L:$L,$B$95)</f>
        <v>44622000</v>
      </c>
      <c r="G95" s="7">
        <f>SUMIFS(Lending!Q:Q,Lending!$C:$C,"Payday",Lending!$L:$L,$B$95)</f>
        <v>27912375</v>
      </c>
      <c r="H95" s="7">
        <f>SUMIFS(Lending!R:R,Lending!$C:$C,"Payday",Lending!$L:$L,$B$95)</f>
        <v>41446125</v>
      </c>
      <c r="I95" s="7">
        <f>SUMIFS(Lending!S:S,Lending!$C:$C,"Payday",Lending!$L:$L,$B$95)</f>
        <v>34462125</v>
      </c>
      <c r="J95" s="7">
        <f>SUMIFS(Lending!T:T,Lending!$C:$C,"Payday",Lending!$L:$L,$B$95)</f>
        <v>34519499.999999993</v>
      </c>
      <c r="K95" s="7">
        <f>SUMIFS(Lending!U:U,Lending!$C:$C,"Payday",Lending!$L:$L,$B$95)</f>
        <v>37423125.000000007</v>
      </c>
      <c r="L95" s="7">
        <f>SUMIFS(Lending!V:V,Lending!$C:$C,"Payday",Lending!$L:$L,$B$95)</f>
        <v>42372750</v>
      </c>
      <c r="M95" s="7">
        <f>SUMIFS(Lending!W:W,Lending!$C:$C,"Payday",Lending!$L:$L,$B$95)</f>
        <v>40678625</v>
      </c>
      <c r="N95" s="7">
        <f>SUMIFS(Lending!X:X,Lending!$C:$C,"Payday",Lending!$L:$L,$B$95)</f>
        <v>40139624.999999993</v>
      </c>
      <c r="O95" s="7">
        <f>SUMIFS(Lending!Y:Y,Lending!$C:$C,"Payday",Lending!$L:$L,$B$95)</f>
        <v>46066124.999999993</v>
      </c>
      <c r="P95" s="7">
        <f>SUMIFS(Lending!Z:Z,Lending!$C:$C,"Payday",Lending!$L:$L,$B$95)</f>
        <v>46013625.000000007</v>
      </c>
      <c r="Q95" s="7">
        <f>SUMIFS(Lending!AA:AA,Lending!$C:$C,"Payday",Lending!$L:$L,$B$95)</f>
        <v>58829062.5</v>
      </c>
    </row>
    <row r="96" spans="1:18">
      <c r="B96" s="1106" t="s">
        <v>234</v>
      </c>
      <c r="C96" s="7">
        <f>SUMIFS(Lending!M:M,Lending!$C:$C,"Payday",Lending!$L:$L,$B$96)</f>
        <v>3550384662.810111</v>
      </c>
      <c r="D96" s="7">
        <f>SUMIFS(Lending!N:N,Lending!$C:$C,"Payday",Lending!$L:$L,$B$96)</f>
        <v>228760781.01913536</v>
      </c>
      <c r="E96" s="7">
        <f>SUMIFS(Lending!O:O,Lending!$C:$C,"Payday",Lending!$L:$L,$B$96)</f>
        <v>289754083.55865288</v>
      </c>
      <c r="F96" s="7">
        <f>SUMIFS(Lending!P:P,Lending!$C:$C,"Payday",Lending!$L:$L,$B$96)</f>
        <v>380133277.53800523</v>
      </c>
      <c r="G96" s="7">
        <f>SUMIFS(Lending!Q:Q,Lending!$C:$C,"Payday",Lending!$L:$L,$B$96)</f>
        <v>454121694.13414443</v>
      </c>
      <c r="H96" s="7">
        <f>SUMIFS(Lending!R:R,Lending!$C:$C,"Payday",Lending!$L:$L,$B$96)</f>
        <v>206369764.19294605</v>
      </c>
      <c r="I96" s="7">
        <f>SUMIFS(Lending!S:S,Lending!$C:$C,"Payday",Lending!$L:$L,$B$96)</f>
        <v>198285510.63344127</v>
      </c>
      <c r="J96" s="7">
        <f>SUMIFS(Lending!T:T,Lending!$C:$C,"Payday",Lending!$L:$L,$B$96)</f>
        <v>231588272.35682464</v>
      </c>
      <c r="K96" s="7">
        <f>SUMIFS(Lending!U:U,Lending!$C:$C,"Payday",Lending!$L:$L,$B$96)</f>
        <v>80922782.523786575</v>
      </c>
      <c r="L96" s="7">
        <f>SUMIFS(Lending!V:V,Lending!$C:$C,"Payday",Lending!$L:$L,$B$96)</f>
        <v>121000549</v>
      </c>
      <c r="M96" s="7">
        <f>SUMIFS(Lending!W:W,Lending!$C:$C,"Payday",Lending!$L:$L,$B$96)</f>
        <v>121491553.9176106</v>
      </c>
      <c r="N96" s="7">
        <f>SUMIFS(Lending!X:X,Lending!$C:$C,"Payday",Lending!$L:$L,$B$96)</f>
        <v>150317562.37335217</v>
      </c>
      <c r="O96" s="7">
        <f>SUMIFS(Lending!Y:Y,Lending!$C:$C,"Payday",Lending!$L:$L,$B$96)</f>
        <v>429133211.54000002</v>
      </c>
      <c r="P96" s="7">
        <f>SUMIFS(Lending!Z:Z,Lending!$C:$C,"Payday",Lending!$L:$L,$B$96)</f>
        <v>582404005.17000008</v>
      </c>
      <c r="Q96" s="7">
        <f>SUMIFS(Lending!AA:AA,Lending!$C:$C,"Payday",Lending!$L:$L,$B$96)</f>
        <v>594616479.43000007</v>
      </c>
    </row>
    <row r="97" spans="1:27">
      <c r="B97" s="1106" t="s">
        <v>235</v>
      </c>
      <c r="C97" s="7">
        <f>SUMIFS(Lending!M:M,Lending!$C:$C,"Payday",Lending!$L:$L,$B$97)</f>
        <v>0</v>
      </c>
      <c r="D97" s="7">
        <f>SUMIFS(Lending!N:N,Lending!$C:$C,"Payday",Lending!$L:$L,$B$97)</f>
        <v>0</v>
      </c>
      <c r="E97" s="7">
        <f>SUMIFS(Lending!O:O,Lending!$C:$C,"Payday",Lending!$L:$L,$B$97)</f>
        <v>0</v>
      </c>
      <c r="F97" s="7">
        <f>SUMIFS(Lending!P:P,Lending!$C:$C,"Payday",Lending!$L:$L,$B$97)</f>
        <v>0</v>
      </c>
      <c r="G97" s="7">
        <f>SUMIFS(Lending!Q:Q,Lending!$C:$C,"Payday",Lending!$L:$L,$B$97)</f>
        <v>0</v>
      </c>
      <c r="H97" s="7">
        <f>SUMIFS(Lending!R:R,Lending!$C:$C,"Payday",Lending!$L:$L,$B$97)</f>
        <v>0</v>
      </c>
      <c r="I97" s="7">
        <f>SUMIFS(Lending!S:S,Lending!$C:$C,"Payday",Lending!$L:$L,$B$97)</f>
        <v>0</v>
      </c>
      <c r="J97" s="7">
        <f>SUMIFS(Lending!T:T,Lending!$C:$C,"Payday",Lending!$L:$L,$B$97)</f>
        <v>0</v>
      </c>
      <c r="K97" s="7">
        <f>SUMIFS(Lending!U:U,Lending!$C:$C,"Payday",Lending!$L:$L,$B$97)</f>
        <v>0</v>
      </c>
      <c r="L97" s="7">
        <f>SUMIFS(Lending!V:V,Lending!$C:$C,"Payday",Lending!$L:$L,$B$97)</f>
        <v>0</v>
      </c>
      <c r="M97" s="7">
        <f>SUMIFS(Lending!W:W,Lending!$C:$C,"Payday",Lending!$L:$L,$B$97)</f>
        <v>0</v>
      </c>
      <c r="N97" s="7">
        <f>SUMIFS(Lending!X:X,Lending!$C:$C,"Payday",Lending!$L:$L,$B$97)</f>
        <v>0</v>
      </c>
      <c r="O97" s="7">
        <f>SUMIFS(Lending!Y:Y,Lending!$C:$C,"Payday",Lending!$L:$L,$B$97)</f>
        <v>0</v>
      </c>
      <c r="P97" s="7">
        <f>SUMIFS(Lending!Z:Z,Lending!$C:$C,"Payday",Lending!$L:$L,$B$97)</f>
        <v>0</v>
      </c>
      <c r="Q97" s="7">
        <f>SUMIFS(Lending!AA:AA,Lending!$C:$C,"Payday",Lending!$L:$L,$B$97)</f>
        <v>0</v>
      </c>
    </row>
    <row r="98" spans="1:27">
      <c r="B98" s="1107" t="s">
        <v>163</v>
      </c>
      <c r="C98" s="7">
        <f>SUMIFS(Lending!M:M,Lending!$C:$C,"Payday",Lending!$L:$L,$B$98)</f>
        <v>422186638.73244774</v>
      </c>
      <c r="D98" s="7">
        <f>SUMIFS(Lending!N:N,Lending!$C:$C,"Payday",Lending!$L:$L,$B$98)</f>
        <v>7843926.0948775513</v>
      </c>
      <c r="E98" s="7">
        <f>SUMIFS(Lending!O:O,Lending!$C:$C,"Payday",Lending!$L:$L,$B$98)</f>
        <v>19191855.49788921</v>
      </c>
      <c r="F98" s="7">
        <f>SUMIFS(Lending!P:P,Lending!$C:$C,"Payday",Lending!$L:$L,$B$98)</f>
        <v>29016624.018767629</v>
      </c>
      <c r="G98" s="7">
        <f>SUMIFS(Lending!Q:Q,Lending!$C:$C,"Payday",Lending!$L:$L,$B$98)</f>
        <v>14547401.360210788</v>
      </c>
      <c r="H98" s="7">
        <f>SUMIFS(Lending!R:R,Lending!$C:$C,"Payday",Lending!$L:$L,$B$98)</f>
        <v>19220055.047617279</v>
      </c>
      <c r="I98" s="7">
        <f>SUMIFS(Lending!S:S,Lending!$C:$C,"Payday",Lending!$L:$L,$B$98)</f>
        <v>26683397.824269522</v>
      </c>
      <c r="J98" s="7">
        <f>SUMIFS(Lending!T:T,Lending!$C:$C,"Payday",Lending!$L:$L,$B$98)</f>
        <v>20358234.191257302</v>
      </c>
      <c r="K98" s="7">
        <f>SUMIFS(Lending!U:U,Lending!$C:$C,"Payday",Lending!$L:$L,$B$98)</f>
        <v>17135612.707808651</v>
      </c>
      <c r="L98" s="7">
        <f>SUMIFS(Lending!V:V,Lending!$C:$C,"Payday",Lending!$L:$L,$B$98)</f>
        <v>23219446.042995106</v>
      </c>
      <c r="M98" s="7">
        <f>SUMIFS(Lending!W:W,Lending!$C:$C,"Payday",Lending!$L:$L,$B$98)</f>
        <v>16912919.991092488</v>
      </c>
      <c r="N98" s="7">
        <f>SUMIFS(Lending!X:X,Lending!$C:$C,"Payday",Lending!$L:$L,$B$98)</f>
        <v>43212986.62103425</v>
      </c>
      <c r="O98" s="7">
        <f>SUMIFS(Lending!Y:Y,Lending!$C:$C,"Payday",Lending!$L:$L,$B$98)</f>
        <v>70298093.002999246</v>
      </c>
      <c r="P98" s="7">
        <f>SUMIFS(Lending!Z:Z,Lending!$C:$C,"Payday",Lending!$L:$L,$B$98)</f>
        <v>73907784.613891527</v>
      </c>
      <c r="Q98" s="7">
        <f>SUMIFS(Lending!AA:AA,Lending!$C:$C,"Payday",Lending!$L:$L,$B$98)</f>
        <v>67674083.310503975</v>
      </c>
    </row>
    <row r="99" spans="1:27">
      <c r="B99" s="1077" t="s">
        <v>627</v>
      </c>
      <c r="C99" s="7">
        <f>SUMIFS(Lending!M:M,Lending!$C:$C,"Payday",Lending!$L:$L,$B99)</f>
        <v>0</v>
      </c>
      <c r="D99" s="1111">
        <f>D72/D69</f>
        <v>0.17673306924439611</v>
      </c>
      <c r="E99" s="1111">
        <f t="shared" ref="E99:Q99" si="3">E72/E69</f>
        <v>0.15230524223404851</v>
      </c>
      <c r="F99" s="1111">
        <f t="shared" si="3"/>
        <v>0.17266324823776044</v>
      </c>
      <c r="G99" s="1111">
        <f t="shared" si="3"/>
        <v>0.10754382767739258</v>
      </c>
      <c r="H99" s="1111">
        <f t="shared" si="3"/>
        <v>0.10711745866638596</v>
      </c>
      <c r="I99" s="1111">
        <f t="shared" si="3"/>
        <v>0.12311862935176345</v>
      </c>
      <c r="J99" s="1111">
        <f t="shared" si="3"/>
        <v>0.13575169749865323</v>
      </c>
      <c r="K99" s="1111">
        <f>J72/J69</f>
        <v>0.13575169749865323</v>
      </c>
      <c r="L99" s="1111">
        <f t="shared" si="3"/>
        <v>0.110004783891612</v>
      </c>
      <c r="M99" s="1111">
        <f t="shared" si="3"/>
        <v>7.8702154652107476E-2</v>
      </c>
      <c r="N99" s="1111">
        <f t="shared" si="3"/>
        <v>5.0385297591935926E-2</v>
      </c>
      <c r="O99" s="1111">
        <f t="shared" si="3"/>
        <v>3.7467034397652137E-2</v>
      </c>
      <c r="P99" s="1111">
        <f t="shared" si="3"/>
        <v>4.1108523672808581E-2</v>
      </c>
      <c r="Q99" s="1111">
        <f t="shared" si="3"/>
        <v>4.3061136191760697E-2</v>
      </c>
    </row>
    <row r="100" spans="1:27" s="1097" customFormat="1">
      <c r="B100" s="1110" t="s">
        <v>628</v>
      </c>
      <c r="C100" s="1226">
        <f>SUMIFS(Lending!M:M,Lending!$C:$C,"Payday",Lending!$L:$L,$B100)</f>
        <v>0</v>
      </c>
      <c r="D100" s="1112">
        <f>D74/D69</f>
        <v>0.18024090388263694</v>
      </c>
      <c r="E100" s="1112">
        <f t="shared" ref="E100:Q100" si="4">E74/E69</f>
        <v>0.15803039266810848</v>
      </c>
      <c r="F100" s="1112">
        <f t="shared" si="4"/>
        <v>0.17602852968257146</v>
      </c>
      <c r="G100" s="1112">
        <f t="shared" si="4"/>
        <v>0.11239288856910729</v>
      </c>
      <c r="H100" s="1112">
        <f t="shared" si="4"/>
        <v>0.12238107108794934</v>
      </c>
      <c r="I100" s="1112">
        <f t="shared" si="4"/>
        <v>0.1281474825921273</v>
      </c>
      <c r="J100" s="1112">
        <f t="shared" si="4"/>
        <v>0.13981237200400357</v>
      </c>
      <c r="K100" s="1112">
        <f>J74/J69</f>
        <v>0.13981237200400357</v>
      </c>
      <c r="L100" s="1112">
        <f t="shared" si="4"/>
        <v>0.11317017092921136</v>
      </c>
      <c r="M100" s="1112">
        <f>M74/M69</f>
        <v>8.1259696089371586E-2</v>
      </c>
      <c r="N100" s="1112">
        <f t="shared" si="4"/>
        <v>5.4985211249047712E-2</v>
      </c>
      <c r="O100" s="1112">
        <f t="shared" si="4"/>
        <v>3.9952834469889731E-2</v>
      </c>
      <c r="P100" s="1112">
        <f t="shared" si="4"/>
        <v>4.4963503568025399E-2</v>
      </c>
      <c r="Q100" s="1112">
        <f t="shared" si="4"/>
        <v>5.7966725500775841E-2</v>
      </c>
    </row>
    <row r="101" spans="1:27">
      <c r="B101" s="286" t="s">
        <v>236</v>
      </c>
      <c r="C101" s="1108">
        <f>SUMIFS(Lending!M:M,Lending!$C:$C,"Payday",Lending!$L:$L,$B$101)</f>
        <v>168339097406.79919</v>
      </c>
      <c r="D101" s="1108">
        <f>SUMIFS(Lending!N:N,Lending!$C:$C,"Payday",Lending!$L:$L,$B$101)</f>
        <v>5682846599.8859863</v>
      </c>
      <c r="E101" s="1108">
        <f>SUMIFS(Lending!O:O,Lending!$C:$C,"Payday",Lending!$L:$L,$B$101)</f>
        <v>7909002734.1488438</v>
      </c>
      <c r="F101" s="1108">
        <f>SUMIFS(Lending!P:P,Lending!$C:$C,"Payday",Lending!$L:$L,$B$101)</f>
        <v>-893941898.55677342</v>
      </c>
      <c r="G101" s="1108">
        <f>SUMIFS(Lending!Q:Q,Lending!$C:$C,"Payday",Lending!$L:$L,$B$101)</f>
        <v>4142053641.5056453</v>
      </c>
      <c r="H101" s="1108">
        <f>SUMIFS(Lending!R:R,Lending!$C:$C,"Payday",Lending!$L:$L,$B$101)</f>
        <v>5704295754.6011887</v>
      </c>
      <c r="I101" s="1108">
        <f>SUMIFS(Lending!S:S,Lending!$C:$C,"Payday",Lending!$L:$L,$B$101)</f>
        <v>7485441417.5422888</v>
      </c>
      <c r="J101" s="1108">
        <f>SUMIFS(Lending!T:T,Lending!$C:$C,"Payday",Lending!$L:$L,$B$101)</f>
        <v>6422773830.4519176</v>
      </c>
      <c r="K101" s="1108">
        <f>SUMIFS(Lending!U:U,Lending!$C:$C,"Payday",Lending!$L:$L,$B$101)</f>
        <v>5489886486.768405</v>
      </c>
      <c r="L101" s="1108">
        <f>SUMIFS(Lending!V:V,Lending!$C:$C,"Payday",Lending!$L:$L,$B$101)</f>
        <v>7926420745.9570045</v>
      </c>
      <c r="M101" s="1108">
        <f>SUMIFS(Lending!W:W,Lending!$C:$C,"Payday",Lending!$L:$L,$B$101)</f>
        <v>14621836160.091297</v>
      </c>
      <c r="N101" s="1108">
        <f>SUMIFS(Lending!X:X,Lending!$C:$C,"Payday",Lending!$L:$L,$B$101)</f>
        <v>21489756477.005611</v>
      </c>
      <c r="O101" s="1108">
        <f>SUMIFS(Lending!Y:Y,Lending!$C:$C,"Payday",Lending!$L:$L,$B$101)</f>
        <v>31663087688.457005</v>
      </c>
      <c r="P101" s="1108">
        <f>SUMIFS(Lending!Z:Z,Lending!$C:$C,"Payday",Lending!$L:$L,$B$101)</f>
        <v>30454297802.21611</v>
      </c>
      <c r="Q101" s="1108">
        <f>SUMIFS(Lending!AA:AA,Lending!$C:$C,"Payday",Lending!$L:$L,$B$101)</f>
        <v>33833189300.759499</v>
      </c>
    </row>
    <row r="102" spans="1:27">
      <c r="F102" s="7"/>
    </row>
    <row r="103" spans="1:27">
      <c r="F103" s="7"/>
    </row>
    <row r="104" spans="1:27">
      <c r="F104" s="7"/>
    </row>
    <row r="105" spans="1:27">
      <c r="F105" s="7"/>
    </row>
    <row r="106" spans="1:27" ht="31">
      <c r="A106" s="378" t="s">
        <v>638</v>
      </c>
      <c r="B106" s="1305">
        <v>45992</v>
      </c>
      <c r="C106" s="1306" t="s">
        <v>310</v>
      </c>
      <c r="D106" s="1305" t="s">
        <v>237</v>
      </c>
      <c r="E106" s="1305" t="s">
        <v>723</v>
      </c>
      <c r="F106" s="1305" t="s">
        <v>290</v>
      </c>
      <c r="G106" s="1305" t="s">
        <v>285</v>
      </c>
      <c r="H106" s="1305" t="s">
        <v>312</v>
      </c>
      <c r="I106" s="1305" t="s">
        <v>288</v>
      </c>
      <c r="J106" s="1305" t="s">
        <v>724</v>
      </c>
      <c r="K106" s="1305" t="s">
        <v>498</v>
      </c>
      <c r="L106" s="1305" t="s">
        <v>499</v>
      </c>
      <c r="M106" s="1305" t="s">
        <v>725</v>
      </c>
      <c r="N106" s="1382" t="s">
        <v>726</v>
      </c>
      <c r="O106" s="1307" t="s">
        <v>76</v>
      </c>
      <c r="P106" s="1307" t="s">
        <v>310</v>
      </c>
      <c r="Q106" s="1308" t="s">
        <v>237</v>
      </c>
      <c r="R106" s="1308" t="s">
        <v>723</v>
      </c>
      <c r="S106" s="1308" t="s">
        <v>290</v>
      </c>
      <c r="T106" s="1308" t="s">
        <v>285</v>
      </c>
      <c r="U106" s="1308" t="s">
        <v>312</v>
      </c>
      <c r="V106" s="1308" t="s">
        <v>288</v>
      </c>
      <c r="W106" s="1308" t="s">
        <v>724</v>
      </c>
      <c r="X106" s="1308" t="s">
        <v>498</v>
      </c>
      <c r="Y106" s="1308" t="s">
        <v>499</v>
      </c>
      <c r="Z106" s="1308" t="s">
        <v>726</v>
      </c>
      <c r="AA106" t="s">
        <v>725</v>
      </c>
    </row>
    <row r="107" spans="1:27">
      <c r="A107" s="361" t="s">
        <v>80</v>
      </c>
      <c r="B107" s="384">
        <f>'Slide 2025'!P225</f>
        <v>2202.6767610530001</v>
      </c>
      <c r="C107" s="425">
        <f t="shared" ref="C107:L107" si="5">SUM(C108:C111)</f>
        <v>977.68281140099998</v>
      </c>
      <c r="D107" s="425">
        <f t="shared" si="5"/>
        <v>862.53620574899992</v>
      </c>
      <c r="E107" s="425">
        <f t="shared" si="5"/>
        <v>117.59169</v>
      </c>
      <c r="F107" s="425">
        <f t="shared" si="5"/>
        <v>157.75024609799999</v>
      </c>
      <c r="G107" s="425">
        <f t="shared" si="5"/>
        <v>47.579622047000001</v>
      </c>
      <c r="H107" s="425">
        <f t="shared" si="5"/>
        <v>17.538450000000001</v>
      </c>
      <c r="I107" s="425">
        <f t="shared" si="5"/>
        <v>0.58954248600000003</v>
      </c>
      <c r="J107" s="425">
        <f t="shared" si="5"/>
        <v>20.768193271999998</v>
      </c>
      <c r="K107" s="425">
        <f t="shared" si="5"/>
        <v>0</v>
      </c>
      <c r="L107" s="425">
        <f t="shared" si="5"/>
        <v>0.64</v>
      </c>
      <c r="M107" s="383">
        <f>B107-SUM(C107:L107)</f>
        <v>0</v>
      </c>
      <c r="N107" s="425">
        <f>SUM(N108:N111)</f>
        <v>21.997735757999997</v>
      </c>
      <c r="O107" s="384">
        <f>'Slide 2025'!T225</f>
        <v>15161.608816276001</v>
      </c>
      <c r="P107" s="425">
        <f t="shared" ref="P107:Z107" si="6">SUM(P108:P111)</f>
        <v>6481.218186862</v>
      </c>
      <c r="Q107" s="425">
        <f t="shared" si="6"/>
        <v>6640.1692112260007</v>
      </c>
      <c r="R107" s="425">
        <f t="shared" si="6"/>
        <v>674.23862999999994</v>
      </c>
      <c r="S107" s="425">
        <f t="shared" si="6"/>
        <v>820.097079001</v>
      </c>
      <c r="T107" s="425">
        <f t="shared" si="6"/>
        <v>392.37573876499999</v>
      </c>
      <c r="U107" s="425">
        <f t="shared" si="6"/>
        <v>37.936500000000002</v>
      </c>
      <c r="V107" s="425">
        <f t="shared" si="6"/>
        <v>10.082905272</v>
      </c>
      <c r="W107" s="425">
        <f t="shared" si="6"/>
        <v>104.83976514999999</v>
      </c>
      <c r="X107" s="425">
        <f t="shared" si="6"/>
        <v>0</v>
      </c>
      <c r="Y107" s="425">
        <f t="shared" si="6"/>
        <v>0.64</v>
      </c>
      <c r="Z107" s="425">
        <f t="shared" si="6"/>
        <v>10.082905272</v>
      </c>
      <c r="AA107" s="34">
        <f>O107-SUM(P107:Y107)</f>
        <v>1.0800000000017462E-2</v>
      </c>
    </row>
    <row r="108" spans="1:27" s="68" customFormat="1" hidden="1">
      <c r="A108" s="812" t="s">
        <v>81</v>
      </c>
      <c r="B108" s="389"/>
      <c r="C108" s="1333">
        <f>Lending!AA208/10^9</f>
        <v>522.09159</v>
      </c>
      <c r="D108" s="1333">
        <f>(Lending!AA52+Lending!AA91)/10^9</f>
        <v>548.67533000000003</v>
      </c>
      <c r="E108" s="1333">
        <f>Lending!AA325/10^9</f>
        <v>117.58089</v>
      </c>
      <c r="F108" s="1333">
        <f>Lending!AA247/10^9</f>
        <v>126.95367</v>
      </c>
      <c r="G108" s="1333">
        <f>(Lending!AA286)/10^9</f>
        <v>21.69755</v>
      </c>
      <c r="H108" s="1334">
        <f>(Lending!AA364+Lending!AA403)/10^9</f>
        <v>17.538450000000001</v>
      </c>
      <c r="I108" s="1335"/>
      <c r="J108" s="1334">
        <f>Lending!AA130/10^9</f>
        <v>9.5570000000000004</v>
      </c>
      <c r="K108" s="1333">
        <f>Lending!AA169/10^9</f>
        <v>0</v>
      </c>
      <c r="L108" s="388">
        <f>Lending!AA442/10^9</f>
        <v>0.64</v>
      </c>
      <c r="M108" s="388"/>
      <c r="N108" s="1383">
        <f>I108+J108+L108</f>
        <v>10.197000000000001</v>
      </c>
      <c r="O108" s="6"/>
      <c r="P108" s="1336">
        <f>Lending!M208/10^9</f>
        <v>3983.5273999999999</v>
      </c>
      <c r="Q108" s="398">
        <f>(Lending!M52+Lending!M91)/10^9</f>
        <v>4016.3545800000002</v>
      </c>
      <c r="R108" s="1335">
        <f>Lending!M325/10^9</f>
        <v>674.23862999999994</v>
      </c>
      <c r="S108" s="398">
        <f>Lending!M247/10^9</f>
        <v>691.87486000000001</v>
      </c>
      <c r="T108" s="398">
        <f>(Lending!M286)/10^9</f>
        <v>191.53851</v>
      </c>
      <c r="U108" s="1334">
        <f>(Lending!M364+Lending!M403)/10^9</f>
        <v>37.936500000000002</v>
      </c>
      <c r="V108" s="1335"/>
      <c r="W108" s="398">
        <f>(Lending!M130)/10^9</f>
        <v>13.31025</v>
      </c>
      <c r="X108" s="398">
        <f>Lending!M169/10^9</f>
        <v>0</v>
      </c>
      <c r="Y108" s="68">
        <f>Lending!M442/10^9</f>
        <v>0.64</v>
      </c>
      <c r="Z108" s="221">
        <f>V108+X108</f>
        <v>0</v>
      </c>
      <c r="AA108" s="34"/>
    </row>
    <row r="109" spans="1:27" s="68" customFormat="1" hidden="1">
      <c r="A109" s="812" t="s">
        <v>71</v>
      </c>
      <c r="B109" s="389"/>
      <c r="C109" s="1333">
        <f>Lending!AA598/10^9</f>
        <v>384.58692400000001</v>
      </c>
      <c r="D109" s="1333">
        <f>(Lending!AA520+Lending!AA559)/10^9</f>
        <v>305.530732</v>
      </c>
      <c r="E109" s="1340">
        <f>Lending!AA675/10^9</f>
        <v>1.0800000000000001E-2</v>
      </c>
      <c r="F109" s="1333"/>
      <c r="G109" s="1333">
        <f>Lending!AA637/10^9</f>
        <v>9.0822599999999998</v>
      </c>
      <c r="H109" s="1335"/>
      <c r="I109" s="1335"/>
      <c r="J109" s="1333"/>
      <c r="K109" s="1333"/>
      <c r="L109" s="388"/>
      <c r="M109" s="388"/>
      <c r="N109" s="1383">
        <f>I109+J109+L109</f>
        <v>0</v>
      </c>
      <c r="O109" s="6"/>
      <c r="P109" s="398">
        <f>Lending!M598/10^9</f>
        <v>1298.5557160000001</v>
      </c>
      <c r="Q109" s="398">
        <f>(Lending!M520+Lending!M559)/10^9</f>
        <v>2491.6443920000002</v>
      </c>
      <c r="R109" s="1335"/>
      <c r="S109" s="1337"/>
      <c r="T109" s="1337">
        <f>Lending!M637/10^9</f>
        <v>22.749227999999999</v>
      </c>
      <c r="U109" s="1390"/>
      <c r="V109" s="1335"/>
      <c r="W109" s="1337"/>
      <c r="X109" s="1337"/>
      <c r="Z109" s="221">
        <f>V109+X109</f>
        <v>0</v>
      </c>
      <c r="AA109" s="34"/>
    </row>
    <row r="110" spans="1:27" s="68" customFormat="1" hidden="1">
      <c r="A110" s="812" t="s">
        <v>27</v>
      </c>
      <c r="B110" s="389"/>
      <c r="C110" s="388">
        <f>Lending!AA481/10^9</f>
        <v>71.004297401000002</v>
      </c>
      <c r="D110" s="398"/>
      <c r="E110" s="1335"/>
      <c r="F110" s="398"/>
      <c r="G110" s="398"/>
      <c r="H110" s="1335"/>
      <c r="I110" s="1335"/>
      <c r="J110" s="1335"/>
      <c r="K110" s="398"/>
      <c r="L110" s="388"/>
      <c r="M110" s="388"/>
      <c r="N110" s="1383">
        <f>I110+J110+L110</f>
        <v>0</v>
      </c>
      <c r="O110" s="6"/>
      <c r="P110" s="398">
        <f>Lending!M481/10^9</f>
        <v>1199.135070862</v>
      </c>
      <c r="Q110" s="1337"/>
      <c r="R110" s="1335"/>
      <c r="S110" s="1337"/>
      <c r="T110" s="1337"/>
      <c r="U110" s="1337"/>
      <c r="V110" s="1335"/>
      <c r="W110" s="1337"/>
      <c r="X110" s="1337"/>
      <c r="Z110" s="221">
        <f>V110+X110</f>
        <v>0</v>
      </c>
      <c r="AA110" s="34"/>
    </row>
    <row r="111" spans="1:27" s="68" customFormat="1" hidden="1">
      <c r="A111" s="812" t="s">
        <v>25</v>
      </c>
      <c r="B111" s="389"/>
      <c r="C111" s="1335"/>
      <c r="D111" s="388">
        <f>Paylater!AA59/10^9</f>
        <v>8.3301437490000012</v>
      </c>
      <c r="E111" s="1335"/>
      <c r="F111" s="398">
        <f>Paylater!AA324/10^9</f>
        <v>30.796576097999999</v>
      </c>
      <c r="G111" s="398">
        <f>Paylater!AA218/10^9</f>
        <v>16.799812047</v>
      </c>
      <c r="H111" s="1335"/>
      <c r="I111" s="398">
        <f>Paylater!AA271/10^9</f>
        <v>0.58954248600000003</v>
      </c>
      <c r="J111" s="398">
        <f>Paylater!AA165/10^9</f>
        <v>11.211193271999999</v>
      </c>
      <c r="K111" s="398"/>
      <c r="L111" s="388"/>
      <c r="M111" s="388"/>
      <c r="N111" s="1383">
        <f>I111+J111+L111</f>
        <v>11.800735757999998</v>
      </c>
      <c r="O111" s="6"/>
      <c r="P111" s="398"/>
      <c r="Q111" s="388">
        <f>Paylater!M59/10^9</f>
        <v>132.17023922600001</v>
      </c>
      <c r="R111" s="1335"/>
      <c r="S111" s="398">
        <f>Paylater!M324/10^9</f>
        <v>128.22221900100001</v>
      </c>
      <c r="T111" s="398">
        <f>Paylater!M218/10^9</f>
        <v>178.088000765</v>
      </c>
      <c r="U111" s="1337"/>
      <c r="V111" s="398">
        <f>Paylater!M271/10^9</f>
        <v>10.082905272</v>
      </c>
      <c r="W111" s="398">
        <f>Paylater!M165/10^9</f>
        <v>91.529515149999995</v>
      </c>
      <c r="X111" s="1337"/>
      <c r="Z111" s="221">
        <f>V111+X111</f>
        <v>10.082905272</v>
      </c>
      <c r="AA111" s="34"/>
    </row>
    <row r="112" spans="1:27">
      <c r="A112" s="361" t="s">
        <v>82</v>
      </c>
      <c r="B112" s="384">
        <f>'Slide 2025'!P226</f>
        <v>6786.312292777</v>
      </c>
      <c r="C112" s="1332">
        <f>SUM(C113:C116)</f>
        <v>2861.4991478880002</v>
      </c>
      <c r="D112" s="1332">
        <f t="shared" ref="D112" si="7">SUM(D113:D116)</f>
        <v>2602.784987561</v>
      </c>
      <c r="E112" s="1332">
        <f t="shared" ref="E112:J112" si="8">SUM(E113:E116)</f>
        <v>466.28762881899996</v>
      </c>
      <c r="F112" s="1332">
        <f t="shared" si="8"/>
        <v>605.79178453500003</v>
      </c>
      <c r="G112" s="1332">
        <f t="shared" si="8"/>
        <v>165.24970758900002</v>
      </c>
      <c r="H112" s="1332">
        <f t="shared" si="8"/>
        <v>34.203552680000001</v>
      </c>
      <c r="I112" s="1332">
        <f t="shared" si="8"/>
        <v>2.0023044589999999</v>
      </c>
      <c r="J112" s="1332">
        <f t="shared" si="8"/>
        <v>39.646304677000003</v>
      </c>
      <c r="K112" s="1332">
        <f>SUM(K113:K116)</f>
        <v>8.206874569</v>
      </c>
      <c r="L112" s="1332">
        <f>SUM(L113:L116)</f>
        <v>0.64</v>
      </c>
      <c r="M112" s="383">
        <f>B112-SUM(C112:L112)</f>
        <v>0</v>
      </c>
      <c r="N112" s="1332">
        <f>SUM(N113:N116)</f>
        <v>42.288609136000005</v>
      </c>
      <c r="O112" s="384">
        <f>$B$112</f>
        <v>6786.312292777</v>
      </c>
      <c r="P112" s="425">
        <f t="shared" ref="P112:Z112" si="9">SUM(P113:P116)</f>
        <v>2861.4991478880002</v>
      </c>
      <c r="Q112" s="425">
        <f t="shared" si="9"/>
        <v>2602.784987561</v>
      </c>
      <c r="R112" s="425">
        <f t="shared" si="9"/>
        <v>466.27682951499997</v>
      </c>
      <c r="S112" s="425">
        <f t="shared" si="9"/>
        <v>605.79178453500003</v>
      </c>
      <c r="T112" s="425">
        <f t="shared" si="9"/>
        <v>165.24970758900002</v>
      </c>
      <c r="U112" s="425">
        <f t="shared" si="9"/>
        <v>34.203552680000001</v>
      </c>
      <c r="V112" s="425">
        <f t="shared" si="9"/>
        <v>2.0023044589999999</v>
      </c>
      <c r="W112" s="425">
        <f t="shared" si="9"/>
        <v>39.646304677000003</v>
      </c>
      <c r="X112" s="425">
        <f t="shared" si="9"/>
        <v>8.206874569</v>
      </c>
      <c r="Y112" s="425">
        <f t="shared" si="9"/>
        <v>0.64</v>
      </c>
      <c r="Z112" s="425">
        <f t="shared" si="9"/>
        <v>10.209179027999999</v>
      </c>
      <c r="AA112" s="34">
        <f>O112-SUM(P112:Y112)</f>
        <v>1.0799303999192489E-2</v>
      </c>
    </row>
    <row r="113" spans="1:27" s="68" customFormat="1" hidden="1">
      <c r="A113" s="812" t="s">
        <v>81</v>
      </c>
      <c r="B113" s="389"/>
      <c r="C113" s="1336">
        <f>Lending!AA211/10^9</f>
        <v>2357.7951952570002</v>
      </c>
      <c r="D113" s="1338">
        <f>(Lending!AA55+Lending!AA94)/10^9</f>
        <v>2276.1176553740002</v>
      </c>
      <c r="E113" s="1339">
        <f>Lending!AA328/10^9</f>
        <v>466.27682951499997</v>
      </c>
      <c r="F113" s="1338">
        <f>Lending!AA250/10^9</f>
        <v>529.31986705999998</v>
      </c>
      <c r="G113" s="1338">
        <f>Lending!AA289/10^9</f>
        <v>114.324863034</v>
      </c>
      <c r="H113" s="1340">
        <f>(Lending!AA367+Lending!AA406)/10^9</f>
        <v>34.203552680000001</v>
      </c>
      <c r="I113" s="1335"/>
      <c r="J113" s="1338">
        <f>Lending!AA133/10^9</f>
        <v>14.158374367</v>
      </c>
      <c r="K113" s="1338">
        <f>Lending!AA172/10^9</f>
        <v>8.206874569</v>
      </c>
      <c r="L113" s="388">
        <f>Lending!AA445/10^9</f>
        <v>0.64</v>
      </c>
      <c r="M113" s="388"/>
      <c r="N113" s="1383">
        <f>I113+J113+L113</f>
        <v>14.798374367000001</v>
      </c>
      <c r="O113" s="6"/>
      <c r="P113" s="1336">
        <f>$C$113</f>
        <v>2357.7951952570002</v>
      </c>
      <c r="Q113" s="1341">
        <f>$D$113</f>
        <v>2276.1176553740002</v>
      </c>
      <c r="R113" s="1341">
        <f>$E$113</f>
        <v>466.27682951499997</v>
      </c>
      <c r="S113" s="398">
        <f>$F$113</f>
        <v>529.31986705999998</v>
      </c>
      <c r="T113" s="1341">
        <f>$G$113</f>
        <v>114.324863034</v>
      </c>
      <c r="U113" s="398">
        <f>$H$113</f>
        <v>34.203552680000001</v>
      </c>
      <c r="V113" s="1335"/>
      <c r="W113" s="398">
        <f>$J$113</f>
        <v>14.158374367</v>
      </c>
      <c r="X113" s="398">
        <f>$K$113</f>
        <v>8.206874569</v>
      </c>
      <c r="Y113" s="398">
        <f>$L$113</f>
        <v>0.64</v>
      </c>
      <c r="Z113" s="221">
        <f>V113+X113</f>
        <v>8.206874569</v>
      </c>
      <c r="AA113" s="34"/>
    </row>
    <row r="114" spans="1:27" s="68" customFormat="1" hidden="1">
      <c r="A114" s="812" t="s">
        <v>71</v>
      </c>
      <c r="B114" s="389"/>
      <c r="C114" s="1338">
        <f>Lending!AA601/10^9</f>
        <v>347.67988788600002</v>
      </c>
      <c r="D114" s="1338">
        <f>(Lending!AA562+Lending!AA523)/10^9</f>
        <v>304.325195028</v>
      </c>
      <c r="E114" s="1340">
        <f>Lending!AA678/10^9</f>
        <v>1.0799303999999999E-2</v>
      </c>
      <c r="F114" s="1338"/>
      <c r="G114" s="1338">
        <f>Lending!AA640/10^9</f>
        <v>7.9758875170000003</v>
      </c>
      <c r="H114" s="1335"/>
      <c r="I114" s="1335"/>
      <c r="J114" s="1338"/>
      <c r="K114" s="1338"/>
      <c r="L114" s="388"/>
      <c r="M114" s="388"/>
      <c r="N114" s="1383">
        <f>I114+J114+L114</f>
        <v>0</v>
      </c>
      <c r="O114" s="6"/>
      <c r="P114" s="1341">
        <f>$C$114</f>
        <v>347.67988788600002</v>
      </c>
      <c r="Q114" s="1341">
        <f>$D$114</f>
        <v>304.325195028</v>
      </c>
      <c r="R114" s="1335"/>
      <c r="S114" s="1337"/>
      <c r="T114" s="1342">
        <f>$G$114</f>
        <v>7.9758875170000003</v>
      </c>
      <c r="U114" s="1337"/>
      <c r="V114" s="1335"/>
      <c r="W114" s="1337"/>
      <c r="X114" s="1337"/>
      <c r="Z114" s="221">
        <f>V114+X114</f>
        <v>0</v>
      </c>
      <c r="AA114" s="34"/>
    </row>
    <row r="115" spans="1:27" s="68" customFormat="1" hidden="1">
      <c r="A115" s="812" t="s">
        <v>27</v>
      </c>
      <c r="B115" s="389"/>
      <c r="C115" s="1338">
        <f>Lending!AA482/10^9</f>
        <v>156.024064745</v>
      </c>
      <c r="D115" s="1338"/>
      <c r="E115" s="1335"/>
      <c r="F115" s="1338"/>
      <c r="G115" s="1338"/>
      <c r="H115" s="1335"/>
      <c r="I115" s="1335"/>
      <c r="J115" s="1338"/>
      <c r="K115" s="1338"/>
      <c r="L115" s="388"/>
      <c r="M115" s="388"/>
      <c r="N115" s="1383">
        <f>I115+J115+L115</f>
        <v>0</v>
      </c>
      <c r="O115" s="6"/>
      <c r="P115" s="1341">
        <f>$C$115</f>
        <v>156.024064745</v>
      </c>
      <c r="Q115" s="1337"/>
      <c r="R115" s="1335"/>
      <c r="S115" s="1337"/>
      <c r="T115" s="1337"/>
      <c r="U115" s="1337"/>
      <c r="V115" s="1335"/>
      <c r="W115" s="1337"/>
      <c r="X115" s="1337"/>
      <c r="Z115" s="221">
        <f>V115+X115</f>
        <v>0</v>
      </c>
      <c r="AA115" s="34"/>
    </row>
    <row r="116" spans="1:27" s="68" customFormat="1" hidden="1">
      <c r="A116" s="812" t="s">
        <v>25</v>
      </c>
      <c r="B116" s="389"/>
      <c r="C116" s="1338"/>
      <c r="D116" s="1338">
        <f>Paylater!AA60/10^9</f>
        <v>22.342137159</v>
      </c>
      <c r="E116" s="1335"/>
      <c r="F116" s="1338">
        <f>Paylater!AA325/10^9</f>
        <v>76.471917474999998</v>
      </c>
      <c r="G116" s="1338">
        <f>Paylater!AA219/10^9</f>
        <v>42.948957038000003</v>
      </c>
      <c r="H116" s="1335"/>
      <c r="I116" s="1338">
        <f>Paylater!AA272/10^9</f>
        <v>2.0023044589999999</v>
      </c>
      <c r="J116" s="1338">
        <f>Paylater!AA166/10^9</f>
        <v>25.487930309999999</v>
      </c>
      <c r="K116" s="1338"/>
      <c r="L116" s="388"/>
      <c r="M116" s="388"/>
      <c r="N116" s="1383">
        <f>I116+J116+L116</f>
        <v>27.490234769000001</v>
      </c>
      <c r="O116" s="6"/>
      <c r="P116" s="1341"/>
      <c r="Q116" s="1341">
        <f>$D$116</f>
        <v>22.342137159</v>
      </c>
      <c r="R116" s="1335"/>
      <c r="S116" s="1342">
        <f>$F$116</f>
        <v>76.471917474999998</v>
      </c>
      <c r="T116" s="1341">
        <f>$G$116</f>
        <v>42.948957038000003</v>
      </c>
      <c r="U116" s="1337"/>
      <c r="V116" s="1338">
        <f>$I$116</f>
        <v>2.0023044589999999</v>
      </c>
      <c r="W116" s="398">
        <f>$J$116</f>
        <v>25.487930309999999</v>
      </c>
      <c r="X116" s="1337"/>
      <c r="Z116" s="221">
        <f>V116+X116</f>
        <v>2.0023044589999999</v>
      </c>
      <c r="AA116" s="34"/>
    </row>
    <row r="117" spans="1:27">
      <c r="A117" s="361" t="s">
        <v>217</v>
      </c>
      <c r="B117" s="1343">
        <f>'Slide 2025'!P230</f>
        <v>324.86915625012449</v>
      </c>
      <c r="C117" s="1334">
        <f>SUM(C118:C121)</f>
        <v>136.07171819300001</v>
      </c>
      <c r="D117" s="1334">
        <f t="shared" ref="D117" si="10">SUM(D118:D121)</f>
        <v>138.41921457776749</v>
      </c>
      <c r="E117" s="1334">
        <f t="shared" ref="E117:J117" si="11">SUM(E118:E121)</f>
        <v>19.630120388999998</v>
      </c>
      <c r="F117" s="1334">
        <f t="shared" si="11"/>
        <v>21.9496082258344</v>
      </c>
      <c r="G117" s="1334">
        <f t="shared" si="11"/>
        <v>5.9702629119218003</v>
      </c>
      <c r="H117" s="1334">
        <f t="shared" si="11"/>
        <v>1.3659976620000001</v>
      </c>
      <c r="I117" s="1334">
        <f t="shared" si="11"/>
        <v>5.2050898040999997E-3</v>
      </c>
      <c r="J117" s="1334">
        <f t="shared" si="11"/>
        <v>1.1668716307967002</v>
      </c>
      <c r="K117" s="1334">
        <f>SUM(K118:K121)</f>
        <v>0.28594403499999999</v>
      </c>
      <c r="L117" s="1334">
        <f>SUM(L118:L121)</f>
        <v>4.213535E-3</v>
      </c>
      <c r="M117" s="383">
        <f>B117-SUM(C117:L117)</f>
        <v>0</v>
      </c>
      <c r="N117" s="1334">
        <f>SUM(N118:N121)</f>
        <v>1.1762902556008004</v>
      </c>
      <c r="O117" s="384">
        <f>'Slide 2025'!T230</f>
        <v>2130.2522517787238</v>
      </c>
      <c r="P117" s="1334">
        <f t="shared" ref="P117:Z117" si="12">SUM(P118:P121)</f>
        <v>852.17225317031659</v>
      </c>
      <c r="Q117" s="1334">
        <f t="shared" si="12"/>
        <v>1030.6931849083333</v>
      </c>
      <c r="R117" s="1334">
        <f t="shared" si="12"/>
        <v>83.847094493</v>
      </c>
      <c r="S117" s="1334">
        <f t="shared" si="12"/>
        <v>105.15063161927097</v>
      </c>
      <c r="T117" s="1334">
        <f t="shared" si="12"/>
        <v>39.303154036642539</v>
      </c>
      <c r="U117" s="1334">
        <f t="shared" si="12"/>
        <v>2.8796211409999999</v>
      </c>
      <c r="V117" s="1334">
        <f t="shared" si="12"/>
        <v>1.4595024515243847E-2</v>
      </c>
      <c r="W117" s="1334">
        <f t="shared" si="12"/>
        <v>8.9524724989080777</v>
      </c>
      <c r="X117" s="1334">
        <f t="shared" si="12"/>
        <v>7.467673857737501</v>
      </c>
      <c r="Y117" s="1334">
        <f t="shared" si="12"/>
        <v>4.213535E-3</v>
      </c>
      <c r="Z117" s="1334">
        <f t="shared" si="12"/>
        <v>7.482268882252745</v>
      </c>
      <c r="AA117" s="34">
        <f>O117-SUM(P117:Y117)</f>
        <v>-0.23264250599959269</v>
      </c>
    </row>
    <row r="118" spans="1:27" s="68" customFormat="1" hidden="1">
      <c r="A118" s="812" t="s">
        <v>81</v>
      </c>
      <c r="B118" s="1344"/>
      <c r="C118" s="1345">
        <f>Lending!AA220/10^9</f>
        <v>98.076618616000005</v>
      </c>
      <c r="D118" s="1333">
        <f>(Lending!AA64+Lending!AA103)/10^9</f>
        <v>108.744206238</v>
      </c>
      <c r="E118" s="1334">
        <f>Lending!AA337/10^9</f>
        <v>19.629191526</v>
      </c>
      <c r="F118" s="1333">
        <f>Lending!AA259/10^9</f>
        <v>19.863247422000001</v>
      </c>
      <c r="G118" s="1333">
        <f>Lending!AA298/10^9</f>
        <v>4.2424053710000003</v>
      </c>
      <c r="H118" s="1333">
        <f>(Lending!AA376+Lending!AA415)/10^9</f>
        <v>1.3659976620000001</v>
      </c>
      <c r="I118" s="1335"/>
      <c r="J118" s="1333">
        <f>Lending!AA142/10^9</f>
        <v>0.70039838499999996</v>
      </c>
      <c r="K118" s="1333">
        <f>Lending!AA181/10^9</f>
        <v>0.28594403499999999</v>
      </c>
      <c r="L118" s="388">
        <f>Lending!AA454/10^9</f>
        <v>4.213535E-3</v>
      </c>
      <c r="M118" s="388"/>
      <c r="N118" s="1383">
        <f>I118+J118+L118</f>
        <v>0.70461191999999995</v>
      </c>
      <c r="O118" s="384"/>
      <c r="P118" s="1345">
        <f>(Lending!M220)/10^9</f>
        <v>670.22502170473047</v>
      </c>
      <c r="Q118" s="1333">
        <f>(Lending!M64+Lending!M103)/10^9</f>
        <v>780.62018298612747</v>
      </c>
      <c r="R118" s="1340">
        <f>Lending!M337/10^9</f>
        <v>83.847094493</v>
      </c>
      <c r="S118" s="1333">
        <f>Lending!M259/10^9</f>
        <v>98.237098296314798</v>
      </c>
      <c r="T118" s="1333">
        <f>Lending!M298/10^9</f>
        <v>31.212438521806</v>
      </c>
      <c r="U118" s="1333">
        <f>(Lending!M376+Lending!M415)/10^9</f>
        <v>2.8796211409999999</v>
      </c>
      <c r="V118" s="1335"/>
      <c r="W118" s="1333">
        <f>Lending!M142/10^9</f>
        <v>3.9666030019565</v>
      </c>
      <c r="X118" s="1333">
        <f>Lending!M181/10^9</f>
        <v>7.467673857737501</v>
      </c>
      <c r="Y118" s="68">
        <f>Lending!M454/10^9</f>
        <v>4.213535E-3</v>
      </c>
      <c r="Z118" s="1383">
        <f>V118+X118</f>
        <v>7.467673857737501</v>
      </c>
      <c r="AA118" s="34"/>
    </row>
    <row r="119" spans="1:27" s="68" customFormat="1" hidden="1">
      <c r="A119" s="812" t="s">
        <v>71</v>
      </c>
      <c r="B119" s="1344"/>
      <c r="C119" s="1333">
        <f>Lending!AA610/10^9</f>
        <v>34.148360736999997</v>
      </c>
      <c r="D119" s="1333">
        <f>(Lending!AA532+Lending!AA571)/10^9</f>
        <v>28.731832274999999</v>
      </c>
      <c r="E119" s="1340">
        <f>Lending!AA687/10^9</f>
        <v>9.2886300000000004E-4</v>
      </c>
      <c r="F119" s="1333"/>
      <c r="G119" s="1333">
        <f>Lending!AA649/10^9</f>
        <v>0.80744699099999995</v>
      </c>
      <c r="H119" s="1335"/>
      <c r="I119" s="1335"/>
      <c r="J119" s="1333"/>
      <c r="K119" s="1333"/>
      <c r="L119" s="388"/>
      <c r="M119" s="388"/>
      <c r="N119" s="1383">
        <f>I119+J119+L119</f>
        <v>0</v>
      </c>
      <c r="O119" s="384"/>
      <c r="P119" s="1333">
        <f>Lending!M610/10^9</f>
        <v>113.395085076</v>
      </c>
      <c r="Q119" s="1333">
        <f>(Lending!M532+Lending!M571)/10^9</f>
        <v>241.84183365084175</v>
      </c>
      <c r="R119" s="1335"/>
      <c r="S119" s="1337"/>
      <c r="T119" s="1337">
        <f>Lending!M649/10^9</f>
        <v>1.9715610429999999</v>
      </c>
      <c r="U119" s="1337"/>
      <c r="V119" s="1335"/>
      <c r="W119" s="1337"/>
      <c r="X119" s="1337"/>
      <c r="Z119" s="1383">
        <f>V119+X119</f>
        <v>0</v>
      </c>
      <c r="AA119" s="34"/>
    </row>
    <row r="120" spans="1:27" s="68" customFormat="1" hidden="1">
      <c r="A120" s="812" t="s">
        <v>27</v>
      </c>
      <c r="B120" s="1344"/>
      <c r="C120" s="1333">
        <f>Lending!AA493/10^9</f>
        <v>3.84673884</v>
      </c>
      <c r="D120" s="1333"/>
      <c r="E120" s="1335"/>
      <c r="F120" s="1333"/>
      <c r="G120" s="1333"/>
      <c r="H120" s="1335"/>
      <c r="I120" s="1335"/>
      <c r="J120" s="1333"/>
      <c r="K120" s="1333"/>
      <c r="L120" s="388"/>
      <c r="M120" s="388"/>
      <c r="N120" s="1383">
        <f>I120+J120+L120</f>
        <v>0</v>
      </c>
      <c r="O120" s="384"/>
      <c r="P120" s="1333">
        <f>(Lending!M493)/10^9</f>
        <v>68.552146389586142</v>
      </c>
      <c r="Q120" s="1337"/>
      <c r="R120" s="1335"/>
      <c r="S120" s="1337"/>
      <c r="T120" s="1337"/>
      <c r="U120" s="1337"/>
      <c r="V120" s="1335"/>
      <c r="W120" s="1337"/>
      <c r="X120" s="1337"/>
      <c r="Z120" s="1383">
        <f>V120+X120</f>
        <v>0</v>
      </c>
      <c r="AA120" s="34"/>
    </row>
    <row r="121" spans="1:27" s="68" customFormat="1" hidden="1">
      <c r="A121" s="812" t="s">
        <v>25</v>
      </c>
      <c r="B121" s="1344"/>
      <c r="C121" s="1333"/>
      <c r="D121" s="1333">
        <f>Paylater!AA74/10^9</f>
        <v>0.94317606476750093</v>
      </c>
      <c r="E121" s="1335"/>
      <c r="F121" s="1333">
        <f>Paylater!AA339/10^9</f>
        <v>2.086360803834399</v>
      </c>
      <c r="G121" s="1333">
        <f>Paylater!AA233/10^9</f>
        <v>0.92041054992179983</v>
      </c>
      <c r="H121" s="1335"/>
      <c r="I121" s="1333">
        <f>Paylater!AA286/10^9</f>
        <v>5.2050898040999997E-3</v>
      </c>
      <c r="J121" s="1333">
        <f>Paylater!AA180/10^9</f>
        <v>0.4664732457967003</v>
      </c>
      <c r="K121" s="1333"/>
      <c r="L121" s="388"/>
      <c r="M121" s="388"/>
      <c r="N121" s="1383">
        <f>I121+J121+L121</f>
        <v>0.4716783356008003</v>
      </c>
      <c r="O121" s="384"/>
      <c r="P121" s="1333"/>
      <c r="Q121" s="1333">
        <f>Paylater!M74/10^9</f>
        <v>8.2311682713641314</v>
      </c>
      <c r="R121" s="1335"/>
      <c r="S121" s="1333">
        <f>Paylater!M339/10^9</f>
        <v>6.9135333229561668</v>
      </c>
      <c r="T121" s="1333">
        <f>Paylater!M233/10^9</f>
        <v>6.1191544718365405</v>
      </c>
      <c r="U121" s="1337"/>
      <c r="V121" s="1333">
        <f>Paylater!M286/10^9</f>
        <v>1.4595024515243847E-2</v>
      </c>
      <c r="W121" s="1333">
        <f>Paylater!M180/10^9</f>
        <v>4.9858694969515778</v>
      </c>
      <c r="X121" s="1337"/>
      <c r="Z121" s="1383">
        <f>V121+X121</f>
        <v>1.4595024515243847E-2</v>
      </c>
      <c r="AA121" s="34"/>
    </row>
    <row r="122" spans="1:27">
      <c r="A122" s="361" t="s">
        <v>727</v>
      </c>
      <c r="B122" s="1343">
        <f>'Slide 2025'!P234</f>
        <v>161.08972603399999</v>
      </c>
      <c r="C122" s="1334">
        <f>SUM(C123:C126)</f>
        <v>72.810176911000013</v>
      </c>
      <c r="D122" s="1334">
        <f t="shared" ref="D122" si="13">SUM(D123:D126)</f>
        <v>64.714004346999999</v>
      </c>
      <c r="E122" s="1334">
        <f t="shared" ref="E122:J122" si="14">SUM(E123:E126)</f>
        <v>5.902387697</v>
      </c>
      <c r="F122" s="1334">
        <f t="shared" si="14"/>
        <v>10.314783224999999</v>
      </c>
      <c r="G122" s="1334">
        <f t="shared" si="14"/>
        <v>5.1032192100000007</v>
      </c>
      <c r="H122" s="1334">
        <f t="shared" si="14"/>
        <v>0.230541312</v>
      </c>
      <c r="I122" s="1334">
        <f t="shared" si="14"/>
        <v>0.15151410800000001</v>
      </c>
      <c r="J122" s="1334">
        <f t="shared" si="14"/>
        <v>1.2107207639999999</v>
      </c>
      <c r="K122" s="1334">
        <f>SUM(K123:K126)</f>
        <v>0.64757845999999997</v>
      </c>
      <c r="L122" s="1334">
        <f>SUM(L123:L126)</f>
        <v>4.7999999999999996E-3</v>
      </c>
      <c r="M122" s="383">
        <f>B122-SUM(C122:L122)</f>
        <v>0</v>
      </c>
      <c r="N122" s="1334">
        <f>SUM(N123:N126)</f>
        <v>1.3670348720000001</v>
      </c>
      <c r="O122" s="384">
        <f>'Slide 2025'!T234</f>
        <v>962.540416564</v>
      </c>
      <c r="P122" s="1334">
        <f t="shared" ref="P122:Z122" si="15">SUM(P123:P126)</f>
        <v>356.19929900599999</v>
      </c>
      <c r="Q122" s="1334">
        <f t="shared" si="15"/>
        <v>487.48082893500003</v>
      </c>
      <c r="R122" s="1334">
        <f t="shared" si="15"/>
        <v>13.100994474</v>
      </c>
      <c r="S122" s="1334">
        <f t="shared" si="15"/>
        <v>34.190552941999997</v>
      </c>
      <c r="T122" s="1334">
        <f t="shared" si="15"/>
        <v>19.628914178999999</v>
      </c>
      <c r="U122" s="1334">
        <f t="shared" si="15"/>
        <v>0.41588750499999999</v>
      </c>
      <c r="V122" s="1334">
        <f t="shared" si="15"/>
        <v>0.80660185799999995</v>
      </c>
      <c r="W122" s="1334">
        <f t="shared" si="15"/>
        <v>13.980169698000001</v>
      </c>
      <c r="X122" s="1334">
        <f t="shared" si="15"/>
        <v>36.732286971999997</v>
      </c>
      <c r="Y122" s="1334">
        <f t="shared" si="15"/>
        <v>4.7999999999999996E-3</v>
      </c>
      <c r="Z122" s="1334">
        <f t="shared" si="15"/>
        <v>37.538888829999998</v>
      </c>
      <c r="AA122" s="34">
        <f>O122-SUM(P122:Y122)</f>
        <v>8.0994999848371663E-5</v>
      </c>
    </row>
    <row r="123" spans="1:27" s="68" customFormat="1" hidden="1">
      <c r="A123" s="812" t="s">
        <v>81</v>
      </c>
      <c r="B123" s="1344"/>
      <c r="C123" s="1345">
        <f>Lending!AA231/10^9</f>
        <v>57.349177625999999</v>
      </c>
      <c r="D123" s="1333">
        <f>(Lending!AA75+Lending!AA114)/10^9</f>
        <v>52.394302132</v>
      </c>
      <c r="E123" s="1340">
        <f>Lending!AA348/10^9</f>
        <v>5.9023067019999997</v>
      </c>
      <c r="F123" s="1333">
        <f>Lending!AA270/10^9</f>
        <v>7.7511309559999999</v>
      </c>
      <c r="G123" s="1333">
        <f>Lending!AA309/10^9</f>
        <v>2.8111532060000002</v>
      </c>
      <c r="H123" s="1340">
        <f>(Lending!AA387+Lending!AA426)/10^9</f>
        <v>0.230541312</v>
      </c>
      <c r="I123" s="1335"/>
      <c r="J123" s="1333">
        <f>Lending!AA153/10^9</f>
        <v>0.23609443099999999</v>
      </c>
      <c r="K123" s="1333">
        <f>Lending!AA192/10^9</f>
        <v>0.64757845999999997</v>
      </c>
      <c r="L123" s="388">
        <f>Lending!AA465/10^9</f>
        <v>4.7999999999999996E-3</v>
      </c>
      <c r="M123" s="388"/>
      <c r="N123" s="1383">
        <f>I123+J123+L123</f>
        <v>0.24089443099999999</v>
      </c>
      <c r="O123" s="384"/>
      <c r="P123" s="1345">
        <f>Lending!M231/10^9</f>
        <v>267.81655784700001</v>
      </c>
      <c r="Q123" s="1333">
        <f>(Lending!M75+Lending!M114)/10^9</f>
        <v>389.68944069600002</v>
      </c>
      <c r="R123" s="1340">
        <f>Lending!M348/10^9</f>
        <v>13.100994474</v>
      </c>
      <c r="S123" s="1333">
        <f>Lending!M270/10^9</f>
        <v>25.74276991</v>
      </c>
      <c r="T123" s="1333">
        <f>Lending!M309/10^9</f>
        <v>10.223139835</v>
      </c>
      <c r="U123" s="1333">
        <f>(Lending!M387+Lending!M426)/10^9</f>
        <v>0.41588750499999999</v>
      </c>
      <c r="V123" s="1335"/>
      <c r="W123" s="1333">
        <f>Lending!M153/10^9</f>
        <v>8.6217205880000005</v>
      </c>
      <c r="X123" s="1333">
        <f>Lending!M192/10^9</f>
        <v>36.732286971999997</v>
      </c>
      <c r="Y123" s="68">
        <f>Lending!M465/10^9</f>
        <v>4.7999999999999996E-3</v>
      </c>
      <c r="Z123" s="1383">
        <f>V123+X123</f>
        <v>36.732286971999997</v>
      </c>
      <c r="AA123" s="34"/>
    </row>
    <row r="124" spans="1:27" s="68" customFormat="1" hidden="1">
      <c r="A124" s="812" t="s">
        <v>71</v>
      </c>
      <c r="B124" s="1344"/>
      <c r="C124" s="1333">
        <f>Lending!AA621/10^9</f>
        <v>7.1921338390000003</v>
      </c>
      <c r="D124" s="1333">
        <f>(Lending!AA543+Lending!AA582)/10^9</f>
        <v>10.858937738</v>
      </c>
      <c r="E124" s="1340">
        <f>Lending!AA698/10^9</f>
        <v>8.0995000000000006E-5</v>
      </c>
      <c r="F124" s="1333"/>
      <c r="G124" s="1333">
        <f>Lending!AA660/10^9</f>
        <v>5.0345932000000003E-2</v>
      </c>
      <c r="H124" s="1335"/>
      <c r="I124" s="1335"/>
      <c r="J124" s="1333"/>
      <c r="K124" s="1333"/>
      <c r="L124" s="388"/>
      <c r="M124" s="388"/>
      <c r="N124" s="1383">
        <f>I124+J124+L124</f>
        <v>0</v>
      </c>
      <c r="O124" s="384"/>
      <c r="P124" s="1337">
        <f>Lending!M621/10^9</f>
        <v>11.914951976999999</v>
      </c>
      <c r="Q124" s="1333">
        <f>(Lending!M543+Lending!M582)/10^9</f>
        <v>83.847299883999995</v>
      </c>
      <c r="R124" s="1335"/>
      <c r="S124" s="1337"/>
      <c r="T124" s="1337">
        <f>Lending!M660/10^9</f>
        <v>0.111967047</v>
      </c>
      <c r="U124" s="1337"/>
      <c r="V124" s="1335"/>
      <c r="W124" s="1337"/>
      <c r="X124" s="1337"/>
      <c r="Z124" s="1383">
        <f>V124+X124</f>
        <v>0</v>
      </c>
      <c r="AA124" s="34"/>
    </row>
    <row r="125" spans="1:27" s="68" customFormat="1" hidden="1">
      <c r="A125" s="812" t="s">
        <v>27</v>
      </c>
      <c r="B125" s="1344"/>
      <c r="C125" s="1333">
        <f>Lending!AA504/10^9</f>
        <v>8.2688654459999995</v>
      </c>
      <c r="D125" s="1333"/>
      <c r="E125" s="1335"/>
      <c r="F125" s="1333"/>
      <c r="G125" s="1333"/>
      <c r="H125" s="1335"/>
      <c r="I125" s="1335"/>
      <c r="J125" s="1333"/>
      <c r="K125" s="1333"/>
      <c r="L125" s="388"/>
      <c r="M125" s="388"/>
      <c r="N125" s="1383">
        <f>I125+J125+L125</f>
        <v>0</v>
      </c>
      <c r="O125" s="384"/>
      <c r="P125" s="1333">
        <f>Lending!M504/10^9</f>
        <v>76.467789182000004</v>
      </c>
      <c r="Q125" s="1337"/>
      <c r="R125" s="1335"/>
      <c r="S125" s="1337"/>
      <c r="T125" s="1337"/>
      <c r="U125" s="1337"/>
      <c r="V125" s="1335"/>
      <c r="W125" s="1337"/>
      <c r="X125" s="1337"/>
      <c r="Z125" s="1383">
        <f>V125+X125</f>
        <v>0</v>
      </c>
      <c r="AA125" s="34"/>
    </row>
    <row r="126" spans="1:27" s="68" customFormat="1" hidden="1">
      <c r="A126" s="812" t="s">
        <v>25</v>
      </c>
      <c r="B126" s="1344"/>
      <c r="C126" s="1333"/>
      <c r="D126" s="1333">
        <f>Paylater!AA93/10^9</f>
        <v>1.4607644769999999</v>
      </c>
      <c r="E126" s="1335"/>
      <c r="F126" s="1333">
        <f>Paylater!AA358/10^9</f>
        <v>2.5636522689999999</v>
      </c>
      <c r="G126" s="1333">
        <f>Paylater!AA252/10^9</f>
        <v>2.2417200720000001</v>
      </c>
      <c r="H126" s="1335"/>
      <c r="I126" s="1333">
        <f>Paylater!AA305/10^9</f>
        <v>0.15151410800000001</v>
      </c>
      <c r="J126" s="1333">
        <f>Paylater!AA199/10^9</f>
        <v>0.97462633300000001</v>
      </c>
      <c r="K126" s="1333"/>
      <c r="L126" s="388"/>
      <c r="M126" s="388"/>
      <c r="N126" s="1383">
        <f>I126+J126+L126</f>
        <v>1.126140441</v>
      </c>
      <c r="O126" s="384"/>
      <c r="P126" s="1333"/>
      <c r="Q126" s="1333">
        <f>Paylater!M93/10^9</f>
        <v>13.944088355</v>
      </c>
      <c r="R126" s="1335"/>
      <c r="S126" s="1333">
        <f>Paylater!M358/10^9</f>
        <v>8.4477830320000002</v>
      </c>
      <c r="T126" s="1333">
        <f>Paylater!M252/10^9</f>
        <v>9.2938072970000007</v>
      </c>
      <c r="U126" s="1337"/>
      <c r="V126" s="1333">
        <f>Paylater!M305/10^9</f>
        <v>0.80660185799999995</v>
      </c>
      <c r="W126" s="1333">
        <f>Paylater!M199/10^9</f>
        <v>5.3584491099999996</v>
      </c>
      <c r="X126" s="1337"/>
      <c r="Z126" s="1383">
        <f>V126+X126</f>
        <v>0.80660185799999995</v>
      </c>
      <c r="AA126" s="34"/>
    </row>
    <row r="127" spans="1:27" ht="19.5" customHeight="1">
      <c r="A127" s="814" t="s">
        <v>728</v>
      </c>
      <c r="B127" s="1343">
        <f>'Slide 2025'!P237+'Slide 2025'!P236</f>
        <v>59.490812193292179</v>
      </c>
      <c r="C127" s="1334">
        <f>SUM(C128:C131)</f>
        <v>4.458472607</v>
      </c>
      <c r="D127" s="1334">
        <f t="shared" ref="D127" si="16">SUM(D128:D131)</f>
        <v>45.371417848</v>
      </c>
      <c r="E127" s="1334">
        <f t="shared" ref="E127:J127" si="17">SUM(E128:E131)</f>
        <v>3.0531999999999999</v>
      </c>
      <c r="F127" s="1334">
        <f t="shared" si="17"/>
        <v>5.2969977149999998</v>
      </c>
      <c r="G127" s="1334">
        <f t="shared" si="17"/>
        <v>0.59202703129218004</v>
      </c>
      <c r="H127" s="1334">
        <f t="shared" si="17"/>
        <v>0.69949699200000004</v>
      </c>
      <c r="I127" s="1334">
        <f t="shared" si="17"/>
        <v>0</v>
      </c>
      <c r="J127" s="1334">
        <f t="shared" si="17"/>
        <v>0</v>
      </c>
      <c r="K127" s="1334">
        <f>SUM(J128:J131)</f>
        <v>0</v>
      </c>
      <c r="L127" s="1334">
        <f>SUM(L128:L131)</f>
        <v>1.9199999999999998E-2</v>
      </c>
      <c r="M127" s="383">
        <f>B127-SUM(C127:L127)</f>
        <v>0</v>
      </c>
      <c r="N127" s="1334">
        <f>SUM(N128:N131)</f>
        <v>1.9199999999999998E-2</v>
      </c>
      <c r="O127" s="384">
        <f>'Slide 2025'!T237+'Slide 2025'!T236</f>
        <v>402.56964650273358</v>
      </c>
      <c r="P127" s="1334">
        <f t="shared" ref="P127:Z127" si="18">SUM(P128:P131)</f>
        <v>33.004935302000007</v>
      </c>
      <c r="Q127" s="1334">
        <f t="shared" si="18"/>
        <v>318.80452122200001</v>
      </c>
      <c r="R127" s="1334">
        <f t="shared" si="18"/>
        <v>16.073215000000001</v>
      </c>
      <c r="S127" s="1334">
        <f t="shared" si="18"/>
        <v>29.135910011</v>
      </c>
      <c r="T127" s="1334">
        <f t="shared" si="18"/>
        <v>4.3203430542335797</v>
      </c>
      <c r="U127" s="1334">
        <f t="shared" si="18"/>
        <v>1.1922071380000001</v>
      </c>
      <c r="V127" s="1334">
        <f t="shared" si="18"/>
        <v>0</v>
      </c>
      <c r="W127" s="1334">
        <f t="shared" si="18"/>
        <v>1.9314775499999999E-2</v>
      </c>
      <c r="X127" s="1334">
        <f t="shared" si="18"/>
        <v>0</v>
      </c>
      <c r="Y127" s="1334">
        <f t="shared" si="18"/>
        <v>1.9199999999999998E-2</v>
      </c>
      <c r="Z127" s="1334">
        <f t="shared" si="18"/>
        <v>0</v>
      </c>
      <c r="AA127" s="34">
        <f>O127-SUM(P127:Y127)</f>
        <v>0</v>
      </c>
    </row>
    <row r="128" spans="1:27" s="68" customFormat="1" hidden="1">
      <c r="A128" s="812" t="s">
        <v>81</v>
      </c>
      <c r="B128" s="1344"/>
      <c r="C128" s="1346">
        <f>(Lending!AA233+Lending!AA234)/10^9</f>
        <v>4.4340686270000003</v>
      </c>
      <c r="D128" s="1346">
        <f>(Lending!AA78+Lending!AA117)/10^9+(Lending!AA77+Lending!AA116)/10^9</f>
        <v>36.161641158000002</v>
      </c>
      <c r="E128" s="1340">
        <f>(Lending!AA351+Lending!AA350)/10^9</f>
        <v>3.0531999999999999</v>
      </c>
      <c r="F128" s="1333">
        <f>Lending!AA273/10^9+Lending!AA272/10^9</f>
        <v>4.9082441499999998</v>
      </c>
      <c r="G128" s="1333">
        <f>Lending!AA312/10^9+Lending!AA311/10^9</f>
        <v>0.41286</v>
      </c>
      <c r="H128" s="1333">
        <f>(Lending!AA389+Lending!AA390+Lending!AA428+Lending!AA429)/10^9</f>
        <v>0.69949699200000004</v>
      </c>
      <c r="I128" s="1335"/>
      <c r="J128" s="1333">
        <f>Lending!AA156/10^9+Lending!AA155/10^9</f>
        <v>0</v>
      </c>
      <c r="K128" s="1333">
        <f>Lending!AA195/10^9+Lending!AA194/10^9</f>
        <v>0</v>
      </c>
      <c r="L128" s="388">
        <f>Lending!AA467/10^9+Lending!AA468/10^9</f>
        <v>1.9199999999999998E-2</v>
      </c>
      <c r="M128" s="388"/>
      <c r="N128" s="1383">
        <f>I128+J128+L128</f>
        <v>1.9199999999999998E-2</v>
      </c>
      <c r="O128" s="384"/>
      <c r="P128" s="1346">
        <f>Lending!M233/10^9</f>
        <v>32.563431835000003</v>
      </c>
      <c r="Q128" s="1346">
        <f>(Lending!M78+Lending!M117)/10^9+(Lending!M77+Lending!M116)/10^9</f>
        <v>240.65849684</v>
      </c>
      <c r="R128" s="1340">
        <f>(Lending!M351+Lending!M350)/10^9</f>
        <v>16.073215000000001</v>
      </c>
      <c r="S128" s="1333">
        <f>Lending!M273/10^9+Lending!M272/10^9</f>
        <v>27.529140998999999</v>
      </c>
      <c r="T128" s="1333">
        <f>Lending!M312/10^9+Lending!M311/10^9</f>
        <v>3.6396799999999998</v>
      </c>
      <c r="U128" s="1333">
        <f>(Lending!M389+Lending!M390+Lending!M428+Lending!M429)/10^9</f>
        <v>1.1922071380000001</v>
      </c>
      <c r="V128" s="1335"/>
      <c r="W128" s="1333">
        <f>Lending!M156/10^9+Lending!M155/10^9</f>
        <v>0</v>
      </c>
      <c r="X128" s="1333">
        <f>Lending!M195/10^9+Lending!M194/10^9</f>
        <v>0</v>
      </c>
      <c r="Y128" s="68">
        <f>(Lending!M467+Lending!M468)/10^9</f>
        <v>1.9199999999999998E-2</v>
      </c>
      <c r="Z128" s="1383">
        <f>V128+X128</f>
        <v>0</v>
      </c>
      <c r="AA128" s="34"/>
    </row>
    <row r="129" spans="1:27" s="68" customFormat="1" hidden="1">
      <c r="A129" s="812" t="s">
        <v>71</v>
      </c>
      <c r="B129" s="1344"/>
      <c r="C129" s="1333">
        <f>(Lending!AA623+Lending!AA624)/10^9</f>
        <v>2.4403979999999999E-2</v>
      </c>
      <c r="D129" s="1333">
        <f>(Lending!AA546+Lending!AA545+Lending!AA585+Lending!AA584)/10^9</f>
        <v>9.20977669</v>
      </c>
      <c r="E129" s="1340">
        <f>Lending!AA701/10^9</f>
        <v>0</v>
      </c>
      <c r="F129" s="1333"/>
      <c r="G129" s="1333">
        <f>(Lending!AA662+Lending!AA663)/10^9</f>
        <v>8.4095000000000003E-2</v>
      </c>
      <c r="H129" s="1335"/>
      <c r="I129" s="1335"/>
      <c r="J129" s="1333"/>
      <c r="K129" s="1333"/>
      <c r="L129" s="388"/>
      <c r="M129" s="388"/>
      <c r="N129" s="1383">
        <f>I129+J129+L129</f>
        <v>0</v>
      </c>
      <c r="O129" s="384"/>
      <c r="P129" s="1346">
        <f>(Lending!M623+Lending!M624)/10^9</f>
        <v>0.42750346700000003</v>
      </c>
      <c r="Q129" s="1333">
        <f>(Lending!M546+Lending!M585)/10^9+(Lending!M545+Lending!M584)/10^9</f>
        <v>78.146024381999993</v>
      </c>
      <c r="R129" s="1335"/>
      <c r="S129" s="1337"/>
      <c r="T129" s="1337">
        <f>(Lending!M662+Lending!M663)/10^9</f>
        <v>0.21064099999999999</v>
      </c>
      <c r="U129" s="1337"/>
      <c r="V129" s="1335"/>
      <c r="W129" s="1337"/>
      <c r="X129" s="1337"/>
      <c r="Z129" s="1383">
        <f>V129+X129</f>
        <v>0</v>
      </c>
      <c r="AA129" s="34"/>
    </row>
    <row r="130" spans="1:27" s="68" customFormat="1" hidden="1">
      <c r="A130" s="812" t="s">
        <v>27</v>
      </c>
      <c r="B130" s="1344"/>
      <c r="C130" s="1346">
        <f>(Lending!AA506+Lending!AA507)/10^9</f>
        <v>0</v>
      </c>
      <c r="D130" s="1333"/>
      <c r="E130" s="1335"/>
      <c r="F130" s="1333"/>
      <c r="G130" s="1333"/>
      <c r="H130" s="1335"/>
      <c r="I130" s="1335"/>
      <c r="J130" s="1333"/>
      <c r="K130" s="1333"/>
      <c r="L130" s="388"/>
      <c r="M130" s="388"/>
      <c r="N130" s="1383">
        <f>I130+J130+L130</f>
        <v>0</v>
      </c>
      <c r="O130" s="384"/>
      <c r="P130" s="1346">
        <f>Lending!M506/10^9</f>
        <v>1.4E-2</v>
      </c>
      <c r="Q130" s="1337"/>
      <c r="R130" s="1335"/>
      <c r="S130" s="1337"/>
      <c r="T130" s="1337"/>
      <c r="U130" s="1337"/>
      <c r="V130" s="1335"/>
      <c r="W130" s="1337"/>
      <c r="X130" s="1337"/>
      <c r="Z130" s="1383">
        <f>V130+X130</f>
        <v>0</v>
      </c>
      <c r="AA130" s="34"/>
    </row>
    <row r="131" spans="1:27" s="68" customFormat="1" hidden="1">
      <c r="A131" s="812" t="s">
        <v>25</v>
      </c>
      <c r="B131" s="1344"/>
      <c r="C131" s="1346"/>
      <c r="D131" s="1333">
        <f>(Paylater!AA95+Paylater!AA96)/10^9</f>
        <v>0</v>
      </c>
      <c r="E131" s="1335"/>
      <c r="F131" s="1333">
        <f>(Paylater!AA360+Paylater!AA361)/10^9</f>
        <v>0.38875356500000002</v>
      </c>
      <c r="G131" s="1333">
        <f>(Paylater!AA254+Paylater!AA255)/10^9</f>
        <v>9.507203129217999E-2</v>
      </c>
      <c r="H131" s="1335"/>
      <c r="I131" s="1335">
        <f>(Paylater!AA307+Paylater!AA308)/10^9</f>
        <v>0</v>
      </c>
      <c r="J131" s="1333">
        <f>(Paylater!AA201+Paylater!AA202)/10^9</f>
        <v>0</v>
      </c>
      <c r="K131" s="1333"/>
      <c r="L131" s="388"/>
      <c r="M131" s="388"/>
      <c r="N131" s="1383">
        <f>I131+J131+L131</f>
        <v>0</v>
      </c>
      <c r="O131" s="384"/>
      <c r="P131" s="1346"/>
      <c r="Q131" s="1333">
        <f>(Paylater!M95+Paylater!M96)/10^9</f>
        <v>0</v>
      </c>
      <c r="R131" s="1335"/>
      <c r="S131" s="1333">
        <f>(Paylater!M360+Paylater!M361)/10^9</f>
        <v>1.606769012</v>
      </c>
      <c r="T131" s="1333">
        <f>(Paylater!M254+Paylater!M255)/10^9</f>
        <v>0.47002205423358018</v>
      </c>
      <c r="U131" s="1337"/>
      <c r="V131" s="1335">
        <f>(Paylater!M307+Paylater!M308)/10^9</f>
        <v>0</v>
      </c>
      <c r="W131" s="1333">
        <f>(Paylater!M201+Paylater!M202)/10^9</f>
        <v>1.9314775499999999E-2</v>
      </c>
      <c r="X131" s="1337"/>
      <c r="Z131" s="1383">
        <f>V131+X131</f>
        <v>0</v>
      </c>
      <c r="AA131" s="34"/>
    </row>
    <row r="132" spans="1:27">
      <c r="A132" s="361" t="s">
        <v>637</v>
      </c>
      <c r="B132" s="1343">
        <f>'Slide 2025'!P235-'Slide 2025'!P237-'Slide 2025'!P236</f>
        <v>11.109481316390088</v>
      </c>
      <c r="C132" s="1334">
        <f t="shared" ref="C132:J132" si="19">SUM(C133:C136)</f>
        <v>5.65403811565095</v>
      </c>
      <c r="D132" s="1334">
        <f t="shared" si="19"/>
        <v>3.2324529084524714</v>
      </c>
      <c r="E132" s="1334">
        <f t="shared" si="19"/>
        <v>0.492525292175089</v>
      </c>
      <c r="F132" s="1334">
        <f t="shared" si="19"/>
        <v>0.91085539936406568</v>
      </c>
      <c r="G132" s="1334">
        <f t="shared" si="19"/>
        <v>0.33443320211952571</v>
      </c>
      <c r="H132" s="1334">
        <f t="shared" si="19"/>
        <v>5.2934316010349258E-2</v>
      </c>
      <c r="I132" s="1334">
        <f t="shared" si="19"/>
        <v>2.43517088719352E-3</v>
      </c>
      <c r="J132" s="1334">
        <f t="shared" si="19"/>
        <v>0.42352404800077836</v>
      </c>
      <c r="K132" s="1334">
        <f>SUM(K133:K136)</f>
        <v>5.6794487687217947E-3</v>
      </c>
      <c r="L132" s="1334">
        <f>SUM(L133:L136)</f>
        <v>6.0341496093491848E-4</v>
      </c>
      <c r="M132" s="383">
        <f>B132-SUM(C132:L132)</f>
        <v>0</v>
      </c>
      <c r="N132" s="1334">
        <f>SUM(N133:N136)</f>
        <v>0.4265626338489068</v>
      </c>
      <c r="O132" s="384">
        <f>'Slide 2025'!T235-O127</f>
        <v>86.848794617706858</v>
      </c>
      <c r="P132" s="1334">
        <f t="shared" ref="P132:Z132" si="20">SUM(P133:P136)</f>
        <v>41.931485763912875</v>
      </c>
      <c r="Q132" s="1334">
        <f t="shared" si="20"/>
        <v>30.3963546979647</v>
      </c>
      <c r="R132" s="1334">
        <f t="shared" si="20"/>
        <v>2.4217068912901354</v>
      </c>
      <c r="S132" s="1334">
        <f t="shared" si="20"/>
        <v>5.5719065021882379</v>
      </c>
      <c r="T132" s="1334">
        <f t="shared" si="20"/>
        <v>3.5127033387760327</v>
      </c>
      <c r="U132" s="1334">
        <f t="shared" si="20"/>
        <v>0.12491446282114138</v>
      </c>
      <c r="V132" s="1334">
        <f t="shared" si="20"/>
        <v>5.7658105684940356E-2</v>
      </c>
      <c r="W132" s="1334">
        <f t="shared" si="20"/>
        <v>2.5495047102312074</v>
      </c>
      <c r="X132" s="1334">
        <f t="shared" si="20"/>
        <v>0.28103478516685249</v>
      </c>
      <c r="Y132" s="1334">
        <f t="shared" si="20"/>
        <v>6.0341496093491848E-4</v>
      </c>
      <c r="Z132" s="1334">
        <f t="shared" si="20"/>
        <v>0.33869289085179283</v>
      </c>
      <c r="AA132" s="34">
        <f>O132-SUM(P132:Y132)</f>
        <v>9.219447098018918E-4</v>
      </c>
    </row>
    <row r="133" spans="1:27" s="68" customFormat="1" hidden="1">
      <c r="A133" s="812" t="s">
        <v>81</v>
      </c>
      <c r="B133" s="1344"/>
      <c r="C133" s="1333">
        <f>Lending!AA232/10^9-C128</f>
        <v>4.1032530894974322</v>
      </c>
      <c r="D133" s="1333">
        <f>(Lending!AA76+Lending!AA115)/10^9-D128</f>
        <v>2.0527524173040277</v>
      </c>
      <c r="E133" s="1340">
        <f>Lending!AA349/10^9-E128</f>
        <v>0.49249782005933129</v>
      </c>
      <c r="F133" s="1333">
        <f>Lending!AA271/10^9-F128</f>
        <v>0.3237339179694505</v>
      </c>
      <c r="G133" s="1333">
        <f>Lending!AA310/10^9-G128</f>
        <v>0.13481759012269301</v>
      </c>
      <c r="H133" s="1333">
        <f>(Lending!AA388+Lending!AA427)/10^9-H128</f>
        <v>5.2934316010349258E-2</v>
      </c>
      <c r="I133" s="1335"/>
      <c r="J133" s="1333">
        <f>Lending!AA154/10^9-J128</f>
        <v>0.10206296554576075</v>
      </c>
      <c r="K133" s="1333">
        <f>Lending!AA193/10^9-J128</f>
        <v>5.6794487687217947E-3</v>
      </c>
      <c r="L133" s="388">
        <f>Lending!AA466/10^9-Sheet2!L128</f>
        <v>6.0341496093491848E-4</v>
      </c>
      <c r="M133" s="388"/>
      <c r="N133" s="1383">
        <f>I133+J133+L133</f>
        <v>0.10266638050669566</v>
      </c>
      <c r="O133" s="389"/>
      <c r="P133" s="1333">
        <f>(Lending!M232-Lending!M233)/10^9</f>
        <v>32.772718661627195</v>
      </c>
      <c r="Q133" s="1333">
        <f>(Lending!M76+Lending!M115)/10^9-Q128</f>
        <v>18.463383277016021</v>
      </c>
      <c r="R133" s="1340">
        <f>Lending!M349/10^9-R128</f>
        <v>2.4217068912901354</v>
      </c>
      <c r="S133" s="1333">
        <f>Lending!M271/10^9-S128</f>
        <v>2.4840427717462923</v>
      </c>
      <c r="T133" s="1333">
        <f>Lending!M310/10^9-T128</f>
        <v>1.5458529719306164</v>
      </c>
      <c r="U133" s="1340">
        <f>(Lending!M388+Lending!M427)/10^9-Sheet2!U128</f>
        <v>0.12491446282114138</v>
      </c>
      <c r="V133" s="1335"/>
      <c r="W133" s="1340">
        <f>Lending!M154/10^9-W128</f>
        <v>0.27794287465173489</v>
      </c>
      <c r="X133" s="1340">
        <f>Lending!M193/10^9-X128</f>
        <v>0.28103478516685249</v>
      </c>
      <c r="Y133" s="1340">
        <f>Lending!M466/10^9-Y128</f>
        <v>6.0341496093491848E-4</v>
      </c>
      <c r="Z133" s="1383">
        <f>V133+X133</f>
        <v>0.28103478516685249</v>
      </c>
      <c r="AA133" s="34"/>
    </row>
    <row r="134" spans="1:27" s="68" customFormat="1" hidden="1">
      <c r="A134" s="812" t="s">
        <v>71</v>
      </c>
      <c r="B134" s="1344"/>
      <c r="C134" s="1333">
        <f>Lending!AA622/10^9-Sheet2!C129</f>
        <v>1.408411017622603</v>
      </c>
      <c r="D134" s="1333">
        <f>(Lending!AA544+Lending!AA583)/10^9-D129</f>
        <v>0.99489599894491754</v>
      </c>
      <c r="E134" s="1340">
        <f>Lending!AA699/10^9-E129</f>
        <v>2.7472115757702679E-5</v>
      </c>
      <c r="F134" s="1333"/>
      <c r="G134" s="1333">
        <f>Lending!AA661/10^9-Sheet2!G129</f>
        <v>3.227090255722509E-2</v>
      </c>
      <c r="H134" s="1335"/>
      <c r="I134" s="1335"/>
      <c r="J134" s="1333"/>
      <c r="K134" s="1333"/>
      <c r="L134" s="388"/>
      <c r="M134" s="388"/>
      <c r="N134" s="1383">
        <f>I134+J134+L134</f>
        <v>0</v>
      </c>
      <c r="O134" s="389"/>
      <c r="P134" s="1333">
        <f>Lending!M622/10^9-Sheet2!P129</f>
        <v>5.6462264487039624</v>
      </c>
      <c r="Q134" s="388">
        <f>(Lending!M544+Lending!M583)/10^9-Q129</f>
        <v>8.4711882987599267</v>
      </c>
      <c r="R134" s="1348"/>
      <c r="S134" s="1347"/>
      <c r="T134" s="1347">
        <f>Lending!M661/10^9-Sheet2!T129</f>
        <v>9.4400254462919692E-2</v>
      </c>
      <c r="U134" s="1347"/>
      <c r="V134" s="1335"/>
      <c r="W134" s="1347"/>
      <c r="X134" s="1349"/>
      <c r="Z134" s="1383">
        <f>V134+X134</f>
        <v>0</v>
      </c>
      <c r="AA134" s="34"/>
    </row>
    <row r="135" spans="1:27" s="68" customFormat="1" hidden="1">
      <c r="A135" s="812" t="s">
        <v>27</v>
      </c>
      <c r="B135" s="1344"/>
      <c r="C135" s="1333">
        <f>Lending!AA505/10^9-C130</f>
        <v>0.14237400853091497</v>
      </c>
      <c r="D135" s="1333"/>
      <c r="E135" s="1335"/>
      <c r="F135" s="1333"/>
      <c r="G135" s="1333"/>
      <c r="H135" s="1335"/>
      <c r="I135" s="1335"/>
      <c r="J135" s="1333"/>
      <c r="K135" s="1333"/>
      <c r="L135" s="388"/>
      <c r="M135" s="388"/>
      <c r="N135" s="1383">
        <f>I135+J135+L135</f>
        <v>0</v>
      </c>
      <c r="O135" s="389"/>
      <c r="P135" s="1333">
        <f>Lending!M505/10^9-P130</f>
        <v>3.5125406535817181</v>
      </c>
      <c r="Q135" s="398"/>
      <c r="R135" s="1335"/>
      <c r="S135" s="1349"/>
      <c r="T135" s="1349"/>
      <c r="U135" s="1349"/>
      <c r="V135" s="1335"/>
      <c r="W135" s="1349"/>
      <c r="X135" s="1349"/>
      <c r="Z135" s="1383">
        <f>V135+X135</f>
        <v>0</v>
      </c>
      <c r="AA135" s="34"/>
    </row>
    <row r="136" spans="1:27" s="68" customFormat="1" hidden="1">
      <c r="A136" s="812" t="s">
        <v>25</v>
      </c>
      <c r="B136" s="1344"/>
      <c r="C136" s="1333"/>
      <c r="D136" s="1350">
        <f>Paylater!AA94/10^9-Sheet2!D131</f>
        <v>0.18480449220352604</v>
      </c>
      <c r="E136" s="1351"/>
      <c r="F136" s="1350">
        <f>Paylater!AA359/10^9-Sheet2!F131</f>
        <v>0.58712148139461517</v>
      </c>
      <c r="G136" s="1350">
        <f>Paylater!AA253/10^9-Sheet2!G131</f>
        <v>0.16734470943960761</v>
      </c>
      <c r="H136" s="1351"/>
      <c r="I136" s="1350">
        <f>Paylater!AA306/10^9-I131</f>
        <v>2.43517088719352E-3</v>
      </c>
      <c r="J136" s="1350">
        <f>Paylater!AA200/10^9-J131</f>
        <v>0.32146108245501764</v>
      </c>
      <c r="K136" s="1333"/>
      <c r="L136" s="388"/>
      <c r="M136" s="388"/>
      <c r="N136" s="1383">
        <f>I136+J136+L136</f>
        <v>0.32389625334221117</v>
      </c>
      <c r="O136" s="389"/>
      <c r="P136" s="1333"/>
      <c r="Q136" s="1352">
        <f>Paylater!M94/10^9-Sheet2!Q131</f>
        <v>3.4617831221887534</v>
      </c>
      <c r="R136" s="1353"/>
      <c r="S136" s="1352">
        <f>Paylater!M359/10^9-Sheet2!S131</f>
        <v>3.0878637304419456</v>
      </c>
      <c r="T136" s="1352">
        <f>Paylater!M253/10^9-Sheet2!T131</f>
        <v>1.8724501123824966</v>
      </c>
      <c r="U136" s="1310"/>
      <c r="V136" s="1352">
        <f>Paylater!M306/10^9-V131</f>
        <v>5.7658105684940356E-2</v>
      </c>
      <c r="W136" s="1352">
        <f>Paylater!M200/10^9-W131</f>
        <v>2.2715618355794724</v>
      </c>
      <c r="X136" s="1349"/>
      <c r="Z136" s="1383">
        <f>V136+X136</f>
        <v>5.7658105684940356E-2</v>
      </c>
      <c r="AA136" s="34"/>
    </row>
    <row r="137" spans="1:27">
      <c r="A137" s="352" t="s">
        <v>627</v>
      </c>
      <c r="B137" s="6"/>
      <c r="C137" s="470">
        <f>(Lending!AA214+Lending!AA487)/10^9/Sheet2!C112</f>
        <v>3.6158898892340259E-2</v>
      </c>
      <c r="D137" s="470">
        <f>(Lending!AA58+Lending!AA97+Lending!AA526+Lending!AA565+Paylater!AA67)/10^9/Sheet2!D112</f>
        <v>4.1454701829638271E-2</v>
      </c>
      <c r="E137" s="470">
        <f>(Lending!AA331/10^9+Lending!AA681/10^9)/Sheet2!E112</f>
        <v>1.8898478834446248E-2</v>
      </c>
      <c r="F137" s="470">
        <f>(Lending!AA253+Paylater!AA332)/10^9/Sheet2!F112</f>
        <v>2.4225698564507521E-2</v>
      </c>
      <c r="G137" s="470">
        <f>(Lending!AA292+Lending!AA643+Paylater!AA226)/10^9/Sheet2!G112</f>
        <v>4.2651805862978537E-2</v>
      </c>
      <c r="H137" s="470">
        <f>(Lending!AA370+Lending!AA409)/10^9/H112</f>
        <v>2.9188994176730063E-4</v>
      </c>
      <c r="I137" s="470">
        <f>Paylater!AA279/10^9/Sheet2!I112</f>
        <v>9.7937143933613954E-2</v>
      </c>
      <c r="J137" s="470">
        <f>(Lending!AA136+Paylater!AA173)/10^9/J112</f>
        <v>3.7998992498132537E-2</v>
      </c>
      <c r="K137" s="470">
        <f>Lending!AA175/10^9/Sheet2!J112</f>
        <v>3.3042837199401973E-2</v>
      </c>
      <c r="L137" s="470">
        <f>Lending!AA448/10^9/Sheet2!L112</f>
        <v>0</v>
      </c>
      <c r="M137" s="383"/>
      <c r="N137" s="470">
        <f>(Paylater!AA279/10^9+Lending!AA175/10^9)/N112</f>
        <v>3.5615415161948306E-2</v>
      </c>
      <c r="O137" s="1400"/>
      <c r="P137" s="1354"/>
      <c r="Q137" s="469"/>
      <c r="R137" s="1337"/>
      <c r="S137" s="1349"/>
      <c r="T137" s="1349"/>
      <c r="U137" s="1349"/>
      <c r="V137" s="1337"/>
      <c r="W137" s="1349"/>
      <c r="X137" s="1349"/>
    </row>
    <row r="138" spans="1:27" ht="16" thickBot="1">
      <c r="A138" s="393" t="s">
        <v>628</v>
      </c>
      <c r="B138" s="1355"/>
      <c r="C138" s="394">
        <f>(Lending!AA216+Lending!AA489)/10^9/Sheet2!C112</f>
        <v>5.254280909011292E-2</v>
      </c>
      <c r="D138" s="394">
        <f>(Lending!AA60+Lending!AA99+Lending!AA528+Lending!AA567+Paylater!AA66)/10^9/Sheet2!D112</f>
        <v>5.6083178258910613E-2</v>
      </c>
      <c r="E138" s="394">
        <f>(Lending!AA333/10^9+Lending!AA683/10^9)/Sheet2!E112</f>
        <v>2.7410380400551611E-2</v>
      </c>
      <c r="F138" s="394">
        <f>(Lending!AA255+Paylater!AA331)/10^9/F112</f>
        <v>3.6823136654325475E-2</v>
      </c>
      <c r="G138" s="394">
        <f>(Lending!AA294+Lending!AA646+Paylater!AA225)/10^9/Sheet2!G112</f>
        <v>8.0591656652870866E-2</v>
      </c>
      <c r="H138" s="394">
        <f>(Lending!AA372+Lending!AA411)/10^9/Sheet2!H112</f>
        <v>2.5207301360368507E-3</v>
      </c>
      <c r="I138" s="394">
        <f>Paylater!AA278/10^9/Sheet2!I112</f>
        <v>0.17910697765668815</v>
      </c>
      <c r="J138" s="394">
        <f>(Lending!AA138+Paylater!AA172)/10^9/J112</f>
        <v>7.8113359775409452E-2</v>
      </c>
      <c r="K138" s="394">
        <f>Lending!AA177/10^9/Sheet2!J112</f>
        <v>4.7221657384025957E-2</v>
      </c>
      <c r="L138" s="394">
        <f>Lending!AA453/10^9/Sheet2!L112</f>
        <v>0</v>
      </c>
      <c r="M138" s="395"/>
      <c r="N138" s="394">
        <f>(Paylater!AA278/10^9+Lending!AA177/10^9)/N112</f>
        <v>5.2751579245034638E-2</v>
      </c>
      <c r="O138" s="1356"/>
      <c r="P138" s="1356"/>
      <c r="Q138" s="1356"/>
      <c r="R138" s="1356"/>
      <c r="S138" s="1356"/>
      <c r="T138" s="1356"/>
      <c r="U138" s="1356"/>
      <c r="V138" s="1356"/>
      <c r="W138" s="1356"/>
      <c r="X138" s="1356"/>
      <c r="Y138" s="1356"/>
      <c r="Z138" s="1356"/>
    </row>
    <row r="139" spans="1:27" ht="16" thickTop="1">
      <c r="A139" s="361" t="s">
        <v>236</v>
      </c>
      <c r="B139" s="383">
        <f t="shared" ref="B139:L139" si="21">B117-B122-B127-B132</f>
        <v>93.179136706442222</v>
      </c>
      <c r="C139" s="383">
        <f t="shared" si="21"/>
        <v>53.14903055934905</v>
      </c>
      <c r="D139" s="383">
        <f t="shared" si="21"/>
        <v>25.101339474315019</v>
      </c>
      <c r="E139" s="383">
        <f t="shared" si="21"/>
        <v>10.18200739982491</v>
      </c>
      <c r="F139" s="383">
        <f t="shared" si="21"/>
        <v>5.4269718864703345</v>
      </c>
      <c r="G139" s="383">
        <f t="shared" si="21"/>
        <v>-5.9416531489906166E-2</v>
      </c>
      <c r="H139" s="383">
        <f t="shared" si="21"/>
        <v>0.38302504198965082</v>
      </c>
      <c r="I139" s="383">
        <f t="shared" si="21"/>
        <v>-0.14874418908309353</v>
      </c>
      <c r="J139" s="383">
        <f t="shared" si="21"/>
        <v>-0.46737318120407811</v>
      </c>
      <c r="K139" s="383">
        <f>K117-K122-K127-K132</f>
        <v>-0.36731387376872177</v>
      </c>
      <c r="L139" s="383">
        <f t="shared" si="21"/>
        <v>-2.0389879960934915E-2</v>
      </c>
      <c r="M139" s="383">
        <f t="shared" ref="M139:Z139" si="22">M117-M122-M127-M132</f>
        <v>0</v>
      </c>
      <c r="N139" s="383">
        <f t="shared" si="22"/>
        <v>-0.6365072502481065</v>
      </c>
      <c r="O139" s="383">
        <f t="shared" si="22"/>
        <v>678.29339409428337</v>
      </c>
      <c r="P139" s="383">
        <f t="shared" si="22"/>
        <v>421.03653309840377</v>
      </c>
      <c r="Q139" s="383">
        <f t="shared" si="22"/>
        <v>194.01148005336844</v>
      </c>
      <c r="R139" s="383">
        <f t="shared" si="22"/>
        <v>52.251178127709856</v>
      </c>
      <c r="S139" s="383">
        <f t="shared" si="22"/>
        <v>36.252262164082737</v>
      </c>
      <c r="T139" s="383">
        <f t="shared" si="22"/>
        <v>11.841193464632928</v>
      </c>
      <c r="U139" s="383">
        <f t="shared" si="22"/>
        <v>1.1466120351788582</v>
      </c>
      <c r="V139" s="383">
        <f t="shared" si="22"/>
        <v>-0.84966493916969643</v>
      </c>
      <c r="W139" s="383">
        <f t="shared" si="22"/>
        <v>-7.5965166848231309</v>
      </c>
      <c r="X139" s="383">
        <f t="shared" si="22"/>
        <v>-29.545647899429348</v>
      </c>
      <c r="Y139" s="383">
        <f t="shared" si="22"/>
        <v>-2.0389879960934915E-2</v>
      </c>
      <c r="Z139" s="383">
        <f t="shared" si="22"/>
        <v>-30.395312838599043</v>
      </c>
    </row>
    <row r="140" spans="1:27">
      <c r="D140" s="1322">
        <f>D121-D126-D131-D136</f>
        <v>-0.70239290443602498</v>
      </c>
      <c r="E140" s="1322">
        <f>F121-F126-F131-F136</f>
        <v>-1.4531665115602159</v>
      </c>
      <c r="F140" s="1322">
        <f>G121-G126-G131-G136</f>
        <v>-1.583726262809988</v>
      </c>
      <c r="G140" s="1322">
        <f>E121-E126-E131-E136</f>
        <v>0</v>
      </c>
      <c r="H140" s="1322">
        <f>J121-J126-J131-J136</f>
        <v>-0.82961416965831747</v>
      </c>
      <c r="I140" s="1322">
        <f>J121-J126-J131-J136</f>
        <v>-0.82961416965831747</v>
      </c>
      <c r="J140" s="1322">
        <f>I121-I126-I131-I136</f>
        <v>-0.14874418908309353</v>
      </c>
      <c r="L140" s="1322">
        <f>L121-L126-L131-L136</f>
        <v>0</v>
      </c>
      <c r="M140" s="1322">
        <f>M121-M126-M131-M136</f>
        <v>0</v>
      </c>
      <c r="O140" s="1322">
        <f>O121-O126-O131-O136</f>
        <v>0</v>
      </c>
      <c r="P140" s="1322">
        <f>P121-P126-P131-P136</f>
        <v>0</v>
      </c>
      <c r="Q140" s="1322">
        <f>Q121-Q126-Q131-Q136</f>
        <v>-9.1747032058246223</v>
      </c>
      <c r="R140" s="1322">
        <f>S121-S126-S131-S136</f>
        <v>-6.228882451485779</v>
      </c>
      <c r="S140" s="1322">
        <f>U121-U126-U131-U136</f>
        <v>0</v>
      </c>
      <c r="T140" s="1322">
        <f>R121-R126-R131-R136</f>
        <v>0</v>
      </c>
      <c r="U140" s="1322">
        <f>W121-W126-W131-W136</f>
        <v>-2.6634562241278941</v>
      </c>
      <c r="V140" s="1322">
        <f>X121-X126-X131-X136</f>
        <v>0</v>
      </c>
      <c r="W140" s="1322">
        <f>V121-V126-V131-V136</f>
        <v>-0.84966493916969643</v>
      </c>
    </row>
    <row r="142" spans="1:27">
      <c r="C142" s="822"/>
      <c r="D142" s="5"/>
      <c r="E142" s="5"/>
      <c r="F142" s="5"/>
    </row>
    <row r="145" spans="1:17" ht="31">
      <c r="A145" s="378" t="s">
        <v>729</v>
      </c>
      <c r="B145" s="1305">
        <v>45992</v>
      </c>
      <c r="C145" s="1305" t="s">
        <v>237</v>
      </c>
      <c r="D145" s="1305" t="s">
        <v>724</v>
      </c>
      <c r="E145" s="1305" t="s">
        <v>285</v>
      </c>
      <c r="F145" s="1305" t="s">
        <v>288</v>
      </c>
      <c r="G145" s="1305" t="s">
        <v>290</v>
      </c>
      <c r="H145" s="1307" t="s">
        <v>76</v>
      </c>
      <c r="I145" s="1307" t="s">
        <v>237</v>
      </c>
      <c r="J145" s="1308" t="s">
        <v>724</v>
      </c>
      <c r="K145" s="1308" t="s">
        <v>285</v>
      </c>
      <c r="L145" s="1308" t="s">
        <v>288</v>
      </c>
      <c r="M145" s="1308" t="s">
        <v>290</v>
      </c>
      <c r="N145" s="1309"/>
      <c r="O145" s="1309"/>
      <c r="P145" s="1309"/>
      <c r="Q145" s="1309"/>
    </row>
    <row r="146" spans="1:17">
      <c r="A146" s="361" t="s">
        <v>199</v>
      </c>
      <c r="B146" s="574">
        <f>Paylater!AA9/10^9</f>
        <v>67.727267651999995</v>
      </c>
      <c r="C146" s="1311">
        <f>Paylater!AA59/10^9</f>
        <v>8.3301437490000012</v>
      </c>
      <c r="D146" s="1311">
        <f>Paylater!AA165/10^9</f>
        <v>11.211193271999999</v>
      </c>
      <c r="E146" s="1311">
        <f>Paylater!AA218/10^9</f>
        <v>16.799812047</v>
      </c>
      <c r="F146" s="1311">
        <f>Paylater!AA271/10^9</f>
        <v>0.58954248600000003</v>
      </c>
      <c r="G146" s="1311">
        <f>Paylater!AA324/10^9</f>
        <v>30.796576097999999</v>
      </c>
      <c r="H146" s="574">
        <f t="shared" ref="H146:H151" si="23">SUM(I146:M146)</f>
        <v>540.09287941399998</v>
      </c>
      <c r="I146" s="1311">
        <f>Paylater!M59/10^9</f>
        <v>132.17023922600001</v>
      </c>
      <c r="J146" s="1330">
        <f>Paylater!M165/10^9</f>
        <v>91.529515149999995</v>
      </c>
      <c r="K146" s="1330">
        <f>Paylater!M218/10^9</f>
        <v>178.088000765</v>
      </c>
      <c r="L146" s="1330">
        <f>Paylater!M271/10^9</f>
        <v>10.082905272</v>
      </c>
      <c r="M146" s="1330">
        <f>Paylater!M324/10^9</f>
        <v>128.22221900100001</v>
      </c>
    </row>
    <row r="147" spans="1:17">
      <c r="A147" s="361" t="s">
        <v>82</v>
      </c>
      <c r="B147" s="574">
        <f>SUM(C147:G147)</f>
        <v>169.25324644099999</v>
      </c>
      <c r="C147" s="1311">
        <f>Paylater!AA60/10^9</f>
        <v>22.342137159</v>
      </c>
      <c r="D147" s="1311">
        <f>Paylater!AA166/10^9</f>
        <v>25.487930309999999</v>
      </c>
      <c r="E147" s="1311">
        <f>Paylater!AA219/10^9</f>
        <v>42.948957038000003</v>
      </c>
      <c r="F147" s="1311">
        <f>Paylater!AA272/10^9</f>
        <v>2.0023044589999999</v>
      </c>
      <c r="G147" s="1311">
        <f>Paylater!AA325/10^9</f>
        <v>76.471917474999998</v>
      </c>
      <c r="H147" s="1331">
        <f t="shared" si="23"/>
        <v>169.25324644099999</v>
      </c>
      <c r="I147" s="1330">
        <f>$C$147</f>
        <v>22.342137159</v>
      </c>
      <c r="J147" s="1330">
        <f>$D$147</f>
        <v>25.487930309999999</v>
      </c>
      <c r="K147" s="1330">
        <f>$E$147</f>
        <v>42.948957038000003</v>
      </c>
      <c r="L147" s="1330">
        <f>$F$147</f>
        <v>2.0023044589999999</v>
      </c>
      <c r="M147" s="1330">
        <f>$G$147</f>
        <v>76.471917474999998</v>
      </c>
    </row>
    <row r="148" spans="1:17">
      <c r="A148" s="361" t="s">
        <v>217</v>
      </c>
      <c r="B148" s="574">
        <f>SUM(C148:G148)</f>
        <v>4.4216257541245003</v>
      </c>
      <c r="C148" s="1311">
        <f>Paylater!AA74/10^9</f>
        <v>0.94317606476750093</v>
      </c>
      <c r="D148" s="1311">
        <f>Paylater!AA180/10^9</f>
        <v>0.4664732457967003</v>
      </c>
      <c r="E148" s="1311">
        <f>Paylater!AA233/10^9</f>
        <v>0.92041054992179983</v>
      </c>
      <c r="F148" s="1311">
        <f>Paylater!AA286/10^9</f>
        <v>5.2050898040999997E-3</v>
      </c>
      <c r="G148" s="1311">
        <f>Paylater!AA339/10^9</f>
        <v>2.086360803834399</v>
      </c>
      <c r="H148" s="1331">
        <f t="shared" si="23"/>
        <v>26.264320587623661</v>
      </c>
      <c r="I148" s="1330">
        <f>Paylater!M74/10^9</f>
        <v>8.2311682713641314</v>
      </c>
      <c r="J148" s="1330">
        <f>Paylater!M180/10^9</f>
        <v>4.9858694969515778</v>
      </c>
      <c r="K148" s="1330">
        <f>Paylater!M233/10^9</f>
        <v>6.1191544718365405</v>
      </c>
      <c r="L148" s="1330">
        <f>Paylater!M286/10^9</f>
        <v>1.4595024515243847E-2</v>
      </c>
      <c r="M148" s="1330">
        <f>Paylater!M339/10^9</f>
        <v>6.9135333229561668</v>
      </c>
    </row>
    <row r="149" spans="1:17">
      <c r="A149" s="361" t="s">
        <v>727</v>
      </c>
      <c r="B149" s="574">
        <f>SUM(C149:G149)</f>
        <v>7.3922772590000001</v>
      </c>
      <c r="C149" s="1311">
        <f>Paylater!AA93/10^9</f>
        <v>1.4607644769999999</v>
      </c>
      <c r="D149" s="1311">
        <f>Paylater!AA199/10^9</f>
        <v>0.97462633300000001</v>
      </c>
      <c r="E149" s="1311">
        <f>Paylater!AA252/10^9</f>
        <v>2.2417200720000001</v>
      </c>
      <c r="F149" s="1311">
        <f>Paylater!AA305/10^9</f>
        <v>0.15151410800000001</v>
      </c>
      <c r="G149" s="1311">
        <f>Paylater!AA358/10^9</f>
        <v>2.5636522689999999</v>
      </c>
      <c r="H149" s="1331">
        <f t="shared" si="23"/>
        <v>37.850729651999998</v>
      </c>
      <c r="I149" s="1330">
        <f>Paylater!M93/10^9</f>
        <v>13.944088355</v>
      </c>
      <c r="J149" s="1330">
        <f>Paylater!M199/10^9</f>
        <v>5.3584491099999996</v>
      </c>
      <c r="K149" s="1330">
        <f>Paylater!M252/10^9</f>
        <v>9.2938072970000007</v>
      </c>
      <c r="L149" s="1330">
        <f>Paylater!M305/10^9</f>
        <v>0.80660185799999995</v>
      </c>
      <c r="M149" s="1330">
        <f>Paylater!M358/10^9</f>
        <v>8.4477830320000002</v>
      </c>
    </row>
    <row r="150" spans="1:17">
      <c r="A150" s="814" t="s">
        <v>675</v>
      </c>
      <c r="B150" s="574">
        <f>SUM(C150:G150)</f>
        <v>0.48382559629218003</v>
      </c>
      <c r="C150" s="1311">
        <f>(Paylater!AA96/10^9+Paylater!AA95)/10^9</f>
        <v>0</v>
      </c>
      <c r="D150" s="1311">
        <f>(Paylater!AA202/10^9+Paylater!AA201)/10^9</f>
        <v>0</v>
      </c>
      <c r="E150" s="1311">
        <f>(Paylater!AA254+Paylater!AA255)/10^9</f>
        <v>9.507203129217999E-2</v>
      </c>
      <c r="F150" s="1311">
        <f>(Paylater!AA307+Paylater!AA308)/10^9</f>
        <v>0</v>
      </c>
      <c r="G150" s="1311">
        <f>(Paylater!AA360+Paylater!AA361)/10^9</f>
        <v>0.38875356500000002</v>
      </c>
      <c r="H150" s="1331">
        <f t="shared" si="23"/>
        <v>2.0961058417335803</v>
      </c>
      <c r="I150" s="1330">
        <f>(Paylater!M95+Paylater!M96)/10^9</f>
        <v>0</v>
      </c>
      <c r="J150" s="1330">
        <f>(Paylater!M201+Paylater!M202)/10^9</f>
        <v>1.9314775499999999E-2</v>
      </c>
      <c r="K150" s="1330">
        <f>(Paylater!M254+Paylater!M255)/10^9</f>
        <v>0.47002205423358018</v>
      </c>
      <c r="L150" s="1330">
        <f>(Paylater!M307+Paylater!M308)/10^9</f>
        <v>0</v>
      </c>
      <c r="M150" s="1330">
        <f>(Paylater!M360+Paylater!M361)/10^9</f>
        <v>1.606769012</v>
      </c>
    </row>
    <row r="151" spans="1:17">
      <c r="A151" s="361" t="s">
        <v>637</v>
      </c>
      <c r="B151" s="574">
        <f>SUM(C151:G151)</f>
        <v>1.2631669363799598</v>
      </c>
      <c r="C151" s="1311">
        <f>(Paylater!AA94-Paylater!AA95-Paylater!AA96)/10^9</f>
        <v>0.18480449220352604</v>
      </c>
      <c r="D151" s="1311">
        <f>(Paylater!AA200-Paylater!AA201-Paylater!AA202)/10^9</f>
        <v>0.32146108245501764</v>
      </c>
      <c r="E151" s="1311">
        <f>(Paylater!AA253-Paylater!AA254-Paylater!AA255)/10^9</f>
        <v>0.16734470943960761</v>
      </c>
      <c r="F151" s="1311">
        <f>(Paylater!AA306-Paylater!AA307-Paylater!AA308)/10^9</f>
        <v>2.43517088719352E-3</v>
      </c>
      <c r="G151" s="1311">
        <f>(Paylater!AA359-Paylater!AA360-Paylater!AA361)/10^9</f>
        <v>0.58712148139461517</v>
      </c>
      <c r="H151" s="1331">
        <f t="shared" si="23"/>
        <v>10.751316906277609</v>
      </c>
      <c r="I151" s="1330">
        <f>(Paylater!M94-Paylater!M95-Paylater!M96)/10^9</f>
        <v>3.4617831221887534</v>
      </c>
      <c r="J151" s="1330">
        <f>(Paylater!M200-Paylater!M201-Paylater!M202)/10^9</f>
        <v>2.271561835579472</v>
      </c>
      <c r="K151" s="1330">
        <f>(Paylater!M253-Paylater!M254-Paylater!M255)/10^9</f>
        <v>1.8724501123824968</v>
      </c>
      <c r="L151" s="1330">
        <f>(Paylater!M306-Paylater!M307-Paylater!M308)/10^9</f>
        <v>5.7658105684940356E-2</v>
      </c>
      <c r="M151" s="1330">
        <f>(Paylater!M359-Paylater!M360-Paylater!M361)/10^9</f>
        <v>3.0878637304419461</v>
      </c>
    </row>
    <row r="152" spans="1:17">
      <c r="A152" s="352" t="s">
        <v>627</v>
      </c>
      <c r="B152" s="39"/>
      <c r="C152" s="1372">
        <f>Paylater!AA67/Paylater!AA60</f>
        <v>7.7772324627415915E-2</v>
      </c>
      <c r="D152" s="1372">
        <f>Paylater!AA173/Paylater!AA166</f>
        <v>4.4641295278243405E-2</v>
      </c>
      <c r="E152" s="1372">
        <f>Paylater!AA226/Paylater!AA219</f>
        <v>5.8177534620672017E-2</v>
      </c>
      <c r="F152" s="1372">
        <f>Paylater!AA279/Paylater!AA272</f>
        <v>9.793714393361394E-2</v>
      </c>
      <c r="G152" s="1372">
        <f>Paylater!AA332/Paylater!AA325</f>
        <v>3.9109731948041494E-2</v>
      </c>
      <c r="H152" s="1373"/>
      <c r="I152" s="41"/>
      <c r="J152" s="41"/>
      <c r="K152" s="41"/>
      <c r="L152" s="41"/>
      <c r="M152" s="41"/>
    </row>
    <row r="153" spans="1:17" ht="16" thickBot="1">
      <c r="A153" s="357" t="s">
        <v>628</v>
      </c>
      <c r="B153" s="1374"/>
      <c r="C153" s="1375">
        <f>Paylater!AA68</f>
        <v>0.19100749107526324</v>
      </c>
      <c r="D153" s="1375">
        <f>Paylater!AA174</f>
        <v>0.10168110990099455</v>
      </c>
      <c r="E153" s="1375">
        <f>Paylater!AA227</f>
        <v>0.13385535432009435</v>
      </c>
      <c r="F153" s="1375">
        <f>Paylater!AA280</f>
        <v>0.17910697765668812</v>
      </c>
      <c r="G153" s="1375">
        <f>Paylater!AA333</f>
        <v>7.9305711511453117E-2</v>
      </c>
      <c r="H153" s="1376"/>
      <c r="I153" s="1377"/>
      <c r="J153" s="1377"/>
      <c r="K153" s="1377"/>
      <c r="L153" s="1377"/>
      <c r="M153" s="1377"/>
    </row>
    <row r="154" spans="1:17" ht="16" thickTop="1">
      <c r="A154" s="361" t="s">
        <v>236</v>
      </c>
      <c r="B154" s="574">
        <f t="shared" ref="B154:J154" si="24">B148-B149-B150-B151</f>
        <v>-4.7176440375476396</v>
      </c>
      <c r="C154" s="574">
        <f t="shared" si="24"/>
        <v>-0.70239290443602498</v>
      </c>
      <c r="D154" s="574">
        <f t="shared" si="24"/>
        <v>-0.82961416965831747</v>
      </c>
      <c r="E154" s="574">
        <f t="shared" si="24"/>
        <v>-1.583726262809988</v>
      </c>
      <c r="F154" s="574">
        <f t="shared" si="24"/>
        <v>-0.14874418908309353</v>
      </c>
      <c r="G154" s="574">
        <f t="shared" si="24"/>
        <v>-1.4531665115602159</v>
      </c>
      <c r="H154" s="574">
        <f t="shared" si="24"/>
        <v>-24.433831812387524</v>
      </c>
      <c r="I154" s="574">
        <f t="shared" si="24"/>
        <v>-9.1747032058246223</v>
      </c>
      <c r="J154" s="574">
        <f t="shared" si="24"/>
        <v>-2.6634562241278936</v>
      </c>
      <c r="K154" s="574">
        <f>J148-J149-J150-J151</f>
        <v>-2.6634562241278936</v>
      </c>
      <c r="L154" s="574">
        <f>L148-L149-L150-L151</f>
        <v>-0.84966493916969643</v>
      </c>
      <c r="M154" s="574">
        <f>M148-M149-M150-M151</f>
        <v>-6.228882451485779</v>
      </c>
      <c r="N154" s="1313"/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9C9BF-F2A4-4096-AB24-8AAF2760C35E}">
  <dimension ref="A1:S171"/>
  <sheetViews>
    <sheetView workbookViewId="0">
      <selection activeCell="H28" sqref="H28"/>
    </sheetView>
  </sheetViews>
  <sheetFormatPr baseColWidth="10" defaultColWidth="8.83203125" defaultRowHeight="15"/>
  <cols>
    <col min="1" max="1" width="29.1640625" customWidth="1"/>
    <col min="2" max="2" width="24.5" customWidth="1"/>
    <col min="3" max="4" width="23.5" customWidth="1"/>
  </cols>
  <sheetData>
    <row r="1" spans="1:4" ht="16">
      <c r="A1" s="1031" t="s">
        <v>730</v>
      </c>
      <c r="B1" s="1031" t="s">
        <v>731</v>
      </c>
      <c r="C1" s="1042"/>
      <c r="D1" s="1042"/>
    </row>
    <row r="2" spans="1:4" ht="16">
      <c r="A2" s="1032" t="s">
        <v>293</v>
      </c>
      <c r="B2" s="1031" t="s">
        <v>731</v>
      </c>
      <c r="C2" s="1042"/>
      <c r="D2" s="1042"/>
    </row>
    <row r="3" spans="1:4">
      <c r="A3" s="1033" t="s">
        <v>217</v>
      </c>
      <c r="B3" s="1034">
        <v>164.50619770219538</v>
      </c>
      <c r="C3" s="1034"/>
      <c r="D3" s="1034"/>
    </row>
    <row r="4" spans="1:4">
      <c r="A4" s="1035" t="s">
        <v>15</v>
      </c>
      <c r="B4" s="1036">
        <v>47.047499999999992</v>
      </c>
      <c r="C4" s="1036"/>
      <c r="D4" s="1036"/>
    </row>
    <row r="5" spans="1:4">
      <c r="A5" s="1035" t="s">
        <v>124</v>
      </c>
      <c r="B5" s="1036">
        <v>104.4782</v>
      </c>
      <c r="C5" s="1036"/>
      <c r="D5" s="1036"/>
    </row>
    <row r="6" spans="1:4">
      <c r="A6" s="1035" t="s">
        <v>260</v>
      </c>
      <c r="B6" s="1037">
        <v>12.980497702195366</v>
      </c>
      <c r="C6" s="1037"/>
      <c r="D6" s="1037"/>
    </row>
    <row r="7" spans="1:4">
      <c r="A7" s="1035" t="s">
        <v>51</v>
      </c>
      <c r="B7" s="1037">
        <v>0</v>
      </c>
      <c r="C7" s="1037"/>
      <c r="D7" s="1037"/>
    </row>
    <row r="8" spans="1:4">
      <c r="A8" s="1033" t="s">
        <v>229</v>
      </c>
      <c r="B8" s="1034">
        <v>-58.008400539352984</v>
      </c>
      <c r="C8" s="1034"/>
      <c r="D8" s="1034"/>
    </row>
    <row r="9" spans="1:4">
      <c r="A9" s="1035" t="s">
        <v>668</v>
      </c>
      <c r="B9" s="1037">
        <v>-11.28856575</v>
      </c>
      <c r="C9" s="1037"/>
      <c r="D9" s="1037"/>
    </row>
    <row r="10" spans="1:4">
      <c r="A10" s="1035" t="s">
        <v>319</v>
      </c>
      <c r="B10" s="1037">
        <v>-6.9195651105651113</v>
      </c>
      <c r="C10" s="1037"/>
      <c r="D10" s="1037"/>
    </row>
    <row r="11" spans="1:4">
      <c r="A11" s="1035" t="s">
        <v>675</v>
      </c>
      <c r="B11" s="1037">
        <v>-28.943708333333333</v>
      </c>
      <c r="C11" s="1037"/>
      <c r="D11" s="1037"/>
    </row>
    <row r="12" spans="1:4">
      <c r="A12" s="1035" t="s">
        <v>732</v>
      </c>
      <c r="B12" s="1037">
        <v>-2.9324999999999997</v>
      </c>
      <c r="C12" s="1037"/>
      <c r="D12" s="1037"/>
    </row>
    <row r="13" spans="1:4">
      <c r="A13" s="1035" t="s">
        <v>152</v>
      </c>
      <c r="B13" s="1038">
        <v>-3.1079999999999988</v>
      </c>
      <c r="C13" s="1037"/>
      <c r="D13" s="1037"/>
    </row>
    <row r="14" spans="1:4">
      <c r="A14" s="1035" t="s">
        <v>163</v>
      </c>
      <c r="B14" s="1037">
        <v>-4.8160613454545453</v>
      </c>
      <c r="C14" s="1037"/>
      <c r="D14" s="1037"/>
    </row>
    <row r="15" spans="1:4">
      <c r="A15" s="1033" t="s">
        <v>236</v>
      </c>
      <c r="B15" s="1039">
        <f>B3+B8</f>
        <v>106.4977971628424</v>
      </c>
      <c r="C15" s="1037"/>
      <c r="D15" s="1037"/>
    </row>
    <row r="16" spans="1:4">
      <c r="A16" s="1033" t="s">
        <v>299</v>
      </c>
      <c r="B16" s="1039">
        <v>-110.82534860735697</v>
      </c>
      <c r="C16" s="1039"/>
      <c r="D16" s="1039"/>
    </row>
    <row r="17" spans="1:19">
      <c r="A17" s="1035" t="s">
        <v>301</v>
      </c>
      <c r="B17" s="1037">
        <v>-47.167176439987372</v>
      </c>
      <c r="C17" s="1037"/>
      <c r="D17" s="1037"/>
    </row>
    <row r="18" spans="1:19">
      <c r="A18" s="1035" t="s">
        <v>303</v>
      </c>
      <c r="B18" s="1037">
        <v>-16.908893712187709</v>
      </c>
      <c r="C18" s="1037"/>
      <c r="D18" s="1037"/>
    </row>
    <row r="19" spans="1:19">
      <c r="A19" s="1035" t="s">
        <v>733</v>
      </c>
      <c r="B19" s="1037">
        <v>-20.80081953055673</v>
      </c>
      <c r="C19" s="1037"/>
      <c r="D19" s="1037"/>
    </row>
    <row r="20" spans="1:19">
      <c r="A20" s="1035" t="s">
        <v>307</v>
      </c>
      <c r="B20" s="1037">
        <v>-25.948458924625164</v>
      </c>
      <c r="C20" s="1037"/>
      <c r="D20" s="1037"/>
    </row>
    <row r="21" spans="1:19">
      <c r="A21" s="1034" t="s">
        <v>489</v>
      </c>
      <c r="B21" s="1034">
        <v>-4.3275514445145689</v>
      </c>
      <c r="C21" s="1034"/>
      <c r="D21" s="1034"/>
    </row>
    <row r="22" spans="1:19">
      <c r="A22" s="1040" t="s">
        <v>734</v>
      </c>
      <c r="B22" s="1041">
        <v>3.730349362740526E-14</v>
      </c>
      <c r="C22" s="1041"/>
      <c r="D22" s="1041"/>
    </row>
    <row r="24" spans="1:19">
      <c r="A24" s="989"/>
      <c r="B24" s="989"/>
      <c r="C24" s="989"/>
      <c r="D24" s="989"/>
      <c r="E24" s="989"/>
      <c r="F24" s="990"/>
      <c r="G24" s="990"/>
      <c r="H24" s="991">
        <v>45658</v>
      </c>
      <c r="I24" s="991">
        <v>45689</v>
      </c>
      <c r="J24" s="991">
        <v>45717</v>
      </c>
      <c r="K24" s="991">
        <v>45748</v>
      </c>
      <c r="L24" s="991">
        <v>45778</v>
      </c>
      <c r="M24" s="991">
        <v>45809</v>
      </c>
      <c r="N24" s="991">
        <v>45839</v>
      </c>
      <c r="O24" s="991">
        <v>45870</v>
      </c>
      <c r="P24" s="991">
        <v>45901</v>
      </c>
      <c r="Q24" s="991">
        <v>45931</v>
      </c>
      <c r="R24" s="991">
        <v>45962</v>
      </c>
      <c r="S24" s="991">
        <v>45992</v>
      </c>
    </row>
    <row r="25" spans="1:19">
      <c r="A25" s="993" t="s">
        <v>735</v>
      </c>
      <c r="B25" s="993"/>
      <c r="C25" s="992"/>
      <c r="D25" s="992"/>
      <c r="E25" s="992"/>
      <c r="F25" s="994"/>
      <c r="G25" s="994"/>
      <c r="H25" s="995"/>
      <c r="I25" s="995"/>
      <c r="J25" s="995"/>
      <c r="K25" s="995"/>
      <c r="L25" s="995"/>
      <c r="M25" s="995"/>
      <c r="N25" s="995"/>
      <c r="O25" s="995"/>
      <c r="P25" s="995"/>
      <c r="Q25" s="995"/>
      <c r="R25" s="995"/>
      <c r="S25" s="995"/>
    </row>
    <row r="26" spans="1:19">
      <c r="A26" s="989"/>
      <c r="B26" s="996" t="s">
        <v>82</v>
      </c>
      <c r="C26" s="997"/>
      <c r="D26" s="996"/>
      <c r="E26" s="996"/>
      <c r="F26" s="996"/>
      <c r="G26" s="990" t="s">
        <v>736</v>
      </c>
      <c r="H26" s="998">
        <v>8873</v>
      </c>
      <c r="I26" s="998">
        <v>9492</v>
      </c>
      <c r="J26" s="998">
        <v>10321</v>
      </c>
      <c r="K26" s="998">
        <v>11450</v>
      </c>
      <c r="L26" s="998">
        <v>12559</v>
      </c>
      <c r="M26" s="998">
        <v>13668</v>
      </c>
      <c r="N26" s="998">
        <v>14777</v>
      </c>
      <c r="O26" s="998">
        <v>15866</v>
      </c>
      <c r="P26" s="998">
        <v>16955</v>
      </c>
      <c r="Q26" s="998">
        <v>18044</v>
      </c>
      <c r="R26" s="998">
        <v>19133</v>
      </c>
      <c r="S26" s="998">
        <v>20200</v>
      </c>
    </row>
    <row r="27" spans="1:19">
      <c r="A27" s="989"/>
      <c r="B27" s="996" t="s">
        <v>215</v>
      </c>
      <c r="C27" s="996"/>
      <c r="D27" s="996"/>
      <c r="E27" s="996"/>
      <c r="F27" s="996"/>
      <c r="G27" s="990" t="s">
        <v>736</v>
      </c>
      <c r="H27" s="1000">
        <v>45.006427633764453</v>
      </c>
      <c r="I27" s="1000">
        <v>47.466338637915094</v>
      </c>
      <c r="J27" s="1000">
        <v>51.080142681716978</v>
      </c>
      <c r="K27" s="1000">
        <v>55.978721987613646</v>
      </c>
      <c r="L27" s="1000">
        <v>61.582333922030365</v>
      </c>
      <c r="M27" s="1000">
        <v>67.146622142159089</v>
      </c>
      <c r="N27" s="1000">
        <v>72.714922200452477</v>
      </c>
      <c r="O27" s="1000">
        <v>78.234291142525251</v>
      </c>
      <c r="P27" s="1000">
        <v>83.713008441357417</v>
      </c>
      <c r="Q27" s="1000">
        <v>89.194408946555413</v>
      </c>
      <c r="R27" s="1000">
        <v>94.678494181584512</v>
      </c>
      <c r="S27" s="1000">
        <v>100.1046455314394</v>
      </c>
    </row>
    <row r="28" spans="1:19">
      <c r="A28" s="990"/>
      <c r="B28" s="996" t="s">
        <v>472</v>
      </c>
      <c r="C28" s="989"/>
      <c r="D28" s="989"/>
      <c r="E28" s="989"/>
      <c r="F28" s="989"/>
      <c r="G28" s="990" t="s">
        <v>736</v>
      </c>
      <c r="H28" s="1000">
        <v>-36.335484794482518</v>
      </c>
      <c r="I28" s="1000">
        <v>-38.168628818714105</v>
      </c>
      <c r="J28" s="1000">
        <v>-41.004125449694875</v>
      </c>
      <c r="K28" s="1000">
        <v>-44.924760820545693</v>
      </c>
      <c r="L28" s="1000">
        <v>-49.452914333438194</v>
      </c>
      <c r="M28" s="1000">
        <v>-53.980825206173883</v>
      </c>
      <c r="N28" s="1000">
        <v>-58.509327134970434</v>
      </c>
      <c r="O28" s="1000">
        <v>-63.014456764668196</v>
      </c>
      <c r="P28" s="1000">
        <v>-67.519148267700629</v>
      </c>
      <c r="Q28" s="1000">
        <v>-72.024235219323998</v>
      </c>
      <c r="R28" s="1000">
        <v>-76.529717861461208</v>
      </c>
      <c r="S28" s="1000">
        <v>-80.930535075744999</v>
      </c>
    </row>
    <row r="29" spans="1:19">
      <c r="A29" s="989"/>
      <c r="B29" s="996" t="s">
        <v>217</v>
      </c>
      <c r="C29" s="989"/>
      <c r="D29" s="989"/>
      <c r="E29" s="989"/>
      <c r="F29" s="989"/>
      <c r="G29" s="990" t="s">
        <v>736</v>
      </c>
      <c r="H29" s="245">
        <v>8.6709428392819383</v>
      </c>
      <c r="I29" s="245">
        <v>9.2977098192009873</v>
      </c>
      <c r="J29" s="245">
        <v>10.076017232022103</v>
      </c>
      <c r="K29" s="245">
        <v>11.05396116706795</v>
      </c>
      <c r="L29" s="245">
        <v>12.129419588592169</v>
      </c>
      <c r="M29" s="245">
        <v>13.165796935985204</v>
      </c>
      <c r="N29" s="245">
        <v>14.205595065482045</v>
      </c>
      <c r="O29" s="245">
        <v>15.219834377857056</v>
      </c>
      <c r="P29" s="245">
        <v>16.193860173656795</v>
      </c>
      <c r="Q29" s="245">
        <v>17.170173727231418</v>
      </c>
      <c r="R29" s="245">
        <v>18.148776320123304</v>
      </c>
      <c r="S29" s="245">
        <v>19.174110455694397</v>
      </c>
    </row>
    <row r="30" spans="1:19">
      <c r="A30" s="996"/>
      <c r="B30" s="996"/>
      <c r="C30" s="996" t="s">
        <v>218</v>
      </c>
      <c r="D30" s="996"/>
      <c r="E30" s="996"/>
      <c r="F30" s="996"/>
      <c r="G30" s="990" t="s">
        <v>736</v>
      </c>
      <c r="H30" s="1001">
        <v>7.4525333333333279</v>
      </c>
      <c r="I30" s="1001">
        <v>8.1331333333333333</v>
      </c>
      <c r="J30" s="1001">
        <v>8.9524833333333262</v>
      </c>
      <c r="K30" s="1001">
        <v>9.9672499999999999</v>
      </c>
      <c r="L30" s="1001">
        <v>11.06451666666667</v>
      </c>
      <c r="M30" s="1001">
        <v>12.119283333333321</v>
      </c>
      <c r="N30" s="1001">
        <v>13.174050000000001</v>
      </c>
      <c r="O30" s="1001">
        <v>14.186316666666656</v>
      </c>
      <c r="P30" s="1001">
        <v>15.156083333333328</v>
      </c>
      <c r="Q30" s="1001">
        <v>16.125850000000014</v>
      </c>
      <c r="R30" s="1001">
        <v>17.095616666666686</v>
      </c>
      <c r="S30" s="1001">
        <v>18.098583333333337</v>
      </c>
    </row>
    <row r="31" spans="1:19">
      <c r="A31" s="989"/>
      <c r="B31" s="996"/>
      <c r="C31" s="989"/>
      <c r="D31" s="989" t="s">
        <v>737</v>
      </c>
      <c r="E31" s="989"/>
      <c r="F31" s="989"/>
      <c r="G31" s="990" t="s">
        <v>736</v>
      </c>
      <c r="H31" s="1002">
        <v>43.110477208333336</v>
      </c>
      <c r="I31" s="1002">
        <v>45.52549354166667</v>
      </c>
      <c r="J31" s="1002">
        <v>49.091542625000002</v>
      </c>
      <c r="K31" s="1002">
        <v>53.937030041666674</v>
      </c>
      <c r="L31" s="1002">
        <v>59.489821625000005</v>
      </c>
      <c r="M31" s="1002">
        <v>64.999279874999999</v>
      </c>
      <c r="N31" s="1002">
        <v>70.508738125000008</v>
      </c>
      <c r="O31" s="1002">
        <v>75.974863041666666</v>
      </c>
      <c r="P31" s="1002">
        <v>81.397654625000001</v>
      </c>
      <c r="Q31" s="1002">
        <v>86.820446208333351</v>
      </c>
      <c r="R31" s="1002">
        <v>92.243237791666687</v>
      </c>
      <c r="S31" s="1002">
        <v>97.617691791666672</v>
      </c>
    </row>
    <row r="32" spans="1:19">
      <c r="A32" s="989"/>
      <c r="B32" s="996"/>
      <c r="C32" s="989"/>
      <c r="D32" s="989" t="s">
        <v>294</v>
      </c>
      <c r="E32" s="989"/>
      <c r="F32" s="989"/>
      <c r="G32" s="990" t="s">
        <v>736</v>
      </c>
      <c r="H32" s="1002">
        <v>-35.657943875000008</v>
      </c>
      <c r="I32" s="1002">
        <v>-37.392360208333336</v>
      </c>
      <c r="J32" s="1002">
        <v>-40.139059291666676</v>
      </c>
      <c r="K32" s="1002">
        <v>-43.969780041666674</v>
      </c>
      <c r="L32" s="1002">
        <v>-48.425304958333335</v>
      </c>
      <c r="M32" s="1002">
        <v>-52.879996541666678</v>
      </c>
      <c r="N32" s="1002">
        <v>-57.334688125000007</v>
      </c>
      <c r="O32" s="1002">
        <v>-61.78854637500001</v>
      </c>
      <c r="P32" s="1002">
        <v>-66.241571291666673</v>
      </c>
      <c r="Q32" s="1002">
        <v>-70.694596208333337</v>
      </c>
      <c r="R32" s="1002">
        <v>-75.147621125000001</v>
      </c>
      <c r="S32" s="1002">
        <v>-79.519108458333335</v>
      </c>
    </row>
    <row r="33" spans="1:19">
      <c r="A33" s="996"/>
      <c r="B33" s="996"/>
      <c r="C33" s="996" t="s">
        <v>220</v>
      </c>
      <c r="D33" s="996"/>
      <c r="E33" s="996"/>
      <c r="F33" s="996"/>
      <c r="G33" s="990" t="s">
        <v>736</v>
      </c>
      <c r="H33" s="1001">
        <v>1.2184095059486109</v>
      </c>
      <c r="I33" s="1001">
        <v>1.1645764858676539</v>
      </c>
      <c r="J33" s="1001">
        <v>1.1235338986887771</v>
      </c>
      <c r="K33" s="1001">
        <v>1.0867111670679501</v>
      </c>
      <c r="L33" s="1001">
        <v>1.0649029219255</v>
      </c>
      <c r="M33" s="1001">
        <v>1.0465136026518838</v>
      </c>
      <c r="N33" s="1001">
        <v>1.0315450654820435</v>
      </c>
      <c r="O33" s="1001">
        <v>1.0335177111904001</v>
      </c>
      <c r="P33" s="1001">
        <v>1.0377768403234653</v>
      </c>
      <c r="Q33" s="1001">
        <v>1.0443237272314054</v>
      </c>
      <c r="R33" s="1001">
        <v>1.0531596534566194</v>
      </c>
      <c r="S33" s="1001">
        <v>1.0755271223610587</v>
      </c>
    </row>
    <row r="34" spans="1:19">
      <c r="A34" s="989"/>
      <c r="B34" s="996"/>
      <c r="C34" s="989"/>
      <c r="D34" s="989" t="s">
        <v>22</v>
      </c>
      <c r="E34" s="989"/>
      <c r="F34" s="989"/>
      <c r="G34" s="990" t="s">
        <v>736</v>
      </c>
      <c r="H34" s="1002">
        <v>1.8959504254311179</v>
      </c>
      <c r="I34" s="1002">
        <v>1.9408450962484218</v>
      </c>
      <c r="J34" s="1002">
        <v>1.9886000567169746</v>
      </c>
      <c r="K34" s="1002">
        <v>2.0416919459469698</v>
      </c>
      <c r="L34" s="1002">
        <v>2.0925122970303622</v>
      </c>
      <c r="M34" s="1002">
        <v>2.1473422671590909</v>
      </c>
      <c r="N34" s="1002">
        <v>2.206184075452474</v>
      </c>
      <c r="O34" s="1002">
        <v>2.2594281008585857</v>
      </c>
      <c r="P34" s="1002">
        <v>2.3153538163574217</v>
      </c>
      <c r="Q34" s="1002">
        <v>2.3739627382220645</v>
      </c>
      <c r="R34" s="1002">
        <v>2.4352563899178303</v>
      </c>
      <c r="S34" s="1002">
        <v>2.4869537397727273</v>
      </c>
    </row>
    <row r="35" spans="1:19">
      <c r="A35" s="989"/>
      <c r="B35" s="989"/>
      <c r="C35" s="989"/>
      <c r="D35" s="989" t="s">
        <v>295</v>
      </c>
      <c r="E35" s="989"/>
      <c r="F35" s="989"/>
      <c r="G35" s="990" t="s">
        <v>736</v>
      </c>
      <c r="H35" s="240">
        <v>-0.67754091948250694</v>
      </c>
      <c r="I35" s="240">
        <v>-0.77626861038076778</v>
      </c>
      <c r="J35" s="240">
        <v>-0.86506615802819753</v>
      </c>
      <c r="K35" s="240">
        <v>-0.95498077887901966</v>
      </c>
      <c r="L35" s="240">
        <v>-1.0276093751048623</v>
      </c>
      <c r="M35" s="240">
        <v>-1.1008286645072072</v>
      </c>
      <c r="N35" s="240">
        <v>-1.1746390099704305</v>
      </c>
      <c r="O35" s="240">
        <v>-1.2259103896681856</v>
      </c>
      <c r="P35" s="240">
        <v>-1.2775769760339564</v>
      </c>
      <c r="Q35" s="240">
        <v>-1.3296390109906591</v>
      </c>
      <c r="R35" s="240">
        <v>-1.3820967364612109</v>
      </c>
      <c r="S35" s="240">
        <v>-1.4114266174116685</v>
      </c>
    </row>
    <row r="36" spans="1:19">
      <c r="A36" s="989"/>
      <c r="B36" s="989"/>
      <c r="C36" s="996" t="s">
        <v>89</v>
      </c>
      <c r="D36" s="989"/>
      <c r="E36" s="989"/>
      <c r="F36" s="989"/>
      <c r="G36" s="990" t="s">
        <v>736</v>
      </c>
      <c r="H36" s="240">
        <v>0</v>
      </c>
      <c r="I36" s="240">
        <v>0</v>
      </c>
      <c r="J36" s="240">
        <v>0</v>
      </c>
      <c r="K36" s="240">
        <v>0</v>
      </c>
      <c r="L36" s="240">
        <v>0</v>
      </c>
      <c r="M36" s="240">
        <v>0</v>
      </c>
      <c r="N36" s="240">
        <v>0</v>
      </c>
      <c r="O36" s="240">
        <v>0</v>
      </c>
      <c r="P36" s="240">
        <v>0</v>
      </c>
      <c r="Q36" s="240">
        <v>0</v>
      </c>
      <c r="R36" s="240">
        <v>0</v>
      </c>
      <c r="S36" s="240">
        <v>0</v>
      </c>
    </row>
    <row r="37" spans="1:19">
      <c r="A37" s="989"/>
      <c r="B37" s="996" t="s">
        <v>701</v>
      </c>
      <c r="C37" s="989"/>
      <c r="D37" s="989"/>
      <c r="E37" s="989"/>
      <c r="F37" s="989"/>
      <c r="G37" s="990" t="s">
        <v>736</v>
      </c>
      <c r="H37" s="245">
        <v>-3.0395322254709249</v>
      </c>
      <c r="I37" s="245">
        <v>-3.394351225798526</v>
      </c>
      <c r="J37" s="245">
        <v>-3.7561799069205568</v>
      </c>
      <c r="K37" s="245">
        <v>-3.9813633628173628</v>
      </c>
      <c r="L37" s="245">
        <v>-4.3613687884111396</v>
      </c>
      <c r="M37" s="245">
        <v>-4.7423742140049141</v>
      </c>
      <c r="N37" s="245">
        <v>-4.8453796395986899</v>
      </c>
      <c r="O37" s="245">
        <v>-5.2189153682227696</v>
      </c>
      <c r="P37" s="245">
        <v>-5.5922844301801806</v>
      </c>
      <c r="Q37" s="245">
        <v>-5.966986825470924</v>
      </c>
      <c r="R37" s="245">
        <v>-6.343022554095004</v>
      </c>
      <c r="S37" s="245">
        <v>-6.7666419983619983</v>
      </c>
    </row>
    <row r="38" spans="1:19">
      <c r="A38" s="989"/>
      <c r="B38" s="989"/>
      <c r="C38" s="989"/>
      <c r="D38" s="989" t="s">
        <v>668</v>
      </c>
      <c r="E38" s="989"/>
      <c r="F38" s="989"/>
      <c r="G38" s="990" t="s">
        <v>736</v>
      </c>
      <c r="H38" s="1003">
        <v>-0.57201699999999978</v>
      </c>
      <c r="I38" s="1003">
        <v>-0.78339750000000041</v>
      </c>
      <c r="J38" s="1003">
        <v>-0.91653124999999969</v>
      </c>
      <c r="K38" s="1003">
        <v>-1.0911149999999996</v>
      </c>
      <c r="L38" s="1003">
        <v>-1.0688237500000004</v>
      </c>
      <c r="M38" s="1003">
        <v>-1.0465324999999996</v>
      </c>
      <c r="N38" s="1003">
        <v>-1.0242412499999998</v>
      </c>
      <c r="O38" s="1003">
        <v>-1.0019500000000006</v>
      </c>
      <c r="P38" s="1003">
        <v>-0.97965875000000047</v>
      </c>
      <c r="Q38" s="1003">
        <v>-0.95736749999999904</v>
      </c>
      <c r="R38" s="1003">
        <v>-0.9350762500000005</v>
      </c>
      <c r="S38" s="1003">
        <v>-0.91185499999999986</v>
      </c>
    </row>
    <row r="39" spans="1:19">
      <c r="A39" s="989"/>
      <c r="B39" s="989"/>
      <c r="C39" s="989"/>
      <c r="D39" s="989" t="s">
        <v>235</v>
      </c>
      <c r="E39" s="989"/>
      <c r="F39" s="989"/>
      <c r="G39" s="990" t="s">
        <v>736</v>
      </c>
      <c r="H39" s="1003">
        <v>-0.35795577395577394</v>
      </c>
      <c r="I39" s="1003">
        <v>-0.39270761670761672</v>
      </c>
      <c r="J39" s="1003">
        <v>-0.43113267813267819</v>
      </c>
      <c r="K39" s="1003">
        <v>-0.47766584766584774</v>
      </c>
      <c r="L39" s="1003">
        <v>-0.51965356265356266</v>
      </c>
      <c r="M39" s="1003">
        <v>-0.56164127764127769</v>
      </c>
      <c r="N39" s="1003">
        <v>-0.60362899262899272</v>
      </c>
      <c r="O39" s="1003">
        <v>-0.64107125307125312</v>
      </c>
      <c r="P39" s="1003">
        <v>-0.67851351351351341</v>
      </c>
      <c r="Q39" s="1003">
        <v>-0.71595577395577403</v>
      </c>
      <c r="R39" s="1003">
        <v>-0.75339803439803443</v>
      </c>
      <c r="S39" s="1003">
        <v>-0.7862407862407863</v>
      </c>
    </row>
    <row r="40" spans="1:19">
      <c r="A40" s="989"/>
      <c r="B40" s="989"/>
      <c r="C40" s="989"/>
      <c r="D40" s="989" t="s">
        <v>315</v>
      </c>
      <c r="E40" s="989"/>
      <c r="F40" s="989"/>
      <c r="G40" s="990" t="s">
        <v>736</v>
      </c>
      <c r="H40" s="1003">
        <v>-0.46750000000000003</v>
      </c>
      <c r="I40" s="1003">
        <v>-0.46750000000000003</v>
      </c>
      <c r="J40" s="1003">
        <v>-0.46750000000000003</v>
      </c>
      <c r="K40" s="1003">
        <v>-0.17</v>
      </c>
      <c r="L40" s="1003">
        <v>-0.17</v>
      </c>
      <c r="M40" s="1003">
        <v>-0.17</v>
      </c>
      <c r="N40" s="1003">
        <v>-0.17</v>
      </c>
      <c r="O40" s="1003">
        <v>-0.17</v>
      </c>
      <c r="P40" s="1003">
        <v>-0.17</v>
      </c>
      <c r="Q40" s="1003">
        <v>-0.17</v>
      </c>
      <c r="R40" s="1003">
        <v>-0.17</v>
      </c>
      <c r="S40" s="1003">
        <v>-0.17</v>
      </c>
    </row>
    <row r="41" spans="1:19">
      <c r="A41" s="989"/>
      <c r="B41" s="989"/>
      <c r="C41" s="989"/>
      <c r="D41" s="989" t="s">
        <v>163</v>
      </c>
      <c r="E41" s="989"/>
      <c r="F41" s="989"/>
      <c r="G41" s="990" t="s">
        <v>736</v>
      </c>
      <c r="H41" s="1003">
        <v>-0.29847611818181813</v>
      </c>
      <c r="I41" s="1003">
        <v>-0.32249610909090909</v>
      </c>
      <c r="J41" s="1003">
        <v>-0.34443264545454544</v>
      </c>
      <c r="K41" s="1003">
        <v>-0.36699918181818181</v>
      </c>
      <c r="L41" s="1003">
        <v>-0.38447480909090914</v>
      </c>
      <c r="M41" s="1003">
        <v>-0.40195043636363642</v>
      </c>
      <c r="N41" s="1003">
        <v>-0.4194260636363637</v>
      </c>
      <c r="O41" s="1003">
        <v>-0.43181078181818178</v>
      </c>
      <c r="P41" s="1003">
        <v>-0.44419549999999997</v>
      </c>
      <c r="Q41" s="1003">
        <v>-0.45658021818181821</v>
      </c>
      <c r="R41" s="1003">
        <v>-0.4689649363636364</v>
      </c>
      <c r="S41" s="1003">
        <v>-0.47625454545454543</v>
      </c>
    </row>
    <row r="42" spans="1:19">
      <c r="A42" s="989"/>
      <c r="B42" s="1004"/>
      <c r="C42" s="989"/>
      <c r="D42" s="989" t="s">
        <v>152</v>
      </c>
      <c r="E42" s="989"/>
      <c r="F42" s="989"/>
      <c r="G42" s="990" t="s">
        <v>736</v>
      </c>
      <c r="H42" s="1005">
        <v>-0.39900000000000002</v>
      </c>
      <c r="I42" s="1005">
        <v>-0.39900000000000002</v>
      </c>
      <c r="J42" s="1005">
        <v>-0.39900000000000002</v>
      </c>
      <c r="K42" s="1005">
        <v>-0.39900000000000002</v>
      </c>
      <c r="L42" s="1005">
        <v>-0.39900000000000002</v>
      </c>
      <c r="M42" s="1005">
        <v>-0.39900000000000002</v>
      </c>
      <c r="N42" s="1005">
        <v>-0.11899999999999999</v>
      </c>
      <c r="O42" s="1005">
        <v>-0.11899999999999999</v>
      </c>
      <c r="P42" s="1005">
        <v>-0.11899999999999999</v>
      </c>
      <c r="Q42" s="1005">
        <v>-0.11899999999999999</v>
      </c>
      <c r="R42" s="1005">
        <v>-0.11899999999999999</v>
      </c>
      <c r="S42" s="1005">
        <v>-0.11899999999999999</v>
      </c>
    </row>
    <row r="43" spans="1:19">
      <c r="A43" s="989"/>
      <c r="B43" s="1004"/>
      <c r="C43" s="989"/>
      <c r="D43" s="989" t="s">
        <v>738</v>
      </c>
      <c r="E43" s="989"/>
      <c r="F43" s="989"/>
      <c r="G43" s="990" t="s">
        <v>736</v>
      </c>
      <c r="H43" s="1003">
        <v>-0.94458333333333333</v>
      </c>
      <c r="I43" s="1003">
        <v>-1.02925</v>
      </c>
      <c r="J43" s="1003">
        <v>-1.1975833333333334</v>
      </c>
      <c r="K43" s="1003">
        <v>-1.4765833333333334</v>
      </c>
      <c r="L43" s="1003">
        <v>-1.8194166666666669</v>
      </c>
      <c r="M43" s="1003">
        <v>-2.1632500000000001</v>
      </c>
      <c r="N43" s="1003">
        <v>-2.5090833333333333</v>
      </c>
      <c r="O43" s="1003">
        <v>-2.8550833333333339</v>
      </c>
      <c r="P43" s="1003">
        <v>-3.2009166666666671</v>
      </c>
      <c r="Q43" s="1003">
        <v>-3.548083333333333</v>
      </c>
      <c r="R43" s="1003">
        <v>-3.8965833333333331</v>
      </c>
      <c r="S43" s="1003">
        <v>-4.3032916666666665</v>
      </c>
    </row>
    <row r="44" spans="1:19">
      <c r="A44" s="989"/>
      <c r="B44" s="996" t="s">
        <v>739</v>
      </c>
      <c r="C44" s="989"/>
      <c r="D44" s="989"/>
      <c r="E44" s="989"/>
      <c r="F44" s="989"/>
      <c r="G44" s="990" t="s">
        <v>736</v>
      </c>
      <c r="H44" s="247">
        <v>-9.2354457172797488</v>
      </c>
      <c r="I44" s="247">
        <v>-9.2354457172797488</v>
      </c>
      <c r="J44" s="247">
        <v>-9.2354457172797488</v>
      </c>
      <c r="K44" s="247">
        <v>-9.2354457172797488</v>
      </c>
      <c r="L44" s="247">
        <v>-9.2354457172797488</v>
      </c>
      <c r="M44" s="247">
        <v>-9.2354457172797488</v>
      </c>
      <c r="N44" s="247">
        <v>-9.2354457172797488</v>
      </c>
      <c r="O44" s="247">
        <v>-9.2354457172797488</v>
      </c>
      <c r="P44" s="247">
        <v>-9.2354457172797488</v>
      </c>
      <c r="Q44" s="247">
        <v>-9.2354457172797488</v>
      </c>
      <c r="R44" s="247">
        <v>-9.2354457172797488</v>
      </c>
      <c r="S44" s="247">
        <v>-9.2354457172797488</v>
      </c>
    </row>
    <row r="45" spans="1:19">
      <c r="A45" s="989"/>
      <c r="B45" s="1004" t="s">
        <v>301</v>
      </c>
      <c r="C45" s="989"/>
      <c r="D45" s="989"/>
      <c r="E45" s="989"/>
      <c r="F45" s="989"/>
      <c r="G45" s="990" t="s">
        <v>736</v>
      </c>
      <c r="H45" s="641">
        <v>-3.9305980366656144</v>
      </c>
      <c r="I45" s="641">
        <v>-3.9305980366656144</v>
      </c>
      <c r="J45" s="641">
        <v>-3.9305980366656144</v>
      </c>
      <c r="K45" s="641">
        <v>-3.9305980366656144</v>
      </c>
      <c r="L45" s="641">
        <v>-3.9305980366656144</v>
      </c>
      <c r="M45" s="641">
        <v>-3.9305980366656144</v>
      </c>
      <c r="N45" s="641">
        <v>-3.9305980366656144</v>
      </c>
      <c r="O45" s="641">
        <v>-3.9305980366656144</v>
      </c>
      <c r="P45" s="641">
        <v>-3.9305980366656144</v>
      </c>
      <c r="Q45" s="641">
        <v>-3.9305980366656144</v>
      </c>
      <c r="R45" s="641">
        <v>-3.9305980366656144</v>
      </c>
      <c r="S45" s="641">
        <v>-3.9305980366656144</v>
      </c>
    </row>
    <row r="46" spans="1:19">
      <c r="A46" s="989"/>
      <c r="B46" s="1004" t="s">
        <v>303</v>
      </c>
      <c r="C46" s="989"/>
      <c r="D46" s="989"/>
      <c r="E46" s="989"/>
      <c r="F46" s="989"/>
      <c r="G46" s="990" t="s">
        <v>736</v>
      </c>
      <c r="H46" s="641">
        <v>-1.4090744760156424</v>
      </c>
      <c r="I46" s="641">
        <v>-1.4090744760156424</v>
      </c>
      <c r="J46" s="641">
        <v>-1.4090744760156424</v>
      </c>
      <c r="K46" s="641">
        <v>-1.4090744760156424</v>
      </c>
      <c r="L46" s="641">
        <v>-1.4090744760156424</v>
      </c>
      <c r="M46" s="641">
        <v>-1.4090744760156424</v>
      </c>
      <c r="N46" s="641">
        <v>-1.4090744760156424</v>
      </c>
      <c r="O46" s="641">
        <v>-1.4090744760156424</v>
      </c>
      <c r="P46" s="641">
        <v>-1.4090744760156424</v>
      </c>
      <c r="Q46" s="641">
        <v>-1.4090744760156424</v>
      </c>
      <c r="R46" s="641">
        <v>-1.4090744760156424</v>
      </c>
      <c r="S46" s="641">
        <v>-1.4090744760156424</v>
      </c>
    </row>
    <row r="47" spans="1:19">
      <c r="A47" s="989"/>
      <c r="B47" s="1004" t="s">
        <v>305</v>
      </c>
      <c r="C47" s="989"/>
      <c r="D47" s="989"/>
      <c r="E47" s="989"/>
      <c r="F47" s="989"/>
      <c r="G47" s="990" t="s">
        <v>736</v>
      </c>
      <c r="H47" s="641">
        <v>-1.7334016275463942</v>
      </c>
      <c r="I47" s="641">
        <v>-1.7334016275463942</v>
      </c>
      <c r="J47" s="641">
        <v>-1.7334016275463942</v>
      </c>
      <c r="K47" s="641">
        <v>-1.7334016275463942</v>
      </c>
      <c r="L47" s="641">
        <v>-1.7334016275463942</v>
      </c>
      <c r="M47" s="641">
        <v>-1.7334016275463942</v>
      </c>
      <c r="N47" s="641">
        <v>-1.7334016275463942</v>
      </c>
      <c r="O47" s="641">
        <v>-1.7334016275463942</v>
      </c>
      <c r="P47" s="641">
        <v>-1.7334016275463942</v>
      </c>
      <c r="Q47" s="641">
        <v>-1.7334016275463942</v>
      </c>
      <c r="R47" s="641">
        <v>-1.7334016275463942</v>
      </c>
      <c r="S47" s="641">
        <v>-1.7334016275463942</v>
      </c>
    </row>
    <row r="48" spans="1:19">
      <c r="A48" s="989"/>
      <c r="B48" s="1004" t="s">
        <v>307</v>
      </c>
      <c r="C48" s="989"/>
      <c r="D48" s="989"/>
      <c r="E48" s="989"/>
      <c r="F48" s="989"/>
      <c r="G48" s="990" t="s">
        <v>736</v>
      </c>
      <c r="H48" s="641">
        <v>-2.162371577052097</v>
      </c>
      <c r="I48" s="641">
        <v>-2.162371577052097</v>
      </c>
      <c r="J48" s="641">
        <v>-2.162371577052097</v>
      </c>
      <c r="K48" s="641">
        <v>-2.162371577052097</v>
      </c>
      <c r="L48" s="641">
        <v>-2.162371577052097</v>
      </c>
      <c r="M48" s="641">
        <v>-2.162371577052097</v>
      </c>
      <c r="N48" s="641">
        <v>-2.162371577052097</v>
      </c>
      <c r="O48" s="641">
        <v>-2.162371577052097</v>
      </c>
      <c r="P48" s="641">
        <v>-2.162371577052097</v>
      </c>
      <c r="Q48" s="641">
        <v>-2.162371577052097</v>
      </c>
      <c r="R48" s="641">
        <v>-2.162371577052097</v>
      </c>
      <c r="S48" s="641">
        <v>-2.162371577052097</v>
      </c>
    </row>
    <row r="49" spans="1:19">
      <c r="A49" s="989"/>
      <c r="B49" s="999" t="s">
        <v>236</v>
      </c>
      <c r="C49" s="989"/>
      <c r="D49" s="989"/>
      <c r="E49" s="989"/>
      <c r="F49" s="989"/>
      <c r="G49" s="990" t="s">
        <v>736</v>
      </c>
      <c r="H49" s="245">
        <v>5.6314106138110134</v>
      </c>
      <c r="I49" s="245">
        <v>5.9033585934024613</v>
      </c>
      <c r="J49" s="245">
        <v>6.3198373251015463</v>
      </c>
      <c r="K49" s="245">
        <v>7.072597804250587</v>
      </c>
      <c r="L49" s="245">
        <v>7.7680508001810296</v>
      </c>
      <c r="M49" s="245">
        <v>8.4234227219802911</v>
      </c>
      <c r="N49" s="245">
        <v>9.3602154258833554</v>
      </c>
      <c r="O49" s="245">
        <v>10.000919009634288</v>
      </c>
      <c r="P49" s="245">
        <v>10.601575743476614</v>
      </c>
      <c r="Q49" s="245">
        <v>11.203186901760494</v>
      </c>
      <c r="R49" s="245">
        <v>11.8057537660283</v>
      </c>
      <c r="S49" s="245">
        <v>12.407468457332399</v>
      </c>
    </row>
    <row r="50" spans="1:19">
      <c r="A50" s="989"/>
      <c r="B50" s="999" t="s">
        <v>579</v>
      </c>
      <c r="C50" s="989"/>
      <c r="D50" s="989"/>
      <c r="E50" s="989"/>
      <c r="F50" s="989"/>
      <c r="G50" s="990" t="s">
        <v>736</v>
      </c>
      <c r="H50" s="247">
        <v>1.700812577145399</v>
      </c>
      <c r="I50" s="247">
        <v>1.9727605567368469</v>
      </c>
      <c r="J50" s="247">
        <v>2.3892392884359319</v>
      </c>
      <c r="K50" s="247">
        <v>3.1419997675849727</v>
      </c>
      <c r="L50" s="247">
        <v>3.8374527635154152</v>
      </c>
      <c r="M50" s="247">
        <v>4.4928246853146767</v>
      </c>
      <c r="N50" s="247">
        <v>5.4296173892177411</v>
      </c>
      <c r="O50" s="247">
        <v>6.0703209729686733</v>
      </c>
      <c r="P50" s="247">
        <v>6.6709777068109997</v>
      </c>
      <c r="Q50" s="247">
        <v>7.27258886509488</v>
      </c>
      <c r="R50" s="247">
        <v>7.8751557293626853</v>
      </c>
      <c r="S50" s="247">
        <v>8.4768704206667849</v>
      </c>
    </row>
    <row r="51" spans="1:19">
      <c r="A51" s="989"/>
      <c r="B51" s="999" t="s">
        <v>309</v>
      </c>
      <c r="C51" s="989"/>
      <c r="D51" s="996"/>
      <c r="E51" s="989"/>
      <c r="F51" s="989"/>
      <c r="G51" s="990" t="s">
        <v>736</v>
      </c>
      <c r="H51" s="1006">
        <v>-3.6040351034687355</v>
      </c>
      <c r="I51" s="1006">
        <v>-3.3320871238772876</v>
      </c>
      <c r="J51" s="1006">
        <v>-2.9156083921782026</v>
      </c>
      <c r="K51" s="1006">
        <v>-2.1628479130291618</v>
      </c>
      <c r="L51" s="1006">
        <v>-1.4673949170987193</v>
      </c>
      <c r="M51" s="1006">
        <v>-0.81202299529945776</v>
      </c>
      <c r="N51" s="1006">
        <v>0.12476970860360659</v>
      </c>
      <c r="O51" s="1006">
        <v>0.76547329235453887</v>
      </c>
      <c r="P51" s="1006">
        <v>1.3661300261968652</v>
      </c>
      <c r="Q51" s="1006">
        <v>1.9677411844807455</v>
      </c>
      <c r="R51" s="1006">
        <v>2.5703080487485508</v>
      </c>
      <c r="S51" s="1006">
        <v>3.1720227400526504</v>
      </c>
    </row>
    <row r="52" spans="1:19">
      <c r="A52" s="999"/>
      <c r="B52" s="989"/>
      <c r="C52" s="996"/>
      <c r="D52" s="989"/>
      <c r="E52" s="989"/>
      <c r="F52" s="990"/>
      <c r="G52" s="990"/>
      <c r="H52" s="989"/>
      <c r="I52" s="989"/>
      <c r="J52" s="989"/>
      <c r="K52" s="989"/>
      <c r="L52" s="989"/>
      <c r="M52" s="989"/>
      <c r="N52" s="989"/>
      <c r="O52" s="989"/>
      <c r="P52" s="989"/>
      <c r="Q52" s="989"/>
      <c r="R52" s="989"/>
      <c r="S52" s="989"/>
    </row>
    <row r="53" spans="1:19">
      <c r="A53" s="999"/>
      <c r="B53" s="989"/>
      <c r="C53" s="996"/>
      <c r="D53" s="989"/>
      <c r="E53" s="989"/>
      <c r="F53" s="990"/>
      <c r="G53" s="990"/>
      <c r="H53" s="1000">
        <v>2.1600625</v>
      </c>
      <c r="I53" s="1000">
        <v>2.5638125</v>
      </c>
      <c r="J53" s="1000">
        <v>2.9069999999999996</v>
      </c>
      <c r="K53" s="1000">
        <v>3.23</v>
      </c>
      <c r="L53" s="1000">
        <v>3.5126249999999994</v>
      </c>
      <c r="M53" s="1000">
        <v>3.7548749999999997</v>
      </c>
      <c r="N53" s="1000">
        <v>3.997125</v>
      </c>
      <c r="O53" s="1000">
        <v>4.1989999999999998</v>
      </c>
      <c r="P53" s="1000">
        <v>4.3605</v>
      </c>
      <c r="Q53" s="1000">
        <v>4.5219999999999985</v>
      </c>
      <c r="R53" s="1000">
        <v>4.6834999999999996</v>
      </c>
      <c r="S53" s="1000">
        <v>4.8046249999999988</v>
      </c>
    </row>
    <row r="54" spans="1:19">
      <c r="A54" s="993" t="s">
        <v>740</v>
      </c>
      <c r="B54" s="993"/>
      <c r="C54" s="992"/>
      <c r="D54" s="992"/>
      <c r="E54" s="992"/>
      <c r="F54" s="994"/>
      <c r="G54" s="994"/>
      <c r="H54" s="996"/>
      <c r="I54" s="996"/>
      <c r="J54" s="996"/>
      <c r="K54" s="996"/>
      <c r="L54" s="996"/>
      <c r="M54" s="996"/>
      <c r="N54" s="996"/>
      <c r="O54" s="996"/>
      <c r="P54" s="996"/>
      <c r="Q54" s="996"/>
      <c r="R54" s="996"/>
      <c r="S54" s="996"/>
    </row>
    <row r="55" spans="1:19">
      <c r="A55" s="989"/>
      <c r="B55" s="996" t="s">
        <v>741</v>
      </c>
      <c r="C55" s="989"/>
      <c r="D55" s="989"/>
      <c r="E55" s="989"/>
      <c r="F55" s="990"/>
      <c r="G55" s="990"/>
      <c r="H55" s="989"/>
      <c r="I55" s="989"/>
      <c r="J55" s="989"/>
      <c r="K55" s="989"/>
      <c r="L55" s="989"/>
      <c r="M55" s="989"/>
      <c r="N55" s="989"/>
      <c r="O55" s="989"/>
      <c r="P55" s="989"/>
      <c r="Q55" s="989"/>
      <c r="R55" s="989"/>
      <c r="S55" s="989"/>
    </row>
    <row r="56" spans="1:19">
      <c r="A56" s="989"/>
      <c r="B56" s="989"/>
      <c r="C56" s="1008" t="s">
        <v>15</v>
      </c>
      <c r="D56" s="1009"/>
      <c r="E56" s="1009"/>
      <c r="F56" s="1010"/>
      <c r="G56" s="990"/>
      <c r="H56" s="989"/>
      <c r="I56" s="989"/>
      <c r="J56" s="989"/>
      <c r="K56" s="989"/>
      <c r="L56" s="989"/>
      <c r="M56" s="989"/>
      <c r="N56" s="989"/>
      <c r="O56" s="989"/>
      <c r="P56" s="989"/>
      <c r="Q56" s="989"/>
      <c r="R56" s="989"/>
      <c r="S56" s="989"/>
    </row>
    <row r="57" spans="1:19">
      <c r="A57" s="989"/>
      <c r="B57" s="989"/>
      <c r="C57" s="996"/>
      <c r="D57" s="996" t="s">
        <v>742</v>
      </c>
      <c r="E57" s="989"/>
      <c r="F57" s="990"/>
      <c r="G57" s="1011" t="s">
        <v>743</v>
      </c>
      <c r="H57" s="271">
        <v>4951.3159999999998</v>
      </c>
      <c r="I57" s="271">
        <v>5036.3159999999998</v>
      </c>
      <c r="J57" s="271">
        <v>5121.3159999999998</v>
      </c>
      <c r="K57" s="271">
        <v>5206.3159999999998</v>
      </c>
      <c r="L57" s="271">
        <v>5291.3159999999998</v>
      </c>
      <c r="M57" s="271">
        <v>5376.3159999999998</v>
      </c>
      <c r="N57" s="271">
        <v>5461.3159999999998</v>
      </c>
      <c r="O57" s="271">
        <v>5546.3159999999998</v>
      </c>
      <c r="P57" s="271">
        <v>5631.3159999999998</v>
      </c>
      <c r="Q57" s="271">
        <v>5716.3159999999998</v>
      </c>
      <c r="R57" s="271">
        <v>5801.3159999999998</v>
      </c>
      <c r="S57" s="271">
        <v>5886.3159999999998</v>
      </c>
    </row>
    <row r="58" spans="1:19">
      <c r="A58" s="989"/>
      <c r="B58" s="989"/>
      <c r="C58" s="996"/>
      <c r="D58" s="996" t="s">
        <v>744</v>
      </c>
      <c r="E58" s="989"/>
      <c r="F58" s="990"/>
      <c r="G58" s="1011" t="s">
        <v>743</v>
      </c>
      <c r="H58" s="1012">
        <v>85</v>
      </c>
      <c r="I58" s="1012">
        <v>85</v>
      </c>
      <c r="J58" s="1012">
        <v>85</v>
      </c>
      <c r="K58" s="1012">
        <v>85</v>
      </c>
      <c r="L58" s="1012">
        <v>85</v>
      </c>
      <c r="M58" s="1012">
        <v>85</v>
      </c>
      <c r="N58" s="1012">
        <v>85</v>
      </c>
      <c r="O58" s="1012">
        <v>85</v>
      </c>
      <c r="P58" s="1012">
        <v>85</v>
      </c>
      <c r="Q58" s="1012">
        <v>85</v>
      </c>
      <c r="R58" s="1012">
        <v>85</v>
      </c>
      <c r="S58" s="1012">
        <v>85</v>
      </c>
    </row>
    <row r="59" spans="1:19">
      <c r="A59" s="996"/>
      <c r="B59" s="996"/>
      <c r="C59" s="996"/>
      <c r="D59" s="996" t="s">
        <v>745</v>
      </c>
      <c r="E59" s="996"/>
      <c r="F59" s="1007"/>
      <c r="G59" s="1011" t="s">
        <v>743</v>
      </c>
      <c r="H59" s="1012">
        <v>2681.8181818181815</v>
      </c>
      <c r="I59" s="1012">
        <v>3090.909090909091</v>
      </c>
      <c r="J59" s="1012">
        <v>3454.5454545454545</v>
      </c>
      <c r="K59" s="1012">
        <v>3818.1818181818185</v>
      </c>
      <c r="L59" s="1012">
        <v>4090.909090909091</v>
      </c>
      <c r="M59" s="1012">
        <v>4363.6363636363631</v>
      </c>
      <c r="N59" s="1012">
        <v>4636.3636363636369</v>
      </c>
      <c r="O59" s="1012">
        <v>4818.181818181818</v>
      </c>
      <c r="P59" s="1012">
        <v>5000</v>
      </c>
      <c r="Q59" s="1012">
        <v>5181.818181818182</v>
      </c>
      <c r="R59" s="1012">
        <v>5363.6363636363631</v>
      </c>
      <c r="S59" s="1012">
        <v>5454.545454545454</v>
      </c>
    </row>
    <row r="60" spans="1:19">
      <c r="A60" s="989"/>
      <c r="B60" s="989"/>
      <c r="C60" s="996"/>
      <c r="D60" s="996"/>
      <c r="E60" s="989" t="s">
        <v>746</v>
      </c>
      <c r="F60" s="990"/>
      <c r="G60" s="1011" t="s">
        <v>743</v>
      </c>
      <c r="H60" s="267">
        <v>281.81818181818153</v>
      </c>
      <c r="I60" s="267">
        <v>409.09090909090946</v>
      </c>
      <c r="J60" s="267">
        <v>363.63636363636351</v>
      </c>
      <c r="K60" s="267">
        <v>363.63636363636397</v>
      </c>
      <c r="L60" s="267">
        <v>272.72727272727252</v>
      </c>
      <c r="M60" s="267">
        <v>272.72727272727207</v>
      </c>
      <c r="N60" s="267">
        <v>272.72727272727388</v>
      </c>
      <c r="O60" s="267">
        <v>181.81818181818107</v>
      </c>
      <c r="P60" s="267">
        <v>181.81818181818198</v>
      </c>
      <c r="Q60" s="267">
        <v>181.81818181818198</v>
      </c>
      <c r="R60" s="267">
        <v>181.81818181818107</v>
      </c>
      <c r="S60" s="267">
        <v>90.909090909090992</v>
      </c>
    </row>
    <row r="61" spans="1:19">
      <c r="A61" s="989"/>
      <c r="B61" s="989"/>
      <c r="C61" s="996"/>
      <c r="D61" s="996" t="s">
        <v>82</v>
      </c>
      <c r="E61" s="989"/>
      <c r="F61" s="990"/>
      <c r="G61" s="990" t="s">
        <v>736</v>
      </c>
      <c r="H61" s="271">
        <v>590</v>
      </c>
      <c r="I61" s="271">
        <v>680</v>
      </c>
      <c r="J61" s="271">
        <v>760</v>
      </c>
      <c r="K61" s="271">
        <v>840</v>
      </c>
      <c r="L61" s="271">
        <v>900</v>
      </c>
      <c r="M61" s="271">
        <v>960</v>
      </c>
      <c r="N61" s="271">
        <v>1020</v>
      </c>
      <c r="O61" s="271">
        <v>1060</v>
      </c>
      <c r="P61" s="271">
        <v>1100</v>
      </c>
      <c r="Q61" s="271">
        <v>1140</v>
      </c>
      <c r="R61" s="271">
        <v>1180</v>
      </c>
      <c r="S61" s="1013">
        <v>1200</v>
      </c>
    </row>
    <row r="62" spans="1:19">
      <c r="A62" s="989"/>
      <c r="B62" s="989"/>
      <c r="C62" s="996"/>
      <c r="D62" s="996"/>
      <c r="E62" s="989" t="s">
        <v>747</v>
      </c>
      <c r="F62" s="990"/>
      <c r="G62" s="990" t="s">
        <v>736</v>
      </c>
      <c r="H62" s="267">
        <v>550.66666666666663</v>
      </c>
      <c r="I62" s="267">
        <v>623.33333333333337</v>
      </c>
      <c r="J62" s="267">
        <v>684</v>
      </c>
      <c r="K62" s="267">
        <v>742</v>
      </c>
      <c r="L62" s="267">
        <v>780</v>
      </c>
      <c r="M62" s="267">
        <v>816</v>
      </c>
      <c r="N62" s="267">
        <v>850</v>
      </c>
      <c r="O62" s="267">
        <v>865.66666666666674</v>
      </c>
      <c r="P62" s="267">
        <v>880</v>
      </c>
      <c r="Q62" s="267">
        <v>893</v>
      </c>
      <c r="R62" s="267">
        <v>904.66666666666674</v>
      </c>
      <c r="S62" s="267">
        <v>900</v>
      </c>
    </row>
    <row r="63" spans="1:19">
      <c r="A63" s="989"/>
      <c r="B63" s="989"/>
      <c r="C63" s="996"/>
      <c r="D63" s="996"/>
      <c r="E63" s="989" t="s">
        <v>748</v>
      </c>
      <c r="F63" s="990"/>
      <c r="G63" s="990" t="s">
        <v>736</v>
      </c>
      <c r="H63" s="267">
        <v>39.333333333333336</v>
      </c>
      <c r="I63" s="267">
        <v>56.666666666666664</v>
      </c>
      <c r="J63" s="267">
        <v>76</v>
      </c>
      <c r="K63" s="267">
        <v>97.999999999999986</v>
      </c>
      <c r="L63" s="267">
        <v>120</v>
      </c>
      <c r="M63" s="267">
        <v>144</v>
      </c>
      <c r="N63" s="267">
        <v>170</v>
      </c>
      <c r="O63" s="267">
        <v>194.33333333333331</v>
      </c>
      <c r="P63" s="267">
        <v>219.99999999999997</v>
      </c>
      <c r="Q63" s="267">
        <v>246.99999999999997</v>
      </c>
      <c r="R63" s="267">
        <v>275.33333333333331</v>
      </c>
      <c r="S63" s="267">
        <v>300</v>
      </c>
    </row>
    <row r="64" spans="1:19">
      <c r="A64" s="996"/>
      <c r="B64" s="996"/>
      <c r="C64" s="996"/>
      <c r="D64" s="996" t="s">
        <v>217</v>
      </c>
      <c r="E64" s="996"/>
      <c r="F64" s="1007"/>
      <c r="G64" s="990" t="s">
        <v>736</v>
      </c>
      <c r="H64" s="1006">
        <v>2.2737500000000002</v>
      </c>
      <c r="I64" s="1006">
        <v>2.69875</v>
      </c>
      <c r="J64" s="1006">
        <v>3.0599999999999996</v>
      </c>
      <c r="K64" s="1006">
        <v>3.4</v>
      </c>
      <c r="L64" s="1006">
        <v>3.6974999999999998</v>
      </c>
      <c r="M64" s="1006">
        <v>3.9525000000000001</v>
      </c>
      <c r="N64" s="1006">
        <v>4.2075000000000005</v>
      </c>
      <c r="O64" s="1006">
        <v>4.42</v>
      </c>
      <c r="P64" s="1006">
        <v>4.59</v>
      </c>
      <c r="Q64" s="1006">
        <v>4.7599999999999989</v>
      </c>
      <c r="R64" s="1006">
        <v>4.93</v>
      </c>
      <c r="S64" s="1006">
        <v>5.0574999999999992</v>
      </c>
    </row>
    <row r="65" spans="1:19">
      <c r="A65" s="989"/>
      <c r="B65" s="989"/>
      <c r="C65" s="989"/>
      <c r="D65" s="989"/>
      <c r="E65" s="989" t="s">
        <v>737</v>
      </c>
      <c r="F65" s="990"/>
      <c r="G65" s="990" t="s">
        <v>736</v>
      </c>
      <c r="H65" s="1016">
        <v>2.3183333333333334</v>
      </c>
      <c r="I65" s="1016">
        <v>2.7516666666666665</v>
      </c>
      <c r="J65" s="1016">
        <v>3.1199999999999997</v>
      </c>
      <c r="K65" s="1016">
        <v>3.4666666666666668</v>
      </c>
      <c r="L65" s="1016">
        <v>3.7699999999999996</v>
      </c>
      <c r="M65" s="1016">
        <v>4.03</v>
      </c>
      <c r="N65" s="1016">
        <v>4.29</v>
      </c>
      <c r="O65" s="1016">
        <v>4.5066666666666668</v>
      </c>
      <c r="P65" s="1016">
        <v>4.68</v>
      </c>
      <c r="Q65" s="1016">
        <v>4.8533333333333326</v>
      </c>
      <c r="R65" s="1016">
        <v>5.0266666666666664</v>
      </c>
      <c r="S65" s="1016">
        <v>5.1566666666666663</v>
      </c>
    </row>
    <row r="66" spans="1:19">
      <c r="A66" s="989"/>
      <c r="B66" s="989"/>
      <c r="C66" s="989"/>
      <c r="D66" s="989"/>
      <c r="E66" s="989" t="s">
        <v>749</v>
      </c>
      <c r="F66" s="990"/>
      <c r="G66" s="990" t="s">
        <v>736</v>
      </c>
      <c r="H66" s="1016">
        <v>-4.4583333333333336E-2</v>
      </c>
      <c r="I66" s="1016">
        <v>-5.2916666666666667E-2</v>
      </c>
      <c r="J66" s="1016">
        <v>-0.06</v>
      </c>
      <c r="K66" s="1016">
        <v>-6.6666666666666666E-2</v>
      </c>
      <c r="L66" s="1016">
        <v>-7.2499999999999995E-2</v>
      </c>
      <c r="M66" s="1016">
        <v>-7.7499999999999999E-2</v>
      </c>
      <c r="N66" s="1016">
        <v>-8.2500000000000004E-2</v>
      </c>
      <c r="O66" s="1016">
        <v>-8.666666666666667E-2</v>
      </c>
      <c r="P66" s="1016">
        <v>-9.0000000000000011E-2</v>
      </c>
      <c r="Q66" s="1016">
        <v>-9.3333333333333338E-2</v>
      </c>
      <c r="R66" s="1016">
        <v>-9.6666666666666665E-2</v>
      </c>
      <c r="S66" s="1016">
        <v>-9.9166666666666667E-2</v>
      </c>
    </row>
    <row r="67" spans="1:19">
      <c r="A67" s="989"/>
      <c r="B67" s="989"/>
      <c r="C67" s="989"/>
      <c r="D67" s="996" t="s">
        <v>701</v>
      </c>
      <c r="E67" s="989"/>
      <c r="F67" s="990"/>
      <c r="G67" s="990" t="s">
        <v>736</v>
      </c>
      <c r="H67" s="1017">
        <v>-1.7383393939393941</v>
      </c>
      <c r="I67" s="1017">
        <v>-1.7980363636363639</v>
      </c>
      <c r="J67" s="1017">
        <v>-1.8549151515151518</v>
      </c>
      <c r="K67" s="1017">
        <v>-1.6166272727272728</v>
      </c>
      <c r="L67" s="1017">
        <v>-1.6675363636363638</v>
      </c>
      <c r="M67" s="1017">
        <v>-1.7194454545454545</v>
      </c>
      <c r="N67" s="1017">
        <v>-1.4933545454545456</v>
      </c>
      <c r="O67" s="1017">
        <v>-1.5377939393939393</v>
      </c>
      <c r="P67" s="1017">
        <v>-1.5820666666666667</v>
      </c>
      <c r="Q67" s="1017">
        <v>-1.6276727272727274</v>
      </c>
      <c r="R67" s="1017">
        <v>-1.674612121212121</v>
      </c>
      <c r="S67" s="1017">
        <v>-1.7107484848484846</v>
      </c>
    </row>
    <row r="68" spans="1:19">
      <c r="A68" s="989"/>
      <c r="B68" s="989"/>
      <c r="C68" s="989"/>
      <c r="D68" s="989"/>
      <c r="E68" s="989" t="s">
        <v>668</v>
      </c>
      <c r="F68" s="990"/>
      <c r="G68" s="990" t="s">
        <v>736</v>
      </c>
      <c r="H68" s="1016">
        <v>-0.42499999999999999</v>
      </c>
      <c r="I68" s="1016">
        <v>-0.42499999999999999</v>
      </c>
      <c r="J68" s="1016">
        <v>-0.42499999999999999</v>
      </c>
      <c r="K68" s="1016">
        <v>-0.42499999999999999</v>
      </c>
      <c r="L68" s="1016">
        <v>-0.42499999999999999</v>
      </c>
      <c r="M68" s="1016">
        <v>-0.42499999999999999</v>
      </c>
      <c r="N68" s="1016">
        <v>-0.42499999999999999</v>
      </c>
      <c r="O68" s="1016">
        <v>-0.42499999999999999</v>
      </c>
      <c r="P68" s="1016">
        <v>-0.42499999999999999</v>
      </c>
      <c r="Q68" s="1016">
        <v>-0.42499999999999999</v>
      </c>
      <c r="R68" s="1016">
        <v>-0.42499999999999999</v>
      </c>
      <c r="S68" s="1016">
        <v>-0.42499999999999999</v>
      </c>
    </row>
    <row r="69" spans="1:19">
      <c r="A69" s="989"/>
      <c r="B69" s="989"/>
      <c r="C69" s="989"/>
      <c r="D69" s="989"/>
      <c r="E69" s="989" t="s">
        <v>235</v>
      </c>
      <c r="F69" s="990"/>
      <c r="G69" s="990" t="s">
        <v>736</v>
      </c>
      <c r="H69" s="1016">
        <v>-0.13409090909090909</v>
      </c>
      <c r="I69" s="1016">
        <v>-0.15454545454545457</v>
      </c>
      <c r="J69" s="1016">
        <v>-0.17272727272727276</v>
      </c>
      <c r="K69" s="1016">
        <v>-0.19090909090909094</v>
      </c>
      <c r="L69" s="1016">
        <v>-0.20454545454545456</v>
      </c>
      <c r="M69" s="1016">
        <v>-0.21818181818181817</v>
      </c>
      <c r="N69" s="1016">
        <v>-0.23181818181818187</v>
      </c>
      <c r="O69" s="1016">
        <v>-0.24090909090909091</v>
      </c>
      <c r="P69" s="1016">
        <v>-0.25</v>
      </c>
      <c r="Q69" s="1016">
        <v>-0.25909090909090915</v>
      </c>
      <c r="R69" s="1016">
        <v>-0.26818181818181819</v>
      </c>
      <c r="S69" s="1016">
        <v>-0.27272727272727271</v>
      </c>
    </row>
    <row r="70" spans="1:19">
      <c r="A70" s="989"/>
      <c r="B70" s="989"/>
      <c r="C70" s="989"/>
      <c r="D70" s="989"/>
      <c r="E70" s="989" t="s">
        <v>315</v>
      </c>
      <c r="F70" s="990"/>
      <c r="G70" s="990" t="s">
        <v>736</v>
      </c>
      <c r="H70" s="1016">
        <v>-0.46750000000000003</v>
      </c>
      <c r="I70" s="1016">
        <v>-0.46750000000000003</v>
      </c>
      <c r="J70" s="1016">
        <v>-0.46750000000000003</v>
      </c>
      <c r="K70" s="1016">
        <v>-0.17</v>
      </c>
      <c r="L70" s="1016">
        <v>-0.17</v>
      </c>
      <c r="M70" s="1016">
        <v>-0.17</v>
      </c>
      <c r="N70" s="1016">
        <v>-0.17</v>
      </c>
      <c r="O70" s="1016">
        <v>-0.17</v>
      </c>
      <c r="P70" s="1016">
        <v>-0.17</v>
      </c>
      <c r="Q70" s="1016">
        <v>-0.17</v>
      </c>
      <c r="R70" s="1016">
        <v>-0.17</v>
      </c>
      <c r="S70" s="1016">
        <v>-0.17</v>
      </c>
    </row>
    <row r="71" spans="1:19">
      <c r="A71" s="989"/>
      <c r="B71" s="989"/>
      <c r="C71" s="989"/>
      <c r="D71" s="1018"/>
      <c r="E71" s="989" t="s">
        <v>152</v>
      </c>
      <c r="F71" s="989"/>
      <c r="G71" s="990" t="s">
        <v>736</v>
      </c>
      <c r="H71" s="1019">
        <v>-0.39900000000000002</v>
      </c>
      <c r="I71" s="1019">
        <v>-0.39900000000000002</v>
      </c>
      <c r="J71" s="1019">
        <v>-0.39900000000000002</v>
      </c>
      <c r="K71" s="1019">
        <v>-0.39900000000000002</v>
      </c>
      <c r="L71" s="1019">
        <v>-0.39900000000000002</v>
      </c>
      <c r="M71" s="1019">
        <v>-0.39900000000000002</v>
      </c>
      <c r="N71" s="1019">
        <v>-0.11899999999999999</v>
      </c>
      <c r="O71" s="1019">
        <v>-0.11899999999999999</v>
      </c>
      <c r="P71" s="1019">
        <v>-0.11899999999999999</v>
      </c>
      <c r="Q71" s="1019">
        <v>-0.11899999999999999</v>
      </c>
      <c r="R71" s="1019">
        <v>-0.11899999999999999</v>
      </c>
      <c r="S71" s="1019">
        <v>-0.11899999999999999</v>
      </c>
    </row>
    <row r="72" spans="1:19">
      <c r="A72" s="989"/>
      <c r="B72" s="989"/>
      <c r="C72" s="989"/>
      <c r="D72" s="989"/>
      <c r="E72" s="989" t="s">
        <v>163</v>
      </c>
      <c r="F72" s="990"/>
      <c r="G72" s="990" t="s">
        <v>736</v>
      </c>
      <c r="H72" s="1016">
        <v>-0.28108181818181815</v>
      </c>
      <c r="I72" s="1016">
        <v>-0.30399090909090909</v>
      </c>
      <c r="J72" s="1016">
        <v>-0.32435454545454545</v>
      </c>
      <c r="K72" s="1016">
        <v>-0.34471818181818181</v>
      </c>
      <c r="L72" s="1016">
        <v>-0.35999090909090914</v>
      </c>
      <c r="M72" s="1016">
        <v>-0.37526363636363641</v>
      </c>
      <c r="N72" s="1016">
        <v>-0.39053636363636368</v>
      </c>
      <c r="O72" s="1016">
        <v>-0.40071818181818181</v>
      </c>
      <c r="P72" s="1016">
        <v>-0.41089999999999999</v>
      </c>
      <c r="Q72" s="1016">
        <v>-0.42108181818181822</v>
      </c>
      <c r="R72" s="1016">
        <v>-0.4312636363636364</v>
      </c>
      <c r="S72" s="1016">
        <v>-0.43635454545454544</v>
      </c>
    </row>
    <row r="73" spans="1:19">
      <c r="A73" s="989"/>
      <c r="B73" s="989"/>
      <c r="C73" s="989"/>
      <c r="D73" s="989"/>
      <c r="E73" s="989" t="s">
        <v>738</v>
      </c>
      <c r="F73" s="990"/>
      <c r="G73" s="990" t="s">
        <v>736</v>
      </c>
      <c r="H73" s="1016">
        <v>-3.1666666666666669E-2</v>
      </c>
      <c r="I73" s="1016">
        <v>-4.8000000000000008E-2</v>
      </c>
      <c r="J73" s="1016">
        <v>-6.6333333333333327E-2</v>
      </c>
      <c r="K73" s="1016">
        <v>-8.7000000000000008E-2</v>
      </c>
      <c r="L73" s="1016">
        <v>-0.109</v>
      </c>
      <c r="M73" s="1016">
        <v>-0.13200000000000001</v>
      </c>
      <c r="N73" s="1016">
        <v>-0.157</v>
      </c>
      <c r="O73" s="1016">
        <v>-0.18216666666666667</v>
      </c>
      <c r="P73" s="1016">
        <v>-0.20716666666666664</v>
      </c>
      <c r="Q73" s="1016">
        <v>-0.23349999999999996</v>
      </c>
      <c r="R73" s="1016">
        <v>-0.2611666666666666</v>
      </c>
      <c r="S73" s="1016">
        <v>-0.28766666666666663</v>
      </c>
    </row>
    <row r="74" spans="1:19">
      <c r="A74" s="989"/>
      <c r="B74" s="989"/>
      <c r="C74" s="989"/>
      <c r="D74" s="996" t="s">
        <v>469</v>
      </c>
      <c r="E74" s="989"/>
      <c r="F74" s="990"/>
      <c r="G74" s="990" t="s">
        <v>736</v>
      </c>
      <c r="H74" s="1017">
        <v>0.53541060606060609</v>
      </c>
      <c r="I74" s="1017">
        <v>0.90071363636363611</v>
      </c>
      <c r="J74" s="1017">
        <v>1.2050848484848478</v>
      </c>
      <c r="K74" s="1017">
        <v>1.7833727272727271</v>
      </c>
      <c r="L74" s="1017">
        <v>2.029963636363636</v>
      </c>
      <c r="M74" s="1017">
        <v>2.2330545454545456</v>
      </c>
      <c r="N74" s="1017">
        <v>2.7141454545454549</v>
      </c>
      <c r="O74" s="1017">
        <v>2.8822060606060607</v>
      </c>
      <c r="P74" s="1017">
        <v>3.0079333333333329</v>
      </c>
      <c r="Q74" s="1017">
        <v>3.1323272727272715</v>
      </c>
      <c r="R74" s="1017">
        <v>3.2553878787878787</v>
      </c>
      <c r="S74" s="1017">
        <v>3.3467515151515146</v>
      </c>
    </row>
    <row r="75" spans="1:19">
      <c r="A75" s="996"/>
      <c r="B75" s="996"/>
      <c r="C75" s="996"/>
      <c r="D75" s="996" t="s">
        <v>750</v>
      </c>
      <c r="E75" s="996"/>
      <c r="F75" s="1007"/>
      <c r="G75" s="1007"/>
      <c r="H75" s="235">
        <v>4.624576271186441E-2</v>
      </c>
      <c r="I75" s="235">
        <v>4.7625000000000001E-2</v>
      </c>
      <c r="J75" s="235">
        <v>4.8315789473684201E-2</v>
      </c>
      <c r="K75" s="235">
        <v>4.8571428571428571E-2</v>
      </c>
      <c r="L75" s="235">
        <v>4.9299999999999997E-2</v>
      </c>
      <c r="M75" s="235">
        <v>4.9406249999999999E-2</v>
      </c>
      <c r="N75" s="235">
        <v>4.9500000000000002E-2</v>
      </c>
      <c r="O75" s="235">
        <v>5.0037735849056603E-2</v>
      </c>
      <c r="P75" s="235">
        <v>5.0072727272727269E-2</v>
      </c>
      <c r="Q75" s="235">
        <v>5.0105263157894722E-2</v>
      </c>
      <c r="R75" s="235">
        <v>5.0135593220338975E-2</v>
      </c>
      <c r="S75" s="235">
        <v>5.0574999999999988E-2</v>
      </c>
    </row>
    <row r="76" spans="1:19">
      <c r="A76" s="996"/>
      <c r="B76" s="996"/>
      <c r="C76" s="996"/>
      <c r="D76" s="996"/>
      <c r="E76" s="996"/>
      <c r="F76" s="1007"/>
      <c r="G76" s="1007"/>
      <c r="H76" s="235"/>
      <c r="I76" s="235"/>
      <c r="J76" s="235"/>
      <c r="K76" s="235"/>
      <c r="L76" s="235"/>
      <c r="M76" s="235"/>
      <c r="N76" s="235"/>
      <c r="O76" s="235"/>
      <c r="P76" s="235"/>
      <c r="Q76" s="235"/>
      <c r="R76" s="235"/>
      <c r="S76" s="235"/>
    </row>
    <row r="77" spans="1:19">
      <c r="A77" s="996"/>
      <c r="B77" s="996"/>
      <c r="C77" s="996"/>
      <c r="D77" s="996"/>
      <c r="E77" s="996"/>
      <c r="F77" s="1007"/>
      <c r="G77" s="1007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77"/>
    </row>
    <row r="78" spans="1:19">
      <c r="A78" s="996"/>
      <c r="B78" s="996"/>
      <c r="C78" s="1008" t="s">
        <v>751</v>
      </c>
      <c r="D78" s="1008"/>
      <c r="E78" s="1008"/>
      <c r="F78" s="1020"/>
      <c r="G78" s="1007"/>
      <c r="H78" s="235"/>
      <c r="I78" s="235"/>
      <c r="J78" s="235"/>
      <c r="K78" s="235"/>
      <c r="L78" s="235"/>
      <c r="M78" s="235"/>
      <c r="N78" s="235"/>
      <c r="O78" s="235"/>
      <c r="P78" s="235"/>
      <c r="Q78" s="235"/>
      <c r="R78" s="235"/>
      <c r="S78" s="235"/>
    </row>
    <row r="79" spans="1:19">
      <c r="A79" s="989"/>
      <c r="B79" s="989"/>
      <c r="C79" s="989"/>
      <c r="D79" s="996" t="s">
        <v>752</v>
      </c>
      <c r="E79" s="989"/>
      <c r="F79" s="990"/>
      <c r="G79" s="1011" t="s">
        <v>743</v>
      </c>
      <c r="H79" s="1021">
        <v>41.414999999999999</v>
      </c>
      <c r="I79" s="1021">
        <v>44.06</v>
      </c>
      <c r="J79" s="1021">
        <v>47.805</v>
      </c>
      <c r="K79" s="1021">
        <v>53.05</v>
      </c>
      <c r="L79" s="1021">
        <v>58.295000000000002</v>
      </c>
      <c r="M79" s="1021">
        <v>63.54</v>
      </c>
      <c r="N79" s="1021">
        <v>68.784999999999997</v>
      </c>
      <c r="O79" s="1021">
        <v>74.03</v>
      </c>
      <c r="P79" s="1021">
        <v>79.275000000000006</v>
      </c>
      <c r="Q79" s="1021">
        <v>84.52</v>
      </c>
      <c r="R79" s="1021">
        <v>89.765000000000001</v>
      </c>
      <c r="S79" s="1021">
        <v>95</v>
      </c>
    </row>
    <row r="80" spans="1:19">
      <c r="A80" s="989"/>
      <c r="B80" s="989"/>
      <c r="C80" s="989"/>
      <c r="D80" s="989" t="s">
        <v>746</v>
      </c>
      <c r="E80" s="989"/>
      <c r="F80" s="990"/>
      <c r="G80" s="1011" t="s">
        <v>743</v>
      </c>
      <c r="H80" s="1022">
        <v>1.3149999999999977</v>
      </c>
      <c r="I80" s="1022">
        <v>2.6450000000000031</v>
      </c>
      <c r="J80" s="1022">
        <v>3.7449999999999974</v>
      </c>
      <c r="K80" s="1022">
        <v>5.2449999999999974</v>
      </c>
      <c r="L80" s="1022">
        <v>5.2450000000000045</v>
      </c>
      <c r="M80" s="1022">
        <v>5.2449999999999974</v>
      </c>
      <c r="N80" s="1022">
        <v>5.2449999999999974</v>
      </c>
      <c r="O80" s="1022">
        <v>5.2450000000000045</v>
      </c>
      <c r="P80" s="1022">
        <v>5.2450000000000045</v>
      </c>
      <c r="Q80" s="1022">
        <v>5.2449999999999903</v>
      </c>
      <c r="R80" s="1022">
        <v>5.2450000000000045</v>
      </c>
      <c r="S80" s="1022">
        <v>5.2349999999999994</v>
      </c>
    </row>
    <row r="81" spans="1:19">
      <c r="A81" s="989"/>
      <c r="B81" s="989"/>
      <c r="C81" s="989"/>
      <c r="D81" s="996" t="s">
        <v>753</v>
      </c>
      <c r="E81" s="989"/>
      <c r="F81" s="990"/>
      <c r="G81" s="1011"/>
      <c r="H81" s="1022">
        <v>223.86486486486487</v>
      </c>
      <c r="I81" s="1022">
        <v>238.16216216216216</v>
      </c>
      <c r="J81" s="1022">
        <v>258.40540540540542</v>
      </c>
      <c r="K81" s="1022">
        <v>286.75675675675677</v>
      </c>
      <c r="L81" s="1022">
        <v>315.10810810810813</v>
      </c>
      <c r="M81" s="1022">
        <v>343.45945945945948</v>
      </c>
      <c r="N81" s="1022">
        <v>371.81081081081084</v>
      </c>
      <c r="O81" s="1022">
        <v>400.16216216216219</v>
      </c>
      <c r="P81" s="1022">
        <v>428.51351351351349</v>
      </c>
      <c r="Q81" s="1022">
        <v>456.86486486486484</v>
      </c>
      <c r="R81" s="1022">
        <v>485.2162162162162</v>
      </c>
      <c r="S81" s="1022">
        <v>513.51351351351354</v>
      </c>
    </row>
    <row r="82" spans="1:19">
      <c r="A82" s="989"/>
      <c r="B82" s="989"/>
      <c r="C82" s="996"/>
      <c r="D82" s="996" t="s">
        <v>82</v>
      </c>
      <c r="E82" s="989"/>
      <c r="F82" s="990"/>
      <c r="G82" s="990" t="s">
        <v>736</v>
      </c>
      <c r="H82" s="1014">
        <v>8283</v>
      </c>
      <c r="I82" s="1014">
        <v>8812</v>
      </c>
      <c r="J82" s="1014">
        <v>9561</v>
      </c>
      <c r="K82" s="1014">
        <v>10610</v>
      </c>
      <c r="L82" s="1014">
        <v>11659</v>
      </c>
      <c r="M82" s="1014">
        <v>12708</v>
      </c>
      <c r="N82" s="1014">
        <v>13757</v>
      </c>
      <c r="O82" s="1014">
        <v>14806</v>
      </c>
      <c r="P82" s="1014">
        <v>15855</v>
      </c>
      <c r="Q82" s="1014">
        <v>16904</v>
      </c>
      <c r="R82" s="1014">
        <v>17953</v>
      </c>
      <c r="S82" s="1015">
        <v>19000</v>
      </c>
    </row>
    <row r="83" spans="1:19">
      <c r="A83" s="989"/>
      <c r="B83" s="989"/>
      <c r="C83" s="996"/>
      <c r="D83" s="996"/>
      <c r="E83" s="1004" t="s">
        <v>324</v>
      </c>
      <c r="F83" s="990"/>
      <c r="G83" s="990" t="s">
        <v>736</v>
      </c>
      <c r="H83" s="267">
        <v>6053</v>
      </c>
      <c r="I83" s="267">
        <v>6332</v>
      </c>
      <c r="J83" s="267">
        <v>6611</v>
      </c>
      <c r="K83" s="267">
        <v>6890</v>
      </c>
      <c r="L83" s="267">
        <v>7169</v>
      </c>
      <c r="M83" s="267">
        <v>7448</v>
      </c>
      <c r="N83" s="267">
        <v>7727</v>
      </c>
      <c r="O83" s="267">
        <v>8006</v>
      </c>
      <c r="P83" s="267">
        <v>8285</v>
      </c>
      <c r="Q83" s="267">
        <v>8564</v>
      </c>
      <c r="R83" s="267">
        <v>8843</v>
      </c>
      <c r="S83" s="267">
        <v>8835</v>
      </c>
    </row>
    <row r="84" spans="1:19">
      <c r="A84" s="989"/>
      <c r="B84" s="989"/>
      <c r="C84" s="996"/>
      <c r="D84" s="996"/>
      <c r="E84" s="1004" t="s">
        <v>754</v>
      </c>
      <c r="F84" s="990"/>
      <c r="G84" s="990" t="s">
        <v>736</v>
      </c>
      <c r="H84" s="267">
        <v>2230</v>
      </c>
      <c r="I84" s="267">
        <v>2480</v>
      </c>
      <c r="J84" s="267">
        <v>2950</v>
      </c>
      <c r="K84" s="267">
        <v>3720</v>
      </c>
      <c r="L84" s="267">
        <v>4490</v>
      </c>
      <c r="M84" s="267">
        <v>5260</v>
      </c>
      <c r="N84" s="267">
        <v>6030</v>
      </c>
      <c r="O84" s="267">
        <v>6800</v>
      </c>
      <c r="P84" s="267">
        <v>7570</v>
      </c>
      <c r="Q84" s="267">
        <v>8340</v>
      </c>
      <c r="R84" s="267">
        <v>9110</v>
      </c>
      <c r="S84" s="267">
        <v>10165</v>
      </c>
    </row>
    <row r="85" spans="1:19">
      <c r="A85" s="989"/>
      <c r="B85" s="989"/>
      <c r="C85" s="996"/>
      <c r="D85" s="996"/>
      <c r="E85" s="1004"/>
      <c r="F85" s="990"/>
      <c r="G85" s="990"/>
      <c r="H85" s="267"/>
      <c r="I85" s="267"/>
      <c r="J85" s="267"/>
      <c r="K85" s="267"/>
      <c r="L85" s="267"/>
      <c r="M85" s="267"/>
      <c r="N85" s="267"/>
      <c r="O85" s="267"/>
      <c r="P85" s="267"/>
      <c r="Q85" s="267"/>
      <c r="R85" s="267"/>
      <c r="S85" s="267"/>
    </row>
    <row r="86" spans="1:19">
      <c r="A86" s="996"/>
      <c r="B86" s="996"/>
      <c r="C86" s="996"/>
      <c r="D86" s="996" t="s">
        <v>217</v>
      </c>
      <c r="E86" s="996"/>
      <c r="F86" s="1007"/>
      <c r="G86" s="990" t="s">
        <v>736</v>
      </c>
      <c r="H86" s="1006">
        <v>5.17878333333333</v>
      </c>
      <c r="I86" s="1006">
        <v>5.4343833333333356</v>
      </c>
      <c r="J86" s="1006">
        <v>5.8924833333333337</v>
      </c>
      <c r="K86" s="1006">
        <v>6.5672500000000014</v>
      </c>
      <c r="L86" s="1006">
        <v>7.367016666666669</v>
      </c>
      <c r="M86" s="1006">
        <v>8.1667833333333295</v>
      </c>
      <c r="N86" s="1006">
        <v>8.9665499999999962</v>
      </c>
      <c r="O86" s="1006">
        <v>9.7663166666666648</v>
      </c>
      <c r="P86" s="1006">
        <v>10.566083333333331</v>
      </c>
      <c r="Q86" s="1006">
        <v>11.365850000000005</v>
      </c>
      <c r="R86" s="1006">
        <v>12.165616666666674</v>
      </c>
      <c r="S86" s="1006">
        <v>13.041083333333328</v>
      </c>
    </row>
    <row r="87" spans="1:19">
      <c r="A87" s="989"/>
      <c r="B87" s="989"/>
      <c r="C87" s="989"/>
      <c r="D87" s="989"/>
      <c r="E87" s="989" t="s">
        <v>737</v>
      </c>
      <c r="F87" s="990"/>
      <c r="G87" s="990" t="s">
        <v>736</v>
      </c>
      <c r="H87" s="1016">
        <v>40.792143875000001</v>
      </c>
      <c r="I87" s="1016">
        <v>42.773826875000005</v>
      </c>
      <c r="J87" s="1016">
        <v>45.971542625000005</v>
      </c>
      <c r="K87" s="1016">
        <v>50.470363375000005</v>
      </c>
      <c r="L87" s="1016">
        <v>55.719821625000009</v>
      </c>
      <c r="M87" s="1016">
        <v>60.969279875000005</v>
      </c>
      <c r="N87" s="1016">
        <v>66.218738125000002</v>
      </c>
      <c r="O87" s="1016">
        <v>71.468196375000005</v>
      </c>
      <c r="P87" s="1016">
        <v>76.717654625000009</v>
      </c>
      <c r="Q87" s="1016">
        <v>81.967112875000012</v>
      </c>
      <c r="R87" s="1016">
        <v>87.216571125000016</v>
      </c>
      <c r="S87" s="1016">
        <v>92.461025125000006</v>
      </c>
    </row>
    <row r="88" spans="1:19">
      <c r="A88" s="989"/>
      <c r="B88" s="989"/>
      <c r="C88" s="989"/>
      <c r="D88" s="989"/>
      <c r="E88" s="989" t="s">
        <v>749</v>
      </c>
      <c r="F88" s="990"/>
      <c r="G88" s="990" t="s">
        <v>736</v>
      </c>
      <c r="H88" s="1016">
        <v>-33.999227208333338</v>
      </c>
      <c r="I88" s="1016">
        <v>-35.650910208333336</v>
      </c>
      <c r="J88" s="1016">
        <v>-38.316125958333338</v>
      </c>
      <c r="K88" s="1016">
        <v>-42.06578004166667</v>
      </c>
      <c r="L88" s="1016">
        <v>-46.441071625000006</v>
      </c>
      <c r="M88" s="1016">
        <v>-50.816363208333343</v>
      </c>
      <c r="N88" s="1016">
        <v>-55.191654791666672</v>
      </c>
      <c r="O88" s="1016">
        <v>-59.566946375000008</v>
      </c>
      <c r="P88" s="1016">
        <v>-63.942237958333344</v>
      </c>
      <c r="Q88" s="1016">
        <v>-68.317529541666673</v>
      </c>
      <c r="R88" s="1016">
        <v>-72.692821125000009</v>
      </c>
      <c r="S88" s="1016">
        <v>-77.063941791666679</v>
      </c>
    </row>
    <row r="89" spans="1:19">
      <c r="A89" s="989"/>
      <c r="B89" s="989"/>
      <c r="C89" s="989"/>
      <c r="D89" s="989"/>
      <c r="E89" s="989" t="s">
        <v>755</v>
      </c>
      <c r="F89" s="990"/>
      <c r="G89" s="990" t="s">
        <v>736</v>
      </c>
      <c r="H89" s="1016">
        <v>-1.6141333333333334</v>
      </c>
      <c r="I89" s="1016">
        <v>-1.6885333333333332</v>
      </c>
      <c r="J89" s="1016">
        <v>-1.7629333333333335</v>
      </c>
      <c r="K89" s="1016">
        <v>-1.8373333333333335</v>
      </c>
      <c r="L89" s="1016">
        <v>-1.9117333333333333</v>
      </c>
      <c r="M89" s="1016">
        <v>-1.9861333333333333</v>
      </c>
      <c r="N89" s="1016">
        <v>-2.0605333333333333</v>
      </c>
      <c r="O89" s="1016">
        <v>-2.1349333333333336</v>
      </c>
      <c r="P89" s="1016">
        <v>-2.2093333333333334</v>
      </c>
      <c r="Q89" s="1016">
        <v>-2.2837333333333336</v>
      </c>
      <c r="R89" s="1016">
        <v>-2.3581333333333334</v>
      </c>
      <c r="S89" s="1016">
        <v>-2.3560000000000003</v>
      </c>
    </row>
    <row r="90" spans="1:19">
      <c r="A90" s="996"/>
      <c r="B90" s="996"/>
      <c r="C90" s="996"/>
      <c r="D90" s="996" t="s">
        <v>701</v>
      </c>
      <c r="E90" s="989"/>
      <c r="F90" s="990"/>
      <c r="G90" s="990" t="s">
        <v>736</v>
      </c>
      <c r="H90" s="1006">
        <v>-1.7001928315315313</v>
      </c>
      <c r="I90" s="1006">
        <v>-1.9953148621621626</v>
      </c>
      <c r="J90" s="1006">
        <v>-2.3002647554054052</v>
      </c>
      <c r="K90" s="1006">
        <v>-2.7637360900900898</v>
      </c>
      <c r="L90" s="1006">
        <v>-3.0928324247747758</v>
      </c>
      <c r="M90" s="1006">
        <v>-3.4219287594594592</v>
      </c>
      <c r="N90" s="1006">
        <v>-3.4710250941441441</v>
      </c>
      <c r="O90" s="1006">
        <v>-3.8001214288288301</v>
      </c>
      <c r="P90" s="1006">
        <v>-4.1292177635135143</v>
      </c>
      <c r="Q90" s="1006">
        <v>-4.4583140981981977</v>
      </c>
      <c r="R90" s="1006">
        <v>-4.7874104328828828</v>
      </c>
      <c r="S90" s="1006">
        <v>-5.1748935135135135</v>
      </c>
    </row>
    <row r="91" spans="1:19">
      <c r="A91" s="996"/>
      <c r="B91" s="996"/>
      <c r="C91" s="996"/>
      <c r="D91" s="989"/>
      <c r="E91" s="989" t="s">
        <v>668</v>
      </c>
      <c r="F91" s="990"/>
      <c r="G91" s="990" t="s">
        <v>736</v>
      </c>
      <c r="H91" s="1023">
        <v>-0.14701699999999976</v>
      </c>
      <c r="I91" s="1023">
        <v>-0.35839750000000048</v>
      </c>
      <c r="J91" s="1023">
        <v>-0.4915312499999997</v>
      </c>
      <c r="K91" s="1023">
        <v>-0.66611499999999968</v>
      </c>
      <c r="L91" s="1023">
        <v>-0.64382375000000047</v>
      </c>
      <c r="M91" s="1023">
        <v>-0.62153249999999971</v>
      </c>
      <c r="N91" s="1023">
        <v>-0.59924124999999973</v>
      </c>
      <c r="O91" s="1023">
        <v>-0.57695000000000052</v>
      </c>
      <c r="P91" s="1023">
        <v>-0.55465875000000053</v>
      </c>
      <c r="Q91" s="1023">
        <v>-0.53236749999999911</v>
      </c>
      <c r="R91" s="1023">
        <v>-0.51007625000000045</v>
      </c>
      <c r="S91" s="1023">
        <v>-0.48685499999999993</v>
      </c>
    </row>
    <row r="92" spans="1:19">
      <c r="A92" s="996"/>
      <c r="B92" s="996"/>
      <c r="C92" s="996"/>
      <c r="D92" s="989"/>
      <c r="E92" s="989" t="s">
        <v>235</v>
      </c>
      <c r="F92" s="990"/>
      <c r="G92" s="990" t="s">
        <v>736</v>
      </c>
      <c r="H92" s="1023">
        <v>-0.22386486486486487</v>
      </c>
      <c r="I92" s="1023">
        <v>-0.23816216216216216</v>
      </c>
      <c r="J92" s="1023">
        <v>-0.25840540540540541</v>
      </c>
      <c r="K92" s="1023">
        <v>-0.28675675675675677</v>
      </c>
      <c r="L92" s="1023">
        <v>-0.31510810810810813</v>
      </c>
      <c r="M92" s="1023">
        <v>-0.34345945945945949</v>
      </c>
      <c r="N92" s="1023">
        <v>-0.37181081081081085</v>
      </c>
      <c r="O92" s="1023">
        <v>-0.40016216216216222</v>
      </c>
      <c r="P92" s="1023">
        <v>-0.42851351351351347</v>
      </c>
      <c r="Q92" s="1023">
        <v>-0.45686486486486483</v>
      </c>
      <c r="R92" s="1023">
        <v>-0.48521621621621619</v>
      </c>
      <c r="S92" s="1023">
        <v>-0.5135135135135136</v>
      </c>
    </row>
    <row r="93" spans="1:19">
      <c r="A93" s="996"/>
      <c r="B93" s="996"/>
      <c r="C93" s="996"/>
      <c r="D93" s="989"/>
      <c r="E93" s="989" t="s">
        <v>315</v>
      </c>
      <c r="F93" s="990"/>
      <c r="G93" s="990" t="s">
        <v>736</v>
      </c>
      <c r="H93" s="1006"/>
      <c r="I93" s="1006"/>
      <c r="J93" s="1006"/>
      <c r="K93" s="1006"/>
      <c r="L93" s="1006"/>
      <c r="M93" s="1006"/>
      <c r="N93" s="1006"/>
      <c r="O93" s="1006"/>
      <c r="P93" s="1006"/>
      <c r="Q93" s="1006"/>
      <c r="R93" s="1006"/>
      <c r="S93" s="1006"/>
    </row>
    <row r="94" spans="1:19">
      <c r="A94" s="996"/>
      <c r="B94" s="996"/>
      <c r="C94" s="996"/>
      <c r="D94" s="989"/>
      <c r="E94" s="989" t="s">
        <v>163</v>
      </c>
      <c r="F94" s="990"/>
      <c r="G94" s="990" t="s">
        <v>736</v>
      </c>
      <c r="H94" s="1016">
        <v>-1.7394299999999998E-2</v>
      </c>
      <c r="I94" s="1016">
        <v>-1.8505199999999999E-2</v>
      </c>
      <c r="J94" s="1016">
        <v>-2.0078099999999998E-2</v>
      </c>
      <c r="K94" s="1016">
        <v>-2.2280999999999999E-2</v>
      </c>
      <c r="L94" s="1016">
        <v>-2.4483899999999999E-2</v>
      </c>
      <c r="M94" s="1016">
        <v>-2.6686799999999997E-2</v>
      </c>
      <c r="N94" s="1016">
        <v>-2.8889699999999997E-2</v>
      </c>
      <c r="O94" s="1016">
        <v>-3.1092599999999998E-2</v>
      </c>
      <c r="P94" s="1016">
        <v>-3.3295499999999999E-2</v>
      </c>
      <c r="Q94" s="1016">
        <v>-3.5498399999999992E-2</v>
      </c>
      <c r="R94" s="1016">
        <v>-3.77013E-2</v>
      </c>
      <c r="S94" s="1016">
        <v>-3.9899999999999998E-2</v>
      </c>
    </row>
    <row r="95" spans="1:19">
      <c r="A95" s="996"/>
      <c r="B95" s="996"/>
      <c r="C95" s="996"/>
      <c r="D95" s="989"/>
      <c r="E95" s="989" t="s">
        <v>152</v>
      </c>
      <c r="F95" s="989"/>
      <c r="G95" s="990" t="s">
        <v>736</v>
      </c>
      <c r="H95" s="1019">
        <v>-0.39900000000000002</v>
      </c>
      <c r="I95" s="1019">
        <v>-0.39900000000000002</v>
      </c>
      <c r="J95" s="1019">
        <v>-0.39900000000000002</v>
      </c>
      <c r="K95" s="1019">
        <v>-0.39900000000000002</v>
      </c>
      <c r="L95" s="1019">
        <v>-0.39900000000000002</v>
      </c>
      <c r="M95" s="1019">
        <v>-0.39900000000000002</v>
      </c>
      <c r="N95" s="1019">
        <v>-0.11899999999999999</v>
      </c>
      <c r="O95" s="1019">
        <v>-0.11899999999999999</v>
      </c>
      <c r="P95" s="1019">
        <v>-0.11899999999999999</v>
      </c>
      <c r="Q95" s="1019">
        <v>-0.11899999999999999</v>
      </c>
      <c r="R95" s="1019">
        <v>-0.11899999999999999</v>
      </c>
      <c r="S95" s="1019">
        <v>-0.11899999999999999</v>
      </c>
    </row>
    <row r="96" spans="1:19">
      <c r="A96" s="996"/>
      <c r="B96" s="996"/>
      <c r="C96" s="996"/>
      <c r="D96" s="996"/>
      <c r="E96" s="989" t="s">
        <v>738</v>
      </c>
      <c r="F96" s="1007"/>
      <c r="G96" s="990" t="s">
        <v>736</v>
      </c>
      <c r="H96" s="1016">
        <v>-0.91291666666666671</v>
      </c>
      <c r="I96" s="1016">
        <v>-0.98125000000000007</v>
      </c>
      <c r="J96" s="1016">
        <v>-1.1312500000000001</v>
      </c>
      <c r="K96" s="1016">
        <v>-1.3895833333333334</v>
      </c>
      <c r="L96" s="1016">
        <v>-1.7104166666666669</v>
      </c>
      <c r="M96" s="1016">
        <v>-2.03125</v>
      </c>
      <c r="N96" s="1016">
        <v>-2.3520833333333333</v>
      </c>
      <c r="O96" s="1016">
        <v>-2.6729166666666671</v>
      </c>
      <c r="P96" s="1016">
        <v>-2.9937500000000004</v>
      </c>
      <c r="Q96" s="1016">
        <v>-3.3145833333333332</v>
      </c>
      <c r="R96" s="1016">
        <v>-3.6354166666666665</v>
      </c>
      <c r="S96" s="1016">
        <v>-4.015625</v>
      </c>
    </row>
    <row r="97" spans="1:19">
      <c r="A97" s="996"/>
      <c r="B97" s="996"/>
      <c r="C97" s="996" t="s">
        <v>469</v>
      </c>
      <c r="D97" s="996"/>
      <c r="E97" s="989"/>
      <c r="F97" s="1007"/>
      <c r="G97" s="990" t="s">
        <v>736</v>
      </c>
      <c r="H97" s="1017">
        <v>3.4785905018017989</v>
      </c>
      <c r="I97" s="1017">
        <v>3.439068471171173</v>
      </c>
      <c r="J97" s="1017">
        <v>3.5922185779279285</v>
      </c>
      <c r="K97" s="1017">
        <v>3.8035139099099116</v>
      </c>
      <c r="L97" s="1017">
        <v>4.2741842418918932</v>
      </c>
      <c r="M97" s="1017">
        <v>4.7448545738738703</v>
      </c>
      <c r="N97" s="1017">
        <v>5.4955249058558522</v>
      </c>
      <c r="O97" s="1017">
        <v>5.9661952378378347</v>
      </c>
      <c r="P97" s="1017">
        <v>6.4368655698198172</v>
      </c>
      <c r="Q97" s="1017">
        <v>6.9075359018018077</v>
      </c>
      <c r="R97" s="1017">
        <v>7.378206233783791</v>
      </c>
      <c r="S97" s="1017">
        <v>7.8661898198198141</v>
      </c>
    </row>
    <row r="98" spans="1:19">
      <c r="A98" s="996"/>
      <c r="B98" s="996"/>
      <c r="C98" s="996"/>
      <c r="D98" s="996" t="s">
        <v>320</v>
      </c>
      <c r="E98" s="996"/>
      <c r="F98" s="1007"/>
      <c r="G98" s="990" t="s">
        <v>736</v>
      </c>
      <c r="H98" s="235">
        <v>7.5027646987806292E-3</v>
      </c>
      <c r="I98" s="235">
        <v>7.4004312301407206E-3</v>
      </c>
      <c r="J98" s="235">
        <v>7.3956489906913513E-3</v>
      </c>
      <c r="K98" s="235">
        <v>7.4276154571159304E-3</v>
      </c>
      <c r="L98" s="235">
        <v>7.5824856334162473E-3</v>
      </c>
      <c r="M98" s="235">
        <v>7.7117878501731163E-3</v>
      </c>
      <c r="N98" s="235">
        <v>7.8213709384313407E-3</v>
      </c>
      <c r="O98" s="235">
        <v>7.9154261785762507E-3</v>
      </c>
      <c r="P98" s="235">
        <v>7.9970356354462299E-3</v>
      </c>
      <c r="Q98" s="235">
        <v>8.0685163274964548E-3</v>
      </c>
      <c r="R98" s="235">
        <v>8.1316437364228871E-3</v>
      </c>
      <c r="S98" s="235">
        <v>8.2364736842105227E-3</v>
      </c>
    </row>
    <row r="99" spans="1:19">
      <c r="A99" s="996"/>
      <c r="B99" s="996"/>
      <c r="C99" s="996"/>
      <c r="D99" s="996"/>
      <c r="E99" s="989"/>
      <c r="F99" s="1007"/>
      <c r="G99" s="990"/>
      <c r="H99" s="1006"/>
      <c r="I99" s="1006"/>
      <c r="J99" s="1006"/>
      <c r="K99" s="1006"/>
      <c r="L99" s="1006"/>
      <c r="M99" s="1006"/>
      <c r="N99" s="1006"/>
      <c r="O99" s="1006"/>
      <c r="P99" s="1006"/>
      <c r="Q99" s="1006"/>
      <c r="R99" s="1006"/>
      <c r="S99" s="1006"/>
    </row>
    <row r="100" spans="1:19">
      <c r="A100" s="989"/>
      <c r="B100" s="989"/>
      <c r="C100" s="989"/>
      <c r="D100" s="989"/>
      <c r="E100" s="989"/>
      <c r="F100" s="990"/>
      <c r="G100" s="990"/>
      <c r="H100" s="1024"/>
      <c r="I100" s="1024"/>
      <c r="J100" s="1024"/>
      <c r="K100" s="1024"/>
      <c r="L100" s="1024"/>
      <c r="M100" s="1024"/>
      <c r="N100" s="1024"/>
      <c r="O100" s="1024"/>
      <c r="P100" s="1024"/>
      <c r="Q100" s="1024"/>
      <c r="R100" s="1024"/>
      <c r="S100" s="1024"/>
    </row>
    <row r="101" spans="1:19">
      <c r="A101" s="989"/>
      <c r="B101" s="1008" t="s">
        <v>756</v>
      </c>
      <c r="C101" s="1009"/>
      <c r="D101" s="1009"/>
      <c r="E101" s="1009"/>
      <c r="F101" s="1010"/>
      <c r="G101" s="990"/>
      <c r="H101" s="989"/>
      <c r="I101" s="989"/>
      <c r="J101" s="989"/>
      <c r="K101" s="989"/>
      <c r="L101" s="989"/>
      <c r="M101" s="989"/>
      <c r="N101" s="989"/>
      <c r="O101" s="989"/>
      <c r="P101" s="989"/>
      <c r="Q101" s="989"/>
      <c r="R101" s="989"/>
      <c r="S101" s="989"/>
    </row>
    <row r="102" spans="1:19">
      <c r="A102" s="989"/>
      <c r="B102" s="996"/>
      <c r="C102" s="989"/>
      <c r="D102" s="989"/>
      <c r="E102" s="989"/>
      <c r="F102" s="990"/>
      <c r="G102" s="990"/>
      <c r="H102" s="989"/>
      <c r="I102" s="989"/>
      <c r="J102" s="989"/>
      <c r="K102" s="989"/>
      <c r="L102" s="989"/>
      <c r="M102" s="989"/>
      <c r="N102" s="989"/>
      <c r="O102" s="989"/>
      <c r="P102" s="989"/>
      <c r="Q102" s="989"/>
      <c r="R102" s="989"/>
      <c r="S102" s="989"/>
    </row>
    <row r="103" spans="1:19">
      <c r="A103" s="996"/>
      <c r="B103" s="996" t="s">
        <v>757</v>
      </c>
      <c r="C103" s="989"/>
      <c r="D103" s="996"/>
      <c r="E103" s="996"/>
      <c r="F103" s="1007"/>
      <c r="G103" s="1011" t="s">
        <v>743</v>
      </c>
      <c r="H103" s="1012">
        <v>187.72727272727272</v>
      </c>
      <c r="I103" s="1012">
        <v>216.3636363636364</v>
      </c>
      <c r="J103" s="1012">
        <v>241.81818181818184</v>
      </c>
      <c r="K103" s="1012">
        <v>267.27272727272731</v>
      </c>
      <c r="L103" s="1012">
        <v>286.36363636363637</v>
      </c>
      <c r="M103" s="1012">
        <v>305.45454545454544</v>
      </c>
      <c r="N103" s="1012">
        <v>324.54545454545462</v>
      </c>
      <c r="O103" s="1012">
        <v>337.27272727272731</v>
      </c>
      <c r="P103" s="1012">
        <v>350.00000000000006</v>
      </c>
      <c r="Q103" s="1012">
        <v>362.72727272727275</v>
      </c>
      <c r="R103" s="1012">
        <v>375.45454545454544</v>
      </c>
      <c r="S103" s="1012">
        <v>381.81818181818181</v>
      </c>
    </row>
    <row r="104" spans="1:19">
      <c r="A104" s="989"/>
      <c r="B104" s="989"/>
      <c r="C104" s="989" t="s">
        <v>758</v>
      </c>
      <c r="D104" s="989"/>
      <c r="E104" s="989"/>
      <c r="F104" s="990"/>
      <c r="G104" s="1011" t="s">
        <v>743</v>
      </c>
      <c r="H104" s="267">
        <v>0.75403787878787876</v>
      </c>
      <c r="I104" s="267">
        <v>0.87266666666666681</v>
      </c>
      <c r="J104" s="267">
        <v>0.97936363636363644</v>
      </c>
      <c r="K104" s="267">
        <v>1.086909090909091</v>
      </c>
      <c r="L104" s="267">
        <v>1.1693181818181817</v>
      </c>
      <c r="M104" s="267">
        <v>1.2523636363636361</v>
      </c>
      <c r="N104" s="267">
        <v>1.3360454545454545</v>
      </c>
      <c r="O104" s="267">
        <v>1.394060606060606</v>
      </c>
      <c r="P104" s="267">
        <v>1.4524999999999999</v>
      </c>
      <c r="Q104" s="267">
        <v>1.511363636363636</v>
      </c>
      <c r="R104" s="267">
        <v>1.5706515151515148</v>
      </c>
      <c r="S104" s="267">
        <v>1.6036363636363637</v>
      </c>
    </row>
    <row r="105" spans="1:19">
      <c r="A105" s="989"/>
      <c r="B105" s="989"/>
      <c r="C105" s="989" t="s">
        <v>759</v>
      </c>
      <c r="D105" s="989"/>
      <c r="E105" s="989"/>
      <c r="F105" s="990"/>
      <c r="G105" s="1011" t="s">
        <v>743</v>
      </c>
      <c r="H105" s="267">
        <v>18.85094696969697</v>
      </c>
      <c r="I105" s="267">
        <v>21.81666666666667</v>
      </c>
      <c r="J105" s="267">
        <v>24.484090909090909</v>
      </c>
      <c r="K105" s="267">
        <v>27.172727272727272</v>
      </c>
      <c r="L105" s="267">
        <v>29.232954545454543</v>
      </c>
      <c r="M105" s="267">
        <v>31.309090909090902</v>
      </c>
      <c r="N105" s="267">
        <v>33.401136363636361</v>
      </c>
      <c r="O105" s="267">
        <v>34.851515151515144</v>
      </c>
      <c r="P105" s="267">
        <v>36.312499999999993</v>
      </c>
      <c r="Q105" s="267">
        <v>37.784090909090899</v>
      </c>
      <c r="R105" s="267">
        <v>39.266287878787864</v>
      </c>
      <c r="S105" s="267">
        <v>40.090909090909093</v>
      </c>
    </row>
    <row r="106" spans="1:19">
      <c r="A106" s="989"/>
      <c r="B106" s="989"/>
      <c r="C106" s="989" t="s">
        <v>760</v>
      </c>
      <c r="D106" s="989"/>
      <c r="E106" s="989"/>
      <c r="F106" s="990"/>
      <c r="G106" s="1011" t="s">
        <v>743</v>
      </c>
      <c r="H106" s="267">
        <v>5.6552840909090909</v>
      </c>
      <c r="I106" s="267">
        <v>6.5450000000000008</v>
      </c>
      <c r="J106" s="267">
        <v>7.3452272727272732</v>
      </c>
      <c r="K106" s="267">
        <v>8.1518181818181823</v>
      </c>
      <c r="L106" s="267">
        <v>8.7698863636363633</v>
      </c>
      <c r="M106" s="267">
        <v>9.3927272727272726</v>
      </c>
      <c r="N106" s="267">
        <v>10.020340909090912</v>
      </c>
      <c r="O106" s="267">
        <v>10.455454545454547</v>
      </c>
      <c r="P106" s="267">
        <v>10.893750000000002</v>
      </c>
      <c r="Q106" s="267">
        <v>11.335227272727273</v>
      </c>
      <c r="R106" s="267">
        <v>11.779886363636363</v>
      </c>
      <c r="S106" s="267">
        <v>12.027272727272727</v>
      </c>
    </row>
    <row r="107" spans="1:19">
      <c r="A107" s="989"/>
      <c r="B107" s="989"/>
      <c r="C107" s="989" t="s">
        <v>761</v>
      </c>
      <c r="D107" s="989"/>
      <c r="E107" s="989"/>
      <c r="F107" s="990"/>
      <c r="G107" s="1011" t="s">
        <v>743</v>
      </c>
      <c r="H107" s="267">
        <v>1.1310568181818181</v>
      </c>
      <c r="I107" s="267">
        <v>1.3090000000000002</v>
      </c>
      <c r="J107" s="267">
        <v>1.4690454545454545</v>
      </c>
      <c r="K107" s="267">
        <v>1.6303636363636365</v>
      </c>
      <c r="L107" s="267">
        <v>1.7539772727272727</v>
      </c>
      <c r="M107" s="267">
        <v>1.8785454545454543</v>
      </c>
      <c r="N107" s="267">
        <v>2.004068181818182</v>
      </c>
      <c r="O107" s="267">
        <v>2.0910909090909091</v>
      </c>
      <c r="P107" s="267">
        <v>2.17875</v>
      </c>
      <c r="Q107" s="267">
        <v>2.2670454545454541</v>
      </c>
      <c r="R107" s="267">
        <v>2.3559772727272721</v>
      </c>
      <c r="S107" s="267">
        <v>2.4054545454545453</v>
      </c>
    </row>
    <row r="108" spans="1:19">
      <c r="A108" s="989"/>
      <c r="B108" s="989"/>
      <c r="C108" s="989" t="s">
        <v>762</v>
      </c>
      <c r="D108" s="989"/>
      <c r="E108" s="989"/>
      <c r="F108" s="990"/>
      <c r="G108" s="1011" t="s">
        <v>743</v>
      </c>
      <c r="H108" s="267">
        <v>18.85094696969697</v>
      </c>
      <c r="I108" s="267">
        <v>21.81666666666667</v>
      </c>
      <c r="J108" s="267">
        <v>24.484090909090909</v>
      </c>
      <c r="K108" s="267">
        <v>27.172727272727272</v>
      </c>
      <c r="L108" s="267">
        <v>29.232954545454543</v>
      </c>
      <c r="M108" s="267">
        <v>31.309090909090902</v>
      </c>
      <c r="N108" s="267">
        <v>33.401136363636361</v>
      </c>
      <c r="O108" s="267">
        <v>34.851515151515144</v>
      </c>
      <c r="P108" s="267">
        <v>36.312499999999993</v>
      </c>
      <c r="Q108" s="267">
        <v>37.784090909090899</v>
      </c>
      <c r="R108" s="267">
        <v>39.266287878787864</v>
      </c>
      <c r="S108" s="267">
        <v>40.090909090909093</v>
      </c>
    </row>
    <row r="109" spans="1:19">
      <c r="A109" s="989"/>
      <c r="B109" s="989"/>
      <c r="C109" s="989" t="s">
        <v>763</v>
      </c>
      <c r="D109" s="989"/>
      <c r="E109" s="989"/>
      <c r="F109" s="990"/>
      <c r="G109" s="1011" t="s">
        <v>743</v>
      </c>
      <c r="H109" s="267">
        <v>25.448778409090909</v>
      </c>
      <c r="I109" s="267">
        <v>29.452500000000004</v>
      </c>
      <c r="J109" s="267">
        <v>33.053522727272728</v>
      </c>
      <c r="K109" s="267">
        <v>36.683181818181822</v>
      </c>
      <c r="L109" s="267">
        <v>39.464488636363633</v>
      </c>
      <c r="M109" s="267">
        <v>42.267272727272719</v>
      </c>
      <c r="N109" s="267">
        <v>45.091534090909086</v>
      </c>
      <c r="O109" s="267">
        <v>47.049545454545445</v>
      </c>
      <c r="P109" s="267">
        <v>49.021874999999994</v>
      </c>
      <c r="Q109" s="267">
        <v>51.008522727272712</v>
      </c>
      <c r="R109" s="267">
        <v>53.009488636363614</v>
      </c>
      <c r="S109" s="267">
        <v>54.122727272727275</v>
      </c>
    </row>
    <row r="110" spans="1:19">
      <c r="A110" s="989"/>
      <c r="B110" s="989"/>
      <c r="C110" s="989" t="s">
        <v>764</v>
      </c>
      <c r="D110" s="989"/>
      <c r="E110" s="989"/>
      <c r="F110" s="990"/>
      <c r="G110" s="1011" t="s">
        <v>743</v>
      </c>
      <c r="H110" s="267">
        <v>141.38210227272728</v>
      </c>
      <c r="I110" s="267">
        <v>163.62500000000006</v>
      </c>
      <c r="J110" s="267">
        <v>183.63068181818187</v>
      </c>
      <c r="K110" s="267">
        <v>203.79545454545462</v>
      </c>
      <c r="L110" s="267">
        <v>219.24715909090915</v>
      </c>
      <c r="M110" s="267">
        <v>234.8181818181819</v>
      </c>
      <c r="N110" s="267">
        <v>250.50852272727289</v>
      </c>
      <c r="O110" s="267">
        <v>261.3863636363638</v>
      </c>
      <c r="P110" s="267">
        <v>272.34375000000017</v>
      </c>
      <c r="Q110" s="267">
        <v>283.38068181818198</v>
      </c>
      <c r="R110" s="267">
        <v>294.49715909090924</v>
      </c>
      <c r="S110" s="267">
        <v>300.68181818181819</v>
      </c>
    </row>
    <row r="111" spans="1:19">
      <c r="A111" s="236"/>
      <c r="B111" s="236"/>
      <c r="C111" s="236" t="s">
        <v>765</v>
      </c>
      <c r="D111" s="236"/>
      <c r="E111" s="236"/>
      <c r="F111" s="1025"/>
      <c r="G111" s="1011" t="s">
        <v>743</v>
      </c>
      <c r="H111" s="267">
        <v>1.4079545454545452</v>
      </c>
      <c r="I111" s="267">
        <v>3.245454545454546</v>
      </c>
      <c r="J111" s="267">
        <v>5.4409090909090914</v>
      </c>
      <c r="K111" s="267">
        <v>8.0181818181818194</v>
      </c>
      <c r="L111" s="267">
        <v>10.738636363636363</v>
      </c>
      <c r="M111" s="267">
        <v>13.745454545454544</v>
      </c>
      <c r="N111" s="267">
        <v>17.038636363636368</v>
      </c>
      <c r="O111" s="267">
        <v>20.236363636363638</v>
      </c>
      <c r="P111" s="267">
        <v>23.625000000000007</v>
      </c>
      <c r="Q111" s="267">
        <v>27.20454545454546</v>
      </c>
      <c r="R111" s="267">
        <v>30.975000000000005</v>
      </c>
      <c r="S111" s="267">
        <v>34.36363636363636</v>
      </c>
    </row>
    <row r="112" spans="1:19">
      <c r="A112" s="236"/>
      <c r="B112" s="236"/>
      <c r="C112" s="236" t="s">
        <v>766</v>
      </c>
      <c r="D112" s="236"/>
      <c r="E112" s="236"/>
      <c r="F112" s="1025"/>
      <c r="G112" s="1011" t="s">
        <v>743</v>
      </c>
      <c r="H112" s="267">
        <v>0.15643939393939393</v>
      </c>
      <c r="I112" s="267">
        <v>0.36060606060606071</v>
      </c>
      <c r="J112" s="267">
        <v>0.60454545454545461</v>
      </c>
      <c r="K112" s="267">
        <v>0.89090909090909109</v>
      </c>
      <c r="L112" s="267">
        <v>1.1931818181818181</v>
      </c>
      <c r="M112" s="267">
        <v>1.5272727272727273</v>
      </c>
      <c r="N112" s="267">
        <v>1.8931818181818187</v>
      </c>
      <c r="O112" s="267">
        <v>2.248484848484849</v>
      </c>
      <c r="P112" s="267">
        <v>2.6250000000000004</v>
      </c>
      <c r="Q112" s="267">
        <v>3.0227272727272729</v>
      </c>
      <c r="R112" s="267">
        <v>3.4416666666666664</v>
      </c>
      <c r="S112" s="267">
        <v>3.8181818181818183</v>
      </c>
    </row>
    <row r="113" spans="1:19">
      <c r="A113" s="236"/>
      <c r="B113" s="236"/>
      <c r="C113" s="236" t="s">
        <v>767</v>
      </c>
      <c r="D113" s="236"/>
      <c r="E113" s="236"/>
      <c r="F113" s="1025"/>
      <c r="G113" s="1011" t="s">
        <v>743</v>
      </c>
      <c r="H113" s="267">
        <v>1.8772727272727272</v>
      </c>
      <c r="I113" s="267">
        <v>2.163636363636364</v>
      </c>
      <c r="J113" s="267">
        <v>2.4181818181818184</v>
      </c>
      <c r="K113" s="267">
        <v>2.6727272727272733</v>
      </c>
      <c r="L113" s="267">
        <v>2.8636363636363638</v>
      </c>
      <c r="M113" s="267">
        <v>3.0545454545454547</v>
      </c>
      <c r="N113" s="267">
        <v>3.245454545454546</v>
      </c>
      <c r="O113" s="267">
        <v>3.372727272727273</v>
      </c>
      <c r="P113" s="267">
        <v>3.5000000000000004</v>
      </c>
      <c r="Q113" s="267">
        <v>3.6272727272727274</v>
      </c>
      <c r="R113" s="267">
        <v>3.7545454545454544</v>
      </c>
      <c r="S113" s="267">
        <v>3.8181818181818183</v>
      </c>
    </row>
    <row r="114" spans="1:19">
      <c r="A114" s="231"/>
      <c r="B114" s="231"/>
      <c r="C114" s="236" t="s">
        <v>768</v>
      </c>
      <c r="D114" s="236"/>
      <c r="E114" s="231"/>
      <c r="F114" s="239"/>
      <c r="G114" s="1011" t="s">
        <v>743</v>
      </c>
      <c r="H114" s="267">
        <v>0.4693181818181818</v>
      </c>
      <c r="I114" s="267">
        <v>1.081818181818182</v>
      </c>
      <c r="J114" s="267">
        <v>1.8136363636363637</v>
      </c>
      <c r="K114" s="267">
        <v>2.6727272727272733</v>
      </c>
      <c r="L114" s="267">
        <v>3.579545454545455</v>
      </c>
      <c r="M114" s="267">
        <v>4.581818181818182</v>
      </c>
      <c r="N114" s="267">
        <v>5.6795454545454565</v>
      </c>
      <c r="O114" s="267">
        <v>6.745454545454546</v>
      </c>
      <c r="P114" s="267">
        <v>7.8750000000000009</v>
      </c>
      <c r="Q114" s="267">
        <v>9.0681818181818183</v>
      </c>
      <c r="R114" s="267">
        <v>10.324999999999998</v>
      </c>
      <c r="S114" s="267">
        <v>11.454545454545453</v>
      </c>
    </row>
    <row r="115" spans="1:19">
      <c r="A115" s="231"/>
      <c r="B115" s="231"/>
      <c r="C115" s="231"/>
      <c r="D115" s="236"/>
      <c r="E115" s="231"/>
      <c r="F115" s="239"/>
      <c r="G115" s="239"/>
      <c r="H115" s="267"/>
      <c r="I115" s="267"/>
      <c r="J115" s="267"/>
      <c r="K115" s="267"/>
      <c r="L115" s="267"/>
      <c r="M115" s="267"/>
      <c r="N115" s="267"/>
      <c r="O115" s="267"/>
      <c r="P115" s="267"/>
      <c r="Q115" s="267"/>
      <c r="R115" s="267"/>
      <c r="S115" s="267"/>
    </row>
    <row r="116" spans="1:19">
      <c r="A116" s="989"/>
      <c r="B116" s="996" t="s">
        <v>769</v>
      </c>
      <c r="C116" s="989"/>
      <c r="D116" s="989"/>
      <c r="E116" s="989"/>
      <c r="F116" s="990"/>
      <c r="G116" s="990"/>
      <c r="H116" s="637">
        <v>2368.9384596144255</v>
      </c>
      <c r="I116" s="637">
        <v>2814.1621389671723</v>
      </c>
      <c r="J116" s="637">
        <v>3239.6012508920462</v>
      </c>
      <c r="K116" s="637">
        <v>3685.607860030304</v>
      </c>
      <c r="L116" s="637">
        <v>4062.1133462357971</v>
      </c>
      <c r="M116" s="637">
        <v>4454.5207980000014</v>
      </c>
      <c r="N116" s="637">
        <v>4862.9806393172385</v>
      </c>
      <c r="O116" s="637">
        <v>5189.7239739191955</v>
      </c>
      <c r="P116" s="637">
        <v>5527.6536010937552</v>
      </c>
      <c r="Q116" s="637">
        <v>5876.8698035037933</v>
      </c>
      <c r="R116" s="637">
        <v>6237.4728638121896</v>
      </c>
      <c r="S116" s="637">
        <v>6501.2095718181818</v>
      </c>
    </row>
    <row r="117" spans="1:19">
      <c r="A117" s="989"/>
      <c r="B117" s="989"/>
      <c r="C117" s="989" t="s">
        <v>758</v>
      </c>
      <c r="D117" s="989"/>
      <c r="E117" s="989"/>
      <c r="F117" s="990"/>
      <c r="G117" s="1011" t="s">
        <v>743</v>
      </c>
      <c r="H117" s="253">
        <v>0.90484545454545451</v>
      </c>
      <c r="I117" s="253">
        <v>1.0472000000000001</v>
      </c>
      <c r="J117" s="253">
        <v>1.1752363636363636</v>
      </c>
      <c r="K117" s="253">
        <v>1.3042909090909092</v>
      </c>
      <c r="L117" s="253">
        <v>1.4031818181818181</v>
      </c>
      <c r="M117" s="253">
        <v>1.5028363636363633</v>
      </c>
      <c r="N117" s="253">
        <v>1.6032545454545455</v>
      </c>
      <c r="O117" s="253">
        <v>1.6728727272727271</v>
      </c>
      <c r="P117" s="253">
        <v>1.7429999999999999</v>
      </c>
      <c r="Q117" s="253">
        <v>1.813636363636363</v>
      </c>
      <c r="R117" s="253">
        <v>1.8847818181818177</v>
      </c>
      <c r="S117" s="253">
        <v>1.9243636363636365</v>
      </c>
    </row>
    <row r="118" spans="1:19">
      <c r="A118" s="989"/>
      <c r="B118" s="989"/>
      <c r="C118" s="989" t="s">
        <v>759</v>
      </c>
      <c r="D118" s="989"/>
      <c r="E118" s="989"/>
      <c r="F118" s="990"/>
      <c r="G118" s="1011" t="s">
        <v>743</v>
      </c>
      <c r="H118" s="267">
        <v>58.681427004419199</v>
      </c>
      <c r="I118" s="267">
        <v>68.195263888888903</v>
      </c>
      <c r="J118" s="267">
        <v>76.849440340909084</v>
      </c>
      <c r="K118" s="267">
        <v>85.639378787878783</v>
      </c>
      <c r="L118" s="267">
        <v>92.510120738636346</v>
      </c>
      <c r="M118" s="267">
        <v>99.484636363636312</v>
      </c>
      <c r="N118" s="267">
        <v>106.56354214015148</v>
      </c>
      <c r="O118" s="267">
        <v>111.64102020202014</v>
      </c>
      <c r="P118" s="267">
        <v>116.79007812499994</v>
      </c>
      <c r="Q118" s="267">
        <v>122.01112689393931</v>
      </c>
      <c r="R118" s="267">
        <v>127.30457749368675</v>
      </c>
      <c r="S118" s="267">
        <v>130.49590909090912</v>
      </c>
    </row>
    <row r="119" spans="1:19">
      <c r="A119" s="989"/>
      <c r="B119" s="989"/>
      <c r="C119" s="989" t="s">
        <v>760</v>
      </c>
      <c r="D119" s="989"/>
      <c r="E119" s="989"/>
      <c r="F119" s="990"/>
      <c r="G119" s="1011" t="s">
        <v>743</v>
      </c>
      <c r="H119" s="267">
        <v>8.5182716619318182</v>
      </c>
      <c r="I119" s="267">
        <v>9.8993125000000024</v>
      </c>
      <c r="J119" s="267">
        <v>11.155563920454549</v>
      </c>
      <c r="K119" s="267">
        <v>12.43152272727273</v>
      </c>
      <c r="L119" s="267">
        <v>13.428888494318185</v>
      </c>
      <c r="M119" s="267">
        <v>14.441318181818186</v>
      </c>
      <c r="N119" s="267">
        <v>15.468901278409101</v>
      </c>
      <c r="O119" s="267">
        <v>16.205954545454556</v>
      </c>
      <c r="P119" s="267">
        <v>16.953398437500013</v>
      </c>
      <c r="Q119" s="267">
        <v>17.711292613636374</v>
      </c>
      <c r="R119" s="267">
        <v>18.479696732954555</v>
      </c>
      <c r="S119" s="267">
        <v>18.942954545454548</v>
      </c>
    </row>
    <row r="120" spans="1:19">
      <c r="A120" s="989"/>
      <c r="B120" s="989"/>
      <c r="C120" s="989" t="s">
        <v>761</v>
      </c>
      <c r="D120" s="989"/>
      <c r="E120" s="989"/>
      <c r="F120" s="990"/>
      <c r="G120" s="1011" t="s">
        <v>743</v>
      </c>
      <c r="H120" s="267">
        <v>1.2834195970643938</v>
      </c>
      <c r="I120" s="267">
        <v>1.4914964166666667</v>
      </c>
      <c r="J120" s="267">
        <v>1.6807716306818179</v>
      </c>
      <c r="K120" s="267">
        <v>1.8730160909090907</v>
      </c>
      <c r="L120" s="267">
        <v>2.0232858664772722</v>
      </c>
      <c r="M120" s="267">
        <v>2.175825272727272</v>
      </c>
      <c r="N120" s="267">
        <v>2.330647792613636</v>
      </c>
      <c r="O120" s="267">
        <v>2.4416971515151511</v>
      </c>
      <c r="P120" s="267">
        <v>2.5543120312499994</v>
      </c>
      <c r="Q120" s="267">
        <v>2.6685014204545445</v>
      </c>
      <c r="R120" s="267">
        <v>2.7842743077651502</v>
      </c>
      <c r="S120" s="267">
        <v>2.8540718181818177</v>
      </c>
    </row>
    <row r="121" spans="1:19">
      <c r="A121" s="989"/>
      <c r="B121" s="989"/>
      <c r="C121" s="989" t="s">
        <v>762</v>
      </c>
      <c r="D121" s="989"/>
      <c r="E121" s="989"/>
      <c r="F121" s="990"/>
      <c r="G121" s="1011" t="s">
        <v>743</v>
      </c>
      <c r="H121" s="267">
        <v>53.002579229797981</v>
      </c>
      <c r="I121" s="267">
        <v>61.595722222222228</v>
      </c>
      <c r="J121" s="267">
        <v>69.412397727272733</v>
      </c>
      <c r="K121" s="267">
        <v>77.351696969696974</v>
      </c>
      <c r="L121" s="267">
        <v>83.557528409090907</v>
      </c>
      <c r="M121" s="267">
        <v>89.857090909090886</v>
      </c>
      <c r="N121" s="267">
        <v>96.250941287878788</v>
      </c>
      <c r="O121" s="267">
        <v>100.83705050505048</v>
      </c>
      <c r="P121" s="267">
        <v>105.48781249999999</v>
      </c>
      <c r="Q121" s="267">
        <v>110.20359848484847</v>
      </c>
      <c r="R121" s="267">
        <v>114.98477967171713</v>
      </c>
      <c r="S121" s="267">
        <v>117.86727272727273</v>
      </c>
    </row>
    <row r="122" spans="1:19">
      <c r="A122" s="236"/>
      <c r="B122" s="236"/>
      <c r="C122" s="989" t="s">
        <v>763</v>
      </c>
      <c r="D122" s="989"/>
      <c r="E122" s="236"/>
      <c r="F122" s="990"/>
      <c r="G122" s="1011" t="s">
        <v>743</v>
      </c>
      <c r="H122" s="267">
        <v>63.621946022727272</v>
      </c>
      <c r="I122" s="267">
        <v>73.631250000000009</v>
      </c>
      <c r="J122" s="267">
        <v>82.633806818181824</v>
      </c>
      <c r="K122" s="267">
        <v>91.707954545454555</v>
      </c>
      <c r="L122" s="267">
        <v>98.661221590909079</v>
      </c>
      <c r="M122" s="267">
        <v>105.66818181818179</v>
      </c>
      <c r="N122" s="267">
        <v>112.72883522727271</v>
      </c>
      <c r="O122" s="267">
        <v>117.62386363636361</v>
      </c>
      <c r="P122" s="267">
        <v>122.55468749999999</v>
      </c>
      <c r="Q122" s="267">
        <v>127.52130681818178</v>
      </c>
      <c r="R122" s="267">
        <v>132.52372159090902</v>
      </c>
      <c r="S122" s="267">
        <v>135.30681818181819</v>
      </c>
    </row>
    <row r="123" spans="1:19">
      <c r="A123" s="236"/>
      <c r="B123" s="236"/>
      <c r="C123" s="989" t="s">
        <v>770</v>
      </c>
      <c r="D123" s="989"/>
      <c r="E123" s="236"/>
      <c r="F123" s="990"/>
      <c r="G123" s="1011" t="s">
        <v>743</v>
      </c>
      <c r="H123" s="267">
        <v>2179.640743371212</v>
      </c>
      <c r="I123" s="267">
        <v>2590.7291666666674</v>
      </c>
      <c r="J123" s="267">
        <v>2983.9985795454554</v>
      </c>
      <c r="K123" s="267">
        <v>3396.5909090909104</v>
      </c>
      <c r="L123" s="267">
        <v>3745.4723011363653</v>
      </c>
      <c r="M123" s="267">
        <v>4109.3181818181838</v>
      </c>
      <c r="N123" s="267">
        <v>4488.2776988636406</v>
      </c>
      <c r="O123" s="267">
        <v>4792.0833333333376</v>
      </c>
      <c r="P123" s="267">
        <v>5106.4453125000055</v>
      </c>
      <c r="Q123" s="267">
        <v>5431.4630681818235</v>
      </c>
      <c r="R123" s="267">
        <v>5767.2360321969754</v>
      </c>
      <c r="S123" s="267">
        <v>6013.636363636364</v>
      </c>
    </row>
    <row r="124" spans="1:19">
      <c r="A124" s="236"/>
      <c r="B124" s="236"/>
      <c r="C124" s="236" t="s">
        <v>765</v>
      </c>
      <c r="D124" s="236"/>
      <c r="E124" s="236"/>
      <c r="F124" s="1025"/>
      <c r="G124" s="1011" t="s">
        <v>743</v>
      </c>
      <c r="H124" s="267">
        <v>2.8159090909090905</v>
      </c>
      <c r="I124" s="267">
        <v>6.4909090909090921</v>
      </c>
      <c r="J124" s="267">
        <v>10.881818181818183</v>
      </c>
      <c r="K124" s="267">
        <v>16.036363636363639</v>
      </c>
      <c r="L124" s="267">
        <v>21.477272727272727</v>
      </c>
      <c r="M124" s="267">
        <v>27.490909090909089</v>
      </c>
      <c r="N124" s="267">
        <v>34.077272727272735</v>
      </c>
      <c r="O124" s="267">
        <v>40.472727272727276</v>
      </c>
      <c r="P124" s="267">
        <v>47.250000000000014</v>
      </c>
      <c r="Q124" s="267">
        <v>54.409090909090921</v>
      </c>
      <c r="R124" s="267">
        <v>61.95000000000001</v>
      </c>
      <c r="S124" s="267">
        <v>68.72727272727272</v>
      </c>
    </row>
    <row r="125" spans="1:19">
      <c r="A125" s="231"/>
      <c r="B125" s="231"/>
      <c r="C125" s="236" t="s">
        <v>766</v>
      </c>
      <c r="D125" s="236"/>
      <c r="E125" s="231"/>
      <c r="F125" s="1025"/>
      <c r="G125" s="1011" t="s">
        <v>743</v>
      </c>
      <c r="H125" s="267">
        <v>0.4693181818181818</v>
      </c>
      <c r="I125" s="267">
        <v>1.081818181818182</v>
      </c>
      <c r="J125" s="267">
        <v>1.8136363636363637</v>
      </c>
      <c r="K125" s="267">
        <v>2.6727272727272733</v>
      </c>
      <c r="L125" s="267">
        <v>3.579545454545455</v>
      </c>
      <c r="M125" s="267">
        <v>4.581818181818182</v>
      </c>
      <c r="N125" s="267">
        <v>5.6795454545454565</v>
      </c>
      <c r="O125" s="267">
        <v>6.745454545454546</v>
      </c>
      <c r="P125" s="267">
        <v>7.8750000000000009</v>
      </c>
      <c r="Q125" s="267">
        <v>9.0681818181818183</v>
      </c>
      <c r="R125" s="267">
        <v>10.324999999999998</v>
      </c>
      <c r="S125" s="267">
        <v>11.454545454545453</v>
      </c>
    </row>
    <row r="126" spans="1:19">
      <c r="A126" s="989"/>
      <c r="B126" s="996"/>
      <c r="C126" s="236"/>
      <c r="D126" s="236"/>
      <c r="E126" s="989"/>
      <c r="F126" s="1025"/>
      <c r="G126" s="1011"/>
      <c r="H126" s="267"/>
      <c r="I126" s="267"/>
      <c r="J126" s="267"/>
      <c r="K126" s="267"/>
      <c r="L126" s="267"/>
      <c r="M126" s="267"/>
      <c r="N126" s="267"/>
      <c r="O126" s="267"/>
      <c r="P126" s="267"/>
      <c r="Q126" s="267"/>
      <c r="R126" s="267"/>
      <c r="S126" s="267"/>
    </row>
    <row r="127" spans="1:19">
      <c r="A127" s="989"/>
      <c r="B127" s="989"/>
      <c r="C127" s="236"/>
      <c r="D127" s="236"/>
      <c r="E127" s="989"/>
      <c r="F127" s="239"/>
      <c r="G127" s="1011"/>
      <c r="H127" s="267"/>
      <c r="I127" s="267"/>
      <c r="J127" s="267"/>
      <c r="K127" s="267"/>
      <c r="L127" s="267"/>
      <c r="M127" s="267"/>
      <c r="N127" s="267"/>
      <c r="O127" s="267"/>
      <c r="P127" s="267"/>
      <c r="Q127" s="267"/>
      <c r="R127" s="267"/>
      <c r="S127" s="267"/>
    </row>
    <row r="128" spans="1:19">
      <c r="A128" s="989"/>
      <c r="B128" s="996" t="s">
        <v>771</v>
      </c>
      <c r="C128" s="989"/>
      <c r="D128" s="989"/>
      <c r="E128" s="989"/>
      <c r="F128" s="990"/>
      <c r="G128" s="990"/>
      <c r="H128" s="989"/>
      <c r="I128" s="989"/>
      <c r="J128" s="989"/>
      <c r="K128" s="989"/>
      <c r="L128" s="989"/>
      <c r="M128" s="989"/>
      <c r="N128" s="989"/>
      <c r="O128" s="989"/>
      <c r="P128" s="989"/>
      <c r="Q128" s="989"/>
      <c r="R128" s="989"/>
      <c r="S128" s="989"/>
    </row>
    <row r="129" spans="1:19">
      <c r="A129" s="989"/>
      <c r="B129" s="240"/>
      <c r="C129" s="996" t="s">
        <v>31</v>
      </c>
      <c r="D129" s="989"/>
      <c r="E129" s="990"/>
      <c r="F129" s="990"/>
      <c r="G129" s="990" t="s">
        <v>736</v>
      </c>
      <c r="H129" s="249">
        <v>5.4284468169241231</v>
      </c>
      <c r="I129" s="249">
        <v>6.3277537239583346</v>
      </c>
      <c r="J129" s="249">
        <v>7.1524437491122166</v>
      </c>
      <c r="K129" s="249">
        <v>7.9947258522727278</v>
      </c>
      <c r="L129" s="249">
        <v>8.6623068070845157</v>
      </c>
      <c r="M129" s="249">
        <v>9.3435622159090901</v>
      </c>
      <c r="N129" s="249">
        <v>10.038646297496452</v>
      </c>
      <c r="O129" s="249">
        <v>10.548682348484851</v>
      </c>
      <c r="P129" s="249">
        <v>11.06843298339844</v>
      </c>
      <c r="Q129" s="249">
        <v>11.598003817471591</v>
      </c>
      <c r="R129" s="249">
        <v>12.137501012813681</v>
      </c>
      <c r="S129" s="249">
        <v>12.479047159090911</v>
      </c>
    </row>
    <row r="130" spans="1:19">
      <c r="A130" s="989"/>
      <c r="B130" s="240"/>
      <c r="C130" s="989"/>
      <c r="D130" s="989" t="s">
        <v>371</v>
      </c>
      <c r="E130" s="990"/>
      <c r="F130" s="990"/>
      <c r="G130" s="990" t="s">
        <v>736</v>
      </c>
      <c r="H130" s="246">
        <v>0.72387636363636365</v>
      </c>
      <c r="I130" s="246">
        <v>0.83776000000000006</v>
      </c>
      <c r="J130" s="246">
        <v>0.94018909090909097</v>
      </c>
      <c r="K130" s="246">
        <v>1.0434327272727273</v>
      </c>
      <c r="L130" s="246">
        <v>1.1225454545454545</v>
      </c>
      <c r="M130" s="246">
        <v>1.2022690909090907</v>
      </c>
      <c r="N130" s="246">
        <v>1.2826036363636364</v>
      </c>
      <c r="O130" s="246">
        <v>1.3382981818181816</v>
      </c>
      <c r="P130" s="246">
        <v>1.3943999999999999</v>
      </c>
      <c r="Q130" s="246">
        <v>1.4509090909090905</v>
      </c>
      <c r="R130" s="246">
        <v>1.5078254545454544</v>
      </c>
      <c r="S130" s="246">
        <v>1.539490909090909</v>
      </c>
    </row>
    <row r="131" spans="1:19">
      <c r="A131" s="989"/>
      <c r="B131" s="240"/>
      <c r="C131" s="989"/>
      <c r="D131" s="989" t="s">
        <v>772</v>
      </c>
      <c r="E131" s="990"/>
      <c r="F131" s="990"/>
      <c r="G131" s="990" t="s">
        <v>736</v>
      </c>
      <c r="H131" s="246">
        <v>4.7045704532877597</v>
      </c>
      <c r="I131" s="246">
        <v>5.4899937239583343</v>
      </c>
      <c r="J131" s="246">
        <v>6.2122546582031255</v>
      </c>
      <c r="K131" s="246">
        <v>6.9512931250000003</v>
      </c>
      <c r="L131" s="246">
        <v>7.5397613525390614</v>
      </c>
      <c r="M131" s="246">
        <v>8.1412931249999989</v>
      </c>
      <c r="N131" s="246">
        <v>8.756042661132815</v>
      </c>
      <c r="O131" s="246">
        <v>9.2103841666666693</v>
      </c>
      <c r="P131" s="246">
        <v>9.6740329833984404</v>
      </c>
      <c r="Q131" s="246">
        <v>10.1470947265625</v>
      </c>
      <c r="R131" s="246">
        <v>10.629675558268227</v>
      </c>
      <c r="S131" s="246">
        <v>10.939556250000001</v>
      </c>
    </row>
    <row r="132" spans="1:19">
      <c r="A132" s="989"/>
      <c r="B132" s="240"/>
      <c r="C132" s="996" t="s">
        <v>773</v>
      </c>
      <c r="D132" s="989"/>
      <c r="E132" s="990"/>
      <c r="F132" s="990"/>
      <c r="G132" s="990" t="s">
        <v>736</v>
      </c>
      <c r="H132" s="249">
        <v>4.2965899733892936</v>
      </c>
      <c r="I132" s="249">
        <v>4.9918579600312505</v>
      </c>
      <c r="J132" s="249">
        <v>5.6239483318817474</v>
      </c>
      <c r="K132" s="249">
        <v>6.2657705264318189</v>
      </c>
      <c r="L132" s="249">
        <v>6.7670323911354755</v>
      </c>
      <c r="M132" s="249">
        <v>7.2757979809772699</v>
      </c>
      <c r="N132" s="249">
        <v>7.792133060440162</v>
      </c>
      <c r="O132" s="249">
        <v>8.1621018226363606</v>
      </c>
      <c r="P132" s="249">
        <v>8.5373281971386685</v>
      </c>
      <c r="Q132" s="249">
        <v>8.9178572221235761</v>
      </c>
      <c r="R132" s="249">
        <v>9.3037341689749589</v>
      </c>
      <c r="S132" s="249">
        <v>9.5360700415909108</v>
      </c>
    </row>
    <row r="133" spans="1:19">
      <c r="A133" s="989"/>
      <c r="B133" s="240"/>
      <c r="C133" s="989"/>
      <c r="D133" s="989" t="s">
        <v>371</v>
      </c>
      <c r="E133" s="990"/>
      <c r="F133" s="990"/>
      <c r="G133" s="990" t="s">
        <v>736</v>
      </c>
      <c r="H133" s="246">
        <v>1.7677779885081284</v>
      </c>
      <c r="I133" s="246">
        <v>2.0629067326388895</v>
      </c>
      <c r="J133" s="246">
        <v>2.3343017503551131</v>
      </c>
      <c r="K133" s="246">
        <v>2.6120010530303031</v>
      </c>
      <c r="L133" s="246">
        <v>2.8331224476207382</v>
      </c>
      <c r="M133" s="246">
        <v>3.0591525681818168</v>
      </c>
      <c r="N133" s="246">
        <v>3.2901493635771772</v>
      </c>
      <c r="O133" s="246">
        <v>3.4608716262626245</v>
      </c>
      <c r="P133" s="246">
        <v>3.6350911816406226</v>
      </c>
      <c r="Q133" s="246">
        <v>3.8128477154356033</v>
      </c>
      <c r="R133" s="246">
        <v>3.9941811188644221</v>
      </c>
      <c r="S133" s="246">
        <v>4.1106211363636378</v>
      </c>
    </row>
    <row r="134" spans="1:19">
      <c r="A134" s="989"/>
      <c r="B134" s="240"/>
      <c r="C134" s="989"/>
      <c r="D134" s="989" t="s">
        <v>34</v>
      </c>
      <c r="E134" s="990"/>
      <c r="F134" s="990"/>
      <c r="G134" s="990" t="s">
        <v>736</v>
      </c>
      <c r="H134" s="246">
        <v>0.23842192806298335</v>
      </c>
      <c r="I134" s="246">
        <v>0.27822622739236114</v>
      </c>
      <c r="J134" s="246">
        <v>0.31482953607208802</v>
      </c>
      <c r="K134" s="246">
        <v>0.35228310976515154</v>
      </c>
      <c r="L134" s="246">
        <v>0.38210596624200993</v>
      </c>
      <c r="M134" s="246">
        <v>0.41259086734090911</v>
      </c>
      <c r="N134" s="246">
        <v>0.44374562868116718</v>
      </c>
      <c r="O134" s="246">
        <v>0.46677110546464656</v>
      </c>
      <c r="P134" s="246">
        <v>0.49026826549804697</v>
      </c>
      <c r="Q134" s="246">
        <v>0.51424246123342809</v>
      </c>
      <c r="R134" s="246">
        <v>0.53869907283781171</v>
      </c>
      <c r="S134" s="246">
        <v>0.55440345068181807</v>
      </c>
    </row>
    <row r="135" spans="1:19">
      <c r="A135" s="989"/>
      <c r="B135" s="240"/>
      <c r="C135" s="989"/>
      <c r="D135" s="989" t="s">
        <v>774</v>
      </c>
      <c r="E135" s="990"/>
      <c r="F135" s="990"/>
      <c r="G135" s="990" t="s">
        <v>736</v>
      </c>
      <c r="H135" s="246">
        <v>2.2903900568181816</v>
      </c>
      <c r="I135" s="246">
        <v>2.6507250000000004</v>
      </c>
      <c r="J135" s="246">
        <v>2.9748170454545457</v>
      </c>
      <c r="K135" s="246">
        <v>3.3014863636363638</v>
      </c>
      <c r="L135" s="246">
        <v>3.5518039772727272</v>
      </c>
      <c r="M135" s="246">
        <v>3.8040545454545445</v>
      </c>
      <c r="N135" s="246">
        <v>4.0582380681818178</v>
      </c>
      <c r="O135" s="246">
        <v>4.2344590909090902</v>
      </c>
      <c r="P135" s="246">
        <v>4.4119687499999989</v>
      </c>
      <c r="Q135" s="246">
        <v>4.5907670454545437</v>
      </c>
      <c r="R135" s="246">
        <v>4.7708539772727248</v>
      </c>
      <c r="S135" s="246">
        <v>4.8710454545454551</v>
      </c>
    </row>
    <row r="136" spans="1:19">
      <c r="A136" s="989"/>
      <c r="B136" s="240"/>
      <c r="C136" s="996" t="s">
        <v>775</v>
      </c>
      <c r="D136" s="989"/>
      <c r="E136" s="990"/>
      <c r="F136" s="990"/>
      <c r="G136" s="990" t="s">
        <v>736</v>
      </c>
      <c r="H136" s="249">
        <v>1900.3268355041826</v>
      </c>
      <c r="I136" s="249">
        <v>2259.5965454027787</v>
      </c>
      <c r="J136" s="249">
        <v>2603.604837093751</v>
      </c>
      <c r="K136" s="249">
        <v>2964.7574890606074</v>
      </c>
      <c r="L136" s="249">
        <v>3270.5722966974445</v>
      </c>
      <c r="M136" s="249">
        <v>3589.7135266363643</v>
      </c>
      <c r="N136" s="249">
        <v>3922.3297767665749</v>
      </c>
      <c r="O136" s="249">
        <v>4189.5223023888911</v>
      </c>
      <c r="P136" s="249">
        <v>4466.1765492968789</v>
      </c>
      <c r="Q136" s="249">
        <v>4752.3924301609886</v>
      </c>
      <c r="R136" s="249">
        <v>5048.270023000161</v>
      </c>
      <c r="S136" s="249">
        <v>5128.3280618181816</v>
      </c>
    </row>
    <row r="137" spans="1:19">
      <c r="A137" s="989"/>
      <c r="B137" s="240"/>
      <c r="C137" s="989"/>
      <c r="D137" s="989" t="s">
        <v>776</v>
      </c>
      <c r="E137" s="990"/>
      <c r="F137" s="990"/>
      <c r="G137" s="990" t="s">
        <v>736</v>
      </c>
      <c r="H137" s="246">
        <v>7.6721233435132579</v>
      </c>
      <c r="I137" s="246">
        <v>8.900581861111112</v>
      </c>
      <c r="J137" s="246">
        <v>10.012738372159092</v>
      </c>
      <c r="K137" s="246">
        <v>11.138644363636363</v>
      </c>
      <c r="L137" s="246">
        <v>12.011394708806819</v>
      </c>
      <c r="M137" s="246">
        <v>12.894492545454543</v>
      </c>
      <c r="N137" s="246">
        <v>13.787947339488637</v>
      </c>
      <c r="O137" s="246">
        <v>14.41969822222222</v>
      </c>
      <c r="P137" s="246">
        <v>15.058385234374999</v>
      </c>
      <c r="Q137" s="246">
        <v>15.704012784090907</v>
      </c>
      <c r="R137" s="246">
        <v>16.356584908301762</v>
      </c>
      <c r="S137" s="246">
        <v>16.737152727272729</v>
      </c>
    </row>
    <row r="138" spans="1:19">
      <c r="A138" s="989"/>
      <c r="B138" s="240"/>
      <c r="C138" s="989"/>
      <c r="D138" s="989" t="s">
        <v>774</v>
      </c>
      <c r="E138" s="990"/>
      <c r="F138" s="990"/>
      <c r="G138" s="990" t="s">
        <v>736</v>
      </c>
      <c r="H138" s="246">
        <v>1892.6547121606693</v>
      </c>
      <c r="I138" s="246">
        <v>2250.6959635416674</v>
      </c>
      <c r="J138" s="246">
        <v>2593.5920987215918</v>
      </c>
      <c r="K138" s="246">
        <v>2953.6188446969709</v>
      </c>
      <c r="L138" s="246">
        <v>3258.5609019886379</v>
      </c>
      <c r="M138" s="246">
        <v>3576.81903409091</v>
      </c>
      <c r="N138" s="246">
        <v>3908.5418294270862</v>
      </c>
      <c r="O138" s="246">
        <v>4175.1026041666692</v>
      </c>
      <c r="P138" s="246">
        <v>4451.1181640625036</v>
      </c>
      <c r="Q138" s="246">
        <v>4736.6884173768976</v>
      </c>
      <c r="R138" s="246">
        <v>5031.9134380918595</v>
      </c>
      <c r="S138" s="246">
        <v>5111.590909090909</v>
      </c>
    </row>
    <row r="139" spans="1:19">
      <c r="A139" s="989"/>
      <c r="B139" s="240"/>
      <c r="C139" s="989" t="s">
        <v>35</v>
      </c>
      <c r="D139" s="989"/>
      <c r="E139" s="990"/>
      <c r="F139" s="990"/>
      <c r="G139" s="990" t="s">
        <v>736</v>
      </c>
      <c r="H139" s="246">
        <v>5.6318181818181816E-2</v>
      </c>
      <c r="I139" s="246">
        <v>0.12981818181818183</v>
      </c>
      <c r="J139" s="246">
        <v>0.21763636363636366</v>
      </c>
      <c r="K139" s="246">
        <v>0.32072727272727275</v>
      </c>
      <c r="L139" s="246">
        <v>0.42954545454545451</v>
      </c>
      <c r="M139" s="246">
        <v>0.54981818181818176</v>
      </c>
      <c r="N139" s="246">
        <v>0.68154545454545468</v>
      </c>
      <c r="O139" s="246">
        <v>0.80945454545454554</v>
      </c>
      <c r="P139" s="246">
        <v>0.94500000000000017</v>
      </c>
      <c r="Q139" s="246">
        <v>1.0881818181818184</v>
      </c>
      <c r="R139" s="246">
        <v>1.2390000000000003</v>
      </c>
      <c r="S139" s="246">
        <v>1.3745454545454545</v>
      </c>
    </row>
    <row r="140" spans="1:19">
      <c r="A140" s="989"/>
      <c r="B140" s="240"/>
      <c r="C140" s="989" t="s">
        <v>36</v>
      </c>
      <c r="D140" s="989"/>
      <c r="E140" s="990"/>
      <c r="F140" s="990"/>
      <c r="G140" s="990" t="s">
        <v>736</v>
      </c>
      <c r="H140" s="246">
        <v>1.4079545454545455</v>
      </c>
      <c r="I140" s="246">
        <v>3.245454545454546</v>
      </c>
      <c r="J140" s="246">
        <v>5.4409090909090914</v>
      </c>
      <c r="K140" s="246">
        <v>8.0181818181818194</v>
      </c>
      <c r="L140" s="246">
        <v>10.738636363636365</v>
      </c>
      <c r="M140" s="246">
        <v>13.745454545454546</v>
      </c>
      <c r="N140" s="246">
        <v>17.038636363636368</v>
      </c>
      <c r="O140" s="246">
        <v>20.236363636363638</v>
      </c>
      <c r="P140" s="246">
        <v>23.625000000000004</v>
      </c>
      <c r="Q140" s="246">
        <v>27.204545454545457</v>
      </c>
      <c r="R140" s="246">
        <v>30.974999999999994</v>
      </c>
      <c r="S140" s="246">
        <v>34.36363636363636</v>
      </c>
    </row>
    <row r="141" spans="1:19">
      <c r="A141" s="989"/>
      <c r="B141" s="240"/>
      <c r="C141" s="989" t="s">
        <v>777</v>
      </c>
      <c r="D141" s="989"/>
      <c r="E141" s="990"/>
      <c r="F141" s="990"/>
      <c r="G141" s="990" t="s">
        <v>736</v>
      </c>
      <c r="H141" s="246">
        <v>18.772727272727273</v>
      </c>
      <c r="I141" s="246">
        <v>21.63636363636364</v>
      </c>
      <c r="J141" s="246">
        <v>24.181818181818183</v>
      </c>
      <c r="K141" s="246">
        <v>26.727272727272734</v>
      </c>
      <c r="L141" s="246">
        <v>28.636363636363637</v>
      </c>
      <c r="M141" s="246">
        <v>30.545454545454547</v>
      </c>
      <c r="N141" s="246">
        <v>32.45454545454546</v>
      </c>
      <c r="O141" s="246">
        <v>33.727272727272734</v>
      </c>
      <c r="P141" s="246">
        <v>35.000000000000007</v>
      </c>
      <c r="Q141" s="246">
        <v>36.272727272727273</v>
      </c>
      <c r="R141" s="246">
        <v>37.545454545454547</v>
      </c>
      <c r="S141" s="246">
        <v>38.181818181818187</v>
      </c>
    </row>
    <row r="142" spans="1:19">
      <c r="A142" s="989"/>
      <c r="B142" s="240"/>
      <c r="C142" s="989" t="s">
        <v>778</v>
      </c>
      <c r="D142" s="989"/>
      <c r="E142" s="990"/>
      <c r="F142" s="990"/>
      <c r="G142" s="990" t="s">
        <v>736</v>
      </c>
      <c r="H142" s="246">
        <v>14.079545454545453</v>
      </c>
      <c r="I142" s="246">
        <v>32.45454545454546</v>
      </c>
      <c r="J142" s="246">
        <v>54.409090909090914</v>
      </c>
      <c r="K142" s="246">
        <v>80.181818181818201</v>
      </c>
      <c r="L142" s="246">
        <v>107.38636363636365</v>
      </c>
      <c r="M142" s="246">
        <v>137.45454545454547</v>
      </c>
      <c r="N142" s="246">
        <v>170.38636363636368</v>
      </c>
      <c r="O142" s="246">
        <v>202.36363636363637</v>
      </c>
      <c r="P142" s="246">
        <v>236.25000000000003</v>
      </c>
      <c r="Q142" s="246">
        <v>272.04545454545456</v>
      </c>
      <c r="R142" s="246">
        <v>309.74999999999994</v>
      </c>
      <c r="S142" s="246">
        <v>343.63636363636363</v>
      </c>
    </row>
    <row r="143" spans="1:19">
      <c r="A143" s="989"/>
      <c r="B143" s="996"/>
      <c r="C143" s="989"/>
      <c r="D143" s="989"/>
      <c r="E143" s="989"/>
      <c r="F143" s="990"/>
      <c r="G143" s="990"/>
      <c r="H143" s="989"/>
      <c r="I143" s="989"/>
      <c r="J143" s="989"/>
      <c r="K143" s="989"/>
      <c r="L143" s="989"/>
      <c r="M143" s="989"/>
      <c r="N143" s="989"/>
      <c r="O143" s="989"/>
      <c r="P143" s="989"/>
      <c r="Q143" s="989"/>
      <c r="R143" s="989"/>
      <c r="S143" s="989"/>
    </row>
    <row r="144" spans="1:19">
      <c r="A144" s="996"/>
      <c r="B144" s="996"/>
      <c r="C144" s="996" t="s">
        <v>88</v>
      </c>
      <c r="D144" s="996"/>
      <c r="E144" s="996"/>
      <c r="F144" s="1026"/>
      <c r="G144" s="1007" t="s">
        <v>736</v>
      </c>
      <c r="H144" s="247">
        <v>1.2184095059486109</v>
      </c>
      <c r="I144" s="247">
        <v>1.1645764858676539</v>
      </c>
      <c r="J144" s="247">
        <v>1.1235338986887771</v>
      </c>
      <c r="K144" s="247">
        <v>1.0867111670679501</v>
      </c>
      <c r="L144" s="247">
        <v>1.0649029219255</v>
      </c>
      <c r="M144" s="247">
        <v>1.0465136026518838</v>
      </c>
      <c r="N144" s="247">
        <v>1.0315450654820435</v>
      </c>
      <c r="O144" s="247">
        <v>1.0335177111904001</v>
      </c>
      <c r="P144" s="247">
        <v>1.0377768403234653</v>
      </c>
      <c r="Q144" s="247">
        <v>1.0443237272314054</v>
      </c>
      <c r="R144" s="247">
        <v>1.0531596534566194</v>
      </c>
      <c r="S144" s="247">
        <v>1.0755271223610587</v>
      </c>
    </row>
    <row r="145" spans="1:19">
      <c r="A145" s="996"/>
      <c r="B145" s="996"/>
      <c r="C145" s="996" t="s">
        <v>341</v>
      </c>
      <c r="D145" s="996"/>
      <c r="E145" s="996"/>
      <c r="F145" s="1026"/>
      <c r="G145" s="990" t="s">
        <v>736</v>
      </c>
      <c r="H145" s="247">
        <v>1.8959504254311179</v>
      </c>
      <c r="I145" s="247">
        <v>1.9408450962484218</v>
      </c>
      <c r="J145" s="247">
        <v>1.9886000567169746</v>
      </c>
      <c r="K145" s="247">
        <v>2.0416919459469698</v>
      </c>
      <c r="L145" s="247">
        <v>2.0925122970303622</v>
      </c>
      <c r="M145" s="247">
        <v>2.1473422671590909</v>
      </c>
      <c r="N145" s="247">
        <v>2.206184075452474</v>
      </c>
      <c r="O145" s="247">
        <v>2.2594281008585857</v>
      </c>
      <c r="P145" s="247">
        <v>2.3153538163574217</v>
      </c>
      <c r="Q145" s="247">
        <v>2.3739627382220645</v>
      </c>
      <c r="R145" s="247">
        <v>2.4352563899178303</v>
      </c>
      <c r="S145" s="247">
        <v>2.4869537397727273</v>
      </c>
    </row>
    <row r="146" spans="1:19">
      <c r="A146" s="996"/>
      <c r="B146" s="996"/>
      <c r="C146" s="996"/>
      <c r="D146" s="996" t="s">
        <v>779</v>
      </c>
      <c r="E146" s="996"/>
      <c r="F146" s="996"/>
      <c r="G146" s="990" t="s">
        <v>736</v>
      </c>
      <c r="H146" s="277">
        <v>0.12623906179475419</v>
      </c>
      <c r="I146" s="277">
        <v>0.16488145988478542</v>
      </c>
      <c r="J146" s="277">
        <v>0.2059546021715199</v>
      </c>
      <c r="K146" s="277">
        <v>0.25160103685606067</v>
      </c>
      <c r="L146" s="277">
        <v>0.29526229703036222</v>
      </c>
      <c r="M146" s="277">
        <v>0.34236044897727269</v>
      </c>
      <c r="N146" s="277">
        <v>0.39289771181611033</v>
      </c>
      <c r="O146" s="277">
        <v>0.43860082813131307</v>
      </c>
      <c r="P146" s="277">
        <v>0.48660381635742178</v>
      </c>
      <c r="Q146" s="277">
        <v>0.53690819276751889</v>
      </c>
      <c r="R146" s="277">
        <v>0.5895154808269214</v>
      </c>
      <c r="S146" s="277">
        <v>0.63386283068181826</v>
      </c>
    </row>
    <row r="147" spans="1:19">
      <c r="A147" s="989"/>
      <c r="B147" s="989"/>
      <c r="C147" s="989"/>
      <c r="D147" s="996"/>
      <c r="E147" s="989" t="s">
        <v>780</v>
      </c>
      <c r="F147" s="989"/>
      <c r="G147" s="990" t="s">
        <v>736</v>
      </c>
      <c r="H147" s="253">
        <v>0</v>
      </c>
      <c r="I147" s="253">
        <v>0</v>
      </c>
      <c r="J147" s="253">
        <v>0</v>
      </c>
      <c r="K147" s="253">
        <v>0</v>
      </c>
      <c r="L147" s="253">
        <v>0</v>
      </c>
      <c r="M147" s="253">
        <v>0</v>
      </c>
      <c r="N147" s="253">
        <v>0</v>
      </c>
      <c r="O147" s="253">
        <v>0</v>
      </c>
      <c r="P147" s="253">
        <v>0</v>
      </c>
      <c r="Q147" s="253">
        <v>0</v>
      </c>
      <c r="R147" s="253">
        <v>0</v>
      </c>
      <c r="S147" s="253">
        <v>0</v>
      </c>
    </row>
    <row r="148" spans="1:19">
      <c r="A148" s="989"/>
      <c r="B148" s="989"/>
      <c r="C148" s="989"/>
      <c r="D148" s="996"/>
      <c r="E148" s="989" t="s">
        <v>781</v>
      </c>
      <c r="F148" s="989"/>
      <c r="G148" s="990" t="s">
        <v>736</v>
      </c>
      <c r="H148" s="253">
        <v>4.5807801136363631E-2</v>
      </c>
      <c r="I148" s="253">
        <v>5.3014500000000013E-2</v>
      </c>
      <c r="J148" s="253">
        <v>5.9496340909090915E-2</v>
      </c>
      <c r="K148" s="253">
        <v>6.6029727272727282E-2</v>
      </c>
      <c r="L148" s="253">
        <v>7.1036079545454545E-2</v>
      </c>
      <c r="M148" s="253">
        <v>7.608109090909089E-2</v>
      </c>
      <c r="N148" s="253">
        <v>8.1164761363636359E-2</v>
      </c>
      <c r="O148" s="253">
        <v>8.4689181818181802E-2</v>
      </c>
      <c r="P148" s="253">
        <v>8.8239374999999981E-2</v>
      </c>
      <c r="Q148" s="253">
        <v>9.1815340909090881E-2</v>
      </c>
      <c r="R148" s="253">
        <v>9.5417079545454503E-2</v>
      </c>
      <c r="S148" s="253">
        <v>9.74209090909091E-2</v>
      </c>
    </row>
    <row r="149" spans="1:19">
      <c r="A149" s="989"/>
      <c r="B149" s="989"/>
      <c r="C149" s="989"/>
      <c r="D149" s="996"/>
      <c r="E149" s="989" t="s">
        <v>782</v>
      </c>
      <c r="F149" s="989"/>
      <c r="G149" s="990" t="s">
        <v>736</v>
      </c>
      <c r="H149" s="253">
        <v>1.6895454545454544E-3</v>
      </c>
      <c r="I149" s="253">
        <v>3.8945454545454548E-3</v>
      </c>
      <c r="J149" s="253">
        <v>6.5290909090909097E-3</v>
      </c>
      <c r="K149" s="253">
        <v>9.6218181818181828E-3</v>
      </c>
      <c r="L149" s="253">
        <v>1.2886363636363635E-2</v>
      </c>
      <c r="M149" s="253">
        <v>1.6494545454545453E-2</v>
      </c>
      <c r="N149" s="253">
        <v>2.0446363636363641E-2</v>
      </c>
      <c r="O149" s="253">
        <v>2.4283636363636365E-2</v>
      </c>
      <c r="P149" s="253">
        <v>2.8350000000000004E-2</v>
      </c>
      <c r="Q149" s="253">
        <v>3.2645454545454547E-2</v>
      </c>
      <c r="R149" s="253">
        <v>3.7170000000000009E-2</v>
      </c>
      <c r="S149" s="253">
        <v>4.1236363636363634E-2</v>
      </c>
    </row>
    <row r="150" spans="1:19">
      <c r="A150" s="989"/>
      <c r="B150" s="989"/>
      <c r="C150" s="989"/>
      <c r="D150" s="996"/>
      <c r="E150" s="989" t="s">
        <v>783</v>
      </c>
      <c r="F150" s="989"/>
      <c r="G150" s="990" t="s">
        <v>736</v>
      </c>
      <c r="H150" s="253">
        <v>1.4079545454545456E-2</v>
      </c>
      <c r="I150" s="253">
        <v>3.2454545454545458E-2</v>
      </c>
      <c r="J150" s="253">
        <v>5.4409090909090914E-2</v>
      </c>
      <c r="K150" s="253">
        <v>8.0181818181818201E-2</v>
      </c>
      <c r="L150" s="253">
        <v>0.10738636363636365</v>
      </c>
      <c r="M150" s="253">
        <v>0.13745454545454547</v>
      </c>
      <c r="N150" s="253">
        <v>0.17038636363636367</v>
      </c>
      <c r="O150" s="253">
        <v>0.20236363636363638</v>
      </c>
      <c r="P150" s="253">
        <v>0.23625000000000004</v>
      </c>
      <c r="Q150" s="253">
        <v>0.27204545454545459</v>
      </c>
      <c r="R150" s="253">
        <v>0.30974999999999997</v>
      </c>
      <c r="S150" s="253">
        <v>0.34363636363636363</v>
      </c>
    </row>
    <row r="151" spans="1:19">
      <c r="A151" s="989"/>
      <c r="B151" s="989"/>
      <c r="C151" s="989"/>
      <c r="D151" s="989"/>
      <c r="E151" s="989" t="s">
        <v>784</v>
      </c>
      <c r="F151" s="989"/>
      <c r="G151" s="990" t="s">
        <v>736</v>
      </c>
      <c r="H151" s="1027">
        <v>6.4662169749299642E-2</v>
      </c>
      <c r="I151" s="1027">
        <v>7.5517868975694472E-2</v>
      </c>
      <c r="J151" s="1027">
        <v>8.5520079444247152E-2</v>
      </c>
      <c r="K151" s="1027">
        <v>9.576767321969698E-2</v>
      </c>
      <c r="L151" s="1027">
        <v>0.10395349021218039</v>
      </c>
      <c r="M151" s="1027">
        <v>0.11233026715909086</v>
      </c>
      <c r="N151" s="1027">
        <v>0.12090022317974668</v>
      </c>
      <c r="O151" s="1027">
        <v>0.12726437358585854</v>
      </c>
      <c r="P151" s="1027">
        <v>0.1337644413574218</v>
      </c>
      <c r="Q151" s="1027">
        <v>0.14040194276751886</v>
      </c>
      <c r="R151" s="1027">
        <v>0.14717840128146689</v>
      </c>
      <c r="S151" s="1027">
        <v>0.15156919431818186</v>
      </c>
    </row>
    <row r="152" spans="1:19">
      <c r="A152" s="989"/>
      <c r="B152" s="989"/>
      <c r="C152" s="989"/>
      <c r="D152" s="989"/>
      <c r="E152" s="1028"/>
      <c r="F152" s="989" t="s">
        <v>32</v>
      </c>
      <c r="G152" s="990" t="s">
        <v>736</v>
      </c>
      <c r="H152" s="246">
        <v>6.1872229597784496E-2</v>
      </c>
      <c r="I152" s="246">
        <v>7.2201735642361139E-2</v>
      </c>
      <c r="J152" s="246">
        <v>8.1700561262428972E-2</v>
      </c>
      <c r="K152" s="246">
        <v>9.1420036856060621E-2</v>
      </c>
      <c r="L152" s="246">
        <v>9.9159285666725841E-2</v>
      </c>
      <c r="M152" s="246">
        <v>0.10707033988636359</v>
      </c>
      <c r="N152" s="246">
        <v>0.11515522772520122</v>
      </c>
      <c r="O152" s="246">
        <v>0.12113050691919187</v>
      </c>
      <c r="P152" s="246">
        <v>0.1272281913574218</v>
      </c>
      <c r="Q152" s="246">
        <v>0.13344967004024613</v>
      </c>
      <c r="R152" s="246">
        <v>0.13979633916025477</v>
      </c>
      <c r="S152" s="246">
        <v>0.14387173977272733</v>
      </c>
    </row>
    <row r="153" spans="1:19">
      <c r="A153" s="989"/>
      <c r="B153" s="989"/>
      <c r="C153" s="989"/>
      <c r="D153" s="989"/>
      <c r="E153" s="1028"/>
      <c r="F153" s="989" t="s">
        <v>785</v>
      </c>
      <c r="G153" s="990" t="s">
        <v>736</v>
      </c>
      <c r="H153" s="246">
        <v>2.7899401515151514E-3</v>
      </c>
      <c r="I153" s="246">
        <v>3.3161333333333342E-3</v>
      </c>
      <c r="J153" s="246">
        <v>3.8195181818181821E-3</v>
      </c>
      <c r="K153" s="246">
        <v>4.3476363636363652E-3</v>
      </c>
      <c r="L153" s="246">
        <v>4.7942045454545459E-3</v>
      </c>
      <c r="M153" s="246">
        <v>5.2599272727272732E-3</v>
      </c>
      <c r="N153" s="246">
        <v>5.744995454545457E-3</v>
      </c>
      <c r="O153" s="246">
        <v>6.133866666666668E-3</v>
      </c>
      <c r="P153" s="246">
        <v>6.5362500000000013E-3</v>
      </c>
      <c r="Q153" s="246">
        <v>6.9522727272727279E-3</v>
      </c>
      <c r="R153" s="246">
        <v>7.3820621212121228E-3</v>
      </c>
      <c r="S153" s="246">
        <v>7.6974545454545464E-3</v>
      </c>
    </row>
    <row r="154" spans="1:19">
      <c r="A154" s="989"/>
      <c r="B154" s="989"/>
      <c r="C154" s="989"/>
      <c r="D154" s="996" t="s">
        <v>354</v>
      </c>
      <c r="E154" s="989"/>
      <c r="F154" s="989"/>
      <c r="G154" s="990" t="s">
        <v>736</v>
      </c>
      <c r="H154" s="247">
        <v>1.9711363636363638E-2</v>
      </c>
      <c r="I154" s="247">
        <v>2.5963636363636369E-2</v>
      </c>
      <c r="J154" s="247">
        <v>3.2645454545454547E-2</v>
      </c>
      <c r="K154" s="247">
        <v>4.0090909090909101E-2</v>
      </c>
      <c r="L154" s="247">
        <v>4.725E-2</v>
      </c>
      <c r="M154" s="247">
        <v>5.4981818181818187E-2</v>
      </c>
      <c r="N154" s="247">
        <v>6.3286363636363654E-2</v>
      </c>
      <c r="O154" s="247">
        <v>7.0827272727272739E-2</v>
      </c>
      <c r="P154" s="247">
        <v>7.8750000000000014E-2</v>
      </c>
      <c r="Q154" s="247">
        <v>8.7054545454545468E-2</v>
      </c>
      <c r="R154" s="247">
        <v>9.5740909090909085E-2</v>
      </c>
      <c r="S154" s="247">
        <v>0.10309090909090909</v>
      </c>
    </row>
    <row r="155" spans="1:19">
      <c r="A155" s="989"/>
      <c r="B155" s="989"/>
      <c r="C155" s="989"/>
      <c r="D155" s="989"/>
      <c r="E155" s="989"/>
      <c r="F155" s="989" t="s">
        <v>356</v>
      </c>
      <c r="G155" s="990" t="s">
        <v>736</v>
      </c>
      <c r="H155" s="253">
        <v>1.6895454545454547E-2</v>
      </c>
      <c r="I155" s="253">
        <v>1.9472727272727277E-2</v>
      </c>
      <c r="J155" s="253">
        <v>2.1763636363636363E-2</v>
      </c>
      <c r="K155" s="253">
        <v>2.405454545454546E-2</v>
      </c>
      <c r="L155" s="253">
        <v>2.5772727272727274E-2</v>
      </c>
      <c r="M155" s="253">
        <v>2.749090909090909E-2</v>
      </c>
      <c r="N155" s="253">
        <v>2.9209090909090914E-2</v>
      </c>
      <c r="O155" s="253">
        <v>3.035454545454546E-2</v>
      </c>
      <c r="P155" s="253">
        <v>3.1500000000000007E-2</v>
      </c>
      <c r="Q155" s="253">
        <v>3.2645454545454547E-2</v>
      </c>
      <c r="R155" s="253">
        <v>3.3790909090909094E-2</v>
      </c>
      <c r="S155" s="253">
        <v>3.4363636363636367E-2</v>
      </c>
    </row>
    <row r="156" spans="1:19">
      <c r="A156" s="989"/>
      <c r="B156" s="989"/>
      <c r="C156" s="989"/>
      <c r="D156" s="989"/>
      <c r="E156" s="989"/>
      <c r="F156" s="989" t="s">
        <v>358</v>
      </c>
      <c r="G156" s="990" t="s">
        <v>736</v>
      </c>
      <c r="H156" s="253">
        <v>2.8159090909090907E-3</v>
      </c>
      <c r="I156" s="253">
        <v>6.4909090909090923E-3</v>
      </c>
      <c r="J156" s="253">
        <v>1.0881818181818183E-2</v>
      </c>
      <c r="K156" s="253">
        <v>1.603636363636364E-2</v>
      </c>
      <c r="L156" s="253">
        <v>2.147727272727273E-2</v>
      </c>
      <c r="M156" s="253">
        <v>2.7490909090909094E-2</v>
      </c>
      <c r="N156" s="253">
        <v>3.4077272727272741E-2</v>
      </c>
      <c r="O156" s="253">
        <v>4.0472727272727278E-2</v>
      </c>
      <c r="P156" s="253">
        <v>4.7250000000000007E-2</v>
      </c>
      <c r="Q156" s="253">
        <v>5.4409090909090914E-2</v>
      </c>
      <c r="R156" s="253">
        <v>6.1949999999999991E-2</v>
      </c>
      <c r="S156" s="253">
        <v>6.8727272727272734E-2</v>
      </c>
    </row>
    <row r="157" spans="1:19">
      <c r="A157" s="996"/>
      <c r="B157" s="996"/>
      <c r="C157" s="996"/>
      <c r="D157" s="996" t="s">
        <v>45</v>
      </c>
      <c r="E157" s="996"/>
      <c r="F157" s="996"/>
      <c r="G157" s="1007" t="s">
        <v>736</v>
      </c>
      <c r="H157" s="248">
        <v>1.75</v>
      </c>
      <c r="I157" s="248">
        <v>1.75</v>
      </c>
      <c r="J157" s="248">
        <v>1.75</v>
      </c>
      <c r="K157" s="248">
        <v>1.75</v>
      </c>
      <c r="L157" s="248">
        <v>1.75</v>
      </c>
      <c r="M157" s="248">
        <v>1.75</v>
      </c>
      <c r="N157" s="248">
        <v>1.75</v>
      </c>
      <c r="O157" s="248">
        <v>1.75</v>
      </c>
      <c r="P157" s="248">
        <v>1.75</v>
      </c>
      <c r="Q157" s="248">
        <v>1.75</v>
      </c>
      <c r="R157" s="248">
        <v>1.75</v>
      </c>
      <c r="S157" s="248">
        <v>1.75</v>
      </c>
    </row>
    <row r="158" spans="1:19">
      <c r="A158" s="989"/>
      <c r="B158" s="989"/>
      <c r="C158" s="996" t="s">
        <v>786</v>
      </c>
      <c r="D158" s="989"/>
      <c r="E158" s="989"/>
      <c r="F158" s="989"/>
      <c r="G158" s="990" t="s">
        <v>736</v>
      </c>
      <c r="H158" s="656">
        <v>-0.67754091948250694</v>
      </c>
      <c r="I158" s="656">
        <v>-0.77626861038076778</v>
      </c>
      <c r="J158" s="656">
        <v>-0.86506615802819753</v>
      </c>
      <c r="K158" s="656">
        <v>-0.95498077887901966</v>
      </c>
      <c r="L158" s="656">
        <v>-1.0276093751048623</v>
      </c>
      <c r="M158" s="656">
        <v>-1.1008286645072072</v>
      </c>
      <c r="N158" s="656">
        <v>-1.1746390099704305</v>
      </c>
      <c r="O158" s="656">
        <v>-1.2259103896681856</v>
      </c>
      <c r="P158" s="656">
        <v>-1.2775769760339564</v>
      </c>
      <c r="Q158" s="656">
        <v>-1.3296390109906591</v>
      </c>
      <c r="R158" s="656">
        <v>-1.3820967364612109</v>
      </c>
      <c r="S158" s="656">
        <v>-1.4114266174116685</v>
      </c>
    </row>
    <row r="159" spans="1:19">
      <c r="A159" s="996"/>
      <c r="B159" s="996"/>
      <c r="C159" s="996"/>
      <c r="D159" s="996" t="s">
        <v>787</v>
      </c>
      <c r="E159" s="996"/>
      <c r="F159" s="996"/>
      <c r="G159" s="990" t="s">
        <v>736</v>
      </c>
      <c r="H159" s="247">
        <v>-0.67754091948250694</v>
      </c>
      <c r="I159" s="247">
        <v>-0.77626861038076778</v>
      </c>
      <c r="J159" s="247">
        <v>-0.86506615802819753</v>
      </c>
      <c r="K159" s="247">
        <v>-0.95498077887901966</v>
      </c>
      <c r="L159" s="247">
        <v>-1.0276093751048623</v>
      </c>
      <c r="M159" s="247">
        <v>-1.1008286645072072</v>
      </c>
      <c r="N159" s="247">
        <v>-1.1746390099704305</v>
      </c>
      <c r="O159" s="247">
        <v>-1.2259103896681856</v>
      </c>
      <c r="P159" s="247">
        <v>-1.2775769760339564</v>
      </c>
      <c r="Q159" s="247">
        <v>-1.3296390109906591</v>
      </c>
      <c r="R159" s="247">
        <v>-1.3820967364612109</v>
      </c>
      <c r="S159" s="247">
        <v>-1.4114266174116685</v>
      </c>
    </row>
    <row r="160" spans="1:19">
      <c r="A160" s="989"/>
      <c r="B160" s="989"/>
      <c r="C160" s="989"/>
      <c r="D160" s="989"/>
      <c r="E160" s="989" t="s">
        <v>788</v>
      </c>
      <c r="F160" s="989"/>
      <c r="G160" s="990" t="s">
        <v>736</v>
      </c>
      <c r="H160" s="246">
        <v>-0.6275409194825069</v>
      </c>
      <c r="I160" s="246">
        <v>-0.72626861038076773</v>
      </c>
      <c r="J160" s="246">
        <v>-0.81506615802819748</v>
      </c>
      <c r="K160" s="246">
        <v>-0.90456984919568628</v>
      </c>
      <c r="L160" s="246">
        <v>-0.9731540385814248</v>
      </c>
      <c r="M160" s="246">
        <v>-1.0422678356072073</v>
      </c>
      <c r="N160" s="246">
        <v>-1.1119112402730347</v>
      </c>
      <c r="O160" s="246">
        <v>-1.1601938034570745</v>
      </c>
      <c r="P160" s="246">
        <v>-1.2088294384011438</v>
      </c>
      <c r="Q160" s="246">
        <v>-1.2578181451052424</v>
      </c>
      <c r="R160" s="246">
        <v>-1.3071599235693707</v>
      </c>
      <c r="S160" s="246">
        <v>-1.3346112529116685</v>
      </c>
    </row>
    <row r="161" spans="1:19">
      <c r="A161" s="989"/>
      <c r="B161" s="989"/>
      <c r="C161" s="989"/>
      <c r="D161" s="989"/>
      <c r="E161" s="989" t="s">
        <v>789</v>
      </c>
      <c r="F161" s="989"/>
      <c r="G161" s="990" t="s">
        <v>736</v>
      </c>
      <c r="H161" s="253">
        <v>-0.05</v>
      </c>
      <c r="I161" s="253">
        <v>-0.05</v>
      </c>
      <c r="J161" s="253">
        <v>-0.05</v>
      </c>
      <c r="K161" s="253">
        <v>-5.0410929683333341E-2</v>
      </c>
      <c r="L161" s="253">
        <v>-5.4455336523437502E-2</v>
      </c>
      <c r="M161" s="253">
        <v>-5.8560828899999987E-2</v>
      </c>
      <c r="N161" s="253">
        <v>-6.2727769697395838E-2</v>
      </c>
      <c r="O161" s="253">
        <v>-6.5716586211111108E-2</v>
      </c>
      <c r="P161" s="253">
        <v>-6.8747537632812508E-2</v>
      </c>
      <c r="Q161" s="253">
        <v>-7.1820865885416668E-2</v>
      </c>
      <c r="R161" s="253">
        <v>-7.4936812891840274E-2</v>
      </c>
      <c r="S161" s="253">
        <v>-7.6815364500000011E-2</v>
      </c>
    </row>
    <row r="162" spans="1:19">
      <c r="A162" s="989"/>
      <c r="B162" s="989"/>
      <c r="C162" s="989"/>
      <c r="D162" s="989"/>
      <c r="E162" s="989" t="s">
        <v>790</v>
      </c>
      <c r="F162" s="989"/>
      <c r="G162" s="990" t="s">
        <v>736</v>
      </c>
      <c r="H162" s="617"/>
      <c r="I162" s="617"/>
      <c r="J162" s="617"/>
      <c r="K162" s="617"/>
      <c r="L162" s="617"/>
      <c r="M162" s="617"/>
      <c r="N162" s="617"/>
      <c r="O162" s="617"/>
      <c r="P162" s="617"/>
      <c r="Q162" s="617"/>
      <c r="R162" s="617"/>
      <c r="S162" s="617"/>
    </row>
    <row r="163" spans="1:19">
      <c r="A163" s="989"/>
      <c r="B163" s="989"/>
      <c r="C163" s="989"/>
      <c r="D163" s="996" t="s">
        <v>791</v>
      </c>
      <c r="E163" s="989"/>
      <c r="F163" s="989"/>
      <c r="G163" s="990" t="s">
        <v>736</v>
      </c>
      <c r="H163" s="617"/>
      <c r="I163" s="617"/>
      <c r="J163" s="617"/>
      <c r="K163" s="617"/>
      <c r="L163" s="617"/>
      <c r="M163" s="617"/>
      <c r="N163" s="617"/>
      <c r="O163" s="617"/>
      <c r="P163" s="617"/>
      <c r="Q163" s="617"/>
      <c r="R163" s="617"/>
      <c r="S163" s="617"/>
    </row>
    <row r="164" spans="1:19">
      <c r="A164" s="996"/>
      <c r="B164" s="996"/>
      <c r="C164" s="996" t="s">
        <v>701</v>
      </c>
      <c r="D164" s="996"/>
      <c r="E164" s="989"/>
      <c r="F164" s="990"/>
      <c r="G164" s="990" t="s">
        <v>736</v>
      </c>
      <c r="H164" s="245">
        <v>0</v>
      </c>
      <c r="I164" s="245">
        <v>0</v>
      </c>
      <c r="J164" s="245">
        <v>0</v>
      </c>
      <c r="K164" s="245">
        <v>0</v>
      </c>
      <c r="L164" s="245">
        <v>0</v>
      </c>
      <c r="M164" s="245">
        <v>0</v>
      </c>
      <c r="N164" s="245">
        <v>0</v>
      </c>
      <c r="O164" s="245">
        <v>0</v>
      </c>
      <c r="P164" s="245">
        <v>0</v>
      </c>
      <c r="Q164" s="245">
        <v>0</v>
      </c>
      <c r="R164" s="245">
        <v>0</v>
      </c>
      <c r="S164" s="245">
        <v>0</v>
      </c>
    </row>
    <row r="165" spans="1:19">
      <c r="A165" s="996"/>
      <c r="B165" s="996"/>
      <c r="C165" s="996"/>
      <c r="D165" s="989"/>
      <c r="E165" s="989" t="s">
        <v>668</v>
      </c>
      <c r="F165" s="990"/>
      <c r="G165" s="990" t="s">
        <v>736</v>
      </c>
      <c r="H165" s="617"/>
      <c r="I165" s="617"/>
      <c r="J165" s="617"/>
      <c r="K165" s="617"/>
      <c r="L165" s="617"/>
      <c r="M165" s="617"/>
      <c r="N165" s="617"/>
      <c r="O165" s="617"/>
      <c r="P165" s="617"/>
      <c r="Q165" s="617"/>
      <c r="R165" s="617"/>
      <c r="S165" s="617"/>
    </row>
    <row r="166" spans="1:19">
      <c r="A166" s="996"/>
      <c r="B166" s="996"/>
      <c r="C166" s="996"/>
      <c r="D166" s="989"/>
      <c r="E166" s="989" t="s">
        <v>235</v>
      </c>
      <c r="F166" s="990"/>
      <c r="G166" s="990" t="s">
        <v>736</v>
      </c>
      <c r="H166" s="617"/>
      <c r="I166" s="617"/>
      <c r="J166" s="617"/>
      <c r="K166" s="617"/>
      <c r="L166" s="617"/>
      <c r="M166" s="617"/>
      <c r="N166" s="617"/>
      <c r="O166" s="617"/>
      <c r="P166" s="617"/>
      <c r="Q166" s="617"/>
      <c r="R166" s="617"/>
      <c r="S166" s="617"/>
    </row>
    <row r="167" spans="1:19">
      <c r="A167" s="996"/>
      <c r="B167" s="996"/>
      <c r="C167" s="996"/>
      <c r="D167" s="989"/>
      <c r="E167" s="989" t="s">
        <v>315</v>
      </c>
      <c r="F167" s="990"/>
      <c r="G167" s="990" t="s">
        <v>736</v>
      </c>
      <c r="H167" s="617"/>
      <c r="I167" s="617"/>
      <c r="J167" s="617"/>
      <c r="K167" s="617"/>
      <c r="L167" s="617"/>
      <c r="M167" s="617"/>
      <c r="N167" s="617"/>
      <c r="O167" s="617"/>
      <c r="P167" s="617"/>
      <c r="Q167" s="617"/>
      <c r="R167" s="617"/>
      <c r="S167" s="617"/>
    </row>
    <row r="168" spans="1:19">
      <c r="A168" s="996"/>
      <c r="B168" s="996"/>
      <c r="C168" s="996"/>
      <c r="D168" s="989"/>
      <c r="E168" s="989" t="s">
        <v>163</v>
      </c>
      <c r="F168" s="990"/>
      <c r="G168" s="990" t="s">
        <v>736</v>
      </c>
      <c r="H168" s="617"/>
      <c r="I168" s="617"/>
      <c r="J168" s="617"/>
      <c r="K168" s="617"/>
      <c r="L168" s="617"/>
      <c r="M168" s="617"/>
      <c r="N168" s="617"/>
      <c r="O168" s="617"/>
      <c r="P168" s="617"/>
      <c r="Q168" s="617"/>
      <c r="R168" s="617"/>
      <c r="S168" s="617"/>
    </row>
    <row r="169" spans="1:19">
      <c r="A169" s="996"/>
      <c r="B169" s="996"/>
      <c r="C169" s="996"/>
      <c r="D169" s="989"/>
      <c r="E169" s="989" t="s">
        <v>152</v>
      </c>
      <c r="F169" s="989"/>
      <c r="G169" s="990" t="s">
        <v>736</v>
      </c>
      <c r="H169" s="617"/>
      <c r="I169" s="617"/>
      <c r="J169" s="617"/>
      <c r="K169" s="617"/>
      <c r="L169" s="617"/>
      <c r="M169" s="617"/>
      <c r="N169" s="617"/>
      <c r="O169" s="617"/>
      <c r="P169" s="617"/>
      <c r="Q169" s="617"/>
      <c r="R169" s="617"/>
      <c r="S169" s="617"/>
    </row>
    <row r="170" spans="1:19">
      <c r="A170" s="996"/>
      <c r="B170" s="996"/>
      <c r="C170" s="996"/>
      <c r="D170" s="996"/>
      <c r="E170" s="989" t="s">
        <v>738</v>
      </c>
      <c r="F170" s="1007"/>
      <c r="G170" s="990" t="s">
        <v>736</v>
      </c>
      <c r="H170" s="246"/>
      <c r="I170" s="246"/>
      <c r="J170" s="246"/>
      <c r="K170" s="246"/>
      <c r="L170" s="246"/>
      <c r="M170" s="246"/>
      <c r="N170" s="246"/>
      <c r="O170" s="246"/>
      <c r="P170" s="246"/>
      <c r="Q170" s="246"/>
      <c r="R170" s="246"/>
      <c r="S170" s="246"/>
    </row>
    <row r="171" spans="1:19">
      <c r="A171" s="996"/>
      <c r="B171" s="996"/>
      <c r="C171" s="996" t="s">
        <v>469</v>
      </c>
      <c r="D171" s="996"/>
      <c r="E171" s="989"/>
      <c r="F171" s="1007"/>
      <c r="G171" s="990" t="s">
        <v>736</v>
      </c>
      <c r="H171" s="247">
        <v>1.2184095059486109</v>
      </c>
      <c r="I171" s="247">
        <v>1.1645764858676539</v>
      </c>
      <c r="J171" s="247">
        <v>1.1235338986887771</v>
      </c>
      <c r="K171" s="247">
        <v>1.0867111670679501</v>
      </c>
      <c r="L171" s="247">
        <v>1.0649029219255</v>
      </c>
      <c r="M171" s="247">
        <v>1.0465136026518838</v>
      </c>
      <c r="N171" s="247">
        <v>1.0315450654820435</v>
      </c>
      <c r="O171" s="247">
        <v>1.0335177111904001</v>
      </c>
      <c r="P171" s="247">
        <v>1.0377768403234653</v>
      </c>
      <c r="Q171" s="247">
        <v>1.0443237272314054</v>
      </c>
      <c r="R171" s="247">
        <v>1.0531596534566194</v>
      </c>
      <c r="S171" s="247">
        <v>1.0755271223610587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2E138-C29B-4D48-A7DB-FCB00E1C7147}">
  <dimension ref="A2:DQ858"/>
  <sheetViews>
    <sheetView topLeftCell="C1" zoomScale="90" zoomScaleNormal="90" workbookViewId="0">
      <pane ySplit="3" topLeftCell="A255" activePane="bottomLeft" state="frozen"/>
      <selection activeCell="C1" sqref="C1"/>
      <selection pane="bottomLeft" activeCell="DE254" sqref="DE254"/>
    </sheetView>
  </sheetViews>
  <sheetFormatPr baseColWidth="10" defaultColWidth="9.1640625" defaultRowHeight="14" outlineLevelRow="2" outlineLevelCol="1"/>
  <cols>
    <col min="1" max="6" width="1.6640625" style="126" customWidth="1"/>
    <col min="7" max="7" width="4.83203125" style="126" customWidth="1"/>
    <col min="8" max="8" width="30.5" style="609" customWidth="1"/>
    <col min="9" max="9" width="8.5" style="609" customWidth="1"/>
    <col min="10" max="13" width="9.1640625" style="609" hidden="1" customWidth="1" outlineLevel="1"/>
    <col min="14" max="20" width="10.6640625" style="126" hidden="1" customWidth="1" outlineLevel="1"/>
    <col min="21" max="21" width="10.6640625" style="126" hidden="1" customWidth="1" collapsed="1"/>
    <col min="22" max="27" width="10.6640625" style="126" hidden="1" customWidth="1" outlineLevel="1"/>
    <col min="28" max="32" width="9.1640625" style="126" hidden="1" customWidth="1" outlineLevel="1"/>
    <col min="33" max="33" width="10.5" style="126" hidden="1" customWidth="1" collapsed="1"/>
    <col min="34" max="34" width="8.5" style="126" hidden="1" customWidth="1" outlineLevel="1"/>
    <col min="35" max="35" width="9.5" style="126" hidden="1" customWidth="1" outlineLevel="1"/>
    <col min="36" max="36" width="9.83203125" style="126" hidden="1" customWidth="1" outlineLevel="1"/>
    <col min="37" max="37" width="9.1640625" style="126" hidden="1" customWidth="1" outlineLevel="1"/>
    <col min="38" max="38" width="9.5" style="126" hidden="1" customWidth="1" outlineLevel="1"/>
    <col min="39" max="39" width="9.83203125" style="126" hidden="1" customWidth="1" outlineLevel="1"/>
    <col min="40" max="41" width="9.1640625" style="126" hidden="1" customWidth="1" outlineLevel="1"/>
    <col min="42" max="42" width="10.1640625" style="126" hidden="1" customWidth="1" outlineLevel="1"/>
    <col min="43" max="43" width="8.83203125" style="126" hidden="1" customWidth="1" outlineLevel="1"/>
    <col min="44" max="44" width="9.1640625" style="126" hidden="1" customWidth="1" outlineLevel="1"/>
    <col min="45" max="45" width="9.5" style="126" hidden="1" customWidth="1" collapsed="1"/>
    <col min="46" max="56" width="9.1640625" style="126" customWidth="1" outlineLevel="1"/>
    <col min="57" max="57" width="10.5" style="126" customWidth="1"/>
    <col min="58" max="58" width="9.1640625" style="126" hidden="1" customWidth="1" outlineLevel="1"/>
    <col min="59" max="68" width="9.5" style="126" hidden="1" customWidth="1" outlineLevel="1"/>
    <col min="69" max="69" width="9.5" style="126" hidden="1" customWidth="1" collapsed="1"/>
    <col min="70" max="76" width="9.1640625" style="126" hidden="1" customWidth="1" outlineLevel="1"/>
    <col min="77" max="80" width="10.6640625" style="126" hidden="1" customWidth="1" outlineLevel="1"/>
    <col min="81" max="81" width="10.6640625" style="126" hidden="1" customWidth="1" collapsed="1"/>
    <col min="82" max="92" width="10.6640625" style="126" hidden="1" customWidth="1" outlineLevel="1"/>
    <col min="93" max="93" width="10.6640625" style="126" hidden="1" customWidth="1" collapsed="1"/>
    <col min="94" max="104" width="10.6640625" style="126" hidden="1" customWidth="1" outlineLevel="1"/>
    <col min="105" max="105" width="10.6640625" style="126" hidden="1" customWidth="1" collapsed="1"/>
    <col min="106" max="107" width="9.1640625" style="126" hidden="1" customWidth="1"/>
    <col min="108" max="108" width="10.1640625" style="126" hidden="1" customWidth="1"/>
    <col min="109" max="109" width="9.1640625" style="126"/>
    <col min="110" max="110" width="9.1640625" style="126" hidden="1" customWidth="1"/>
    <col min="111" max="112" width="10.5" style="126" hidden="1" customWidth="1"/>
    <col min="113" max="113" width="0" style="126" hidden="1" customWidth="1"/>
    <col min="114" max="16384" width="9.1640625" style="126"/>
  </cols>
  <sheetData>
    <row r="2" spans="4:121">
      <c r="DF2" s="833" t="s">
        <v>792</v>
      </c>
    </row>
    <row r="3" spans="4:121">
      <c r="J3" s="834">
        <v>44562</v>
      </c>
      <c r="K3" s="834">
        <v>44593</v>
      </c>
      <c r="L3" s="834">
        <v>44621</v>
      </c>
      <c r="M3" s="834">
        <v>44652</v>
      </c>
      <c r="N3" s="834">
        <v>44682</v>
      </c>
      <c r="O3" s="834">
        <v>44713</v>
      </c>
      <c r="P3" s="834">
        <v>44743</v>
      </c>
      <c r="Q3" s="834">
        <v>44774</v>
      </c>
      <c r="R3" s="834">
        <v>44805</v>
      </c>
      <c r="S3" s="834">
        <v>44835</v>
      </c>
      <c r="T3" s="834">
        <v>44866</v>
      </c>
      <c r="U3" s="834">
        <v>44896</v>
      </c>
      <c r="V3" s="835">
        <v>44927</v>
      </c>
      <c r="W3" s="835">
        <v>44958</v>
      </c>
      <c r="X3" s="835">
        <v>44986</v>
      </c>
      <c r="Y3" s="835">
        <v>45017</v>
      </c>
      <c r="Z3" s="835">
        <v>45047</v>
      </c>
      <c r="AA3" s="835">
        <v>45078</v>
      </c>
      <c r="AB3" s="835">
        <v>45108</v>
      </c>
      <c r="AC3" s="835">
        <v>45139</v>
      </c>
      <c r="AD3" s="835">
        <v>45170</v>
      </c>
      <c r="AE3" s="835">
        <v>45200</v>
      </c>
      <c r="AF3" s="835">
        <v>45231</v>
      </c>
      <c r="AG3" s="835">
        <v>45261</v>
      </c>
      <c r="AH3" s="836">
        <v>45292</v>
      </c>
      <c r="AI3" s="836">
        <v>45323</v>
      </c>
      <c r="AJ3" s="836">
        <v>45352</v>
      </c>
      <c r="AK3" s="836">
        <v>45383</v>
      </c>
      <c r="AL3" s="836">
        <v>45413</v>
      </c>
      <c r="AM3" s="836">
        <v>45444</v>
      </c>
      <c r="AN3" s="836">
        <v>45474</v>
      </c>
      <c r="AO3" s="836">
        <v>45505</v>
      </c>
      <c r="AP3" s="836">
        <v>45536</v>
      </c>
      <c r="AQ3" s="836">
        <v>45566</v>
      </c>
      <c r="AR3" s="836">
        <v>45597</v>
      </c>
      <c r="AS3" s="836">
        <v>45627</v>
      </c>
      <c r="AT3" s="837">
        <v>45658</v>
      </c>
      <c r="AU3" s="837">
        <v>45689</v>
      </c>
      <c r="AV3" s="837">
        <v>45717</v>
      </c>
      <c r="AW3" s="837">
        <v>45748</v>
      </c>
      <c r="AX3" s="837">
        <v>45778</v>
      </c>
      <c r="AY3" s="837">
        <v>45809</v>
      </c>
      <c r="AZ3" s="837">
        <v>45839</v>
      </c>
      <c r="BA3" s="837">
        <v>45870</v>
      </c>
      <c r="BB3" s="837">
        <v>45901</v>
      </c>
      <c r="BC3" s="837">
        <v>45931</v>
      </c>
      <c r="BD3" s="837">
        <v>45962</v>
      </c>
      <c r="BE3" s="837">
        <v>45992</v>
      </c>
      <c r="BF3" s="834">
        <v>46023</v>
      </c>
      <c r="BG3" s="834">
        <v>46054</v>
      </c>
      <c r="BH3" s="834">
        <v>46082</v>
      </c>
      <c r="BI3" s="834">
        <v>46113</v>
      </c>
      <c r="BJ3" s="834">
        <v>46143</v>
      </c>
      <c r="BK3" s="834">
        <v>46174</v>
      </c>
      <c r="BL3" s="834">
        <v>46204</v>
      </c>
      <c r="BM3" s="834">
        <v>46235</v>
      </c>
      <c r="BN3" s="834">
        <v>46266</v>
      </c>
      <c r="BO3" s="834">
        <v>46296</v>
      </c>
      <c r="BP3" s="834">
        <v>46327</v>
      </c>
      <c r="BQ3" s="834">
        <v>46357</v>
      </c>
      <c r="BR3" s="834">
        <v>46388</v>
      </c>
      <c r="BS3" s="834">
        <v>46419</v>
      </c>
      <c r="BT3" s="834">
        <v>46447</v>
      </c>
      <c r="BU3" s="834">
        <v>46478</v>
      </c>
      <c r="BV3" s="834">
        <v>46508</v>
      </c>
      <c r="BW3" s="834">
        <v>46539</v>
      </c>
      <c r="BX3" s="834">
        <v>46569</v>
      </c>
      <c r="BY3" s="834">
        <v>46600</v>
      </c>
      <c r="BZ3" s="834">
        <v>46631</v>
      </c>
      <c r="CA3" s="834">
        <v>46661</v>
      </c>
      <c r="CB3" s="834">
        <v>46692</v>
      </c>
      <c r="CC3" s="834">
        <v>46722</v>
      </c>
      <c r="CD3" s="834">
        <v>46753</v>
      </c>
      <c r="CE3" s="834">
        <v>46784</v>
      </c>
      <c r="CF3" s="834">
        <v>46813</v>
      </c>
      <c r="CG3" s="834">
        <v>46844</v>
      </c>
      <c r="CH3" s="834">
        <v>46874</v>
      </c>
      <c r="CI3" s="834">
        <v>46905</v>
      </c>
      <c r="CJ3" s="834">
        <v>46935</v>
      </c>
      <c r="CK3" s="834">
        <v>46966</v>
      </c>
      <c r="CL3" s="834">
        <v>46997</v>
      </c>
      <c r="CM3" s="834">
        <v>47027</v>
      </c>
      <c r="CN3" s="834">
        <v>47058</v>
      </c>
      <c r="CO3" s="834">
        <v>47088</v>
      </c>
      <c r="CP3" s="584">
        <v>47119</v>
      </c>
      <c r="CQ3" s="584">
        <v>47150</v>
      </c>
      <c r="CR3" s="584">
        <v>47178</v>
      </c>
      <c r="CS3" s="584">
        <v>47209</v>
      </c>
      <c r="CT3" s="584">
        <v>47239</v>
      </c>
      <c r="CU3" s="584">
        <v>47270</v>
      </c>
      <c r="CV3" s="584">
        <v>47300</v>
      </c>
      <c r="CW3" s="584">
        <v>47331</v>
      </c>
      <c r="CX3" s="584">
        <v>47362</v>
      </c>
      <c r="CY3" s="584">
        <v>47392</v>
      </c>
      <c r="CZ3" s="584">
        <v>47423</v>
      </c>
      <c r="DA3" s="584">
        <v>47453</v>
      </c>
      <c r="DC3" s="838">
        <v>2023</v>
      </c>
      <c r="DD3" s="839">
        <f>DC3+1</f>
        <v>2024</v>
      </c>
      <c r="DE3" s="840">
        <f>DD3+1</f>
        <v>2025</v>
      </c>
      <c r="DF3" s="841">
        <f>DE3+1</f>
        <v>2026</v>
      </c>
      <c r="DG3" s="841">
        <v>2027</v>
      </c>
      <c r="DH3" s="841">
        <v>2028</v>
      </c>
      <c r="DI3" s="841">
        <v>2029</v>
      </c>
    </row>
    <row r="4" spans="4:121" ht="19">
      <c r="D4" s="842"/>
      <c r="E4" s="843" t="s">
        <v>735</v>
      </c>
      <c r="F4" s="843"/>
      <c r="G4" s="842"/>
      <c r="H4" s="842"/>
      <c r="I4" s="842"/>
      <c r="J4" s="844"/>
      <c r="K4" s="844"/>
      <c r="L4" s="845"/>
      <c r="M4" s="845"/>
      <c r="N4" s="845"/>
      <c r="O4" s="845"/>
      <c r="P4" s="845"/>
      <c r="Q4" s="845"/>
      <c r="R4" s="845"/>
      <c r="S4" s="845"/>
      <c r="T4" s="845"/>
      <c r="U4" s="845"/>
      <c r="V4" s="845"/>
      <c r="W4" s="845"/>
      <c r="X4" s="845"/>
      <c r="Y4" s="845"/>
      <c r="Z4" s="845"/>
      <c r="AA4" s="845"/>
      <c r="AB4" s="845"/>
      <c r="AC4" s="845"/>
      <c r="AD4" s="845"/>
      <c r="AE4" s="845"/>
      <c r="AF4" s="845"/>
      <c r="AG4" s="845"/>
      <c r="AH4" s="845"/>
      <c r="AI4" s="845"/>
      <c r="AJ4" s="845"/>
      <c r="AK4" s="845"/>
      <c r="AL4" s="845"/>
      <c r="AM4" s="845"/>
      <c r="AN4" s="845"/>
      <c r="AO4" s="845"/>
      <c r="AP4" s="845"/>
      <c r="AQ4" s="845"/>
      <c r="AR4" s="845"/>
      <c r="AS4" s="846" t="s">
        <v>347</v>
      </c>
      <c r="AT4" s="845"/>
      <c r="AU4" s="845"/>
      <c r="AV4" s="845"/>
      <c r="AW4" s="845"/>
      <c r="AX4" s="845"/>
      <c r="AY4" s="845"/>
      <c r="AZ4" s="845"/>
      <c r="BA4" s="845"/>
      <c r="BB4" s="845"/>
      <c r="BC4" s="845"/>
      <c r="BD4" s="845"/>
      <c r="BE4" s="845"/>
      <c r="BF4" s="845"/>
      <c r="BG4" s="845"/>
      <c r="BH4" s="845"/>
      <c r="BI4" s="845"/>
      <c r="BJ4" s="845"/>
      <c r="BK4" s="845"/>
      <c r="BL4" s="845"/>
      <c r="BM4" s="845"/>
      <c r="BN4" s="845"/>
      <c r="BO4" s="845"/>
      <c r="BP4" s="845"/>
      <c r="BQ4" s="845"/>
      <c r="BR4" s="845"/>
      <c r="BS4" s="845"/>
      <c r="BT4" s="845"/>
      <c r="BU4" s="845"/>
      <c r="BV4" s="845"/>
      <c r="BW4" s="845"/>
      <c r="BX4" s="845"/>
      <c r="BY4" s="845"/>
      <c r="BZ4" s="845"/>
      <c r="CA4" s="845"/>
      <c r="CB4" s="845"/>
      <c r="CC4" s="845"/>
      <c r="CD4" s="845"/>
      <c r="CE4" s="845"/>
      <c r="CF4" s="845"/>
      <c r="CG4" s="845"/>
      <c r="CH4" s="845"/>
      <c r="CI4" s="845"/>
      <c r="CJ4" s="845"/>
      <c r="CK4" s="845"/>
      <c r="CL4" s="845"/>
      <c r="CM4" s="845"/>
      <c r="CN4" s="845"/>
      <c r="CO4" s="845"/>
      <c r="CP4" s="845"/>
      <c r="CQ4" s="845"/>
      <c r="CR4" s="845"/>
      <c r="CS4" s="845"/>
      <c r="CT4" s="845"/>
      <c r="CU4" s="845"/>
      <c r="CV4" s="845"/>
      <c r="CW4" s="845"/>
      <c r="CX4" s="845"/>
      <c r="CY4" s="845"/>
      <c r="CZ4" s="845"/>
      <c r="DA4" s="845"/>
      <c r="DC4" s="847"/>
      <c r="DD4" s="847"/>
      <c r="DE4" s="847"/>
      <c r="DF4" s="847"/>
      <c r="DG4" s="847"/>
      <c r="DH4" s="847"/>
    </row>
    <row r="5" spans="4:121" ht="13" customHeight="1">
      <c r="D5" s="107"/>
      <c r="E5" s="698" t="s">
        <v>793</v>
      </c>
      <c r="H5" s="126"/>
      <c r="I5" s="848" t="s">
        <v>743</v>
      </c>
      <c r="J5" s="722">
        <f t="shared" ref="J5:BU5" si="0">J57+J227+J352+J399+J589+J711</f>
        <v>0</v>
      </c>
      <c r="K5" s="722">
        <f t="shared" si="0"/>
        <v>0</v>
      </c>
      <c r="L5" s="722">
        <f t="shared" si="0"/>
        <v>0</v>
      </c>
      <c r="M5" s="722">
        <f t="shared" si="0"/>
        <v>0</v>
      </c>
      <c r="N5" s="722">
        <f t="shared" si="0"/>
        <v>0</v>
      </c>
      <c r="O5" s="722">
        <f t="shared" si="0"/>
        <v>0</v>
      </c>
      <c r="P5" s="722">
        <f t="shared" si="0"/>
        <v>0</v>
      </c>
      <c r="Q5" s="722">
        <f t="shared" si="0"/>
        <v>0</v>
      </c>
      <c r="R5" s="722">
        <f t="shared" si="0"/>
        <v>0</v>
      </c>
      <c r="S5" s="722">
        <f t="shared" si="0"/>
        <v>0</v>
      </c>
      <c r="T5" s="722">
        <f t="shared" si="0"/>
        <v>0</v>
      </c>
      <c r="U5" s="722">
        <f t="shared" si="0"/>
        <v>0</v>
      </c>
      <c r="V5" s="722">
        <f t="shared" si="0"/>
        <v>1.2999999999999999E-2</v>
      </c>
      <c r="W5" s="722">
        <f t="shared" si="0"/>
        <v>0.02</v>
      </c>
      <c r="X5" s="722">
        <f t="shared" si="0"/>
        <v>0.64400000000000002</v>
      </c>
      <c r="Y5" s="722">
        <f t="shared" si="0"/>
        <v>0.70199999999999996</v>
      </c>
      <c r="Z5" s="722">
        <f t="shared" si="0"/>
        <v>4.476</v>
      </c>
      <c r="AA5" s="722">
        <f t="shared" si="0"/>
        <v>7.7709999999999999</v>
      </c>
      <c r="AB5" s="722">
        <f t="shared" si="0"/>
        <v>11.876000000000001</v>
      </c>
      <c r="AC5" s="722">
        <f t="shared" si="0"/>
        <v>11.981000000000002</v>
      </c>
      <c r="AD5" s="722">
        <f t="shared" si="0"/>
        <v>13.315</v>
      </c>
      <c r="AE5" s="722">
        <f t="shared" si="0"/>
        <v>18.048999999999999</v>
      </c>
      <c r="AF5" s="722">
        <f t="shared" si="0"/>
        <v>19.106000000000002</v>
      </c>
      <c r="AG5" s="722">
        <f t="shared" si="0"/>
        <v>22.669</v>
      </c>
      <c r="AH5" s="722">
        <f t="shared" si="0"/>
        <v>22.085999999999999</v>
      </c>
      <c r="AI5" s="722">
        <f t="shared" si="0"/>
        <v>18.485999999999997</v>
      </c>
      <c r="AJ5" s="722">
        <f t="shared" si="0"/>
        <v>23.348999999999997</v>
      </c>
      <c r="AK5" s="722">
        <f t="shared" si="0"/>
        <v>29.703000000000003</v>
      </c>
      <c r="AL5" s="722">
        <f t="shared" si="0"/>
        <v>39.988999999999997</v>
      </c>
      <c r="AM5" s="722">
        <f t="shared" si="0"/>
        <v>56.642999999999994</v>
      </c>
      <c r="AN5" s="722">
        <f t="shared" si="0"/>
        <v>72.704999999999998</v>
      </c>
      <c r="AO5" s="722">
        <f t="shared" si="0"/>
        <v>73.099000000000004</v>
      </c>
      <c r="AP5" s="722">
        <f t="shared" si="0"/>
        <v>75.283999999999992</v>
      </c>
      <c r="AQ5" s="722">
        <f t="shared" si="0"/>
        <v>81.019000000000005</v>
      </c>
      <c r="AR5" s="722">
        <f t="shared" si="0"/>
        <v>80.099806518283344</v>
      </c>
      <c r="AS5" s="722">
        <f t="shared" si="0"/>
        <v>87.106527071150339</v>
      </c>
      <c r="AT5" s="715">
        <f t="shared" si="0"/>
        <v>85.754398148148141</v>
      </c>
      <c r="AU5" s="715">
        <f t="shared" si="0"/>
        <v>80.37824074074075</v>
      </c>
      <c r="AV5" s="715">
        <f t="shared" si="0"/>
        <v>89.702083333333334</v>
      </c>
      <c r="AW5" s="715">
        <f t="shared" si="0"/>
        <v>95.165509259259252</v>
      </c>
      <c r="AX5" s="715">
        <f t="shared" si="0"/>
        <v>100.62893518518517</v>
      </c>
      <c r="AY5" s="715">
        <f t="shared" si="0"/>
        <v>106.0923611111111</v>
      </c>
      <c r="AZ5" s="715">
        <f t="shared" si="0"/>
        <v>111.55578703703701</v>
      </c>
      <c r="BA5" s="715">
        <f t="shared" si="0"/>
        <v>117.01921296296294</v>
      </c>
      <c r="BB5" s="715">
        <f t="shared" si="0"/>
        <v>122.48263888888886</v>
      </c>
      <c r="BC5" s="715">
        <f t="shared" si="0"/>
        <v>127.94606481481478</v>
      </c>
      <c r="BD5" s="715">
        <f t="shared" si="0"/>
        <v>133.40949074074069</v>
      </c>
      <c r="BE5" s="715">
        <f t="shared" si="0"/>
        <v>141.61666666666667</v>
      </c>
      <c r="BF5" s="722">
        <f t="shared" si="0"/>
        <v>139.59710144927533</v>
      </c>
      <c r="BG5" s="722">
        <f t="shared" si="0"/>
        <v>137.57753623188407</v>
      </c>
      <c r="BH5" s="722">
        <f t="shared" si="0"/>
        <v>135.55797101449275</v>
      </c>
      <c r="BI5" s="722">
        <f t="shared" si="0"/>
        <v>133.53840579710143</v>
      </c>
      <c r="BJ5" s="722">
        <f t="shared" si="0"/>
        <v>131.51884057971012</v>
      </c>
      <c r="BK5" s="722">
        <f t="shared" si="0"/>
        <v>129.49927536231883</v>
      </c>
      <c r="BL5" s="722">
        <f t="shared" si="0"/>
        <v>127.47971014492752</v>
      </c>
      <c r="BM5" s="722">
        <f t="shared" si="0"/>
        <v>125.46014492753621</v>
      </c>
      <c r="BN5" s="722">
        <f t="shared" si="0"/>
        <v>123.44057971014489</v>
      </c>
      <c r="BO5" s="722">
        <f t="shared" si="0"/>
        <v>121.42101449275359</v>
      </c>
      <c r="BP5" s="722">
        <f t="shared" si="0"/>
        <v>119.4014492753623</v>
      </c>
      <c r="BQ5" s="722">
        <f t="shared" si="0"/>
        <v>118.81666666666666</v>
      </c>
      <c r="BR5" s="722">
        <f t="shared" si="0"/>
        <v>122.21527777777777</v>
      </c>
      <c r="BS5" s="722">
        <f t="shared" si="0"/>
        <v>125.61388888888887</v>
      </c>
      <c r="BT5" s="722">
        <f t="shared" si="0"/>
        <v>129.01249999999999</v>
      </c>
      <c r="BU5" s="722">
        <f t="shared" si="0"/>
        <v>132.4111111111111</v>
      </c>
      <c r="BV5" s="722">
        <f t="shared" ref="BV5:DA5" si="1">BV57+BV227+BV352+BV399+BV589+BV711</f>
        <v>135.80972222222218</v>
      </c>
      <c r="BW5" s="722">
        <f t="shared" si="1"/>
        <v>139.20833333333331</v>
      </c>
      <c r="BX5" s="722">
        <f t="shared" si="1"/>
        <v>142.60694444444445</v>
      </c>
      <c r="BY5" s="722">
        <f t="shared" si="1"/>
        <v>146.00555555555553</v>
      </c>
      <c r="BZ5" s="722">
        <f t="shared" si="1"/>
        <v>149.40416666666664</v>
      </c>
      <c r="CA5" s="722">
        <f t="shared" si="1"/>
        <v>152.80277777777778</v>
      </c>
      <c r="CB5" s="722">
        <f t="shared" si="1"/>
        <v>156.20138888888889</v>
      </c>
      <c r="CC5" s="722">
        <f t="shared" si="1"/>
        <v>159.6</v>
      </c>
      <c r="CD5" s="722">
        <f t="shared" si="1"/>
        <v>162.35816666666668</v>
      </c>
      <c r="CE5" s="722">
        <f t="shared" si="1"/>
        <v>165.11633333333336</v>
      </c>
      <c r="CF5" s="722">
        <f t="shared" si="1"/>
        <v>167.87450000000001</v>
      </c>
      <c r="CG5" s="722">
        <f t="shared" si="1"/>
        <v>170.63266666666667</v>
      </c>
      <c r="CH5" s="722">
        <f t="shared" si="1"/>
        <v>173.39083333333335</v>
      </c>
      <c r="CI5" s="722">
        <f t="shared" si="1"/>
        <v>176.149</v>
      </c>
      <c r="CJ5" s="722">
        <f t="shared" si="1"/>
        <v>178.90716666666665</v>
      </c>
      <c r="CK5" s="722">
        <f t="shared" si="1"/>
        <v>181.66533333333334</v>
      </c>
      <c r="CL5" s="722">
        <f t="shared" si="1"/>
        <v>184.42349999999999</v>
      </c>
      <c r="CM5" s="722">
        <f t="shared" si="1"/>
        <v>187.18166666666664</v>
      </c>
      <c r="CN5" s="722">
        <f t="shared" si="1"/>
        <v>189.93983333333333</v>
      </c>
      <c r="CO5" s="722">
        <f t="shared" si="1"/>
        <v>192.69799999999998</v>
      </c>
      <c r="CP5" s="722">
        <f t="shared" si="1"/>
        <v>194.94296666666668</v>
      </c>
      <c r="CQ5" s="722">
        <f t="shared" si="1"/>
        <v>197.18793333333329</v>
      </c>
      <c r="CR5" s="722">
        <f t="shared" si="1"/>
        <v>199.43289999999999</v>
      </c>
      <c r="CS5" s="722">
        <f t="shared" si="1"/>
        <v>201.67786666666666</v>
      </c>
      <c r="CT5" s="722">
        <f t="shared" si="1"/>
        <v>203.9228333333333</v>
      </c>
      <c r="CU5" s="722">
        <f t="shared" si="1"/>
        <v>206.16779999999997</v>
      </c>
      <c r="CV5" s="722">
        <f t="shared" si="1"/>
        <v>208.41276666666661</v>
      </c>
      <c r="CW5" s="722">
        <f t="shared" si="1"/>
        <v>210.65773333333325</v>
      </c>
      <c r="CX5" s="722">
        <f t="shared" si="1"/>
        <v>212.90269999999992</v>
      </c>
      <c r="CY5" s="722">
        <f t="shared" si="1"/>
        <v>215.14766666666659</v>
      </c>
      <c r="CZ5" s="722">
        <f t="shared" si="1"/>
        <v>217.39263333333324</v>
      </c>
      <c r="DA5" s="722">
        <f t="shared" si="1"/>
        <v>219.63760000000002</v>
      </c>
      <c r="DC5" s="849">
        <f>SUM(V5:AG5)</f>
        <v>110.622</v>
      </c>
      <c r="DD5" s="849">
        <f>SUM(AH5:AS5)</f>
        <v>659.56933358943365</v>
      </c>
      <c r="DE5" s="849">
        <f>SUM(AT5:BE5)</f>
        <v>1311.7513888888884</v>
      </c>
      <c r="DF5" s="849">
        <f>SUM(AT5:BE5)</f>
        <v>1311.7513888888884</v>
      </c>
      <c r="DG5" s="849">
        <f>SUM(BR5:CC5)</f>
        <v>1690.8916666666664</v>
      </c>
      <c r="DH5" s="849">
        <f>SUM(CD5:CO5)</f>
        <v>2130.337</v>
      </c>
      <c r="DI5" s="11">
        <f>SUM(CP5:DA5)</f>
        <v>2487.4833999999996</v>
      </c>
    </row>
    <row r="6" spans="4:121" ht="13" customHeight="1">
      <c r="D6" s="107"/>
      <c r="E6" s="698" t="s">
        <v>794</v>
      </c>
      <c r="H6" s="126"/>
      <c r="I6" s="848" t="s">
        <v>743</v>
      </c>
      <c r="J6" s="722">
        <f t="shared" ref="J6:BU8" si="2">J58+J228+J353+J401+J590+J712</f>
        <v>0</v>
      </c>
      <c r="K6" s="722">
        <f t="shared" si="2"/>
        <v>0</v>
      </c>
      <c r="L6" s="722">
        <f t="shared" si="2"/>
        <v>0</v>
      </c>
      <c r="M6" s="722">
        <f t="shared" si="2"/>
        <v>0</v>
      </c>
      <c r="N6" s="722">
        <f t="shared" si="2"/>
        <v>0</v>
      </c>
      <c r="O6" s="722">
        <f t="shared" si="2"/>
        <v>0</v>
      </c>
      <c r="P6" s="722">
        <f t="shared" si="2"/>
        <v>0</v>
      </c>
      <c r="Q6" s="722">
        <f t="shared" si="2"/>
        <v>0</v>
      </c>
      <c r="R6" s="722">
        <f t="shared" si="2"/>
        <v>0</v>
      </c>
      <c r="S6" s="722">
        <f t="shared" si="2"/>
        <v>0</v>
      </c>
      <c r="T6" s="722">
        <f t="shared" si="2"/>
        <v>0</v>
      </c>
      <c r="U6" s="722">
        <f t="shared" si="2"/>
        <v>0</v>
      </c>
      <c r="V6" s="722">
        <f t="shared" si="2"/>
        <v>2.5000000000000001E-2</v>
      </c>
      <c r="W6" s="722">
        <f t="shared" si="2"/>
        <v>3.2000000000000001E-2</v>
      </c>
      <c r="X6" s="722">
        <f t="shared" si="2"/>
        <v>0.69499999999999995</v>
      </c>
      <c r="Y6" s="722">
        <f t="shared" si="2"/>
        <v>1.3939999999999999</v>
      </c>
      <c r="Z6" s="722">
        <f t="shared" si="2"/>
        <v>5.4729999999999999</v>
      </c>
      <c r="AA6" s="722">
        <f t="shared" si="2"/>
        <v>9.2880000000000003</v>
      </c>
      <c r="AB6" s="722">
        <f t="shared" si="2"/>
        <v>14.548</v>
      </c>
      <c r="AC6" s="722">
        <f t="shared" si="2"/>
        <v>19.545000000000002</v>
      </c>
      <c r="AD6" s="722">
        <f t="shared" si="2"/>
        <v>26.791</v>
      </c>
      <c r="AE6" s="722">
        <f t="shared" si="2"/>
        <v>36.873999999999995</v>
      </c>
      <c r="AF6" s="722">
        <f t="shared" si="2"/>
        <v>46.552999999999997</v>
      </c>
      <c r="AG6" s="722">
        <f t="shared" si="2"/>
        <v>59.663000000000004</v>
      </c>
      <c r="AH6" s="722">
        <f t="shared" si="2"/>
        <v>68.808999999999997</v>
      </c>
      <c r="AI6" s="722">
        <f t="shared" si="2"/>
        <v>74.435000000000002</v>
      </c>
      <c r="AJ6" s="722">
        <f t="shared" si="2"/>
        <v>81.277000000000001</v>
      </c>
      <c r="AK6" s="722">
        <f t="shared" si="2"/>
        <v>91.440000000000012</v>
      </c>
      <c r="AL6" s="722">
        <f t="shared" si="2"/>
        <v>101.50300000000001</v>
      </c>
      <c r="AM6" s="722">
        <f t="shared" si="2"/>
        <v>123.776</v>
      </c>
      <c r="AN6" s="722">
        <f t="shared" si="2"/>
        <v>166.203</v>
      </c>
      <c r="AO6" s="722">
        <f t="shared" si="2"/>
        <v>197.01700000000002</v>
      </c>
      <c r="AP6" s="722">
        <f t="shared" si="2"/>
        <v>222.916</v>
      </c>
      <c r="AQ6" s="722">
        <f t="shared" si="2"/>
        <v>254.8288</v>
      </c>
      <c r="AR6" s="722">
        <f t="shared" si="2"/>
        <v>271.90611889312117</v>
      </c>
      <c r="AS6" s="722">
        <f t="shared" si="2"/>
        <v>308.88580992053727</v>
      </c>
      <c r="AT6" s="715">
        <f t="shared" si="2"/>
        <v>338.72740352154932</v>
      </c>
      <c r="AU6" s="715">
        <f t="shared" si="2"/>
        <v>371.39604776854929</v>
      </c>
      <c r="AV6" s="715">
        <f t="shared" si="2"/>
        <v>409.07810150109594</v>
      </c>
      <c r="AW6" s="715">
        <f t="shared" si="2"/>
        <v>446.95830348632433</v>
      </c>
      <c r="AX6" s="715">
        <f t="shared" si="2"/>
        <v>487.47459594808413</v>
      </c>
      <c r="AY6" s="715">
        <f t="shared" si="2"/>
        <v>521.26125724003714</v>
      </c>
      <c r="AZ6" s="715">
        <f t="shared" si="2"/>
        <v>552.34035389719838</v>
      </c>
      <c r="BA6" s="715">
        <f t="shared" si="2"/>
        <v>588.77784589677321</v>
      </c>
      <c r="BB6" s="715">
        <f t="shared" si="2"/>
        <v>624.56783441662196</v>
      </c>
      <c r="BC6" s="715">
        <f t="shared" si="2"/>
        <v>661.73415663522735</v>
      </c>
      <c r="BD6" s="715">
        <f t="shared" si="2"/>
        <v>704.42590840493881</v>
      </c>
      <c r="BE6" s="715">
        <f t="shared" si="2"/>
        <v>749.41207769686014</v>
      </c>
      <c r="BF6" s="722">
        <f t="shared" si="2"/>
        <v>808.86580131357744</v>
      </c>
      <c r="BG6" s="722">
        <f t="shared" si="2"/>
        <v>861.13082850605736</v>
      </c>
      <c r="BH6" s="722">
        <f t="shared" si="2"/>
        <v>903.0286998692585</v>
      </c>
      <c r="BI6" s="722">
        <f t="shared" si="2"/>
        <v>938.81681184853096</v>
      </c>
      <c r="BJ6" s="722">
        <f t="shared" si="2"/>
        <v>968.50843474566557</v>
      </c>
      <c r="BK6" s="722">
        <f t="shared" si="2"/>
        <v>992.11449031722452</v>
      </c>
      <c r="BL6" s="722">
        <f t="shared" si="2"/>
        <v>1009.698387081891</v>
      </c>
      <c r="BM6" s="722">
        <f t="shared" si="2"/>
        <v>1021.1081146037029</v>
      </c>
      <c r="BN6" s="722">
        <f t="shared" si="2"/>
        <v>1026.2542163275382</v>
      </c>
      <c r="BO6" s="722">
        <f t="shared" si="2"/>
        <v>1025.4800461401126</v>
      </c>
      <c r="BP6" s="722">
        <f t="shared" si="2"/>
        <v>1018.6302440570997</v>
      </c>
      <c r="BQ6" s="722">
        <f t="shared" si="2"/>
        <v>1004.3746464368515</v>
      </c>
      <c r="BR6" s="722">
        <f t="shared" si="2"/>
        <v>995.91992699575269</v>
      </c>
      <c r="BS6" s="722">
        <f t="shared" si="2"/>
        <v>991.54304646825949</v>
      </c>
      <c r="BT6" s="722">
        <f t="shared" si="2"/>
        <v>991.12581433315302</v>
      </c>
      <c r="BU6" s="722">
        <f t="shared" si="2"/>
        <v>994.68660309358415</v>
      </c>
      <c r="BV6" s="722">
        <f t="shared" ref="BV6:DA8" si="3">BV58+BV228+BV353+BV401+BV590+BV712</f>
        <v>1002.1858493330445</v>
      </c>
      <c r="BW6" s="722">
        <f t="shared" si="3"/>
        <v>1013.653314724735</v>
      </c>
      <c r="BX6" s="722">
        <f t="shared" si="3"/>
        <v>1029.0614593568775</v>
      </c>
      <c r="BY6" s="722">
        <f t="shared" si="3"/>
        <v>1048.428451745013</v>
      </c>
      <c r="BZ6" s="722">
        <f t="shared" si="3"/>
        <v>1071.6957796718007</v>
      </c>
      <c r="CA6" s="722">
        <f t="shared" si="3"/>
        <v>1098.9211219095641</v>
      </c>
      <c r="CB6" s="722">
        <f t="shared" si="3"/>
        <v>1130.1114227079761</v>
      </c>
      <c r="CC6" s="722">
        <f t="shared" si="3"/>
        <v>1165.2673333993616</v>
      </c>
      <c r="CD6" s="722">
        <f t="shared" si="3"/>
        <v>1199.3044734131629</v>
      </c>
      <c r="CE6" s="722">
        <f t="shared" si="3"/>
        <v>1232.8408109153768</v>
      </c>
      <c r="CF6" s="722">
        <f t="shared" si="3"/>
        <v>1265.9018955229544</v>
      </c>
      <c r="CG6" s="722">
        <f t="shared" si="3"/>
        <v>1298.4877683857676</v>
      </c>
      <c r="CH6" s="722">
        <f t="shared" si="3"/>
        <v>1330.5980567508352</v>
      </c>
      <c r="CI6" s="722">
        <f t="shared" si="3"/>
        <v>1362.2300815031144</v>
      </c>
      <c r="CJ6" s="722">
        <f t="shared" si="3"/>
        <v>1393.3834272516165</v>
      </c>
      <c r="CK6" s="722">
        <f t="shared" si="3"/>
        <v>1424.0579943302926</v>
      </c>
      <c r="CL6" s="722">
        <f t="shared" si="3"/>
        <v>1454.2654698287301</v>
      </c>
      <c r="CM6" s="722">
        <f t="shared" si="3"/>
        <v>1483.9948863638019</v>
      </c>
      <c r="CN6" s="722">
        <f t="shared" si="3"/>
        <v>1513.2447260865495</v>
      </c>
      <c r="CO6" s="722">
        <f t="shared" si="3"/>
        <v>1540.5801227987663</v>
      </c>
      <c r="CP6" s="722">
        <f t="shared" si="3"/>
        <v>1566.2197781919492</v>
      </c>
      <c r="CQ6" s="722">
        <f t="shared" si="3"/>
        <v>1591.5960677369485</v>
      </c>
      <c r="CR6" s="722">
        <f t="shared" si="3"/>
        <v>1616.724347419884</v>
      </c>
      <c r="CS6" s="722">
        <f t="shared" si="3"/>
        <v>1641.6050474643725</v>
      </c>
      <c r="CT6" s="722">
        <f t="shared" si="3"/>
        <v>1666.2379415984151</v>
      </c>
      <c r="CU6" s="722">
        <f t="shared" si="3"/>
        <v>1690.6232564459012</v>
      </c>
      <c r="CV6" s="722">
        <f t="shared" si="3"/>
        <v>1714.7607879382517</v>
      </c>
      <c r="CW6" s="722">
        <f t="shared" si="3"/>
        <v>1738.6502735555605</v>
      </c>
      <c r="CX6" s="722">
        <f t="shared" si="3"/>
        <v>1762.2987570965761</v>
      </c>
      <c r="CY6" s="722">
        <f t="shared" si="3"/>
        <v>1785.6992586174579</v>
      </c>
      <c r="CZ6" s="722">
        <f t="shared" si="3"/>
        <v>1808.8506658643582</v>
      </c>
      <c r="DA6" s="722">
        <f t="shared" si="3"/>
        <v>1831.7527755030478</v>
      </c>
      <c r="DC6" s="849">
        <f>AS6</f>
        <v>308.88580992053727</v>
      </c>
      <c r="DD6" s="849">
        <f>AS6</f>
        <v>308.88580992053727</v>
      </c>
      <c r="DE6" s="849">
        <f>BE6</f>
        <v>749.41207769686014</v>
      </c>
      <c r="DF6" s="849">
        <f>BQ6</f>
        <v>1004.3746464368515</v>
      </c>
      <c r="DG6" s="849">
        <f>CC6</f>
        <v>1165.2673333993616</v>
      </c>
      <c r="DH6" s="849">
        <f>CO6</f>
        <v>1540.5801227987663</v>
      </c>
      <c r="DI6" s="11">
        <f>DA6</f>
        <v>1831.7527755030478</v>
      </c>
    </row>
    <row r="7" spans="4:121" ht="13" customHeight="1">
      <c r="E7" s="698" t="s">
        <v>795</v>
      </c>
      <c r="I7" s="609" t="s">
        <v>736</v>
      </c>
      <c r="J7" s="722">
        <f t="shared" si="2"/>
        <v>0</v>
      </c>
      <c r="K7" s="722">
        <f t="shared" si="2"/>
        <v>0</v>
      </c>
      <c r="L7" s="722">
        <f t="shared" si="2"/>
        <v>0</v>
      </c>
      <c r="M7" s="722">
        <f t="shared" si="2"/>
        <v>0</v>
      </c>
      <c r="N7" s="722">
        <f t="shared" si="2"/>
        <v>0</v>
      </c>
      <c r="O7" s="722">
        <f t="shared" si="2"/>
        <v>0</v>
      </c>
      <c r="P7" s="722">
        <f t="shared" si="2"/>
        <v>0</v>
      </c>
      <c r="Q7" s="722">
        <f t="shared" si="2"/>
        <v>0</v>
      </c>
      <c r="R7" s="722">
        <f t="shared" si="2"/>
        <v>0</v>
      </c>
      <c r="S7" s="722">
        <f t="shared" si="2"/>
        <v>0</v>
      </c>
      <c r="T7" s="722">
        <f t="shared" si="2"/>
        <v>0</v>
      </c>
      <c r="U7" s="722">
        <f t="shared" si="2"/>
        <v>0</v>
      </c>
      <c r="V7" s="722">
        <f t="shared" si="2"/>
        <v>1.801964103</v>
      </c>
      <c r="W7" s="722">
        <f t="shared" si="2"/>
        <v>3.9256032539999999</v>
      </c>
      <c r="X7" s="722">
        <f t="shared" si="2"/>
        <v>9.6652761409999997</v>
      </c>
      <c r="Y7" s="722">
        <f t="shared" si="2"/>
        <v>15.744796961</v>
      </c>
      <c r="Z7" s="722">
        <f t="shared" si="2"/>
        <v>27.739874431000004</v>
      </c>
      <c r="AA7" s="722">
        <f t="shared" si="2"/>
        <v>41.667730124999999</v>
      </c>
      <c r="AB7" s="722">
        <f t="shared" si="2"/>
        <v>91.739380961999984</v>
      </c>
      <c r="AC7" s="722">
        <f t="shared" si="2"/>
        <v>92.190229961999989</v>
      </c>
      <c r="AD7" s="722">
        <f t="shared" si="2"/>
        <v>100.29297</v>
      </c>
      <c r="AE7" s="722">
        <f t="shared" si="2"/>
        <v>134.15530000000001</v>
      </c>
      <c r="AF7" s="722">
        <f t="shared" si="2"/>
        <v>145.14384999999999</v>
      </c>
      <c r="AG7" s="722">
        <f t="shared" si="2"/>
        <v>223.39513651600001</v>
      </c>
      <c r="AH7" s="715">
        <f t="shared" si="2"/>
        <v>201.85746537400001</v>
      </c>
      <c r="AI7" s="715">
        <f t="shared" si="2"/>
        <v>153.55004783999999</v>
      </c>
      <c r="AJ7" s="715">
        <f t="shared" si="2"/>
        <v>182.92286756999999</v>
      </c>
      <c r="AK7" s="715">
        <f t="shared" si="2"/>
        <v>232.38917862900001</v>
      </c>
      <c r="AL7" s="715">
        <f t="shared" si="2"/>
        <v>263.21979150100003</v>
      </c>
      <c r="AM7" s="715">
        <f t="shared" si="2"/>
        <v>414.59449173799999</v>
      </c>
      <c r="AN7" s="715">
        <f t="shared" si="2"/>
        <v>534.833958542</v>
      </c>
      <c r="AO7" s="715">
        <f t="shared" si="2"/>
        <v>500.64131717199996</v>
      </c>
      <c r="AP7" s="715">
        <f t="shared" si="2"/>
        <v>521.14699907200009</v>
      </c>
      <c r="AQ7" s="715">
        <f t="shared" si="2"/>
        <v>597.17837454099993</v>
      </c>
      <c r="AR7" s="715">
        <f t="shared" si="2"/>
        <v>639.50500003580009</v>
      </c>
      <c r="AS7" s="715">
        <f t="shared" si="2"/>
        <v>712.12509058528019</v>
      </c>
      <c r="AT7" s="715">
        <f t="shared" si="2"/>
        <v>673.84650583333325</v>
      </c>
      <c r="AU7" s="715">
        <f t="shared" si="2"/>
        <v>614.50254750000011</v>
      </c>
      <c r="AV7" s="715">
        <f t="shared" si="2"/>
        <v>724.52473499999996</v>
      </c>
      <c r="AW7" s="715">
        <f t="shared" si="2"/>
        <v>791.31306833333315</v>
      </c>
      <c r="AX7" s="715">
        <f t="shared" si="2"/>
        <v>858.7175474999998</v>
      </c>
      <c r="AY7" s="715">
        <f t="shared" si="2"/>
        <v>926.73817249999991</v>
      </c>
      <c r="AZ7" s="715">
        <f t="shared" si="2"/>
        <v>995.37494333333314</v>
      </c>
      <c r="BA7" s="715">
        <f t="shared" si="2"/>
        <v>1064.6278599999996</v>
      </c>
      <c r="BB7" s="715">
        <f t="shared" si="2"/>
        <v>1134.4969224999998</v>
      </c>
      <c r="BC7" s="715">
        <f t="shared" si="2"/>
        <v>1204.982130833333</v>
      </c>
      <c r="BD7" s="715">
        <f t="shared" si="2"/>
        <v>1276.0834849999994</v>
      </c>
      <c r="BE7" s="715">
        <f>BE59+BE229+BE354+BE402+BE591+BE713</f>
        <v>1380.7259849999998</v>
      </c>
      <c r="BF7" s="715">
        <f t="shared" si="2"/>
        <v>1403.6235806521738</v>
      </c>
      <c r="BG7" s="715">
        <f t="shared" si="2"/>
        <v>1388.2718596376808</v>
      </c>
      <c r="BH7" s="715">
        <f t="shared" si="2"/>
        <v>1373.0205552898549</v>
      </c>
      <c r="BI7" s="715">
        <f t="shared" si="2"/>
        <v>1357.8696676086954</v>
      </c>
      <c r="BJ7" s="715">
        <f t="shared" si="2"/>
        <v>1342.8191965942026</v>
      </c>
      <c r="BK7" s="715">
        <f t="shared" si="2"/>
        <v>1327.8691422463764</v>
      </c>
      <c r="BL7" s="715">
        <f t="shared" si="2"/>
        <v>1313.0195045652172</v>
      </c>
      <c r="BM7" s="715">
        <f t="shared" si="2"/>
        <v>1298.2702835507246</v>
      </c>
      <c r="BN7" s="715">
        <f t="shared" si="2"/>
        <v>1283.6214792028984</v>
      </c>
      <c r="BO7" s="715">
        <f t="shared" si="2"/>
        <v>1269.0730915217387</v>
      </c>
      <c r="BP7" s="715">
        <f t="shared" si="2"/>
        <v>1254.6251205072458</v>
      </c>
      <c r="BQ7" s="715">
        <f t="shared" si="2"/>
        <v>1268.9732183333333</v>
      </c>
      <c r="BR7" s="715">
        <f t="shared" si="2"/>
        <v>1309.2351627777778</v>
      </c>
      <c r="BS7" s="715">
        <f t="shared" si="2"/>
        <v>1349.4498849999998</v>
      </c>
      <c r="BT7" s="715">
        <f t="shared" si="2"/>
        <v>1389.6173849999998</v>
      </c>
      <c r="BU7" s="715">
        <f t="shared" si="2"/>
        <v>1429.7376627777778</v>
      </c>
      <c r="BV7" s="715">
        <f t="shared" si="3"/>
        <v>1469.8107183333332</v>
      </c>
      <c r="BW7" s="715">
        <f t="shared" si="3"/>
        <v>1509.8365516666663</v>
      </c>
      <c r="BX7" s="715">
        <f t="shared" si="3"/>
        <v>1549.8151627777775</v>
      </c>
      <c r="BY7" s="715">
        <f t="shared" si="3"/>
        <v>1589.7465516666664</v>
      </c>
      <c r="BZ7" s="715">
        <f t="shared" si="3"/>
        <v>1629.6307183333333</v>
      </c>
      <c r="CA7" s="715">
        <f t="shared" si="3"/>
        <v>1669.4676627777776</v>
      </c>
      <c r="CB7" s="715">
        <f t="shared" si="3"/>
        <v>1709.2573850000001</v>
      </c>
      <c r="CC7" s="715">
        <f t="shared" si="3"/>
        <v>1748.9998849999999</v>
      </c>
      <c r="CD7" s="715">
        <f t="shared" si="3"/>
        <v>1784.8272183333333</v>
      </c>
      <c r="CE7" s="715">
        <f t="shared" si="3"/>
        <v>1820.6545516666667</v>
      </c>
      <c r="CF7" s="715">
        <f t="shared" si="3"/>
        <v>1856.4818850000001</v>
      </c>
      <c r="CG7" s="715">
        <f t="shared" si="3"/>
        <v>1892.3092183333331</v>
      </c>
      <c r="CH7" s="715">
        <f t="shared" si="3"/>
        <v>1928.1365516666665</v>
      </c>
      <c r="CI7" s="715">
        <f t="shared" si="3"/>
        <v>1963.9638849999997</v>
      </c>
      <c r="CJ7" s="715">
        <f t="shared" si="3"/>
        <v>1999.7912183333333</v>
      </c>
      <c r="CK7" s="715">
        <f t="shared" si="3"/>
        <v>2035.6185516666667</v>
      </c>
      <c r="CL7" s="715">
        <f t="shared" si="3"/>
        <v>2071.4458849999996</v>
      </c>
      <c r="CM7" s="715">
        <f t="shared" si="3"/>
        <v>2107.2732183333333</v>
      </c>
      <c r="CN7" s="715">
        <f t="shared" si="3"/>
        <v>2143.1005516666664</v>
      </c>
      <c r="CO7" s="715">
        <f t="shared" si="3"/>
        <v>2178.9278850000001</v>
      </c>
      <c r="CP7" s="715">
        <f t="shared" si="3"/>
        <v>2207.9693516666662</v>
      </c>
      <c r="CQ7" s="715">
        <f t="shared" si="3"/>
        <v>2237.0108183333336</v>
      </c>
      <c r="CR7" s="715">
        <f t="shared" si="3"/>
        <v>2266.0522849999998</v>
      </c>
      <c r="CS7" s="715">
        <f t="shared" si="3"/>
        <v>2295.0937516666663</v>
      </c>
      <c r="CT7" s="715">
        <f t="shared" si="3"/>
        <v>2324.1352183333333</v>
      </c>
      <c r="CU7" s="715">
        <f t="shared" si="3"/>
        <v>2353.1766849999995</v>
      </c>
      <c r="CV7" s="715">
        <f t="shared" si="3"/>
        <v>2382.218151666666</v>
      </c>
      <c r="CW7" s="715">
        <f t="shared" si="3"/>
        <v>2411.259618333333</v>
      </c>
      <c r="CX7" s="715">
        <f t="shared" si="3"/>
        <v>2440.3010849999996</v>
      </c>
      <c r="CY7" s="715">
        <f t="shared" si="3"/>
        <v>2469.3425516666662</v>
      </c>
      <c r="CZ7" s="715">
        <f t="shared" si="3"/>
        <v>2498.3840183333323</v>
      </c>
      <c r="DA7" s="715">
        <f t="shared" si="3"/>
        <v>2527.4254849999998</v>
      </c>
      <c r="DC7" s="849">
        <f>SUM(V7:AG7)</f>
        <v>887.46211245500001</v>
      </c>
      <c r="DD7" s="849">
        <f t="shared" ref="DD7:DD46" si="4">SUM(AH7:AS7)</f>
        <v>4953.9645826000806</v>
      </c>
      <c r="DE7" s="849">
        <f t="shared" ref="DE7:DE46" si="5">SUM(AT7:BE7)</f>
        <v>11645.933903333329</v>
      </c>
      <c r="DF7" s="849">
        <f>SUM(BF7:BQ7)</f>
        <v>15881.056699710141</v>
      </c>
      <c r="DG7" s="849">
        <f t="shared" ref="DG7:DG46" si="6">SUM(BR7:CC7)</f>
        <v>18354.604731111111</v>
      </c>
      <c r="DH7" s="849">
        <f t="shared" ref="DH7:DH46" si="7">SUM(CD7:CO7)</f>
        <v>23782.530619999998</v>
      </c>
      <c r="DI7" s="11">
        <f>SUM(CP7:DA7)</f>
        <v>28412.369019999991</v>
      </c>
    </row>
    <row r="8" spans="4:121" ht="13" customHeight="1">
      <c r="E8" s="698" t="s">
        <v>796</v>
      </c>
      <c r="I8" s="609" t="s">
        <v>736</v>
      </c>
      <c r="J8" s="722">
        <f t="shared" si="2"/>
        <v>0</v>
      </c>
      <c r="K8" s="722">
        <f t="shared" si="2"/>
        <v>0</v>
      </c>
      <c r="L8" s="722">
        <f t="shared" si="2"/>
        <v>0</v>
      </c>
      <c r="M8" s="722">
        <f t="shared" si="2"/>
        <v>0</v>
      </c>
      <c r="N8" s="722">
        <f t="shared" si="2"/>
        <v>0</v>
      </c>
      <c r="O8" s="722">
        <f t="shared" si="2"/>
        <v>0</v>
      </c>
      <c r="P8" s="722">
        <f t="shared" si="2"/>
        <v>0</v>
      </c>
      <c r="Q8" s="722">
        <f t="shared" si="2"/>
        <v>0</v>
      </c>
      <c r="R8" s="722">
        <f t="shared" si="2"/>
        <v>0</v>
      </c>
      <c r="S8" s="722">
        <f t="shared" si="2"/>
        <v>0</v>
      </c>
      <c r="T8" s="722">
        <f t="shared" si="2"/>
        <v>0</v>
      </c>
      <c r="U8" s="722">
        <f t="shared" si="2"/>
        <v>0</v>
      </c>
      <c r="V8" s="722">
        <f t="shared" si="2"/>
        <v>1.0069512839999999</v>
      </c>
      <c r="W8" s="722">
        <f t="shared" si="2"/>
        <v>1.9892109410000001</v>
      </c>
      <c r="X8" s="722">
        <f t="shared" si="2"/>
        <v>8.0831360209999996</v>
      </c>
      <c r="Y8" s="722">
        <f t="shared" si="2"/>
        <v>15.950361705000001</v>
      </c>
      <c r="Z8" s="722">
        <f t="shared" si="2"/>
        <v>33.141779966000001</v>
      </c>
      <c r="AA8" s="722">
        <f t="shared" si="2"/>
        <v>49.639817684999997</v>
      </c>
      <c r="AB8" s="722">
        <f t="shared" si="2"/>
        <v>95.740023905000001</v>
      </c>
      <c r="AC8" s="722">
        <f t="shared" si="2"/>
        <v>144.053897326</v>
      </c>
      <c r="AD8" s="722">
        <f t="shared" si="2"/>
        <v>201.80996956000001</v>
      </c>
      <c r="AE8" s="722">
        <f t="shared" si="2"/>
        <v>276.85205008700001</v>
      </c>
      <c r="AF8" s="722">
        <f t="shared" si="2"/>
        <v>345.35132607200001</v>
      </c>
      <c r="AG8" s="722">
        <f t="shared" si="2"/>
        <v>464.44516208700003</v>
      </c>
      <c r="AH8" s="715">
        <f t="shared" si="2"/>
        <v>548.28835701999992</v>
      </c>
      <c r="AI8" s="715">
        <f t="shared" si="2"/>
        <v>586.40959768699997</v>
      </c>
      <c r="AJ8" s="715">
        <f t="shared" si="2"/>
        <v>627.47498910499996</v>
      </c>
      <c r="AK8" s="715">
        <f t="shared" si="2"/>
        <v>707.98385706299996</v>
      </c>
      <c r="AL8" s="715">
        <f t="shared" si="2"/>
        <v>798.436780752</v>
      </c>
      <c r="AM8" s="715">
        <f t="shared" si="2"/>
        <v>1022.2935092710001</v>
      </c>
      <c r="AN8" s="715">
        <f t="shared" si="2"/>
        <v>1310.5246712769999</v>
      </c>
      <c r="AO8" s="715">
        <f t="shared" si="2"/>
        <v>1502.0232784</v>
      </c>
      <c r="AP8" s="715">
        <f t="shared" si="2"/>
        <v>1706.7508805970001</v>
      </c>
      <c r="AQ8" s="715">
        <f t="shared" si="2"/>
        <v>1915.3453933840001</v>
      </c>
      <c r="AR8" s="715">
        <f t="shared" si="2"/>
        <v>2183.4437966605847</v>
      </c>
      <c r="AS8" s="715">
        <f t="shared" si="2"/>
        <v>2500.8021411917248</v>
      </c>
      <c r="AT8" s="715">
        <f t="shared" si="2"/>
        <v>2677.2010744656172</v>
      </c>
      <c r="AU8" s="715">
        <f t="shared" si="2"/>
        <v>2838.1675234454901</v>
      </c>
      <c r="AV8" s="715">
        <f t="shared" si="2"/>
        <v>3059.8034795037815</v>
      </c>
      <c r="AW8" s="715">
        <f t="shared" si="2"/>
        <v>3311.659091568743</v>
      </c>
      <c r="AX8" s="715">
        <f t="shared" si="2"/>
        <v>3594.8836553246038</v>
      </c>
      <c r="AY8" s="715">
        <f t="shared" si="2"/>
        <v>3903.0061345733588</v>
      </c>
      <c r="AZ8" s="715">
        <f t="shared" si="2"/>
        <v>4242.2957446390219</v>
      </c>
      <c r="BA8" s="715">
        <f t="shared" si="2"/>
        <v>4608.2085795392568</v>
      </c>
      <c r="BB8" s="715">
        <f t="shared" si="2"/>
        <v>5000.5248114926344</v>
      </c>
      <c r="BC8" s="715">
        <f t="shared" si="2"/>
        <v>5405.5521802262901</v>
      </c>
      <c r="BD8" s="715">
        <f t="shared" si="2"/>
        <v>5839.2453866949409</v>
      </c>
      <c r="BE8" s="715">
        <f t="shared" si="2"/>
        <v>6331.9097177196918</v>
      </c>
      <c r="BF8" s="715">
        <f t="shared" si="2"/>
        <v>6799.6833603020095</v>
      </c>
      <c r="BG8" s="715">
        <f t="shared" si="2"/>
        <v>7183.4725565175213</v>
      </c>
      <c r="BH8" s="715">
        <f t="shared" si="2"/>
        <v>7497.1948358468553</v>
      </c>
      <c r="BI8" s="715">
        <f t="shared" si="2"/>
        <v>7749.1618181516587</v>
      </c>
      <c r="BJ8" s="715">
        <f t="shared" si="2"/>
        <v>7930.9111352363252</v>
      </c>
      <c r="BK8" s="715">
        <f t="shared" si="2"/>
        <v>8059.7163094966372</v>
      </c>
      <c r="BL8" s="715">
        <f t="shared" si="2"/>
        <v>8141.5366460006962</v>
      </c>
      <c r="BM8" s="715">
        <f t="shared" si="2"/>
        <v>8176.8074867429459</v>
      </c>
      <c r="BN8" s="715">
        <f t="shared" si="2"/>
        <v>8171.7923024344418</v>
      </c>
      <c r="BO8" s="715">
        <f t="shared" si="2"/>
        <v>8135.3936061535769</v>
      </c>
      <c r="BP8" s="715">
        <f t="shared" si="2"/>
        <v>8051.7496221307447</v>
      </c>
      <c r="BQ8" s="715">
        <f t="shared" si="2"/>
        <v>7976.0800525592567</v>
      </c>
      <c r="BR8" s="715">
        <f t="shared" si="2"/>
        <v>7946.1207589103979</v>
      </c>
      <c r="BS8" s="715">
        <f t="shared" si="2"/>
        <v>7961.5807261687914</v>
      </c>
      <c r="BT8" s="715">
        <f t="shared" si="2"/>
        <v>7996.5399296603491</v>
      </c>
      <c r="BU8" s="715">
        <f t="shared" si="2"/>
        <v>8072.5350840121655</v>
      </c>
      <c r="BV8" s="715">
        <f t="shared" si="3"/>
        <v>8186.5391496065877</v>
      </c>
      <c r="BW8" s="715">
        <f t="shared" si="3"/>
        <v>8335.9985442865491</v>
      </c>
      <c r="BX8" s="715">
        <f t="shared" si="3"/>
        <v>8518.60866104259</v>
      </c>
      <c r="BY8" s="715">
        <f t="shared" si="3"/>
        <v>8730.8437793592657</v>
      </c>
      <c r="BZ8" s="715">
        <f t="shared" si="3"/>
        <v>8968.3962203416395</v>
      </c>
      <c r="CA8" s="715">
        <f t="shared" si="3"/>
        <v>9227.3101504461374</v>
      </c>
      <c r="CB8" s="715">
        <f t="shared" si="3"/>
        <v>9503.8521987662643</v>
      </c>
      <c r="CC8" s="715">
        <f t="shared" si="3"/>
        <v>9793.6051421123102</v>
      </c>
      <c r="CD8" s="715">
        <f t="shared" si="3"/>
        <v>10084.00444216484</v>
      </c>
      <c r="CE8" s="715">
        <f t="shared" si="3"/>
        <v>10371.637329098143</v>
      </c>
      <c r="CF8" s="715">
        <f t="shared" si="3"/>
        <v>10654.027763504162</v>
      </c>
      <c r="CG8" s="715">
        <f t="shared" si="3"/>
        <v>10928.499424208781</v>
      </c>
      <c r="CH8" s="715">
        <f t="shared" si="3"/>
        <v>11195.181302096193</v>
      </c>
      <c r="CI8" s="715">
        <f t="shared" si="3"/>
        <v>11454.207767161937</v>
      </c>
      <c r="CJ8" s="715">
        <f t="shared" si="3"/>
        <v>11706.179162353717</v>
      </c>
      <c r="CK8" s="715">
        <f t="shared" si="3"/>
        <v>11950.697505748009</v>
      </c>
      <c r="CL8" s="715">
        <f t="shared" si="3"/>
        <v>12188.456962588023</v>
      </c>
      <c r="CM8" s="715">
        <f t="shared" si="3"/>
        <v>12420.04399584997</v>
      </c>
      <c r="CN8" s="715">
        <f t="shared" si="3"/>
        <v>12646.114373883916</v>
      </c>
      <c r="CO8" s="715">
        <f t="shared" si="3"/>
        <v>12867.37115694071</v>
      </c>
      <c r="CP8" s="715">
        <f t="shared" si="3"/>
        <v>13103.011861925052</v>
      </c>
      <c r="CQ8" s="715">
        <f t="shared" si="3"/>
        <v>13380.228985181779</v>
      </c>
      <c r="CR8" s="715">
        <f t="shared" si="3"/>
        <v>13702.575447808176</v>
      </c>
      <c r="CS8" s="715">
        <f t="shared" si="3"/>
        <v>14074.003617843346</v>
      </c>
      <c r="CT8" s="715">
        <f t="shared" si="3"/>
        <v>14497.525997616131</v>
      </c>
      <c r="CU8" s="715">
        <f t="shared" si="3"/>
        <v>14976.500092005124</v>
      </c>
      <c r="CV8" s="715">
        <f t="shared" si="3"/>
        <v>15514.585812529986</v>
      </c>
      <c r="CW8" s="715">
        <f t="shared" si="3"/>
        <v>16115.708706946923</v>
      </c>
      <c r="CX8" s="715">
        <f t="shared" si="3"/>
        <v>16783.30055341715</v>
      </c>
      <c r="CY8" s="715">
        <f t="shared" si="3"/>
        <v>17520.64177728667</v>
      </c>
      <c r="CZ8" s="715">
        <f t="shared" si="3"/>
        <v>18331.136931070447</v>
      </c>
      <c r="DA8" s="715">
        <f t="shared" si="3"/>
        <v>19222.191425473713</v>
      </c>
      <c r="DC8" s="849">
        <f>AS8</f>
        <v>2500.8021411917248</v>
      </c>
      <c r="DD8" s="849">
        <f>AS8</f>
        <v>2500.8021411917248</v>
      </c>
      <c r="DE8" s="849">
        <f>BE8</f>
        <v>6331.9097177196918</v>
      </c>
      <c r="DF8" s="849">
        <f>BQ8</f>
        <v>7976.0800525592567</v>
      </c>
      <c r="DG8" s="849">
        <f>CC8</f>
        <v>9793.6051421123102</v>
      </c>
      <c r="DH8" s="849">
        <f>CO8</f>
        <v>12867.37115694071</v>
      </c>
      <c r="DI8" s="11">
        <f>DA8</f>
        <v>19222.191425473713</v>
      </c>
    </row>
    <row r="9" spans="4:121" ht="13" customHeight="1" outlineLevel="1">
      <c r="E9" s="698" t="s">
        <v>215</v>
      </c>
      <c r="I9" s="609" t="s">
        <v>736</v>
      </c>
      <c r="J9" s="722">
        <f t="shared" ref="J9:BU12" si="8">J61+J231+J358+J404+J593+J715</f>
        <v>0</v>
      </c>
      <c r="K9" s="722">
        <f t="shared" si="8"/>
        <v>0</v>
      </c>
      <c r="L9" s="722">
        <f t="shared" si="8"/>
        <v>0</v>
      </c>
      <c r="M9" s="722">
        <f t="shared" si="8"/>
        <v>0</v>
      </c>
      <c r="N9" s="722">
        <f t="shared" si="8"/>
        <v>0</v>
      </c>
      <c r="O9" s="722">
        <f t="shared" si="8"/>
        <v>0</v>
      </c>
      <c r="P9" s="722">
        <f t="shared" si="8"/>
        <v>0</v>
      </c>
      <c r="Q9" s="722">
        <f t="shared" si="8"/>
        <v>0</v>
      </c>
      <c r="R9" s="722">
        <f t="shared" si="8"/>
        <v>0</v>
      </c>
      <c r="S9" s="722">
        <f t="shared" si="8"/>
        <v>0</v>
      </c>
      <c r="T9" s="722">
        <f t="shared" si="8"/>
        <v>0</v>
      </c>
      <c r="U9" s="722">
        <f t="shared" si="8"/>
        <v>0</v>
      </c>
      <c r="V9" s="722">
        <f t="shared" si="8"/>
        <v>9.9054480000000007E-3</v>
      </c>
      <c r="W9" s="722">
        <f t="shared" si="8"/>
        <v>5.4255120000000004E-3</v>
      </c>
      <c r="X9" s="722">
        <f t="shared" si="8"/>
        <v>9.8192231000000005E-2</v>
      </c>
      <c r="Y9" s="722">
        <f t="shared" si="8"/>
        <v>0.330242639</v>
      </c>
      <c r="Z9" s="722">
        <f t="shared" si="8"/>
        <v>1.4645799720000001</v>
      </c>
      <c r="AA9" s="722">
        <f t="shared" si="8"/>
        <v>2.8607153629999997</v>
      </c>
      <c r="AB9" s="722">
        <f t="shared" si="8"/>
        <v>5.4365769650000004</v>
      </c>
      <c r="AC9" s="722">
        <f t="shared" si="8"/>
        <v>7.0289088940000006</v>
      </c>
      <c r="AD9" s="722">
        <f t="shared" si="8"/>
        <v>8.2485695139999997</v>
      </c>
      <c r="AE9" s="722">
        <f t="shared" si="8"/>
        <v>11.424131494999999</v>
      </c>
      <c r="AF9" s="722">
        <f t="shared" si="8"/>
        <v>13.369118024</v>
      </c>
      <c r="AG9" s="722">
        <f t="shared" si="8"/>
        <v>18.480991476199087</v>
      </c>
      <c r="AH9" s="722">
        <f>AH61+AH231+AH358+AH404+AH593+AH715</f>
        <v>21.208484286000001</v>
      </c>
      <c r="AI9" s="722">
        <f t="shared" si="8"/>
        <v>20.081361788999999</v>
      </c>
      <c r="AJ9" s="722">
        <f t="shared" si="8"/>
        <v>23.980088753999997</v>
      </c>
      <c r="AK9" s="722">
        <f t="shared" si="8"/>
        <v>28.301708665</v>
      </c>
      <c r="AL9" s="722">
        <f t="shared" si="8"/>
        <v>36.000328542000005</v>
      </c>
      <c r="AM9" s="722">
        <f t="shared" si="8"/>
        <v>42.192006091000003</v>
      </c>
      <c r="AN9" s="722">
        <f t="shared" si="8"/>
        <v>62.659062456000008</v>
      </c>
      <c r="AO9" s="722">
        <f t="shared" si="8"/>
        <v>70.331291060999988</v>
      </c>
      <c r="AP9" s="722">
        <f t="shared" si="8"/>
        <v>74.427415274999987</v>
      </c>
      <c r="AQ9" s="722">
        <f t="shared" si="8"/>
        <v>84.934041377137177</v>
      </c>
      <c r="AR9" s="722">
        <f t="shared" si="8"/>
        <v>95.271583144141132</v>
      </c>
      <c r="AS9" s="722">
        <f t="shared" si="8"/>
        <v>108.15830779837651</v>
      </c>
      <c r="AT9" s="715">
        <f t="shared" si="8"/>
        <v>116.43330868814736</v>
      </c>
      <c r="AU9" s="715">
        <f t="shared" si="8"/>
        <v>117.83156938386639</v>
      </c>
      <c r="AV9" s="715">
        <f t="shared" si="8"/>
        <v>128.8817801322075</v>
      </c>
      <c r="AW9" s="715">
        <f t="shared" si="8"/>
        <v>139.80140913751725</v>
      </c>
      <c r="AX9" s="715">
        <f t="shared" si="8"/>
        <v>151.91275436687999</v>
      </c>
      <c r="AY9" s="715">
        <f t="shared" si="8"/>
        <v>165.13979655572822</v>
      </c>
      <c r="AZ9" s="715">
        <f t="shared" si="8"/>
        <v>179.63020167683686</v>
      </c>
      <c r="BA9" s="715">
        <f t="shared" si="8"/>
        <v>195.57822232508204</v>
      </c>
      <c r="BB9" s="715">
        <f t="shared" si="8"/>
        <v>212.57196746478274</v>
      </c>
      <c r="BC9" s="715">
        <f t="shared" si="8"/>
        <v>230.16031264992262</v>
      </c>
      <c r="BD9" s="715">
        <f t="shared" si="8"/>
        <v>248.56882683300731</v>
      </c>
      <c r="BE9" s="715">
        <f t="shared" si="8"/>
        <v>270.5149910678943</v>
      </c>
      <c r="BF9" s="722">
        <f t="shared" si="8"/>
        <v>292.71422366521017</v>
      </c>
      <c r="BG9" s="722">
        <f t="shared" si="8"/>
        <v>303.26578984477806</v>
      </c>
      <c r="BH9" s="722">
        <f t="shared" si="8"/>
        <v>313.5931538244468</v>
      </c>
      <c r="BI9" s="722">
        <f t="shared" si="8"/>
        <v>321.30491762829519</v>
      </c>
      <c r="BJ9" s="722">
        <f t="shared" si="8"/>
        <v>326.45612716465365</v>
      </c>
      <c r="BK9" s="722">
        <f t="shared" si="8"/>
        <v>329.42234222080037</v>
      </c>
      <c r="BL9" s="722">
        <f t="shared" si="8"/>
        <v>330.67048216201357</v>
      </c>
      <c r="BM9" s="722">
        <f t="shared" si="8"/>
        <v>330.47761780942085</v>
      </c>
      <c r="BN9" s="722">
        <f t="shared" si="8"/>
        <v>329.07892910202906</v>
      </c>
      <c r="BO9" s="722">
        <f t="shared" si="8"/>
        <v>326.7446488647131</v>
      </c>
      <c r="BP9" s="722">
        <f t="shared" si="8"/>
        <v>323.11209569241493</v>
      </c>
      <c r="BQ9" s="722">
        <f t="shared" si="8"/>
        <v>323.78454912703586</v>
      </c>
      <c r="BR9" s="722">
        <f t="shared" si="8"/>
        <v>324.24770280710845</v>
      </c>
      <c r="BS9" s="722">
        <f t="shared" si="8"/>
        <v>326.60000890540198</v>
      </c>
      <c r="BT9" s="722">
        <f t="shared" si="8"/>
        <v>330.08562983521432</v>
      </c>
      <c r="BU9" s="722">
        <f t="shared" si="8"/>
        <v>334.77634608451672</v>
      </c>
      <c r="BV9" s="722">
        <f t="shared" ref="BV9:DA17" si="9">BV61+BV231+BV358+BV404+BV593+BV715</f>
        <v>340.85888752005883</v>
      </c>
      <c r="BW9" s="722">
        <f t="shared" si="9"/>
        <v>348.16253432725244</v>
      </c>
      <c r="BX9" s="722">
        <f t="shared" si="9"/>
        <v>356.55938421534847</v>
      </c>
      <c r="BY9" s="722">
        <f t="shared" si="9"/>
        <v>365.9392245526596</v>
      </c>
      <c r="BZ9" s="722">
        <f t="shared" si="9"/>
        <v>376.13470121867664</v>
      </c>
      <c r="CA9" s="722">
        <f t="shared" si="9"/>
        <v>387.0238634421857</v>
      </c>
      <c r="CB9" s="722">
        <f t="shared" si="9"/>
        <v>398.46126431017547</v>
      </c>
      <c r="CC9" s="722">
        <f t="shared" si="9"/>
        <v>410.3148485763956</v>
      </c>
      <c r="CD9" s="722">
        <f t="shared" si="9"/>
        <v>422.17804771338456</v>
      </c>
      <c r="CE9" s="722">
        <f t="shared" si="9"/>
        <v>433.87609392142463</v>
      </c>
      <c r="CF9" s="722">
        <f t="shared" si="9"/>
        <v>445.26982513064809</v>
      </c>
      <c r="CG9" s="722">
        <f t="shared" si="9"/>
        <v>456.33021638589071</v>
      </c>
      <c r="CH9" s="722">
        <f t="shared" si="9"/>
        <v>467.05467044608042</v>
      </c>
      <c r="CI9" s="722">
        <f t="shared" si="9"/>
        <v>477.48160001083647</v>
      </c>
      <c r="CJ9" s="722">
        <f t="shared" si="9"/>
        <v>487.64492755397055</v>
      </c>
      <c r="CK9" s="722">
        <f t="shared" si="9"/>
        <v>497.5403212204692</v>
      </c>
      <c r="CL9" s="722">
        <f t="shared" si="9"/>
        <v>507.17821594086513</v>
      </c>
      <c r="CM9" s="722">
        <f t="shared" si="9"/>
        <v>516.62065911376362</v>
      </c>
      <c r="CN9" s="722">
        <f t="shared" si="9"/>
        <v>525.88903734067571</v>
      </c>
      <c r="CO9" s="722">
        <f t="shared" si="9"/>
        <v>535.00529130179063</v>
      </c>
      <c r="CP9" s="722">
        <f t="shared" si="9"/>
        <v>544.04077369895424</v>
      </c>
      <c r="CQ9" s="722">
        <f t="shared" si="9"/>
        <v>554.40985931058185</v>
      </c>
      <c r="CR9" s="722">
        <f t="shared" si="9"/>
        <v>566.4732225452284</v>
      </c>
      <c r="CS9" s="722">
        <f t="shared" si="9"/>
        <v>580.34021728928792</v>
      </c>
      <c r="CT9" s="722">
        <f t="shared" si="9"/>
        <v>596.08520932706904</v>
      </c>
      <c r="CU9" s="722">
        <f t="shared" si="9"/>
        <v>613.77729656897463</v>
      </c>
      <c r="CV9" s="722">
        <f t="shared" si="9"/>
        <v>633.49722935390537</v>
      </c>
      <c r="CW9" s="722">
        <f t="shared" si="9"/>
        <v>655.33439389647401</v>
      </c>
      <c r="CX9" s="722">
        <f t="shared" si="9"/>
        <v>679.38146073645328</v>
      </c>
      <c r="CY9" s="722">
        <f t="shared" si="9"/>
        <v>705.75744936897217</v>
      </c>
      <c r="CZ9" s="722">
        <f t="shared" si="9"/>
        <v>734.57872079171807</v>
      </c>
      <c r="DA9" s="722">
        <f t="shared" si="9"/>
        <v>765.97797234552286</v>
      </c>
      <c r="DC9" s="850">
        <f t="shared" ref="DC9:DC36" si="10">SUM(V9:AG9)</f>
        <v>68.757357533199098</v>
      </c>
      <c r="DD9" s="850">
        <f t="shared" si="4"/>
        <v>667.54567923865488</v>
      </c>
      <c r="DE9" s="850">
        <f t="shared" si="5"/>
        <v>2157.0251402818726</v>
      </c>
      <c r="DF9" s="850">
        <f t="shared" ref="DF9:DF46" si="11">SUM(BF9:BQ9)</f>
        <v>3850.6248771058122</v>
      </c>
      <c r="DG9" s="850">
        <f t="shared" si="6"/>
        <v>4299.1643957949937</v>
      </c>
      <c r="DH9" s="850">
        <f t="shared" si="7"/>
        <v>5772.0689060797995</v>
      </c>
      <c r="DI9" s="13">
        <f t="shared" ref="DI9:DI46" si="12">SUM(CP9:DA9)</f>
        <v>7629.6538052331416</v>
      </c>
      <c r="DN9" s="11">
        <f>DE9+DE10-DE11</f>
        <v>0</v>
      </c>
      <c r="DO9" s="11">
        <f>DF9+DF10-DF11</f>
        <v>0</v>
      </c>
      <c r="DP9" s="11">
        <f>DG9+DG10-DG11</f>
        <v>0</v>
      </c>
      <c r="DQ9" s="11">
        <f>DH9+DH10-DH11</f>
        <v>0</v>
      </c>
    </row>
    <row r="10" spans="4:121" ht="13" customHeight="1" outlineLevel="1">
      <c r="E10" s="698" t="s">
        <v>99</v>
      </c>
      <c r="I10" s="609" t="s">
        <v>736</v>
      </c>
      <c r="J10" s="722">
        <f t="shared" si="8"/>
        <v>0</v>
      </c>
      <c r="K10" s="722">
        <f t="shared" si="8"/>
        <v>0</v>
      </c>
      <c r="L10" s="722">
        <f t="shared" si="8"/>
        <v>0</v>
      </c>
      <c r="M10" s="722">
        <f t="shared" si="8"/>
        <v>0</v>
      </c>
      <c r="N10" s="722">
        <f t="shared" si="8"/>
        <v>0</v>
      </c>
      <c r="O10" s="722">
        <f t="shared" si="8"/>
        <v>0</v>
      </c>
      <c r="P10" s="722">
        <f t="shared" si="8"/>
        <v>0</v>
      </c>
      <c r="Q10" s="722">
        <f t="shared" si="8"/>
        <v>0</v>
      </c>
      <c r="R10" s="722">
        <f t="shared" si="8"/>
        <v>0</v>
      </c>
      <c r="S10" s="722">
        <f t="shared" si="8"/>
        <v>0</v>
      </c>
      <c r="T10" s="722">
        <f t="shared" si="8"/>
        <v>0</v>
      </c>
      <c r="U10" s="722">
        <f t="shared" si="8"/>
        <v>0</v>
      </c>
      <c r="V10" s="722">
        <f t="shared" si="8"/>
        <v>-3.6021450000000002E-3</v>
      </c>
      <c r="W10" s="722">
        <f t="shared" si="8"/>
        <v>-3.6021450000000002E-3</v>
      </c>
      <c r="X10" s="722">
        <f t="shared" si="8"/>
        <v>-2.1943925999999999E-2</v>
      </c>
      <c r="Y10" s="722">
        <f t="shared" si="8"/>
        <v>-7.8901974999999999E-2</v>
      </c>
      <c r="Z10" s="722">
        <f t="shared" si="8"/>
        <v>-0.11536389499999999</v>
      </c>
      <c r="AA10" s="722">
        <f t="shared" si="8"/>
        <v>-0.25910666900635598</v>
      </c>
      <c r="AB10" s="722">
        <f t="shared" si="8"/>
        <v>-0.43254688500000005</v>
      </c>
      <c r="AC10" s="722">
        <f t="shared" si="8"/>
        <v>-0.80807036515354402</v>
      </c>
      <c r="AD10" s="722">
        <f t="shared" si="8"/>
        <v>-1.0745215000000001</v>
      </c>
      <c r="AE10" s="722">
        <f t="shared" si="8"/>
        <v>-1.5452934739999999</v>
      </c>
      <c r="AF10" s="722">
        <f t="shared" si="8"/>
        <v>-1.8288234540000001</v>
      </c>
      <c r="AG10" s="722">
        <f t="shared" si="8"/>
        <v>-2.4074973463567</v>
      </c>
      <c r="AH10" s="722">
        <f t="shared" si="8"/>
        <v>-2.946534465</v>
      </c>
      <c r="AI10" s="722">
        <f t="shared" si="8"/>
        <v>-3.0781323780835952</v>
      </c>
      <c r="AJ10" s="722">
        <f t="shared" si="8"/>
        <v>-3.2278583579999998</v>
      </c>
      <c r="AK10" s="722">
        <f t="shared" si="8"/>
        <v>-3.3044673260000001</v>
      </c>
      <c r="AL10" s="722">
        <f t="shared" si="8"/>
        <v>-4.0351038782063</v>
      </c>
      <c r="AM10" s="722">
        <f t="shared" si="8"/>
        <v>-4.457813937969199</v>
      </c>
      <c r="AN10" s="722">
        <f t="shared" si="8"/>
        <v>-6.2418958546927996</v>
      </c>
      <c r="AO10" s="722">
        <f t="shared" si="8"/>
        <v>-7.794197780607</v>
      </c>
      <c r="AP10" s="722">
        <f t="shared" si="8"/>
        <v>-8.1955488813228001</v>
      </c>
      <c r="AQ10" s="722">
        <f t="shared" si="8"/>
        <v>-9.4283265659999991</v>
      </c>
      <c r="AR10" s="722">
        <f t="shared" si="8"/>
        <v>-11.288827935346212</v>
      </c>
      <c r="AS10" s="722">
        <f t="shared" si="8"/>
        <v>-12.945514114352093</v>
      </c>
      <c r="AT10" s="715">
        <f t="shared" si="8"/>
        <v>-14.352405034227976</v>
      </c>
      <c r="AU10" s="715">
        <f t="shared" si="8"/>
        <v>-15.277096363777604</v>
      </c>
      <c r="AV10" s="715">
        <f t="shared" si="8"/>
        <v>-16.33288348723578</v>
      </c>
      <c r="AW10" s="715">
        <f t="shared" si="8"/>
        <v>-17.66612498433776</v>
      </c>
      <c r="AX10" s="715">
        <f t="shared" si="8"/>
        <v>-19.179565674053443</v>
      </c>
      <c r="AY10" s="715">
        <f t="shared" si="8"/>
        <v>-20.857413837825302</v>
      </c>
      <c r="AZ10" s="715">
        <f t="shared" si="8"/>
        <v>-22.698612912688372</v>
      </c>
      <c r="BA10" s="715">
        <f t="shared" si="8"/>
        <v>-24.708508084590036</v>
      </c>
      <c r="BB10" s="715">
        <f t="shared" si="8"/>
        <v>-26.873754161851128</v>
      </c>
      <c r="BC10" s="715">
        <f t="shared" si="8"/>
        <v>-29.153924370820032</v>
      </c>
      <c r="BD10" s="715">
        <f t="shared" si="8"/>
        <v>-31.554808376357133</v>
      </c>
      <c r="BE10" s="715">
        <f t="shared" si="8"/>
        <v>-34.211462966821294</v>
      </c>
      <c r="BF10" s="722">
        <f t="shared" si="8"/>
        <v>-36.941429124574398</v>
      </c>
      <c r="BG10" s="722">
        <f t="shared" si="8"/>
        <v>-39.348824564119745</v>
      </c>
      <c r="BH10" s="722">
        <f t="shared" si="8"/>
        <v>-41.33251694141503</v>
      </c>
      <c r="BI10" s="722">
        <f t="shared" si="8"/>
        <v>-42.936441493498641</v>
      </c>
      <c r="BJ10" s="722">
        <f t="shared" si="8"/>
        <v>-44.156496494815833</v>
      </c>
      <c r="BK10" s="722">
        <f t="shared" si="8"/>
        <v>-45.017340358266132</v>
      </c>
      <c r="BL10" s="722">
        <f t="shared" si="8"/>
        <v>-45.586000963291504</v>
      </c>
      <c r="BM10" s="722">
        <f t="shared" si="8"/>
        <v>-45.881327746076906</v>
      </c>
      <c r="BN10" s="722">
        <f t="shared" si="8"/>
        <v>-45.923865743170445</v>
      </c>
      <c r="BO10" s="722">
        <f t="shared" si="8"/>
        <v>-45.756505844479655</v>
      </c>
      <c r="BP10" s="722">
        <f t="shared" si="8"/>
        <v>-45.35786032645774</v>
      </c>
      <c r="BQ10" s="722">
        <f t="shared" si="8"/>
        <v>-44.855197406094568</v>
      </c>
      <c r="BR10" s="722">
        <f t="shared" si="8"/>
        <v>-44.513556807647653</v>
      </c>
      <c r="BS10" s="722">
        <f t="shared" si="8"/>
        <v>-44.430048995085095</v>
      </c>
      <c r="BT10" s="722">
        <f t="shared" si="8"/>
        <v>-44.534504941881487</v>
      </c>
      <c r="BU10" s="722">
        <f t="shared" si="8"/>
        <v>-44.814554704767666</v>
      </c>
      <c r="BV10" s="722">
        <f t="shared" si="9"/>
        <v>-45.324300993673027</v>
      </c>
      <c r="BW10" s="722">
        <f t="shared" si="9"/>
        <v>-46.047535203842628</v>
      </c>
      <c r="BX10" s="722">
        <f t="shared" si="9"/>
        <v>-46.970112512285105</v>
      </c>
      <c r="BY10" s="722">
        <f t="shared" si="9"/>
        <v>-48.074919614600631</v>
      </c>
      <c r="BZ10" s="722">
        <f t="shared" si="9"/>
        <v>-49.339150039741362</v>
      </c>
      <c r="CA10" s="722">
        <f t="shared" si="9"/>
        <v>-50.738786496716948</v>
      </c>
      <c r="CB10" s="722">
        <f t="shared" si="9"/>
        <v>-52.251207548832049</v>
      </c>
      <c r="CC10" s="722">
        <f t="shared" si="9"/>
        <v>-53.852679016068876</v>
      </c>
      <c r="CD10" s="722">
        <f t="shared" si="9"/>
        <v>-55.494474704858597</v>
      </c>
      <c r="CE10" s="722">
        <f t="shared" si="9"/>
        <v>-57.130029642950873</v>
      </c>
      <c r="CF10" s="722">
        <f t="shared" si="9"/>
        <v>-58.741286414498433</v>
      </c>
      <c r="CG10" s="722">
        <f t="shared" si="9"/>
        <v>-60.313050947734794</v>
      </c>
      <c r="CH10" s="722">
        <f t="shared" si="9"/>
        <v>-61.837861439412613</v>
      </c>
      <c r="CI10" s="722">
        <f t="shared" si="9"/>
        <v>-63.316479481227567</v>
      </c>
      <c r="CJ10" s="722">
        <f t="shared" si="9"/>
        <v>-64.750785537162002</v>
      </c>
      <c r="CK10" s="722">
        <f t="shared" si="9"/>
        <v>-66.141487284751634</v>
      </c>
      <c r="CL10" s="722">
        <f t="shared" si="9"/>
        <v>-67.489707676756041</v>
      </c>
      <c r="CM10" s="722">
        <f t="shared" si="9"/>
        <v>-68.799062647199094</v>
      </c>
      <c r="CN10" s="722">
        <f t="shared" si="9"/>
        <v>-70.073161393371265</v>
      </c>
      <c r="CO10" s="722">
        <f t="shared" si="9"/>
        <v>-71.315929394177758</v>
      </c>
      <c r="CP10" s="722">
        <f t="shared" si="9"/>
        <v>-72.636163027039004</v>
      </c>
      <c r="CQ10" s="722">
        <f t="shared" si="9"/>
        <v>-74.167945598462651</v>
      </c>
      <c r="CR10" s="722">
        <f t="shared" si="9"/>
        <v>-75.948856489060972</v>
      </c>
      <c r="CS10" s="722">
        <f t="shared" si="9"/>
        <v>-78.000655603944736</v>
      </c>
      <c r="CT10" s="722">
        <f t="shared" si="9"/>
        <v>-80.343604624058898</v>
      </c>
      <c r="CU10" s="722">
        <f t="shared" si="9"/>
        <v>-82.996231431407068</v>
      </c>
      <c r="CV10" s="722">
        <f t="shared" si="9"/>
        <v>-85.978952158370134</v>
      </c>
      <c r="CW10" s="722">
        <f t="shared" si="9"/>
        <v>-89.313841739378461</v>
      </c>
      <c r="CX10" s="722">
        <f t="shared" si="9"/>
        <v>-93.021927345842556</v>
      </c>
      <c r="CY10" s="722">
        <f t="shared" si="9"/>
        <v>-97.122421432890945</v>
      </c>
      <c r="CZ10" s="722">
        <f t="shared" si="9"/>
        <v>-101.63487634376057</v>
      </c>
      <c r="DA10" s="722">
        <f t="shared" si="9"/>
        <v>-106.58838585052172</v>
      </c>
      <c r="DC10" s="850">
        <f t="shared" si="10"/>
        <v>-8.5792737795166012</v>
      </c>
      <c r="DD10" s="850">
        <f t="shared" si="4"/>
        <v>-76.944221475580008</v>
      </c>
      <c r="DE10" s="850">
        <f t="shared" si="5"/>
        <v>-272.86656025458586</v>
      </c>
      <c r="DF10" s="850">
        <f t="shared" si="11"/>
        <v>-523.09380700626059</v>
      </c>
      <c r="DG10" s="850">
        <f t="shared" si="6"/>
        <v>-570.89135687514261</v>
      </c>
      <c r="DH10" s="850">
        <f t="shared" si="7"/>
        <v>-765.40331656410069</v>
      </c>
      <c r="DI10" s="13">
        <f t="shared" si="12"/>
        <v>-1037.7538616447378</v>
      </c>
    </row>
    <row r="11" spans="4:121" s="698" customFormat="1" ht="13" customHeight="1">
      <c r="E11" s="698" t="s">
        <v>217</v>
      </c>
      <c r="H11" s="703"/>
      <c r="I11" s="609" t="s">
        <v>736</v>
      </c>
      <c r="J11" s="723">
        <f t="shared" si="8"/>
        <v>4.965520000000001E-3</v>
      </c>
      <c r="K11" s="723">
        <f t="shared" si="8"/>
        <v>5.0063711111111107E-3</v>
      </c>
      <c r="L11" s="723">
        <f t="shared" si="8"/>
        <v>9.5210788888888884E-3</v>
      </c>
      <c r="M11" s="723">
        <f t="shared" si="8"/>
        <v>1.3471439999999998E-2</v>
      </c>
      <c r="N11" s="723">
        <f t="shared" si="8"/>
        <v>2.3450769999999999E-2</v>
      </c>
      <c r="O11" s="723">
        <f t="shared" si="8"/>
        <v>2.8571002222222218E-2</v>
      </c>
      <c r="P11" s="723">
        <f t="shared" si="8"/>
        <v>3.0593824444444438E-2</v>
      </c>
      <c r="Q11" s="723">
        <f t="shared" si="8"/>
        <v>3.4749227777777773E-2</v>
      </c>
      <c r="R11" s="723">
        <f t="shared" si="8"/>
        <v>2.6901582222222224E-2</v>
      </c>
      <c r="S11" s="723">
        <f t="shared" si="8"/>
        <v>2.8665081111111108E-2</v>
      </c>
      <c r="T11" s="723">
        <f t="shared" si="8"/>
        <v>2.2308213566351105E-2</v>
      </c>
      <c r="U11" s="723">
        <f t="shared" si="8"/>
        <v>1.9014941433162218E-2</v>
      </c>
      <c r="V11" s="723">
        <f t="shared" si="8"/>
        <v>6.3033029999999997E-3</v>
      </c>
      <c r="W11" s="723">
        <f t="shared" si="8"/>
        <v>1.8233669999999998E-3</v>
      </c>
      <c r="X11" s="723">
        <f t="shared" si="8"/>
        <v>7.6248305000000002E-2</v>
      </c>
      <c r="Y11" s="723">
        <f t="shared" si="8"/>
        <v>0.25134066399999999</v>
      </c>
      <c r="Z11" s="723">
        <f t="shared" si="8"/>
        <v>1.3492160770000001</v>
      </c>
      <c r="AA11" s="723">
        <f t="shared" si="8"/>
        <v>2.601608693993644</v>
      </c>
      <c r="AB11" s="723">
        <f t="shared" si="8"/>
        <v>5.0040300800000006</v>
      </c>
      <c r="AC11" s="723">
        <f t="shared" si="8"/>
        <v>6.2208385288464561</v>
      </c>
      <c r="AD11" s="723">
        <f t="shared" si="8"/>
        <v>7.1740480140000003</v>
      </c>
      <c r="AE11" s="723">
        <f t="shared" si="8"/>
        <v>9.878838021</v>
      </c>
      <c r="AF11" s="723">
        <f t="shared" si="8"/>
        <v>11.540294569999999</v>
      </c>
      <c r="AG11" s="723">
        <f t="shared" si="8"/>
        <v>16.073494129842388</v>
      </c>
      <c r="AH11" s="723">
        <f t="shared" si="8"/>
        <v>18.261949820999998</v>
      </c>
      <c r="AI11" s="723">
        <f t="shared" si="8"/>
        <v>17.003229410916404</v>
      </c>
      <c r="AJ11" s="723">
        <f t="shared" si="8"/>
        <v>20.752230395999995</v>
      </c>
      <c r="AK11" s="723">
        <f t="shared" si="8"/>
        <v>24.997241338999999</v>
      </c>
      <c r="AL11" s="723">
        <f t="shared" si="8"/>
        <v>31.965224663793702</v>
      </c>
      <c r="AM11" s="723">
        <f t="shared" si="8"/>
        <v>37.734192153030797</v>
      </c>
      <c r="AN11" s="723">
        <f t="shared" si="8"/>
        <v>56.417166601307201</v>
      </c>
      <c r="AO11" s="723">
        <f t="shared" si="8"/>
        <v>62.537093280393002</v>
      </c>
      <c r="AP11" s="723">
        <f t="shared" si="8"/>
        <v>66.231866393677208</v>
      </c>
      <c r="AQ11" s="723">
        <f t="shared" si="8"/>
        <v>75.505714811137167</v>
      </c>
      <c r="AR11" s="723">
        <f t="shared" si="8"/>
        <v>83.982755208794927</v>
      </c>
      <c r="AS11" s="723">
        <f t="shared" si="8"/>
        <v>95.212793684024433</v>
      </c>
      <c r="AT11" s="696">
        <f t="shared" si="8"/>
        <v>102.08090365391939</v>
      </c>
      <c r="AU11" s="696">
        <f t="shared" si="8"/>
        <v>102.55447302008879</v>
      </c>
      <c r="AV11" s="696">
        <f t="shared" si="8"/>
        <v>112.54889664497173</v>
      </c>
      <c r="AW11" s="696">
        <f t="shared" si="8"/>
        <v>122.13528415317947</v>
      </c>
      <c r="AX11" s="696">
        <f t="shared" si="8"/>
        <v>132.73318869282653</v>
      </c>
      <c r="AY11" s="696">
        <f t="shared" si="8"/>
        <v>144.28238271790295</v>
      </c>
      <c r="AZ11" s="696">
        <f t="shared" si="8"/>
        <v>156.93158876414844</v>
      </c>
      <c r="BA11" s="696">
        <f t="shared" si="8"/>
        <v>170.86971424049199</v>
      </c>
      <c r="BB11" s="696">
        <f t="shared" si="8"/>
        <v>185.69821330293155</v>
      </c>
      <c r="BC11" s="696">
        <f t="shared" si="8"/>
        <v>201.00638827910259</v>
      </c>
      <c r="BD11" s="696">
        <f t="shared" si="8"/>
        <v>217.01401845665018</v>
      </c>
      <c r="BE11" s="696">
        <f t="shared" si="8"/>
        <v>236.30352810107303</v>
      </c>
      <c r="BF11" s="723">
        <f t="shared" si="8"/>
        <v>255.7727945406358</v>
      </c>
      <c r="BG11" s="723">
        <f t="shared" si="8"/>
        <v>263.9169652806583</v>
      </c>
      <c r="BH11" s="723">
        <f t="shared" si="8"/>
        <v>272.26063688303179</v>
      </c>
      <c r="BI11" s="723">
        <f t="shared" si="8"/>
        <v>278.36847613479654</v>
      </c>
      <c r="BJ11" s="723">
        <f t="shared" si="8"/>
        <v>282.29963066983782</v>
      </c>
      <c r="BK11" s="723">
        <f t="shared" si="8"/>
        <v>284.40500186253416</v>
      </c>
      <c r="BL11" s="723">
        <f t="shared" si="8"/>
        <v>285.08448119872202</v>
      </c>
      <c r="BM11" s="723">
        <f t="shared" si="8"/>
        <v>284.59629006334393</v>
      </c>
      <c r="BN11" s="723">
        <f t="shared" si="8"/>
        <v>283.15506335885857</v>
      </c>
      <c r="BO11" s="723">
        <f t="shared" si="8"/>
        <v>280.98814302023351</v>
      </c>
      <c r="BP11" s="723">
        <f t="shared" si="8"/>
        <v>277.75423536595707</v>
      </c>
      <c r="BQ11" s="723">
        <f t="shared" si="8"/>
        <v>278.92935172094127</v>
      </c>
      <c r="BR11" s="723">
        <f t="shared" si="8"/>
        <v>279.73414599946079</v>
      </c>
      <c r="BS11" s="723">
        <f t="shared" si="8"/>
        <v>282.16995991031683</v>
      </c>
      <c r="BT11" s="723">
        <f t="shared" si="8"/>
        <v>285.55112489333288</v>
      </c>
      <c r="BU11" s="723">
        <f t="shared" si="8"/>
        <v>289.96179137974912</v>
      </c>
      <c r="BV11" s="723">
        <f t="shared" si="9"/>
        <v>295.53458652638585</v>
      </c>
      <c r="BW11" s="723">
        <f t="shared" si="9"/>
        <v>302.1149991234098</v>
      </c>
      <c r="BX11" s="723">
        <f t="shared" si="9"/>
        <v>309.58927170306345</v>
      </c>
      <c r="BY11" s="723">
        <f t="shared" si="9"/>
        <v>317.86430493805892</v>
      </c>
      <c r="BZ11" s="723">
        <f t="shared" si="9"/>
        <v>326.79555117893523</v>
      </c>
      <c r="CA11" s="723">
        <f t="shared" si="9"/>
        <v>336.28507694546875</v>
      </c>
      <c r="CB11" s="723">
        <f t="shared" si="9"/>
        <v>346.21005676134342</v>
      </c>
      <c r="CC11" s="723">
        <f t="shared" si="9"/>
        <v>356.46216956032669</v>
      </c>
      <c r="CD11" s="723">
        <f t="shared" si="9"/>
        <v>366.68357300852597</v>
      </c>
      <c r="CE11" s="723">
        <f t="shared" si="9"/>
        <v>376.7460642784738</v>
      </c>
      <c r="CF11" s="723">
        <f t="shared" si="9"/>
        <v>386.52853871614968</v>
      </c>
      <c r="CG11" s="723">
        <f t="shared" si="9"/>
        <v>396.01716543815593</v>
      </c>
      <c r="CH11" s="723">
        <f t="shared" si="9"/>
        <v>405.21680900666775</v>
      </c>
      <c r="CI11" s="723">
        <f t="shared" si="9"/>
        <v>414.16512052960888</v>
      </c>
      <c r="CJ11" s="723">
        <f t="shared" si="9"/>
        <v>422.89414201680853</v>
      </c>
      <c r="CK11" s="723">
        <f t="shared" si="9"/>
        <v>431.39883393571762</v>
      </c>
      <c r="CL11" s="723">
        <f t="shared" si="9"/>
        <v>439.68850826410909</v>
      </c>
      <c r="CM11" s="723">
        <f t="shared" si="9"/>
        <v>447.82159646656453</v>
      </c>
      <c r="CN11" s="723">
        <f t="shared" si="9"/>
        <v>455.81587594730456</v>
      </c>
      <c r="CO11" s="723">
        <f t="shared" si="9"/>
        <v>463.68936190761286</v>
      </c>
      <c r="CP11" s="723">
        <f t="shared" si="9"/>
        <v>471.40461067191524</v>
      </c>
      <c r="CQ11" s="723">
        <f t="shared" si="9"/>
        <v>480.24191371211913</v>
      </c>
      <c r="CR11" s="723">
        <f t="shared" si="9"/>
        <v>490.52436605616748</v>
      </c>
      <c r="CS11" s="723">
        <f t="shared" si="9"/>
        <v>502.3395616853432</v>
      </c>
      <c r="CT11" s="723">
        <f t="shared" si="9"/>
        <v>515.74160470301013</v>
      </c>
      <c r="CU11" s="723">
        <f t="shared" si="9"/>
        <v>530.78106513756757</v>
      </c>
      <c r="CV11" s="723">
        <f t="shared" si="9"/>
        <v>547.51827719553512</v>
      </c>
      <c r="CW11" s="723">
        <f t="shared" si="9"/>
        <v>566.02055215709561</v>
      </c>
      <c r="CX11" s="723">
        <f t="shared" si="9"/>
        <v>586.35953339061098</v>
      </c>
      <c r="CY11" s="723">
        <f t="shared" si="9"/>
        <v>608.63502793608131</v>
      </c>
      <c r="CZ11" s="723">
        <f t="shared" si="9"/>
        <v>632.94384444795764</v>
      </c>
      <c r="DA11" s="723">
        <f t="shared" si="9"/>
        <v>659.38958649500114</v>
      </c>
      <c r="DB11" s="851"/>
      <c r="DC11" s="850">
        <f t="shared" si="10"/>
        <v>60.178083753682486</v>
      </c>
      <c r="DD11" s="850">
        <f t="shared" si="4"/>
        <v>590.60145776307479</v>
      </c>
      <c r="DE11" s="850">
        <f t="shared" si="5"/>
        <v>1884.1585800272865</v>
      </c>
      <c r="DF11" s="850">
        <f t="shared" si="11"/>
        <v>3327.5310700995506</v>
      </c>
      <c r="DG11" s="850">
        <f t="shared" si="6"/>
        <v>3728.2730389198509</v>
      </c>
      <c r="DH11" s="850">
        <f t="shared" si="7"/>
        <v>5006.6655895156991</v>
      </c>
      <c r="DI11" s="13">
        <f t="shared" si="12"/>
        <v>6591.8999435884043</v>
      </c>
      <c r="DJ11" s="13"/>
      <c r="DK11" s="13"/>
      <c r="DL11" s="13"/>
      <c r="DM11" s="13"/>
    </row>
    <row r="12" spans="4:121" s="698" customFormat="1" ht="13" customHeight="1">
      <c r="E12" s="704" t="s">
        <v>797</v>
      </c>
      <c r="F12" s="704"/>
      <c r="G12" s="704"/>
      <c r="H12" s="852"/>
      <c r="I12" s="609" t="s">
        <v>736</v>
      </c>
      <c r="J12" s="723">
        <f t="shared" si="8"/>
        <v>4.965520000000001E-3</v>
      </c>
      <c r="K12" s="723">
        <f t="shared" si="8"/>
        <v>5.0063711111111107E-3</v>
      </c>
      <c r="L12" s="723">
        <f t="shared" si="8"/>
        <v>9.5210788888888884E-3</v>
      </c>
      <c r="M12" s="723">
        <f t="shared" si="8"/>
        <v>1.3471439999999998E-2</v>
      </c>
      <c r="N12" s="723">
        <f t="shared" si="8"/>
        <v>2.3450769999999999E-2</v>
      </c>
      <c r="O12" s="723">
        <f t="shared" si="8"/>
        <v>2.8571002222222218E-2</v>
      </c>
      <c r="P12" s="723">
        <f t="shared" si="8"/>
        <v>3.0593824444444438E-2</v>
      </c>
      <c r="Q12" s="723">
        <f t="shared" si="8"/>
        <v>3.4749227777777773E-2</v>
      </c>
      <c r="R12" s="723">
        <f t="shared" si="8"/>
        <v>2.6901582222222224E-2</v>
      </c>
      <c r="S12" s="723">
        <f t="shared" si="8"/>
        <v>2.8665081111111108E-2</v>
      </c>
      <c r="T12" s="723">
        <f t="shared" si="8"/>
        <v>2.2308213566351105E-2</v>
      </c>
      <c r="U12" s="723">
        <f t="shared" si="8"/>
        <v>1.9014941433162218E-2</v>
      </c>
      <c r="V12" s="723">
        <f t="shared" si="8"/>
        <v>1.4033029999999998E-3</v>
      </c>
      <c r="W12" s="723">
        <f t="shared" si="8"/>
        <v>2.7033669999999999E-3</v>
      </c>
      <c r="X12" s="723">
        <f t="shared" si="8"/>
        <v>4.4883050000000015E-3</v>
      </c>
      <c r="Y12" s="723">
        <f t="shared" si="8"/>
        <v>0.17174066399999999</v>
      </c>
      <c r="Z12" s="723">
        <f t="shared" si="8"/>
        <v>0.47585007700000004</v>
      </c>
      <c r="AA12" s="723">
        <f t="shared" si="8"/>
        <v>0.94588687499364399</v>
      </c>
      <c r="AB12" s="723">
        <f t="shared" si="8"/>
        <v>1.7570794899999997</v>
      </c>
      <c r="AC12" s="723">
        <f t="shared" si="8"/>
        <v>2.8123299498464562</v>
      </c>
      <c r="AD12" s="723">
        <f t="shared" si="8"/>
        <v>3.464144825</v>
      </c>
      <c r="AE12" s="723">
        <f t="shared" si="8"/>
        <v>5.1186522139999999</v>
      </c>
      <c r="AF12" s="723">
        <f t="shared" si="8"/>
        <v>6.3719869829999993</v>
      </c>
      <c r="AG12" s="723">
        <f t="shared" si="8"/>
        <v>8.8781553516433007</v>
      </c>
      <c r="AH12" s="723">
        <f t="shared" si="8"/>
        <v>11.331698744000001</v>
      </c>
      <c r="AI12" s="723">
        <f t="shared" si="8"/>
        <v>11.586678722916403</v>
      </c>
      <c r="AJ12" s="723">
        <f t="shared" si="8"/>
        <v>13.57717324</v>
      </c>
      <c r="AK12" s="723">
        <f t="shared" si="8"/>
        <v>14.742313401999997</v>
      </c>
      <c r="AL12" s="723">
        <f t="shared" si="8"/>
        <v>19.907798134793698</v>
      </c>
      <c r="AM12" s="723">
        <f t="shared" si="8"/>
        <v>18.717420031030805</v>
      </c>
      <c r="AN12" s="723">
        <f t="shared" si="8"/>
        <v>31.586001988307206</v>
      </c>
      <c r="AO12" s="723">
        <f t="shared" si="8"/>
        <v>37.231932735393002</v>
      </c>
      <c r="AP12" s="723">
        <f t="shared" si="8"/>
        <v>41.085069665677203</v>
      </c>
      <c r="AQ12" s="723">
        <f t="shared" si="8"/>
        <v>47.804781995015531</v>
      </c>
      <c r="AR12" s="723">
        <f t="shared" si="8"/>
        <v>53.683054812510385</v>
      </c>
      <c r="AS12" s="723">
        <f t="shared" si="8"/>
        <v>61.476155451130516</v>
      </c>
      <c r="AT12" s="696">
        <f t="shared" si="8"/>
        <v>70.022561399178329</v>
      </c>
      <c r="AU12" s="696">
        <f t="shared" si="8"/>
        <v>72.919949005523392</v>
      </c>
      <c r="AV12" s="696">
        <f t="shared" si="8"/>
        <v>77.430660487475819</v>
      </c>
      <c r="AW12" s="696">
        <f t="shared" si="8"/>
        <v>83.385758044694953</v>
      </c>
      <c r="AX12" s="696">
        <f t="shared" si="8"/>
        <v>90.328616560653657</v>
      </c>
      <c r="AY12" s="696">
        <f t="shared" si="8"/>
        <v>98.21075103817283</v>
      </c>
      <c r="AZ12" s="696">
        <f t="shared" si="8"/>
        <v>107.15755851496739</v>
      </c>
      <c r="BA12" s="696">
        <f t="shared" si="8"/>
        <v>117.36250882704761</v>
      </c>
      <c r="BB12" s="696">
        <f t="shared" si="8"/>
        <v>128.4442632366933</v>
      </c>
      <c r="BC12" s="696">
        <f t="shared" si="8"/>
        <v>139.97759221969179</v>
      </c>
      <c r="BD12" s="696">
        <f t="shared" si="8"/>
        <v>152.17738573680916</v>
      </c>
      <c r="BE12" s="696">
        <f t="shared" si="8"/>
        <v>165.79090175824558</v>
      </c>
      <c r="BF12" s="723">
        <f t="shared" si="8"/>
        <v>184.06239329186334</v>
      </c>
      <c r="BG12" s="723">
        <f t="shared" si="8"/>
        <v>192.32733106504139</v>
      </c>
      <c r="BH12" s="723">
        <f t="shared" si="8"/>
        <v>200.93711815697984</v>
      </c>
      <c r="BI12" s="723">
        <f t="shared" si="8"/>
        <v>207.48061426722825</v>
      </c>
      <c r="BJ12" s="723">
        <f t="shared" si="8"/>
        <v>211.91335137172899</v>
      </c>
      <c r="BK12" s="723">
        <f t="shared" si="8"/>
        <v>214.55843056626659</v>
      </c>
      <c r="BL12" s="723">
        <f t="shared" si="8"/>
        <v>215.78739423617503</v>
      </c>
      <c r="BM12" s="723">
        <f t="shared" si="8"/>
        <v>215.86824385560928</v>
      </c>
      <c r="BN12" s="723">
        <f t="shared" si="8"/>
        <v>215.00049932284193</v>
      </c>
      <c r="BO12" s="723">
        <f t="shared" si="8"/>
        <v>213.36940513481596</v>
      </c>
      <c r="BP12" s="723">
        <f t="shared" si="8"/>
        <v>210.66040929147599</v>
      </c>
      <c r="BQ12" s="723">
        <f t="shared" si="8"/>
        <v>207.78693599310432</v>
      </c>
      <c r="BR12" s="723">
        <f t="shared" si="8"/>
        <v>206.26909915632135</v>
      </c>
      <c r="BS12" s="723">
        <f t="shared" si="8"/>
        <v>206.3943684247231</v>
      </c>
      <c r="BT12" s="723">
        <f t="shared" si="8"/>
        <v>207.46292833015318</v>
      </c>
      <c r="BU12" s="723">
        <f t="shared" si="8"/>
        <v>209.55996260648462</v>
      </c>
      <c r="BV12" s="723">
        <f t="shared" si="9"/>
        <v>212.81836041572393</v>
      </c>
      <c r="BW12" s="723">
        <f t="shared" si="9"/>
        <v>217.08275119570359</v>
      </c>
      <c r="BX12" s="723">
        <f t="shared" si="9"/>
        <v>222.21111129476384</v>
      </c>
      <c r="BY12" s="723">
        <f t="shared" si="9"/>
        <v>228.09681053241553</v>
      </c>
      <c r="BZ12" s="723">
        <f t="shared" si="9"/>
        <v>234.64496766895431</v>
      </c>
      <c r="CA12" s="723">
        <f t="shared" si="9"/>
        <v>241.7505056294024</v>
      </c>
      <c r="CB12" s="723">
        <f t="shared" si="9"/>
        <v>249.28800110583711</v>
      </c>
      <c r="CC12" s="723">
        <f t="shared" si="9"/>
        <v>257.14755700418362</v>
      </c>
      <c r="CD12" s="723">
        <f t="shared" si="9"/>
        <v>265.02999036062533</v>
      </c>
      <c r="CE12" s="723">
        <f t="shared" si="9"/>
        <v>272.7149132319214</v>
      </c>
      <c r="CF12" s="723">
        <f t="shared" si="9"/>
        <v>280.16422035282727</v>
      </c>
      <c r="CG12" s="723">
        <f t="shared" si="9"/>
        <v>287.32161880734191</v>
      </c>
      <c r="CH12" s="723">
        <f t="shared" si="9"/>
        <v>294.18952476855509</v>
      </c>
      <c r="CI12" s="723">
        <f t="shared" si="9"/>
        <v>300.80354164294192</v>
      </c>
      <c r="CJ12" s="723">
        <f t="shared" si="9"/>
        <v>307.19561479602493</v>
      </c>
      <c r="CK12" s="723">
        <f t="shared" si="9"/>
        <v>313.38698527387032</v>
      </c>
      <c r="CL12" s="723">
        <f t="shared" si="9"/>
        <v>319.40392320659311</v>
      </c>
      <c r="CM12" s="723">
        <f t="shared" si="9"/>
        <v>325.26128231042128</v>
      </c>
      <c r="CN12" s="723">
        <f t="shared" si="9"/>
        <v>330.97809244580276</v>
      </c>
      <c r="CO12" s="723">
        <f t="shared" si="9"/>
        <v>336.5725595594439</v>
      </c>
      <c r="CP12" s="723">
        <f t="shared" si="9"/>
        <v>342.51837698368251</v>
      </c>
      <c r="CQ12" s="723">
        <f t="shared" si="9"/>
        <v>349.58466532379128</v>
      </c>
      <c r="CR12" s="723">
        <f t="shared" si="9"/>
        <v>358.09454709035799</v>
      </c>
      <c r="CS12" s="723">
        <f t="shared" si="9"/>
        <v>368.1359616639038</v>
      </c>
      <c r="CT12" s="723">
        <f t="shared" si="9"/>
        <v>379.76400005972289</v>
      </c>
      <c r="CU12" s="723">
        <f t="shared" si="9"/>
        <v>393.02924097279589</v>
      </c>
      <c r="CV12" s="723">
        <f t="shared" si="9"/>
        <v>407.99204077964669</v>
      </c>
      <c r="CW12" s="723">
        <f t="shared" si="9"/>
        <v>424.71972754072777</v>
      </c>
      <c r="CX12" s="723">
        <f t="shared" si="9"/>
        <v>443.28406201137864</v>
      </c>
      <c r="CY12" s="723">
        <f t="shared" si="9"/>
        <v>463.78196336528987</v>
      </c>
      <c r="CZ12" s="723">
        <f t="shared" si="9"/>
        <v>486.30978310996244</v>
      </c>
      <c r="DA12" s="723">
        <f t="shared" si="9"/>
        <v>510.96870465755131</v>
      </c>
      <c r="DB12" s="853">
        <f>CO11-CO12-CO15</f>
        <v>0</v>
      </c>
      <c r="DC12" s="849">
        <f t="shared" si="10"/>
        <v>30.004421404483399</v>
      </c>
      <c r="DD12" s="849">
        <f t="shared" si="4"/>
        <v>362.73007892277474</v>
      </c>
      <c r="DE12" s="849">
        <f t="shared" si="5"/>
        <v>1303.2085068291537</v>
      </c>
      <c r="DF12" s="849">
        <f t="shared" si="11"/>
        <v>2489.7521265531309</v>
      </c>
      <c r="DG12" s="849">
        <f t="shared" si="6"/>
        <v>2692.7264233646661</v>
      </c>
      <c r="DH12" s="849">
        <f t="shared" si="7"/>
        <v>3633.0222667563694</v>
      </c>
      <c r="DI12" s="11">
        <f t="shared" si="12"/>
        <v>4928.1830735588101</v>
      </c>
      <c r="DJ12" s="13"/>
      <c r="DK12" s="13"/>
      <c r="DL12" s="13"/>
      <c r="DM12" s="13"/>
    </row>
    <row r="13" spans="4:121" ht="13" customHeight="1" outlineLevel="1">
      <c r="F13" s="126" t="s">
        <v>737</v>
      </c>
      <c r="I13" s="609" t="s">
        <v>736</v>
      </c>
      <c r="J13" s="722">
        <f t="shared" ref="J13:BU16" si="13">J65+J235+J362+J408+J597+J719</f>
        <v>6.9797788888888894E-3</v>
      </c>
      <c r="K13" s="722">
        <f t="shared" si="13"/>
        <v>7.1208799999999996E-3</v>
      </c>
      <c r="L13" s="722">
        <f t="shared" si="13"/>
        <v>1.3406525555555555E-2</v>
      </c>
      <c r="M13" s="722">
        <f t="shared" si="13"/>
        <v>1.9160065555555553E-2</v>
      </c>
      <c r="N13" s="722">
        <f t="shared" si="13"/>
        <v>3.1710895555555556E-2</v>
      </c>
      <c r="O13" s="722">
        <f t="shared" si="13"/>
        <v>3.9175055555555553E-2</v>
      </c>
      <c r="P13" s="722">
        <f t="shared" si="13"/>
        <v>4.3082988888888882E-2</v>
      </c>
      <c r="Q13" s="722">
        <f t="shared" si="13"/>
        <v>4.793575555555555E-2</v>
      </c>
      <c r="R13" s="722">
        <f t="shared" si="13"/>
        <v>3.9278442222222223E-2</v>
      </c>
      <c r="S13" s="722">
        <f t="shared" si="13"/>
        <v>4.1187629999999996E-2</v>
      </c>
      <c r="T13" s="722">
        <f t="shared" si="13"/>
        <v>3.3369732222222219E-2</v>
      </c>
      <c r="U13" s="722">
        <f t="shared" si="13"/>
        <v>2.9448875555555556E-2</v>
      </c>
      <c r="V13" s="722">
        <f t="shared" si="13"/>
        <v>5.005448E-3</v>
      </c>
      <c r="W13" s="722">
        <f t="shared" si="13"/>
        <v>6.3055120000000001E-3</v>
      </c>
      <c r="X13" s="722">
        <f t="shared" si="13"/>
        <v>2.6432231E-2</v>
      </c>
      <c r="Y13" s="722">
        <f t="shared" si="13"/>
        <v>0.250642639</v>
      </c>
      <c r="Z13" s="722">
        <f t="shared" si="13"/>
        <v>0.59121397200000003</v>
      </c>
      <c r="AA13" s="722">
        <f t="shared" si="13"/>
        <v>1.2049935440000001</v>
      </c>
      <c r="AB13" s="722">
        <f t="shared" si="13"/>
        <v>2.189626375</v>
      </c>
      <c r="AC13" s="722">
        <f t="shared" si="13"/>
        <v>3.6204003150000004</v>
      </c>
      <c r="AD13" s="722">
        <f t="shared" si="13"/>
        <v>4.5386663250000003</v>
      </c>
      <c r="AE13" s="722">
        <f t="shared" si="13"/>
        <v>6.6639456880000001</v>
      </c>
      <c r="AF13" s="722">
        <f t="shared" si="13"/>
        <v>8.2008104369999995</v>
      </c>
      <c r="AG13" s="722">
        <f t="shared" si="13"/>
        <v>11.285652698</v>
      </c>
      <c r="AH13" s="722">
        <f t="shared" si="13"/>
        <v>14.278233209000001</v>
      </c>
      <c r="AI13" s="722">
        <f t="shared" si="13"/>
        <v>14.664811101</v>
      </c>
      <c r="AJ13" s="722">
        <f t="shared" si="13"/>
        <v>16.805031597999999</v>
      </c>
      <c r="AK13" s="722">
        <f t="shared" si="13"/>
        <v>18.046780727999998</v>
      </c>
      <c r="AL13" s="722">
        <f t="shared" si="13"/>
        <v>23.942902012999998</v>
      </c>
      <c r="AM13" s="722">
        <f t="shared" si="13"/>
        <v>23.175233969000004</v>
      </c>
      <c r="AN13" s="722">
        <f t="shared" si="13"/>
        <v>37.827897843000002</v>
      </c>
      <c r="AO13" s="722">
        <f t="shared" si="13"/>
        <v>45.026130516000002</v>
      </c>
      <c r="AP13" s="722">
        <f t="shared" si="13"/>
        <v>49.280618547000003</v>
      </c>
      <c r="AQ13" s="722">
        <f t="shared" si="13"/>
        <v>57.233108561015534</v>
      </c>
      <c r="AR13" s="722">
        <f t="shared" si="13"/>
        <v>64.971882747856597</v>
      </c>
      <c r="AS13" s="722">
        <f t="shared" si="13"/>
        <v>74.421669565482603</v>
      </c>
      <c r="AT13" s="715">
        <f t="shared" si="13"/>
        <v>84.374966433406314</v>
      </c>
      <c r="AU13" s="715">
        <f t="shared" si="13"/>
        <v>88.197045369300994</v>
      </c>
      <c r="AV13" s="715">
        <f t="shared" si="13"/>
        <v>93.763543974711581</v>
      </c>
      <c r="AW13" s="715">
        <f t="shared" si="13"/>
        <v>101.05188302903268</v>
      </c>
      <c r="AX13" s="715">
        <f t="shared" si="13"/>
        <v>109.50818223470711</v>
      </c>
      <c r="AY13" s="715">
        <f t="shared" si="13"/>
        <v>119.06816487599815</v>
      </c>
      <c r="AZ13" s="715">
        <f t="shared" si="13"/>
        <v>129.85617142765577</v>
      </c>
      <c r="BA13" s="715">
        <f t="shared" si="13"/>
        <v>142.07101691163766</v>
      </c>
      <c r="BB13" s="715">
        <f t="shared" si="13"/>
        <v>155.31801739854444</v>
      </c>
      <c r="BC13" s="715">
        <f t="shared" si="13"/>
        <v>169.13151659051178</v>
      </c>
      <c r="BD13" s="715">
        <f t="shared" si="13"/>
        <v>183.73219411316632</v>
      </c>
      <c r="BE13" s="715">
        <f t="shared" si="13"/>
        <v>200.00236472506694</v>
      </c>
      <c r="BF13" s="722">
        <f t="shared" si="13"/>
        <v>221.00382241643774</v>
      </c>
      <c r="BG13" s="722">
        <f t="shared" si="13"/>
        <v>231.67615562916114</v>
      </c>
      <c r="BH13" s="722">
        <f t="shared" si="13"/>
        <v>242.26963509839484</v>
      </c>
      <c r="BI13" s="722">
        <f t="shared" si="13"/>
        <v>250.41705576072684</v>
      </c>
      <c r="BJ13" s="722">
        <f t="shared" si="13"/>
        <v>256.06984786654482</v>
      </c>
      <c r="BK13" s="722">
        <f t="shared" si="13"/>
        <v>259.57577092453278</v>
      </c>
      <c r="BL13" s="722">
        <f t="shared" si="13"/>
        <v>261.37339519946647</v>
      </c>
      <c r="BM13" s="722">
        <f t="shared" si="13"/>
        <v>261.74957160168623</v>
      </c>
      <c r="BN13" s="722">
        <f t="shared" si="13"/>
        <v>260.92436506601246</v>
      </c>
      <c r="BO13" s="722">
        <f t="shared" si="13"/>
        <v>259.12591097929561</v>
      </c>
      <c r="BP13" s="722">
        <f t="shared" si="13"/>
        <v>256.01826961793375</v>
      </c>
      <c r="BQ13" s="722">
        <f t="shared" si="13"/>
        <v>252.64213339919888</v>
      </c>
      <c r="BR13" s="722">
        <f t="shared" si="13"/>
        <v>250.78265596396901</v>
      </c>
      <c r="BS13" s="722">
        <f t="shared" si="13"/>
        <v>250.82441741980819</v>
      </c>
      <c r="BT13" s="722">
        <f t="shared" si="13"/>
        <v>251.99743327203467</v>
      </c>
      <c r="BU13" s="722">
        <f t="shared" si="13"/>
        <v>254.37451731125233</v>
      </c>
      <c r="BV13" s="722">
        <f t="shared" si="9"/>
        <v>258.14266140939696</v>
      </c>
      <c r="BW13" s="722">
        <f t="shared" si="9"/>
        <v>263.13028639954626</v>
      </c>
      <c r="BX13" s="722">
        <f t="shared" si="9"/>
        <v>269.18122380704892</v>
      </c>
      <c r="BY13" s="722">
        <f t="shared" si="9"/>
        <v>276.17173014701615</v>
      </c>
      <c r="BZ13" s="722">
        <f t="shared" si="9"/>
        <v>283.98411770869569</v>
      </c>
      <c r="CA13" s="722">
        <f t="shared" si="9"/>
        <v>292.48929212611938</v>
      </c>
      <c r="CB13" s="722">
        <f t="shared" si="9"/>
        <v>301.5392086546691</v>
      </c>
      <c r="CC13" s="722">
        <f t="shared" si="9"/>
        <v>311.00023602025249</v>
      </c>
      <c r="CD13" s="722">
        <f t="shared" si="9"/>
        <v>320.52446506548392</v>
      </c>
      <c r="CE13" s="722">
        <f t="shared" si="9"/>
        <v>329.84494287487229</v>
      </c>
      <c r="CF13" s="722">
        <f t="shared" si="9"/>
        <v>338.90550676732568</v>
      </c>
      <c r="CG13" s="722">
        <f t="shared" si="9"/>
        <v>347.63466975507669</v>
      </c>
      <c r="CH13" s="722">
        <f t="shared" si="9"/>
        <v>356.02738620796765</v>
      </c>
      <c r="CI13" s="722">
        <f t="shared" si="9"/>
        <v>364.12002112416945</v>
      </c>
      <c r="CJ13" s="722">
        <f t="shared" si="9"/>
        <v>371.94640033318689</v>
      </c>
      <c r="CK13" s="722">
        <f t="shared" si="9"/>
        <v>379.52847255862201</v>
      </c>
      <c r="CL13" s="722">
        <f t="shared" si="9"/>
        <v>386.89363088334915</v>
      </c>
      <c r="CM13" s="722">
        <f t="shared" si="9"/>
        <v>394.06034495762037</v>
      </c>
      <c r="CN13" s="722">
        <f t="shared" si="9"/>
        <v>401.05125383917397</v>
      </c>
      <c r="CO13" s="722">
        <f t="shared" si="9"/>
        <v>407.88848895362173</v>
      </c>
      <c r="CP13" s="722">
        <f t="shared" si="9"/>
        <v>415.15454001072152</v>
      </c>
      <c r="CQ13" s="722">
        <f t="shared" si="9"/>
        <v>423.75261092225389</v>
      </c>
      <c r="CR13" s="722">
        <f t="shared" si="9"/>
        <v>434.04340357941902</v>
      </c>
      <c r="CS13" s="722">
        <f t="shared" si="9"/>
        <v>446.13661726784858</v>
      </c>
      <c r="CT13" s="722">
        <f t="shared" si="9"/>
        <v>460.10760468378186</v>
      </c>
      <c r="CU13" s="722">
        <f t="shared" si="9"/>
        <v>476.02547240420296</v>
      </c>
      <c r="CV13" s="722">
        <f t="shared" si="9"/>
        <v>493.97099293801693</v>
      </c>
      <c r="CW13" s="722">
        <f t="shared" si="9"/>
        <v>514.03356928010624</v>
      </c>
      <c r="CX13" s="722">
        <f t="shared" si="9"/>
        <v>536.30598935722116</v>
      </c>
      <c r="CY13" s="722">
        <f t="shared" si="9"/>
        <v>560.90438479818079</v>
      </c>
      <c r="CZ13" s="722">
        <f t="shared" si="9"/>
        <v>587.94465945372303</v>
      </c>
      <c r="DA13" s="722">
        <f t="shared" si="9"/>
        <v>617.55709050807309</v>
      </c>
      <c r="DC13" s="849">
        <f t="shared" si="10"/>
        <v>38.583695184</v>
      </c>
      <c r="DD13" s="849">
        <f t="shared" si="4"/>
        <v>439.67430039835472</v>
      </c>
      <c r="DE13" s="849">
        <f t="shared" si="5"/>
        <v>1576.0750670837399</v>
      </c>
      <c r="DF13" s="849">
        <f t="shared" si="11"/>
        <v>3012.8459335593911</v>
      </c>
      <c r="DG13" s="849">
        <f t="shared" si="6"/>
        <v>3263.6177802398092</v>
      </c>
      <c r="DH13" s="849">
        <f t="shared" si="7"/>
        <v>4398.4255833204697</v>
      </c>
      <c r="DI13" s="11">
        <f t="shared" si="12"/>
        <v>5965.9369352035492</v>
      </c>
      <c r="DJ13" s="11"/>
      <c r="DK13" s="11"/>
      <c r="DL13" s="11"/>
      <c r="DM13" s="11"/>
      <c r="DN13" s="11"/>
      <c r="DP13" s="11"/>
    </row>
    <row r="14" spans="4:121" ht="13" customHeight="1" outlineLevel="1">
      <c r="F14" s="126" t="s">
        <v>798</v>
      </c>
      <c r="I14" s="609" t="s">
        <v>736</v>
      </c>
      <c r="J14" s="722">
        <f t="shared" si="13"/>
        <v>-2.0142588888888884E-3</v>
      </c>
      <c r="K14" s="722">
        <f t="shared" si="13"/>
        <v>-2.1145088888888889E-3</v>
      </c>
      <c r="L14" s="722">
        <f t="shared" si="13"/>
        <v>-3.8854466666666666E-3</v>
      </c>
      <c r="M14" s="722">
        <f t="shared" si="13"/>
        <v>-5.6886255555555557E-3</v>
      </c>
      <c r="N14" s="722">
        <f t="shared" si="13"/>
        <v>-8.2601255555555565E-3</v>
      </c>
      <c r="O14" s="722">
        <f t="shared" si="13"/>
        <v>-1.0604053333333335E-2</v>
      </c>
      <c r="P14" s="722">
        <f t="shared" si="13"/>
        <v>-1.2489164444444445E-2</v>
      </c>
      <c r="Q14" s="722">
        <f t="shared" si="13"/>
        <v>-1.3186527777777778E-2</v>
      </c>
      <c r="R14" s="722">
        <f t="shared" si="13"/>
        <v>-1.237686E-2</v>
      </c>
      <c r="S14" s="722">
        <f t="shared" si="13"/>
        <v>-1.2522548888888888E-2</v>
      </c>
      <c r="T14" s="722">
        <f t="shared" si="13"/>
        <v>-1.1061518655871112E-2</v>
      </c>
      <c r="U14" s="722">
        <f t="shared" si="13"/>
        <v>-1.0433934122393334E-2</v>
      </c>
      <c r="V14" s="722">
        <f t="shared" si="13"/>
        <v>-3.6021450000000002E-3</v>
      </c>
      <c r="W14" s="722">
        <f t="shared" si="13"/>
        <v>-3.6021450000000002E-3</v>
      </c>
      <c r="X14" s="722">
        <f t="shared" si="13"/>
        <v>-2.1943925999999999E-2</v>
      </c>
      <c r="Y14" s="722">
        <f t="shared" si="13"/>
        <v>-7.8901974999999999E-2</v>
      </c>
      <c r="Z14" s="722">
        <f t="shared" si="13"/>
        <v>-0.11536389499999999</v>
      </c>
      <c r="AA14" s="722">
        <f t="shared" si="13"/>
        <v>-0.25910666900635598</v>
      </c>
      <c r="AB14" s="722">
        <f t="shared" si="13"/>
        <v>-0.43254688500000005</v>
      </c>
      <c r="AC14" s="722">
        <f t="shared" si="13"/>
        <v>-0.80807036515354402</v>
      </c>
      <c r="AD14" s="722">
        <f t="shared" si="13"/>
        <v>-1.0745215000000001</v>
      </c>
      <c r="AE14" s="722">
        <f t="shared" si="13"/>
        <v>-1.5452934739999999</v>
      </c>
      <c r="AF14" s="722">
        <f t="shared" si="13"/>
        <v>-1.8288234540000001</v>
      </c>
      <c r="AG14" s="722">
        <f t="shared" si="13"/>
        <v>-2.4074973463567</v>
      </c>
      <c r="AH14" s="722">
        <f t="shared" si="13"/>
        <v>-2.946534465</v>
      </c>
      <c r="AI14" s="722">
        <f t="shared" si="13"/>
        <v>-3.0781323780835952</v>
      </c>
      <c r="AJ14" s="722">
        <f t="shared" si="13"/>
        <v>-3.2278583579999998</v>
      </c>
      <c r="AK14" s="722">
        <f t="shared" si="13"/>
        <v>-3.3044673260000001</v>
      </c>
      <c r="AL14" s="722">
        <f t="shared" si="13"/>
        <v>-4.0351038782063</v>
      </c>
      <c r="AM14" s="722">
        <f t="shared" si="13"/>
        <v>-4.457813937969199</v>
      </c>
      <c r="AN14" s="722">
        <f t="shared" si="13"/>
        <v>-6.2418958546927996</v>
      </c>
      <c r="AO14" s="722">
        <f t="shared" si="13"/>
        <v>-7.794197780607</v>
      </c>
      <c r="AP14" s="722">
        <f t="shared" si="13"/>
        <v>-8.1955488813228001</v>
      </c>
      <c r="AQ14" s="722">
        <f t="shared" si="13"/>
        <v>-9.4283265659999991</v>
      </c>
      <c r="AR14" s="722">
        <f t="shared" si="13"/>
        <v>-11.288827935346212</v>
      </c>
      <c r="AS14" s="722">
        <f t="shared" si="13"/>
        <v>-12.945514114352093</v>
      </c>
      <c r="AT14" s="715">
        <f t="shared" si="13"/>
        <v>-14.352405034227976</v>
      </c>
      <c r="AU14" s="715">
        <f t="shared" si="13"/>
        <v>-15.277096363777604</v>
      </c>
      <c r="AV14" s="715">
        <f t="shared" si="13"/>
        <v>-16.33288348723578</v>
      </c>
      <c r="AW14" s="715">
        <f t="shared" si="13"/>
        <v>-17.66612498433776</v>
      </c>
      <c r="AX14" s="715">
        <f t="shared" si="13"/>
        <v>-19.179565674053443</v>
      </c>
      <c r="AY14" s="715">
        <f t="shared" si="13"/>
        <v>-20.857413837825302</v>
      </c>
      <c r="AZ14" s="715">
        <f t="shared" si="13"/>
        <v>-22.698612912688372</v>
      </c>
      <c r="BA14" s="715">
        <f t="shared" si="13"/>
        <v>-24.708508084590036</v>
      </c>
      <c r="BB14" s="715">
        <f t="shared" si="13"/>
        <v>-26.873754161851128</v>
      </c>
      <c r="BC14" s="715">
        <f t="shared" si="13"/>
        <v>-29.153924370820032</v>
      </c>
      <c r="BD14" s="715">
        <f t="shared" si="13"/>
        <v>-31.554808376357133</v>
      </c>
      <c r="BE14" s="715">
        <f t="shared" si="13"/>
        <v>-34.211462966821294</v>
      </c>
      <c r="BF14" s="722">
        <f t="shared" si="13"/>
        <v>-36.941429124574398</v>
      </c>
      <c r="BG14" s="722">
        <f t="shared" si="13"/>
        <v>-39.348824564119745</v>
      </c>
      <c r="BH14" s="722">
        <f t="shared" si="13"/>
        <v>-41.33251694141503</v>
      </c>
      <c r="BI14" s="722">
        <f t="shared" si="13"/>
        <v>-42.936441493498641</v>
      </c>
      <c r="BJ14" s="722">
        <f t="shared" si="13"/>
        <v>-44.156496494815833</v>
      </c>
      <c r="BK14" s="722">
        <f t="shared" si="13"/>
        <v>-45.017340358266132</v>
      </c>
      <c r="BL14" s="722">
        <f t="shared" si="13"/>
        <v>-45.586000963291504</v>
      </c>
      <c r="BM14" s="722">
        <f t="shared" si="13"/>
        <v>-45.881327746076906</v>
      </c>
      <c r="BN14" s="722">
        <f t="shared" si="13"/>
        <v>-45.923865743170445</v>
      </c>
      <c r="BO14" s="722">
        <f t="shared" si="13"/>
        <v>-45.756505844479655</v>
      </c>
      <c r="BP14" s="722">
        <f t="shared" si="13"/>
        <v>-45.35786032645774</v>
      </c>
      <c r="BQ14" s="722">
        <f t="shared" si="13"/>
        <v>-44.855197406094568</v>
      </c>
      <c r="BR14" s="722">
        <f t="shared" si="13"/>
        <v>-44.513556807647653</v>
      </c>
      <c r="BS14" s="722">
        <f t="shared" si="13"/>
        <v>-44.430048995085095</v>
      </c>
      <c r="BT14" s="722">
        <f t="shared" si="13"/>
        <v>-44.534504941881487</v>
      </c>
      <c r="BU14" s="722">
        <f t="shared" si="13"/>
        <v>-44.814554704767666</v>
      </c>
      <c r="BV14" s="722">
        <f t="shared" si="9"/>
        <v>-45.324300993673027</v>
      </c>
      <c r="BW14" s="722">
        <f t="shared" si="9"/>
        <v>-46.047535203842628</v>
      </c>
      <c r="BX14" s="722">
        <f t="shared" si="9"/>
        <v>-46.970112512285105</v>
      </c>
      <c r="BY14" s="722">
        <f t="shared" si="9"/>
        <v>-48.074919614600631</v>
      </c>
      <c r="BZ14" s="722">
        <f t="shared" si="9"/>
        <v>-49.339150039741362</v>
      </c>
      <c r="CA14" s="722">
        <f t="shared" si="9"/>
        <v>-50.738786496716948</v>
      </c>
      <c r="CB14" s="722">
        <f t="shared" si="9"/>
        <v>-52.251207548832049</v>
      </c>
      <c r="CC14" s="722">
        <f t="shared" si="9"/>
        <v>-53.852679016068876</v>
      </c>
      <c r="CD14" s="722">
        <f t="shared" si="9"/>
        <v>-55.494474704858597</v>
      </c>
      <c r="CE14" s="722">
        <f t="shared" si="9"/>
        <v>-57.130029642950873</v>
      </c>
      <c r="CF14" s="722">
        <f t="shared" si="9"/>
        <v>-58.741286414498433</v>
      </c>
      <c r="CG14" s="722">
        <f t="shared" si="9"/>
        <v>-60.313050947734794</v>
      </c>
      <c r="CH14" s="722">
        <f t="shared" si="9"/>
        <v>-61.837861439412613</v>
      </c>
      <c r="CI14" s="722">
        <f t="shared" si="9"/>
        <v>-63.316479481227567</v>
      </c>
      <c r="CJ14" s="722">
        <f t="shared" si="9"/>
        <v>-64.750785537162002</v>
      </c>
      <c r="CK14" s="722">
        <f t="shared" si="9"/>
        <v>-66.141487284751634</v>
      </c>
      <c r="CL14" s="722">
        <f t="shared" si="9"/>
        <v>-67.489707676756041</v>
      </c>
      <c r="CM14" s="722">
        <f t="shared" si="9"/>
        <v>-68.799062647199094</v>
      </c>
      <c r="CN14" s="722">
        <f t="shared" si="9"/>
        <v>-70.073161393371265</v>
      </c>
      <c r="CO14" s="722">
        <f t="shared" si="9"/>
        <v>-71.315929394177758</v>
      </c>
      <c r="CP14" s="722">
        <f t="shared" si="9"/>
        <v>-72.636163027039004</v>
      </c>
      <c r="CQ14" s="722">
        <f t="shared" si="9"/>
        <v>-74.167945598462651</v>
      </c>
      <c r="CR14" s="722">
        <f t="shared" si="9"/>
        <v>-75.948856489060972</v>
      </c>
      <c r="CS14" s="722">
        <f t="shared" si="9"/>
        <v>-78.000655603944736</v>
      </c>
      <c r="CT14" s="722">
        <f t="shared" si="9"/>
        <v>-80.343604624058898</v>
      </c>
      <c r="CU14" s="722">
        <f t="shared" si="9"/>
        <v>-82.996231431407068</v>
      </c>
      <c r="CV14" s="722">
        <f t="shared" si="9"/>
        <v>-85.978952158370134</v>
      </c>
      <c r="CW14" s="722">
        <f t="shared" si="9"/>
        <v>-89.313841739378461</v>
      </c>
      <c r="CX14" s="722">
        <f t="shared" si="9"/>
        <v>-93.021927345842556</v>
      </c>
      <c r="CY14" s="722">
        <f t="shared" si="9"/>
        <v>-97.122421432890945</v>
      </c>
      <c r="CZ14" s="722">
        <f t="shared" si="9"/>
        <v>-101.63487634376057</v>
      </c>
      <c r="DA14" s="722">
        <f t="shared" si="9"/>
        <v>-106.58838585052172</v>
      </c>
      <c r="DC14" s="849">
        <f t="shared" si="10"/>
        <v>-8.5792737795166012</v>
      </c>
      <c r="DD14" s="849">
        <f t="shared" si="4"/>
        <v>-76.944221475580008</v>
      </c>
      <c r="DE14" s="849">
        <f t="shared" si="5"/>
        <v>-272.86656025458586</v>
      </c>
      <c r="DF14" s="849">
        <f t="shared" si="11"/>
        <v>-523.09380700626059</v>
      </c>
      <c r="DG14" s="849">
        <f t="shared" si="6"/>
        <v>-570.89135687514261</v>
      </c>
      <c r="DH14" s="849">
        <f t="shared" si="7"/>
        <v>-765.40331656410069</v>
      </c>
      <c r="DI14" s="11">
        <f t="shared" si="12"/>
        <v>-1037.7538616447378</v>
      </c>
    </row>
    <row r="15" spans="4:121" s="698" customFormat="1" ht="13" customHeight="1">
      <c r="E15" s="704" t="s">
        <v>593</v>
      </c>
      <c r="F15" s="704"/>
      <c r="G15" s="704"/>
      <c r="H15" s="852"/>
      <c r="I15" s="609" t="s">
        <v>736</v>
      </c>
      <c r="J15" s="723">
        <f t="shared" si="13"/>
        <v>0</v>
      </c>
      <c r="K15" s="723">
        <f t="shared" si="13"/>
        <v>0</v>
      </c>
      <c r="L15" s="723">
        <f t="shared" si="13"/>
        <v>0</v>
      </c>
      <c r="M15" s="723">
        <f t="shared" si="13"/>
        <v>0</v>
      </c>
      <c r="N15" s="723">
        <f t="shared" si="13"/>
        <v>0</v>
      </c>
      <c r="O15" s="723">
        <f t="shared" si="13"/>
        <v>0</v>
      </c>
      <c r="P15" s="723">
        <f t="shared" si="13"/>
        <v>0</v>
      </c>
      <c r="Q15" s="723">
        <f t="shared" si="13"/>
        <v>0</v>
      </c>
      <c r="R15" s="723">
        <f t="shared" si="13"/>
        <v>0</v>
      </c>
      <c r="S15" s="723">
        <f t="shared" si="13"/>
        <v>0</v>
      </c>
      <c r="T15" s="723">
        <f t="shared" si="13"/>
        <v>0</v>
      </c>
      <c r="U15" s="723">
        <f t="shared" si="13"/>
        <v>0</v>
      </c>
      <c r="V15" s="723">
        <f t="shared" si="13"/>
        <v>4.8999999999999998E-3</v>
      </c>
      <c r="W15" s="723">
        <f t="shared" si="13"/>
        <v>-8.8000000000000003E-4</v>
      </c>
      <c r="X15" s="723">
        <f t="shared" si="13"/>
        <v>7.1760000000000004E-2</v>
      </c>
      <c r="Y15" s="723">
        <f t="shared" si="13"/>
        <v>7.9600000000000004E-2</v>
      </c>
      <c r="Z15" s="723">
        <f t="shared" si="13"/>
        <v>0.87336600000000009</v>
      </c>
      <c r="AA15" s="723">
        <f t="shared" si="13"/>
        <v>1.655721819</v>
      </c>
      <c r="AB15" s="723">
        <f t="shared" si="13"/>
        <v>3.24695059</v>
      </c>
      <c r="AC15" s="723">
        <f t="shared" si="13"/>
        <v>3.4085085790000003</v>
      </c>
      <c r="AD15" s="723">
        <f t="shared" si="13"/>
        <v>3.7099031890000003</v>
      </c>
      <c r="AE15" s="723">
        <f t="shared" si="13"/>
        <v>4.760185807</v>
      </c>
      <c r="AF15" s="723">
        <f t="shared" si="13"/>
        <v>5.1683075869999993</v>
      </c>
      <c r="AG15" s="723">
        <f t="shared" si="13"/>
        <v>7.1953387781990878</v>
      </c>
      <c r="AH15" s="723">
        <f t="shared" si="13"/>
        <v>6.9302510770000003</v>
      </c>
      <c r="AI15" s="723">
        <f t="shared" si="13"/>
        <v>5.4165506879999992</v>
      </c>
      <c r="AJ15" s="723">
        <f t="shared" si="13"/>
        <v>7.1750571559999994</v>
      </c>
      <c r="AK15" s="723">
        <f t="shared" si="13"/>
        <v>10.254927937</v>
      </c>
      <c r="AL15" s="723">
        <f t="shared" si="13"/>
        <v>12.057426528999999</v>
      </c>
      <c r="AM15" s="723">
        <f t="shared" si="13"/>
        <v>19.016772121999999</v>
      </c>
      <c r="AN15" s="723">
        <f t="shared" si="13"/>
        <v>24.831164612999999</v>
      </c>
      <c r="AO15" s="723">
        <f t="shared" si="13"/>
        <v>25.305160545</v>
      </c>
      <c r="AP15" s="723">
        <f t="shared" si="13"/>
        <v>25.146796727999998</v>
      </c>
      <c r="AQ15" s="723">
        <f t="shared" si="13"/>
        <v>27.700932816121643</v>
      </c>
      <c r="AR15" s="723">
        <f t="shared" si="13"/>
        <v>30.299700396284532</v>
      </c>
      <c r="AS15" s="723">
        <f t="shared" si="13"/>
        <v>33.73663823289391</v>
      </c>
      <c r="AT15" s="696">
        <f t="shared" si="13"/>
        <v>32.058342254741056</v>
      </c>
      <c r="AU15" s="696">
        <f t="shared" si="13"/>
        <v>29.634524014565404</v>
      </c>
      <c r="AV15" s="696">
        <f t="shared" si="13"/>
        <v>35.118236157495922</v>
      </c>
      <c r="AW15" s="696">
        <f t="shared" si="13"/>
        <v>38.749526108484538</v>
      </c>
      <c r="AX15" s="696">
        <f t="shared" si="13"/>
        <v>42.404572132172838</v>
      </c>
      <c r="AY15" s="696">
        <f t="shared" si="13"/>
        <v>46.07163167973011</v>
      </c>
      <c r="AZ15" s="696">
        <f t="shared" si="13"/>
        <v>49.774030249181031</v>
      </c>
      <c r="BA15" s="696">
        <f t="shared" si="13"/>
        <v>53.507205413444389</v>
      </c>
      <c r="BB15" s="696">
        <f t="shared" si="13"/>
        <v>57.253950066238254</v>
      </c>
      <c r="BC15" s="696">
        <f t="shared" si="13"/>
        <v>61.028796059410816</v>
      </c>
      <c r="BD15" s="696">
        <f t="shared" si="13"/>
        <v>64.836632719840978</v>
      </c>
      <c r="BE15" s="696">
        <f t="shared" si="13"/>
        <v>70.512626342827417</v>
      </c>
      <c r="BF15" s="723">
        <f t="shared" si="13"/>
        <v>71.710401248772456</v>
      </c>
      <c r="BG15" s="723">
        <f t="shared" si="13"/>
        <v>71.589634215616911</v>
      </c>
      <c r="BH15" s="723">
        <f t="shared" si="13"/>
        <v>71.323518726051944</v>
      </c>
      <c r="BI15" s="723">
        <f t="shared" si="13"/>
        <v>70.88786186756829</v>
      </c>
      <c r="BJ15" s="723">
        <f t="shared" si="13"/>
        <v>70.386279298108846</v>
      </c>
      <c r="BK15" s="723">
        <f t="shared" si="13"/>
        <v>69.846571296267612</v>
      </c>
      <c r="BL15" s="723">
        <f t="shared" si="13"/>
        <v>69.297086962547041</v>
      </c>
      <c r="BM15" s="723">
        <f t="shared" si="13"/>
        <v>68.728046207734621</v>
      </c>
      <c r="BN15" s="723">
        <f t="shared" si="13"/>
        <v>68.154564036016595</v>
      </c>
      <c r="BO15" s="723">
        <f t="shared" si="13"/>
        <v>67.618737885417488</v>
      </c>
      <c r="BP15" s="723">
        <f t="shared" si="13"/>
        <v>67.093826074481157</v>
      </c>
      <c r="BQ15" s="723">
        <f t="shared" si="13"/>
        <v>71.14241572783699</v>
      </c>
      <c r="BR15" s="723">
        <f t="shared" si="13"/>
        <v>73.465046843139461</v>
      </c>
      <c r="BS15" s="723">
        <f t="shared" si="13"/>
        <v>75.775591485593736</v>
      </c>
      <c r="BT15" s="723">
        <f t="shared" si="13"/>
        <v>78.088196563179707</v>
      </c>
      <c r="BU15" s="723">
        <f t="shared" si="13"/>
        <v>80.401828773264469</v>
      </c>
      <c r="BV15" s="723">
        <f t="shared" si="9"/>
        <v>82.71622611066185</v>
      </c>
      <c r="BW15" s="723">
        <f t="shared" si="9"/>
        <v>85.03224792770618</v>
      </c>
      <c r="BX15" s="723">
        <f t="shared" si="9"/>
        <v>87.378160408299578</v>
      </c>
      <c r="BY15" s="723">
        <f t="shared" si="9"/>
        <v>89.767494405643376</v>
      </c>
      <c r="BZ15" s="723">
        <f t="shared" si="9"/>
        <v>92.150583509980919</v>
      </c>
      <c r="CA15" s="723">
        <f t="shared" si="9"/>
        <v>94.534571316066319</v>
      </c>
      <c r="CB15" s="723">
        <f t="shared" si="9"/>
        <v>96.922055655506369</v>
      </c>
      <c r="CC15" s="723">
        <f t="shared" si="9"/>
        <v>99.314612556143118</v>
      </c>
      <c r="CD15" s="723">
        <f t="shared" si="9"/>
        <v>101.65358264790068</v>
      </c>
      <c r="CE15" s="723">
        <f t="shared" si="9"/>
        <v>104.03115104655235</v>
      </c>
      <c r="CF15" s="723">
        <f t="shared" si="9"/>
        <v>106.36431836332241</v>
      </c>
      <c r="CG15" s="723">
        <f t="shared" si="9"/>
        <v>108.69554663081398</v>
      </c>
      <c r="CH15" s="723">
        <f t="shared" si="9"/>
        <v>111.02728423811277</v>
      </c>
      <c r="CI15" s="723">
        <f t="shared" si="9"/>
        <v>113.361578886667</v>
      </c>
      <c r="CJ15" s="723">
        <f t="shared" si="9"/>
        <v>115.69852722078366</v>
      </c>
      <c r="CK15" s="723">
        <f t="shared" si="9"/>
        <v>118.01184866184718</v>
      </c>
      <c r="CL15" s="723">
        <f t="shared" si="9"/>
        <v>120.28458505751595</v>
      </c>
      <c r="CM15" s="723">
        <f t="shared" si="9"/>
        <v>122.56031415614319</v>
      </c>
      <c r="CN15" s="723">
        <f t="shared" si="9"/>
        <v>124.83778350150186</v>
      </c>
      <c r="CO15" s="723">
        <f t="shared" si="9"/>
        <v>127.1168023481689</v>
      </c>
      <c r="CP15" s="723">
        <f t="shared" si="9"/>
        <v>128.88623368823278</v>
      </c>
      <c r="CQ15" s="723">
        <f t="shared" si="9"/>
        <v>130.6572483883279</v>
      </c>
      <c r="CR15" s="723">
        <f t="shared" si="9"/>
        <v>132.42981896580949</v>
      </c>
      <c r="CS15" s="723">
        <f t="shared" si="9"/>
        <v>134.2036000214394</v>
      </c>
      <c r="CT15" s="723">
        <f t="shared" si="9"/>
        <v>135.97760464328724</v>
      </c>
      <c r="CU15" s="723">
        <f t="shared" si="9"/>
        <v>137.75182416477162</v>
      </c>
      <c r="CV15" s="723">
        <f t="shared" si="9"/>
        <v>139.52623641588838</v>
      </c>
      <c r="CW15" s="723">
        <f t="shared" si="9"/>
        <v>141.30082461636783</v>
      </c>
      <c r="CX15" s="723">
        <f t="shared" si="9"/>
        <v>143.07547137923223</v>
      </c>
      <c r="CY15" s="723">
        <f t="shared" si="9"/>
        <v>144.85306457079139</v>
      </c>
      <c r="CZ15" s="723">
        <f t="shared" si="9"/>
        <v>146.63406133799509</v>
      </c>
      <c r="DA15" s="723">
        <f t="shared" si="9"/>
        <v>148.42088183744991</v>
      </c>
      <c r="DC15" s="849">
        <f t="shared" si="10"/>
        <v>30.173662349199084</v>
      </c>
      <c r="DD15" s="849">
        <f t="shared" si="4"/>
        <v>227.87137884030008</v>
      </c>
      <c r="DE15" s="849">
        <f t="shared" si="5"/>
        <v>580.95007319813271</v>
      </c>
      <c r="DF15" s="849">
        <f t="shared" si="11"/>
        <v>837.77894354642001</v>
      </c>
      <c r="DG15" s="849">
        <f t="shared" si="6"/>
        <v>1035.5466155551851</v>
      </c>
      <c r="DH15" s="849">
        <f t="shared" si="7"/>
        <v>1373.6433227593297</v>
      </c>
      <c r="DI15" s="11">
        <f t="shared" si="12"/>
        <v>1663.7168700295936</v>
      </c>
      <c r="DJ15" s="13"/>
      <c r="DK15" s="13"/>
      <c r="DL15" s="13"/>
      <c r="DM15" s="13"/>
      <c r="DN15" s="13"/>
      <c r="DO15" s="13"/>
    </row>
    <row r="16" spans="4:121" ht="13" customHeight="1" outlineLevel="1">
      <c r="F16" s="126" t="s">
        <v>540</v>
      </c>
      <c r="I16" s="609" t="s">
        <v>736</v>
      </c>
      <c r="J16" s="722">
        <f t="shared" si="13"/>
        <v>0</v>
      </c>
      <c r="K16" s="722">
        <f t="shared" si="13"/>
        <v>0</v>
      </c>
      <c r="L16" s="722">
        <f t="shared" si="13"/>
        <v>0</v>
      </c>
      <c r="M16" s="722">
        <f t="shared" si="13"/>
        <v>0</v>
      </c>
      <c r="N16" s="722">
        <f t="shared" si="13"/>
        <v>0</v>
      </c>
      <c r="O16" s="722">
        <f t="shared" si="13"/>
        <v>0</v>
      </c>
      <c r="P16" s="722">
        <f t="shared" si="13"/>
        <v>0</v>
      </c>
      <c r="Q16" s="722">
        <f t="shared" si="13"/>
        <v>0</v>
      </c>
      <c r="R16" s="722">
        <f t="shared" si="13"/>
        <v>0</v>
      </c>
      <c r="S16" s="722">
        <f t="shared" si="13"/>
        <v>0</v>
      </c>
      <c r="T16" s="722">
        <f t="shared" si="13"/>
        <v>0</v>
      </c>
      <c r="U16" s="722">
        <f t="shared" si="13"/>
        <v>0</v>
      </c>
      <c r="V16" s="722">
        <f t="shared" si="13"/>
        <v>0</v>
      </c>
      <c r="W16" s="722">
        <f t="shared" si="13"/>
        <v>0</v>
      </c>
      <c r="X16" s="722">
        <f t="shared" si="13"/>
        <v>0</v>
      </c>
      <c r="Y16" s="722">
        <f t="shared" si="13"/>
        <v>0</v>
      </c>
      <c r="Z16" s="722">
        <f t="shared" si="13"/>
        <v>0.78433600000000003</v>
      </c>
      <c r="AA16" s="722">
        <f t="shared" si="13"/>
        <v>1.5381818190000001</v>
      </c>
      <c r="AB16" s="722">
        <f t="shared" si="13"/>
        <v>3.0912005900000001</v>
      </c>
      <c r="AC16" s="722">
        <f t="shared" si="13"/>
        <v>3.2925085790000002</v>
      </c>
      <c r="AD16" s="722">
        <f t="shared" si="13"/>
        <v>3.5745332730000001</v>
      </c>
      <c r="AE16" s="722">
        <f t="shared" si="13"/>
        <v>4.525937892</v>
      </c>
      <c r="AF16" s="722">
        <f t="shared" si="13"/>
        <v>4.9501592759999999</v>
      </c>
      <c r="AG16" s="722">
        <f t="shared" si="13"/>
        <v>6.9177306051990879</v>
      </c>
      <c r="AH16" s="722">
        <f t="shared" si="13"/>
        <v>6.6420137710000002</v>
      </c>
      <c r="AI16" s="722">
        <f t="shared" si="13"/>
        <v>5.1816322120000002</v>
      </c>
      <c r="AJ16" s="722">
        <f t="shared" si="13"/>
        <v>6.8369610439999997</v>
      </c>
      <c r="AK16" s="722">
        <f t="shared" si="13"/>
        <v>9.9176571889999998</v>
      </c>
      <c r="AL16" s="722">
        <f t="shared" si="13"/>
        <v>11.60999372</v>
      </c>
      <c r="AM16" s="722">
        <f t="shared" si="13"/>
        <v>18.330735325999999</v>
      </c>
      <c r="AN16" s="722">
        <f t="shared" si="13"/>
        <v>23.803995526000001</v>
      </c>
      <c r="AO16" s="722">
        <f t="shared" si="13"/>
        <v>23.281403184999999</v>
      </c>
      <c r="AP16" s="722">
        <f t="shared" si="13"/>
        <v>23.367609874999999</v>
      </c>
      <c r="AQ16" s="722">
        <f t="shared" si="13"/>
        <v>26.100760832500001</v>
      </c>
      <c r="AR16" s="722">
        <f t="shared" si="13"/>
        <v>28.017417541746546</v>
      </c>
      <c r="AS16" s="722">
        <f t="shared" si="13"/>
        <v>31.339019295921204</v>
      </c>
      <c r="AT16" s="715">
        <f t="shared" si="13"/>
        <v>29.209399999999999</v>
      </c>
      <c r="AU16" s="715">
        <f t="shared" si="13"/>
        <v>26.592717500000003</v>
      </c>
      <c r="AV16" s="715">
        <f t="shared" si="13"/>
        <v>31.49732375</v>
      </c>
      <c r="AW16" s="715">
        <f t="shared" si="13"/>
        <v>34.641856249999996</v>
      </c>
      <c r="AX16" s="715">
        <f t="shared" si="13"/>
        <v>37.80646999999999</v>
      </c>
      <c r="AY16" s="715">
        <f t="shared" si="13"/>
        <v>40.991164999999995</v>
      </c>
      <c r="AZ16" s="715">
        <f t="shared" si="13"/>
        <v>44.195941249999997</v>
      </c>
      <c r="BA16" s="715">
        <f t="shared" si="13"/>
        <v>47.420798750000003</v>
      </c>
      <c r="BB16" s="715">
        <f t="shared" si="13"/>
        <v>50.665737499999992</v>
      </c>
      <c r="BC16" s="715">
        <f t="shared" si="13"/>
        <v>53.930757499999999</v>
      </c>
      <c r="BD16" s="715">
        <f t="shared" si="13"/>
        <v>57.215858749999988</v>
      </c>
      <c r="BE16" s="715">
        <f t="shared" si="13"/>
        <v>62.284174999999998</v>
      </c>
      <c r="BF16" s="722">
        <f t="shared" si="13"/>
        <v>62.693832807971013</v>
      </c>
      <c r="BG16" s="722">
        <f t="shared" si="13"/>
        <v>61.564423949275358</v>
      </c>
      <c r="BH16" s="722">
        <f t="shared" si="13"/>
        <v>60.435015090579704</v>
      </c>
      <c r="BI16" s="722">
        <f t="shared" si="13"/>
        <v>59.305606231884056</v>
      </c>
      <c r="BJ16" s="722">
        <f t="shared" si="13"/>
        <v>58.176197373188394</v>
      </c>
      <c r="BK16" s="722">
        <f t="shared" si="13"/>
        <v>57.046788514492739</v>
      </c>
      <c r="BL16" s="722">
        <f t="shared" si="13"/>
        <v>55.917379655797092</v>
      </c>
      <c r="BM16" s="722">
        <f t="shared" si="13"/>
        <v>54.787970797101437</v>
      </c>
      <c r="BN16" s="722">
        <f t="shared" si="13"/>
        <v>53.658561938405782</v>
      </c>
      <c r="BO16" s="722">
        <f t="shared" si="13"/>
        <v>52.529153079710134</v>
      </c>
      <c r="BP16" s="722">
        <f t="shared" si="13"/>
        <v>51.399744221014487</v>
      </c>
      <c r="BQ16" s="722">
        <f t="shared" si="13"/>
        <v>51.977726666666676</v>
      </c>
      <c r="BR16" s="722">
        <f t="shared" si="13"/>
        <v>53.699643444444447</v>
      </c>
      <c r="BS16" s="722">
        <f t="shared" si="13"/>
        <v>55.421560222222219</v>
      </c>
      <c r="BT16" s="722">
        <f t="shared" si="13"/>
        <v>57.143476999999997</v>
      </c>
      <c r="BU16" s="722">
        <f t="shared" ref="BU16:CZ26" si="14">BU68+BU238+BU365+BU411+BU600+BU722</f>
        <v>58.865393777777768</v>
      </c>
      <c r="BV16" s="722">
        <f t="shared" si="14"/>
        <v>60.587310555555547</v>
      </c>
      <c r="BW16" s="722">
        <f t="shared" si="14"/>
        <v>62.309227333333332</v>
      </c>
      <c r="BX16" s="722">
        <f t="shared" si="14"/>
        <v>64.031144111111104</v>
      </c>
      <c r="BY16" s="722">
        <f t="shared" si="14"/>
        <v>65.753060888888882</v>
      </c>
      <c r="BZ16" s="722">
        <f t="shared" si="14"/>
        <v>67.474977666666661</v>
      </c>
      <c r="CA16" s="722">
        <f t="shared" si="14"/>
        <v>69.196894444444439</v>
      </c>
      <c r="CB16" s="722">
        <f t="shared" si="14"/>
        <v>70.918811222222217</v>
      </c>
      <c r="CC16" s="722">
        <f t="shared" si="14"/>
        <v>72.64072800000001</v>
      </c>
      <c r="CD16" s="722">
        <f t="shared" si="14"/>
        <v>74.111632033333336</v>
      </c>
      <c r="CE16" s="722">
        <f t="shared" si="14"/>
        <v>75.582536066666663</v>
      </c>
      <c r="CF16" s="722">
        <f t="shared" si="14"/>
        <v>77.053440100000003</v>
      </c>
      <c r="CG16" s="722">
        <f t="shared" si="14"/>
        <v>78.524344133333344</v>
      </c>
      <c r="CH16" s="722">
        <f t="shared" si="9"/>
        <v>79.99524816666667</v>
      </c>
      <c r="CI16" s="722">
        <f t="shared" si="9"/>
        <v>81.466152199999996</v>
      </c>
      <c r="CJ16" s="722">
        <f t="shared" si="9"/>
        <v>82.937056233333351</v>
      </c>
      <c r="CK16" s="722">
        <f t="shared" si="9"/>
        <v>84.407960266666691</v>
      </c>
      <c r="CL16" s="722">
        <f t="shared" si="9"/>
        <v>85.878864300000004</v>
      </c>
      <c r="CM16" s="722">
        <f t="shared" si="9"/>
        <v>87.349768333333344</v>
      </c>
      <c r="CN16" s="722">
        <f t="shared" si="9"/>
        <v>88.82067236666667</v>
      </c>
      <c r="CO16" s="722">
        <f t="shared" si="9"/>
        <v>90.291576400000011</v>
      </c>
      <c r="CP16" s="722">
        <f t="shared" si="9"/>
        <v>91.450684339999995</v>
      </c>
      <c r="CQ16" s="722">
        <f t="shared" si="9"/>
        <v>92.609792280000008</v>
      </c>
      <c r="CR16" s="722">
        <f t="shared" si="9"/>
        <v>93.768900220000006</v>
      </c>
      <c r="CS16" s="722">
        <f t="shared" si="9"/>
        <v>94.92800815999999</v>
      </c>
      <c r="CT16" s="722">
        <f t="shared" si="9"/>
        <v>96.087116100000017</v>
      </c>
      <c r="CU16" s="722">
        <f t="shared" si="9"/>
        <v>97.246224039999987</v>
      </c>
      <c r="CV16" s="722">
        <f t="shared" si="9"/>
        <v>98.40533198</v>
      </c>
      <c r="CW16" s="722">
        <f t="shared" si="9"/>
        <v>99.564439919999984</v>
      </c>
      <c r="CX16" s="722">
        <f t="shared" si="9"/>
        <v>100.72354785999998</v>
      </c>
      <c r="CY16" s="722">
        <f t="shared" si="9"/>
        <v>101.88265579999997</v>
      </c>
      <c r="CZ16" s="722">
        <f t="shared" si="9"/>
        <v>103.04176373999996</v>
      </c>
      <c r="DA16" s="722">
        <f t="shared" si="9"/>
        <v>104.20087167999999</v>
      </c>
      <c r="DC16" s="849">
        <f t="shared" si="10"/>
        <v>28.67458803419909</v>
      </c>
      <c r="DD16" s="849">
        <f t="shared" si="4"/>
        <v>214.42919951816771</v>
      </c>
      <c r="DE16" s="849">
        <f t="shared" si="5"/>
        <v>516.45220124999992</v>
      </c>
      <c r="DF16" s="849">
        <f t="shared" si="11"/>
        <v>679.49240032608679</v>
      </c>
      <c r="DG16" s="849">
        <f t="shared" si="6"/>
        <v>758.04222866666646</v>
      </c>
      <c r="DH16" s="849">
        <f t="shared" si="7"/>
        <v>986.41925060000028</v>
      </c>
      <c r="DI16" s="11">
        <f t="shared" si="12"/>
        <v>1173.9093361199998</v>
      </c>
    </row>
    <row r="17" spans="5:113" ht="13" customHeight="1" outlineLevel="1">
      <c r="F17" s="126" t="s">
        <v>799</v>
      </c>
      <c r="I17" s="609" t="s">
        <v>736</v>
      </c>
      <c r="J17" s="722">
        <f t="shared" ref="J17:BU20" si="15">J69+J239+J366+J412+J601+J723</f>
        <v>0</v>
      </c>
      <c r="K17" s="722">
        <f t="shared" si="15"/>
        <v>0</v>
      </c>
      <c r="L17" s="722">
        <f t="shared" si="15"/>
        <v>0</v>
      </c>
      <c r="M17" s="722">
        <f t="shared" si="15"/>
        <v>0</v>
      </c>
      <c r="N17" s="722">
        <f t="shared" si="15"/>
        <v>0</v>
      </c>
      <c r="O17" s="722">
        <f t="shared" si="15"/>
        <v>0</v>
      </c>
      <c r="P17" s="722">
        <f t="shared" si="15"/>
        <v>0</v>
      </c>
      <c r="Q17" s="722">
        <f t="shared" si="15"/>
        <v>0</v>
      </c>
      <c r="R17" s="722">
        <f t="shared" si="15"/>
        <v>0</v>
      </c>
      <c r="S17" s="722">
        <f t="shared" si="15"/>
        <v>0</v>
      </c>
      <c r="T17" s="722">
        <f t="shared" si="15"/>
        <v>0</v>
      </c>
      <c r="U17" s="722">
        <f t="shared" si="15"/>
        <v>0</v>
      </c>
      <c r="V17" s="722">
        <f t="shared" si="15"/>
        <v>0</v>
      </c>
      <c r="W17" s="722">
        <f t="shared" si="15"/>
        <v>0</v>
      </c>
      <c r="X17" s="722">
        <f t="shared" si="15"/>
        <v>0</v>
      </c>
      <c r="Y17" s="722">
        <f t="shared" si="15"/>
        <v>0</v>
      </c>
      <c r="Z17" s="722">
        <f t="shared" si="15"/>
        <v>0</v>
      </c>
      <c r="AA17" s="722">
        <f t="shared" si="15"/>
        <v>0</v>
      </c>
      <c r="AB17" s="722">
        <f t="shared" si="15"/>
        <v>0</v>
      </c>
      <c r="AC17" s="722">
        <f t="shared" si="15"/>
        <v>0</v>
      </c>
      <c r="AD17" s="722">
        <f t="shared" si="15"/>
        <v>1.6991599999999999E-4</v>
      </c>
      <c r="AE17" s="722">
        <f t="shared" si="15"/>
        <v>6.6479149999999999E-3</v>
      </c>
      <c r="AF17" s="722">
        <f t="shared" si="15"/>
        <v>1.6848311000000001E-2</v>
      </c>
      <c r="AG17" s="722">
        <f t="shared" si="15"/>
        <v>3.5308172999999998E-2</v>
      </c>
      <c r="AH17" s="722">
        <f t="shared" si="15"/>
        <v>6.6837305999999999E-2</v>
      </c>
      <c r="AI17" s="722">
        <f t="shared" si="15"/>
        <v>0.10141847599999999</v>
      </c>
      <c r="AJ17" s="722">
        <f t="shared" si="15"/>
        <v>0.187896112</v>
      </c>
      <c r="AK17" s="722">
        <f t="shared" si="15"/>
        <v>0.20534934199999999</v>
      </c>
      <c r="AL17" s="722">
        <f t="shared" si="15"/>
        <v>0.23078937199999999</v>
      </c>
      <c r="AM17" s="722">
        <f t="shared" si="15"/>
        <v>0.26533048100000001</v>
      </c>
      <c r="AN17" s="722">
        <f t="shared" si="15"/>
        <v>0.50202219200000009</v>
      </c>
      <c r="AO17" s="722">
        <f t="shared" si="15"/>
        <v>1.356193663</v>
      </c>
      <c r="AP17" s="722">
        <f t="shared" si="15"/>
        <v>0.98279250099999993</v>
      </c>
      <c r="AQ17" s="722">
        <f t="shared" si="15"/>
        <v>0.69938381999999999</v>
      </c>
      <c r="AR17" s="722">
        <f t="shared" si="15"/>
        <v>0.76430691098960035</v>
      </c>
      <c r="AS17" s="722">
        <f t="shared" si="15"/>
        <v>0.87953760208856036</v>
      </c>
      <c r="AT17" s="715">
        <f t="shared" si="15"/>
        <v>0.95866666666666667</v>
      </c>
      <c r="AU17" s="715">
        <f t="shared" si="15"/>
        <v>0.98403333333333332</v>
      </c>
      <c r="AV17" s="715">
        <f t="shared" si="15"/>
        <v>1.34795</v>
      </c>
      <c r="AW17" s="715">
        <f t="shared" si="15"/>
        <v>1.6252166666666668</v>
      </c>
      <c r="AX17" s="715">
        <f t="shared" si="15"/>
        <v>1.9035333333333333</v>
      </c>
      <c r="AY17" s="715">
        <f t="shared" si="15"/>
        <v>2.1829000000000001</v>
      </c>
      <c r="AZ17" s="715">
        <f t="shared" si="15"/>
        <v>2.4633166666666666</v>
      </c>
      <c r="BA17" s="715">
        <f t="shared" si="15"/>
        <v>2.7447833333333334</v>
      </c>
      <c r="BB17" s="715">
        <f t="shared" si="15"/>
        <v>3.0272999999999999</v>
      </c>
      <c r="BC17" s="715">
        <f t="shared" si="15"/>
        <v>3.3108666666666671</v>
      </c>
      <c r="BD17" s="715">
        <f t="shared" si="15"/>
        <v>3.595483333333334</v>
      </c>
      <c r="BE17" s="715">
        <f t="shared" si="15"/>
        <v>3.9470000000000001</v>
      </c>
      <c r="BF17" s="722">
        <f t="shared" si="15"/>
        <v>4.1518195652173908</v>
      </c>
      <c r="BG17" s="722">
        <f t="shared" si="15"/>
        <v>4.3566391304347825</v>
      </c>
      <c r="BH17" s="722">
        <f t="shared" si="15"/>
        <v>4.5614586956521732</v>
      </c>
      <c r="BI17" s="722">
        <f t="shared" si="15"/>
        <v>4.766278260869564</v>
      </c>
      <c r="BJ17" s="722">
        <f t="shared" si="15"/>
        <v>4.9710978260869556</v>
      </c>
      <c r="BK17" s="722">
        <f t="shared" si="15"/>
        <v>5.1759173913043455</v>
      </c>
      <c r="BL17" s="722">
        <f t="shared" si="15"/>
        <v>5.3807369565217371</v>
      </c>
      <c r="BM17" s="722">
        <f t="shared" si="15"/>
        <v>5.5855565217391288</v>
      </c>
      <c r="BN17" s="722">
        <f t="shared" si="15"/>
        <v>5.7903760869565204</v>
      </c>
      <c r="BO17" s="722">
        <f t="shared" si="15"/>
        <v>5.995195652173912</v>
      </c>
      <c r="BP17" s="722">
        <f t="shared" si="15"/>
        <v>6.2000152173913037</v>
      </c>
      <c r="BQ17" s="722">
        <f t="shared" si="15"/>
        <v>9.2744</v>
      </c>
      <c r="BR17" s="722">
        <f t="shared" si="15"/>
        <v>9.4954266666666669</v>
      </c>
      <c r="BS17" s="722">
        <f t="shared" si="15"/>
        <v>9.7164533333333338</v>
      </c>
      <c r="BT17" s="722">
        <f t="shared" si="15"/>
        <v>9.937479999999999</v>
      </c>
      <c r="BU17" s="722">
        <f t="shared" si="15"/>
        <v>10.158506666666664</v>
      </c>
      <c r="BV17" s="722">
        <f t="shared" si="14"/>
        <v>10.379533333333331</v>
      </c>
      <c r="BW17" s="722">
        <f t="shared" si="14"/>
        <v>10.600559999999998</v>
      </c>
      <c r="BX17" s="722">
        <f t="shared" si="14"/>
        <v>10.821586666666663</v>
      </c>
      <c r="BY17" s="722">
        <f t="shared" si="14"/>
        <v>11.042613333333328</v>
      </c>
      <c r="BZ17" s="722">
        <f t="shared" si="14"/>
        <v>11.263639999999995</v>
      </c>
      <c r="CA17" s="722">
        <f t="shared" si="14"/>
        <v>11.484666666666662</v>
      </c>
      <c r="CB17" s="722">
        <f t="shared" si="14"/>
        <v>11.705693333333329</v>
      </c>
      <c r="CC17" s="722">
        <f t="shared" si="14"/>
        <v>11.92672</v>
      </c>
      <c r="CD17" s="722">
        <f t="shared" si="14"/>
        <v>12.294921333333336</v>
      </c>
      <c r="CE17" s="722">
        <f t="shared" si="14"/>
        <v>12.663122666666668</v>
      </c>
      <c r="CF17" s="722">
        <f t="shared" si="14"/>
        <v>13.031324000000001</v>
      </c>
      <c r="CG17" s="722">
        <f t="shared" si="14"/>
        <v>13.399525333333337</v>
      </c>
      <c r="CH17" s="722">
        <f t="shared" si="9"/>
        <v>13.767726666666672</v>
      </c>
      <c r="CI17" s="722">
        <f t="shared" si="9"/>
        <v>14.135928000000003</v>
      </c>
      <c r="CJ17" s="722">
        <f t="shared" si="9"/>
        <v>14.504129333333339</v>
      </c>
      <c r="CK17" s="722">
        <f t="shared" si="9"/>
        <v>14.872330666666672</v>
      </c>
      <c r="CL17" s="722">
        <f t="shared" si="9"/>
        <v>15.240532000000007</v>
      </c>
      <c r="CM17" s="722">
        <f t="shared" si="9"/>
        <v>15.60873333333334</v>
      </c>
      <c r="CN17" s="722">
        <f t="shared" si="9"/>
        <v>15.976934666666676</v>
      </c>
      <c r="CO17" s="722">
        <f t="shared" si="9"/>
        <v>16.345136</v>
      </c>
      <c r="CP17" s="722">
        <f t="shared" si="9"/>
        <v>16.539488266666666</v>
      </c>
      <c r="CQ17" s="722">
        <f t="shared" si="9"/>
        <v>16.733840533333332</v>
      </c>
      <c r="CR17" s="722">
        <f t="shared" si="9"/>
        <v>16.928192799999998</v>
      </c>
      <c r="CS17" s="722">
        <f t="shared" ref="CS17:DA26" si="16">CS69+CS239+CS366+CS412+CS601+CS723</f>
        <v>17.122545066666667</v>
      </c>
      <c r="CT17" s="722">
        <f t="shared" si="16"/>
        <v>17.316897333333333</v>
      </c>
      <c r="CU17" s="722">
        <f t="shared" si="16"/>
        <v>17.511249599999999</v>
      </c>
      <c r="CV17" s="722">
        <f t="shared" si="16"/>
        <v>17.705601866666662</v>
      </c>
      <c r="CW17" s="722">
        <f t="shared" si="16"/>
        <v>17.899954133333328</v>
      </c>
      <c r="CX17" s="722">
        <f t="shared" si="16"/>
        <v>18.094306399999994</v>
      </c>
      <c r="CY17" s="722">
        <f t="shared" si="16"/>
        <v>18.28865866666666</v>
      </c>
      <c r="CZ17" s="722">
        <f t="shared" si="16"/>
        <v>18.483010933333325</v>
      </c>
      <c r="DA17" s="722">
        <f t="shared" si="16"/>
        <v>18.677363199999998</v>
      </c>
      <c r="DC17" s="849">
        <f t="shared" si="10"/>
        <v>5.8974314999999999E-2</v>
      </c>
      <c r="DD17" s="849">
        <f t="shared" si="4"/>
        <v>6.2418577780781614</v>
      </c>
      <c r="DE17" s="849">
        <f t="shared" si="5"/>
        <v>28.091049999999999</v>
      </c>
      <c r="DF17" s="849">
        <f t="shared" si="11"/>
        <v>66.209491304347807</v>
      </c>
      <c r="DG17" s="849">
        <f t="shared" si="6"/>
        <v>128.53287999999995</v>
      </c>
      <c r="DH17" s="849">
        <f t="shared" si="7"/>
        <v>171.84034400000004</v>
      </c>
      <c r="DI17" s="11">
        <f t="shared" si="12"/>
        <v>211.30110879999998</v>
      </c>
    </row>
    <row r="18" spans="5:113" ht="13" customHeight="1" outlineLevel="1">
      <c r="F18" s="126" t="s">
        <v>800</v>
      </c>
      <c r="I18" s="609" t="s">
        <v>736</v>
      </c>
      <c r="J18" s="722">
        <f t="shared" si="15"/>
        <v>0</v>
      </c>
      <c r="K18" s="722">
        <f t="shared" si="15"/>
        <v>0</v>
      </c>
      <c r="L18" s="722">
        <f t="shared" si="15"/>
        <v>0</v>
      </c>
      <c r="M18" s="722">
        <f t="shared" si="15"/>
        <v>0</v>
      </c>
      <c r="N18" s="722">
        <f t="shared" si="15"/>
        <v>0</v>
      </c>
      <c r="O18" s="722">
        <f t="shared" si="15"/>
        <v>0</v>
      </c>
      <c r="P18" s="722">
        <f t="shared" si="15"/>
        <v>0</v>
      </c>
      <c r="Q18" s="722">
        <f t="shared" si="15"/>
        <v>0</v>
      </c>
      <c r="R18" s="722">
        <f t="shared" si="15"/>
        <v>0</v>
      </c>
      <c r="S18" s="722">
        <f t="shared" si="15"/>
        <v>0</v>
      </c>
      <c r="T18" s="722">
        <f t="shared" si="15"/>
        <v>0</v>
      </c>
      <c r="U18" s="722">
        <f t="shared" si="15"/>
        <v>0</v>
      </c>
      <c r="V18" s="722">
        <f t="shared" si="15"/>
        <v>4.8999999999999998E-3</v>
      </c>
      <c r="W18" s="722">
        <f t="shared" si="15"/>
        <v>-8.8000000000000003E-4</v>
      </c>
      <c r="X18" s="722">
        <f t="shared" si="15"/>
        <v>7.1760000000000004E-2</v>
      </c>
      <c r="Y18" s="722">
        <f t="shared" si="15"/>
        <v>7.9600000000000004E-2</v>
      </c>
      <c r="Z18" s="722">
        <f t="shared" si="15"/>
        <v>8.9029999999999998E-2</v>
      </c>
      <c r="AA18" s="722">
        <f t="shared" si="15"/>
        <v>0.11754000000000001</v>
      </c>
      <c r="AB18" s="722">
        <f t="shared" si="15"/>
        <v>0.15575</v>
      </c>
      <c r="AC18" s="722">
        <f t="shared" si="15"/>
        <v>0.11600000000000001</v>
      </c>
      <c r="AD18" s="722">
        <f t="shared" si="15"/>
        <v>0.13519999999999999</v>
      </c>
      <c r="AE18" s="722">
        <f t="shared" si="15"/>
        <v>0.2276</v>
      </c>
      <c r="AF18" s="722">
        <f t="shared" si="15"/>
        <v>0.20130000000000001</v>
      </c>
      <c r="AG18" s="722">
        <f t="shared" si="15"/>
        <v>0.24229999999999999</v>
      </c>
      <c r="AH18" s="722">
        <f t="shared" si="15"/>
        <v>0.22140000000000001</v>
      </c>
      <c r="AI18" s="722">
        <f t="shared" si="15"/>
        <v>0.13350000000000001</v>
      </c>
      <c r="AJ18" s="722">
        <f t="shared" si="15"/>
        <v>0.1502</v>
      </c>
      <c r="AK18" s="722">
        <f t="shared" si="15"/>
        <v>0.13089999999999999</v>
      </c>
      <c r="AL18" s="722">
        <f t="shared" si="15"/>
        <v>0.1676</v>
      </c>
      <c r="AM18" s="722">
        <f t="shared" si="15"/>
        <v>0.303183914</v>
      </c>
      <c r="AN18" s="722">
        <f t="shared" si="15"/>
        <v>0.31240000000000001</v>
      </c>
      <c r="AO18" s="722">
        <f t="shared" si="15"/>
        <v>0.34760000000000002</v>
      </c>
      <c r="AP18" s="722">
        <f t="shared" si="15"/>
        <v>0.41249999999999998</v>
      </c>
      <c r="AQ18" s="722">
        <f t="shared" si="15"/>
        <v>0.45250000000000007</v>
      </c>
      <c r="AR18" s="722">
        <f t="shared" si="15"/>
        <v>0.5265685227050001</v>
      </c>
      <c r="AS18" s="722">
        <f t="shared" si="15"/>
        <v>0.36</v>
      </c>
      <c r="AT18" s="715">
        <f t="shared" si="15"/>
        <v>0.5</v>
      </c>
      <c r="AU18" s="715">
        <f t="shared" si="15"/>
        <v>0.5</v>
      </c>
      <c r="AV18" s="715">
        <f t="shared" si="15"/>
        <v>0.5</v>
      </c>
      <c r="AW18" s="715">
        <f t="shared" si="15"/>
        <v>0.5</v>
      </c>
      <c r="AX18" s="715">
        <f t="shared" si="15"/>
        <v>0.5</v>
      </c>
      <c r="AY18" s="715">
        <f t="shared" si="15"/>
        <v>0.5</v>
      </c>
      <c r="AZ18" s="715">
        <f t="shared" si="15"/>
        <v>0.5</v>
      </c>
      <c r="BA18" s="715">
        <f t="shared" si="15"/>
        <v>0.5</v>
      </c>
      <c r="BB18" s="715">
        <f t="shared" si="15"/>
        <v>0.5</v>
      </c>
      <c r="BC18" s="715">
        <f t="shared" si="15"/>
        <v>0.5</v>
      </c>
      <c r="BD18" s="715">
        <f t="shared" si="15"/>
        <v>0.5</v>
      </c>
      <c r="BE18" s="715">
        <f t="shared" si="15"/>
        <v>0.5</v>
      </c>
      <c r="BF18" s="722">
        <f t="shared" si="15"/>
        <v>0.50624999999999998</v>
      </c>
      <c r="BG18" s="722">
        <f t="shared" si="15"/>
        <v>0.51249999999999996</v>
      </c>
      <c r="BH18" s="722">
        <f t="shared" si="15"/>
        <v>0.51875000000000004</v>
      </c>
      <c r="BI18" s="722">
        <f t="shared" si="15"/>
        <v>0.52500000000000002</v>
      </c>
      <c r="BJ18" s="722">
        <f t="shared" si="15"/>
        <v>0.53125</v>
      </c>
      <c r="BK18" s="722">
        <f t="shared" si="15"/>
        <v>0.53749999999999998</v>
      </c>
      <c r="BL18" s="722">
        <f t="shared" si="15"/>
        <v>0.54374999999999996</v>
      </c>
      <c r="BM18" s="722">
        <f t="shared" si="15"/>
        <v>0.55000000000000004</v>
      </c>
      <c r="BN18" s="722">
        <f t="shared" si="15"/>
        <v>0.55625000000000002</v>
      </c>
      <c r="BO18" s="722">
        <f t="shared" si="15"/>
        <v>0.5625</v>
      </c>
      <c r="BP18" s="722">
        <f t="shared" si="15"/>
        <v>0.56874999999999998</v>
      </c>
      <c r="BQ18" s="722">
        <f t="shared" si="15"/>
        <v>0.57499999999999996</v>
      </c>
      <c r="BR18" s="722">
        <f t="shared" si="15"/>
        <v>0.56041666666666679</v>
      </c>
      <c r="BS18" s="722">
        <f t="shared" si="15"/>
        <v>0.54583333333333339</v>
      </c>
      <c r="BT18" s="722">
        <f t="shared" si="15"/>
        <v>0.53125000000000011</v>
      </c>
      <c r="BU18" s="722">
        <f t="shared" si="15"/>
        <v>0.51666666666666672</v>
      </c>
      <c r="BV18" s="722">
        <f t="shared" si="14"/>
        <v>0.50208333333333344</v>
      </c>
      <c r="BW18" s="722">
        <f t="shared" si="14"/>
        <v>0.48750000000000016</v>
      </c>
      <c r="BX18" s="722">
        <f t="shared" si="14"/>
        <v>0.47291666666666687</v>
      </c>
      <c r="BY18" s="722">
        <f t="shared" si="14"/>
        <v>0.45833333333333359</v>
      </c>
      <c r="BZ18" s="722">
        <f t="shared" si="14"/>
        <v>0.44375000000000031</v>
      </c>
      <c r="CA18" s="722">
        <f t="shared" si="14"/>
        <v>0.42916666666666697</v>
      </c>
      <c r="CB18" s="722">
        <f t="shared" si="14"/>
        <v>0.41458333333333364</v>
      </c>
      <c r="CC18" s="722">
        <f t="shared" si="14"/>
        <v>0.4</v>
      </c>
      <c r="CD18" s="722">
        <f t="shared" si="14"/>
        <v>0.4</v>
      </c>
      <c r="CE18" s="722">
        <f t="shared" si="14"/>
        <v>0.4</v>
      </c>
      <c r="CF18" s="722">
        <f t="shared" si="14"/>
        <v>0.4</v>
      </c>
      <c r="CG18" s="722">
        <f t="shared" si="14"/>
        <v>0.4</v>
      </c>
      <c r="CH18" s="722">
        <f t="shared" si="14"/>
        <v>0.4</v>
      </c>
      <c r="CI18" s="722">
        <f t="shared" si="14"/>
        <v>0.4</v>
      </c>
      <c r="CJ18" s="722">
        <f t="shared" si="14"/>
        <v>0.4</v>
      </c>
      <c r="CK18" s="722">
        <f t="shared" si="14"/>
        <v>0.4</v>
      </c>
      <c r="CL18" s="722">
        <f t="shared" si="14"/>
        <v>0.4</v>
      </c>
      <c r="CM18" s="722">
        <f t="shared" si="14"/>
        <v>0.4</v>
      </c>
      <c r="CN18" s="722">
        <f t="shared" si="14"/>
        <v>0.4</v>
      </c>
      <c r="CO18" s="722">
        <f t="shared" si="14"/>
        <v>0.4</v>
      </c>
      <c r="CP18" s="722">
        <f t="shared" si="14"/>
        <v>0.4</v>
      </c>
      <c r="CQ18" s="722">
        <f t="shared" si="14"/>
        <v>0.4</v>
      </c>
      <c r="CR18" s="722">
        <f t="shared" si="14"/>
        <v>0.4</v>
      </c>
      <c r="CS18" s="722">
        <f t="shared" si="14"/>
        <v>0.4</v>
      </c>
      <c r="CT18" s="722">
        <f t="shared" si="16"/>
        <v>0.4</v>
      </c>
      <c r="CU18" s="722">
        <f t="shared" si="16"/>
        <v>0.4</v>
      </c>
      <c r="CV18" s="722">
        <f t="shared" si="16"/>
        <v>0.4</v>
      </c>
      <c r="CW18" s="722">
        <f t="shared" si="16"/>
        <v>0.4</v>
      </c>
      <c r="CX18" s="722">
        <f t="shared" si="16"/>
        <v>0.4</v>
      </c>
      <c r="CY18" s="722">
        <f t="shared" si="16"/>
        <v>0.4</v>
      </c>
      <c r="CZ18" s="722">
        <f t="shared" si="16"/>
        <v>0.4</v>
      </c>
      <c r="DA18" s="722">
        <f t="shared" si="16"/>
        <v>0.4</v>
      </c>
      <c r="DC18" s="849">
        <f t="shared" si="10"/>
        <v>1.4400999999999999</v>
      </c>
      <c r="DD18" s="849">
        <f t="shared" si="4"/>
        <v>3.5183524367049999</v>
      </c>
      <c r="DE18" s="849">
        <f t="shared" si="5"/>
        <v>6</v>
      </c>
      <c r="DF18" s="849">
        <f t="shared" si="11"/>
        <v>6.4874999999999998</v>
      </c>
      <c r="DG18" s="849">
        <f t="shared" si="6"/>
        <v>5.7625000000000028</v>
      </c>
      <c r="DH18" s="849">
        <f t="shared" si="7"/>
        <v>4.8</v>
      </c>
      <c r="DI18" s="11">
        <f t="shared" si="12"/>
        <v>4.8</v>
      </c>
    </row>
    <row r="19" spans="5:113" ht="13" customHeight="1" outlineLevel="1">
      <c r="F19" s="126" t="s">
        <v>223</v>
      </c>
      <c r="I19" s="609" t="s">
        <v>736</v>
      </c>
      <c r="J19" s="722">
        <f t="shared" si="15"/>
        <v>0</v>
      </c>
      <c r="K19" s="722">
        <f t="shared" si="15"/>
        <v>0</v>
      </c>
      <c r="L19" s="722">
        <f t="shared" si="15"/>
        <v>0</v>
      </c>
      <c r="M19" s="722">
        <f t="shared" si="15"/>
        <v>0</v>
      </c>
      <c r="N19" s="722">
        <f t="shared" si="15"/>
        <v>0</v>
      </c>
      <c r="O19" s="722">
        <f t="shared" si="15"/>
        <v>0</v>
      </c>
      <c r="P19" s="722">
        <f t="shared" si="15"/>
        <v>0</v>
      </c>
      <c r="Q19" s="722">
        <f t="shared" si="15"/>
        <v>0</v>
      </c>
      <c r="R19" s="722">
        <f t="shared" si="15"/>
        <v>0</v>
      </c>
      <c r="S19" s="722">
        <f t="shared" si="15"/>
        <v>0</v>
      </c>
      <c r="T19" s="722">
        <f t="shared" si="15"/>
        <v>0</v>
      </c>
      <c r="U19" s="722">
        <f t="shared" si="15"/>
        <v>0</v>
      </c>
      <c r="V19" s="722">
        <f t="shared" si="15"/>
        <v>0</v>
      </c>
      <c r="W19" s="722">
        <f t="shared" si="15"/>
        <v>0</v>
      </c>
      <c r="X19" s="722">
        <f t="shared" si="15"/>
        <v>0</v>
      </c>
      <c r="Y19" s="722">
        <f t="shared" si="15"/>
        <v>0</v>
      </c>
      <c r="Z19" s="722">
        <f t="shared" si="15"/>
        <v>0</v>
      </c>
      <c r="AA19" s="722">
        <f t="shared" si="15"/>
        <v>0</v>
      </c>
      <c r="AB19" s="722">
        <f t="shared" si="15"/>
        <v>0</v>
      </c>
      <c r="AC19" s="722">
        <f t="shared" si="15"/>
        <v>0</v>
      </c>
      <c r="AD19" s="722">
        <f t="shared" si="15"/>
        <v>0</v>
      </c>
      <c r="AE19" s="722">
        <f t="shared" si="15"/>
        <v>0</v>
      </c>
      <c r="AF19" s="722">
        <f t="shared" si="15"/>
        <v>0</v>
      </c>
      <c r="AG19" s="722">
        <f t="shared" si="15"/>
        <v>0</v>
      </c>
      <c r="AH19" s="722">
        <f t="shared" si="15"/>
        <v>0</v>
      </c>
      <c r="AI19" s="722">
        <f t="shared" si="15"/>
        <v>0</v>
      </c>
      <c r="AJ19" s="722">
        <f t="shared" si="15"/>
        <v>0</v>
      </c>
      <c r="AK19" s="722">
        <f t="shared" si="15"/>
        <v>0</v>
      </c>
      <c r="AL19" s="722">
        <f t="shared" si="15"/>
        <v>0</v>
      </c>
      <c r="AM19" s="722">
        <f t="shared" si="15"/>
        <v>0</v>
      </c>
      <c r="AN19" s="722">
        <f t="shared" si="15"/>
        <v>0</v>
      </c>
      <c r="AO19" s="722">
        <f t="shared" si="15"/>
        <v>0</v>
      </c>
      <c r="AP19" s="722">
        <f t="shared" si="15"/>
        <v>3.6230999999999999E-2</v>
      </c>
      <c r="AQ19" s="722">
        <f t="shared" si="15"/>
        <v>4.4109038000000003E-2</v>
      </c>
      <c r="AR19" s="722">
        <f t="shared" si="15"/>
        <v>0.51699014881640004</v>
      </c>
      <c r="AS19" s="722">
        <f t="shared" si="15"/>
        <v>0.5982558806328</v>
      </c>
      <c r="AT19" s="715">
        <f t="shared" si="15"/>
        <v>0.65749576988472136</v>
      </c>
      <c r="AU19" s="715">
        <f t="shared" si="15"/>
        <v>0.72592404980593561</v>
      </c>
      <c r="AV19" s="715">
        <f t="shared" si="15"/>
        <v>0.79544820774552383</v>
      </c>
      <c r="AW19" s="715">
        <f t="shared" si="15"/>
        <v>0.86608440371825002</v>
      </c>
      <c r="AX19" s="715">
        <f t="shared" si="15"/>
        <v>0.9378478032764308</v>
      </c>
      <c r="AY19" s="715">
        <f t="shared" si="15"/>
        <v>1.0107526528480002</v>
      </c>
      <c r="AZ19" s="715">
        <f t="shared" si="15"/>
        <v>1.0848123483278811</v>
      </c>
      <c r="BA19" s="715">
        <f t="shared" si="15"/>
        <v>1.1600394976171766</v>
      </c>
      <c r="BB19" s="715">
        <f t="shared" si="15"/>
        <v>1.2364459777241741</v>
      </c>
      <c r="BC19" s="715">
        <f t="shared" si="15"/>
        <v>1.3140429869709718</v>
      </c>
      <c r="BD19" s="715">
        <f t="shared" si="15"/>
        <v>1.3928410927882822</v>
      </c>
      <c r="BE19" s="715">
        <f t="shared" si="15"/>
        <v>1.4728502755273332</v>
      </c>
      <c r="BF19" s="722">
        <f t="shared" si="15"/>
        <v>1.8571722239859589</v>
      </c>
      <c r="BG19" s="722">
        <f t="shared" si="15"/>
        <v>1.9595588545062399</v>
      </c>
      <c r="BH19" s="722">
        <f t="shared" si="15"/>
        <v>2.0635442936335684</v>
      </c>
      <c r="BI19" s="722">
        <f t="shared" si="15"/>
        <v>2.1691240427944614</v>
      </c>
      <c r="BJ19" s="722">
        <f t="shared" si="15"/>
        <v>2.2762939429304145</v>
      </c>
      <c r="BK19" s="722">
        <f t="shared" si="15"/>
        <v>2.3850501430613331</v>
      </c>
      <c r="BL19" s="722">
        <f t="shared" si="15"/>
        <v>2.4953890722783996</v>
      </c>
      <c r="BM19" s="722">
        <f t="shared" si="15"/>
        <v>2.607307414737714</v>
      </c>
      <c r="BN19" s="722">
        <f t="shared" si="15"/>
        <v>2.7208020872861747</v>
      </c>
      <c r="BO19" s="722">
        <f t="shared" si="15"/>
        <v>2.8358702194019312</v>
      </c>
      <c r="BP19" s="722">
        <f t="shared" si="15"/>
        <v>2.952509135174779</v>
      </c>
      <c r="BQ19" s="722">
        <f t="shared" si="15"/>
        <v>3.0707163370885331</v>
      </c>
      <c r="BR19" s="722">
        <f t="shared" si="15"/>
        <v>3.1945356584758384</v>
      </c>
      <c r="BS19" s="722">
        <f t="shared" si="15"/>
        <v>3.3174839076590716</v>
      </c>
      <c r="BT19" s="722">
        <f t="shared" si="15"/>
        <v>3.4395802231681145</v>
      </c>
      <c r="BU19" s="722">
        <f t="shared" si="15"/>
        <v>3.5608429291273187</v>
      </c>
      <c r="BV19" s="722">
        <f t="shared" si="14"/>
        <v>3.6812895781189612</v>
      </c>
      <c r="BW19" s="722">
        <f t="shared" si="14"/>
        <v>3.8009369913677222</v>
      </c>
      <c r="BX19" s="722">
        <f t="shared" si="14"/>
        <v>3.9198012964395326</v>
      </c>
      <c r="BY19" s="722">
        <f t="shared" si="14"/>
        <v>4.0378979626323268</v>
      </c>
      <c r="BZ19" s="722">
        <f t="shared" si="14"/>
        <v>4.1552418342218989</v>
      </c>
      <c r="CA19" s="722">
        <f t="shared" si="14"/>
        <v>4.2718471617130129</v>
      </c>
      <c r="CB19" s="722">
        <f t="shared" si="14"/>
        <v>4.3877276312340054</v>
      </c>
      <c r="CC19" s="722">
        <f t="shared" si="14"/>
        <v>4.5028963922023006</v>
      </c>
      <c r="CD19" s="722">
        <f t="shared" si="14"/>
        <v>4.6109550133298027</v>
      </c>
      <c r="CE19" s="722">
        <f t="shared" si="14"/>
        <v>4.7191691024250915</v>
      </c>
      <c r="CF19" s="722">
        <f t="shared" si="14"/>
        <v>4.8275320904191039</v>
      </c>
      <c r="CG19" s="722">
        <f t="shared" si="14"/>
        <v>4.9360377731910603</v>
      </c>
      <c r="CH19" s="722">
        <f t="shared" si="14"/>
        <v>5.0446802865720048</v>
      </c>
      <c r="CI19" s="722">
        <f t="shared" si="14"/>
        <v>5.1534540833750864</v>
      </c>
      <c r="CJ19" s="722">
        <f t="shared" si="14"/>
        <v>5.2623539122634186</v>
      </c>
      <c r="CK19" s="722">
        <f t="shared" si="14"/>
        <v>5.3713747982862685</v>
      </c>
      <c r="CL19" s="722">
        <f t="shared" si="14"/>
        <v>5.480512024931901</v>
      </c>
      <c r="CM19" s="722">
        <f t="shared" si="14"/>
        <v>5.5897611175609798</v>
      </c>
      <c r="CN19" s="722">
        <f t="shared" si="14"/>
        <v>5.6991178280981822</v>
      </c>
      <c r="CO19" s="722">
        <f t="shared" si="14"/>
        <v>5.8085781208719549</v>
      </c>
      <c r="CP19" s="722">
        <f t="shared" si="14"/>
        <v>5.8927298822697072</v>
      </c>
      <c r="CQ19" s="722">
        <f t="shared" si="14"/>
        <v>5.9771004672511028</v>
      </c>
      <c r="CR19" s="722">
        <f t="shared" si="14"/>
        <v>6.061684538655566</v>
      </c>
      <c r="CS19" s="722">
        <f t="shared" si="14"/>
        <v>6.1464769314889889</v>
      </c>
      <c r="CT19" s="722">
        <f t="shared" si="16"/>
        <v>6.2314726460370764</v>
      </c>
      <c r="CU19" s="722">
        <f t="shared" si="16"/>
        <v>6.316666841306624</v>
      </c>
      <c r="CV19" s="722">
        <f t="shared" si="16"/>
        <v>6.4020548287766497</v>
      </c>
      <c r="CW19" s="722">
        <f t="shared" si="16"/>
        <v>6.4876320664424565</v>
      </c>
      <c r="CX19" s="722">
        <f t="shared" si="16"/>
        <v>6.5733941531367019</v>
      </c>
      <c r="CY19" s="722">
        <f t="shared" si="16"/>
        <v>6.6593368231125725</v>
      </c>
      <c r="CZ19" s="722">
        <f t="shared" si="16"/>
        <v>6.7454559408750718</v>
      </c>
      <c r="DA19" s="722">
        <f t="shared" si="16"/>
        <v>6.8317474962472309</v>
      </c>
      <c r="DC19" s="849">
        <f t="shared" si="10"/>
        <v>0</v>
      </c>
      <c r="DD19" s="849">
        <f t="shared" si="4"/>
        <v>1.1955860674492</v>
      </c>
      <c r="DE19" s="849">
        <f t="shared" si="5"/>
        <v>12.654585066234681</v>
      </c>
      <c r="DF19" s="849">
        <f t="shared" si="11"/>
        <v>29.393337766879505</v>
      </c>
      <c r="DG19" s="849">
        <f t="shared" si="6"/>
        <v>46.270081566360105</v>
      </c>
      <c r="DH19" s="849">
        <f t="shared" si="7"/>
        <v>62.503526151324863</v>
      </c>
      <c r="DI19" s="11">
        <f t="shared" si="12"/>
        <v>76.325752615599754</v>
      </c>
    </row>
    <row r="20" spans="5:113" ht="13" customHeight="1" outlineLevel="1">
      <c r="F20" s="126" t="s">
        <v>221</v>
      </c>
      <c r="I20" s="609" t="s">
        <v>736</v>
      </c>
      <c r="J20" s="722">
        <f t="shared" si="15"/>
        <v>0</v>
      </c>
      <c r="K20" s="722">
        <f t="shared" si="15"/>
        <v>0</v>
      </c>
      <c r="L20" s="722">
        <f t="shared" si="15"/>
        <v>0</v>
      </c>
      <c r="M20" s="722">
        <f t="shared" si="15"/>
        <v>0</v>
      </c>
      <c r="N20" s="722">
        <f t="shared" si="15"/>
        <v>0</v>
      </c>
      <c r="O20" s="722">
        <f t="shared" si="15"/>
        <v>0</v>
      </c>
      <c r="P20" s="722">
        <f t="shared" si="15"/>
        <v>0</v>
      </c>
      <c r="Q20" s="722">
        <f t="shared" si="15"/>
        <v>0</v>
      </c>
      <c r="R20" s="722">
        <f t="shared" si="15"/>
        <v>0</v>
      </c>
      <c r="S20" s="722">
        <f t="shared" si="15"/>
        <v>0</v>
      </c>
      <c r="T20" s="722">
        <f t="shared" si="15"/>
        <v>0</v>
      </c>
      <c r="U20" s="722">
        <f t="shared" si="15"/>
        <v>0</v>
      </c>
      <c r="V20" s="722">
        <f t="shared" si="15"/>
        <v>0</v>
      </c>
      <c r="W20" s="722">
        <f t="shared" si="15"/>
        <v>0</v>
      </c>
      <c r="X20" s="722">
        <f t="shared" si="15"/>
        <v>0</v>
      </c>
      <c r="Y20" s="722">
        <f t="shared" si="15"/>
        <v>0</v>
      </c>
      <c r="Z20" s="722">
        <f t="shared" si="15"/>
        <v>0</v>
      </c>
      <c r="AA20" s="722">
        <f t="shared" si="15"/>
        <v>0</v>
      </c>
      <c r="AB20" s="722">
        <f t="shared" si="15"/>
        <v>0</v>
      </c>
      <c r="AC20" s="722">
        <f t="shared" si="15"/>
        <v>0</v>
      </c>
      <c r="AD20" s="722">
        <f t="shared" si="15"/>
        <v>0</v>
      </c>
      <c r="AE20" s="722">
        <f t="shared" si="15"/>
        <v>0</v>
      </c>
      <c r="AF20" s="722">
        <f t="shared" si="15"/>
        <v>0</v>
      </c>
      <c r="AG20" s="722">
        <f t="shared" si="15"/>
        <v>0</v>
      </c>
      <c r="AH20" s="722">
        <f t="shared" si="15"/>
        <v>0</v>
      </c>
      <c r="AI20" s="722">
        <f t="shared" si="15"/>
        <v>0</v>
      </c>
      <c r="AJ20" s="722">
        <f t="shared" si="15"/>
        <v>0</v>
      </c>
      <c r="AK20" s="722">
        <f t="shared" si="15"/>
        <v>1.0214060000000001E-3</v>
      </c>
      <c r="AL20" s="722">
        <f t="shared" si="15"/>
        <v>5.1011058999999997E-2</v>
      </c>
      <c r="AM20" s="722">
        <f t="shared" si="15"/>
        <v>0.115925141</v>
      </c>
      <c r="AN20" s="722">
        <f t="shared" si="15"/>
        <v>0.19491484000000001</v>
      </c>
      <c r="AO20" s="722">
        <f t="shared" si="15"/>
        <v>0.27075200799999999</v>
      </c>
      <c r="AP20" s="722">
        <f t="shared" si="15"/>
        <v>0.27294280700000001</v>
      </c>
      <c r="AQ20" s="722">
        <f t="shared" si="15"/>
        <v>0.41953715600000002</v>
      </c>
      <c r="AR20" s="722">
        <f t="shared" si="15"/>
        <v>0.49375200000000002</v>
      </c>
      <c r="AS20" s="722">
        <f t="shared" si="15"/>
        <v>0.64828799999999998</v>
      </c>
      <c r="AT20" s="715">
        <f t="shared" si="15"/>
        <v>0.73328800000000005</v>
      </c>
      <c r="AU20" s="715">
        <f t="shared" si="15"/>
        <v>0.81928799999999991</v>
      </c>
      <c r="AV20" s="715">
        <f t="shared" si="15"/>
        <v>0.90628799999999998</v>
      </c>
      <c r="AW20" s="715">
        <f t="shared" si="15"/>
        <v>0.99428799999999995</v>
      </c>
      <c r="AX20" s="715">
        <f t="shared" si="15"/>
        <v>1.0832880000000003</v>
      </c>
      <c r="AY20" s="715">
        <f t="shared" si="15"/>
        <v>1.1732880000000001</v>
      </c>
      <c r="AZ20" s="715">
        <f t="shared" si="15"/>
        <v>1.2642880000000001</v>
      </c>
      <c r="BA20" s="715">
        <f t="shared" si="15"/>
        <v>1.3562880000000002</v>
      </c>
      <c r="BB20" s="715">
        <f t="shared" si="15"/>
        <v>1.4492880000000001</v>
      </c>
      <c r="BC20" s="715">
        <f t="shared" si="15"/>
        <v>1.5432880000000002</v>
      </c>
      <c r="BD20" s="715">
        <f t="shared" si="15"/>
        <v>1.6382880000000002</v>
      </c>
      <c r="BE20" s="715">
        <f t="shared" si="15"/>
        <v>1.7342880000000003</v>
      </c>
      <c r="BF20" s="722">
        <f t="shared" si="15"/>
        <v>1.8272880000000002</v>
      </c>
      <c r="BG20" s="722">
        <f t="shared" si="15"/>
        <v>1.9172880000000001</v>
      </c>
      <c r="BH20" s="722">
        <f t="shared" si="15"/>
        <v>2.0042880000000003</v>
      </c>
      <c r="BI20" s="722">
        <f t="shared" si="15"/>
        <v>2.0882879999999999</v>
      </c>
      <c r="BJ20" s="722">
        <f t="shared" si="15"/>
        <v>2.1692880000000003</v>
      </c>
      <c r="BK20" s="722">
        <f t="shared" si="15"/>
        <v>2.2472880000000002</v>
      </c>
      <c r="BL20" s="722">
        <f t="shared" si="15"/>
        <v>2.3222879999999999</v>
      </c>
      <c r="BM20" s="722">
        <f t="shared" si="15"/>
        <v>2.3942880000000004</v>
      </c>
      <c r="BN20" s="722">
        <f t="shared" si="15"/>
        <v>2.4632880000000004</v>
      </c>
      <c r="BO20" s="722">
        <f t="shared" si="15"/>
        <v>2.5292880000000002</v>
      </c>
      <c r="BP20" s="722">
        <f t="shared" si="15"/>
        <v>2.5922879999999999</v>
      </c>
      <c r="BQ20" s="722">
        <f t="shared" si="15"/>
        <v>2.652288</v>
      </c>
      <c r="BR20" s="722">
        <f t="shared" si="15"/>
        <v>2.712288</v>
      </c>
      <c r="BS20" s="722">
        <f t="shared" si="15"/>
        <v>2.7722879999999996</v>
      </c>
      <c r="BT20" s="722">
        <f t="shared" si="15"/>
        <v>2.8322880000000001</v>
      </c>
      <c r="BU20" s="722">
        <f t="shared" ref="BU20:CO24" si="17">BU72+BU242+BU369+BU415+BU604+BU726</f>
        <v>2.8922879999999997</v>
      </c>
      <c r="BV20" s="722">
        <f t="shared" si="17"/>
        <v>2.9522879999999998</v>
      </c>
      <c r="BW20" s="722">
        <f t="shared" si="17"/>
        <v>3.0122879999999999</v>
      </c>
      <c r="BX20" s="722">
        <f t="shared" si="17"/>
        <v>3.0722879999999999</v>
      </c>
      <c r="BY20" s="722">
        <f t="shared" si="17"/>
        <v>3.132288</v>
      </c>
      <c r="BZ20" s="722">
        <f t="shared" si="17"/>
        <v>3.1922879999999996</v>
      </c>
      <c r="CA20" s="722">
        <f t="shared" si="17"/>
        <v>3.2522880000000001</v>
      </c>
      <c r="CB20" s="722">
        <f t="shared" si="17"/>
        <v>3.3122879999999997</v>
      </c>
      <c r="CC20" s="722">
        <f t="shared" si="17"/>
        <v>3.3722879999999997</v>
      </c>
      <c r="CD20" s="722">
        <f t="shared" si="17"/>
        <v>3.4322879999999998</v>
      </c>
      <c r="CE20" s="722">
        <f t="shared" si="17"/>
        <v>3.4922880000000003</v>
      </c>
      <c r="CF20" s="722">
        <f t="shared" si="17"/>
        <v>3.5522880000000003</v>
      </c>
      <c r="CG20" s="722">
        <f t="shared" si="17"/>
        <v>3.6122879999999995</v>
      </c>
      <c r="CH20" s="722">
        <f t="shared" si="14"/>
        <v>3.672288</v>
      </c>
      <c r="CI20" s="722">
        <f t="shared" si="14"/>
        <v>3.732288</v>
      </c>
      <c r="CJ20" s="722">
        <f t="shared" si="14"/>
        <v>3.7922880000000001</v>
      </c>
      <c r="CK20" s="722">
        <f t="shared" si="14"/>
        <v>3.8522880000000002</v>
      </c>
      <c r="CL20" s="722">
        <f t="shared" si="14"/>
        <v>3.9122879999999998</v>
      </c>
      <c r="CM20" s="722">
        <f t="shared" si="14"/>
        <v>3.9722879999999998</v>
      </c>
      <c r="CN20" s="722">
        <f t="shared" si="14"/>
        <v>4.0322880000000003</v>
      </c>
      <c r="CO20" s="722">
        <f t="shared" si="14"/>
        <v>4.0922879999999999</v>
      </c>
      <c r="CP20" s="722">
        <f t="shared" si="14"/>
        <v>4.1522880000000004</v>
      </c>
      <c r="CQ20" s="722">
        <f t="shared" si="14"/>
        <v>4.212288</v>
      </c>
      <c r="CR20" s="722">
        <f t="shared" si="14"/>
        <v>4.2722879999999996</v>
      </c>
      <c r="CS20" s="722">
        <f t="shared" si="14"/>
        <v>4.3322880000000001</v>
      </c>
      <c r="CT20" s="722">
        <f t="shared" si="16"/>
        <v>4.3922879999999997</v>
      </c>
      <c r="CU20" s="722">
        <f t="shared" si="16"/>
        <v>4.4522880000000002</v>
      </c>
      <c r="CV20" s="722">
        <f t="shared" si="16"/>
        <v>4.5122879999999999</v>
      </c>
      <c r="CW20" s="722">
        <f t="shared" si="16"/>
        <v>4.5722879999999995</v>
      </c>
      <c r="CX20" s="722">
        <f t="shared" si="16"/>
        <v>4.632288</v>
      </c>
      <c r="CY20" s="722">
        <f t="shared" si="16"/>
        <v>4.6922880000000005</v>
      </c>
      <c r="CZ20" s="722">
        <f t="shared" si="16"/>
        <v>4.7522880000000001</v>
      </c>
      <c r="DA20" s="722">
        <f t="shared" si="16"/>
        <v>4.8122879999999997</v>
      </c>
      <c r="DC20" s="849">
        <f t="shared" si="10"/>
        <v>0</v>
      </c>
      <c r="DD20" s="849">
        <f t="shared" si="4"/>
        <v>2.468144417</v>
      </c>
      <c r="DE20" s="849">
        <f t="shared" si="5"/>
        <v>14.695456</v>
      </c>
      <c r="DF20" s="849">
        <f t="shared" si="11"/>
        <v>27.207456000000004</v>
      </c>
      <c r="DG20" s="849">
        <f t="shared" si="6"/>
        <v>36.507455999999998</v>
      </c>
      <c r="DH20" s="849">
        <f t="shared" si="7"/>
        <v>45.147456000000005</v>
      </c>
      <c r="DI20" s="11">
        <f t="shared" si="12"/>
        <v>53.787456000000006</v>
      </c>
    </row>
    <row r="21" spans="5:113" ht="13" customHeight="1" outlineLevel="1">
      <c r="F21" s="126" t="s">
        <v>801</v>
      </c>
      <c r="I21" s="609" t="s">
        <v>736</v>
      </c>
      <c r="J21" s="722">
        <f t="shared" ref="J21:BU25" si="18">J73+J243+J370+J416+J605+J727</f>
        <v>0</v>
      </c>
      <c r="K21" s="722">
        <f t="shared" si="18"/>
        <v>0</v>
      </c>
      <c r="L21" s="722">
        <f t="shared" si="18"/>
        <v>0</v>
      </c>
      <c r="M21" s="722">
        <f t="shared" si="18"/>
        <v>0</v>
      </c>
      <c r="N21" s="722">
        <f t="shared" si="18"/>
        <v>0</v>
      </c>
      <c r="O21" s="722">
        <f t="shared" si="18"/>
        <v>0</v>
      </c>
      <c r="P21" s="722">
        <f t="shared" si="18"/>
        <v>0</v>
      </c>
      <c r="Q21" s="722">
        <f t="shared" si="18"/>
        <v>0</v>
      </c>
      <c r="R21" s="722">
        <f t="shared" si="18"/>
        <v>0</v>
      </c>
      <c r="S21" s="722">
        <f t="shared" si="18"/>
        <v>0</v>
      </c>
      <c r="T21" s="722">
        <f t="shared" si="18"/>
        <v>0</v>
      </c>
      <c r="U21" s="722">
        <f t="shared" si="18"/>
        <v>0</v>
      </c>
      <c r="V21" s="722">
        <f t="shared" si="18"/>
        <v>0</v>
      </c>
      <c r="W21" s="722">
        <f t="shared" si="18"/>
        <v>0</v>
      </c>
      <c r="X21" s="722">
        <f t="shared" si="18"/>
        <v>0</v>
      </c>
      <c r="Y21" s="722">
        <f t="shared" si="18"/>
        <v>0</v>
      </c>
      <c r="Z21" s="722">
        <f t="shared" si="18"/>
        <v>0</v>
      </c>
      <c r="AA21" s="722">
        <f t="shared" si="18"/>
        <v>0</v>
      </c>
      <c r="AB21" s="722">
        <f t="shared" si="18"/>
        <v>0</v>
      </c>
      <c r="AC21" s="722">
        <f t="shared" si="18"/>
        <v>0</v>
      </c>
      <c r="AD21" s="722">
        <f t="shared" si="18"/>
        <v>0</v>
      </c>
      <c r="AE21" s="722">
        <f t="shared" si="18"/>
        <v>0</v>
      </c>
      <c r="AF21" s="722">
        <f t="shared" si="18"/>
        <v>0</v>
      </c>
      <c r="AG21" s="722">
        <f t="shared" si="18"/>
        <v>0</v>
      </c>
      <c r="AH21" s="722">
        <f t="shared" si="18"/>
        <v>0</v>
      </c>
      <c r="AI21" s="722">
        <f t="shared" si="18"/>
        <v>0</v>
      </c>
      <c r="AJ21" s="722">
        <f t="shared" si="18"/>
        <v>0</v>
      </c>
      <c r="AK21" s="722">
        <f t="shared" si="18"/>
        <v>0</v>
      </c>
      <c r="AL21" s="722">
        <f t="shared" si="18"/>
        <v>0</v>
      </c>
      <c r="AM21" s="722">
        <f t="shared" si="18"/>
        <v>0</v>
      </c>
      <c r="AN21" s="722">
        <f t="shared" si="18"/>
        <v>0</v>
      </c>
      <c r="AO21" s="722">
        <f t="shared" si="18"/>
        <v>0</v>
      </c>
      <c r="AP21" s="722">
        <f t="shared" si="18"/>
        <v>0</v>
      </c>
      <c r="AQ21" s="722">
        <f t="shared" si="18"/>
        <v>0</v>
      </c>
      <c r="AR21" s="722">
        <f t="shared" si="18"/>
        <v>0</v>
      </c>
      <c r="AS21" s="722">
        <f t="shared" si="18"/>
        <v>0</v>
      </c>
      <c r="AT21" s="715">
        <f t="shared" si="18"/>
        <v>6.1273876404683847E-2</v>
      </c>
      <c r="AU21" s="715">
        <f t="shared" si="18"/>
        <v>7.4197419798593955E-2</v>
      </c>
      <c r="AV21" s="715">
        <f t="shared" si="18"/>
        <v>9.2128484274638822E-2</v>
      </c>
      <c r="AW21" s="715">
        <f t="shared" si="18"/>
        <v>0.11159375536732341</v>
      </c>
      <c r="AX21" s="715">
        <f t="shared" si="18"/>
        <v>0.13467144542939025</v>
      </c>
      <c r="AY21" s="715">
        <f t="shared" si="18"/>
        <v>0.15539337246102036</v>
      </c>
      <c r="AZ21" s="715">
        <f t="shared" si="18"/>
        <v>0.17512190820909268</v>
      </c>
      <c r="BA21" s="715">
        <f t="shared" si="18"/>
        <v>0.20719768383776227</v>
      </c>
      <c r="BB21" s="715">
        <f t="shared" si="18"/>
        <v>0.22778318277568133</v>
      </c>
      <c r="BC21" s="715">
        <f t="shared" si="18"/>
        <v>0.23733382161170241</v>
      </c>
      <c r="BD21" s="715">
        <f t="shared" si="18"/>
        <v>0.23737893036963406</v>
      </c>
      <c r="BE21" s="715">
        <f t="shared" si="18"/>
        <v>0.23697226175787334</v>
      </c>
      <c r="BF21" s="722">
        <f t="shared" si="18"/>
        <v>0.23776024052347278</v>
      </c>
      <c r="BG21" s="722">
        <f t="shared" si="18"/>
        <v>0.24020049645671482</v>
      </c>
      <c r="BH21" s="722">
        <f t="shared" si="18"/>
        <v>0.24395883434530719</v>
      </c>
      <c r="BI21" s="722">
        <f t="shared" si="18"/>
        <v>0.24863312272491411</v>
      </c>
      <c r="BJ21" s="722">
        <f t="shared" si="18"/>
        <v>0.2538206790220352</v>
      </c>
      <c r="BK21" s="722">
        <f t="shared" si="18"/>
        <v>0.2592781869178431</v>
      </c>
      <c r="BL21" s="722">
        <f t="shared" si="18"/>
        <v>0.26429388203593529</v>
      </c>
      <c r="BM21" s="722">
        <f t="shared" si="18"/>
        <v>0.27667287529196294</v>
      </c>
      <c r="BN21" s="722">
        <f t="shared" si="18"/>
        <v>0.29240702416573594</v>
      </c>
      <c r="BO21" s="722">
        <f t="shared" si="18"/>
        <v>0.30848104155430356</v>
      </c>
      <c r="BP21" s="722">
        <f t="shared" si="18"/>
        <v>0.32173537934288632</v>
      </c>
      <c r="BQ21" s="722">
        <f t="shared" si="18"/>
        <v>0.33205487880833928</v>
      </c>
      <c r="BR21" s="722">
        <f t="shared" si="18"/>
        <v>0.33955387046784047</v>
      </c>
      <c r="BS21" s="722">
        <f t="shared" si="18"/>
        <v>0.34455030751530913</v>
      </c>
      <c r="BT21" s="722">
        <f t="shared" si="18"/>
        <v>0.34739290299399173</v>
      </c>
      <c r="BU21" s="722">
        <f t="shared" si="18"/>
        <v>0.3483999374291038</v>
      </c>
      <c r="BV21" s="722">
        <f t="shared" si="17"/>
        <v>0.34786607512669399</v>
      </c>
      <c r="BW21" s="722">
        <f t="shared" si="17"/>
        <v>0.34607269991229117</v>
      </c>
      <c r="BX21" s="722">
        <f t="shared" si="17"/>
        <v>0.34329583813735098</v>
      </c>
      <c r="BY21" s="722">
        <f t="shared" si="17"/>
        <v>0.33981423611889738</v>
      </c>
      <c r="BZ21" s="722">
        <f t="shared" si="17"/>
        <v>0.33729516166246754</v>
      </c>
      <c r="CA21" s="722">
        <f t="shared" si="17"/>
        <v>0.33606377596824899</v>
      </c>
      <c r="CB21" s="722">
        <f t="shared" si="17"/>
        <v>0.3364211164858375</v>
      </c>
      <c r="CC21" s="722">
        <f t="shared" si="17"/>
        <v>0.33823762537043578</v>
      </c>
      <c r="CD21" s="722">
        <f t="shared" si="17"/>
        <v>0.3413490639600667</v>
      </c>
      <c r="CE21" s="722">
        <f t="shared" si="17"/>
        <v>0.34560364730181448</v>
      </c>
      <c r="CF21" s="722">
        <f t="shared" si="17"/>
        <v>0.35085807856940932</v>
      </c>
      <c r="CG21" s="722">
        <f t="shared" si="17"/>
        <v>0.35697515440422478</v>
      </c>
      <c r="CH21" s="722">
        <f t="shared" si="14"/>
        <v>0.36382195242406112</v>
      </c>
      <c r="CI21" s="722">
        <f t="shared" si="14"/>
        <v>0.37126593200161295</v>
      </c>
      <c r="CJ21" s="722">
        <f t="shared" si="14"/>
        <v>0.37917236198686055</v>
      </c>
      <c r="CK21" s="722">
        <f t="shared" si="14"/>
        <v>0.38740320220453839</v>
      </c>
      <c r="CL21" s="722">
        <f t="shared" si="14"/>
        <v>0.3959961498137119</v>
      </c>
      <c r="CM21" s="722">
        <f t="shared" si="14"/>
        <v>0.40493144589139973</v>
      </c>
      <c r="CN21" s="722">
        <f t="shared" si="14"/>
        <v>0.41417313911150444</v>
      </c>
      <c r="CO21" s="722">
        <f t="shared" si="14"/>
        <v>0.42367338731746429</v>
      </c>
      <c r="CP21" s="722">
        <f t="shared" si="14"/>
        <v>0.43341058539542132</v>
      </c>
      <c r="CQ21" s="722">
        <f t="shared" si="14"/>
        <v>0.44336147358026778</v>
      </c>
      <c r="CR21" s="722">
        <f t="shared" si="14"/>
        <v>0.45350189450367395</v>
      </c>
      <c r="CS21" s="722">
        <f t="shared" si="14"/>
        <v>0.46380705928996235</v>
      </c>
      <c r="CT21" s="722">
        <f t="shared" si="16"/>
        <v>0.47425178152279557</v>
      </c>
      <c r="CU21" s="722">
        <f t="shared" si="16"/>
        <v>0.48481031083755965</v>
      </c>
      <c r="CV21" s="722">
        <f t="shared" si="16"/>
        <v>0.4954563674691741</v>
      </c>
      <c r="CW21" s="722">
        <f t="shared" si="16"/>
        <v>0.50616314712549126</v>
      </c>
      <c r="CX21" s="722">
        <f t="shared" si="16"/>
        <v>0.51679987423327134</v>
      </c>
      <c r="CY21" s="722">
        <f t="shared" si="16"/>
        <v>0.53023726230816237</v>
      </c>
      <c r="CZ21" s="722">
        <f t="shared" si="16"/>
        <v>0.54691895567921733</v>
      </c>
      <c r="DA21" s="722">
        <f t="shared" si="16"/>
        <v>0.56763454965692972</v>
      </c>
      <c r="DC21" s="849">
        <f t="shared" si="10"/>
        <v>0</v>
      </c>
      <c r="DD21" s="849">
        <f t="shared" si="4"/>
        <v>0</v>
      </c>
      <c r="DE21" s="849">
        <f t="shared" si="5"/>
        <v>1.9510461422973968</v>
      </c>
      <c r="DF21" s="849">
        <f t="shared" si="11"/>
        <v>3.2792966411894504</v>
      </c>
      <c r="DG21" s="849">
        <f t="shared" si="6"/>
        <v>4.1049635471884685</v>
      </c>
      <c r="DH21" s="849">
        <f t="shared" si="7"/>
        <v>4.5352235149866686</v>
      </c>
      <c r="DI21" s="11">
        <f t="shared" si="12"/>
        <v>5.9163532616019268</v>
      </c>
    </row>
    <row r="22" spans="5:113" ht="13" customHeight="1" outlineLevel="1">
      <c r="F22" s="126" t="s">
        <v>802</v>
      </c>
      <c r="I22" s="609" t="s">
        <v>736</v>
      </c>
      <c r="J22" s="722">
        <f t="shared" si="18"/>
        <v>0</v>
      </c>
      <c r="K22" s="722">
        <f t="shared" si="18"/>
        <v>0</v>
      </c>
      <c r="L22" s="722">
        <f t="shared" si="18"/>
        <v>0</v>
      </c>
      <c r="M22" s="722">
        <f t="shared" si="18"/>
        <v>0</v>
      </c>
      <c r="N22" s="722">
        <f t="shared" si="18"/>
        <v>0</v>
      </c>
      <c r="O22" s="722">
        <f t="shared" si="18"/>
        <v>0</v>
      </c>
      <c r="P22" s="722">
        <f t="shared" si="18"/>
        <v>0</v>
      </c>
      <c r="Q22" s="722">
        <f t="shared" si="18"/>
        <v>0</v>
      </c>
      <c r="R22" s="722">
        <f t="shared" si="18"/>
        <v>0</v>
      </c>
      <c r="S22" s="722">
        <f t="shared" si="18"/>
        <v>0</v>
      </c>
      <c r="T22" s="722">
        <f t="shared" si="18"/>
        <v>0</v>
      </c>
      <c r="U22" s="722">
        <f t="shared" si="18"/>
        <v>0</v>
      </c>
      <c r="V22" s="722">
        <f t="shared" si="18"/>
        <v>0</v>
      </c>
      <c r="W22" s="722">
        <f t="shared" si="18"/>
        <v>0</v>
      </c>
      <c r="X22" s="722">
        <f t="shared" si="18"/>
        <v>0</v>
      </c>
      <c r="Y22" s="722">
        <f t="shared" si="18"/>
        <v>0</v>
      </c>
      <c r="Z22" s="722">
        <f t="shared" si="18"/>
        <v>0</v>
      </c>
      <c r="AA22" s="722">
        <f t="shared" si="18"/>
        <v>0</v>
      </c>
      <c r="AB22" s="722">
        <f t="shared" si="18"/>
        <v>0</v>
      </c>
      <c r="AC22" s="722">
        <f t="shared" si="18"/>
        <v>0</v>
      </c>
      <c r="AD22" s="722">
        <f t="shared" si="18"/>
        <v>0</v>
      </c>
      <c r="AE22" s="722">
        <f t="shared" si="18"/>
        <v>0</v>
      </c>
      <c r="AF22" s="722">
        <f t="shared" si="18"/>
        <v>0</v>
      </c>
      <c r="AG22" s="722">
        <f t="shared" si="18"/>
        <v>0</v>
      </c>
      <c r="AH22" s="722">
        <f t="shared" si="18"/>
        <v>0</v>
      </c>
      <c r="AI22" s="722">
        <f t="shared" si="18"/>
        <v>0</v>
      </c>
      <c r="AJ22" s="722">
        <f t="shared" si="18"/>
        <v>0</v>
      </c>
      <c r="AK22" s="722">
        <f t="shared" si="18"/>
        <v>0</v>
      </c>
      <c r="AL22" s="722">
        <f t="shared" si="18"/>
        <v>0</v>
      </c>
      <c r="AM22" s="722">
        <f t="shared" si="18"/>
        <v>0</v>
      </c>
      <c r="AN22" s="722">
        <f t="shared" si="18"/>
        <v>0</v>
      </c>
      <c r="AO22" s="722">
        <f t="shared" si="18"/>
        <v>0</v>
      </c>
      <c r="AP22" s="722">
        <f t="shared" si="18"/>
        <v>0</v>
      </c>
      <c r="AQ22" s="722">
        <f t="shared" si="18"/>
        <v>0</v>
      </c>
      <c r="AR22" s="722">
        <f t="shared" si="18"/>
        <v>0</v>
      </c>
      <c r="AS22" s="722">
        <f t="shared" si="18"/>
        <v>0</v>
      </c>
      <c r="AT22" s="715">
        <f t="shared" si="18"/>
        <v>0</v>
      </c>
      <c r="AU22" s="715">
        <f t="shared" si="18"/>
        <v>0</v>
      </c>
      <c r="AV22" s="715">
        <f t="shared" si="18"/>
        <v>0</v>
      </c>
      <c r="AW22" s="715">
        <f t="shared" si="18"/>
        <v>0</v>
      </c>
      <c r="AX22" s="715">
        <f t="shared" si="18"/>
        <v>0</v>
      </c>
      <c r="AY22" s="715">
        <f t="shared" si="18"/>
        <v>0</v>
      </c>
      <c r="AZ22" s="715">
        <f t="shared" si="18"/>
        <v>0</v>
      </c>
      <c r="BA22" s="715">
        <f t="shared" si="18"/>
        <v>0</v>
      </c>
      <c r="BB22" s="715">
        <f t="shared" si="18"/>
        <v>0</v>
      </c>
      <c r="BC22" s="715">
        <f t="shared" si="18"/>
        <v>0</v>
      </c>
      <c r="BD22" s="715">
        <f t="shared" si="18"/>
        <v>0</v>
      </c>
      <c r="BE22" s="715">
        <f t="shared" si="18"/>
        <v>0</v>
      </c>
      <c r="BF22" s="722">
        <f t="shared" si="18"/>
        <v>0</v>
      </c>
      <c r="BG22" s="722">
        <f t="shared" si="18"/>
        <v>0</v>
      </c>
      <c r="BH22" s="722">
        <f t="shared" si="18"/>
        <v>0</v>
      </c>
      <c r="BI22" s="722">
        <f t="shared" si="18"/>
        <v>0</v>
      </c>
      <c r="BJ22" s="722">
        <f t="shared" si="18"/>
        <v>0</v>
      </c>
      <c r="BK22" s="722">
        <f t="shared" si="18"/>
        <v>0</v>
      </c>
      <c r="BL22" s="722">
        <f t="shared" si="18"/>
        <v>0</v>
      </c>
      <c r="BM22" s="722">
        <f t="shared" si="18"/>
        <v>0</v>
      </c>
      <c r="BN22" s="722">
        <f t="shared" si="18"/>
        <v>0</v>
      </c>
      <c r="BO22" s="722">
        <f t="shared" si="18"/>
        <v>0</v>
      </c>
      <c r="BP22" s="722">
        <f t="shared" si="18"/>
        <v>0</v>
      </c>
      <c r="BQ22" s="722">
        <f t="shared" si="18"/>
        <v>0</v>
      </c>
      <c r="BR22" s="722">
        <f t="shared" si="18"/>
        <v>0</v>
      </c>
      <c r="BS22" s="722">
        <f t="shared" si="18"/>
        <v>0</v>
      </c>
      <c r="BT22" s="722">
        <f t="shared" si="18"/>
        <v>0</v>
      </c>
      <c r="BU22" s="722">
        <f t="shared" si="18"/>
        <v>0</v>
      </c>
      <c r="BV22" s="722">
        <f t="shared" si="17"/>
        <v>0</v>
      </c>
      <c r="BW22" s="722">
        <f t="shared" si="17"/>
        <v>0</v>
      </c>
      <c r="BX22" s="722">
        <f t="shared" si="17"/>
        <v>0</v>
      </c>
      <c r="BY22" s="722">
        <f t="shared" si="17"/>
        <v>0</v>
      </c>
      <c r="BZ22" s="722">
        <f t="shared" si="17"/>
        <v>0</v>
      </c>
      <c r="CA22" s="722">
        <f t="shared" si="17"/>
        <v>0</v>
      </c>
      <c r="CB22" s="722">
        <f t="shared" si="17"/>
        <v>0</v>
      </c>
      <c r="CC22" s="722">
        <f t="shared" si="17"/>
        <v>0</v>
      </c>
      <c r="CD22" s="722">
        <f t="shared" si="17"/>
        <v>0</v>
      </c>
      <c r="CE22" s="722">
        <f t="shared" si="17"/>
        <v>0</v>
      </c>
      <c r="CF22" s="722">
        <f t="shared" si="17"/>
        <v>0</v>
      </c>
      <c r="CG22" s="722">
        <f t="shared" si="17"/>
        <v>0</v>
      </c>
      <c r="CH22" s="722">
        <f t="shared" si="14"/>
        <v>0</v>
      </c>
      <c r="CI22" s="722">
        <f t="shared" si="14"/>
        <v>0</v>
      </c>
      <c r="CJ22" s="722">
        <f t="shared" si="14"/>
        <v>0</v>
      </c>
      <c r="CK22" s="722">
        <f t="shared" si="14"/>
        <v>0</v>
      </c>
      <c r="CL22" s="722">
        <f t="shared" si="14"/>
        <v>0</v>
      </c>
      <c r="CM22" s="722">
        <f t="shared" si="14"/>
        <v>0</v>
      </c>
      <c r="CN22" s="722">
        <f t="shared" si="14"/>
        <v>0</v>
      </c>
      <c r="CO22" s="722">
        <f t="shared" si="14"/>
        <v>0</v>
      </c>
      <c r="CP22" s="722">
        <f t="shared" si="14"/>
        <v>0</v>
      </c>
      <c r="CQ22" s="722">
        <f t="shared" si="14"/>
        <v>0</v>
      </c>
      <c r="CR22" s="722">
        <f t="shared" si="14"/>
        <v>0</v>
      </c>
      <c r="CS22" s="722">
        <f t="shared" si="14"/>
        <v>0</v>
      </c>
      <c r="CT22" s="722">
        <f t="shared" si="16"/>
        <v>0</v>
      </c>
      <c r="CU22" s="722">
        <f t="shared" si="16"/>
        <v>0</v>
      </c>
      <c r="CV22" s="722">
        <f t="shared" si="16"/>
        <v>0</v>
      </c>
      <c r="CW22" s="722">
        <f t="shared" si="16"/>
        <v>0</v>
      </c>
      <c r="CX22" s="722">
        <f t="shared" si="16"/>
        <v>0</v>
      </c>
      <c r="CY22" s="722">
        <f t="shared" si="16"/>
        <v>0</v>
      </c>
      <c r="CZ22" s="722">
        <f t="shared" si="16"/>
        <v>0</v>
      </c>
      <c r="DA22" s="722">
        <f t="shared" si="16"/>
        <v>0</v>
      </c>
      <c r="DC22" s="849">
        <f t="shared" si="10"/>
        <v>0</v>
      </c>
      <c r="DD22" s="849">
        <f t="shared" si="4"/>
        <v>0</v>
      </c>
      <c r="DE22" s="849">
        <f t="shared" si="5"/>
        <v>0</v>
      </c>
      <c r="DF22" s="849">
        <f t="shared" si="11"/>
        <v>0</v>
      </c>
      <c r="DG22" s="849">
        <f t="shared" si="6"/>
        <v>0</v>
      </c>
      <c r="DH22" s="849">
        <f t="shared" si="7"/>
        <v>0</v>
      </c>
      <c r="DI22" s="11">
        <f t="shared" si="12"/>
        <v>0</v>
      </c>
    </row>
    <row r="23" spans="5:113" ht="13" customHeight="1" outlineLevel="1">
      <c r="F23" s="126" t="s">
        <v>222</v>
      </c>
      <c r="I23" s="609" t="s">
        <v>736</v>
      </c>
      <c r="J23" s="722">
        <f t="shared" si="18"/>
        <v>0</v>
      </c>
      <c r="K23" s="722">
        <f t="shared" si="18"/>
        <v>0</v>
      </c>
      <c r="L23" s="722">
        <f t="shared" si="18"/>
        <v>0</v>
      </c>
      <c r="M23" s="722">
        <f t="shared" si="18"/>
        <v>0</v>
      </c>
      <c r="N23" s="722">
        <f t="shared" si="18"/>
        <v>0</v>
      </c>
      <c r="O23" s="722">
        <f t="shared" si="18"/>
        <v>0</v>
      </c>
      <c r="P23" s="722">
        <f t="shared" si="18"/>
        <v>0</v>
      </c>
      <c r="Q23" s="722">
        <f t="shared" si="18"/>
        <v>0</v>
      </c>
      <c r="R23" s="722">
        <f t="shared" si="18"/>
        <v>0</v>
      </c>
      <c r="S23" s="722">
        <f t="shared" si="18"/>
        <v>0</v>
      </c>
      <c r="T23" s="722">
        <f t="shared" si="18"/>
        <v>0</v>
      </c>
      <c r="U23" s="722">
        <f t="shared" si="18"/>
        <v>0</v>
      </c>
      <c r="V23" s="722">
        <f t="shared" si="18"/>
        <v>0</v>
      </c>
      <c r="W23" s="722">
        <f t="shared" si="18"/>
        <v>0</v>
      </c>
      <c r="X23" s="722">
        <f t="shared" si="18"/>
        <v>0</v>
      </c>
      <c r="Y23" s="722">
        <f t="shared" si="18"/>
        <v>0</v>
      </c>
      <c r="Z23" s="722">
        <f t="shared" si="18"/>
        <v>0</v>
      </c>
      <c r="AA23" s="722">
        <f t="shared" si="18"/>
        <v>0</v>
      </c>
      <c r="AB23" s="722">
        <f t="shared" si="18"/>
        <v>0</v>
      </c>
      <c r="AC23" s="722">
        <f t="shared" si="18"/>
        <v>0</v>
      </c>
      <c r="AD23" s="722">
        <f t="shared" si="18"/>
        <v>0</v>
      </c>
      <c r="AE23" s="722">
        <f t="shared" si="18"/>
        <v>0</v>
      </c>
      <c r="AF23" s="722">
        <f t="shared" si="18"/>
        <v>0</v>
      </c>
      <c r="AG23" s="722">
        <f t="shared" si="18"/>
        <v>0</v>
      </c>
      <c r="AH23" s="722">
        <f t="shared" si="18"/>
        <v>0</v>
      </c>
      <c r="AI23" s="722">
        <f t="shared" si="18"/>
        <v>0</v>
      </c>
      <c r="AJ23" s="722">
        <f t="shared" si="18"/>
        <v>0</v>
      </c>
      <c r="AK23" s="722">
        <f t="shared" si="18"/>
        <v>0</v>
      </c>
      <c r="AL23" s="722">
        <f t="shared" si="18"/>
        <v>0</v>
      </c>
      <c r="AM23" s="722">
        <f t="shared" si="18"/>
        <v>7.6036029999999996E-3</v>
      </c>
      <c r="AN23" s="722">
        <f t="shared" si="18"/>
        <v>2.6025256E-2</v>
      </c>
      <c r="AO23" s="722">
        <f t="shared" si="18"/>
        <v>6.1989213000000001E-2</v>
      </c>
      <c r="AP23" s="722">
        <f t="shared" si="18"/>
        <v>8.0753063E-2</v>
      </c>
      <c r="AQ23" s="722">
        <f t="shared" si="18"/>
        <v>0.114148836</v>
      </c>
      <c r="AR23" s="722">
        <f t="shared" si="18"/>
        <v>0.13312807157622503</v>
      </c>
      <c r="AS23" s="722">
        <f t="shared" si="18"/>
        <v>0.16710252730167874</v>
      </c>
      <c r="AT23" s="715">
        <f t="shared" si="18"/>
        <v>0.20356376661465397</v>
      </c>
      <c r="AU23" s="715">
        <f t="shared" si="18"/>
        <v>0.24036036849218978</v>
      </c>
      <c r="AV23" s="715">
        <f t="shared" si="18"/>
        <v>0.27764865597146965</v>
      </c>
      <c r="AW23" s="715">
        <f t="shared" si="18"/>
        <v>0.31563935470469245</v>
      </c>
      <c r="AX23" s="715">
        <f t="shared" si="18"/>
        <v>0.35455646873939733</v>
      </c>
      <c r="AY23" s="715">
        <f t="shared" si="18"/>
        <v>0.39416641849712053</v>
      </c>
      <c r="AZ23" s="715">
        <f t="shared" si="18"/>
        <v>0.43483750319077635</v>
      </c>
      <c r="BA23" s="715">
        <f t="shared" si="18"/>
        <v>0.47643372458716721</v>
      </c>
      <c r="BB23" s="715">
        <f t="shared" si="18"/>
        <v>0.51863590743029575</v>
      </c>
      <c r="BC23" s="715">
        <f t="shared" si="18"/>
        <v>0.56164571143361752</v>
      </c>
      <c r="BD23" s="715">
        <f t="shared" si="18"/>
        <v>0.60554893642638574</v>
      </c>
      <c r="BE23" s="715">
        <f t="shared" si="18"/>
        <v>0.65039789652737201</v>
      </c>
      <c r="BF23" s="722">
        <f t="shared" si="18"/>
        <v>0.70316905243835559</v>
      </c>
      <c r="BG23" s="722">
        <f t="shared" si="18"/>
        <v>0.75254655396180559</v>
      </c>
      <c r="BH23" s="722">
        <f t="shared" si="18"/>
        <v>0.80016915975425384</v>
      </c>
      <c r="BI23" s="722">
        <f t="shared" si="18"/>
        <v>0.84695211818877547</v>
      </c>
      <c r="BJ23" s="722">
        <f t="shared" si="18"/>
        <v>0.8933404965493299</v>
      </c>
      <c r="BK23" s="722">
        <f t="shared" si="18"/>
        <v>0.93948823871796117</v>
      </c>
      <c r="BL23" s="722">
        <f t="shared" si="18"/>
        <v>0.98545709798183212</v>
      </c>
      <c r="BM23" s="722">
        <f t="shared" si="18"/>
        <v>1.0312194710389289</v>
      </c>
      <c r="BN23" s="722">
        <f t="shared" si="18"/>
        <v>1.076698540793394</v>
      </c>
      <c r="BO23" s="722">
        <f t="shared" si="18"/>
        <v>1.1220859300263539</v>
      </c>
      <c r="BP23" s="722">
        <f t="shared" si="18"/>
        <v>1.1673300343352679</v>
      </c>
      <c r="BQ23" s="722">
        <f t="shared" si="18"/>
        <v>1.2125539133083414</v>
      </c>
      <c r="BR23" s="722">
        <f t="shared" si="18"/>
        <v>1.2580289984886084</v>
      </c>
      <c r="BS23" s="722">
        <f t="shared" si="18"/>
        <v>1.3037862141925467</v>
      </c>
      <c r="BT23" s="722">
        <f t="shared" si="18"/>
        <v>1.3498488652328495</v>
      </c>
      <c r="BU23" s="722">
        <f t="shared" si="18"/>
        <v>1.3962198321379136</v>
      </c>
      <c r="BV23" s="722">
        <f t="shared" si="17"/>
        <v>1.4429002121594072</v>
      </c>
      <c r="BW23" s="722">
        <f t="shared" si="17"/>
        <v>1.4898938976518823</v>
      </c>
      <c r="BX23" s="722">
        <f t="shared" si="17"/>
        <v>1.5371973714665321</v>
      </c>
      <c r="BY23" s="722">
        <f t="shared" si="17"/>
        <v>1.5848144620785798</v>
      </c>
      <c r="BZ23" s="722">
        <f t="shared" si="17"/>
        <v>1.6327431139251427</v>
      </c>
      <c r="CA23" s="722">
        <f t="shared" si="17"/>
        <v>1.6809812562465292</v>
      </c>
      <c r="CB23" s="722">
        <f t="shared" si="17"/>
        <v>1.7295277730309329</v>
      </c>
      <c r="CC23" s="722">
        <f t="shared" si="17"/>
        <v>1.7783820279408213</v>
      </c>
      <c r="CD23" s="722">
        <f t="shared" si="17"/>
        <v>1.8274206370798045</v>
      </c>
      <c r="CE23" s="722">
        <f t="shared" si="17"/>
        <v>1.8763923486502709</v>
      </c>
      <c r="CF23" s="722">
        <f t="shared" si="17"/>
        <v>1.9253272700770627</v>
      </c>
      <c r="CG23" s="722">
        <f t="shared" si="17"/>
        <v>1.9742417692062981</v>
      </c>
      <c r="CH23" s="722">
        <f t="shared" si="14"/>
        <v>2.0231449894027072</v>
      </c>
      <c r="CI23" s="722">
        <f t="shared" si="14"/>
        <v>2.0720418837859986</v>
      </c>
      <c r="CJ23" s="722">
        <f t="shared" si="14"/>
        <v>2.1211410792035057</v>
      </c>
      <c r="CK23" s="722">
        <f t="shared" si="14"/>
        <v>2.1701425882380772</v>
      </c>
      <c r="CL23" s="722">
        <f t="shared" si="14"/>
        <v>2.2190967514130944</v>
      </c>
      <c r="CM23" s="722">
        <f t="shared" si="14"/>
        <v>2.2680259901739177</v>
      </c>
      <c r="CN23" s="722">
        <f t="shared" si="14"/>
        <v>2.3169420969863617</v>
      </c>
      <c r="CO23" s="722">
        <f t="shared" si="14"/>
        <v>2.3658511188132709</v>
      </c>
      <c r="CP23" s="722">
        <f t="shared" si="14"/>
        <v>2.4147562770755062</v>
      </c>
      <c r="CQ23" s="722">
        <f t="shared" si="14"/>
        <v>2.4636549623171673</v>
      </c>
      <c r="CR23" s="722">
        <f t="shared" si="14"/>
        <v>2.5125564772597251</v>
      </c>
      <c r="CS23" s="722">
        <f t="shared" si="14"/>
        <v>2.5614602806396976</v>
      </c>
      <c r="CT23" s="722">
        <f t="shared" si="16"/>
        <v>2.6103657459225791</v>
      </c>
      <c r="CU23" s="722">
        <f t="shared" si="16"/>
        <v>2.659272304342204</v>
      </c>
      <c r="CV23" s="722">
        <f t="shared" si="16"/>
        <v>2.7081795340778321</v>
      </c>
      <c r="CW23" s="722">
        <f t="shared" si="16"/>
        <v>2.7570871393022705</v>
      </c>
      <c r="CX23" s="722">
        <f t="shared" si="16"/>
        <v>2.8059950140452639</v>
      </c>
      <c r="CY23" s="722">
        <f t="shared" si="16"/>
        <v>2.8549028123773978</v>
      </c>
      <c r="CZ23" s="722">
        <f t="shared" si="16"/>
        <v>2.9038104967666349</v>
      </c>
      <c r="DA23" s="722">
        <f t="shared" si="16"/>
        <v>2.9546308727556969</v>
      </c>
      <c r="DC23" s="849">
        <f t="shared" si="10"/>
        <v>0</v>
      </c>
      <c r="DD23" s="849">
        <f t="shared" si="4"/>
        <v>0.59075056987790386</v>
      </c>
      <c r="DE23" s="849">
        <f t="shared" si="5"/>
        <v>5.0334347126151391</v>
      </c>
      <c r="DF23" s="849">
        <f t="shared" si="11"/>
        <v>11.531010607094601</v>
      </c>
      <c r="DG23" s="849">
        <f t="shared" si="6"/>
        <v>18.184324024551746</v>
      </c>
      <c r="DH23" s="849">
        <f t="shared" si="7"/>
        <v>25.159768523030372</v>
      </c>
      <c r="DI23" s="11">
        <f t="shared" si="12"/>
        <v>32.206671916881973</v>
      </c>
    </row>
    <row r="24" spans="5:113" ht="13" customHeight="1" outlineLevel="1">
      <c r="F24" s="126" t="s">
        <v>803</v>
      </c>
      <c r="I24" s="609" t="s">
        <v>736</v>
      </c>
      <c r="J24" s="722"/>
      <c r="K24" s="722"/>
      <c r="L24" s="722"/>
      <c r="M24" s="722"/>
      <c r="N24" s="722"/>
      <c r="O24" s="722"/>
      <c r="P24" s="722"/>
      <c r="Q24" s="722"/>
      <c r="R24" s="722"/>
      <c r="S24" s="722"/>
      <c r="T24" s="722"/>
      <c r="U24" s="722"/>
      <c r="V24" s="722"/>
      <c r="W24" s="722"/>
      <c r="X24" s="722"/>
      <c r="Y24" s="722"/>
      <c r="Z24" s="722"/>
      <c r="AA24" s="722"/>
      <c r="AB24" s="722"/>
      <c r="AC24" s="722"/>
      <c r="AD24" s="722"/>
      <c r="AE24" s="722"/>
      <c r="AF24" s="722"/>
      <c r="AG24" s="722">
        <f t="shared" si="18"/>
        <v>0</v>
      </c>
      <c r="AH24" s="722">
        <f t="shared" si="18"/>
        <v>0</v>
      </c>
      <c r="AI24" s="722">
        <f t="shared" si="18"/>
        <v>0</v>
      </c>
      <c r="AJ24" s="722">
        <f t="shared" si="18"/>
        <v>0</v>
      </c>
      <c r="AK24" s="722">
        <f t="shared" si="18"/>
        <v>0</v>
      </c>
      <c r="AL24" s="722">
        <f t="shared" si="18"/>
        <v>0</v>
      </c>
      <c r="AM24" s="722">
        <f t="shared" si="18"/>
        <v>0</v>
      </c>
      <c r="AN24" s="722">
        <f t="shared" si="18"/>
        <v>0</v>
      </c>
      <c r="AO24" s="722">
        <f t="shared" si="18"/>
        <v>0</v>
      </c>
      <c r="AP24" s="722">
        <f t="shared" si="18"/>
        <v>0</v>
      </c>
      <c r="AQ24" s="722">
        <f t="shared" si="18"/>
        <v>0</v>
      </c>
      <c r="AR24" s="722">
        <f t="shared" si="18"/>
        <v>0</v>
      </c>
      <c r="AS24" s="722">
        <f t="shared" si="18"/>
        <v>1.4295945225951324E-2</v>
      </c>
      <c r="AT24" s="715">
        <f t="shared" si="18"/>
        <v>5.540845506414567E-2</v>
      </c>
      <c r="AU24" s="715">
        <f t="shared" si="18"/>
        <v>0.10789166310389528</v>
      </c>
      <c r="AV24" s="715">
        <f t="shared" si="18"/>
        <v>0.16255236320873612</v>
      </c>
      <c r="AW24" s="715">
        <f t="shared" si="18"/>
        <v>0.22181190409480858</v>
      </c>
      <c r="AX24" s="715">
        <f t="shared" si="18"/>
        <v>0.28213150451741759</v>
      </c>
      <c r="AY24" s="715">
        <f t="shared" si="18"/>
        <v>0.3437458340622217</v>
      </c>
      <c r="AZ24" s="715">
        <f t="shared" si="18"/>
        <v>0.40879569013274114</v>
      </c>
      <c r="BA24" s="715">
        <f t="shared" si="18"/>
        <v>0.47788192943777619</v>
      </c>
      <c r="BB24" s="715">
        <f t="shared" si="18"/>
        <v>0.55167200816771023</v>
      </c>
      <c r="BC24" s="715">
        <f t="shared" si="18"/>
        <v>0.63095137151465053</v>
      </c>
      <c r="BD24" s="715">
        <f t="shared" si="18"/>
        <v>0.71591371869407816</v>
      </c>
      <c r="BE24" s="715">
        <f t="shared" si="18"/>
        <v>0.80497588768397799</v>
      </c>
      <c r="BF24" s="722">
        <f t="shared" si="18"/>
        <v>1.0187530044935964</v>
      </c>
      <c r="BG24" s="722">
        <f t="shared" si="18"/>
        <v>1.3700285404279704</v>
      </c>
      <c r="BH24" s="722">
        <f t="shared" si="18"/>
        <v>1.8317646718162184</v>
      </c>
      <c r="BI24" s="722">
        <f t="shared" si="18"/>
        <v>2.1424914092762544</v>
      </c>
      <c r="BJ24" s="722">
        <f t="shared" si="18"/>
        <v>2.3794972872725979</v>
      </c>
      <c r="BK24" s="722">
        <f t="shared" si="18"/>
        <v>2.6000995341087965</v>
      </c>
      <c r="BL24" s="722">
        <f t="shared" si="18"/>
        <v>2.8040821477131348</v>
      </c>
      <c r="BM24" s="722">
        <f t="shared" si="18"/>
        <v>2.9992093995087421</v>
      </c>
      <c r="BN24" s="722">
        <f t="shared" si="18"/>
        <v>3.2182505909739918</v>
      </c>
      <c r="BO24" s="722">
        <f t="shared" si="18"/>
        <v>3.4517795030618044</v>
      </c>
      <c r="BP24" s="722">
        <f t="shared" si="18"/>
        <v>3.6866595139269553</v>
      </c>
      <c r="BQ24" s="722">
        <f t="shared" si="18"/>
        <v>3.9299611311954599</v>
      </c>
      <c r="BR24" s="722">
        <f t="shared" si="18"/>
        <v>4.1697061859236584</v>
      </c>
      <c r="BS24" s="722">
        <f t="shared" si="18"/>
        <v>4.4153508060619648</v>
      </c>
      <c r="BT24" s="722">
        <f t="shared" si="18"/>
        <v>4.665266788412203</v>
      </c>
      <c r="BU24" s="722">
        <f t="shared" si="18"/>
        <v>4.9186642201530608</v>
      </c>
      <c r="BV24" s="722">
        <f t="shared" si="17"/>
        <v>5.1759467992705419</v>
      </c>
      <c r="BW24" s="722">
        <f t="shared" si="17"/>
        <v>5.4373417239750665</v>
      </c>
      <c r="BX24" s="722">
        <f t="shared" si="17"/>
        <v>5.7366423713247396</v>
      </c>
      <c r="BY24" s="722">
        <f t="shared" si="17"/>
        <v>6.0338147178502437</v>
      </c>
      <c r="BZ24" s="722">
        <f t="shared" si="17"/>
        <v>6.3333357395277368</v>
      </c>
      <c r="CA24" s="722">
        <f t="shared" si="17"/>
        <v>6.6361347944292595</v>
      </c>
      <c r="CB24" s="722">
        <f t="shared" si="17"/>
        <v>6.943451015460627</v>
      </c>
      <c r="CC24" s="722">
        <f t="shared" si="17"/>
        <v>7.2552412111180864</v>
      </c>
      <c r="CD24" s="722">
        <f t="shared" si="17"/>
        <v>7.6161412411249882</v>
      </c>
      <c r="CE24" s="722">
        <f t="shared" si="17"/>
        <v>7.9475210511562233</v>
      </c>
      <c r="CF24" s="722">
        <f t="shared" si="17"/>
        <v>8.278430604831744</v>
      </c>
      <c r="CG24" s="722">
        <f t="shared" si="17"/>
        <v>8.6091002612633734</v>
      </c>
      <c r="CH24" s="722">
        <f t="shared" si="17"/>
        <v>8.9408471293585823</v>
      </c>
      <c r="CI24" s="722">
        <f t="shared" si="17"/>
        <v>9.2735396018545657</v>
      </c>
      <c r="CJ24" s="722">
        <f t="shared" si="17"/>
        <v>9.6072094989860375</v>
      </c>
      <c r="CK24" s="722">
        <f t="shared" si="17"/>
        <v>9.9100280041653157</v>
      </c>
      <c r="CL24" s="722">
        <f t="shared" si="17"/>
        <v>10.214421324421957</v>
      </c>
      <c r="CM24" s="722">
        <f t="shared" si="17"/>
        <v>10.519485466303319</v>
      </c>
      <c r="CN24" s="722">
        <f t="shared" si="17"/>
        <v>10.825120972728087</v>
      </c>
      <c r="CO24" s="722">
        <f t="shared" si="17"/>
        <v>11.131269919471448</v>
      </c>
      <c r="CP24" s="722">
        <f t="shared" si="14"/>
        <v>11.437942982589309</v>
      </c>
      <c r="CQ24" s="722">
        <f t="shared" si="14"/>
        <v>11.745148483130716</v>
      </c>
      <c r="CR24" s="722">
        <f t="shared" si="14"/>
        <v>12.052895970737863</v>
      </c>
      <c r="CS24" s="722">
        <f t="shared" si="14"/>
        <v>12.360521276910029</v>
      </c>
      <c r="CT24" s="722">
        <f t="shared" si="14"/>
        <v>12.668066873720631</v>
      </c>
      <c r="CU24" s="722">
        <f t="shared" si="14"/>
        <v>12.975550891557903</v>
      </c>
      <c r="CV24" s="722">
        <f t="shared" si="14"/>
        <v>13.282987776214785</v>
      </c>
      <c r="CW24" s="722">
        <f t="shared" si="14"/>
        <v>13.590389728124908</v>
      </c>
      <c r="CX24" s="722">
        <f t="shared" si="14"/>
        <v>13.897768928574822</v>
      </c>
      <c r="CY24" s="722">
        <f t="shared" si="14"/>
        <v>14.205137443549646</v>
      </c>
      <c r="CZ24" s="722">
        <f t="shared" si="14"/>
        <v>14.512507247277417</v>
      </c>
      <c r="DA24" s="722">
        <f t="shared" si="16"/>
        <v>14.819876005970718</v>
      </c>
      <c r="DC24" s="849">
        <f t="shared" si="10"/>
        <v>0</v>
      </c>
      <c r="DD24" s="849">
        <f>SUM(AH24:AS24)</f>
        <v>1.4295945225951324E-2</v>
      </c>
      <c r="DE24" s="849">
        <f>SUM(AT24:BE24)</f>
        <v>4.763732329682159</v>
      </c>
      <c r="DF24" s="849">
        <f t="shared" si="11"/>
        <v>31.43257673377552</v>
      </c>
      <c r="DG24" s="849">
        <f>SUM(BR24:CC24)</f>
        <v>67.720896373507188</v>
      </c>
      <c r="DH24" s="849">
        <f>SUM(CD24:CO24)</f>
        <v>112.87311507566565</v>
      </c>
      <c r="DI24" s="11">
        <f t="shared" si="12"/>
        <v>157.54879360835875</v>
      </c>
    </row>
    <row r="25" spans="5:113" ht="13" customHeight="1" outlineLevel="1">
      <c r="F25" s="126" t="s">
        <v>224</v>
      </c>
      <c r="I25" s="609" t="s">
        <v>736</v>
      </c>
      <c r="J25" s="722"/>
      <c r="K25" s="722"/>
      <c r="L25" s="722"/>
      <c r="M25" s="722"/>
      <c r="N25" s="722"/>
      <c r="O25" s="722"/>
      <c r="P25" s="722"/>
      <c r="Q25" s="722"/>
      <c r="R25" s="722"/>
      <c r="S25" s="722"/>
      <c r="T25" s="722"/>
      <c r="U25" s="722"/>
      <c r="V25" s="722"/>
      <c r="W25" s="722"/>
      <c r="X25" s="722"/>
      <c r="Y25" s="722"/>
      <c r="Z25" s="722"/>
      <c r="AA25" s="722"/>
      <c r="AB25" s="722"/>
      <c r="AC25" s="722"/>
      <c r="AD25" s="722"/>
      <c r="AE25" s="722"/>
      <c r="AF25" s="722"/>
      <c r="AG25" s="722">
        <f t="shared" si="18"/>
        <v>0</v>
      </c>
      <c r="AH25" s="722">
        <f t="shared" si="18"/>
        <v>0</v>
      </c>
      <c r="AI25" s="722">
        <f t="shared" si="18"/>
        <v>0</v>
      </c>
      <c r="AJ25" s="722">
        <f t="shared" si="18"/>
        <v>0</v>
      </c>
      <c r="AK25" s="722">
        <f t="shared" si="18"/>
        <v>0</v>
      </c>
      <c r="AL25" s="722">
        <f t="shared" si="18"/>
        <v>0</v>
      </c>
      <c r="AM25" s="722">
        <f t="shared" si="18"/>
        <v>0</v>
      </c>
      <c r="AN25" s="722">
        <f t="shared" si="18"/>
        <v>0</v>
      </c>
      <c r="AO25" s="722">
        <f t="shared" si="18"/>
        <v>0</v>
      </c>
      <c r="AP25" s="722">
        <f t="shared" si="18"/>
        <v>0</v>
      </c>
      <c r="AQ25" s="722">
        <f t="shared" si="18"/>
        <v>0</v>
      </c>
      <c r="AR25" s="722">
        <f t="shared" si="18"/>
        <v>0</v>
      </c>
      <c r="AS25" s="722">
        <f t="shared" si="18"/>
        <v>0</v>
      </c>
      <c r="AT25" s="715">
        <f t="shared" si="18"/>
        <v>0</v>
      </c>
      <c r="AU25" s="715">
        <f t="shared" si="18"/>
        <v>0</v>
      </c>
      <c r="AV25" s="715">
        <f t="shared" si="18"/>
        <v>0</v>
      </c>
      <c r="AW25" s="715">
        <f t="shared" si="18"/>
        <v>0</v>
      </c>
      <c r="AX25" s="715">
        <f t="shared" si="18"/>
        <v>0</v>
      </c>
      <c r="AY25" s="715">
        <f t="shared" si="18"/>
        <v>0</v>
      </c>
      <c r="AZ25" s="715">
        <f t="shared" si="18"/>
        <v>0</v>
      </c>
      <c r="BA25" s="715">
        <f t="shared" si="18"/>
        <v>0</v>
      </c>
      <c r="BB25" s="715">
        <f t="shared" si="18"/>
        <v>0</v>
      </c>
      <c r="BC25" s="715">
        <f t="shared" ref="BC25:CO26" si="19">BC77+BC247+BC374+BC420+BC609+BC731</f>
        <v>0</v>
      </c>
      <c r="BD25" s="715">
        <f t="shared" si="19"/>
        <v>0</v>
      </c>
      <c r="BE25" s="715">
        <f t="shared" si="19"/>
        <v>0</v>
      </c>
      <c r="BF25" s="722">
        <f t="shared" si="19"/>
        <v>0</v>
      </c>
      <c r="BG25" s="722">
        <f t="shared" si="19"/>
        <v>0</v>
      </c>
      <c r="BH25" s="722">
        <f t="shared" si="19"/>
        <v>0</v>
      </c>
      <c r="BI25" s="722">
        <f t="shared" si="19"/>
        <v>0</v>
      </c>
      <c r="BJ25" s="722">
        <f t="shared" si="19"/>
        <v>0</v>
      </c>
      <c r="BK25" s="722">
        <f t="shared" si="19"/>
        <v>0</v>
      </c>
      <c r="BL25" s="722">
        <f t="shared" si="19"/>
        <v>0</v>
      </c>
      <c r="BM25" s="722">
        <f t="shared" si="19"/>
        <v>0</v>
      </c>
      <c r="BN25" s="722">
        <f t="shared" si="19"/>
        <v>0</v>
      </c>
      <c r="BO25" s="722">
        <f t="shared" si="19"/>
        <v>0</v>
      </c>
      <c r="BP25" s="722">
        <f t="shared" si="19"/>
        <v>0</v>
      </c>
      <c r="BQ25" s="722">
        <f t="shared" si="19"/>
        <v>0</v>
      </c>
      <c r="BR25" s="722">
        <f t="shared" si="19"/>
        <v>0</v>
      </c>
      <c r="BS25" s="722">
        <f t="shared" si="19"/>
        <v>0</v>
      </c>
      <c r="BT25" s="722">
        <f t="shared" si="19"/>
        <v>0</v>
      </c>
      <c r="BU25" s="722">
        <f t="shared" si="19"/>
        <v>0</v>
      </c>
      <c r="BV25" s="722">
        <f t="shared" si="19"/>
        <v>0</v>
      </c>
      <c r="BW25" s="722">
        <f t="shared" si="19"/>
        <v>0</v>
      </c>
      <c r="BX25" s="722">
        <f t="shared" si="19"/>
        <v>0</v>
      </c>
      <c r="BY25" s="722">
        <f t="shared" si="19"/>
        <v>0</v>
      </c>
      <c r="BZ25" s="722">
        <f t="shared" si="19"/>
        <v>0</v>
      </c>
      <c r="CA25" s="722">
        <f t="shared" si="19"/>
        <v>0</v>
      </c>
      <c r="CB25" s="722">
        <f t="shared" si="19"/>
        <v>0</v>
      </c>
      <c r="CC25" s="722">
        <f t="shared" si="19"/>
        <v>0</v>
      </c>
      <c r="CD25" s="722">
        <f t="shared" si="19"/>
        <v>0</v>
      </c>
      <c r="CE25" s="722">
        <f t="shared" si="19"/>
        <v>0</v>
      </c>
      <c r="CF25" s="722">
        <f t="shared" si="19"/>
        <v>0</v>
      </c>
      <c r="CG25" s="722">
        <f t="shared" si="19"/>
        <v>0</v>
      </c>
      <c r="CH25" s="722">
        <f t="shared" si="19"/>
        <v>0</v>
      </c>
      <c r="CI25" s="722">
        <f t="shared" si="19"/>
        <v>0</v>
      </c>
      <c r="CJ25" s="722">
        <f t="shared" si="19"/>
        <v>0</v>
      </c>
      <c r="CK25" s="722">
        <f t="shared" si="19"/>
        <v>0</v>
      </c>
      <c r="CL25" s="722">
        <f t="shared" si="19"/>
        <v>0</v>
      </c>
      <c r="CM25" s="722">
        <f t="shared" si="19"/>
        <v>0</v>
      </c>
      <c r="CN25" s="722">
        <f t="shared" si="19"/>
        <v>0</v>
      </c>
      <c r="CO25" s="722">
        <f t="shared" si="19"/>
        <v>0</v>
      </c>
      <c r="CP25" s="722">
        <f t="shared" si="14"/>
        <v>0</v>
      </c>
      <c r="CQ25" s="722">
        <f t="shared" si="14"/>
        <v>0</v>
      </c>
      <c r="CR25" s="722">
        <f t="shared" si="14"/>
        <v>0</v>
      </c>
      <c r="CS25" s="722">
        <f t="shared" si="14"/>
        <v>0</v>
      </c>
      <c r="CT25" s="722">
        <f t="shared" si="14"/>
        <v>0</v>
      </c>
      <c r="CU25" s="722">
        <f t="shared" si="14"/>
        <v>0</v>
      </c>
      <c r="CV25" s="722">
        <f t="shared" si="14"/>
        <v>0</v>
      </c>
      <c r="CW25" s="722">
        <f t="shared" si="14"/>
        <v>0</v>
      </c>
      <c r="CX25" s="722">
        <f t="shared" si="14"/>
        <v>0</v>
      </c>
      <c r="CY25" s="722">
        <f t="shared" si="14"/>
        <v>0</v>
      </c>
      <c r="CZ25" s="722">
        <f t="shared" si="14"/>
        <v>0</v>
      </c>
      <c r="DA25" s="722">
        <f t="shared" si="16"/>
        <v>0</v>
      </c>
      <c r="DC25" s="849">
        <f t="shared" si="10"/>
        <v>0</v>
      </c>
      <c r="DD25" s="849">
        <f>SUM(AH25:AS25)</f>
        <v>0</v>
      </c>
      <c r="DE25" s="849">
        <f>SUM(AT25:BE25)</f>
        <v>0</v>
      </c>
      <c r="DF25" s="849">
        <f t="shared" si="11"/>
        <v>0</v>
      </c>
      <c r="DG25" s="849">
        <f>SUM(BR25:CC25)</f>
        <v>0</v>
      </c>
      <c r="DH25" s="849">
        <f>SUM(CD25:CO25)</f>
        <v>0</v>
      </c>
      <c r="DI25" s="11">
        <f t="shared" si="12"/>
        <v>0</v>
      </c>
    </row>
    <row r="26" spans="5:113" ht="13" customHeight="1" outlineLevel="1">
      <c r="F26" s="126" t="s">
        <v>804</v>
      </c>
      <c r="G26" s="230"/>
      <c r="H26" s="232"/>
      <c r="I26" s="609" t="s">
        <v>736</v>
      </c>
      <c r="J26" s="722">
        <f t="shared" ref="J26:BL26" si="20">J78+J248+J375+J421+J610+J732</f>
        <v>0</v>
      </c>
      <c r="K26" s="722">
        <f t="shared" si="20"/>
        <v>0</v>
      </c>
      <c r="L26" s="722">
        <f t="shared" si="20"/>
        <v>0</v>
      </c>
      <c r="M26" s="722">
        <f t="shared" si="20"/>
        <v>0</v>
      </c>
      <c r="N26" s="722">
        <f t="shared" si="20"/>
        <v>0</v>
      </c>
      <c r="O26" s="722">
        <f t="shared" si="20"/>
        <v>0</v>
      </c>
      <c r="P26" s="722">
        <f t="shared" si="20"/>
        <v>0</v>
      </c>
      <c r="Q26" s="722">
        <f t="shared" si="20"/>
        <v>0</v>
      </c>
      <c r="R26" s="722">
        <f t="shared" si="20"/>
        <v>0</v>
      </c>
      <c r="S26" s="722">
        <f t="shared" si="20"/>
        <v>0</v>
      </c>
      <c r="T26" s="722">
        <f t="shared" si="20"/>
        <v>0</v>
      </c>
      <c r="U26" s="722">
        <f t="shared" si="20"/>
        <v>0</v>
      </c>
      <c r="V26" s="722">
        <f t="shared" si="20"/>
        <v>0</v>
      </c>
      <c r="W26" s="722">
        <f t="shared" si="20"/>
        <v>0</v>
      </c>
      <c r="X26" s="722">
        <f t="shared" si="20"/>
        <v>0</v>
      </c>
      <c r="Y26" s="722">
        <f t="shared" si="20"/>
        <v>0</v>
      </c>
      <c r="Z26" s="722">
        <f t="shared" si="20"/>
        <v>0</v>
      </c>
      <c r="AA26" s="722">
        <f t="shared" si="20"/>
        <v>0</v>
      </c>
      <c r="AB26" s="722">
        <f t="shared" si="20"/>
        <v>0</v>
      </c>
      <c r="AC26" s="722">
        <f t="shared" si="20"/>
        <v>0</v>
      </c>
      <c r="AD26" s="722">
        <f t="shared" si="20"/>
        <v>0</v>
      </c>
      <c r="AE26" s="722">
        <f t="shared" si="20"/>
        <v>0</v>
      </c>
      <c r="AF26" s="722">
        <f t="shared" si="20"/>
        <v>0</v>
      </c>
      <c r="AG26" s="722">
        <f t="shared" si="20"/>
        <v>0</v>
      </c>
      <c r="AH26" s="722">
        <f t="shared" si="20"/>
        <v>0</v>
      </c>
      <c r="AI26" s="722">
        <f t="shared" si="20"/>
        <v>0</v>
      </c>
      <c r="AJ26" s="722">
        <f t="shared" si="20"/>
        <v>0</v>
      </c>
      <c r="AK26" s="722">
        <f t="shared" si="20"/>
        <v>0</v>
      </c>
      <c r="AL26" s="722">
        <f t="shared" si="20"/>
        <v>-1.967622E-3</v>
      </c>
      <c r="AM26" s="722">
        <f t="shared" si="20"/>
        <v>-6.0063429999999999E-3</v>
      </c>
      <c r="AN26" s="722">
        <f t="shared" si="20"/>
        <v>-8.1932010000000006E-3</v>
      </c>
      <c r="AO26" s="722">
        <f t="shared" si="20"/>
        <v>-1.2777523999999998E-2</v>
      </c>
      <c r="AP26" s="722">
        <f t="shared" si="20"/>
        <v>-6.0325179999999997E-3</v>
      </c>
      <c r="AQ26" s="722">
        <f t="shared" si="20"/>
        <v>-0.1295068663783594</v>
      </c>
      <c r="AR26" s="722">
        <f t="shared" si="20"/>
        <v>-0.1524627995492428</v>
      </c>
      <c r="AS26" s="722">
        <f t="shared" si="20"/>
        <v>-0.26986101827628667</v>
      </c>
      <c r="AT26" s="715">
        <f t="shared" si="20"/>
        <v>-0.32075427989381278</v>
      </c>
      <c r="AU26" s="715">
        <f t="shared" si="20"/>
        <v>-0.40988831996853853</v>
      </c>
      <c r="AV26" s="715">
        <f t="shared" si="20"/>
        <v>-0.46110330370444919</v>
      </c>
      <c r="AW26" s="715">
        <f t="shared" si="20"/>
        <v>-0.52696422606719739</v>
      </c>
      <c r="AX26" s="715">
        <f t="shared" si="20"/>
        <v>-0.59792642312312227</v>
      </c>
      <c r="AY26" s="715">
        <f t="shared" si="20"/>
        <v>-0.67977959813824951</v>
      </c>
      <c r="AZ26" s="715">
        <f t="shared" si="20"/>
        <v>-0.75308311734612288</v>
      </c>
      <c r="BA26" s="715">
        <f t="shared" si="20"/>
        <v>-0.83621750536882855</v>
      </c>
      <c r="BB26" s="715">
        <f t="shared" si="20"/>
        <v>-0.92291250985959528</v>
      </c>
      <c r="BC26" s="715">
        <f t="shared" si="20"/>
        <v>-1.0000899987867895</v>
      </c>
      <c r="BD26" s="715">
        <f t="shared" si="20"/>
        <v>-1.0646800417707223</v>
      </c>
      <c r="BE26" s="715">
        <f t="shared" si="20"/>
        <v>-1.1180329786691321</v>
      </c>
      <c r="BF26" s="722">
        <f t="shared" si="20"/>
        <v>-1.285643645857327</v>
      </c>
      <c r="BG26" s="722">
        <f t="shared" si="20"/>
        <v>-1.083551309445967</v>
      </c>
      <c r="BH26" s="722">
        <f t="shared" si="20"/>
        <v>-1.1354300197292801</v>
      </c>
      <c r="BI26" s="722">
        <f t="shared" si="20"/>
        <v>-1.2045113181697449</v>
      </c>
      <c r="BJ26" s="722">
        <f t="shared" si="20"/>
        <v>-1.2645063069408804</v>
      </c>
      <c r="BK26" s="722">
        <f t="shared" si="20"/>
        <v>-1.3448387123354122</v>
      </c>
      <c r="BL26" s="722">
        <f t="shared" si="20"/>
        <v>-1.4162898497810852</v>
      </c>
      <c r="BM26" s="722">
        <f t="shared" si="19"/>
        <v>-1.5041782716832972</v>
      </c>
      <c r="BN26" s="722">
        <f t="shared" si="19"/>
        <v>-1.6220702325650045</v>
      </c>
      <c r="BO26" s="722">
        <f t="shared" si="19"/>
        <v>-1.7156155405109528</v>
      </c>
      <c r="BP26" s="722">
        <f t="shared" si="19"/>
        <v>-1.7952054267045181</v>
      </c>
      <c r="BQ26" s="722">
        <f t="shared" si="19"/>
        <v>-1.8822851992303584</v>
      </c>
      <c r="BR26" s="722">
        <f t="shared" si="19"/>
        <v>-1.9645526479942683</v>
      </c>
      <c r="BS26" s="722">
        <f t="shared" si="19"/>
        <v>-2.0617146387240428</v>
      </c>
      <c r="BT26" s="722">
        <f t="shared" si="19"/>
        <v>-2.1583872166274576</v>
      </c>
      <c r="BU26" s="722">
        <f t="shared" si="19"/>
        <v>-2.2551532566940371</v>
      </c>
      <c r="BV26" s="722">
        <f t="shared" si="19"/>
        <v>-2.3529917762359664</v>
      </c>
      <c r="BW26" s="722">
        <f t="shared" si="19"/>
        <v>-2.4515727185341127</v>
      </c>
      <c r="BX26" s="722">
        <f t="shared" si="19"/>
        <v>-2.5567119135130079</v>
      </c>
      <c r="BY26" s="722">
        <f t="shared" si="19"/>
        <v>-2.6151425285922083</v>
      </c>
      <c r="BZ26" s="722">
        <f t="shared" si="19"/>
        <v>-2.6826880060229858</v>
      </c>
      <c r="CA26" s="722">
        <f t="shared" si="19"/>
        <v>-2.7534714500685129</v>
      </c>
      <c r="CB26" s="722">
        <f t="shared" si="19"/>
        <v>-2.8264477695939147</v>
      </c>
      <c r="CC26" s="722">
        <f t="shared" si="19"/>
        <v>-2.8998807004885387</v>
      </c>
      <c r="CD26" s="722">
        <f t="shared" si="19"/>
        <v>-2.9811246742606539</v>
      </c>
      <c r="CE26" s="722">
        <f t="shared" si="19"/>
        <v>-2.9954818363143785</v>
      </c>
      <c r="CF26" s="722">
        <f t="shared" si="19"/>
        <v>-3.0548817805749211</v>
      </c>
      <c r="CG26" s="722">
        <f t="shared" si="19"/>
        <v>-3.1169657939176449</v>
      </c>
      <c r="CH26" s="722">
        <f t="shared" si="19"/>
        <v>-3.1804729529779121</v>
      </c>
      <c r="CI26" s="722">
        <f t="shared" si="19"/>
        <v>-3.2430908143502757</v>
      </c>
      <c r="CJ26" s="722">
        <f t="shared" si="19"/>
        <v>-3.3048231983228491</v>
      </c>
      <c r="CK26" s="722">
        <f t="shared" si="19"/>
        <v>-3.3596788643803674</v>
      </c>
      <c r="CL26" s="722">
        <f t="shared" si="19"/>
        <v>-3.4571254930647166</v>
      </c>
      <c r="CM26" s="722">
        <f t="shared" si="19"/>
        <v>-3.5526795304530858</v>
      </c>
      <c r="CN26" s="722">
        <f t="shared" si="19"/>
        <v>-3.6474655687556199</v>
      </c>
      <c r="CO26" s="722">
        <f t="shared" si="19"/>
        <v>-3.7415705983052434</v>
      </c>
      <c r="CP26" s="722">
        <f t="shared" si="14"/>
        <v>-3.8350666457638316</v>
      </c>
      <c r="CQ26" s="722">
        <f t="shared" si="14"/>
        <v>-3.9279378112846834</v>
      </c>
      <c r="CR26" s="722">
        <f t="shared" si="14"/>
        <v>-4.0202009353473578</v>
      </c>
      <c r="CS26" s="722">
        <f t="shared" si="14"/>
        <v>-4.1115067535559566</v>
      </c>
      <c r="CT26" s="722">
        <f t="shared" si="14"/>
        <v>-4.2028538372491626</v>
      </c>
      <c r="CU26" s="722">
        <f t="shared" si="14"/>
        <v>-4.2942378232726526</v>
      </c>
      <c r="CV26" s="722">
        <f t="shared" si="14"/>
        <v>-4.3856639373166981</v>
      </c>
      <c r="CW26" s="722">
        <f t="shared" si="14"/>
        <v>-4.4771295179605959</v>
      </c>
      <c r="CX26" s="722">
        <f t="shared" si="14"/>
        <v>-4.5686288507578325</v>
      </c>
      <c r="CY26" s="722">
        <f t="shared" si="14"/>
        <v>-4.6601522372230031</v>
      </c>
      <c r="CZ26" s="722">
        <f t="shared" si="14"/>
        <v>-4.7516939759365417</v>
      </c>
      <c r="DA26" s="722">
        <f t="shared" si="16"/>
        <v>-4.843529967180662</v>
      </c>
      <c r="DC26" s="849">
        <f t="shared" si="10"/>
        <v>0</v>
      </c>
      <c r="DD26" s="849">
        <f t="shared" si="4"/>
        <v>-0.58680789220388885</v>
      </c>
      <c r="DE26" s="849">
        <f t="shared" si="5"/>
        <v>-8.6914323026965601</v>
      </c>
      <c r="DF26" s="849">
        <f t="shared" si="11"/>
        <v>-17.254125832953829</v>
      </c>
      <c r="DG26" s="849">
        <f t="shared" si="6"/>
        <v>-29.578714623089052</v>
      </c>
      <c r="DH26" s="849">
        <f t="shared" si="7"/>
        <v>-39.635361105677667</v>
      </c>
      <c r="DI26" s="11">
        <f t="shared" si="12"/>
        <v>-52.078602292848977</v>
      </c>
    </row>
    <row r="27" spans="5:113" ht="13" customHeight="1">
      <c r="E27" s="854" t="s">
        <v>805</v>
      </c>
      <c r="G27" s="230"/>
      <c r="H27" s="232"/>
      <c r="I27" s="609" t="s">
        <v>736</v>
      </c>
      <c r="J27" s="722"/>
      <c r="K27" s="722"/>
      <c r="L27" s="722"/>
      <c r="M27" s="722"/>
      <c r="N27" s="722"/>
      <c r="O27" s="722"/>
      <c r="P27" s="722"/>
      <c r="Q27" s="722"/>
      <c r="R27" s="722"/>
      <c r="S27" s="722"/>
      <c r="T27" s="722"/>
      <c r="U27" s="722"/>
      <c r="V27" s="722"/>
      <c r="W27" s="722"/>
      <c r="X27" s="722"/>
      <c r="Y27" s="722"/>
      <c r="Z27" s="722"/>
      <c r="AA27" s="722"/>
      <c r="AB27" s="722"/>
      <c r="AC27" s="722"/>
      <c r="AD27" s="722"/>
      <c r="AE27" s="722"/>
      <c r="AF27" s="722"/>
      <c r="AG27" s="722"/>
      <c r="AH27" s="722"/>
      <c r="AI27" s="722"/>
      <c r="AJ27" s="722"/>
      <c r="AK27" s="722"/>
      <c r="AL27" s="722"/>
      <c r="AM27" s="722"/>
      <c r="AN27" s="722"/>
      <c r="AO27" s="722"/>
      <c r="AP27" s="722"/>
      <c r="AQ27" s="722"/>
      <c r="AR27" s="722"/>
      <c r="AS27" s="722"/>
      <c r="AT27" s="715"/>
      <c r="AU27" s="715"/>
      <c r="AV27" s="715"/>
      <c r="AW27" s="715"/>
      <c r="AX27" s="715"/>
      <c r="AY27" s="715"/>
      <c r="AZ27" s="715"/>
      <c r="BA27" s="715"/>
      <c r="BB27" s="715"/>
      <c r="BC27" s="715"/>
      <c r="BD27" s="715"/>
      <c r="BE27" s="715"/>
      <c r="BF27" s="722"/>
      <c r="BG27" s="722"/>
      <c r="BH27" s="722"/>
      <c r="BI27" s="722"/>
      <c r="BJ27" s="722"/>
      <c r="BK27" s="722"/>
      <c r="BL27" s="722"/>
      <c r="BM27" s="722"/>
      <c r="BN27" s="722"/>
      <c r="BO27" s="722"/>
      <c r="BP27" s="722"/>
      <c r="BQ27" s="722"/>
      <c r="BR27" s="722"/>
      <c r="BS27" s="722"/>
      <c r="BT27" s="722"/>
      <c r="BU27" s="722"/>
      <c r="BV27" s="722"/>
      <c r="BW27" s="722"/>
      <c r="BX27" s="722"/>
      <c r="BY27" s="722"/>
      <c r="BZ27" s="722"/>
      <c r="CA27" s="722"/>
      <c r="CB27" s="722"/>
      <c r="CC27" s="722"/>
      <c r="CD27" s="722"/>
      <c r="CE27" s="722"/>
      <c r="CF27" s="722"/>
      <c r="CG27" s="722"/>
      <c r="CH27" s="722"/>
      <c r="CI27" s="722"/>
      <c r="CJ27" s="722"/>
      <c r="CK27" s="722"/>
      <c r="CL27" s="722"/>
      <c r="CM27" s="722"/>
      <c r="CN27" s="722"/>
      <c r="CO27" s="722"/>
      <c r="CP27" s="722"/>
      <c r="CQ27" s="722"/>
      <c r="CR27" s="722"/>
      <c r="CS27" s="722"/>
      <c r="CT27" s="722"/>
      <c r="CU27" s="722"/>
      <c r="CV27" s="722"/>
      <c r="CW27" s="722"/>
      <c r="CX27" s="722"/>
      <c r="CY27" s="722"/>
      <c r="CZ27" s="722"/>
      <c r="DA27" s="722"/>
      <c r="DC27" s="849">
        <f t="shared" si="10"/>
        <v>0</v>
      </c>
      <c r="DD27" s="849">
        <f>SUM(AH27:AS27)</f>
        <v>0</v>
      </c>
      <c r="DE27" s="849">
        <f>SUM(AT27:BE27)</f>
        <v>0</v>
      </c>
      <c r="DF27" s="849">
        <f t="shared" si="11"/>
        <v>0</v>
      </c>
      <c r="DG27" s="849">
        <f>SUM(BR27:CC27)</f>
        <v>0</v>
      </c>
      <c r="DH27" s="849">
        <f>SUM(CD27:CO27)</f>
        <v>0</v>
      </c>
      <c r="DI27" s="11">
        <f t="shared" si="12"/>
        <v>0</v>
      </c>
    </row>
    <row r="28" spans="5:113" ht="13" customHeight="1">
      <c r="E28" s="698" t="s">
        <v>621</v>
      </c>
      <c r="I28" s="609" t="s">
        <v>736</v>
      </c>
      <c r="J28" s="723">
        <f t="shared" ref="J28:BU28" si="21">J79+J249+J376+J422+J611+J733</f>
        <v>0</v>
      </c>
      <c r="K28" s="723">
        <f t="shared" si="21"/>
        <v>0</v>
      </c>
      <c r="L28" s="723">
        <f t="shared" si="21"/>
        <v>0</v>
      </c>
      <c r="M28" s="723">
        <f t="shared" si="21"/>
        <v>0</v>
      </c>
      <c r="N28" s="723">
        <f t="shared" si="21"/>
        <v>0</v>
      </c>
      <c r="O28" s="723">
        <f t="shared" si="21"/>
        <v>0</v>
      </c>
      <c r="P28" s="723">
        <f t="shared" si="21"/>
        <v>0</v>
      </c>
      <c r="Q28" s="723">
        <f t="shared" si="21"/>
        <v>0</v>
      </c>
      <c r="R28" s="723">
        <f t="shared" si="21"/>
        <v>0</v>
      </c>
      <c r="S28" s="723">
        <f t="shared" si="21"/>
        <v>0</v>
      </c>
      <c r="T28" s="723">
        <f t="shared" si="21"/>
        <v>0</v>
      </c>
      <c r="U28" s="723">
        <f t="shared" si="21"/>
        <v>0</v>
      </c>
      <c r="V28" s="723">
        <f t="shared" si="21"/>
        <v>-1.669418E-3</v>
      </c>
      <c r="W28" s="723">
        <f t="shared" si="21"/>
        <v>-7.5521349999999998E-3</v>
      </c>
      <c r="X28" s="723">
        <f t="shared" si="21"/>
        <v>-7.3669479999999999E-3</v>
      </c>
      <c r="Y28" s="723">
        <f t="shared" si="21"/>
        <v>-5.3355647999999999E-2</v>
      </c>
      <c r="Z28" s="723">
        <f t="shared" si="21"/>
        <v>-8.3504285999999997E-2</v>
      </c>
      <c r="AA28" s="723">
        <f t="shared" si="21"/>
        <v>-0.323283759</v>
      </c>
      <c r="AB28" s="723">
        <f t="shared" si="21"/>
        <v>-0.27464011799999999</v>
      </c>
      <c r="AC28" s="723">
        <f t="shared" si="21"/>
        <v>-0.79021964200000006</v>
      </c>
      <c r="AD28" s="723">
        <f t="shared" si="21"/>
        <v>-1.1071471129999999</v>
      </c>
      <c r="AE28" s="723">
        <f t="shared" si="21"/>
        <v>-1.7596425910000002</v>
      </c>
      <c r="AF28" s="723">
        <f t="shared" si="21"/>
        <v>-2.0057134510000001</v>
      </c>
      <c r="AG28" s="723">
        <f t="shared" si="21"/>
        <v>-2.9619868880000002</v>
      </c>
      <c r="AH28" s="855">
        <f t="shared" si="21"/>
        <v>-3.6128270179999999</v>
      </c>
      <c r="AI28" s="855">
        <f t="shared" si="21"/>
        <v>-4.5292674389999998</v>
      </c>
      <c r="AJ28" s="855">
        <f t="shared" si="21"/>
        <v>-5.0642457810000003</v>
      </c>
      <c r="AK28" s="855">
        <f t="shared" si="21"/>
        <v>-6.8607239729999998</v>
      </c>
      <c r="AL28" s="855">
        <f t="shared" si="21"/>
        <v>-7.5969994849999996</v>
      </c>
      <c r="AM28" s="855">
        <f t="shared" si="21"/>
        <v>-9.7780723639999998</v>
      </c>
      <c r="AN28" s="855">
        <f t="shared" si="21"/>
        <v>-19.906868391999996</v>
      </c>
      <c r="AO28" s="723">
        <f t="shared" si="21"/>
        <v>-17.176608385999998</v>
      </c>
      <c r="AP28" s="723">
        <f t="shared" si="21"/>
        <v>-17.701805195000002</v>
      </c>
      <c r="AQ28" s="723">
        <f t="shared" si="21"/>
        <v>-28.103013224472704</v>
      </c>
      <c r="AR28" s="723">
        <f t="shared" si="21"/>
        <v>-24.200738240435872</v>
      </c>
      <c r="AS28" s="723">
        <f t="shared" si="21"/>
        <v>-27.211098639092512</v>
      </c>
      <c r="AT28" s="696">
        <f t="shared" si="21"/>
        <v>-75.750896107743415</v>
      </c>
      <c r="AU28" s="696">
        <f t="shared" si="21"/>
        <v>-44.164992305656661</v>
      </c>
      <c r="AV28" s="696">
        <f t="shared" si="21"/>
        <v>-53.808564435222287</v>
      </c>
      <c r="AW28" s="696">
        <f t="shared" si="21"/>
        <v>-59.796774706677731</v>
      </c>
      <c r="AX28" s="696">
        <f t="shared" si="21"/>
        <v>-64.468376727111291</v>
      </c>
      <c r="AY28" s="696">
        <f t="shared" si="21"/>
        <v>-71.073988663910526</v>
      </c>
      <c r="AZ28" s="696">
        <f t="shared" si="21"/>
        <v>-80.492315417667058</v>
      </c>
      <c r="BA28" s="696">
        <f t="shared" si="21"/>
        <v>-90.313225834983186</v>
      </c>
      <c r="BB28" s="696">
        <f t="shared" si="21"/>
        <v>-95.950894471250592</v>
      </c>
      <c r="BC28" s="696">
        <f t="shared" si="21"/>
        <v>-99.994721546036786</v>
      </c>
      <c r="BD28" s="696">
        <f t="shared" si="21"/>
        <v>-104.31906006600755</v>
      </c>
      <c r="BE28" s="696">
        <f t="shared" si="21"/>
        <v>-109.24532794731492</v>
      </c>
      <c r="BF28" s="723">
        <f t="shared" si="21"/>
        <v>-114.46882470985977</v>
      </c>
      <c r="BG28" s="723">
        <f t="shared" si="21"/>
        <v>-119.49737111533469</v>
      </c>
      <c r="BH28" s="723">
        <f t="shared" si="21"/>
        <v>-124.68111420295655</v>
      </c>
      <c r="BI28" s="723">
        <f t="shared" si="21"/>
        <v>-130.39351769563311</v>
      </c>
      <c r="BJ28" s="723">
        <f t="shared" si="21"/>
        <v>-136.29323247139178</v>
      </c>
      <c r="BK28" s="723">
        <f t="shared" si="21"/>
        <v>-141.67790877247307</v>
      </c>
      <c r="BL28" s="723">
        <f t="shared" si="21"/>
        <v>-147.41085590389685</v>
      </c>
      <c r="BM28" s="723">
        <f t="shared" si="21"/>
        <v>-155.12307037846244</v>
      </c>
      <c r="BN28" s="723">
        <f t="shared" si="21"/>
        <v>-162.73773222759348</v>
      </c>
      <c r="BO28" s="723">
        <f t="shared" si="21"/>
        <v>-168.07611133635916</v>
      </c>
      <c r="BP28" s="723">
        <f t="shared" si="21"/>
        <v>-171.56046678850103</v>
      </c>
      <c r="BQ28" s="723">
        <f t="shared" si="21"/>
        <v>-173.96976723794387</v>
      </c>
      <c r="BR28" s="723">
        <f t="shared" si="21"/>
        <v>-175.38149601780384</v>
      </c>
      <c r="BS28" s="723">
        <f t="shared" si="21"/>
        <v>-176.13156605288273</v>
      </c>
      <c r="BT28" s="723">
        <f t="shared" si="21"/>
        <v>-175.73652737932537</v>
      </c>
      <c r="BU28" s="723">
        <f t="shared" si="21"/>
        <v>-174.98837072150394</v>
      </c>
      <c r="BV28" s="723">
        <f t="shared" ref="BV28:DA28" si="22">BV79+BV249+BV376+BV422+BV611+BV733</f>
        <v>-174.02927212474978</v>
      </c>
      <c r="BW28" s="723">
        <f t="shared" si="22"/>
        <v>-172.70391344922248</v>
      </c>
      <c r="BX28" s="723">
        <f t="shared" si="22"/>
        <v>-171.21318810967466</v>
      </c>
      <c r="BY28" s="723">
        <f t="shared" si="22"/>
        <v>-170.84378726457743</v>
      </c>
      <c r="BZ28" s="723">
        <f t="shared" si="22"/>
        <v>-171.72110845714758</v>
      </c>
      <c r="CA28" s="723">
        <f t="shared" si="22"/>
        <v>-173.34600384560042</v>
      </c>
      <c r="CB28" s="723">
        <f t="shared" si="22"/>
        <v>-175.73786829429631</v>
      </c>
      <c r="CC28" s="723">
        <f t="shared" si="22"/>
        <v>-179.00491002807729</v>
      </c>
      <c r="CD28" s="723">
        <f t="shared" si="22"/>
        <v>-182.63814271631256</v>
      </c>
      <c r="CE28" s="723">
        <f t="shared" si="22"/>
        <v>-186.84766127506526</v>
      </c>
      <c r="CF28" s="723">
        <f t="shared" si="22"/>
        <v>-192.03961960853215</v>
      </c>
      <c r="CG28" s="723">
        <f t="shared" si="22"/>
        <v>-197.55126212001394</v>
      </c>
      <c r="CH28" s="723">
        <f t="shared" si="22"/>
        <v>-203.59308779073243</v>
      </c>
      <c r="CI28" s="723">
        <f t="shared" si="22"/>
        <v>-209.93541918112049</v>
      </c>
      <c r="CJ28" s="723">
        <f t="shared" si="22"/>
        <v>-216.17803868028108</v>
      </c>
      <c r="CK28" s="723">
        <f t="shared" si="22"/>
        <v>-222.23194757321693</v>
      </c>
      <c r="CL28" s="723">
        <f t="shared" si="22"/>
        <v>-228.6302856827819</v>
      </c>
      <c r="CM28" s="723">
        <f t="shared" si="22"/>
        <v>-234.81401346013254</v>
      </c>
      <c r="CN28" s="723">
        <f t="shared" si="22"/>
        <v>-240.76628363238535</v>
      </c>
      <c r="CO28" s="723">
        <f t="shared" si="22"/>
        <v>-246.47084127478394</v>
      </c>
      <c r="CP28" s="723">
        <f t="shared" si="22"/>
        <v>-252.13855594942402</v>
      </c>
      <c r="CQ28" s="723">
        <f t="shared" si="22"/>
        <v>-257.89629185239625</v>
      </c>
      <c r="CR28" s="723">
        <f t="shared" si="22"/>
        <v>-263.57629672902203</v>
      </c>
      <c r="CS28" s="723">
        <f t="shared" si="22"/>
        <v>-269.15992320901569</v>
      </c>
      <c r="CT28" s="723">
        <f t="shared" si="22"/>
        <v>-274.7460290300977</v>
      </c>
      <c r="CU28" s="723">
        <f t="shared" si="22"/>
        <v>-280.47453548489199</v>
      </c>
      <c r="CV28" s="723">
        <f t="shared" si="22"/>
        <v>-286.37842655192691</v>
      </c>
      <c r="CW28" s="723">
        <f t="shared" si="22"/>
        <v>-292.55827996029677</v>
      </c>
      <c r="CX28" s="723">
        <f t="shared" si="22"/>
        <v>-299.43216816475456</v>
      </c>
      <c r="CY28" s="723">
        <f t="shared" si="22"/>
        <v>-307.53001661862839</v>
      </c>
      <c r="CZ28" s="723">
        <f t="shared" si="22"/>
        <v>-316.9163852980455</v>
      </c>
      <c r="DA28" s="723">
        <f t="shared" si="22"/>
        <v>-327.69215607478139</v>
      </c>
      <c r="DC28" s="850">
        <f t="shared" si="10"/>
        <v>-9.376081997</v>
      </c>
      <c r="DD28" s="850">
        <f>SUM(AH28:AS28)</f>
        <v>-171.74226813700108</v>
      </c>
      <c r="DE28" s="850">
        <f>SUM(AT28:BE28)</f>
        <v>-949.37913822958183</v>
      </c>
      <c r="DF28" s="850">
        <f>SUM(BF28:BQ28)</f>
        <v>-1745.889972840406</v>
      </c>
      <c r="DG28" s="850">
        <f>SUM(BR28:CC28)</f>
        <v>-2090.8380117448619</v>
      </c>
      <c r="DH28" s="850">
        <f>SUM(CD28:CO28)</f>
        <v>-2561.6966029953587</v>
      </c>
      <c r="DI28" s="13">
        <f t="shared" si="12"/>
        <v>-3428.4990649232809</v>
      </c>
    </row>
    <row r="29" spans="5:113" ht="13" customHeight="1">
      <c r="E29" s="856" t="s">
        <v>701</v>
      </c>
      <c r="F29" s="856"/>
      <c r="G29" s="856"/>
      <c r="H29" s="857"/>
      <c r="I29" s="609" t="s">
        <v>736</v>
      </c>
      <c r="J29" s="723">
        <f t="shared" ref="J29:BU29" si="23">SUM(J30:J38)</f>
        <v>-0.15408068014314902</v>
      </c>
      <c r="K29" s="723">
        <f t="shared" si="23"/>
        <v>-0.15408068014314902</v>
      </c>
      <c r="L29" s="723">
        <f t="shared" si="23"/>
        <v>-0.15408068014314902</v>
      </c>
      <c r="M29" s="723">
        <f t="shared" si="23"/>
        <v>-0.15408068014314902</v>
      </c>
      <c r="N29" s="723">
        <f t="shared" si="23"/>
        <v>-0.15408068014314902</v>
      </c>
      <c r="O29" s="723">
        <f t="shared" si="23"/>
        <v>-0.15408068014314902</v>
      </c>
      <c r="P29" s="723">
        <f t="shared" si="23"/>
        <v>-0.15408068014314902</v>
      </c>
      <c r="Q29" s="723">
        <f t="shared" si="23"/>
        <v>-0.15408068014314902</v>
      </c>
      <c r="R29" s="723">
        <f t="shared" si="23"/>
        <v>-0.15408068014314902</v>
      </c>
      <c r="S29" s="723">
        <f t="shared" si="23"/>
        <v>-0.15408068014314902</v>
      </c>
      <c r="T29" s="723">
        <f t="shared" si="23"/>
        <v>-0.15408068014314902</v>
      </c>
      <c r="U29" s="723">
        <f t="shared" si="23"/>
        <v>-0.15408068014314902</v>
      </c>
      <c r="V29" s="723">
        <f t="shared" si="23"/>
        <v>-0.15526659471401488</v>
      </c>
      <c r="W29" s="723">
        <f t="shared" si="23"/>
        <v>-0.15457407332375583</v>
      </c>
      <c r="X29" s="723">
        <f t="shared" si="23"/>
        <v>-0.25419732540198381</v>
      </c>
      <c r="Y29" s="723">
        <f t="shared" si="23"/>
        <v>-0.27172802137083263</v>
      </c>
      <c r="Z29" s="723">
        <f t="shared" si="23"/>
        <v>-0.86969955680720001</v>
      </c>
      <c r="AA29" s="723">
        <f t="shared" si="23"/>
        <v>-1.447147844188603</v>
      </c>
      <c r="AB29" s="723">
        <f t="shared" si="23"/>
        <v>-2.6384335988798844</v>
      </c>
      <c r="AC29" s="723">
        <f t="shared" si="23"/>
        <v>-3.0414129054769306</v>
      </c>
      <c r="AD29" s="723">
        <f t="shared" si="23"/>
        <v>-3.1827206408790172</v>
      </c>
      <c r="AE29" s="723">
        <f t="shared" si="23"/>
        <v>-4.1539469634887549</v>
      </c>
      <c r="AF29" s="723">
        <f t="shared" si="23"/>
        <v>-4.1374824859085466</v>
      </c>
      <c r="AG29" s="723">
        <f t="shared" si="23"/>
        <v>-2.4684581867011932</v>
      </c>
      <c r="AH29" s="747">
        <f t="shared" si="23"/>
        <v>-4.4617454257934117</v>
      </c>
      <c r="AI29" s="747">
        <f t="shared" si="23"/>
        <v>-3.8167622260066771</v>
      </c>
      <c r="AJ29" s="747">
        <f t="shared" si="23"/>
        <v>-8.2023818264519246</v>
      </c>
      <c r="AK29" s="747">
        <f t="shared" si="23"/>
        <v>-10.326116653635063</v>
      </c>
      <c r="AL29" s="747">
        <f t="shared" si="23"/>
        <v>-12.276508148432944</v>
      </c>
      <c r="AM29" s="747">
        <f t="shared" si="23"/>
        <v>-12.239599332804021</v>
      </c>
      <c r="AN29" s="747">
        <f t="shared" si="23"/>
        <v>-14.34713931957932</v>
      </c>
      <c r="AO29" s="723">
        <f t="shared" si="23"/>
        <v>-17.15430051052487</v>
      </c>
      <c r="AP29" s="723">
        <f t="shared" si="23"/>
        <v>-21.46198302896746</v>
      </c>
      <c r="AQ29" s="723">
        <f t="shared" si="23"/>
        <v>-29.29975132069216</v>
      </c>
      <c r="AR29" s="723">
        <f t="shared" si="23"/>
        <v>-30.239286196714382</v>
      </c>
      <c r="AS29" s="723">
        <f t="shared" si="23"/>
        <v>-33.858789312586929</v>
      </c>
      <c r="AT29" s="696">
        <f t="shared" si="23"/>
        <v>-37.780185916035549</v>
      </c>
      <c r="AU29" s="696">
        <f t="shared" si="23"/>
        <v>-34.424176276091046</v>
      </c>
      <c r="AV29" s="696">
        <f t="shared" si="23"/>
        <v>-36.96280791879073</v>
      </c>
      <c r="AW29" s="696">
        <f t="shared" si="23"/>
        <v>-37.711538597684431</v>
      </c>
      <c r="AX29" s="696">
        <f t="shared" si="23"/>
        <v>-39.357873071470635</v>
      </c>
      <c r="AY29" s="696">
        <f t="shared" si="23"/>
        <v>-41.19598871478037</v>
      </c>
      <c r="AZ29" s="696">
        <f t="shared" si="23"/>
        <v>-40.685543703999578</v>
      </c>
      <c r="BA29" s="696">
        <f t="shared" si="23"/>
        <v>-44.703212031029238</v>
      </c>
      <c r="BB29" s="696">
        <f t="shared" si="23"/>
        <v>-49.196358617025467</v>
      </c>
      <c r="BC29" s="696">
        <f t="shared" si="23"/>
        <v>-54.035550425751559</v>
      </c>
      <c r="BD29" s="696">
        <f t="shared" si="23"/>
        <v>-58.765805635740563</v>
      </c>
      <c r="BE29" s="696">
        <f t="shared" si="23"/>
        <v>-64.085525065062143</v>
      </c>
      <c r="BF29" s="723">
        <f t="shared" si="23"/>
        <v>-71.80340955928807</v>
      </c>
      <c r="BG29" s="723">
        <f t="shared" si="23"/>
        <v>-72.84272243868017</v>
      </c>
      <c r="BH29" s="723">
        <f t="shared" si="23"/>
        <v>-74.527777441192399</v>
      </c>
      <c r="BI29" s="723">
        <f t="shared" si="23"/>
        <v>-75.063071930245542</v>
      </c>
      <c r="BJ29" s="723">
        <f t="shared" si="23"/>
        <v>-74.458892879716942</v>
      </c>
      <c r="BK29" s="723">
        <f t="shared" si="23"/>
        <v>-74.119362613666951</v>
      </c>
      <c r="BL29" s="723">
        <f t="shared" si="23"/>
        <v>-72.251543310408465</v>
      </c>
      <c r="BM29" s="723">
        <f t="shared" si="23"/>
        <v>-70.388998261449416</v>
      </c>
      <c r="BN29" s="723">
        <f t="shared" si="23"/>
        <v>-68.636319106525036</v>
      </c>
      <c r="BO29" s="723">
        <f t="shared" si="23"/>
        <v>-66.87467957560753</v>
      </c>
      <c r="BP29" s="723">
        <f t="shared" si="23"/>
        <v>-65.213820361386098</v>
      </c>
      <c r="BQ29" s="723">
        <f t="shared" si="23"/>
        <v>-65.39840014217188</v>
      </c>
      <c r="BR29" s="723">
        <f t="shared" si="23"/>
        <v>-67.477330861731275</v>
      </c>
      <c r="BS29" s="723">
        <f t="shared" si="23"/>
        <v>-68.666791459335997</v>
      </c>
      <c r="BT29" s="723">
        <f t="shared" si="23"/>
        <v>-70.280588889231908</v>
      </c>
      <c r="BU29" s="723">
        <f t="shared" si="23"/>
        <v>-71.992243325165546</v>
      </c>
      <c r="BV29" s="723">
        <f t="shared" ref="BV29:DA29" si="24">SUM(BV30:BV38)</f>
        <v>-73.909179346260188</v>
      </c>
      <c r="BW29" s="723">
        <f t="shared" si="24"/>
        <v>-76.061082713185215</v>
      </c>
      <c r="BX29" s="723">
        <f t="shared" si="24"/>
        <v>-78.43687123195366</v>
      </c>
      <c r="BY29" s="723">
        <f t="shared" si="24"/>
        <v>-80.809271463780689</v>
      </c>
      <c r="BZ29" s="723">
        <f t="shared" si="24"/>
        <v>-83.146297302056183</v>
      </c>
      <c r="CA29" s="723">
        <f t="shared" si="24"/>
        <v>-85.585498931284519</v>
      </c>
      <c r="CB29" s="723">
        <f t="shared" si="24"/>
        <v>-87.852153513784302</v>
      </c>
      <c r="CC29" s="723">
        <f t="shared" si="24"/>
        <v>-90.074916500855636</v>
      </c>
      <c r="CD29" s="723">
        <f t="shared" si="24"/>
        <v>-93.478144333979046</v>
      </c>
      <c r="CE29" s="723">
        <f t="shared" si="24"/>
        <v>-95.550043843630618</v>
      </c>
      <c r="CF29" s="723">
        <f t="shared" si="24"/>
        <v>-97.574706838317297</v>
      </c>
      <c r="CG29" s="723">
        <f t="shared" si="24"/>
        <v>-99.751853731849167</v>
      </c>
      <c r="CH29" s="723">
        <f t="shared" si="24"/>
        <v>-101.73118511924346</v>
      </c>
      <c r="CI29" s="723">
        <f t="shared" si="24"/>
        <v>-103.69973677954081</v>
      </c>
      <c r="CJ29" s="723">
        <f t="shared" si="24"/>
        <v>-105.66599853128463</v>
      </c>
      <c r="CK29" s="723">
        <f t="shared" si="24"/>
        <v>-107.60116094973975</v>
      </c>
      <c r="CL29" s="723">
        <f t="shared" si="24"/>
        <v>-109.51338499839261</v>
      </c>
      <c r="CM29" s="723">
        <f t="shared" si="24"/>
        <v>-111.41370462685965</v>
      </c>
      <c r="CN29" s="723">
        <f t="shared" si="24"/>
        <v>-113.297696068942</v>
      </c>
      <c r="CO29" s="723">
        <f t="shared" si="24"/>
        <v>-115.16617256345432</v>
      </c>
      <c r="CP29" s="723">
        <f t="shared" si="24"/>
        <v>-117.88674854755888</v>
      </c>
      <c r="CQ29" s="723">
        <f t="shared" si="24"/>
        <v>-120.30446115708337</v>
      </c>
      <c r="CR29" s="723">
        <f t="shared" si="24"/>
        <v>-123.20584050885516</v>
      </c>
      <c r="CS29" s="723">
        <f t="shared" si="24"/>
        <v>-126.61350378789446</v>
      </c>
      <c r="CT29" s="723">
        <f t="shared" si="24"/>
        <v>-130.25960847936275</v>
      </c>
      <c r="CU29" s="723">
        <f t="shared" si="24"/>
        <v>-134.48574658872948</v>
      </c>
      <c r="CV29" s="723">
        <f t="shared" si="24"/>
        <v>-139.2990118702736</v>
      </c>
      <c r="CW29" s="723">
        <f t="shared" si="24"/>
        <v>-144.72718311202087</v>
      </c>
      <c r="CX29" s="723">
        <f t="shared" si="24"/>
        <v>-150.44923351052509</v>
      </c>
      <c r="CY29" s="723">
        <f t="shared" si="24"/>
        <v>-156.49763268398718</v>
      </c>
      <c r="CZ29" s="723">
        <f t="shared" si="24"/>
        <v>-162.89471733706938</v>
      </c>
      <c r="DA29" s="723">
        <f t="shared" si="24"/>
        <v>-169.66153972084322</v>
      </c>
      <c r="DC29" s="850">
        <f t="shared" si="10"/>
        <v>-22.775068197140719</v>
      </c>
      <c r="DD29" s="850">
        <f t="shared" si="4"/>
        <v>-197.68436330218918</v>
      </c>
      <c r="DE29" s="850">
        <f t="shared" si="5"/>
        <v>-538.90456597346133</v>
      </c>
      <c r="DF29" s="850">
        <f t="shared" si="11"/>
        <v>-851.57899762033844</v>
      </c>
      <c r="DG29" s="850">
        <f t="shared" si="6"/>
        <v>-934.29222553862496</v>
      </c>
      <c r="DH29" s="850">
        <f t="shared" si="7"/>
        <v>-1254.4437883852333</v>
      </c>
      <c r="DI29" s="13">
        <f t="shared" si="12"/>
        <v>-1676.2852273042033</v>
      </c>
    </row>
    <row r="30" spans="5:113" ht="13" customHeight="1" outlineLevel="1">
      <c r="F30" s="126" t="s">
        <v>100</v>
      </c>
      <c r="I30" s="609" t="s">
        <v>736</v>
      </c>
      <c r="J30" s="722">
        <f t="shared" ref="J30:BU33" si="25">J81+J251+J378+J424+J613+J735</f>
        <v>0</v>
      </c>
      <c r="K30" s="722">
        <f t="shared" si="25"/>
        <v>0</v>
      </c>
      <c r="L30" s="722">
        <f t="shared" si="25"/>
        <v>0</v>
      </c>
      <c r="M30" s="722">
        <f t="shared" si="25"/>
        <v>0</v>
      </c>
      <c r="N30" s="722">
        <f t="shared" si="25"/>
        <v>0</v>
      </c>
      <c r="O30" s="722">
        <f t="shared" si="25"/>
        <v>0</v>
      </c>
      <c r="P30" s="722">
        <f t="shared" si="25"/>
        <v>0</v>
      </c>
      <c r="Q30" s="722">
        <f t="shared" si="25"/>
        <v>0</v>
      </c>
      <c r="R30" s="722">
        <f t="shared" si="25"/>
        <v>0</v>
      </c>
      <c r="S30" s="722">
        <f t="shared" si="25"/>
        <v>0</v>
      </c>
      <c r="T30" s="722">
        <f t="shared" si="25"/>
        <v>0</v>
      </c>
      <c r="U30" s="722">
        <f t="shared" si="25"/>
        <v>0</v>
      </c>
      <c r="V30" s="722">
        <f t="shared" si="25"/>
        <v>-1.1276045708658901E-3</v>
      </c>
      <c r="W30" s="722">
        <f t="shared" si="25"/>
        <v>-4.6840318060683601E-4</v>
      </c>
      <c r="X30" s="722">
        <f t="shared" si="25"/>
        <v>-9.5468505258834796E-2</v>
      </c>
      <c r="Y30" s="722">
        <f t="shared" si="25"/>
        <v>-9.7582551227683598E-2</v>
      </c>
      <c r="Z30" s="722">
        <f t="shared" si="25"/>
        <v>-0.262412666664051</v>
      </c>
      <c r="AA30" s="722">
        <f t="shared" si="25"/>
        <v>-0.28840388</v>
      </c>
      <c r="AB30" s="722">
        <f t="shared" si="25"/>
        <v>-0.38000010774379178</v>
      </c>
      <c r="AC30" s="722">
        <f t="shared" si="25"/>
        <v>-0.37426645613999499</v>
      </c>
      <c r="AD30" s="722">
        <f t="shared" si="25"/>
        <v>-0.48528950599999998</v>
      </c>
      <c r="AE30" s="722">
        <f t="shared" si="25"/>
        <v>-0.62100851199999996</v>
      </c>
      <c r="AF30" s="722">
        <f t="shared" si="25"/>
        <v>-0.57301743199999999</v>
      </c>
      <c r="AG30" s="722">
        <f t="shared" si="25"/>
        <v>-0.68382735800000005</v>
      </c>
      <c r="AH30" s="858">
        <f t="shared" si="25"/>
        <v>-0.84999376900000012</v>
      </c>
      <c r="AI30" s="858">
        <f t="shared" si="25"/>
        <v>-0.64481945699999998</v>
      </c>
      <c r="AJ30" s="858">
        <f t="shared" si="25"/>
        <v>-0.70300772</v>
      </c>
      <c r="AK30" s="858">
        <f t="shared" si="25"/>
        <v>-0.84703977200000014</v>
      </c>
      <c r="AL30" s="858">
        <f t="shared" si="25"/>
        <v>-0.97235816500000016</v>
      </c>
      <c r="AM30" s="858">
        <f t="shared" si="25"/>
        <v>-1.3458800980000001</v>
      </c>
      <c r="AN30" s="858">
        <f t="shared" si="25"/>
        <v>-1.7402237647255638</v>
      </c>
      <c r="AO30" s="722">
        <f t="shared" si="25"/>
        <v>-2.0637185090815486</v>
      </c>
      <c r="AP30" s="722">
        <f t="shared" si="25"/>
        <v>-2.4993959141928883</v>
      </c>
      <c r="AQ30" s="722">
        <f t="shared" si="25"/>
        <v>-3.8637419999999998</v>
      </c>
      <c r="AR30" s="722">
        <f t="shared" si="25"/>
        <v>-4.0863357185877662</v>
      </c>
      <c r="AS30" s="722">
        <f t="shared" si="25"/>
        <v>-4.1924763215735119</v>
      </c>
      <c r="AT30" s="715">
        <f t="shared" si="25"/>
        <v>-3.8472527777777774</v>
      </c>
      <c r="AU30" s="715">
        <f t="shared" si="25"/>
        <v>-3.2715888888888891</v>
      </c>
      <c r="AV30" s="715">
        <f t="shared" si="25"/>
        <v>-3.8926750000000001</v>
      </c>
      <c r="AW30" s="715">
        <f t="shared" si="25"/>
        <v>-4.0898861111111104</v>
      </c>
      <c r="AX30" s="715">
        <f t="shared" si="25"/>
        <v>-4.2870972222222221</v>
      </c>
      <c r="AY30" s="715">
        <f t="shared" si="25"/>
        <v>-4.479308333333333</v>
      </c>
      <c r="AZ30" s="715">
        <f t="shared" si="25"/>
        <v>-4.5634361111111108</v>
      </c>
      <c r="BA30" s="715">
        <f t="shared" si="25"/>
        <v>-4.7554388888888877</v>
      </c>
      <c r="BB30" s="715">
        <f t="shared" si="25"/>
        <v>-4.9474416666666663</v>
      </c>
      <c r="BC30" s="715">
        <f t="shared" si="25"/>
        <v>-5.1394444444444431</v>
      </c>
      <c r="BD30" s="715">
        <f t="shared" si="25"/>
        <v>-5.3304472222222214</v>
      </c>
      <c r="BE30" s="715">
        <f t="shared" si="25"/>
        <v>-5.3693249999999981</v>
      </c>
      <c r="BF30" s="722">
        <f t="shared" si="25"/>
        <v>-5.2676247282608681</v>
      </c>
      <c r="BG30" s="722">
        <f t="shared" si="25"/>
        <v>-5.1659244565217382</v>
      </c>
      <c r="BH30" s="722">
        <f t="shared" si="25"/>
        <v>-5.0642241847826073</v>
      </c>
      <c r="BI30" s="722">
        <f t="shared" si="25"/>
        <v>-4.9625239130434773</v>
      </c>
      <c r="BJ30" s="722">
        <f t="shared" si="25"/>
        <v>-4.8608236413043473</v>
      </c>
      <c r="BK30" s="722">
        <f t="shared" si="25"/>
        <v>-4.7591233695652164</v>
      </c>
      <c r="BL30" s="722">
        <f t="shared" si="25"/>
        <v>-4.637423097826086</v>
      </c>
      <c r="BM30" s="722">
        <f t="shared" si="25"/>
        <v>-4.5357228260869551</v>
      </c>
      <c r="BN30" s="722">
        <f t="shared" si="25"/>
        <v>-4.4340225543478251</v>
      </c>
      <c r="BO30" s="722">
        <f t="shared" si="25"/>
        <v>-4.3323222826086951</v>
      </c>
      <c r="BP30" s="722">
        <f t="shared" si="25"/>
        <v>-4.2306220108695642</v>
      </c>
      <c r="BQ30" s="722">
        <f t="shared" si="25"/>
        <v>-4.2713999999999999</v>
      </c>
      <c r="BR30" s="722">
        <f t="shared" si="25"/>
        <v>-4.4683499999999992</v>
      </c>
      <c r="BS30" s="722">
        <f t="shared" si="25"/>
        <v>-4.6852999999999998</v>
      </c>
      <c r="BT30" s="722">
        <f t="shared" si="25"/>
        <v>-4.9022499999999996</v>
      </c>
      <c r="BU30" s="722">
        <f t="shared" si="25"/>
        <v>-5.1191999999999993</v>
      </c>
      <c r="BV30" s="722">
        <f t="shared" ref="BV30:DA35" si="26">BV81+BV251+BV378+BV424+BV613+BV735</f>
        <v>-5.3361499999999991</v>
      </c>
      <c r="BW30" s="722">
        <f t="shared" si="26"/>
        <v>-5.5530999999999997</v>
      </c>
      <c r="BX30" s="722">
        <f t="shared" si="26"/>
        <v>-5.7700499999999995</v>
      </c>
      <c r="BY30" s="722">
        <f t="shared" si="26"/>
        <v>-5.9870000000000001</v>
      </c>
      <c r="BZ30" s="722">
        <f t="shared" si="26"/>
        <v>-6.203949999999999</v>
      </c>
      <c r="CA30" s="722">
        <f t="shared" si="26"/>
        <v>-6.4209000000000005</v>
      </c>
      <c r="CB30" s="722">
        <f t="shared" si="26"/>
        <v>-6.6378499999999994</v>
      </c>
      <c r="CC30" s="722">
        <f t="shared" si="26"/>
        <v>-6.8548000000000009</v>
      </c>
      <c r="CD30" s="722">
        <f t="shared" si="26"/>
        <v>-6.9583713333333339</v>
      </c>
      <c r="CE30" s="722">
        <f t="shared" si="26"/>
        <v>-7.061942666666666</v>
      </c>
      <c r="CF30" s="722">
        <f t="shared" si="26"/>
        <v>-7.1655139999999999</v>
      </c>
      <c r="CG30" s="722">
        <f t="shared" si="26"/>
        <v>-7.269085333333333</v>
      </c>
      <c r="CH30" s="722">
        <f t="shared" si="26"/>
        <v>-7.3726566666666677</v>
      </c>
      <c r="CI30" s="722">
        <f t="shared" si="26"/>
        <v>-7.4762279999999999</v>
      </c>
      <c r="CJ30" s="722">
        <f t="shared" si="26"/>
        <v>-7.5797993333333338</v>
      </c>
      <c r="CK30" s="722">
        <f t="shared" si="26"/>
        <v>-7.6833706666666677</v>
      </c>
      <c r="CL30" s="722">
        <f t="shared" si="26"/>
        <v>-7.7859420000000004</v>
      </c>
      <c r="CM30" s="722">
        <f t="shared" si="26"/>
        <v>-7.8895133333333334</v>
      </c>
      <c r="CN30" s="722">
        <f t="shared" si="26"/>
        <v>-7.9930846666666664</v>
      </c>
      <c r="CO30" s="722">
        <f t="shared" si="26"/>
        <v>-8.0966560000000012</v>
      </c>
      <c r="CP30" s="722">
        <f t="shared" si="26"/>
        <v>-8.1638752666666665</v>
      </c>
      <c r="CQ30" s="722">
        <f t="shared" si="26"/>
        <v>-8.2310945333333336</v>
      </c>
      <c r="CR30" s="722">
        <f t="shared" si="26"/>
        <v>-8.298313799999999</v>
      </c>
      <c r="CS30" s="722">
        <f t="shared" si="26"/>
        <v>-8.3655330666666661</v>
      </c>
      <c r="CT30" s="722">
        <f t="shared" si="26"/>
        <v>-8.4327523333333314</v>
      </c>
      <c r="CU30" s="722">
        <f t="shared" si="26"/>
        <v>-8.4999715999999985</v>
      </c>
      <c r="CV30" s="722">
        <f t="shared" si="26"/>
        <v>-8.5671908666666639</v>
      </c>
      <c r="CW30" s="722">
        <f t="shared" si="26"/>
        <v>-8.634410133333331</v>
      </c>
      <c r="CX30" s="722">
        <f t="shared" si="26"/>
        <v>-8.7016293999999981</v>
      </c>
      <c r="CY30" s="722">
        <f t="shared" si="26"/>
        <v>-8.7688486666666634</v>
      </c>
      <c r="CZ30" s="722">
        <f t="shared" si="26"/>
        <v>-8.8360679333333287</v>
      </c>
      <c r="DA30" s="722">
        <f t="shared" si="26"/>
        <v>-8.9032872000000012</v>
      </c>
      <c r="DC30" s="849">
        <f t="shared" si="10"/>
        <v>-3.862872982785829</v>
      </c>
      <c r="DD30" s="849">
        <f t="shared" si="4"/>
        <v>-23.808991209161281</v>
      </c>
      <c r="DE30" s="983">
        <f t="shared" si="5"/>
        <v>-53.973341666666656</v>
      </c>
      <c r="DF30" s="849">
        <f t="shared" si="11"/>
        <v>-56.521757065217379</v>
      </c>
      <c r="DG30" s="849">
        <f t="shared" si="6"/>
        <v>-67.938900000000004</v>
      </c>
      <c r="DH30" s="849">
        <f t="shared" si="7"/>
        <v>-90.332163999999992</v>
      </c>
      <c r="DI30" s="11">
        <f t="shared" si="12"/>
        <v>-102.40297479999998</v>
      </c>
    </row>
    <row r="31" spans="5:113" ht="13" customHeight="1" outlineLevel="1">
      <c r="F31" s="126" t="s">
        <v>107</v>
      </c>
      <c r="I31" s="609" t="s">
        <v>736</v>
      </c>
      <c r="J31" s="722">
        <f t="shared" si="25"/>
        <v>0</v>
      </c>
      <c r="K31" s="722">
        <f t="shared" si="25"/>
        <v>0</v>
      </c>
      <c r="L31" s="722">
        <f t="shared" si="25"/>
        <v>0</v>
      </c>
      <c r="M31" s="722">
        <f t="shared" si="25"/>
        <v>0</v>
      </c>
      <c r="N31" s="722">
        <f t="shared" si="25"/>
        <v>0</v>
      </c>
      <c r="O31" s="722">
        <f t="shared" si="25"/>
        <v>0</v>
      </c>
      <c r="P31" s="722">
        <f t="shared" si="25"/>
        <v>0</v>
      </c>
      <c r="Q31" s="722">
        <f t="shared" si="25"/>
        <v>0</v>
      </c>
      <c r="R31" s="722">
        <f t="shared" si="25"/>
        <v>0</v>
      </c>
      <c r="S31" s="722">
        <f t="shared" si="25"/>
        <v>0</v>
      </c>
      <c r="T31" s="722">
        <f t="shared" si="25"/>
        <v>0</v>
      </c>
      <c r="U31" s="722">
        <f t="shared" si="25"/>
        <v>0</v>
      </c>
      <c r="V31" s="722">
        <f t="shared" si="25"/>
        <v>0</v>
      </c>
      <c r="W31" s="722">
        <f t="shared" si="25"/>
        <v>0</v>
      </c>
      <c r="X31" s="722">
        <f t="shared" si="25"/>
        <v>0</v>
      </c>
      <c r="Y31" s="722">
        <f t="shared" si="25"/>
        <v>0</v>
      </c>
      <c r="Z31" s="722">
        <f t="shared" si="25"/>
        <v>0</v>
      </c>
      <c r="AA31" s="722">
        <f t="shared" si="25"/>
        <v>0</v>
      </c>
      <c r="AB31" s="722">
        <f t="shared" si="25"/>
        <v>-0.14676035235658366</v>
      </c>
      <c r="AC31" s="722">
        <f t="shared" si="25"/>
        <v>-0.20747917514833336</v>
      </c>
      <c r="AD31" s="722">
        <f t="shared" si="25"/>
        <v>-0.22730528328131849</v>
      </c>
      <c r="AE31" s="722">
        <f t="shared" si="25"/>
        <v>-0.24772681580014641</v>
      </c>
      <c r="AF31" s="722">
        <f t="shared" si="25"/>
        <v>-0.41298984367448649</v>
      </c>
      <c r="AG31" s="722">
        <f t="shared" si="25"/>
        <v>-0.55156165555804426</v>
      </c>
      <c r="AH31" s="858">
        <f t="shared" si="25"/>
        <v>-0.41603416087957196</v>
      </c>
      <c r="AI31" s="858">
        <f t="shared" si="25"/>
        <v>-0.65778924535258809</v>
      </c>
      <c r="AJ31" s="858">
        <f t="shared" si="25"/>
        <v>-0.3893789444194975</v>
      </c>
      <c r="AK31" s="858">
        <f t="shared" si="25"/>
        <v>-0.41230059271641051</v>
      </c>
      <c r="AL31" s="858">
        <f t="shared" si="25"/>
        <v>-0.70252319605892954</v>
      </c>
      <c r="AM31" s="858">
        <f t="shared" si="25"/>
        <v>-1.1155655807096083</v>
      </c>
      <c r="AN31" s="858">
        <f t="shared" si="25"/>
        <v>-1.320949513647508</v>
      </c>
      <c r="AO31" s="722">
        <f t="shared" si="25"/>
        <v>-0.82539591069892415</v>
      </c>
      <c r="AP31" s="722">
        <f t="shared" si="25"/>
        <v>-1.1971870483691194</v>
      </c>
      <c r="AQ31" s="722">
        <f t="shared" si="25"/>
        <v>-1.8599920000000003</v>
      </c>
      <c r="AR31" s="722">
        <f t="shared" si="25"/>
        <v>-2.0965556666666667</v>
      </c>
      <c r="AS31" s="722">
        <f t="shared" si="25"/>
        <v>-2.3303920650983114</v>
      </c>
      <c r="AT31" s="715">
        <f t="shared" si="25"/>
        <v>-2.6354430611095485</v>
      </c>
      <c r="AU31" s="715">
        <f t="shared" si="25"/>
        <v>-2.8892295034206947</v>
      </c>
      <c r="AV31" s="715">
        <f t="shared" si="25"/>
        <v>-3.1254861202331536</v>
      </c>
      <c r="AW31" s="715">
        <f t="shared" si="25"/>
        <v>-3.4244482802214664</v>
      </c>
      <c r="AX31" s="715">
        <f t="shared" si="25"/>
        <v>-3.7136105217263484</v>
      </c>
      <c r="AY31" s="715">
        <f t="shared" si="25"/>
        <v>-4.0183379275239579</v>
      </c>
      <c r="AZ31" s="715">
        <f t="shared" si="25"/>
        <v>-4.26812012082826</v>
      </c>
      <c r="BA31" s="715">
        <f t="shared" si="25"/>
        <v>-4.5046512995867198</v>
      </c>
      <c r="BB31" s="715">
        <f t="shared" si="25"/>
        <v>-4.7604902677498853</v>
      </c>
      <c r="BC31" s="715">
        <f t="shared" si="25"/>
        <v>-4.984880463821904</v>
      </c>
      <c r="BD31" s="715">
        <f t="shared" si="25"/>
        <v>-5.2195099869638195</v>
      </c>
      <c r="BE31" s="715">
        <f t="shared" si="25"/>
        <v>-5.5076137413119932</v>
      </c>
      <c r="BF31" s="722">
        <f t="shared" si="25"/>
        <v>-5.7897925460969999</v>
      </c>
      <c r="BG31" s="722">
        <f t="shared" si="25"/>
        <v>-6.1779264587321103</v>
      </c>
      <c r="BH31" s="722">
        <f t="shared" si="25"/>
        <v>-6.5411161508038447</v>
      </c>
      <c r="BI31" s="722">
        <f t="shared" si="25"/>
        <v>-6.8305284355848981</v>
      </c>
      <c r="BJ31" s="722">
        <f t="shared" si="25"/>
        <v>-7.0798121054552006</v>
      </c>
      <c r="BK31" s="722">
        <f t="shared" si="25"/>
        <v>-7.2889650808854958</v>
      </c>
      <c r="BL31" s="722">
        <f t="shared" si="25"/>
        <v>-7.4579854363857381</v>
      </c>
      <c r="BM31" s="722">
        <f t="shared" si="25"/>
        <v>-7.5868713865015174</v>
      </c>
      <c r="BN31" s="722">
        <f t="shared" si="25"/>
        <v>-7.6756212733108846</v>
      </c>
      <c r="BO31" s="722">
        <f t="shared" si="25"/>
        <v>-7.7242335552372889</v>
      </c>
      <c r="BP31" s="722">
        <f t="shared" si="25"/>
        <v>-7.7327067970198033</v>
      </c>
      <c r="BQ31" s="722">
        <f t="shared" si="25"/>
        <v>-7.7010396607033291</v>
      </c>
      <c r="BR31" s="722">
        <f t="shared" si="25"/>
        <v>-7.6536721505490952</v>
      </c>
      <c r="BS31" s="722">
        <f t="shared" si="25"/>
        <v>-7.6403232001316361</v>
      </c>
      <c r="BT31" s="722">
        <f t="shared" si="25"/>
        <v>-7.6577512136121424</v>
      </c>
      <c r="BU31" s="722">
        <f t="shared" si="25"/>
        <v>-7.7059657602555518</v>
      </c>
      <c r="BV31" s="722">
        <f t="shared" si="26"/>
        <v>-7.7849760021240453</v>
      </c>
      <c r="BW31" s="722">
        <f t="shared" si="26"/>
        <v>-7.894790715508754</v>
      </c>
      <c r="BX31" s="722">
        <f t="shared" si="26"/>
        <v>-8.0354183110220223</v>
      </c>
      <c r="BY31" s="722">
        <f t="shared" si="26"/>
        <v>-8.2068668524468169</v>
      </c>
      <c r="BZ31" s="722">
        <f t="shared" si="26"/>
        <v>-8.4091440744321044</v>
      </c>
      <c r="CA31" s="722">
        <f t="shared" si="26"/>
        <v>-8.6422573991157794</v>
      </c>
      <c r="CB31" s="722">
        <f t="shared" si="26"/>
        <v>-8.9062139517502246</v>
      </c>
      <c r="CC31" s="722">
        <f t="shared" si="26"/>
        <v>-9.2010205753996104</v>
      </c>
      <c r="CD31" s="722">
        <f t="shared" si="26"/>
        <v>-9.5248479558837573</v>
      </c>
      <c r="CE31" s="722">
        <f t="shared" si="26"/>
        <v>-9.8402504113750453</v>
      </c>
      <c r="CF31" s="722">
        <f t="shared" si="26"/>
        <v>-10.150860745777761</v>
      </c>
      <c r="CG31" s="722">
        <f t="shared" si="26"/>
        <v>-10.456675674557378</v>
      </c>
      <c r="CH31" s="722">
        <f t="shared" si="26"/>
        <v>-10.757692095653502</v>
      </c>
      <c r="CI31" s="722">
        <f t="shared" si="26"/>
        <v>-11.053907076981655</v>
      </c>
      <c r="CJ31" s="722">
        <f t="shared" si="26"/>
        <v>-11.345317844948413</v>
      </c>
      <c r="CK31" s="722">
        <f t="shared" si="26"/>
        <v>-11.631921773885331</v>
      </c>
      <c r="CL31" s="722">
        <f t="shared" si="26"/>
        <v>-11.913716376317048</v>
      </c>
      <c r="CM31" s="722">
        <f t="shared" si="26"/>
        <v>-12.19069929398769</v>
      </c>
      <c r="CN31" s="722">
        <f t="shared" si="26"/>
        <v>-12.462868289577591</v>
      </c>
      <c r="CO31" s="722">
        <f t="shared" si="26"/>
        <v>-12.730221239049092</v>
      </c>
      <c r="CP31" s="722">
        <f t="shared" si="26"/>
        <v>-12.970114652102644</v>
      </c>
      <c r="CQ31" s="722">
        <f t="shared" si="26"/>
        <v>-13.194881966134854</v>
      </c>
      <c r="CR31" s="722">
        <f t="shared" si="26"/>
        <v>-13.417286858625552</v>
      </c>
      <c r="CS31" s="722">
        <f t="shared" si="26"/>
        <v>-13.63732666099445</v>
      </c>
      <c r="CT31" s="722">
        <f t="shared" si="26"/>
        <v>-13.854998790744494</v>
      </c>
      <c r="CU31" s="722">
        <f t="shared" si="26"/>
        <v>-14.070300748018539</v>
      </c>
      <c r="CV31" s="722">
        <f t="shared" si="26"/>
        <v>-14.283230112319981</v>
      </c>
      <c r="CW31" s="722">
        <f t="shared" si="26"/>
        <v>-14.493784539388324</v>
      </c>
      <c r="CX31" s="722">
        <f t="shared" si="26"/>
        <v>-14.701961758221231</v>
      </c>
      <c r="CY31" s="722">
        <f t="shared" si="26"/>
        <v>-14.907759568235019</v>
      </c>
      <c r="CZ31" s="722">
        <f t="shared" si="26"/>
        <v>-15.111175836556285</v>
      </c>
      <c r="DA31" s="722">
        <f t="shared" si="26"/>
        <v>-15.312208495437535</v>
      </c>
      <c r="DC31" s="849">
        <f t="shared" si="10"/>
        <v>-1.7938231258189128</v>
      </c>
      <c r="DD31" s="849">
        <f t="shared" si="4"/>
        <v>-13.324063924617136</v>
      </c>
      <c r="DE31" s="983">
        <f t="shared" si="5"/>
        <v>-49.051821294497749</v>
      </c>
      <c r="DF31" s="849">
        <f t="shared" si="11"/>
        <v>-85.586598886717113</v>
      </c>
      <c r="DG31" s="849">
        <f t="shared" si="6"/>
        <v>-97.738400206347791</v>
      </c>
      <c r="DH31" s="849">
        <f t="shared" si="7"/>
        <v>-134.05897877799427</v>
      </c>
      <c r="DI31" s="11">
        <f t="shared" si="12"/>
        <v>-169.9550299867789</v>
      </c>
    </row>
    <row r="32" spans="5:113" ht="13" customHeight="1" outlineLevel="1">
      <c r="F32" s="126" t="s">
        <v>806</v>
      </c>
      <c r="I32" s="609" t="s">
        <v>736</v>
      </c>
      <c r="J32" s="722">
        <f t="shared" si="25"/>
        <v>0</v>
      </c>
      <c r="K32" s="722">
        <f t="shared" si="25"/>
        <v>0</v>
      </c>
      <c r="L32" s="722">
        <f t="shared" si="25"/>
        <v>0</v>
      </c>
      <c r="M32" s="722">
        <f t="shared" si="25"/>
        <v>0</v>
      </c>
      <c r="N32" s="722">
        <f t="shared" si="25"/>
        <v>0</v>
      </c>
      <c r="O32" s="722">
        <f t="shared" si="25"/>
        <v>0</v>
      </c>
      <c r="P32" s="722">
        <f t="shared" si="25"/>
        <v>0</v>
      </c>
      <c r="Q32" s="722">
        <f t="shared" si="25"/>
        <v>0</v>
      </c>
      <c r="R32" s="722">
        <f t="shared" si="25"/>
        <v>0</v>
      </c>
      <c r="S32" s="722">
        <f t="shared" si="25"/>
        <v>0</v>
      </c>
      <c r="T32" s="722">
        <f t="shared" si="25"/>
        <v>0</v>
      </c>
      <c r="U32" s="722">
        <f t="shared" si="25"/>
        <v>0</v>
      </c>
      <c r="V32" s="722">
        <f t="shared" si="25"/>
        <v>-5.8310000000000002E-5</v>
      </c>
      <c r="W32" s="722">
        <f t="shared" si="25"/>
        <v>-2.499E-5</v>
      </c>
      <c r="X32" s="722">
        <f t="shared" si="25"/>
        <v>-4.6481400000000003E-3</v>
      </c>
      <c r="Y32" s="722">
        <f t="shared" si="25"/>
        <v>-5.7393699999999997E-3</v>
      </c>
      <c r="Z32" s="722">
        <f t="shared" si="25"/>
        <v>-3.6876909999999999E-2</v>
      </c>
      <c r="AA32" s="722">
        <f t="shared" si="25"/>
        <v>-6.4457539999999994E-2</v>
      </c>
      <c r="AB32" s="722">
        <f t="shared" si="25"/>
        <v>-0.10005162999999999</v>
      </c>
      <c r="AC32" s="722">
        <f t="shared" si="25"/>
        <v>-0.10003497</v>
      </c>
      <c r="AD32" s="722">
        <f t="shared" si="25"/>
        <v>-0.10255059</v>
      </c>
      <c r="AE32" s="722">
        <f t="shared" si="25"/>
        <v>-0.13288849</v>
      </c>
      <c r="AF32" s="722">
        <f t="shared" si="25"/>
        <v>-0.14326766999999999</v>
      </c>
      <c r="AG32" s="722">
        <f t="shared" si="25"/>
        <v>-0.18959163300000001</v>
      </c>
      <c r="AH32" s="858">
        <f t="shared" si="25"/>
        <v>-0.20346108299999999</v>
      </c>
      <c r="AI32" s="858">
        <f t="shared" si="25"/>
        <v>-0.15729539000000001</v>
      </c>
      <c r="AJ32" s="858">
        <f t="shared" si="25"/>
        <v>-0.20107787000000002</v>
      </c>
      <c r="AK32" s="858">
        <f t="shared" si="25"/>
        <v>-0.27602621199999999</v>
      </c>
      <c r="AL32" s="858">
        <f t="shared" si="25"/>
        <v>-0.33535746999999999</v>
      </c>
      <c r="AM32" s="858">
        <f t="shared" si="25"/>
        <v>-0.52655179500000004</v>
      </c>
      <c r="AN32" s="858">
        <f t="shared" si="25"/>
        <v>-0.57501034400000006</v>
      </c>
      <c r="AO32" s="722">
        <f t="shared" si="25"/>
        <v>-5.9597784000000001E-2</v>
      </c>
      <c r="AP32" s="722">
        <f t="shared" si="25"/>
        <v>-6.4913613999999994E-2</v>
      </c>
      <c r="AQ32" s="722">
        <f t="shared" si="25"/>
        <v>-0.43053337999999997</v>
      </c>
      <c r="AR32" s="722">
        <f t="shared" si="25"/>
        <v>-0.41030209793084038</v>
      </c>
      <c r="AS32" s="722">
        <f t="shared" si="25"/>
        <v>-0.4486543506614124</v>
      </c>
      <c r="AT32" s="715">
        <f t="shared" si="25"/>
        <v>-0.42312259259259266</v>
      </c>
      <c r="AU32" s="715">
        <f t="shared" si="25"/>
        <v>-0.39425696296296292</v>
      </c>
      <c r="AV32" s="715">
        <f t="shared" si="25"/>
        <v>-0.44887233333333332</v>
      </c>
      <c r="AW32" s="715">
        <f t="shared" si="25"/>
        <v>-0.48561943287037035</v>
      </c>
      <c r="AX32" s="715">
        <f t="shared" si="25"/>
        <v>-0.52236653240740738</v>
      </c>
      <c r="AY32" s="715">
        <f t="shared" si="25"/>
        <v>-0.5591136319444443</v>
      </c>
      <c r="AZ32" s="715">
        <f t="shared" si="25"/>
        <v>-0.59586073148148133</v>
      </c>
      <c r="BA32" s="715">
        <f t="shared" si="25"/>
        <v>-0.63260783101851836</v>
      </c>
      <c r="BB32" s="715">
        <f t="shared" si="25"/>
        <v>-0.66935493055555551</v>
      </c>
      <c r="BC32" s="715">
        <f t="shared" si="25"/>
        <v>-0.70610203009259254</v>
      </c>
      <c r="BD32" s="715">
        <f t="shared" si="25"/>
        <v>-0.74284912962962957</v>
      </c>
      <c r="BE32" s="715">
        <f t="shared" si="25"/>
        <v>-0.80245166666666656</v>
      </c>
      <c r="BF32" s="722">
        <f t="shared" si="25"/>
        <v>-0.78935782246376807</v>
      </c>
      <c r="BG32" s="722">
        <f t="shared" si="25"/>
        <v>-0.77626397826086957</v>
      </c>
      <c r="BH32" s="722">
        <f t="shared" si="25"/>
        <v>-0.76317013405797096</v>
      </c>
      <c r="BI32" s="722">
        <f t="shared" si="25"/>
        <v>-0.75007628985507246</v>
      </c>
      <c r="BJ32" s="722">
        <f t="shared" si="25"/>
        <v>-0.73698244565217386</v>
      </c>
      <c r="BK32" s="722">
        <f t="shared" si="25"/>
        <v>-0.72388860144927514</v>
      </c>
      <c r="BL32" s="722">
        <f t="shared" si="25"/>
        <v>-0.71079475724637675</v>
      </c>
      <c r="BM32" s="722">
        <f t="shared" si="25"/>
        <v>-0.69770091304347803</v>
      </c>
      <c r="BN32" s="722">
        <f t="shared" si="25"/>
        <v>-0.68460706884057942</v>
      </c>
      <c r="BO32" s="722">
        <f t="shared" si="25"/>
        <v>-0.67151322463768082</v>
      </c>
      <c r="BP32" s="722">
        <f t="shared" si="25"/>
        <v>-0.65841938043478254</v>
      </c>
      <c r="BQ32" s="722">
        <f t="shared" si="25"/>
        <v>-0.65106466666666651</v>
      </c>
      <c r="BR32" s="722">
        <f t="shared" si="25"/>
        <v>-0.66634781111111108</v>
      </c>
      <c r="BS32" s="722">
        <f t="shared" si="25"/>
        <v>-0.68163095555555553</v>
      </c>
      <c r="BT32" s="722">
        <f t="shared" si="25"/>
        <v>-0.69691409999999987</v>
      </c>
      <c r="BU32" s="722">
        <f t="shared" si="25"/>
        <v>-0.71219724444444432</v>
      </c>
      <c r="BV32" s="722">
        <f t="shared" si="26"/>
        <v>-0.72748038888888877</v>
      </c>
      <c r="BW32" s="722">
        <f t="shared" si="26"/>
        <v>-0.74276353333333323</v>
      </c>
      <c r="BX32" s="722">
        <f t="shared" si="26"/>
        <v>-0.75804667777777768</v>
      </c>
      <c r="BY32" s="722">
        <f t="shared" si="26"/>
        <v>-0.77332982222222191</v>
      </c>
      <c r="BZ32" s="722">
        <f t="shared" si="26"/>
        <v>-0.78861296666666669</v>
      </c>
      <c r="CA32" s="722">
        <f t="shared" si="26"/>
        <v>-0.80389611111111103</v>
      </c>
      <c r="CB32" s="722">
        <f t="shared" si="26"/>
        <v>-0.81917925555555549</v>
      </c>
      <c r="CC32" s="722">
        <f t="shared" si="26"/>
        <v>-0.83446240000000005</v>
      </c>
      <c r="CD32" s="722">
        <f t="shared" si="26"/>
        <v>-0.84998166833333344</v>
      </c>
      <c r="CE32" s="722">
        <f t="shared" si="26"/>
        <v>-0.86550093666666672</v>
      </c>
      <c r="CF32" s="722">
        <f t="shared" si="26"/>
        <v>-0.88102020500000011</v>
      </c>
      <c r="CG32" s="722">
        <f t="shared" si="26"/>
        <v>-0.8965394733333335</v>
      </c>
      <c r="CH32" s="722">
        <f t="shared" si="26"/>
        <v>-0.91205874166666689</v>
      </c>
      <c r="CI32" s="722">
        <f t="shared" si="26"/>
        <v>-0.92757801000000017</v>
      </c>
      <c r="CJ32" s="722">
        <f t="shared" si="26"/>
        <v>-0.94309727833333346</v>
      </c>
      <c r="CK32" s="722">
        <f t="shared" si="26"/>
        <v>-0.95861654666666685</v>
      </c>
      <c r="CL32" s="722">
        <f t="shared" si="26"/>
        <v>-0.97413581500000013</v>
      </c>
      <c r="CM32" s="722">
        <f t="shared" si="26"/>
        <v>-0.98965508333333352</v>
      </c>
      <c r="CN32" s="722">
        <f t="shared" si="26"/>
        <v>-1.0051743516666669</v>
      </c>
      <c r="CO32" s="722">
        <f t="shared" si="26"/>
        <v>-1.0206936200000001</v>
      </c>
      <c r="CP32" s="722">
        <f t="shared" si="26"/>
        <v>-1.033766347</v>
      </c>
      <c r="CQ32" s="722">
        <f t="shared" si="26"/>
        <v>-1.046839074</v>
      </c>
      <c r="CR32" s="722">
        <f t="shared" si="26"/>
        <v>-1.0599118009999999</v>
      </c>
      <c r="CS32" s="722">
        <f t="shared" si="26"/>
        <v>-1.0729845279999999</v>
      </c>
      <c r="CT32" s="722">
        <f t="shared" si="26"/>
        <v>-1.0860572550000001</v>
      </c>
      <c r="CU32" s="722">
        <f t="shared" si="26"/>
        <v>-1.099129982</v>
      </c>
      <c r="CV32" s="722">
        <f t="shared" si="26"/>
        <v>-1.112202709</v>
      </c>
      <c r="CW32" s="722">
        <f t="shared" si="26"/>
        <v>-1.1252754359999997</v>
      </c>
      <c r="CX32" s="722">
        <f t="shared" si="26"/>
        <v>-1.1383481629999996</v>
      </c>
      <c r="CY32" s="722">
        <f t="shared" si="26"/>
        <v>-1.1514208899999998</v>
      </c>
      <c r="CZ32" s="722">
        <f t="shared" si="26"/>
        <v>-1.1644936169999998</v>
      </c>
      <c r="DA32" s="722">
        <f t="shared" si="26"/>
        <v>-1.1775663440000002</v>
      </c>
      <c r="DC32" s="849">
        <f t="shared" si="10"/>
        <v>-0.88019024299999993</v>
      </c>
      <c r="DD32" s="849">
        <f t="shared" si="4"/>
        <v>-3.6887813905922529</v>
      </c>
      <c r="DE32" s="983">
        <f t="shared" si="5"/>
        <v>-6.9825778055555547</v>
      </c>
      <c r="DF32" s="849">
        <f t="shared" si="11"/>
        <v>-8.6138392826086942</v>
      </c>
      <c r="DG32" s="849">
        <f t="shared" si="6"/>
        <v>-9.0048612666666656</v>
      </c>
      <c r="DH32" s="849">
        <f t="shared" si="7"/>
        <v>-11.224051730000001</v>
      </c>
      <c r="DI32" s="11">
        <f t="shared" si="12"/>
        <v>-13.267996145999998</v>
      </c>
    </row>
    <row r="33" spans="5:114" ht="13" customHeight="1" outlineLevel="1">
      <c r="F33" s="126" t="s">
        <v>807</v>
      </c>
      <c r="I33" s="609" t="s">
        <v>736</v>
      </c>
      <c r="J33" s="722">
        <f t="shared" si="25"/>
        <v>0</v>
      </c>
      <c r="K33" s="722">
        <f t="shared" si="25"/>
        <v>0</v>
      </c>
      <c r="L33" s="722">
        <f t="shared" si="25"/>
        <v>0</v>
      </c>
      <c r="M33" s="722">
        <f t="shared" si="25"/>
        <v>0</v>
      </c>
      <c r="N33" s="722">
        <f t="shared" si="25"/>
        <v>0</v>
      </c>
      <c r="O33" s="722">
        <f t="shared" si="25"/>
        <v>0</v>
      </c>
      <c r="P33" s="722">
        <f t="shared" si="25"/>
        <v>0</v>
      </c>
      <c r="Q33" s="722">
        <f t="shared" si="25"/>
        <v>0</v>
      </c>
      <c r="R33" s="722">
        <f t="shared" si="25"/>
        <v>0</v>
      </c>
      <c r="S33" s="722">
        <f t="shared" si="25"/>
        <v>0</v>
      </c>
      <c r="T33" s="722">
        <f t="shared" si="25"/>
        <v>0</v>
      </c>
      <c r="U33" s="722">
        <f t="shared" si="25"/>
        <v>0</v>
      </c>
      <c r="V33" s="722">
        <f t="shared" si="25"/>
        <v>0</v>
      </c>
      <c r="W33" s="722">
        <f t="shared" si="25"/>
        <v>0</v>
      </c>
      <c r="X33" s="722">
        <f t="shared" si="25"/>
        <v>0</v>
      </c>
      <c r="Y33" s="722">
        <f t="shared" si="25"/>
        <v>-1.432542E-2</v>
      </c>
      <c r="Z33" s="722">
        <f t="shared" si="25"/>
        <v>-2.41613E-2</v>
      </c>
      <c r="AA33" s="722">
        <f t="shared" si="25"/>
        <v>-1.4629945E-2</v>
      </c>
      <c r="AB33" s="722">
        <f t="shared" si="25"/>
        <v>-1.554087E-2</v>
      </c>
      <c r="AC33" s="722">
        <f t="shared" si="25"/>
        <v>-0.1024456</v>
      </c>
      <c r="AD33" s="722">
        <f t="shared" si="25"/>
        <v>-7.9193700000000002E-3</v>
      </c>
      <c r="AE33" s="722">
        <f t="shared" si="25"/>
        <v>-0.14605723000000001</v>
      </c>
      <c r="AF33" s="722">
        <f t="shared" si="25"/>
        <v>-9.4206159999999997E-2</v>
      </c>
      <c r="AG33" s="722">
        <f t="shared" si="25"/>
        <v>0</v>
      </c>
      <c r="AH33" s="858">
        <f t="shared" si="25"/>
        <v>-0.1375660625</v>
      </c>
      <c r="AI33" s="858">
        <f t="shared" si="25"/>
        <v>-4.0460287499999997E-2</v>
      </c>
      <c r="AJ33" s="858">
        <f t="shared" si="25"/>
        <v>-5.4098875000000001E-3</v>
      </c>
      <c r="AK33" s="858">
        <f t="shared" si="25"/>
        <v>-1.50315025E-2</v>
      </c>
      <c r="AL33" s="858">
        <f t="shared" si="25"/>
        <v>-4.0819775000000003E-2</v>
      </c>
      <c r="AM33" s="858">
        <f t="shared" si="25"/>
        <v>-4.6559774999999998E-2</v>
      </c>
      <c r="AN33" s="858">
        <f t="shared" si="25"/>
        <v>-4.0819775000000003E-2</v>
      </c>
      <c r="AO33" s="722">
        <f t="shared" si="25"/>
        <v>-1.0819775E-2</v>
      </c>
      <c r="AP33" s="722">
        <f t="shared" si="25"/>
        <v>-0.130438575</v>
      </c>
      <c r="AQ33" s="722">
        <f t="shared" si="25"/>
        <v>-2.163592</v>
      </c>
      <c r="AR33" s="722">
        <f t="shared" si="25"/>
        <v>-2.685513704541</v>
      </c>
      <c r="AS33" s="722">
        <f t="shared" si="25"/>
        <v>-3.0034285714285716</v>
      </c>
      <c r="AT33" s="715">
        <f t="shared" si="25"/>
        <v>-3.1408333333333336</v>
      </c>
      <c r="AU33" s="715">
        <f t="shared" si="25"/>
        <v>-2.1916666666666664</v>
      </c>
      <c r="AV33" s="715">
        <f t="shared" si="25"/>
        <v>-2.9524999999999997</v>
      </c>
      <c r="AW33" s="715">
        <f t="shared" si="25"/>
        <v>-3.0863333333333336</v>
      </c>
      <c r="AX33" s="715">
        <f t="shared" si="25"/>
        <v>-3.2201666666666662</v>
      </c>
      <c r="AY33" s="715">
        <f t="shared" si="25"/>
        <v>-3.3539999999999992</v>
      </c>
      <c r="AZ33" s="715">
        <f t="shared" si="25"/>
        <v>-3.3098333333333332</v>
      </c>
      <c r="BA33" s="715">
        <f t="shared" si="25"/>
        <v>-3.4366666666666665</v>
      </c>
      <c r="BB33" s="715">
        <f t="shared" si="25"/>
        <v>-3.563499999999999</v>
      </c>
      <c r="BC33" s="715">
        <f t="shared" si="25"/>
        <v>-3.6903333333333328</v>
      </c>
      <c r="BD33" s="715">
        <f t="shared" si="25"/>
        <v>-3.8171666666666662</v>
      </c>
      <c r="BE33" s="715">
        <f t="shared" si="25"/>
        <v>-3.730999999999999</v>
      </c>
      <c r="BF33" s="722">
        <f t="shared" si="25"/>
        <v>-3.5721666666666652</v>
      </c>
      <c r="BG33" s="722">
        <f t="shared" si="25"/>
        <v>-3.4133333333333318</v>
      </c>
      <c r="BH33" s="722">
        <f t="shared" si="25"/>
        <v>-3.2544999999999984</v>
      </c>
      <c r="BI33" s="722">
        <f t="shared" si="25"/>
        <v>-3.0956666666666655</v>
      </c>
      <c r="BJ33" s="722">
        <f t="shared" si="25"/>
        <v>-2.9368333333333321</v>
      </c>
      <c r="BK33" s="722">
        <f t="shared" si="25"/>
        <v>-2.7779999999999987</v>
      </c>
      <c r="BL33" s="722">
        <f t="shared" si="25"/>
        <v>-2.6191666666666658</v>
      </c>
      <c r="BM33" s="722">
        <f t="shared" si="25"/>
        <v>-2.4603333333333324</v>
      </c>
      <c r="BN33" s="722">
        <f t="shared" si="25"/>
        <v>-2.301499999999999</v>
      </c>
      <c r="BO33" s="722">
        <f t="shared" si="25"/>
        <v>-2.1426666666666656</v>
      </c>
      <c r="BP33" s="722">
        <f t="shared" si="25"/>
        <v>-1.9838333333333327</v>
      </c>
      <c r="BQ33" s="722">
        <f t="shared" si="25"/>
        <v>-1.825</v>
      </c>
      <c r="BR33" s="722">
        <f t="shared" si="25"/>
        <v>-2.0787499999999999</v>
      </c>
      <c r="BS33" s="722">
        <f t="shared" si="25"/>
        <v>-2.3325</v>
      </c>
      <c r="BT33" s="722">
        <f t="shared" si="25"/>
        <v>-2.5862500000000002</v>
      </c>
      <c r="BU33" s="722">
        <f t="shared" ref="BU33:CG33" si="27">BU84+BU254+BU381+BU427+BU616+BU738</f>
        <v>-2.8400000000000003</v>
      </c>
      <c r="BV33" s="722">
        <f t="shared" si="27"/>
        <v>-3.0937500000000004</v>
      </c>
      <c r="BW33" s="722">
        <f t="shared" si="27"/>
        <v>-3.3475000000000001</v>
      </c>
      <c r="BX33" s="722">
        <f t="shared" si="27"/>
        <v>-3.6012499999999994</v>
      </c>
      <c r="BY33" s="722">
        <f t="shared" si="27"/>
        <v>-3.8550000000000004</v>
      </c>
      <c r="BZ33" s="722">
        <f t="shared" si="27"/>
        <v>-4.1087500000000006</v>
      </c>
      <c r="CA33" s="722">
        <f t="shared" si="27"/>
        <v>-4.3624999999999998</v>
      </c>
      <c r="CB33" s="722">
        <f t="shared" si="27"/>
        <v>-4.61625</v>
      </c>
      <c r="CC33" s="722">
        <f t="shared" si="27"/>
        <v>-4.87</v>
      </c>
      <c r="CD33" s="722">
        <f t="shared" si="27"/>
        <v>-4.9275000000000002</v>
      </c>
      <c r="CE33" s="722">
        <f t="shared" si="27"/>
        <v>-4.9849999999999994</v>
      </c>
      <c r="CF33" s="722">
        <f t="shared" si="27"/>
        <v>-5.0424999999999986</v>
      </c>
      <c r="CG33" s="722">
        <f t="shared" si="27"/>
        <v>-5.0999999999999996</v>
      </c>
      <c r="CH33" s="722">
        <f t="shared" si="26"/>
        <v>-5.1574999999999989</v>
      </c>
      <c r="CI33" s="722">
        <f t="shared" si="26"/>
        <v>-5.214999999999999</v>
      </c>
      <c r="CJ33" s="722">
        <f t="shared" si="26"/>
        <v>-5.2724999999999991</v>
      </c>
      <c r="CK33" s="722">
        <f t="shared" si="26"/>
        <v>-5.3299999999999983</v>
      </c>
      <c r="CL33" s="722">
        <f t="shared" si="26"/>
        <v>-5.3874999999999984</v>
      </c>
      <c r="CM33" s="722">
        <f t="shared" si="26"/>
        <v>-5.4449999999999976</v>
      </c>
      <c r="CN33" s="722">
        <f t="shared" si="26"/>
        <v>-5.5024999999999977</v>
      </c>
      <c r="CO33" s="722">
        <f t="shared" si="26"/>
        <v>-5.5600000000000005</v>
      </c>
      <c r="CP33" s="722">
        <f t="shared" si="26"/>
        <v>-5.5884999999999998</v>
      </c>
      <c r="CQ33" s="722">
        <f t="shared" si="26"/>
        <v>-5.6169999999999991</v>
      </c>
      <c r="CR33" s="722">
        <f t="shared" si="26"/>
        <v>-5.6454999999999984</v>
      </c>
      <c r="CS33" s="722">
        <f t="shared" si="26"/>
        <v>-5.6739999999999986</v>
      </c>
      <c r="CT33" s="722">
        <f t="shared" si="26"/>
        <v>-5.7024999999999988</v>
      </c>
      <c r="CU33" s="722">
        <f t="shared" si="26"/>
        <v>-5.7309999999999981</v>
      </c>
      <c r="CV33" s="722">
        <f t="shared" si="26"/>
        <v>-5.7594999999999965</v>
      </c>
      <c r="CW33" s="722">
        <f t="shared" si="26"/>
        <v>-5.7879999999999967</v>
      </c>
      <c r="CX33" s="722">
        <f t="shared" si="26"/>
        <v>-5.816499999999996</v>
      </c>
      <c r="CY33" s="722">
        <f t="shared" si="26"/>
        <v>-5.8449999999999953</v>
      </c>
      <c r="CZ33" s="722">
        <f t="shared" si="26"/>
        <v>-5.8734999999999946</v>
      </c>
      <c r="DA33" s="722">
        <f t="shared" si="26"/>
        <v>-5.9019999999999992</v>
      </c>
      <c r="DC33" s="849">
        <f t="shared" si="10"/>
        <v>-0.41928589500000002</v>
      </c>
      <c r="DD33" s="849">
        <f t="shared" si="4"/>
        <v>-8.3204596909695709</v>
      </c>
      <c r="DE33" s="983">
        <f t="shared" si="5"/>
        <v>-39.494</v>
      </c>
      <c r="DF33" s="849">
        <f t="shared" si="11"/>
        <v>-32.382999999999988</v>
      </c>
      <c r="DG33" s="849">
        <f t="shared" si="6"/>
        <v>-41.692500000000003</v>
      </c>
      <c r="DH33" s="849">
        <f t="shared" si="7"/>
        <v>-62.92499999999999</v>
      </c>
      <c r="DI33" s="11">
        <f t="shared" si="12"/>
        <v>-68.942999999999984</v>
      </c>
    </row>
    <row r="34" spans="5:114" ht="13" customHeight="1" outlineLevel="1">
      <c r="F34" s="718" t="s">
        <v>703</v>
      </c>
      <c r="I34" s="609" t="s">
        <v>736</v>
      </c>
      <c r="J34" s="721">
        <v>-3.68676E-2</v>
      </c>
      <c r="K34" s="721">
        <v>-3.68676E-2</v>
      </c>
      <c r="L34" s="721">
        <v>-3.68676E-2</v>
      </c>
      <c r="M34" s="721">
        <v>-3.68676E-2</v>
      </c>
      <c r="N34" s="721">
        <v>-3.68676E-2</v>
      </c>
      <c r="O34" s="721">
        <v>-3.68676E-2</v>
      </c>
      <c r="P34" s="721">
        <v>-3.68676E-2</v>
      </c>
      <c r="Q34" s="721">
        <v>-3.68676E-2</v>
      </c>
      <c r="R34" s="721">
        <v>-3.68676E-2</v>
      </c>
      <c r="S34" s="721">
        <v>-3.68676E-2</v>
      </c>
      <c r="T34" s="721">
        <v>-3.68676E-2</v>
      </c>
      <c r="U34" s="721">
        <v>-3.68676E-2</v>
      </c>
      <c r="V34" s="721">
        <v>-3.68676E-2</v>
      </c>
      <c r="W34" s="721">
        <v>-3.68676E-2</v>
      </c>
      <c r="X34" s="721">
        <v>-3.68676E-2</v>
      </c>
      <c r="Y34" s="721">
        <v>-3.68676E-2</v>
      </c>
      <c r="Z34" s="721">
        <v>-3.68676E-2</v>
      </c>
      <c r="AA34" s="721">
        <v>-3.68676E-2</v>
      </c>
      <c r="AB34" s="721">
        <v>-3.68676E-2</v>
      </c>
      <c r="AC34" s="721">
        <v>-3.68676E-2</v>
      </c>
      <c r="AD34" s="721">
        <v>-3.68676E-2</v>
      </c>
      <c r="AE34" s="721">
        <v>-3.68676E-2</v>
      </c>
      <c r="AF34" s="721">
        <v>-3.68676E-2</v>
      </c>
      <c r="AG34" s="721">
        <v>-3.68676E-2</v>
      </c>
      <c r="AH34" s="858">
        <f t="shared" ref="AH34:CO35" si="28">AH85+AH255+AH382+AH428+AH617+AH739</f>
        <v>-3.68676E-2</v>
      </c>
      <c r="AI34" s="858">
        <f t="shared" si="28"/>
        <v>-2.5535250999999998E-2</v>
      </c>
      <c r="AJ34" s="858">
        <f t="shared" si="28"/>
        <v>-2.5116006999999999E-2</v>
      </c>
      <c r="AK34" s="858">
        <f t="shared" si="28"/>
        <v>-3.2365140599024511E-2</v>
      </c>
      <c r="AL34" s="858">
        <f t="shared" si="28"/>
        <v>-3.1073518146315562E-2</v>
      </c>
      <c r="AM34" s="858">
        <f t="shared" si="28"/>
        <v>-5.1838942177209836E-2</v>
      </c>
      <c r="AN34" s="858">
        <f t="shared" si="28"/>
        <v>0</v>
      </c>
      <c r="AO34" s="722">
        <f t="shared" si="28"/>
        <v>0</v>
      </c>
      <c r="AP34" s="722">
        <f t="shared" si="28"/>
        <v>0</v>
      </c>
      <c r="AQ34" s="722">
        <f t="shared" si="28"/>
        <v>0</v>
      </c>
      <c r="AR34" s="722">
        <f t="shared" si="28"/>
        <v>0</v>
      </c>
      <c r="AS34" s="722">
        <f t="shared" si="28"/>
        <v>0</v>
      </c>
      <c r="AT34" s="715">
        <f t="shared" si="28"/>
        <v>0</v>
      </c>
      <c r="AU34" s="715">
        <f t="shared" si="28"/>
        <v>0</v>
      </c>
      <c r="AV34" s="715">
        <f t="shared" si="28"/>
        <v>0</v>
      </c>
      <c r="AW34" s="715">
        <f t="shared" si="28"/>
        <v>0</v>
      </c>
      <c r="AX34" s="715">
        <f t="shared" si="28"/>
        <v>0</v>
      </c>
      <c r="AY34" s="715">
        <f t="shared" si="28"/>
        <v>0</v>
      </c>
      <c r="AZ34" s="715">
        <f t="shared" si="28"/>
        <v>0</v>
      </c>
      <c r="BA34" s="715">
        <f t="shared" si="28"/>
        <v>0</v>
      </c>
      <c r="BB34" s="715">
        <f t="shared" si="28"/>
        <v>0</v>
      </c>
      <c r="BC34" s="715">
        <f t="shared" si="28"/>
        <v>0</v>
      </c>
      <c r="BD34" s="715">
        <f t="shared" si="28"/>
        <v>0</v>
      </c>
      <c r="BE34" s="715">
        <f t="shared" si="28"/>
        <v>0</v>
      </c>
      <c r="BF34" s="722">
        <f t="shared" si="28"/>
        <v>0</v>
      </c>
      <c r="BG34" s="722">
        <f t="shared" si="28"/>
        <v>0</v>
      </c>
      <c r="BH34" s="722">
        <f t="shared" si="28"/>
        <v>0</v>
      </c>
      <c r="BI34" s="722">
        <f t="shared" si="28"/>
        <v>0</v>
      </c>
      <c r="BJ34" s="722">
        <f t="shared" si="28"/>
        <v>0</v>
      </c>
      <c r="BK34" s="722">
        <f t="shared" si="28"/>
        <v>0</v>
      </c>
      <c r="BL34" s="722">
        <f t="shared" si="28"/>
        <v>0</v>
      </c>
      <c r="BM34" s="722">
        <f t="shared" si="28"/>
        <v>0</v>
      </c>
      <c r="BN34" s="722">
        <f t="shared" si="28"/>
        <v>0</v>
      </c>
      <c r="BO34" s="722">
        <f t="shared" si="28"/>
        <v>0</v>
      </c>
      <c r="BP34" s="722">
        <f t="shared" si="28"/>
        <v>0</v>
      </c>
      <c r="BQ34" s="722">
        <f t="shared" si="28"/>
        <v>0</v>
      </c>
      <c r="BR34" s="722">
        <f t="shared" si="28"/>
        <v>0</v>
      </c>
      <c r="BS34" s="722">
        <f t="shared" si="28"/>
        <v>0</v>
      </c>
      <c r="BT34" s="722">
        <f t="shared" si="28"/>
        <v>0</v>
      </c>
      <c r="BU34" s="722">
        <f t="shared" si="28"/>
        <v>0</v>
      </c>
      <c r="BV34" s="722">
        <f t="shared" si="28"/>
        <v>0</v>
      </c>
      <c r="BW34" s="722">
        <f t="shared" si="28"/>
        <v>0</v>
      </c>
      <c r="BX34" s="722">
        <f t="shared" si="28"/>
        <v>0</v>
      </c>
      <c r="BY34" s="722">
        <f t="shared" si="28"/>
        <v>0</v>
      </c>
      <c r="BZ34" s="722">
        <f t="shared" si="28"/>
        <v>0</v>
      </c>
      <c r="CA34" s="722">
        <f t="shared" si="28"/>
        <v>0</v>
      </c>
      <c r="CB34" s="722">
        <f t="shared" si="28"/>
        <v>0</v>
      </c>
      <c r="CC34" s="722">
        <f t="shared" si="28"/>
        <v>0</v>
      </c>
      <c r="CD34" s="722">
        <f t="shared" si="28"/>
        <v>0</v>
      </c>
      <c r="CE34" s="722">
        <f t="shared" si="28"/>
        <v>0</v>
      </c>
      <c r="CF34" s="722">
        <f t="shared" si="28"/>
        <v>0</v>
      </c>
      <c r="CG34" s="722">
        <f t="shared" si="28"/>
        <v>0</v>
      </c>
      <c r="CH34" s="722">
        <f t="shared" si="28"/>
        <v>0</v>
      </c>
      <c r="CI34" s="722">
        <f t="shared" si="28"/>
        <v>0</v>
      </c>
      <c r="CJ34" s="722">
        <f t="shared" si="28"/>
        <v>0</v>
      </c>
      <c r="CK34" s="722">
        <f t="shared" si="28"/>
        <v>0</v>
      </c>
      <c r="CL34" s="722">
        <f t="shared" si="28"/>
        <v>0</v>
      </c>
      <c r="CM34" s="722">
        <f t="shared" si="28"/>
        <v>0</v>
      </c>
      <c r="CN34" s="722">
        <f t="shared" si="28"/>
        <v>0</v>
      </c>
      <c r="CO34" s="722">
        <f t="shared" si="28"/>
        <v>0</v>
      </c>
      <c r="CP34" s="722">
        <f t="shared" si="26"/>
        <v>0</v>
      </c>
      <c r="CQ34" s="722">
        <f t="shared" si="26"/>
        <v>0</v>
      </c>
      <c r="CR34" s="722">
        <f t="shared" si="26"/>
        <v>0</v>
      </c>
      <c r="CS34" s="722">
        <f t="shared" si="26"/>
        <v>0</v>
      </c>
      <c r="CT34" s="722">
        <f t="shared" si="26"/>
        <v>0</v>
      </c>
      <c r="CU34" s="722">
        <f t="shared" si="26"/>
        <v>0</v>
      </c>
      <c r="CV34" s="722">
        <f t="shared" si="26"/>
        <v>0</v>
      </c>
      <c r="CW34" s="722">
        <f t="shared" si="26"/>
        <v>0</v>
      </c>
      <c r="CX34" s="722">
        <f t="shared" si="26"/>
        <v>0</v>
      </c>
      <c r="CY34" s="722">
        <f t="shared" si="26"/>
        <v>0</v>
      </c>
      <c r="CZ34" s="722">
        <f t="shared" si="26"/>
        <v>0</v>
      </c>
      <c r="DA34" s="722">
        <f t="shared" si="26"/>
        <v>0</v>
      </c>
      <c r="DC34" s="849">
        <f t="shared" si="10"/>
        <v>-0.4424112</v>
      </c>
      <c r="DD34" s="849">
        <f t="shared" si="4"/>
        <v>-0.20279645892254988</v>
      </c>
      <c r="DE34" s="983">
        <f t="shared" si="5"/>
        <v>0</v>
      </c>
      <c r="DF34" s="849">
        <f t="shared" si="11"/>
        <v>0</v>
      </c>
      <c r="DG34" s="849">
        <f t="shared" si="6"/>
        <v>0</v>
      </c>
      <c r="DH34" s="849">
        <f t="shared" si="7"/>
        <v>0</v>
      </c>
      <c r="DI34" s="11">
        <f t="shared" si="12"/>
        <v>0</v>
      </c>
    </row>
    <row r="35" spans="5:114" ht="13" customHeight="1" outlineLevel="1">
      <c r="F35" s="718" t="s">
        <v>163</v>
      </c>
      <c r="I35" s="609" t="s">
        <v>736</v>
      </c>
      <c r="J35" s="721">
        <v>-0.117213080143149</v>
      </c>
      <c r="K35" s="721">
        <v>-0.117213080143149</v>
      </c>
      <c r="L35" s="721">
        <v>-0.117213080143149</v>
      </c>
      <c r="M35" s="721">
        <v>-0.117213080143149</v>
      </c>
      <c r="N35" s="721">
        <v>-0.117213080143149</v>
      </c>
      <c r="O35" s="721">
        <v>-0.117213080143149</v>
      </c>
      <c r="P35" s="721">
        <v>-0.117213080143149</v>
      </c>
      <c r="Q35" s="721">
        <v>-0.117213080143149</v>
      </c>
      <c r="R35" s="721">
        <v>-0.117213080143149</v>
      </c>
      <c r="S35" s="721">
        <v>-0.117213080143149</v>
      </c>
      <c r="T35" s="721">
        <v>-0.117213080143149</v>
      </c>
      <c r="U35" s="721">
        <v>-0.117213080143149</v>
      </c>
      <c r="V35" s="721">
        <v>-0.117213080143149</v>
      </c>
      <c r="W35" s="721">
        <v>-0.117213080143149</v>
      </c>
      <c r="X35" s="721">
        <v>-0.117213080143149</v>
      </c>
      <c r="Y35" s="721">
        <v>-0.117213080143149</v>
      </c>
      <c r="Z35" s="721">
        <v>-0.117213080143149</v>
      </c>
      <c r="AA35" s="721">
        <v>-0.117213080143149</v>
      </c>
      <c r="AB35" s="721">
        <v>-0.117213080143149</v>
      </c>
      <c r="AC35" s="721">
        <v>-0.117213080143149</v>
      </c>
      <c r="AD35" s="721">
        <v>-0.117213080143149</v>
      </c>
      <c r="AE35" s="721">
        <v>-0.117213080143149</v>
      </c>
      <c r="AF35" s="721">
        <v>-0.117213080143149</v>
      </c>
      <c r="AG35" s="721">
        <v>-0.117213080143149</v>
      </c>
      <c r="AH35" s="858">
        <f t="shared" si="28"/>
        <v>-0.1133819764138394</v>
      </c>
      <c r="AI35" s="858">
        <f t="shared" si="28"/>
        <v>-7.1869766154089437E-2</v>
      </c>
      <c r="AJ35" s="858">
        <f t="shared" si="28"/>
        <v>-0.12806996853242686</v>
      </c>
      <c r="AK35" s="858">
        <f t="shared" si="28"/>
        <v>-0.11251916381962815</v>
      </c>
      <c r="AL35" s="858">
        <f t="shared" si="28"/>
        <v>-0.12691548333084976</v>
      </c>
      <c r="AM35" s="858">
        <f t="shared" si="28"/>
        <v>-0.15788469375870162</v>
      </c>
      <c r="AN35" s="858">
        <f t="shared" si="28"/>
        <v>-0.19108613048454864</v>
      </c>
      <c r="AO35" s="722">
        <f t="shared" si="28"/>
        <v>-0.18882181233774692</v>
      </c>
      <c r="AP35" s="722">
        <f t="shared" si="28"/>
        <v>-0.11546581550954807</v>
      </c>
      <c r="AQ35" s="722">
        <f t="shared" si="28"/>
        <v>-0.11963644</v>
      </c>
      <c r="AR35" s="722">
        <f t="shared" si="28"/>
        <v>-0.16761696000000001</v>
      </c>
      <c r="AS35" s="722">
        <f t="shared" si="28"/>
        <v>-0.20907259606746242</v>
      </c>
      <c r="AT35" s="715">
        <f t="shared" si="28"/>
        <v>-0.24545949144437884</v>
      </c>
      <c r="AU35" s="715">
        <f t="shared" si="28"/>
        <v>-0.26438529879922479</v>
      </c>
      <c r="AV35" s="715">
        <f t="shared" si="28"/>
        <v>-0.29668633781645914</v>
      </c>
      <c r="AW35" s="715">
        <f t="shared" si="28"/>
        <v>-0.33594803048041272</v>
      </c>
      <c r="AX35" s="715">
        <f t="shared" si="28"/>
        <v>-0.37539814031806212</v>
      </c>
      <c r="AY35" s="715">
        <f t="shared" si="28"/>
        <v>-0.41607823580600611</v>
      </c>
      <c r="AZ35" s="715">
        <f t="shared" si="28"/>
        <v>-0.45450072611923137</v>
      </c>
      <c r="BA35" s="715">
        <f t="shared" si="28"/>
        <v>-0.4922884225715311</v>
      </c>
      <c r="BB35" s="715">
        <f t="shared" si="28"/>
        <v>-0.53217515992882858</v>
      </c>
      <c r="BC35" s="715">
        <f t="shared" si="28"/>
        <v>-0.57178699760829776</v>
      </c>
      <c r="BD35" s="715">
        <f t="shared" si="28"/>
        <v>-0.61233048077470265</v>
      </c>
      <c r="BE35" s="715">
        <f t="shared" si="28"/>
        <v>-0.67852770373510385</v>
      </c>
      <c r="BF35" s="722">
        <f t="shared" si="28"/>
        <v>-0.70290084324621882</v>
      </c>
      <c r="BG35" s="722">
        <f t="shared" si="28"/>
        <v>-0.72840062664935734</v>
      </c>
      <c r="BH35" s="722">
        <f t="shared" si="28"/>
        <v>-0.75572909915115272</v>
      </c>
      <c r="BI35" s="722">
        <f t="shared" si="28"/>
        <v>-0.77946115840905861</v>
      </c>
      <c r="BJ35" s="722">
        <f t="shared" si="28"/>
        <v>-0.80101785578636475</v>
      </c>
      <c r="BK35" s="722">
        <f t="shared" si="28"/>
        <v>-0.8203991039428431</v>
      </c>
      <c r="BL35" s="722">
        <f t="shared" si="28"/>
        <v>-0.83760482200791109</v>
      </c>
      <c r="BM35" s="722">
        <f t="shared" si="28"/>
        <v>-0.85263493499248399</v>
      </c>
      <c r="BN35" s="722">
        <f t="shared" si="28"/>
        <v>-0.86548937326383979</v>
      </c>
      <c r="BO35" s="722">
        <f t="shared" si="28"/>
        <v>-0.87616807207576308</v>
      </c>
      <c r="BP35" s="722">
        <f t="shared" si="28"/>
        <v>-0.88467097114729543</v>
      </c>
      <c r="BQ35" s="722">
        <f t="shared" si="28"/>
        <v>-0.89401105776258316</v>
      </c>
      <c r="BR35" s="722">
        <f t="shared" si="28"/>
        <v>-0.90085744233610543</v>
      </c>
      <c r="BS35" s="722">
        <f t="shared" si="28"/>
        <v>-0.9094793980852387</v>
      </c>
      <c r="BT35" s="722">
        <f t="shared" si="28"/>
        <v>-0.91974077798475329</v>
      </c>
      <c r="BU35" s="722">
        <f t="shared" si="28"/>
        <v>-0.93164198394377673</v>
      </c>
      <c r="BV35" s="722">
        <f t="shared" si="28"/>
        <v>-0.94518340076891993</v>
      </c>
      <c r="BW35" s="722">
        <f t="shared" si="28"/>
        <v>-0.96036539706441115</v>
      </c>
      <c r="BX35" s="722">
        <f t="shared" si="28"/>
        <v>-0.97718832607596839</v>
      </c>
      <c r="BY35" s="722">
        <f t="shared" si="28"/>
        <v>-0.99565252648247637</v>
      </c>
      <c r="BZ35" s="722">
        <f t="shared" si="28"/>
        <v>-1.0157583231391918</v>
      </c>
      <c r="CA35" s="722">
        <f t="shared" si="28"/>
        <v>-1.0375060277759061</v>
      </c>
      <c r="CB35" s="722">
        <f t="shared" si="28"/>
        <v>-1.0608959396532194</v>
      </c>
      <c r="CC35" s="722">
        <f t="shared" si="28"/>
        <v>-1.0859283461798273</v>
      </c>
      <c r="CD35" s="722">
        <f t="shared" si="28"/>
        <v>-1.1159732301601613</v>
      </c>
      <c r="CE35" s="722">
        <f t="shared" si="28"/>
        <v>-1.1457179085951432</v>
      </c>
      <c r="CF35" s="722">
        <f t="shared" si="28"/>
        <v>-1.1753149592487526</v>
      </c>
      <c r="CG35" s="722">
        <f t="shared" si="28"/>
        <v>-1.2047642441705402</v>
      </c>
      <c r="CH35" s="722">
        <f t="shared" si="28"/>
        <v>-1.2340656330739688</v>
      </c>
      <c r="CI35" s="722">
        <f t="shared" si="28"/>
        <v>-1.2632190028114902</v>
      </c>
      <c r="CJ35" s="722">
        <f t="shared" si="28"/>
        <v>-1.292224236892181</v>
      </c>
      <c r="CK35" s="722">
        <f t="shared" si="28"/>
        <v>-1.3210812250379664</v>
      </c>
      <c r="CL35" s="722">
        <f t="shared" si="28"/>
        <v>-1.349789862774881</v>
      </c>
      <c r="CM35" s="722">
        <f t="shared" si="28"/>
        <v>-1.3783500510561786</v>
      </c>
      <c r="CN35" s="722">
        <f t="shared" si="28"/>
        <v>-1.4067616959144327</v>
      </c>
      <c r="CO35" s="722">
        <f t="shared" si="28"/>
        <v>-1.4350247081400618</v>
      </c>
      <c r="CP35" s="722">
        <f t="shared" si="26"/>
        <v>-1.4626390422883109</v>
      </c>
      <c r="CQ35" s="722">
        <f t="shared" si="26"/>
        <v>-1.4896224552776638</v>
      </c>
      <c r="CR35" s="722">
        <f t="shared" si="26"/>
        <v>-1.516511021562273</v>
      </c>
      <c r="CS35" s="722">
        <f t="shared" si="26"/>
        <v>-1.5433046290617667</v>
      </c>
      <c r="CT35" s="722">
        <f t="shared" si="26"/>
        <v>-1.5700031693112688</v>
      </c>
      <c r="CU35" s="722">
        <f t="shared" si="26"/>
        <v>-1.5966065373167784</v>
      </c>
      <c r="CV35" s="722">
        <f t="shared" si="26"/>
        <v>-1.6231146314174389</v>
      </c>
      <c r="CW35" s="722">
        <f t="shared" si="26"/>
        <v>-1.6495273531543095</v>
      </c>
      <c r="CX35" s="722">
        <f t="shared" si="26"/>
        <v>-1.6758446071452913</v>
      </c>
      <c r="CY35" s="722">
        <f t="shared" si="26"/>
        <v>-1.7020663009658707</v>
      </c>
      <c r="CZ35" s="722">
        <f t="shared" si="26"/>
        <v>-1.7281923450353638</v>
      </c>
      <c r="DA35" s="722">
        <f t="shared" si="26"/>
        <v>-1.7542226525083764</v>
      </c>
      <c r="DC35" s="849">
        <f t="shared" si="10"/>
        <v>-1.406556961717788</v>
      </c>
      <c r="DD35" s="849">
        <f>SUM(AH35:AS35)</f>
        <v>-1.7023408064088412</v>
      </c>
      <c r="DE35" s="983">
        <f t="shared" si="5"/>
        <v>-5.2755650254022388</v>
      </c>
      <c r="DF35" s="849">
        <f t="shared" si="11"/>
        <v>-9.7984879184348728</v>
      </c>
      <c r="DG35" s="849">
        <f t="shared" si="6"/>
        <v>-11.740197889489796</v>
      </c>
      <c r="DH35" s="849">
        <f t="shared" si="7"/>
        <v>-15.322286757875759</v>
      </c>
      <c r="DI35" s="11">
        <f t="shared" si="12"/>
        <v>-19.311654745044713</v>
      </c>
    </row>
    <row r="36" spans="5:114" ht="13" customHeight="1" outlineLevel="1">
      <c r="F36" s="718" t="s">
        <v>152</v>
      </c>
      <c r="I36" s="609" t="s">
        <v>736</v>
      </c>
      <c r="J36" s="721"/>
      <c r="K36" s="721"/>
      <c r="L36" s="721"/>
      <c r="M36" s="721"/>
      <c r="N36" s="721"/>
      <c r="O36" s="721"/>
      <c r="P36" s="721"/>
      <c r="Q36" s="721"/>
      <c r="R36" s="721"/>
      <c r="S36" s="721"/>
      <c r="T36" s="721"/>
      <c r="U36" s="721"/>
      <c r="V36" s="721"/>
      <c r="W36" s="721"/>
      <c r="X36" s="721"/>
      <c r="Y36" s="721"/>
      <c r="Z36" s="721"/>
      <c r="AA36" s="721"/>
      <c r="AB36" s="721"/>
      <c r="AC36" s="721"/>
      <c r="AD36" s="721"/>
      <c r="AE36" s="721"/>
      <c r="AF36" s="721"/>
      <c r="AG36" s="721"/>
      <c r="AH36" s="858"/>
      <c r="AI36" s="858"/>
      <c r="AJ36" s="858"/>
      <c r="AK36" s="858"/>
      <c r="AL36" s="858"/>
      <c r="AM36" s="858"/>
      <c r="AN36" s="858"/>
      <c r="AO36" s="722"/>
      <c r="AP36" s="722"/>
      <c r="AQ36" s="722"/>
      <c r="AR36" s="722"/>
      <c r="AS36" s="722"/>
      <c r="AT36" s="750">
        <v>-0.57000000000000006</v>
      </c>
      <c r="AU36" s="750">
        <v>-0.57000000000000006</v>
      </c>
      <c r="AV36" s="750">
        <v>-0.57000000000000006</v>
      </c>
      <c r="AW36" s="750">
        <v>-0.57000000000000006</v>
      </c>
      <c r="AX36" s="750">
        <v>-0.57000000000000006</v>
      </c>
      <c r="AY36" s="750">
        <v>-0.57000000000000006</v>
      </c>
      <c r="AZ36" s="750">
        <v>-0.17</v>
      </c>
      <c r="BA36" s="750">
        <v>-0.17</v>
      </c>
      <c r="BB36" s="750">
        <v>-0.17</v>
      </c>
      <c r="BC36" s="750">
        <v>-0.17</v>
      </c>
      <c r="BD36" s="750">
        <v>-0.17</v>
      </c>
      <c r="BE36" s="750">
        <v>-0.17</v>
      </c>
      <c r="BF36" s="772">
        <v>-0.17</v>
      </c>
      <c r="BG36" s="772">
        <v>-0.17</v>
      </c>
      <c r="BH36" s="772">
        <v>-0.17</v>
      </c>
      <c r="BI36" s="772">
        <v>-0.17</v>
      </c>
      <c r="BJ36" s="772">
        <v>-0.17</v>
      </c>
      <c r="BK36" s="772">
        <v>-0.17</v>
      </c>
      <c r="BL36" s="772">
        <v>-0.17</v>
      </c>
      <c r="BM36" s="772">
        <v>-0.17</v>
      </c>
      <c r="BN36" s="772">
        <v>-0.17</v>
      </c>
      <c r="BO36" s="772">
        <v>-0.17</v>
      </c>
      <c r="BP36" s="772">
        <v>-0.17</v>
      </c>
      <c r="BQ36" s="772">
        <v>-0.17</v>
      </c>
      <c r="BR36" s="772">
        <v>-0.17</v>
      </c>
      <c r="BS36" s="772">
        <v>-0.17</v>
      </c>
      <c r="BT36" s="772">
        <v>-0.17</v>
      </c>
      <c r="BU36" s="772">
        <v>-0.17</v>
      </c>
      <c r="BV36" s="772">
        <v>-0.17</v>
      </c>
      <c r="BW36" s="772">
        <v>-0.17</v>
      </c>
      <c r="BX36" s="772">
        <v>-0.17</v>
      </c>
      <c r="BY36" s="772">
        <v>-0.17</v>
      </c>
      <c r="BZ36" s="772">
        <v>-0.17</v>
      </c>
      <c r="CA36" s="772">
        <v>-0.17</v>
      </c>
      <c r="CB36" s="772">
        <v>-0.17</v>
      </c>
      <c r="CC36" s="772">
        <v>-0.17</v>
      </c>
      <c r="CD36" s="772">
        <v>-0.17</v>
      </c>
      <c r="CE36" s="772">
        <v>-0.17</v>
      </c>
      <c r="CF36" s="772">
        <v>-0.17</v>
      </c>
      <c r="CG36" s="772">
        <v>-0.17</v>
      </c>
      <c r="CH36" s="772">
        <v>-0.17</v>
      </c>
      <c r="CI36" s="772">
        <v>-0.17</v>
      </c>
      <c r="CJ36" s="772">
        <v>-0.17</v>
      </c>
      <c r="CK36" s="772">
        <v>-0.17</v>
      </c>
      <c r="CL36" s="772">
        <v>-0.17</v>
      </c>
      <c r="CM36" s="772">
        <v>-0.17</v>
      </c>
      <c r="CN36" s="772">
        <v>-0.17</v>
      </c>
      <c r="CO36" s="772">
        <v>-0.17</v>
      </c>
      <c r="CP36" s="772">
        <v>-0.17</v>
      </c>
      <c r="CQ36" s="772">
        <v>-0.17</v>
      </c>
      <c r="CR36" s="772">
        <v>-0.17</v>
      </c>
      <c r="CS36" s="772">
        <v>-0.17</v>
      </c>
      <c r="CT36" s="772">
        <v>-0.17</v>
      </c>
      <c r="CU36" s="772">
        <v>-0.17</v>
      </c>
      <c r="CV36" s="772">
        <v>-0.17</v>
      </c>
      <c r="CW36" s="772">
        <v>-0.17</v>
      </c>
      <c r="CX36" s="772">
        <v>-0.17</v>
      </c>
      <c r="CY36" s="772">
        <v>-0.17</v>
      </c>
      <c r="CZ36" s="772">
        <v>-0.17</v>
      </c>
      <c r="DA36" s="772">
        <v>-0.17</v>
      </c>
      <c r="DC36" s="849">
        <f t="shared" si="10"/>
        <v>0</v>
      </c>
      <c r="DD36" s="849">
        <f>SUM(AH36:AS36)</f>
        <v>0</v>
      </c>
      <c r="DE36" s="983">
        <f>SUM(AT36:BE36)</f>
        <v>-4.4400000000000004</v>
      </c>
      <c r="DF36" s="849">
        <f>SUM(BF36:BQ36)</f>
        <v>-2.0399999999999996</v>
      </c>
      <c r="DG36" s="849">
        <f>SUM(BR36:CC36)</f>
        <v>-2.0399999999999996</v>
      </c>
      <c r="DH36" s="849">
        <f>SUM(CD36:CO36)</f>
        <v>-2.0399999999999996</v>
      </c>
      <c r="DI36" s="11">
        <f t="shared" si="12"/>
        <v>-2.0399999999999996</v>
      </c>
    </row>
    <row r="37" spans="5:114" ht="13" customHeight="1" outlineLevel="1">
      <c r="F37" s="718" t="s">
        <v>144</v>
      </c>
      <c r="G37" s="718"/>
      <c r="H37" s="703"/>
      <c r="I37" s="609" t="s">
        <v>736</v>
      </c>
      <c r="J37" s="722"/>
      <c r="K37" s="722"/>
      <c r="L37" s="722"/>
      <c r="M37" s="722"/>
      <c r="N37" s="722"/>
      <c r="O37" s="722"/>
      <c r="P37" s="722"/>
      <c r="Q37" s="722"/>
      <c r="R37" s="722"/>
      <c r="S37" s="722"/>
      <c r="T37" s="722"/>
      <c r="U37" s="722"/>
      <c r="V37" s="722"/>
      <c r="W37" s="722"/>
      <c r="X37" s="722"/>
      <c r="Y37" s="722"/>
      <c r="Z37" s="722"/>
      <c r="AA37" s="722"/>
      <c r="AB37" s="722"/>
      <c r="AC37" s="722"/>
      <c r="AD37" s="722"/>
      <c r="AE37" s="722"/>
      <c r="AF37" s="722"/>
      <c r="AG37" s="722"/>
      <c r="AH37" s="722"/>
      <c r="AI37" s="722"/>
      <c r="AJ37" s="722"/>
      <c r="AK37" s="722"/>
      <c r="AL37" s="722"/>
      <c r="AM37" s="722"/>
      <c r="AN37" s="722"/>
      <c r="AO37" s="722"/>
      <c r="AP37" s="722"/>
      <c r="AQ37" s="722"/>
      <c r="AR37" s="722"/>
      <c r="AS37" s="722"/>
      <c r="AT37" s="750">
        <v>-3.3333333333333335</v>
      </c>
      <c r="AU37" s="750">
        <v>-3.3333333333333335</v>
      </c>
      <c r="AV37" s="750">
        <v>-3.3333333333333335</v>
      </c>
      <c r="AW37" s="750">
        <v>-3.3333333333333335</v>
      </c>
      <c r="AX37" s="750">
        <v>-3.3333333333333335</v>
      </c>
      <c r="AY37" s="750">
        <v>-3.3333333333333335</v>
      </c>
      <c r="AZ37" s="750">
        <v>-3.3333333333333335</v>
      </c>
      <c r="BA37" s="750">
        <v>-3.3333333333333335</v>
      </c>
      <c r="BB37" s="750">
        <v>-3.3333333333333335</v>
      </c>
      <c r="BC37" s="750">
        <v>-3.3333333333333335</v>
      </c>
      <c r="BD37" s="750">
        <v>-3.3333333333333335</v>
      </c>
      <c r="BE37" s="750">
        <v>-3.3333333333333335</v>
      </c>
      <c r="BF37" s="772">
        <v>-5</v>
      </c>
      <c r="BG37" s="772">
        <v>-5</v>
      </c>
      <c r="BH37" s="772">
        <v>-5</v>
      </c>
      <c r="BI37" s="772">
        <v>-5</v>
      </c>
      <c r="BJ37" s="772">
        <v>-5</v>
      </c>
      <c r="BK37" s="772">
        <v>-5</v>
      </c>
      <c r="BL37" s="772">
        <v>-5</v>
      </c>
      <c r="BM37" s="772">
        <v>-5</v>
      </c>
      <c r="BN37" s="772">
        <v>-5</v>
      </c>
      <c r="BO37" s="772">
        <v>-5</v>
      </c>
      <c r="BP37" s="772">
        <v>-5</v>
      </c>
      <c r="BQ37" s="772">
        <v>-5</v>
      </c>
      <c r="BR37" s="772">
        <v>-6.5</v>
      </c>
      <c r="BS37" s="772">
        <v>-6.5</v>
      </c>
      <c r="BT37" s="772">
        <v>-6.5</v>
      </c>
      <c r="BU37" s="772">
        <v>-6.5</v>
      </c>
      <c r="BV37" s="772">
        <v>-6.5</v>
      </c>
      <c r="BW37" s="772">
        <v>-6.5</v>
      </c>
      <c r="BX37" s="772">
        <v>-6.5</v>
      </c>
      <c r="BY37" s="772">
        <v>-6.5</v>
      </c>
      <c r="BZ37" s="772">
        <v>-6.5</v>
      </c>
      <c r="CA37" s="772">
        <v>-6.5</v>
      </c>
      <c r="CB37" s="772">
        <v>-6.5</v>
      </c>
      <c r="CC37" s="772">
        <v>-6.5</v>
      </c>
      <c r="CD37" s="772">
        <v>-7.8</v>
      </c>
      <c r="CE37" s="772">
        <v>-7.8</v>
      </c>
      <c r="CF37" s="772">
        <v>-7.8</v>
      </c>
      <c r="CG37" s="772">
        <v>-7.8</v>
      </c>
      <c r="CH37" s="772">
        <v>-7.8</v>
      </c>
      <c r="CI37" s="772">
        <v>-7.8</v>
      </c>
      <c r="CJ37" s="772">
        <v>-7.8</v>
      </c>
      <c r="CK37" s="772">
        <v>-7.8</v>
      </c>
      <c r="CL37" s="772">
        <v>-7.8</v>
      </c>
      <c r="CM37" s="772">
        <v>-7.8</v>
      </c>
      <c r="CN37" s="772">
        <v>-7.8</v>
      </c>
      <c r="CO37" s="772">
        <v>-7.8</v>
      </c>
      <c r="CP37" s="772">
        <v>-8.58</v>
      </c>
      <c r="CQ37" s="772">
        <v>-8.58</v>
      </c>
      <c r="CR37" s="772">
        <v>-8.58</v>
      </c>
      <c r="CS37" s="772">
        <v>-8.58</v>
      </c>
      <c r="CT37" s="772">
        <v>-8.58</v>
      </c>
      <c r="CU37" s="772">
        <v>-8.58</v>
      </c>
      <c r="CV37" s="772">
        <v>-8.58</v>
      </c>
      <c r="CW37" s="772">
        <v>-8.58</v>
      </c>
      <c r="CX37" s="772">
        <v>-8.58</v>
      </c>
      <c r="CY37" s="772">
        <v>-8.58</v>
      </c>
      <c r="CZ37" s="772">
        <v>-8.58</v>
      </c>
      <c r="DA37" s="772">
        <v>-8.58</v>
      </c>
      <c r="DC37" s="859">
        <f t="shared" ref="DC37:DC44" si="29">SUM(V37:AG37)</f>
        <v>0</v>
      </c>
      <c r="DD37" s="859">
        <f t="shared" ref="DD37:DD44" si="30">SUM(AH37:AS37)</f>
        <v>0</v>
      </c>
      <c r="DE37" s="984">
        <f t="shared" ref="DE37:DE44" si="31">SUM(AT37:BE37)</f>
        <v>-40</v>
      </c>
      <c r="DF37" s="859">
        <f t="shared" ref="DF37:DF44" si="32">SUM(BF37:BQ37)</f>
        <v>-60</v>
      </c>
      <c r="DG37" s="859">
        <f t="shared" ref="DG37:DG44" si="33">SUM(BR37:CC37)</f>
        <v>-78</v>
      </c>
      <c r="DH37" s="859">
        <f t="shared" ref="DH37:DH44" si="34">SUM(CD37:CO37)</f>
        <v>-93.59999999999998</v>
      </c>
      <c r="DI37" s="11">
        <f t="shared" si="12"/>
        <v>-102.96</v>
      </c>
    </row>
    <row r="38" spans="5:114" ht="13" customHeight="1" outlineLevel="1">
      <c r="F38" s="718" t="s">
        <v>808</v>
      </c>
      <c r="G38" s="718"/>
      <c r="H38" s="703"/>
      <c r="I38" s="609" t="s">
        <v>736</v>
      </c>
      <c r="J38" s="722">
        <f t="shared" ref="J38:BU38" si="35">J89+J259+J386+J432+J621+J742</f>
        <v>0</v>
      </c>
      <c r="K38" s="722">
        <f t="shared" si="35"/>
        <v>0</v>
      </c>
      <c r="L38" s="722">
        <f t="shared" si="35"/>
        <v>0</v>
      </c>
      <c r="M38" s="722">
        <f t="shared" si="35"/>
        <v>0</v>
      </c>
      <c r="N38" s="722">
        <f t="shared" si="35"/>
        <v>0</v>
      </c>
      <c r="O38" s="722">
        <f t="shared" si="35"/>
        <v>0</v>
      </c>
      <c r="P38" s="722">
        <f t="shared" si="35"/>
        <v>0</v>
      </c>
      <c r="Q38" s="722">
        <f t="shared" si="35"/>
        <v>0</v>
      </c>
      <c r="R38" s="722">
        <f t="shared" si="35"/>
        <v>0</v>
      </c>
      <c r="S38" s="722">
        <f t="shared" si="35"/>
        <v>0</v>
      </c>
      <c r="T38" s="722">
        <f t="shared" si="35"/>
        <v>0</v>
      </c>
      <c r="U38" s="722">
        <f t="shared" si="35"/>
        <v>0</v>
      </c>
      <c r="V38" s="722">
        <f t="shared" si="35"/>
        <v>0</v>
      </c>
      <c r="W38" s="722">
        <f t="shared" si="35"/>
        <v>0</v>
      </c>
      <c r="X38" s="722">
        <f t="shared" si="35"/>
        <v>0</v>
      </c>
      <c r="Y38" s="722">
        <f t="shared" si="35"/>
        <v>0</v>
      </c>
      <c r="Z38" s="722">
        <f t="shared" si="35"/>
        <v>-0.39216800000000002</v>
      </c>
      <c r="AA38" s="722">
        <f t="shared" si="35"/>
        <v>-0.92557579904545406</v>
      </c>
      <c r="AB38" s="722">
        <f t="shared" si="35"/>
        <v>-1.84199995863636</v>
      </c>
      <c r="AC38" s="722">
        <f t="shared" si="35"/>
        <v>-2.1031060240454531</v>
      </c>
      <c r="AD38" s="722">
        <f t="shared" si="35"/>
        <v>-2.2055752114545499</v>
      </c>
      <c r="AE38" s="722">
        <f t="shared" si="35"/>
        <v>-2.8521852355454591</v>
      </c>
      <c r="AF38" s="722">
        <f t="shared" si="35"/>
        <v>-2.7599207000909112</v>
      </c>
      <c r="AG38" s="722">
        <f t="shared" si="35"/>
        <v>-0.88939685999999996</v>
      </c>
      <c r="AH38" s="722">
        <f t="shared" si="35"/>
        <v>-2.704440774</v>
      </c>
      <c r="AI38" s="722">
        <f t="shared" si="35"/>
        <v>-2.2189928289999998</v>
      </c>
      <c r="AJ38" s="722">
        <f t="shared" si="35"/>
        <v>-6.7503214289999995</v>
      </c>
      <c r="AK38" s="722">
        <f t="shared" si="35"/>
        <v>-8.6308342699999994</v>
      </c>
      <c r="AL38" s="722">
        <f t="shared" si="35"/>
        <v>-10.067460540896848</v>
      </c>
      <c r="AM38" s="722">
        <f t="shared" si="35"/>
        <v>-8.9953184481585016</v>
      </c>
      <c r="AN38" s="722">
        <f t="shared" si="35"/>
        <v>-10.4790497917217</v>
      </c>
      <c r="AO38" s="722">
        <f t="shared" si="35"/>
        <v>-14.00594671940665</v>
      </c>
      <c r="AP38" s="722">
        <f t="shared" si="35"/>
        <v>-17.454582061895902</v>
      </c>
      <c r="AQ38" s="722">
        <f t="shared" si="35"/>
        <v>-20.862255500692157</v>
      </c>
      <c r="AR38" s="722">
        <f t="shared" si="35"/>
        <v>-20.792962048988109</v>
      </c>
      <c r="AS38" s="722">
        <f t="shared" si="35"/>
        <v>-23.674765407757661</v>
      </c>
      <c r="AT38" s="715">
        <f t="shared" si="35"/>
        <v>-23.584741326444583</v>
      </c>
      <c r="AU38" s="715">
        <f t="shared" si="35"/>
        <v>-21.509715622019275</v>
      </c>
      <c r="AV38" s="715">
        <f t="shared" si="35"/>
        <v>-22.343254794074454</v>
      </c>
      <c r="AW38" s="715">
        <f t="shared" si="35"/>
        <v>-22.385970076334402</v>
      </c>
      <c r="AX38" s="715">
        <f t="shared" si="35"/>
        <v>-23.335900654796593</v>
      </c>
      <c r="AY38" s="715">
        <f t="shared" si="35"/>
        <v>-24.46581725283929</v>
      </c>
      <c r="AZ38" s="715">
        <f t="shared" si="35"/>
        <v>-23.990459347792829</v>
      </c>
      <c r="BA38" s="715">
        <f t="shared" si="35"/>
        <v>-27.378225588963577</v>
      </c>
      <c r="BB38" s="715">
        <f t="shared" si="35"/>
        <v>-31.2200632587912</v>
      </c>
      <c r="BC38" s="715">
        <f t="shared" si="35"/>
        <v>-35.439669823117654</v>
      </c>
      <c r="BD38" s="715">
        <f t="shared" si="35"/>
        <v>-39.540168816150192</v>
      </c>
      <c r="BE38" s="715">
        <f t="shared" si="35"/>
        <v>-44.493273620015046</v>
      </c>
      <c r="BF38" s="722">
        <f t="shared" si="35"/>
        <v>-50.511566952553551</v>
      </c>
      <c r="BG38" s="722">
        <f t="shared" si="35"/>
        <v>-51.410873585182763</v>
      </c>
      <c r="BH38" s="722">
        <f t="shared" si="35"/>
        <v>-52.97903787239683</v>
      </c>
      <c r="BI38" s="722">
        <f t="shared" si="35"/>
        <v>-53.474815466686366</v>
      </c>
      <c r="BJ38" s="722">
        <f t="shared" si="35"/>
        <v>-52.873423498185524</v>
      </c>
      <c r="BK38" s="722">
        <f t="shared" si="35"/>
        <v>-52.578986457824122</v>
      </c>
      <c r="BL38" s="722">
        <f t="shared" si="35"/>
        <v>-50.818568530275684</v>
      </c>
      <c r="BM38" s="722">
        <f t="shared" si="35"/>
        <v>-49.085734867491645</v>
      </c>
      <c r="BN38" s="722">
        <f t="shared" si="35"/>
        <v>-47.505078836761903</v>
      </c>
      <c r="BO38" s="722">
        <f t="shared" si="35"/>
        <v>-45.957775774381439</v>
      </c>
      <c r="BP38" s="722">
        <f t="shared" si="35"/>
        <v>-44.553567868581318</v>
      </c>
      <c r="BQ38" s="722">
        <f t="shared" si="35"/>
        <v>-44.885884757039307</v>
      </c>
      <c r="BR38" s="722">
        <f t="shared" si="35"/>
        <v>-45.039353457734961</v>
      </c>
      <c r="BS38" s="722">
        <f t="shared" si="35"/>
        <v>-45.747557905563561</v>
      </c>
      <c r="BT38" s="722">
        <f t="shared" si="35"/>
        <v>-46.847682797635009</v>
      </c>
      <c r="BU38" s="722">
        <f t="shared" si="35"/>
        <v>-48.013238336521773</v>
      </c>
      <c r="BV38" s="722">
        <f t="shared" ref="BV38:DA38" si="36">BV89+BV259+BV386+BV432+BV621+BV742</f>
        <v>-49.351639554478332</v>
      </c>
      <c r="BW38" s="722">
        <f t="shared" si="36"/>
        <v>-50.892563067278722</v>
      </c>
      <c r="BX38" s="722">
        <f t="shared" si="36"/>
        <v>-52.624917917077894</v>
      </c>
      <c r="BY38" s="722">
        <f t="shared" si="36"/>
        <v>-54.32142226262917</v>
      </c>
      <c r="BZ38" s="722">
        <f t="shared" si="36"/>
        <v>-55.950081937818226</v>
      </c>
      <c r="CA38" s="722">
        <f t="shared" si="36"/>
        <v>-57.64843939328172</v>
      </c>
      <c r="CB38" s="722">
        <f t="shared" si="36"/>
        <v>-59.141764366825299</v>
      </c>
      <c r="CC38" s="722">
        <f t="shared" si="36"/>
        <v>-60.558705179276188</v>
      </c>
      <c r="CD38" s="722">
        <f t="shared" si="36"/>
        <v>-62.131470146268455</v>
      </c>
      <c r="CE38" s="722">
        <f t="shared" si="36"/>
        <v>-63.681631920327099</v>
      </c>
      <c r="CF38" s="722">
        <f t="shared" si="36"/>
        <v>-65.189496928290779</v>
      </c>
      <c r="CG38" s="722">
        <f t="shared" si="36"/>
        <v>-66.854789006454581</v>
      </c>
      <c r="CH38" s="722">
        <f t="shared" si="36"/>
        <v>-68.327211982182661</v>
      </c>
      <c r="CI38" s="722">
        <f t="shared" si="36"/>
        <v>-69.79380468974766</v>
      </c>
      <c r="CJ38" s="722">
        <f t="shared" si="36"/>
        <v>-71.263059837777377</v>
      </c>
      <c r="CK38" s="722">
        <f t="shared" si="36"/>
        <v>-72.70617073748312</v>
      </c>
      <c r="CL38" s="722">
        <f t="shared" si="36"/>
        <v>-74.132300944300681</v>
      </c>
      <c r="CM38" s="722">
        <f t="shared" si="36"/>
        <v>-75.550486865149125</v>
      </c>
      <c r="CN38" s="722">
        <f t="shared" si="36"/>
        <v>-76.957307065116652</v>
      </c>
      <c r="CO38" s="722">
        <f t="shared" si="36"/>
        <v>-78.353576996265161</v>
      </c>
      <c r="CP38" s="722">
        <f t="shared" si="36"/>
        <v>-79.91785323950127</v>
      </c>
      <c r="CQ38" s="722">
        <f t="shared" si="36"/>
        <v>-81.975023128337511</v>
      </c>
      <c r="CR38" s="722">
        <f t="shared" si="36"/>
        <v>-84.518317027667337</v>
      </c>
      <c r="CS38" s="722">
        <f t="shared" si="36"/>
        <v>-87.570354903171577</v>
      </c>
      <c r="CT38" s="722">
        <f t="shared" si="36"/>
        <v>-90.863296930973661</v>
      </c>
      <c r="CU38" s="722">
        <f t="shared" si="36"/>
        <v>-94.738737721394159</v>
      </c>
      <c r="CV38" s="722">
        <f t="shared" si="36"/>
        <v>-99.203773550869514</v>
      </c>
      <c r="CW38" s="722">
        <f t="shared" si="36"/>
        <v>-104.28618565014492</v>
      </c>
      <c r="CX38" s="722">
        <f t="shared" si="36"/>
        <v>-109.66494958215857</v>
      </c>
      <c r="CY38" s="722">
        <f t="shared" si="36"/>
        <v>-115.37253725811964</v>
      </c>
      <c r="CZ38" s="722">
        <f t="shared" si="36"/>
        <v>-121.43128760514441</v>
      </c>
      <c r="DA38" s="722">
        <f t="shared" si="36"/>
        <v>-127.86225502889731</v>
      </c>
      <c r="DC38" s="859">
        <f t="shared" si="29"/>
        <v>-13.969927788818186</v>
      </c>
      <c r="DD38" s="859">
        <f t="shared" si="30"/>
        <v>-146.63692982151753</v>
      </c>
      <c r="DE38" s="984">
        <f t="shared" si="31"/>
        <v>-339.68726018133907</v>
      </c>
      <c r="DF38" s="859">
        <f t="shared" si="32"/>
        <v>-596.63531446736044</v>
      </c>
      <c r="DG38" s="859">
        <f t="shared" si="33"/>
        <v>-626.13736617612085</v>
      </c>
      <c r="DH38" s="859">
        <f t="shared" si="34"/>
        <v>-844.94130711936339</v>
      </c>
      <c r="DI38" s="11">
        <f t="shared" si="12"/>
        <v>-1197.4045716263799</v>
      </c>
    </row>
    <row r="39" spans="5:114" ht="13" customHeight="1">
      <c r="E39" s="698" t="s">
        <v>739</v>
      </c>
      <c r="I39" s="609" t="s">
        <v>736</v>
      </c>
      <c r="J39" s="723">
        <f t="shared" ref="J39:BU39" si="37">SUM(J40:J43)</f>
        <v>-10.800754806339471</v>
      </c>
      <c r="K39" s="723">
        <f t="shared" si="37"/>
        <v>-10.800754806339471</v>
      </c>
      <c r="L39" s="723">
        <f t="shared" si="37"/>
        <v>-10.800754806339471</v>
      </c>
      <c r="M39" s="723">
        <f t="shared" si="37"/>
        <v>-10.800754806339471</v>
      </c>
      <c r="N39" s="723">
        <f t="shared" si="37"/>
        <v>-10.800754806339471</v>
      </c>
      <c r="O39" s="723">
        <f t="shared" si="37"/>
        <v>-10.800754806339471</v>
      </c>
      <c r="P39" s="723">
        <f t="shared" si="37"/>
        <v>-10.800754806339471</v>
      </c>
      <c r="Q39" s="723">
        <f t="shared" si="37"/>
        <v>-10.800754806339471</v>
      </c>
      <c r="R39" s="723">
        <f t="shared" si="37"/>
        <v>-10.800754806339471</v>
      </c>
      <c r="S39" s="723">
        <f t="shared" si="37"/>
        <v>-10.800754806339471</v>
      </c>
      <c r="T39" s="723">
        <f t="shared" si="37"/>
        <v>-10.800754806339471</v>
      </c>
      <c r="U39" s="723">
        <f t="shared" si="37"/>
        <v>-10.800754806339471</v>
      </c>
      <c r="V39" s="723">
        <f t="shared" si="37"/>
        <v>-10.800754806339471</v>
      </c>
      <c r="W39" s="723">
        <f t="shared" si="37"/>
        <v>-12.011387959585299</v>
      </c>
      <c r="X39" s="723">
        <f t="shared" si="37"/>
        <v>-10.776923479762921</v>
      </c>
      <c r="Y39" s="723">
        <f t="shared" si="37"/>
        <v>-11.07947546356378</v>
      </c>
      <c r="Z39" s="723">
        <f t="shared" si="37"/>
        <v>-12.832411024901102</v>
      </c>
      <c r="AA39" s="723">
        <f t="shared" si="37"/>
        <v>-12.084751160582559</v>
      </c>
      <c r="AB39" s="723">
        <f t="shared" si="37"/>
        <v>-13.123337025768389</v>
      </c>
      <c r="AC39" s="723">
        <f t="shared" si="37"/>
        <v>-12.707009475266659</v>
      </c>
      <c r="AD39" s="723">
        <f t="shared" si="37"/>
        <v>-12.42071017098222</v>
      </c>
      <c r="AE39" s="723">
        <f t="shared" si="37"/>
        <v>-13.589331586057781</v>
      </c>
      <c r="AF39" s="723">
        <f t="shared" si="37"/>
        <v>-14.86415070845908</v>
      </c>
      <c r="AG39" s="723">
        <f t="shared" si="37"/>
        <v>-27.029678379891131</v>
      </c>
      <c r="AH39" s="747">
        <f t="shared" si="37"/>
        <v>-11.463247262099303</v>
      </c>
      <c r="AI39" s="747">
        <f t="shared" si="37"/>
        <v>-9.9426388539859012</v>
      </c>
      <c r="AJ39" s="747">
        <f t="shared" si="37"/>
        <v>-12.903262610354156</v>
      </c>
      <c r="AK39" s="747">
        <f t="shared" si="37"/>
        <v>-12.763922523</v>
      </c>
      <c r="AL39" s="747">
        <f t="shared" si="37"/>
        <v>-12.431033847946297</v>
      </c>
      <c r="AM39" s="747">
        <f t="shared" si="37"/>
        <v>-13.398452274728889</v>
      </c>
      <c r="AN39" s="747">
        <f t="shared" si="37"/>
        <v>-13.23906548740889</v>
      </c>
      <c r="AO39" s="723">
        <f t="shared" si="37"/>
        <v>-13.960667361853329</v>
      </c>
      <c r="AP39" s="723">
        <f t="shared" si="37"/>
        <v>-20.277038419696662</v>
      </c>
      <c r="AQ39" s="723">
        <f t="shared" si="37"/>
        <v>-20.277038419696662</v>
      </c>
      <c r="AR39" s="723">
        <f t="shared" si="37"/>
        <v>-20.277038419696662</v>
      </c>
      <c r="AS39" s="723">
        <f t="shared" si="37"/>
        <v>-20.277038419696662</v>
      </c>
      <c r="AT39" s="696">
        <f t="shared" si="37"/>
        <v>-26.952242693702779</v>
      </c>
      <c r="AU39" s="696">
        <f t="shared" si="37"/>
        <v>-26.952242693702779</v>
      </c>
      <c r="AV39" s="696">
        <f t="shared" si="37"/>
        <v>-26.952242693702779</v>
      </c>
      <c r="AW39" s="696">
        <f t="shared" si="37"/>
        <v>-26.952242693702779</v>
      </c>
      <c r="AX39" s="696">
        <f t="shared" si="37"/>
        <v>-26.952242693702779</v>
      </c>
      <c r="AY39" s="696">
        <f t="shared" si="37"/>
        <v>-26.952242693702779</v>
      </c>
      <c r="AZ39" s="696">
        <f t="shared" si="37"/>
        <v>-26.952242693702779</v>
      </c>
      <c r="BA39" s="696">
        <f t="shared" si="37"/>
        <v>-26.952242693702779</v>
      </c>
      <c r="BB39" s="696">
        <f t="shared" si="37"/>
        <v>-26.952242693702779</v>
      </c>
      <c r="BC39" s="696">
        <f t="shared" si="37"/>
        <v>-26.952242693702779</v>
      </c>
      <c r="BD39" s="696">
        <f t="shared" si="37"/>
        <v>-26.952242693702779</v>
      </c>
      <c r="BE39" s="696">
        <f t="shared" si="37"/>
        <v>-26.952242693702779</v>
      </c>
      <c r="BF39" s="723">
        <f t="shared" si="37"/>
        <v>-31.006122994445477</v>
      </c>
      <c r="BG39" s="723">
        <f t="shared" si="37"/>
        <v>-31.006122994445477</v>
      </c>
      <c r="BH39" s="723">
        <f t="shared" si="37"/>
        <v>-31.006122994445477</v>
      </c>
      <c r="BI39" s="723">
        <f t="shared" si="37"/>
        <v>-31.006122994445477</v>
      </c>
      <c r="BJ39" s="723">
        <f t="shared" si="37"/>
        <v>-31.006122994445477</v>
      </c>
      <c r="BK39" s="723">
        <f t="shared" si="37"/>
        <v>-31.006122994445477</v>
      </c>
      <c r="BL39" s="723">
        <f t="shared" si="37"/>
        <v>-31.006122994445477</v>
      </c>
      <c r="BM39" s="723">
        <f t="shared" si="37"/>
        <v>-31.006122994445477</v>
      </c>
      <c r="BN39" s="723">
        <f t="shared" si="37"/>
        <v>-31.006122994445477</v>
      </c>
      <c r="BO39" s="723">
        <f t="shared" si="37"/>
        <v>-31.006122994445477</v>
      </c>
      <c r="BP39" s="723">
        <f t="shared" si="37"/>
        <v>-31.006122994445477</v>
      </c>
      <c r="BQ39" s="723">
        <f t="shared" si="37"/>
        <v>-31.006122994445477</v>
      </c>
      <c r="BR39" s="723">
        <f t="shared" si="37"/>
        <v>-35.739327503080993</v>
      </c>
      <c r="BS39" s="723">
        <f t="shared" si="37"/>
        <v>-35.739327503080993</v>
      </c>
      <c r="BT39" s="723">
        <f t="shared" si="37"/>
        <v>-35.739327503080993</v>
      </c>
      <c r="BU39" s="723">
        <f t="shared" si="37"/>
        <v>-35.739327503080993</v>
      </c>
      <c r="BV39" s="723">
        <f t="shared" ref="BV39:DA39" si="38">SUM(BV40:BV43)</f>
        <v>-35.739327503080993</v>
      </c>
      <c r="BW39" s="723">
        <f t="shared" si="38"/>
        <v>-35.739327503080993</v>
      </c>
      <c r="BX39" s="723">
        <f t="shared" si="38"/>
        <v>-35.739327503080993</v>
      </c>
      <c r="BY39" s="723">
        <f t="shared" si="38"/>
        <v>-35.739327503080993</v>
      </c>
      <c r="BZ39" s="723">
        <f t="shared" si="38"/>
        <v>-35.739327503080993</v>
      </c>
      <c r="CA39" s="723">
        <f t="shared" si="38"/>
        <v>-35.739327503080993</v>
      </c>
      <c r="CB39" s="723">
        <f t="shared" si="38"/>
        <v>-35.739327503080993</v>
      </c>
      <c r="CC39" s="723">
        <f t="shared" si="38"/>
        <v>-35.739327503080993</v>
      </c>
      <c r="CD39" s="723">
        <f t="shared" si="38"/>
        <v>-42.401671623205189</v>
      </c>
      <c r="CE39" s="723">
        <f t="shared" si="38"/>
        <v>-42.401671623205189</v>
      </c>
      <c r="CF39" s="723">
        <f t="shared" si="38"/>
        <v>-42.401671623205189</v>
      </c>
      <c r="CG39" s="723">
        <f t="shared" si="38"/>
        <v>-42.401671623205189</v>
      </c>
      <c r="CH39" s="723">
        <f t="shared" si="38"/>
        <v>-42.401671623205189</v>
      </c>
      <c r="CI39" s="723">
        <f t="shared" si="38"/>
        <v>-42.401671623205189</v>
      </c>
      <c r="CJ39" s="723">
        <f t="shared" si="38"/>
        <v>-42.401671623205189</v>
      </c>
      <c r="CK39" s="723">
        <f t="shared" si="38"/>
        <v>-42.401671623205189</v>
      </c>
      <c r="CL39" s="723">
        <f t="shared" si="38"/>
        <v>-42.401671623205189</v>
      </c>
      <c r="CM39" s="723">
        <f t="shared" si="38"/>
        <v>-42.401671623205189</v>
      </c>
      <c r="CN39" s="723">
        <f t="shared" si="38"/>
        <v>-42.401671623205189</v>
      </c>
      <c r="CO39" s="723">
        <f t="shared" si="38"/>
        <v>-42.401671623205189</v>
      </c>
      <c r="CP39" s="723">
        <f t="shared" si="38"/>
        <v>-49.212207682936608</v>
      </c>
      <c r="CQ39" s="723">
        <f t="shared" si="38"/>
        <v>-49.212207682936608</v>
      </c>
      <c r="CR39" s="723">
        <f t="shared" si="38"/>
        <v>-49.212207682936608</v>
      </c>
      <c r="CS39" s="723">
        <f t="shared" si="38"/>
        <v>-49.212207682936608</v>
      </c>
      <c r="CT39" s="723">
        <f t="shared" si="38"/>
        <v>-49.212207682936608</v>
      </c>
      <c r="CU39" s="723">
        <f t="shared" si="38"/>
        <v>-49.212207682936608</v>
      </c>
      <c r="CV39" s="723">
        <f t="shared" si="38"/>
        <v>-49.212207682936608</v>
      </c>
      <c r="CW39" s="723">
        <f t="shared" si="38"/>
        <v>-49.212207682936608</v>
      </c>
      <c r="CX39" s="723">
        <f t="shared" si="38"/>
        <v>-49.212207682936608</v>
      </c>
      <c r="CY39" s="723">
        <f t="shared" si="38"/>
        <v>-49.212207682936608</v>
      </c>
      <c r="CZ39" s="723">
        <f t="shared" si="38"/>
        <v>-49.212207682936608</v>
      </c>
      <c r="DA39" s="723">
        <f t="shared" si="38"/>
        <v>-49.212207682936608</v>
      </c>
      <c r="DC39" s="850">
        <f t="shared" si="29"/>
        <v>-163.31992124116039</v>
      </c>
      <c r="DD39" s="850">
        <f t="shared" si="30"/>
        <v>-181.2104439001634</v>
      </c>
      <c r="DE39" s="850">
        <f t="shared" si="31"/>
        <v>-323.42691232443332</v>
      </c>
      <c r="DF39" s="850">
        <f t="shared" si="32"/>
        <v>-372.07347593334583</v>
      </c>
      <c r="DG39" s="850">
        <f t="shared" si="33"/>
        <v>-428.87193003697183</v>
      </c>
      <c r="DH39" s="850">
        <f t="shared" si="34"/>
        <v>-508.82005947846216</v>
      </c>
      <c r="DI39" s="13">
        <f t="shared" si="12"/>
        <v>-590.54649219523924</v>
      </c>
    </row>
    <row r="40" spans="5:114" ht="13" customHeight="1" outlineLevel="1">
      <c r="F40" s="718" t="s">
        <v>301</v>
      </c>
      <c r="I40" s="609" t="s">
        <v>736</v>
      </c>
      <c r="J40" s="721">
        <v>-2.503209837</v>
      </c>
      <c r="K40" s="721">
        <v>-2.503209837</v>
      </c>
      <c r="L40" s="721">
        <v>-2.503209837</v>
      </c>
      <c r="M40" s="721">
        <v>-2.503209837</v>
      </c>
      <c r="N40" s="721">
        <v>-2.503209837</v>
      </c>
      <c r="O40" s="721">
        <v>-2.503209837</v>
      </c>
      <c r="P40" s="721">
        <v>-2.503209837</v>
      </c>
      <c r="Q40" s="721">
        <v>-2.503209837</v>
      </c>
      <c r="R40" s="721">
        <v>-2.503209837</v>
      </c>
      <c r="S40" s="721">
        <v>-2.503209837</v>
      </c>
      <c r="T40" s="721">
        <v>-2.503209837</v>
      </c>
      <c r="U40" s="721">
        <v>-2.503209837</v>
      </c>
      <c r="V40" s="721">
        <v>-2.503209837</v>
      </c>
      <c r="W40" s="721">
        <v>-2.503209837</v>
      </c>
      <c r="X40" s="721">
        <v>-2.503209837</v>
      </c>
      <c r="Y40" s="721">
        <v>-2.503209837</v>
      </c>
      <c r="Z40" s="721">
        <v>-2.503209837</v>
      </c>
      <c r="AA40" s="721">
        <v>-2.503209837</v>
      </c>
      <c r="AB40" s="721">
        <v>-2.503209837</v>
      </c>
      <c r="AC40" s="721">
        <v>-2.503209837</v>
      </c>
      <c r="AD40" s="721">
        <v>-2.503209837</v>
      </c>
      <c r="AE40" s="721">
        <v>-2.503209837</v>
      </c>
      <c r="AF40" s="721">
        <f>-2563209586.58295/10^9</f>
        <v>-2.5632095865829503</v>
      </c>
      <c r="AG40" s="721">
        <f>-6634025959.341/10^9</f>
        <v>-6.6340259593409998</v>
      </c>
      <c r="AH40" s="721">
        <v>-2.503209837</v>
      </c>
      <c r="AI40" s="721">
        <v>-2.605175096</v>
      </c>
      <c r="AJ40" s="721">
        <v>-2.6637044200000002</v>
      </c>
      <c r="AK40" s="721">
        <v>-2.7801404559999998</v>
      </c>
      <c r="AL40" s="721">
        <v>-3.1962306570000001</v>
      </c>
      <c r="AM40" s="721">
        <v>-3.221371478</v>
      </c>
      <c r="AN40" s="721">
        <v>-3.350514585</v>
      </c>
      <c r="AO40" s="721">
        <v>-3.7080000000000002</v>
      </c>
      <c r="AP40" s="739">
        <v>-10.024371057843334</v>
      </c>
      <c r="AQ40" s="739">
        <f>AP40</f>
        <v>-10.024371057843334</v>
      </c>
      <c r="AR40" s="739">
        <f>AQ40</f>
        <v>-10.024371057843334</v>
      </c>
      <c r="AS40" s="739">
        <f>AR40</f>
        <v>-10.024371057843334</v>
      </c>
      <c r="AT40" s="710">
        <v>-8.3852758115533117</v>
      </c>
      <c r="AU40" s="710">
        <v>-8.3852758115533117</v>
      </c>
      <c r="AV40" s="710">
        <v>-8.3852758115533117</v>
      </c>
      <c r="AW40" s="710">
        <v>-8.3852758115533117</v>
      </c>
      <c r="AX40" s="710">
        <v>-8.3852758115533117</v>
      </c>
      <c r="AY40" s="710">
        <v>-8.3852758115533117</v>
      </c>
      <c r="AZ40" s="710">
        <v>-8.3852758115533117</v>
      </c>
      <c r="BA40" s="710">
        <v>-8.3852758115533117</v>
      </c>
      <c r="BB40" s="710">
        <v>-8.3852758115533117</v>
      </c>
      <c r="BC40" s="710">
        <v>-8.3852758115533117</v>
      </c>
      <c r="BD40" s="710">
        <v>-8.3852758115533117</v>
      </c>
      <c r="BE40" s="710">
        <v>-8.3852758115533117</v>
      </c>
      <c r="BF40" s="739">
        <v>-10.062330973863974</v>
      </c>
      <c r="BG40" s="739">
        <v>-10.062330973863974</v>
      </c>
      <c r="BH40" s="739">
        <v>-10.062330973863974</v>
      </c>
      <c r="BI40" s="739">
        <v>-10.062330973863974</v>
      </c>
      <c r="BJ40" s="739">
        <v>-10.062330973863974</v>
      </c>
      <c r="BK40" s="739">
        <v>-10.062330973863974</v>
      </c>
      <c r="BL40" s="739">
        <v>-10.062330973863974</v>
      </c>
      <c r="BM40" s="739">
        <v>-10.062330973863974</v>
      </c>
      <c r="BN40" s="739">
        <v>-10.062330973863974</v>
      </c>
      <c r="BO40" s="739">
        <v>-10.062330973863974</v>
      </c>
      <c r="BP40" s="739">
        <v>-10.062330973863974</v>
      </c>
      <c r="BQ40" s="739">
        <v>-10.062330973863974</v>
      </c>
      <c r="BR40" s="739">
        <v>-12.074797168636769</v>
      </c>
      <c r="BS40" s="739">
        <v>-12.074797168636769</v>
      </c>
      <c r="BT40" s="739">
        <v>-12.074797168636769</v>
      </c>
      <c r="BU40" s="739">
        <v>-12.074797168636769</v>
      </c>
      <c r="BV40" s="739">
        <v>-12.074797168636769</v>
      </c>
      <c r="BW40" s="739">
        <v>-12.074797168636769</v>
      </c>
      <c r="BX40" s="739">
        <v>-12.074797168636769</v>
      </c>
      <c r="BY40" s="739">
        <v>-12.074797168636769</v>
      </c>
      <c r="BZ40" s="739">
        <v>-12.074797168636769</v>
      </c>
      <c r="CA40" s="739">
        <v>-12.074797168636769</v>
      </c>
      <c r="CB40" s="739">
        <v>-12.074797168636769</v>
      </c>
      <c r="CC40" s="739">
        <v>-12.074797168636769</v>
      </c>
      <c r="CD40" s="739">
        <v>-14.489756602364119</v>
      </c>
      <c r="CE40" s="739">
        <v>-14.489756602364119</v>
      </c>
      <c r="CF40" s="739">
        <v>-14.489756602364119</v>
      </c>
      <c r="CG40" s="739">
        <v>-14.489756602364119</v>
      </c>
      <c r="CH40" s="739">
        <v>-14.489756602364119</v>
      </c>
      <c r="CI40" s="739">
        <v>-14.489756602364119</v>
      </c>
      <c r="CJ40" s="739">
        <v>-14.489756602364119</v>
      </c>
      <c r="CK40" s="739">
        <v>-14.489756602364119</v>
      </c>
      <c r="CL40" s="739">
        <v>-14.489756602364119</v>
      </c>
      <c r="CM40" s="739">
        <v>-14.489756602364119</v>
      </c>
      <c r="CN40" s="739">
        <v>-14.489756602364119</v>
      </c>
      <c r="CO40" s="739">
        <v>-14.489756602364119</v>
      </c>
      <c r="CP40" s="739">
        <v>-17.387707922836945</v>
      </c>
      <c r="CQ40" s="739">
        <v>-17.387707922836945</v>
      </c>
      <c r="CR40" s="739">
        <v>-17.387707922836945</v>
      </c>
      <c r="CS40" s="739">
        <v>-17.387707922836945</v>
      </c>
      <c r="CT40" s="739">
        <v>-17.387707922836945</v>
      </c>
      <c r="CU40" s="739">
        <v>-17.387707922836945</v>
      </c>
      <c r="CV40" s="739">
        <v>-17.387707922836945</v>
      </c>
      <c r="CW40" s="739">
        <v>-17.387707922836945</v>
      </c>
      <c r="CX40" s="739">
        <v>-17.387707922836945</v>
      </c>
      <c r="CY40" s="739">
        <v>-17.387707922836945</v>
      </c>
      <c r="CZ40" s="739">
        <v>-17.387707922836945</v>
      </c>
      <c r="DA40" s="739">
        <v>-17.387707922836945</v>
      </c>
      <c r="DC40" s="849">
        <f t="shared" si="29"/>
        <v>-34.229333915923952</v>
      </c>
      <c r="DD40" s="849">
        <f t="shared" si="30"/>
        <v>-64.125830760373333</v>
      </c>
      <c r="DE40" s="983">
        <f t="shared" si="31"/>
        <v>-100.62330973863975</v>
      </c>
      <c r="DF40" s="849">
        <f t="shared" si="32"/>
        <v>-120.74797168636771</v>
      </c>
      <c r="DG40" s="849">
        <f t="shared" si="33"/>
        <v>-144.89756602364119</v>
      </c>
      <c r="DH40" s="849">
        <f t="shared" si="34"/>
        <v>-173.87707922836941</v>
      </c>
      <c r="DI40" s="11">
        <f t="shared" si="12"/>
        <v>-208.65249507404329</v>
      </c>
      <c r="DJ40" s="737"/>
    </row>
    <row r="41" spans="5:114" ht="13" customHeight="1" outlineLevel="1">
      <c r="F41" s="126" t="s">
        <v>303</v>
      </c>
      <c r="I41" s="609" t="s">
        <v>736</v>
      </c>
      <c r="J41" s="721">
        <v>-2.7919843539999998</v>
      </c>
      <c r="K41" s="721">
        <v>-2.7919843539999998</v>
      </c>
      <c r="L41" s="721">
        <v>-2.7919843539999998</v>
      </c>
      <c r="M41" s="721">
        <v>-2.7919843539999998</v>
      </c>
      <c r="N41" s="721">
        <v>-2.7919843539999998</v>
      </c>
      <c r="O41" s="721">
        <v>-2.7919843539999998</v>
      </c>
      <c r="P41" s="721">
        <v>-2.7919843539999998</v>
      </c>
      <c r="Q41" s="721">
        <v>-2.7919843539999998</v>
      </c>
      <c r="R41" s="721">
        <v>-2.7919843539999998</v>
      </c>
      <c r="S41" s="721">
        <v>-2.7919843539999998</v>
      </c>
      <c r="T41" s="721">
        <v>-2.7919843539999998</v>
      </c>
      <c r="U41" s="721">
        <v>-2.7919843539999998</v>
      </c>
      <c r="V41" s="721">
        <v>-2.7919843539999998</v>
      </c>
      <c r="W41" s="721">
        <v>-2.7919843539999998</v>
      </c>
      <c r="X41" s="721">
        <v>-2.7919843539999998</v>
      </c>
      <c r="Y41" s="721">
        <v>-2.7919843539999998</v>
      </c>
      <c r="Z41" s="721">
        <v>-2.7919843539999998</v>
      </c>
      <c r="AA41" s="721">
        <v>-2.7919843539999998</v>
      </c>
      <c r="AB41" s="721">
        <v>-2.7919843539999998</v>
      </c>
      <c r="AC41" s="721">
        <v>-2.7919843539999998</v>
      </c>
      <c r="AD41" s="721">
        <v>-2.7919843539999998</v>
      </c>
      <c r="AE41" s="721">
        <v>-2.7919843539999998</v>
      </c>
      <c r="AF41" s="721">
        <f>-4144855802.9428/10^9</f>
        <v>-4.1448558029428</v>
      </c>
      <c r="AG41" s="721">
        <f>-11741376434.4168/10^9</f>
        <v>-11.7413764344168</v>
      </c>
      <c r="AH41" s="721">
        <v>-2.7919843539999998</v>
      </c>
      <c r="AI41" s="721">
        <v>-2.8954812749999999</v>
      </c>
      <c r="AJ41" s="721">
        <v>-3.0278237180000001</v>
      </c>
      <c r="AK41" s="721">
        <v>-2.9952791969999999</v>
      </c>
      <c r="AL41" s="721">
        <v>-2.57044424</v>
      </c>
      <c r="AM41" s="721">
        <v>-2.571847328</v>
      </c>
      <c r="AN41" s="721">
        <v>-2.5764453450000002</v>
      </c>
      <c r="AO41" s="860">
        <f>-2749185585/10^9</f>
        <v>-2.7491855850000002</v>
      </c>
      <c r="AP41" s="739">
        <f t="shared" ref="AP41:AS43" si="39">AO41</f>
        <v>-2.7491855850000002</v>
      </c>
      <c r="AQ41" s="739">
        <f t="shared" si="39"/>
        <v>-2.7491855850000002</v>
      </c>
      <c r="AR41" s="739">
        <f t="shared" si="39"/>
        <v>-2.7491855850000002</v>
      </c>
      <c r="AS41" s="739">
        <f t="shared" si="39"/>
        <v>-2.7491855850000002</v>
      </c>
      <c r="AT41" s="710">
        <v>-4.9317606660547479</v>
      </c>
      <c r="AU41" s="710">
        <v>-4.9317606660547479</v>
      </c>
      <c r="AV41" s="710">
        <v>-4.9317606660547479</v>
      </c>
      <c r="AW41" s="710">
        <v>-4.9317606660547479</v>
      </c>
      <c r="AX41" s="710">
        <v>-4.9317606660547479</v>
      </c>
      <c r="AY41" s="710">
        <v>-4.9317606660547479</v>
      </c>
      <c r="AZ41" s="710">
        <v>-4.9317606660547479</v>
      </c>
      <c r="BA41" s="710">
        <v>-4.9317606660547479</v>
      </c>
      <c r="BB41" s="710">
        <v>-4.9317606660547479</v>
      </c>
      <c r="BC41" s="710">
        <v>-4.9317606660547479</v>
      </c>
      <c r="BD41" s="710">
        <v>-4.9317606660547479</v>
      </c>
      <c r="BE41" s="710">
        <v>-4.9317606660547479</v>
      </c>
      <c r="BF41" s="739">
        <v>-5.918112799265697</v>
      </c>
      <c r="BG41" s="739">
        <v>-5.918112799265697</v>
      </c>
      <c r="BH41" s="739">
        <v>-5.918112799265697</v>
      </c>
      <c r="BI41" s="739">
        <v>-5.918112799265697</v>
      </c>
      <c r="BJ41" s="739">
        <v>-5.918112799265697</v>
      </c>
      <c r="BK41" s="739">
        <v>-5.918112799265697</v>
      </c>
      <c r="BL41" s="739">
        <v>-5.918112799265697</v>
      </c>
      <c r="BM41" s="739">
        <v>-5.918112799265697</v>
      </c>
      <c r="BN41" s="739">
        <v>-5.918112799265697</v>
      </c>
      <c r="BO41" s="739">
        <v>-5.918112799265697</v>
      </c>
      <c r="BP41" s="739">
        <v>-5.918112799265697</v>
      </c>
      <c r="BQ41" s="739">
        <v>-5.918112799265697</v>
      </c>
      <c r="BR41" s="739">
        <v>-7.1017353591188375</v>
      </c>
      <c r="BS41" s="739">
        <v>-7.1017353591188375</v>
      </c>
      <c r="BT41" s="739">
        <v>-7.1017353591188375</v>
      </c>
      <c r="BU41" s="739">
        <v>-7.1017353591188375</v>
      </c>
      <c r="BV41" s="739">
        <v>-7.1017353591188375</v>
      </c>
      <c r="BW41" s="739">
        <v>-7.1017353591188375</v>
      </c>
      <c r="BX41" s="739">
        <v>-7.1017353591188375</v>
      </c>
      <c r="BY41" s="739">
        <v>-7.1017353591188375</v>
      </c>
      <c r="BZ41" s="739">
        <v>-7.1017353591188375</v>
      </c>
      <c r="CA41" s="739">
        <v>-7.1017353591188375</v>
      </c>
      <c r="CB41" s="739">
        <v>-7.1017353591188375</v>
      </c>
      <c r="CC41" s="739">
        <v>-7.1017353591188375</v>
      </c>
      <c r="CD41" s="739">
        <v>-8.5220824309426035</v>
      </c>
      <c r="CE41" s="739">
        <v>-8.5220824309426035</v>
      </c>
      <c r="CF41" s="739">
        <v>-8.5220824309426035</v>
      </c>
      <c r="CG41" s="739">
        <v>-8.5220824309426035</v>
      </c>
      <c r="CH41" s="739">
        <v>-8.5220824309426035</v>
      </c>
      <c r="CI41" s="739">
        <v>-8.5220824309426035</v>
      </c>
      <c r="CJ41" s="739">
        <v>-8.5220824309426035</v>
      </c>
      <c r="CK41" s="739">
        <v>-8.5220824309426035</v>
      </c>
      <c r="CL41" s="739">
        <v>-8.5220824309426035</v>
      </c>
      <c r="CM41" s="739">
        <v>-8.5220824309426035</v>
      </c>
      <c r="CN41" s="739">
        <v>-8.5220824309426035</v>
      </c>
      <c r="CO41" s="739">
        <v>-8.5220824309426035</v>
      </c>
      <c r="CP41" s="739">
        <v>-10.226498917131124</v>
      </c>
      <c r="CQ41" s="739">
        <v>-10.226498917131124</v>
      </c>
      <c r="CR41" s="739">
        <v>-10.226498917131124</v>
      </c>
      <c r="CS41" s="739">
        <v>-10.226498917131124</v>
      </c>
      <c r="CT41" s="739">
        <v>-10.226498917131124</v>
      </c>
      <c r="CU41" s="739">
        <v>-10.226498917131124</v>
      </c>
      <c r="CV41" s="739">
        <v>-10.226498917131124</v>
      </c>
      <c r="CW41" s="739">
        <v>-10.226498917131124</v>
      </c>
      <c r="CX41" s="739">
        <v>-10.226498917131124</v>
      </c>
      <c r="CY41" s="739">
        <v>-10.226498917131124</v>
      </c>
      <c r="CZ41" s="739">
        <v>-10.226498917131124</v>
      </c>
      <c r="DA41" s="739">
        <v>-10.226498917131124</v>
      </c>
      <c r="DC41" s="849">
        <f t="shared" si="29"/>
        <v>-43.806075777359602</v>
      </c>
      <c r="DD41" s="849">
        <f t="shared" si="30"/>
        <v>-33.175233382000002</v>
      </c>
      <c r="DE41" s="983">
        <f t="shared" si="31"/>
        <v>-59.18112799265699</v>
      </c>
      <c r="DF41" s="849">
        <f t="shared" si="32"/>
        <v>-71.017353591188382</v>
      </c>
      <c r="DG41" s="849">
        <f t="shared" si="33"/>
        <v>-85.220824309426021</v>
      </c>
      <c r="DH41" s="849">
        <f t="shared" si="34"/>
        <v>-102.26498917131124</v>
      </c>
      <c r="DI41" s="11">
        <f t="shared" si="12"/>
        <v>-122.71798700557349</v>
      </c>
      <c r="DJ41" s="873"/>
    </row>
    <row r="42" spans="5:114" ht="13" customHeight="1" outlineLevel="1">
      <c r="F42" s="126" t="s">
        <v>305</v>
      </c>
      <c r="I42" s="609" t="s">
        <v>736</v>
      </c>
      <c r="J42" s="721">
        <v>-2.9897336003513799</v>
      </c>
      <c r="K42" s="721">
        <v>-2.9897336003513799</v>
      </c>
      <c r="L42" s="721">
        <v>-2.9897336003513799</v>
      </c>
      <c r="M42" s="721">
        <v>-2.9897336003513799</v>
      </c>
      <c r="N42" s="721">
        <v>-2.9897336003513799</v>
      </c>
      <c r="O42" s="721">
        <v>-2.9897336003513799</v>
      </c>
      <c r="P42" s="721">
        <v>-2.9897336003513799</v>
      </c>
      <c r="Q42" s="721">
        <v>-2.9897336003513799</v>
      </c>
      <c r="R42" s="721">
        <v>-2.9897336003513799</v>
      </c>
      <c r="S42" s="721">
        <v>-2.9897336003513799</v>
      </c>
      <c r="T42" s="721">
        <v>-2.9897336003513799</v>
      </c>
      <c r="U42" s="721">
        <v>-2.9897336003513799</v>
      </c>
      <c r="V42" s="721">
        <v>-2.9897336003513799</v>
      </c>
      <c r="W42" s="721">
        <v>-3.4401660982403901</v>
      </c>
      <c r="X42" s="721">
        <v>-2.9257052487739501</v>
      </c>
      <c r="Y42" s="721">
        <v>-2.9367729173396602</v>
      </c>
      <c r="Z42" s="721">
        <v>-3.2425413649994801</v>
      </c>
      <c r="AA42" s="721">
        <v>-4.0265597998047804</v>
      </c>
      <c r="AB42" s="721">
        <v>-4.3080129771328304</v>
      </c>
      <c r="AC42" s="721">
        <v>-4.20453898581333</v>
      </c>
      <c r="AD42" s="721">
        <v>-3.9824748593422199</v>
      </c>
      <c r="AE42" s="721">
        <v>-4.1438480606577803</v>
      </c>
      <c r="AF42" s="721">
        <v>-4.0139702649244402</v>
      </c>
      <c r="AG42" s="721">
        <v>-4.4819950564977802</v>
      </c>
      <c r="AH42" s="721">
        <v>-3.4628092288293888</v>
      </c>
      <c r="AI42" s="721">
        <v>-1.9189604849320832</v>
      </c>
      <c r="AJ42" s="721">
        <v>-3.5662956457452415</v>
      </c>
      <c r="AK42" s="721">
        <v>-3.875311188</v>
      </c>
      <c r="AL42" s="721">
        <v>-3.56352</v>
      </c>
      <c r="AM42" s="721">
        <v>-3.920706196693331</v>
      </c>
      <c r="AN42" s="721">
        <v>-3.8361575626</v>
      </c>
      <c r="AO42" s="860">
        <f>-4316405956.76444/10^9</f>
        <v>-4.3164059567644397</v>
      </c>
      <c r="AP42" s="739">
        <f t="shared" si="39"/>
        <v>-4.3164059567644397</v>
      </c>
      <c r="AQ42" s="739">
        <f t="shared" si="39"/>
        <v>-4.3164059567644397</v>
      </c>
      <c r="AR42" s="739">
        <f t="shared" si="39"/>
        <v>-4.3164059567644397</v>
      </c>
      <c r="AS42" s="739">
        <f t="shared" si="39"/>
        <v>-4.3164059567644397</v>
      </c>
      <c r="AT42" s="710">
        <v>-6.0669056964123795</v>
      </c>
      <c r="AU42" s="710">
        <v>-6.0669056964123795</v>
      </c>
      <c r="AV42" s="710">
        <v>-6.0669056964123795</v>
      </c>
      <c r="AW42" s="710">
        <v>-6.0669056964123795</v>
      </c>
      <c r="AX42" s="710">
        <v>-6.0669056964123795</v>
      </c>
      <c r="AY42" s="710">
        <v>-6.0669056964123795</v>
      </c>
      <c r="AZ42" s="710">
        <v>-6.0669056964123795</v>
      </c>
      <c r="BA42" s="710">
        <v>-6.0669056964123795</v>
      </c>
      <c r="BB42" s="710">
        <v>-6.0669056964123795</v>
      </c>
      <c r="BC42" s="710">
        <v>-6.0669056964123795</v>
      </c>
      <c r="BD42" s="710">
        <v>-6.0669056964123795</v>
      </c>
      <c r="BE42" s="710">
        <v>-6.0669056964123795</v>
      </c>
      <c r="BF42" s="739">
        <v>-7.2802868356948567</v>
      </c>
      <c r="BG42" s="739">
        <v>-7.2802868356948567</v>
      </c>
      <c r="BH42" s="739">
        <v>-7.2802868356948567</v>
      </c>
      <c r="BI42" s="739">
        <v>-7.2802868356948567</v>
      </c>
      <c r="BJ42" s="739">
        <v>-7.2802868356948567</v>
      </c>
      <c r="BK42" s="739">
        <v>-7.2802868356948567</v>
      </c>
      <c r="BL42" s="739">
        <v>-7.2802868356948567</v>
      </c>
      <c r="BM42" s="739">
        <v>-7.2802868356948567</v>
      </c>
      <c r="BN42" s="739">
        <v>-7.2802868356948567</v>
      </c>
      <c r="BO42" s="739">
        <v>-7.2802868356948567</v>
      </c>
      <c r="BP42" s="739">
        <v>-7.2802868356948567</v>
      </c>
      <c r="BQ42" s="739">
        <v>-7.2802868356948567</v>
      </c>
      <c r="BR42" s="739">
        <v>-9.4643728864033125</v>
      </c>
      <c r="BS42" s="739">
        <v>-9.4643728864033125</v>
      </c>
      <c r="BT42" s="739">
        <v>-9.4643728864033125</v>
      </c>
      <c r="BU42" s="739">
        <v>-9.4643728864033125</v>
      </c>
      <c r="BV42" s="739">
        <v>-9.4643728864033125</v>
      </c>
      <c r="BW42" s="739">
        <v>-9.4643728864033125</v>
      </c>
      <c r="BX42" s="739">
        <v>-9.4643728864033125</v>
      </c>
      <c r="BY42" s="739">
        <v>-9.4643728864033125</v>
      </c>
      <c r="BZ42" s="739">
        <v>-9.4643728864033125</v>
      </c>
      <c r="CA42" s="739">
        <v>-9.4643728864033125</v>
      </c>
      <c r="CB42" s="739">
        <v>-9.4643728864033125</v>
      </c>
      <c r="CC42" s="739">
        <v>-9.4643728864033125</v>
      </c>
      <c r="CD42" s="739">
        <v>-11.35724746368397</v>
      </c>
      <c r="CE42" s="739">
        <v>-11.35724746368397</v>
      </c>
      <c r="CF42" s="739">
        <v>-11.35724746368397</v>
      </c>
      <c r="CG42" s="739">
        <v>-11.35724746368397</v>
      </c>
      <c r="CH42" s="739">
        <v>-11.35724746368397</v>
      </c>
      <c r="CI42" s="739">
        <v>-11.35724746368397</v>
      </c>
      <c r="CJ42" s="739">
        <v>-11.35724746368397</v>
      </c>
      <c r="CK42" s="739">
        <v>-11.35724746368397</v>
      </c>
      <c r="CL42" s="739">
        <v>-11.35724746368397</v>
      </c>
      <c r="CM42" s="739">
        <v>-11.35724746368397</v>
      </c>
      <c r="CN42" s="739">
        <v>-11.35724746368397</v>
      </c>
      <c r="CO42" s="739">
        <v>-11.35724746368397</v>
      </c>
      <c r="CP42" s="739">
        <v>-12.492972210052372</v>
      </c>
      <c r="CQ42" s="739">
        <v>-12.492972210052372</v>
      </c>
      <c r="CR42" s="739">
        <v>-12.492972210052372</v>
      </c>
      <c r="CS42" s="739">
        <v>-12.492972210052372</v>
      </c>
      <c r="CT42" s="739">
        <v>-12.492972210052372</v>
      </c>
      <c r="CU42" s="739">
        <v>-12.492972210052372</v>
      </c>
      <c r="CV42" s="739">
        <v>-12.492972210052372</v>
      </c>
      <c r="CW42" s="739">
        <v>-12.492972210052372</v>
      </c>
      <c r="CX42" s="739">
        <v>-12.492972210052372</v>
      </c>
      <c r="CY42" s="739">
        <v>-12.492972210052372</v>
      </c>
      <c r="CZ42" s="739">
        <v>-12.492972210052372</v>
      </c>
      <c r="DA42" s="739">
        <v>-12.492972210052372</v>
      </c>
      <c r="DC42" s="849">
        <f t="shared" si="29"/>
        <v>-44.696319233878022</v>
      </c>
      <c r="DD42" s="849">
        <f t="shared" si="30"/>
        <v>-45.725790090622247</v>
      </c>
      <c r="DE42" s="983">
        <f t="shared" si="31"/>
        <v>-72.802868356948537</v>
      </c>
      <c r="DF42" s="849">
        <f t="shared" si="32"/>
        <v>-87.36344202833827</v>
      </c>
      <c r="DG42" s="849">
        <f t="shared" si="33"/>
        <v>-113.57247463683974</v>
      </c>
      <c r="DH42" s="849">
        <f t="shared" si="34"/>
        <v>-136.28696956420768</v>
      </c>
      <c r="DI42" s="11">
        <f t="shared" si="12"/>
        <v>-149.91566652062846</v>
      </c>
    </row>
    <row r="43" spans="5:114" ht="13" customHeight="1" outlineLevel="1">
      <c r="F43" s="126" t="s">
        <v>307</v>
      </c>
      <c r="I43" s="609" t="s">
        <v>736</v>
      </c>
      <c r="J43" s="721">
        <v>-2.5158270149880901</v>
      </c>
      <c r="K43" s="721">
        <v>-2.5158270149880901</v>
      </c>
      <c r="L43" s="721">
        <v>-2.5158270149880901</v>
      </c>
      <c r="M43" s="721">
        <v>-2.5158270149880901</v>
      </c>
      <c r="N43" s="721">
        <v>-2.5158270149880901</v>
      </c>
      <c r="O43" s="721">
        <v>-2.5158270149880901</v>
      </c>
      <c r="P43" s="721">
        <v>-2.5158270149880901</v>
      </c>
      <c r="Q43" s="721">
        <v>-2.5158270149880901</v>
      </c>
      <c r="R43" s="721">
        <v>-2.5158270149880901</v>
      </c>
      <c r="S43" s="721">
        <v>-2.5158270149880901</v>
      </c>
      <c r="T43" s="721">
        <v>-2.5158270149880901</v>
      </c>
      <c r="U43" s="721">
        <v>-2.5158270149880901</v>
      </c>
      <c r="V43" s="721">
        <v>-2.5158270149880901</v>
      </c>
      <c r="W43" s="721">
        <v>-3.2760276703449098</v>
      </c>
      <c r="X43" s="721">
        <v>-2.5560240399889702</v>
      </c>
      <c r="Y43" s="721">
        <v>-2.8475083552241198</v>
      </c>
      <c r="Z43" s="721">
        <v>-4.2946754689016204</v>
      </c>
      <c r="AA43" s="721">
        <v>-2.7629971697777802</v>
      </c>
      <c r="AB43" s="721">
        <v>-3.5201298576355602</v>
      </c>
      <c r="AC43" s="721">
        <v>-3.2072762984533298</v>
      </c>
      <c r="AD43" s="721">
        <v>-3.14304112064</v>
      </c>
      <c r="AE43" s="721">
        <v>-4.1502893344</v>
      </c>
      <c r="AF43" s="721">
        <v>-4.1421150540088902</v>
      </c>
      <c r="AG43" s="721">
        <v>-4.1722809296355496</v>
      </c>
      <c r="AH43" s="721">
        <v>-2.7052438422699132</v>
      </c>
      <c r="AI43" s="721">
        <v>-2.5230219980538173</v>
      </c>
      <c r="AJ43" s="721">
        <v>-3.6454388266089155</v>
      </c>
      <c r="AK43" s="721">
        <v>-3.1131916820000001</v>
      </c>
      <c r="AL43" s="721">
        <v>-3.1008389509462977</v>
      </c>
      <c r="AM43" s="721">
        <v>-3.6845272720355586</v>
      </c>
      <c r="AN43" s="721">
        <v>-3.4759479948088901</v>
      </c>
      <c r="AO43" s="860">
        <f>-3187075820.08889/10^9</f>
        <v>-3.1870758200888902</v>
      </c>
      <c r="AP43" s="739">
        <f t="shared" si="39"/>
        <v>-3.1870758200888902</v>
      </c>
      <c r="AQ43" s="739">
        <f t="shared" si="39"/>
        <v>-3.1870758200888902</v>
      </c>
      <c r="AR43" s="739">
        <f t="shared" si="39"/>
        <v>-3.1870758200888902</v>
      </c>
      <c r="AS43" s="739">
        <f t="shared" si="39"/>
        <v>-3.1870758200888902</v>
      </c>
      <c r="AT43" s="710">
        <v>-7.5683005196823387</v>
      </c>
      <c r="AU43" s="710">
        <v>-7.5683005196823387</v>
      </c>
      <c r="AV43" s="710">
        <v>-7.5683005196823387</v>
      </c>
      <c r="AW43" s="710">
        <v>-7.5683005196823387</v>
      </c>
      <c r="AX43" s="710">
        <v>-7.5683005196823387</v>
      </c>
      <c r="AY43" s="710">
        <v>-7.5683005196823387</v>
      </c>
      <c r="AZ43" s="710">
        <v>-7.5683005196823387</v>
      </c>
      <c r="BA43" s="710">
        <v>-7.5683005196823387</v>
      </c>
      <c r="BB43" s="710">
        <v>-7.5683005196823387</v>
      </c>
      <c r="BC43" s="710">
        <v>-7.5683005196823387</v>
      </c>
      <c r="BD43" s="710">
        <v>-7.5683005196823387</v>
      </c>
      <c r="BE43" s="710">
        <v>-7.5683005196823387</v>
      </c>
      <c r="BF43" s="739">
        <v>-7.7453923856209492</v>
      </c>
      <c r="BG43" s="739">
        <v>-7.7453923856209492</v>
      </c>
      <c r="BH43" s="739">
        <v>-7.7453923856209492</v>
      </c>
      <c r="BI43" s="739">
        <v>-7.7453923856209492</v>
      </c>
      <c r="BJ43" s="739">
        <v>-7.7453923856209492</v>
      </c>
      <c r="BK43" s="739">
        <v>-7.7453923856209492</v>
      </c>
      <c r="BL43" s="739">
        <v>-7.7453923856209492</v>
      </c>
      <c r="BM43" s="739">
        <v>-7.7453923856209492</v>
      </c>
      <c r="BN43" s="739">
        <v>-7.7453923856209492</v>
      </c>
      <c r="BO43" s="739">
        <v>-7.7453923856209492</v>
      </c>
      <c r="BP43" s="739">
        <v>-7.7453923856209492</v>
      </c>
      <c r="BQ43" s="739">
        <v>-7.7453923856209492</v>
      </c>
      <c r="BR43" s="739">
        <v>-7.0984220889220779</v>
      </c>
      <c r="BS43" s="739">
        <v>-7.0984220889220779</v>
      </c>
      <c r="BT43" s="739">
        <v>-7.0984220889220779</v>
      </c>
      <c r="BU43" s="739">
        <v>-7.0984220889220779</v>
      </c>
      <c r="BV43" s="739">
        <v>-7.0984220889220779</v>
      </c>
      <c r="BW43" s="739">
        <v>-7.0984220889220779</v>
      </c>
      <c r="BX43" s="739">
        <v>-7.0984220889220779</v>
      </c>
      <c r="BY43" s="739">
        <v>-7.0984220889220779</v>
      </c>
      <c r="BZ43" s="739">
        <v>-7.0984220889220779</v>
      </c>
      <c r="CA43" s="739">
        <v>-7.0984220889220779</v>
      </c>
      <c r="CB43" s="739">
        <v>-7.0984220889220779</v>
      </c>
      <c r="CC43" s="739">
        <v>-7.0984220889220779</v>
      </c>
      <c r="CD43" s="739">
        <v>-8.0325851262145012</v>
      </c>
      <c r="CE43" s="739">
        <v>-8.0325851262145012</v>
      </c>
      <c r="CF43" s="739">
        <v>-8.0325851262145012</v>
      </c>
      <c r="CG43" s="739">
        <v>-8.0325851262145012</v>
      </c>
      <c r="CH43" s="739">
        <v>-8.0325851262145012</v>
      </c>
      <c r="CI43" s="739">
        <v>-8.0325851262145012</v>
      </c>
      <c r="CJ43" s="739">
        <v>-8.0325851262145012</v>
      </c>
      <c r="CK43" s="739">
        <v>-8.0325851262145012</v>
      </c>
      <c r="CL43" s="739">
        <v>-8.0325851262145012</v>
      </c>
      <c r="CM43" s="739">
        <v>-8.0325851262145012</v>
      </c>
      <c r="CN43" s="739">
        <v>-8.0325851262145012</v>
      </c>
      <c r="CO43" s="739">
        <v>-8.0325851262145012</v>
      </c>
      <c r="CP43" s="739">
        <v>-9.1050286329161683</v>
      </c>
      <c r="CQ43" s="739">
        <v>-9.1050286329161683</v>
      </c>
      <c r="CR43" s="739">
        <v>-9.1050286329161683</v>
      </c>
      <c r="CS43" s="739">
        <v>-9.1050286329161683</v>
      </c>
      <c r="CT43" s="739">
        <v>-9.1050286329161683</v>
      </c>
      <c r="CU43" s="739">
        <v>-9.1050286329161683</v>
      </c>
      <c r="CV43" s="739">
        <v>-9.1050286329161683</v>
      </c>
      <c r="CW43" s="739">
        <v>-9.1050286329161683</v>
      </c>
      <c r="CX43" s="739">
        <v>-9.1050286329161683</v>
      </c>
      <c r="CY43" s="739">
        <v>-9.1050286329161683</v>
      </c>
      <c r="CZ43" s="739">
        <v>-9.1050286329161683</v>
      </c>
      <c r="DA43" s="739">
        <v>-9.1050286329161683</v>
      </c>
      <c r="DC43" s="849">
        <f t="shared" si="29"/>
        <v>-40.588192313998817</v>
      </c>
      <c r="DD43" s="849">
        <f t="shared" si="30"/>
        <v>-38.183589667167844</v>
      </c>
      <c r="DE43" s="983">
        <f t="shared" si="31"/>
        <v>-90.819606236188065</v>
      </c>
      <c r="DF43" s="849">
        <f t="shared" si="32"/>
        <v>-92.944708627451362</v>
      </c>
      <c r="DG43" s="849">
        <f t="shared" si="33"/>
        <v>-85.181065067064935</v>
      </c>
      <c r="DH43" s="849">
        <f t="shared" si="34"/>
        <v>-96.391021514574007</v>
      </c>
      <c r="DI43" s="11">
        <f t="shared" si="12"/>
        <v>-109.26034359499404</v>
      </c>
    </row>
    <row r="44" spans="5:114" ht="13" customHeight="1" outlineLevel="1">
      <c r="E44" s="698" t="s">
        <v>809</v>
      </c>
      <c r="I44" s="609" t="s">
        <v>736</v>
      </c>
      <c r="J44" s="723">
        <f t="shared" ref="J44:BU44" si="40">J11+J29+J28</f>
        <v>-0.14911516014314902</v>
      </c>
      <c r="K44" s="723">
        <f t="shared" si="40"/>
        <v>-0.14907430903203792</v>
      </c>
      <c r="L44" s="723">
        <f t="shared" si="40"/>
        <v>-0.14455960125426012</v>
      </c>
      <c r="M44" s="723">
        <f t="shared" si="40"/>
        <v>-0.14060924014314902</v>
      </c>
      <c r="N44" s="723">
        <f t="shared" si="40"/>
        <v>-0.13062991014314901</v>
      </c>
      <c r="O44" s="723">
        <f t="shared" si="40"/>
        <v>-0.12550967792092679</v>
      </c>
      <c r="P44" s="723">
        <f t="shared" si="40"/>
        <v>-0.12348685569870457</v>
      </c>
      <c r="Q44" s="723">
        <f t="shared" si="40"/>
        <v>-0.11933145236537124</v>
      </c>
      <c r="R44" s="723">
        <f t="shared" si="40"/>
        <v>-0.1271790979209268</v>
      </c>
      <c r="S44" s="723">
        <f t="shared" si="40"/>
        <v>-0.12541559903203792</v>
      </c>
      <c r="T44" s="723">
        <f t="shared" si="40"/>
        <v>-0.13177246657679792</v>
      </c>
      <c r="U44" s="723">
        <f t="shared" si="40"/>
        <v>-0.13506573870998681</v>
      </c>
      <c r="V44" s="723">
        <f t="shared" si="40"/>
        <v>-0.15063270971401488</v>
      </c>
      <c r="W44" s="723">
        <f t="shared" si="40"/>
        <v>-0.16030284132375583</v>
      </c>
      <c r="X44" s="723">
        <f t="shared" si="40"/>
        <v>-0.1853159684019838</v>
      </c>
      <c r="Y44" s="723">
        <f t="shared" si="40"/>
        <v>-7.3743005370832643E-2</v>
      </c>
      <c r="Z44" s="723">
        <f t="shared" si="40"/>
        <v>0.39601223419280013</v>
      </c>
      <c r="AA44" s="723">
        <f t="shared" si="40"/>
        <v>0.8311770908050411</v>
      </c>
      <c r="AB44" s="723">
        <f t="shared" si="40"/>
        <v>2.0909563631201165</v>
      </c>
      <c r="AC44" s="723">
        <f t="shared" si="40"/>
        <v>2.3892059813695257</v>
      </c>
      <c r="AD44" s="723">
        <f t="shared" si="40"/>
        <v>2.8841802601209832</v>
      </c>
      <c r="AE44" s="723">
        <f t="shared" si="40"/>
        <v>3.9652484665112446</v>
      </c>
      <c r="AF44" s="723">
        <f t="shared" si="40"/>
        <v>5.3970986330914519</v>
      </c>
      <c r="AG44" s="723">
        <f t="shared" si="40"/>
        <v>10.643049055141194</v>
      </c>
      <c r="AH44" s="747">
        <f t="shared" si="40"/>
        <v>10.187377377206587</v>
      </c>
      <c r="AI44" s="747">
        <f t="shared" si="40"/>
        <v>8.6571997459097272</v>
      </c>
      <c r="AJ44" s="747">
        <f t="shared" si="40"/>
        <v>7.4856027885480696</v>
      </c>
      <c r="AK44" s="747">
        <f t="shared" si="40"/>
        <v>7.8104007123649355</v>
      </c>
      <c r="AL44" s="747">
        <f t="shared" si="40"/>
        <v>12.09171703036076</v>
      </c>
      <c r="AM44" s="747">
        <f t="shared" si="40"/>
        <v>15.716520456226778</v>
      </c>
      <c r="AN44" s="747">
        <f t="shared" si="40"/>
        <v>22.163158889727885</v>
      </c>
      <c r="AO44" s="723">
        <f t="shared" si="40"/>
        <v>28.206184383868134</v>
      </c>
      <c r="AP44" s="723">
        <f t="shared" si="40"/>
        <v>27.068078169709747</v>
      </c>
      <c r="AQ44" s="723">
        <f t="shared" si="40"/>
        <v>18.102950265972304</v>
      </c>
      <c r="AR44" s="723">
        <f t="shared" si="40"/>
        <v>29.542730771644674</v>
      </c>
      <c r="AS44" s="723">
        <f t="shared" si="40"/>
        <v>34.142905732344992</v>
      </c>
      <c r="AT44" s="696">
        <f t="shared" si="40"/>
        <v>-11.450178369859572</v>
      </c>
      <c r="AU44" s="696">
        <f t="shared" si="40"/>
        <v>23.965304438341086</v>
      </c>
      <c r="AV44" s="696">
        <f t="shared" si="40"/>
        <v>21.777524290958716</v>
      </c>
      <c r="AW44" s="696">
        <f t="shared" si="40"/>
        <v>24.626970848817301</v>
      </c>
      <c r="AX44" s="696">
        <f t="shared" si="40"/>
        <v>28.906938894244604</v>
      </c>
      <c r="AY44" s="696">
        <f t="shared" si="40"/>
        <v>32.012405339212052</v>
      </c>
      <c r="AZ44" s="696">
        <f t="shared" si="40"/>
        <v>35.753729642481815</v>
      </c>
      <c r="BA44" s="696">
        <f t="shared" si="40"/>
        <v>35.853276374479563</v>
      </c>
      <c r="BB44" s="696">
        <f t="shared" si="40"/>
        <v>40.550960214655504</v>
      </c>
      <c r="BC44" s="696">
        <f t="shared" si="40"/>
        <v>46.976116307314257</v>
      </c>
      <c r="BD44" s="696">
        <f t="shared" si="40"/>
        <v>53.929152754902049</v>
      </c>
      <c r="BE44" s="696">
        <f t="shared" si="40"/>
        <v>62.972675088695965</v>
      </c>
      <c r="BF44" s="723">
        <f t="shared" si="40"/>
        <v>69.500560271487956</v>
      </c>
      <c r="BG44" s="723">
        <f t="shared" si="40"/>
        <v>71.576871726643446</v>
      </c>
      <c r="BH44" s="723">
        <f t="shared" si="40"/>
        <v>73.051745238882845</v>
      </c>
      <c r="BI44" s="723">
        <f t="shared" si="40"/>
        <v>72.911886508917888</v>
      </c>
      <c r="BJ44" s="723">
        <f t="shared" si="40"/>
        <v>71.547505318729122</v>
      </c>
      <c r="BK44" s="723">
        <f t="shared" si="40"/>
        <v>68.607730476394124</v>
      </c>
      <c r="BL44" s="723">
        <f t="shared" si="40"/>
        <v>65.422081984416707</v>
      </c>
      <c r="BM44" s="723">
        <f t="shared" si="40"/>
        <v>59.084221423432069</v>
      </c>
      <c r="BN44" s="723">
        <f t="shared" si="40"/>
        <v>51.78101202474005</v>
      </c>
      <c r="BO44" s="723">
        <f t="shared" si="40"/>
        <v>46.037352108266816</v>
      </c>
      <c r="BP44" s="723">
        <f t="shared" si="40"/>
        <v>40.979948216069943</v>
      </c>
      <c r="BQ44" s="723">
        <f t="shared" si="40"/>
        <v>39.56118434082552</v>
      </c>
      <c r="BR44" s="723">
        <f t="shared" si="40"/>
        <v>36.875319119925678</v>
      </c>
      <c r="BS44" s="723">
        <f t="shared" si="40"/>
        <v>37.371602398098105</v>
      </c>
      <c r="BT44" s="723">
        <f t="shared" si="40"/>
        <v>39.534008624775595</v>
      </c>
      <c r="BU44" s="723">
        <f t="shared" si="40"/>
        <v>42.981177333079643</v>
      </c>
      <c r="BV44" s="723">
        <f t="shared" ref="BV44:DA44" si="41">BV11+BV29+BV28</f>
        <v>47.596135055375868</v>
      </c>
      <c r="BW44" s="723">
        <f t="shared" si="41"/>
        <v>53.350002961002104</v>
      </c>
      <c r="BX44" s="723">
        <f t="shared" si="41"/>
        <v>59.939212361435125</v>
      </c>
      <c r="BY44" s="723">
        <f t="shared" si="41"/>
        <v>66.211246209700789</v>
      </c>
      <c r="BZ44" s="723">
        <f t="shared" si="41"/>
        <v>71.928145419731464</v>
      </c>
      <c r="CA44" s="723">
        <f t="shared" si="41"/>
        <v>77.353574168583805</v>
      </c>
      <c r="CB44" s="723">
        <f t="shared" si="41"/>
        <v>82.620034953262831</v>
      </c>
      <c r="CC44" s="723">
        <f t="shared" si="41"/>
        <v>87.382343031393759</v>
      </c>
      <c r="CD44" s="723">
        <f t="shared" si="41"/>
        <v>90.567285958234351</v>
      </c>
      <c r="CE44" s="723">
        <f t="shared" si="41"/>
        <v>94.348359159777885</v>
      </c>
      <c r="CF44" s="723">
        <f t="shared" si="41"/>
        <v>96.914212269300236</v>
      </c>
      <c r="CG44" s="723">
        <f t="shared" si="41"/>
        <v>98.714049586292816</v>
      </c>
      <c r="CH44" s="723">
        <f t="shared" si="41"/>
        <v>99.892536096691828</v>
      </c>
      <c r="CI44" s="723">
        <f t="shared" si="41"/>
        <v>100.52996456894761</v>
      </c>
      <c r="CJ44" s="723">
        <f t="shared" si="41"/>
        <v>101.05010480524282</v>
      </c>
      <c r="CK44" s="723">
        <f t="shared" si="41"/>
        <v>101.56572541276097</v>
      </c>
      <c r="CL44" s="723">
        <f t="shared" si="41"/>
        <v>101.54483758293458</v>
      </c>
      <c r="CM44" s="723">
        <f t="shared" si="41"/>
        <v>101.59387837957232</v>
      </c>
      <c r="CN44" s="723">
        <f t="shared" si="41"/>
        <v>101.75189624597721</v>
      </c>
      <c r="CO44" s="723">
        <f t="shared" si="41"/>
        <v>102.0523480693746</v>
      </c>
      <c r="CP44" s="723">
        <f t="shared" si="41"/>
        <v>101.37930617493237</v>
      </c>
      <c r="CQ44" s="723">
        <f t="shared" si="41"/>
        <v>102.0411607026395</v>
      </c>
      <c r="CR44" s="723">
        <f t="shared" si="41"/>
        <v>103.7422288182903</v>
      </c>
      <c r="CS44" s="723">
        <f t="shared" si="41"/>
        <v>106.56613468843307</v>
      </c>
      <c r="CT44" s="723">
        <f t="shared" si="41"/>
        <v>110.73596719354964</v>
      </c>
      <c r="CU44" s="723">
        <f t="shared" si="41"/>
        <v>115.82078306394607</v>
      </c>
      <c r="CV44" s="723">
        <f t="shared" si="41"/>
        <v>121.84083877333461</v>
      </c>
      <c r="CW44" s="723">
        <f t="shared" si="41"/>
        <v>128.735089084778</v>
      </c>
      <c r="CX44" s="723">
        <f t="shared" si="41"/>
        <v>136.4781317153313</v>
      </c>
      <c r="CY44" s="723">
        <f t="shared" si="41"/>
        <v>144.60737863346577</v>
      </c>
      <c r="CZ44" s="723">
        <f t="shared" si="41"/>
        <v>153.13274181284277</v>
      </c>
      <c r="DA44" s="723">
        <f t="shared" si="41"/>
        <v>162.03589069937652</v>
      </c>
      <c r="DC44" s="849">
        <f t="shared" si="29"/>
        <v>28.026933559541771</v>
      </c>
      <c r="DD44" s="849">
        <f t="shared" si="30"/>
        <v>221.17482632388459</v>
      </c>
      <c r="DE44" s="983">
        <f t="shared" si="31"/>
        <v>395.8748758242433</v>
      </c>
      <c r="DF44" s="849">
        <f t="shared" si="32"/>
        <v>730.06209963880633</v>
      </c>
      <c r="DG44" s="849">
        <f t="shared" si="33"/>
        <v>703.14280163636477</v>
      </c>
      <c r="DH44" s="849">
        <f t="shared" si="34"/>
        <v>1190.5251981351073</v>
      </c>
      <c r="DI44" s="13">
        <f t="shared" si="12"/>
        <v>1487.1156513609199</v>
      </c>
      <c r="DJ44" s="737"/>
    </row>
    <row r="45" spans="5:114" ht="13" customHeight="1" outlineLevel="1">
      <c r="E45" s="698" t="s">
        <v>579</v>
      </c>
      <c r="F45" s="284"/>
      <c r="I45" s="609" t="s">
        <v>736</v>
      </c>
      <c r="J45" s="723">
        <f t="shared" ref="J45:BU45" si="42">J44+J40</f>
        <v>-2.6523249971431491</v>
      </c>
      <c r="K45" s="723">
        <f t="shared" si="42"/>
        <v>-2.6522841460320379</v>
      </c>
      <c r="L45" s="723">
        <f t="shared" si="42"/>
        <v>-2.6477694382542603</v>
      </c>
      <c r="M45" s="723">
        <f t="shared" si="42"/>
        <v>-2.6438190771431489</v>
      </c>
      <c r="N45" s="723">
        <f t="shared" si="42"/>
        <v>-2.6338397471431492</v>
      </c>
      <c r="O45" s="723">
        <f t="shared" si="42"/>
        <v>-2.6287195149209266</v>
      </c>
      <c r="P45" s="723">
        <f t="shared" si="42"/>
        <v>-2.6266966926987045</v>
      </c>
      <c r="Q45" s="723">
        <f t="shared" si="42"/>
        <v>-2.6225412893653712</v>
      </c>
      <c r="R45" s="723">
        <f t="shared" si="42"/>
        <v>-2.6303889349209268</v>
      </c>
      <c r="S45" s="723">
        <f t="shared" si="42"/>
        <v>-2.628625436032038</v>
      </c>
      <c r="T45" s="723">
        <f t="shared" si="42"/>
        <v>-2.6349823035767979</v>
      </c>
      <c r="U45" s="723">
        <f t="shared" si="42"/>
        <v>-2.6382755757099869</v>
      </c>
      <c r="V45" s="723">
        <f t="shared" si="42"/>
        <v>-2.653842546714015</v>
      </c>
      <c r="W45" s="723">
        <f t="shared" si="42"/>
        <v>-2.6635126783237557</v>
      </c>
      <c r="X45" s="723">
        <f t="shared" si="42"/>
        <v>-2.6885258054019836</v>
      </c>
      <c r="Y45" s="723">
        <f t="shared" si="42"/>
        <v>-2.5769528423708326</v>
      </c>
      <c r="Z45" s="723">
        <f t="shared" si="42"/>
        <v>-2.1071976028071999</v>
      </c>
      <c r="AA45" s="723">
        <f t="shared" si="42"/>
        <v>-1.6720327461949589</v>
      </c>
      <c r="AB45" s="723">
        <f t="shared" si="42"/>
        <v>-0.41225347387988354</v>
      </c>
      <c r="AC45" s="723">
        <f t="shared" si="42"/>
        <v>-0.11400385563047433</v>
      </c>
      <c r="AD45" s="723">
        <f t="shared" si="42"/>
        <v>0.38097042312098317</v>
      </c>
      <c r="AE45" s="723">
        <f t="shared" si="42"/>
        <v>1.4620386295112446</v>
      </c>
      <c r="AF45" s="723">
        <f t="shared" si="42"/>
        <v>2.8338890465085016</v>
      </c>
      <c r="AG45" s="723">
        <f t="shared" si="42"/>
        <v>4.0090230958001944</v>
      </c>
      <c r="AH45" s="723">
        <f t="shared" si="42"/>
        <v>7.6841675402065874</v>
      </c>
      <c r="AI45" s="723">
        <f t="shared" si="42"/>
        <v>6.0520246499097272</v>
      </c>
      <c r="AJ45" s="723">
        <f t="shared" si="42"/>
        <v>4.8218983685480694</v>
      </c>
      <c r="AK45" s="723">
        <f t="shared" si="42"/>
        <v>5.0302602563649357</v>
      </c>
      <c r="AL45" s="723">
        <f t="shared" si="42"/>
        <v>8.895486373360761</v>
      </c>
      <c r="AM45" s="723">
        <f t="shared" si="42"/>
        <v>12.495148978226778</v>
      </c>
      <c r="AN45" s="723">
        <f t="shared" si="42"/>
        <v>18.812644304727886</v>
      </c>
      <c r="AO45" s="723">
        <f t="shared" si="42"/>
        <v>24.498184383868136</v>
      </c>
      <c r="AP45" s="723">
        <f t="shared" si="42"/>
        <v>17.043707111866411</v>
      </c>
      <c r="AQ45" s="723">
        <f t="shared" si="42"/>
        <v>8.0785792081289696</v>
      </c>
      <c r="AR45" s="723">
        <f t="shared" si="42"/>
        <v>19.518359713801338</v>
      </c>
      <c r="AS45" s="723">
        <f t="shared" si="42"/>
        <v>24.11853467450166</v>
      </c>
      <c r="AT45" s="696">
        <f t="shared" si="42"/>
        <v>-19.835454181412885</v>
      </c>
      <c r="AU45" s="696">
        <f t="shared" si="42"/>
        <v>15.580028626787774</v>
      </c>
      <c r="AV45" s="696">
        <f t="shared" si="42"/>
        <v>13.392248479405405</v>
      </c>
      <c r="AW45" s="696">
        <f t="shared" si="42"/>
        <v>16.241695037263987</v>
      </c>
      <c r="AX45" s="696">
        <f>AX44+AX40</f>
        <v>20.52166308269129</v>
      </c>
      <c r="AY45" s="696">
        <f t="shared" si="42"/>
        <v>23.627129527658738</v>
      </c>
      <c r="AZ45" s="696">
        <f t="shared" si="42"/>
        <v>27.368453830928502</v>
      </c>
      <c r="BA45" s="696">
        <f>BA44+BA40</f>
        <v>27.46800056292625</v>
      </c>
      <c r="BB45" s="696">
        <f t="shared" si="42"/>
        <v>32.16568440310219</v>
      </c>
      <c r="BC45" s="696">
        <f t="shared" si="42"/>
        <v>38.590840495760943</v>
      </c>
      <c r="BD45" s="696">
        <f t="shared" si="42"/>
        <v>45.543876943348735</v>
      </c>
      <c r="BE45" s="696">
        <f t="shared" si="42"/>
        <v>54.587399277142651</v>
      </c>
      <c r="BF45" s="723">
        <f t="shared" si="42"/>
        <v>59.438229297623984</v>
      </c>
      <c r="BG45" s="723">
        <f t="shared" si="42"/>
        <v>61.514540752779475</v>
      </c>
      <c r="BH45" s="723">
        <f t="shared" si="42"/>
        <v>62.989414265018873</v>
      </c>
      <c r="BI45" s="723">
        <f t="shared" si="42"/>
        <v>62.849555535053916</v>
      </c>
      <c r="BJ45" s="723">
        <f t="shared" si="42"/>
        <v>61.48517434486515</v>
      </c>
      <c r="BK45" s="723">
        <f t="shared" si="42"/>
        <v>58.545399502530152</v>
      </c>
      <c r="BL45" s="723">
        <f t="shared" si="42"/>
        <v>55.359751010552735</v>
      </c>
      <c r="BM45" s="723">
        <f t="shared" si="42"/>
        <v>49.021890449568097</v>
      </c>
      <c r="BN45" s="723">
        <f t="shared" si="42"/>
        <v>41.718681050876079</v>
      </c>
      <c r="BO45" s="723">
        <f t="shared" si="42"/>
        <v>35.975021134402844</v>
      </c>
      <c r="BP45" s="723">
        <f t="shared" si="42"/>
        <v>30.917617242205971</v>
      </c>
      <c r="BQ45" s="723">
        <f t="shared" si="42"/>
        <v>29.498853366961548</v>
      </c>
      <c r="BR45" s="723">
        <f t="shared" si="42"/>
        <v>24.800521951288907</v>
      </c>
      <c r="BS45" s="723">
        <f t="shared" si="42"/>
        <v>25.296805229461334</v>
      </c>
      <c r="BT45" s="723">
        <f t="shared" si="42"/>
        <v>27.459211456138824</v>
      </c>
      <c r="BU45" s="723">
        <f t="shared" si="42"/>
        <v>30.906380164442872</v>
      </c>
      <c r="BV45" s="723">
        <f t="shared" ref="BV45:DA45" si="43">BV44+BV40</f>
        <v>35.521337886739097</v>
      </c>
      <c r="BW45" s="723">
        <f t="shared" si="43"/>
        <v>41.275205792365334</v>
      </c>
      <c r="BX45" s="723">
        <f t="shared" si="43"/>
        <v>47.864415192798354</v>
      </c>
      <c r="BY45" s="723">
        <f t="shared" si="43"/>
        <v>54.136449041064019</v>
      </c>
      <c r="BZ45" s="723">
        <f t="shared" si="43"/>
        <v>59.853348251094694</v>
      </c>
      <c r="CA45" s="723">
        <f t="shared" si="43"/>
        <v>65.278776999947041</v>
      </c>
      <c r="CB45" s="723">
        <f t="shared" si="43"/>
        <v>70.545237784626067</v>
      </c>
      <c r="CC45" s="723">
        <f t="shared" si="43"/>
        <v>75.307545862756996</v>
      </c>
      <c r="CD45" s="723">
        <f t="shared" si="43"/>
        <v>76.077529355870226</v>
      </c>
      <c r="CE45" s="723">
        <f t="shared" si="43"/>
        <v>79.858602557413761</v>
      </c>
      <c r="CF45" s="723">
        <f t="shared" si="43"/>
        <v>82.424455666936112</v>
      </c>
      <c r="CG45" s="723">
        <f t="shared" si="43"/>
        <v>84.224292983928692</v>
      </c>
      <c r="CH45" s="723">
        <f t="shared" si="43"/>
        <v>85.402779494327703</v>
      </c>
      <c r="CI45" s="723">
        <f t="shared" si="43"/>
        <v>86.04020796658348</v>
      </c>
      <c r="CJ45" s="723">
        <f t="shared" si="43"/>
        <v>86.5603482028787</v>
      </c>
      <c r="CK45" s="723">
        <f t="shared" si="43"/>
        <v>87.075968810396844</v>
      </c>
      <c r="CL45" s="723">
        <f t="shared" si="43"/>
        <v>87.055080980570452</v>
      </c>
      <c r="CM45" s="723">
        <f t="shared" si="43"/>
        <v>87.104121777208192</v>
      </c>
      <c r="CN45" s="723">
        <f t="shared" si="43"/>
        <v>87.262139643613082</v>
      </c>
      <c r="CO45" s="723">
        <f t="shared" si="43"/>
        <v>87.562591467010478</v>
      </c>
      <c r="CP45" s="723">
        <f t="shared" si="43"/>
        <v>83.991598252095429</v>
      </c>
      <c r="CQ45" s="723">
        <f t="shared" si="43"/>
        <v>84.653452779802564</v>
      </c>
      <c r="CR45" s="723">
        <f t="shared" si="43"/>
        <v>86.354520895453362</v>
      </c>
      <c r="CS45" s="723">
        <f t="shared" si="43"/>
        <v>89.178426765596129</v>
      </c>
      <c r="CT45" s="723">
        <f t="shared" si="43"/>
        <v>93.348259270712703</v>
      </c>
      <c r="CU45" s="723">
        <f t="shared" si="43"/>
        <v>98.433075141109128</v>
      </c>
      <c r="CV45" s="723">
        <f t="shared" si="43"/>
        <v>104.45313085049767</v>
      </c>
      <c r="CW45" s="723">
        <f t="shared" si="43"/>
        <v>111.34738116194106</v>
      </c>
      <c r="CX45" s="723">
        <f t="shared" si="43"/>
        <v>119.09042379249436</v>
      </c>
      <c r="CY45" s="723">
        <f t="shared" si="43"/>
        <v>127.21967071062883</v>
      </c>
      <c r="CZ45" s="723">
        <f t="shared" si="43"/>
        <v>135.74503389000583</v>
      </c>
      <c r="DA45" s="723">
        <f t="shared" si="43"/>
        <v>144.64818277653958</v>
      </c>
      <c r="DC45" s="849">
        <f>SUM(V45:AG45)</f>
        <v>-6.2024003563821788</v>
      </c>
      <c r="DD45" s="849">
        <f t="shared" si="4"/>
        <v>157.04899556351126</v>
      </c>
      <c r="DE45" s="983">
        <f t="shared" si="5"/>
        <v>295.2515660856036</v>
      </c>
      <c r="DF45" s="849">
        <f t="shared" si="11"/>
        <v>609.31412795243875</v>
      </c>
      <c r="DG45" s="849">
        <f t="shared" si="6"/>
        <v>558.24523561272349</v>
      </c>
      <c r="DH45" s="849">
        <f t="shared" si="7"/>
        <v>1016.6481189067377</v>
      </c>
      <c r="DI45" s="13">
        <f t="shared" si="12"/>
        <v>1278.4631562868767</v>
      </c>
      <c r="DJ45" s="737"/>
    </row>
    <row r="46" spans="5:114" ht="13" customHeight="1">
      <c r="E46" s="698" t="s">
        <v>543</v>
      </c>
      <c r="I46" s="609" t="s">
        <v>736</v>
      </c>
      <c r="J46" s="723">
        <f t="shared" ref="J46:BU46" si="44">J11+J28+J29+J39</f>
        <v>-10.94986996648262</v>
      </c>
      <c r="K46" s="723">
        <f t="shared" si="44"/>
        <v>-10.949829115371509</v>
      </c>
      <c r="L46" s="723">
        <f t="shared" si="44"/>
        <v>-10.945314407593731</v>
      </c>
      <c r="M46" s="723">
        <f t="shared" si="44"/>
        <v>-10.941364046482621</v>
      </c>
      <c r="N46" s="723">
        <f t="shared" si="44"/>
        <v>-10.93138471648262</v>
      </c>
      <c r="O46" s="723">
        <f t="shared" si="44"/>
        <v>-10.926264484260399</v>
      </c>
      <c r="P46" s="723">
        <f t="shared" si="44"/>
        <v>-10.924241662038176</v>
      </c>
      <c r="Q46" s="723">
        <f t="shared" si="44"/>
        <v>-10.920086258704842</v>
      </c>
      <c r="R46" s="723">
        <f t="shared" si="44"/>
        <v>-10.927933904260398</v>
      </c>
      <c r="S46" s="723">
        <f t="shared" si="44"/>
        <v>-10.92617040537151</v>
      </c>
      <c r="T46" s="723">
        <f t="shared" si="44"/>
        <v>-10.932527272916269</v>
      </c>
      <c r="U46" s="723">
        <f t="shared" si="44"/>
        <v>-10.935820545049458</v>
      </c>
      <c r="V46" s="723">
        <f t="shared" si="44"/>
        <v>-10.951387516053487</v>
      </c>
      <c r="W46" s="723">
        <f t="shared" si="44"/>
        <v>-12.171690800909055</v>
      </c>
      <c r="X46" s="723">
        <f t="shared" si="44"/>
        <v>-10.962239448164905</v>
      </c>
      <c r="Y46" s="723">
        <f t="shared" si="44"/>
        <v>-11.153218468934613</v>
      </c>
      <c r="Z46" s="723">
        <f t="shared" si="44"/>
        <v>-12.436398790708301</v>
      </c>
      <c r="AA46" s="723">
        <f t="shared" si="44"/>
        <v>-11.253574069777519</v>
      </c>
      <c r="AB46" s="723">
        <f t="shared" si="44"/>
        <v>-11.032380662648272</v>
      </c>
      <c r="AC46" s="723">
        <f t="shared" si="44"/>
        <v>-10.317803493897134</v>
      </c>
      <c r="AD46" s="723">
        <f t="shared" si="44"/>
        <v>-9.5365299108612369</v>
      </c>
      <c r="AE46" s="723">
        <f t="shared" si="44"/>
        <v>-9.6240831195465368</v>
      </c>
      <c r="AF46" s="723">
        <f t="shared" si="44"/>
        <v>-9.4670520753676293</v>
      </c>
      <c r="AG46" s="723">
        <f t="shared" si="44"/>
        <v>-16.386629324749936</v>
      </c>
      <c r="AH46" s="747">
        <f t="shared" si="44"/>
        <v>-1.2758698848927175</v>
      </c>
      <c r="AI46" s="747">
        <f t="shared" si="44"/>
        <v>-1.285439108076174</v>
      </c>
      <c r="AJ46" s="747">
        <f t="shared" si="44"/>
        <v>-5.4176598218060867</v>
      </c>
      <c r="AK46" s="747">
        <f t="shared" si="44"/>
        <v>-4.9535218106350634</v>
      </c>
      <c r="AL46" s="747">
        <f t="shared" si="44"/>
        <v>-0.33931681758554078</v>
      </c>
      <c r="AM46" s="747">
        <f t="shared" si="44"/>
        <v>2.3180681814978872</v>
      </c>
      <c r="AN46" s="747">
        <f t="shared" si="44"/>
        <v>8.9240934023189986</v>
      </c>
      <c r="AO46" s="723">
        <f t="shared" si="44"/>
        <v>14.245517022014806</v>
      </c>
      <c r="AP46" s="723">
        <f t="shared" si="44"/>
        <v>6.7910397500130806</v>
      </c>
      <c r="AQ46" s="723">
        <f t="shared" si="44"/>
        <v>-2.1740881537243588</v>
      </c>
      <c r="AR46" s="723">
        <f t="shared" si="44"/>
        <v>9.2656923519480152</v>
      </c>
      <c r="AS46" s="723">
        <f t="shared" si="44"/>
        <v>13.86586731264833</v>
      </c>
      <c r="AT46" s="696">
        <f t="shared" si="44"/>
        <v>-38.40242106356235</v>
      </c>
      <c r="AU46" s="696">
        <f t="shared" si="44"/>
        <v>-2.986938255361693</v>
      </c>
      <c r="AV46" s="696">
        <f t="shared" si="44"/>
        <v>-5.1747184027440625</v>
      </c>
      <c r="AW46" s="696">
        <f t="shared" si="44"/>
        <v>-2.3252718448854708</v>
      </c>
      <c r="AX46" s="696">
        <f t="shared" si="44"/>
        <v>1.9546962005418251</v>
      </c>
      <c r="AY46" s="696">
        <f t="shared" si="44"/>
        <v>5.0601626455092727</v>
      </c>
      <c r="AZ46" s="696">
        <f t="shared" si="44"/>
        <v>8.8014869487790293</v>
      </c>
      <c r="BA46" s="696">
        <f t="shared" si="44"/>
        <v>8.9010336807767843</v>
      </c>
      <c r="BB46" s="696">
        <f t="shared" si="44"/>
        <v>13.598717520952711</v>
      </c>
      <c r="BC46" s="696">
        <f t="shared" si="44"/>
        <v>20.023873613611471</v>
      </c>
      <c r="BD46" s="696">
        <f t="shared" si="44"/>
        <v>26.976910061199284</v>
      </c>
      <c r="BE46" s="696">
        <f t="shared" si="44"/>
        <v>36.020432394993186</v>
      </c>
      <c r="BF46" s="723">
        <f t="shared" si="44"/>
        <v>38.494437277042479</v>
      </c>
      <c r="BG46" s="723">
        <f t="shared" si="44"/>
        <v>40.57074873219797</v>
      </c>
      <c r="BH46" s="723">
        <f t="shared" si="44"/>
        <v>42.045622244437354</v>
      </c>
      <c r="BI46" s="723">
        <f t="shared" si="44"/>
        <v>41.905763514472412</v>
      </c>
      <c r="BJ46" s="723">
        <f t="shared" si="44"/>
        <v>40.541382324283632</v>
      </c>
      <c r="BK46" s="723">
        <f t="shared" si="44"/>
        <v>37.601607481948662</v>
      </c>
      <c r="BL46" s="723">
        <f t="shared" si="44"/>
        <v>34.41595898997123</v>
      </c>
      <c r="BM46" s="723">
        <f t="shared" si="44"/>
        <v>28.078098428986593</v>
      </c>
      <c r="BN46" s="723">
        <f t="shared" si="44"/>
        <v>20.774889030294574</v>
      </c>
      <c r="BO46" s="723">
        <f t="shared" si="44"/>
        <v>15.03122911382134</v>
      </c>
      <c r="BP46" s="723">
        <f t="shared" si="44"/>
        <v>9.9738252216244661</v>
      </c>
      <c r="BQ46" s="723">
        <f t="shared" si="44"/>
        <v>8.5550613463800431</v>
      </c>
      <c r="BR46" s="723">
        <f t="shared" si="44"/>
        <v>1.1359916168446844</v>
      </c>
      <c r="BS46" s="723">
        <f t="shared" si="44"/>
        <v>1.6322748950171118</v>
      </c>
      <c r="BT46" s="723">
        <f t="shared" si="44"/>
        <v>3.7946811216946159</v>
      </c>
      <c r="BU46" s="723">
        <f t="shared" si="44"/>
        <v>7.2418498299986354</v>
      </c>
      <c r="BV46" s="723">
        <f t="shared" ref="BV46:DA46" si="45">BV11+BV28+BV29+BV39</f>
        <v>11.856807552294889</v>
      </c>
      <c r="BW46" s="723">
        <f t="shared" si="45"/>
        <v>17.610675457921111</v>
      </c>
      <c r="BX46" s="723">
        <f t="shared" si="45"/>
        <v>24.199884858354132</v>
      </c>
      <c r="BY46" s="723">
        <f t="shared" si="45"/>
        <v>30.47191870661981</v>
      </c>
      <c r="BZ46" s="723">
        <f t="shared" si="45"/>
        <v>36.188817916650471</v>
      </c>
      <c r="CA46" s="723">
        <f t="shared" si="45"/>
        <v>41.614246665502812</v>
      </c>
      <c r="CB46" s="723">
        <f t="shared" si="45"/>
        <v>46.880707450181824</v>
      </c>
      <c r="CC46" s="723">
        <f t="shared" si="45"/>
        <v>51.643015528312766</v>
      </c>
      <c r="CD46" s="723">
        <f t="shared" si="45"/>
        <v>48.165614335029176</v>
      </c>
      <c r="CE46" s="723">
        <f t="shared" si="45"/>
        <v>51.946687536572725</v>
      </c>
      <c r="CF46" s="723">
        <f t="shared" si="45"/>
        <v>54.512540646095047</v>
      </c>
      <c r="CG46" s="723">
        <f t="shared" si="45"/>
        <v>56.312377963087627</v>
      </c>
      <c r="CH46" s="723">
        <f t="shared" si="45"/>
        <v>57.490864473486667</v>
      </c>
      <c r="CI46" s="723">
        <f t="shared" si="45"/>
        <v>58.128292945742388</v>
      </c>
      <c r="CJ46" s="723">
        <f t="shared" si="45"/>
        <v>58.648433182037635</v>
      </c>
      <c r="CK46" s="723">
        <f t="shared" si="45"/>
        <v>59.164053789555751</v>
      </c>
      <c r="CL46" s="723">
        <f t="shared" si="45"/>
        <v>59.143165959729387</v>
      </c>
      <c r="CM46" s="723">
        <f t="shared" si="45"/>
        <v>59.192206756367142</v>
      </c>
      <c r="CN46" s="723">
        <f t="shared" si="45"/>
        <v>59.350224622772018</v>
      </c>
      <c r="CO46" s="723">
        <f t="shared" si="45"/>
        <v>59.650676446169413</v>
      </c>
      <c r="CP46" s="723">
        <f t="shared" si="45"/>
        <v>52.167098491995731</v>
      </c>
      <c r="CQ46" s="723">
        <f t="shared" si="45"/>
        <v>52.828953019702908</v>
      </c>
      <c r="CR46" s="723">
        <f t="shared" si="45"/>
        <v>54.530021135353678</v>
      </c>
      <c r="CS46" s="723">
        <f t="shared" si="45"/>
        <v>57.353927005496445</v>
      </c>
      <c r="CT46" s="723">
        <f t="shared" si="45"/>
        <v>61.523759510613061</v>
      </c>
      <c r="CU46" s="723">
        <f t="shared" si="45"/>
        <v>66.608575381009487</v>
      </c>
      <c r="CV46" s="723">
        <f t="shared" si="45"/>
        <v>72.628631090398002</v>
      </c>
      <c r="CW46" s="723">
        <f t="shared" si="45"/>
        <v>79.52288140184136</v>
      </c>
      <c r="CX46" s="723">
        <f t="shared" si="45"/>
        <v>87.265924032394722</v>
      </c>
      <c r="CY46" s="723">
        <f t="shared" si="45"/>
        <v>95.395170950529135</v>
      </c>
      <c r="CZ46" s="723">
        <f t="shared" si="45"/>
        <v>103.92053412990616</v>
      </c>
      <c r="DA46" s="723">
        <f t="shared" si="45"/>
        <v>112.82368301643992</v>
      </c>
      <c r="DC46" s="850">
        <f>SUM(V46:AG46)</f>
        <v>-135.29298768161863</v>
      </c>
      <c r="DD46" s="850">
        <f t="shared" si="4"/>
        <v>39.964382423721176</v>
      </c>
      <c r="DE46" s="985">
        <f t="shared" si="5"/>
        <v>72.447963499809987</v>
      </c>
      <c r="DF46" s="850">
        <f t="shared" si="11"/>
        <v>357.98862370546072</v>
      </c>
      <c r="DG46" s="850">
        <f t="shared" si="6"/>
        <v>274.27087159939288</v>
      </c>
      <c r="DH46" s="850">
        <f t="shared" si="7"/>
        <v>681.70513865664498</v>
      </c>
      <c r="DI46" s="13">
        <f t="shared" si="12"/>
        <v>896.56915916568062</v>
      </c>
      <c r="DJ46" s="737"/>
    </row>
    <row r="47" spans="5:114" ht="13" customHeight="1" outlineLevel="1">
      <c r="E47" s="229"/>
      <c r="F47" s="230" t="s">
        <v>423</v>
      </c>
      <c r="I47" s="609" t="s">
        <v>736</v>
      </c>
      <c r="O47" s="706"/>
      <c r="P47" s="706"/>
      <c r="Q47" s="706"/>
      <c r="R47" s="706"/>
      <c r="S47" s="706"/>
      <c r="T47" s="706"/>
      <c r="U47" s="706"/>
      <c r="V47" s="861">
        <f t="shared" ref="V47:CG48" si="46">V93+V261+V390+V434+V623+V744</f>
        <v>0</v>
      </c>
      <c r="W47" s="861">
        <f t="shared" si="46"/>
        <v>0</v>
      </c>
      <c r="X47" s="861">
        <f t="shared" si="46"/>
        <v>0</v>
      </c>
      <c r="Y47" s="861">
        <f t="shared" si="46"/>
        <v>0</v>
      </c>
      <c r="Z47" s="861">
        <f t="shared" si="46"/>
        <v>0</v>
      </c>
      <c r="AA47" s="861">
        <f t="shared" si="46"/>
        <v>0</v>
      </c>
      <c r="AB47" s="861">
        <f t="shared" si="46"/>
        <v>0</v>
      </c>
      <c r="AC47" s="861">
        <f t="shared" si="46"/>
        <v>0.18497353641299075</v>
      </c>
      <c r="AD47" s="861">
        <f t="shared" si="46"/>
        <v>1.2343774792585778</v>
      </c>
      <c r="AE47" s="861">
        <f t="shared" si="46"/>
        <v>2.4183511010989012</v>
      </c>
      <c r="AF47" s="861">
        <f t="shared" si="46"/>
        <v>3.8895771559408168</v>
      </c>
      <c r="AG47" s="861">
        <f t="shared" si="46"/>
        <v>5.2053989359896313</v>
      </c>
      <c r="AH47" s="739">
        <f t="shared" si="46"/>
        <v>25.370088164514822</v>
      </c>
      <c r="AI47" s="739">
        <f t="shared" si="46"/>
        <v>35.807180422730681</v>
      </c>
      <c r="AJ47" s="739">
        <f t="shared" si="46"/>
        <v>47.513604657117753</v>
      </c>
      <c r="AK47" s="739">
        <f t="shared" si="46"/>
        <v>65.179086818218636</v>
      </c>
      <c r="AL47" s="739">
        <f t="shared" si="46"/>
        <v>82.539235315840372</v>
      </c>
      <c r="AM47" s="739">
        <f t="shared" si="46"/>
        <v>93.821413710529811</v>
      </c>
      <c r="AN47" s="739">
        <f t="shared" si="46"/>
        <v>105.74029025186229</v>
      </c>
      <c r="AO47" s="739">
        <f t="shared" si="46"/>
        <v>118.48636017512572</v>
      </c>
      <c r="AP47" s="739">
        <f t="shared" si="46"/>
        <v>132.2444549887806</v>
      </c>
      <c r="AQ47" s="739">
        <f t="shared" si="46"/>
        <v>150.62306692521025</v>
      </c>
      <c r="AR47" s="739">
        <f t="shared" si="46"/>
        <v>181.10136921323758</v>
      </c>
      <c r="AS47" s="739">
        <f t="shared" si="46"/>
        <v>213.27962792548615</v>
      </c>
      <c r="AT47" s="739">
        <f t="shared" si="46"/>
        <v>156.4373032403544</v>
      </c>
      <c r="AU47" s="739">
        <f t="shared" si="46"/>
        <v>179.5166149974481</v>
      </c>
      <c r="AV47" s="739">
        <f t="shared" si="46"/>
        <v>199.57389341996043</v>
      </c>
      <c r="AW47" s="739">
        <f t="shared" si="46"/>
        <v>226.75300400546237</v>
      </c>
      <c r="AX47" s="739">
        <f t="shared" si="46"/>
        <v>257.00424355550581</v>
      </c>
      <c r="AY47" s="739">
        <f t="shared" si="46"/>
        <v>284.57341030185842</v>
      </c>
      <c r="AZ47" s="739">
        <f t="shared" si="46"/>
        <v>308.03015908112206</v>
      </c>
      <c r="BA47" s="739">
        <f t="shared" si="46"/>
        <v>322.74441349297865</v>
      </c>
      <c r="BB47" s="739">
        <f t="shared" si="46"/>
        <v>336.04493210923113</v>
      </c>
      <c r="BC47" s="739">
        <f t="shared" si="46"/>
        <v>350.86342410713814</v>
      </c>
      <c r="BD47" s="739">
        <f t="shared" si="46"/>
        <v>367.4227923151679</v>
      </c>
      <c r="BE47" s="739">
        <f t="shared" si="46"/>
        <v>386.23188484464623</v>
      </c>
      <c r="BF47" s="739">
        <f t="shared" si="46"/>
        <v>405.95895702645566</v>
      </c>
      <c r="BG47" s="739">
        <f t="shared" si="46"/>
        <v>426.66131748933014</v>
      </c>
      <c r="BH47" s="739">
        <f t="shared" si="46"/>
        <v>447.32050621948355</v>
      </c>
      <c r="BI47" s="739">
        <f t="shared" si="46"/>
        <v>470.48808504023532</v>
      </c>
      <c r="BJ47" s="739">
        <f t="shared" si="46"/>
        <v>497.66530791664997</v>
      </c>
      <c r="BK47" s="739">
        <f t="shared" si="46"/>
        <v>526.05362549561755</v>
      </c>
      <c r="BL47" s="739">
        <f t="shared" si="46"/>
        <v>554.25135314044405</v>
      </c>
      <c r="BM47" s="739">
        <f t="shared" si="46"/>
        <v>578.40685616205371</v>
      </c>
      <c r="BN47" s="739">
        <f t="shared" si="46"/>
        <v>595.06997396028589</v>
      </c>
      <c r="BO47" s="739">
        <f t="shared" si="46"/>
        <v>606.00635700479631</v>
      </c>
      <c r="BP47" s="739">
        <f t="shared" si="46"/>
        <v>612.15345215438776</v>
      </c>
      <c r="BQ47" s="739">
        <f t="shared" si="46"/>
        <v>613.84631532464175</v>
      </c>
      <c r="BR47" s="739">
        <f t="shared" si="46"/>
        <v>612.43265925053561</v>
      </c>
      <c r="BS47" s="739">
        <f t="shared" si="46"/>
        <v>608.18012765823914</v>
      </c>
      <c r="BT47" s="739">
        <f t="shared" si="46"/>
        <v>601.20444846038743</v>
      </c>
      <c r="BU47" s="739">
        <f t="shared" si="46"/>
        <v>593.26771347378644</v>
      </c>
      <c r="BV47" s="739">
        <f t="shared" si="46"/>
        <v>586.14499253059591</v>
      </c>
      <c r="BW47" s="739">
        <f t="shared" si="46"/>
        <v>581.40278460967852</v>
      </c>
      <c r="BX47" s="739">
        <f t="shared" si="46"/>
        <v>580.19767334116671</v>
      </c>
      <c r="BY47" s="739">
        <f t="shared" si="46"/>
        <v>582.74674149485497</v>
      </c>
      <c r="BZ47" s="739">
        <f t="shared" si="46"/>
        <v>588.53471069250645</v>
      </c>
      <c r="CA47" s="739">
        <f t="shared" si="46"/>
        <v>596.80094798697201</v>
      </c>
      <c r="CB47" s="739">
        <f t="shared" si="46"/>
        <v>608.16000745175211</v>
      </c>
      <c r="CC47" s="739">
        <f t="shared" si="46"/>
        <v>622.24628221168655</v>
      </c>
      <c r="CD47" s="739">
        <f t="shared" si="46"/>
        <v>638.72088830127234</v>
      </c>
      <c r="CE47" s="739">
        <f t="shared" si="46"/>
        <v>657.66632343995093</v>
      </c>
      <c r="CF47" s="739">
        <f t="shared" si="46"/>
        <v>678.37658412571795</v>
      </c>
      <c r="CG47" s="739">
        <f t="shared" si="46"/>
        <v>700.01374877611818</v>
      </c>
      <c r="CH47" s="739">
        <f t="shared" ref="CH47:DA48" si="47">CH93+CH261+CH390+CH434+CH623+CH744</f>
        <v>722.45680153560443</v>
      </c>
      <c r="CI47" s="739">
        <f t="shared" si="47"/>
        <v>745.12614898512891</v>
      </c>
      <c r="CJ47" s="739">
        <f t="shared" si="47"/>
        <v>767.49391824749512</v>
      </c>
      <c r="CK47" s="739">
        <f t="shared" si="47"/>
        <v>789.59489934653152</v>
      </c>
      <c r="CL47" s="739">
        <f t="shared" si="47"/>
        <v>810.85158049641166</v>
      </c>
      <c r="CM47" s="739">
        <f t="shared" si="47"/>
        <v>831.24270101428783</v>
      </c>
      <c r="CN47" s="739">
        <f t="shared" si="47"/>
        <v>850.79275401115308</v>
      </c>
      <c r="CO47" s="739">
        <f t="shared" si="47"/>
        <v>869.57726251727104</v>
      </c>
      <c r="CP47" s="739">
        <f t="shared" si="47"/>
        <v>887.67510161510063</v>
      </c>
      <c r="CQ47" s="739">
        <f t="shared" si="47"/>
        <v>905.15806674788996</v>
      </c>
      <c r="CR47" s="739">
        <f t="shared" si="47"/>
        <v>922.09452468884786</v>
      </c>
      <c r="CS47" s="739">
        <f t="shared" si="47"/>
        <v>938.56215314341148</v>
      </c>
      <c r="CT47" s="739">
        <f t="shared" si="47"/>
        <v>954.87382657469686</v>
      </c>
      <c r="CU47" s="739">
        <f t="shared" si="47"/>
        <v>972.08420887541922</v>
      </c>
      <c r="CV47" s="739">
        <f t="shared" si="47"/>
        <v>991.29115636648271</v>
      </c>
      <c r="CW47" s="739">
        <f t="shared" si="47"/>
        <v>1013.6762613795009</v>
      </c>
      <c r="CX47" s="739">
        <f t="shared" si="47"/>
        <v>1040.3108670454981</v>
      </c>
      <c r="CY47" s="739">
        <f t="shared" si="47"/>
        <v>1071.3955869161134</v>
      </c>
      <c r="CZ47" s="739">
        <f t="shared" si="47"/>
        <v>1107.138578003746</v>
      </c>
      <c r="DA47" s="739">
        <f t="shared" si="47"/>
        <v>1147.7358509803018</v>
      </c>
      <c r="DC47" s="11">
        <f t="shared" ref="DC47:DC52" si="48">AG47</f>
        <v>5.2053989359896313</v>
      </c>
      <c r="DD47" s="11">
        <f t="shared" ref="DD47:DD52" si="49">AS47</f>
        <v>213.27962792548615</v>
      </c>
      <c r="DE47" s="11">
        <f t="shared" ref="DE47:DE52" si="50">BE47</f>
        <v>386.23188484464623</v>
      </c>
      <c r="DF47" s="11">
        <f t="shared" ref="DF47:DF52" si="51">BQ47</f>
        <v>613.84631532464175</v>
      </c>
      <c r="DG47" s="11">
        <f t="shared" ref="DG47:DG52" si="52">CC47</f>
        <v>622.24628221168655</v>
      </c>
      <c r="DH47" s="11">
        <f t="shared" ref="DH47:DH52" si="53">CO47</f>
        <v>869.57726251727104</v>
      </c>
      <c r="DI47" s="11">
        <f t="shared" ref="DI47:DI52" si="54">DA47</f>
        <v>1147.7358509803018</v>
      </c>
    </row>
    <row r="48" spans="5:114" ht="13" customHeight="1" outlineLevel="1">
      <c r="E48" s="229"/>
      <c r="F48" s="230" t="s">
        <v>810</v>
      </c>
      <c r="I48" s="609" t="s">
        <v>736</v>
      </c>
      <c r="O48" s="706"/>
      <c r="P48" s="706"/>
      <c r="Q48" s="706"/>
      <c r="R48" s="706"/>
      <c r="S48" s="706"/>
      <c r="T48" s="706"/>
      <c r="U48" s="706"/>
      <c r="V48" s="861">
        <f t="shared" si="46"/>
        <v>0</v>
      </c>
      <c r="W48" s="861">
        <f t="shared" si="46"/>
        <v>0</v>
      </c>
      <c r="X48" s="861">
        <f t="shared" si="46"/>
        <v>0</v>
      </c>
      <c r="Y48" s="861">
        <f t="shared" si="46"/>
        <v>4.2840620911299997E-2</v>
      </c>
      <c r="Z48" s="861">
        <f t="shared" si="46"/>
        <v>0.25246705221290633</v>
      </c>
      <c r="AA48" s="861">
        <f t="shared" si="46"/>
        <v>1.7460834010113946</v>
      </c>
      <c r="AB48" s="861">
        <f t="shared" si="46"/>
        <v>3.6339197798892995</v>
      </c>
      <c r="AC48" s="861">
        <f t="shared" si="46"/>
        <v>4.9445914924913161</v>
      </c>
      <c r="AD48" s="861">
        <f t="shared" si="46"/>
        <v>6.7786076838319067</v>
      </c>
      <c r="AE48" s="861">
        <f t="shared" si="46"/>
        <v>9.2971616321743138</v>
      </c>
      <c r="AF48" s="861">
        <f t="shared" si="46"/>
        <v>12.526988961527344</v>
      </c>
      <c r="AG48" s="861">
        <f t="shared" si="46"/>
        <v>16.950938246936218</v>
      </c>
      <c r="AH48" s="739">
        <f t="shared" si="46"/>
        <v>75.672108960298132</v>
      </c>
      <c r="AI48" s="739">
        <f t="shared" si="46"/>
        <v>95.666871440616461</v>
      </c>
      <c r="AJ48" s="739">
        <f t="shared" si="46"/>
        <v>104.09633499219484</v>
      </c>
      <c r="AK48" s="739">
        <f t="shared" si="46"/>
        <v>122.44151085004501</v>
      </c>
      <c r="AL48" s="739">
        <f t="shared" si="46"/>
        <v>134.02036609990984</v>
      </c>
      <c r="AM48" s="739">
        <f t="shared" si="46"/>
        <v>154.61413874859895</v>
      </c>
      <c r="AN48" s="739">
        <f t="shared" si="46"/>
        <v>186.82353906875775</v>
      </c>
      <c r="AO48" s="739">
        <f t="shared" si="46"/>
        <v>228.05869692554947</v>
      </c>
      <c r="AP48" s="739">
        <f t="shared" si="46"/>
        <v>282.14226225974988</v>
      </c>
      <c r="AQ48" s="739">
        <f t="shared" si="46"/>
        <v>321.11224898100039</v>
      </c>
      <c r="AR48" s="739">
        <f t="shared" si="46"/>
        <v>365.38564188869651</v>
      </c>
      <c r="AS48" s="739">
        <f t="shared" si="46"/>
        <v>417.10524624906196</v>
      </c>
      <c r="AT48" s="739">
        <f t="shared" si="46"/>
        <v>394.17185832322559</v>
      </c>
      <c r="AU48" s="739">
        <f t="shared" si="46"/>
        <v>447.80610626915666</v>
      </c>
      <c r="AV48" s="739">
        <f t="shared" si="46"/>
        <v>491.77275160207029</v>
      </c>
      <c r="AW48" s="739">
        <f t="shared" si="46"/>
        <v>534.10220886251875</v>
      </c>
      <c r="AX48" s="739">
        <f t="shared" si="46"/>
        <v>577.36089385425214</v>
      </c>
      <c r="AY48" s="739">
        <f t="shared" si="46"/>
        <v>620.27825777278792</v>
      </c>
      <c r="AZ48" s="739">
        <f t="shared" si="46"/>
        <v>661.13514440948313</v>
      </c>
      <c r="BA48" s="739">
        <f t="shared" si="46"/>
        <v>695.84662204550364</v>
      </c>
      <c r="BB48" s="739">
        <f t="shared" si="46"/>
        <v>730.85628032538739</v>
      </c>
      <c r="BC48" s="739">
        <f t="shared" si="46"/>
        <v>768.67858758037141</v>
      </c>
      <c r="BD48" s="739">
        <f t="shared" si="46"/>
        <v>808.23060198697544</v>
      </c>
      <c r="BE48" s="739">
        <f t="shared" si="46"/>
        <v>850.0365815378259</v>
      </c>
      <c r="BF48" s="739">
        <f t="shared" si="46"/>
        <v>898.24352370841439</v>
      </c>
      <c r="BG48" s="739">
        <f t="shared" si="46"/>
        <v>951.56661812758705</v>
      </c>
      <c r="BH48" s="739">
        <f t="shared" si="46"/>
        <v>1004.8415961044487</v>
      </c>
      <c r="BI48" s="739">
        <f t="shared" si="46"/>
        <v>1055.6514617342161</v>
      </c>
      <c r="BJ48" s="739">
        <f t="shared" si="46"/>
        <v>1102.8974768997468</v>
      </c>
      <c r="BK48" s="739">
        <f t="shared" si="46"/>
        <v>1144.5749858075073</v>
      </c>
      <c r="BL48" s="739">
        <f t="shared" si="46"/>
        <v>1180.6089738987489</v>
      </c>
      <c r="BM48" s="739">
        <f t="shared" si="46"/>
        <v>1207.7487435056448</v>
      </c>
      <c r="BN48" s="739">
        <f t="shared" si="46"/>
        <v>1223.7853273502756</v>
      </c>
      <c r="BO48" s="739">
        <f t="shared" si="46"/>
        <v>1230.7694840569666</v>
      </c>
      <c r="BP48" s="739">
        <f t="shared" si="46"/>
        <v>1230.4384043616055</v>
      </c>
      <c r="BQ48" s="739">
        <f t="shared" si="46"/>
        <v>1222.8650596157943</v>
      </c>
      <c r="BR48" s="739">
        <f t="shared" si="46"/>
        <v>1212.7079266995499</v>
      </c>
      <c r="BS48" s="739">
        <f t="shared" si="46"/>
        <v>1202.0355691285793</v>
      </c>
      <c r="BT48" s="739">
        <f t="shared" si="46"/>
        <v>1192.8873912173588</v>
      </c>
      <c r="BU48" s="739">
        <f t="shared" si="46"/>
        <v>1186.129446893571</v>
      </c>
      <c r="BV48" s="739">
        <f t="shared" si="46"/>
        <v>1183.3616152461225</v>
      </c>
      <c r="BW48" s="739">
        <f t="shared" si="46"/>
        <v>1185.8081937046545</v>
      </c>
      <c r="BX48" s="739">
        <f t="shared" si="46"/>
        <v>1194.3509743633451</v>
      </c>
      <c r="BY48" s="739">
        <f t="shared" si="46"/>
        <v>1209.4994548862917</v>
      </c>
      <c r="BZ48" s="739">
        <f t="shared" si="46"/>
        <v>1230.3321419790759</v>
      </c>
      <c r="CA48" s="739">
        <f t="shared" si="46"/>
        <v>1256.1439263897535</v>
      </c>
      <c r="CB48" s="739">
        <f t="shared" si="46"/>
        <v>1286.8412363974981</v>
      </c>
      <c r="CC48" s="739">
        <f t="shared" si="46"/>
        <v>1321.7469433907927</v>
      </c>
      <c r="CD48" s="739">
        <f t="shared" si="46"/>
        <v>1359.7208038473564</v>
      </c>
      <c r="CE48" s="739">
        <f t="shared" si="46"/>
        <v>1400.4713101413549</v>
      </c>
      <c r="CF48" s="739">
        <f t="shared" si="46"/>
        <v>1442.9079418731562</v>
      </c>
      <c r="CG48" s="739">
        <f t="shared" si="46"/>
        <v>1486.2136699757816</v>
      </c>
      <c r="CH48" s="739">
        <f t="shared" si="47"/>
        <v>1529.5941039385668</v>
      </c>
      <c r="CI48" s="739">
        <f t="shared" si="47"/>
        <v>1572.4229074397861</v>
      </c>
      <c r="CJ48" s="739">
        <f t="shared" si="47"/>
        <v>1614.1808589373904</v>
      </c>
      <c r="CK48" s="739">
        <f t="shared" si="47"/>
        <v>1654.9761002351133</v>
      </c>
      <c r="CL48" s="739">
        <f t="shared" si="47"/>
        <v>1694.2845974652596</v>
      </c>
      <c r="CM48" s="739">
        <f t="shared" si="47"/>
        <v>1732.1512389530017</v>
      </c>
      <c r="CN48" s="739">
        <f t="shared" si="47"/>
        <v>1768.6565701738705</v>
      </c>
      <c r="CO48" s="739">
        <f t="shared" si="47"/>
        <v>1803.9410861843805</v>
      </c>
      <c r="CP48" s="739">
        <f t="shared" si="47"/>
        <v>1838.3608066273148</v>
      </c>
      <c r="CQ48" s="739">
        <f t="shared" si="47"/>
        <v>1872.7964446926323</v>
      </c>
      <c r="CR48" s="739">
        <f t="shared" si="47"/>
        <v>1908.9027574539389</v>
      </c>
      <c r="CS48" s="739">
        <f t="shared" si="47"/>
        <v>1947.5485444864182</v>
      </c>
      <c r="CT48" s="739">
        <f t="shared" si="47"/>
        <v>1990.0011341286008</v>
      </c>
      <c r="CU48" s="739">
        <f t="shared" si="47"/>
        <v>2037.5196376572198</v>
      </c>
      <c r="CV48" s="739">
        <f t="shared" si="47"/>
        <v>2091.4047204637227</v>
      </c>
      <c r="CW48" s="739">
        <f t="shared" si="47"/>
        <v>2153.0265780464042</v>
      </c>
      <c r="CX48" s="739">
        <f t="shared" si="47"/>
        <v>2223.6683350846574</v>
      </c>
      <c r="CY48" s="739">
        <f t="shared" si="47"/>
        <v>2303.7463298515454</v>
      </c>
      <c r="CZ48" s="739">
        <f t="shared" si="47"/>
        <v>2393.7009161694482</v>
      </c>
      <c r="DA48" s="739">
        <f t="shared" si="47"/>
        <v>2493.9744969260528</v>
      </c>
      <c r="DC48" s="11">
        <f t="shared" si="48"/>
        <v>16.950938246936218</v>
      </c>
      <c r="DD48" s="11">
        <f t="shared" si="49"/>
        <v>417.10524624906196</v>
      </c>
      <c r="DE48" s="11">
        <f t="shared" si="50"/>
        <v>850.0365815378259</v>
      </c>
      <c r="DF48" s="11">
        <f t="shared" si="51"/>
        <v>1222.8650596157943</v>
      </c>
      <c r="DG48" s="11">
        <f t="shared" si="52"/>
        <v>1321.7469433907927</v>
      </c>
      <c r="DH48" s="11">
        <f t="shared" si="53"/>
        <v>1803.9410861843805</v>
      </c>
      <c r="DI48" s="11">
        <f t="shared" si="54"/>
        <v>2493.9744969260528</v>
      </c>
    </row>
    <row r="49" spans="1:117" ht="13" customHeight="1" outlineLevel="1">
      <c r="E49" s="230" t="s">
        <v>811</v>
      </c>
      <c r="F49" s="229"/>
      <c r="I49" s="609" t="s">
        <v>812</v>
      </c>
      <c r="O49" s="706"/>
      <c r="P49" s="706"/>
      <c r="Q49" s="706"/>
      <c r="R49" s="706"/>
      <c r="S49" s="706"/>
      <c r="T49" s="706"/>
      <c r="U49" s="706"/>
      <c r="V49" s="862">
        <f t="shared" ref="V49:CG49" si="55">V47/V8</f>
        <v>0</v>
      </c>
      <c r="W49" s="862">
        <f t="shared" si="55"/>
        <v>0</v>
      </c>
      <c r="X49" s="862">
        <f t="shared" si="55"/>
        <v>0</v>
      </c>
      <c r="Y49" s="862">
        <f t="shared" si="55"/>
        <v>0</v>
      </c>
      <c r="Z49" s="862">
        <f t="shared" si="55"/>
        <v>0</v>
      </c>
      <c r="AA49" s="862">
        <f t="shared" si="55"/>
        <v>0</v>
      </c>
      <c r="AB49" s="862">
        <f t="shared" si="55"/>
        <v>0</v>
      </c>
      <c r="AC49" s="862">
        <f t="shared" si="55"/>
        <v>1.2840578411730708E-3</v>
      </c>
      <c r="AD49" s="862">
        <f t="shared" si="55"/>
        <v>6.1165336972690328E-3</v>
      </c>
      <c r="AE49" s="862">
        <f t="shared" si="55"/>
        <v>8.7351749800622415E-3</v>
      </c>
      <c r="AF49" s="862">
        <f t="shared" si="55"/>
        <v>1.1262667499153904E-2</v>
      </c>
      <c r="AG49" s="862">
        <f t="shared" si="55"/>
        <v>1.120777943428024E-2</v>
      </c>
      <c r="AH49" s="753">
        <f t="shared" si="55"/>
        <v>4.6271433342855751E-2</v>
      </c>
      <c r="AI49" s="753">
        <f t="shared" si="55"/>
        <v>6.106172300720597E-2</v>
      </c>
      <c r="AJ49" s="753">
        <f t="shared" si="55"/>
        <v>7.5721910007742088E-2</v>
      </c>
      <c r="AK49" s="753">
        <f t="shared" si="55"/>
        <v>9.2062956193108045E-2</v>
      </c>
      <c r="AL49" s="753">
        <f t="shared" si="55"/>
        <v>0.10337604342087245</v>
      </c>
      <c r="AM49" s="753">
        <f t="shared" si="55"/>
        <v>9.1775417587688771E-2</v>
      </c>
      <c r="AN49" s="753">
        <f t="shared" si="55"/>
        <v>8.0685463287636511E-2</v>
      </c>
      <c r="AO49" s="753">
        <f t="shared" si="55"/>
        <v>7.888450324241375E-2</v>
      </c>
      <c r="AP49" s="753">
        <f t="shared" si="55"/>
        <v>7.7483162008109313E-2</v>
      </c>
      <c r="AQ49" s="753">
        <f t="shared" si="55"/>
        <v>7.8640159339142451E-2</v>
      </c>
      <c r="AR49" s="753">
        <f t="shared" si="55"/>
        <v>8.2942995597238958E-2</v>
      </c>
      <c r="AS49" s="753">
        <f t="shared" si="55"/>
        <v>8.5284487090150407E-2</v>
      </c>
      <c r="AT49" s="753">
        <f t="shared" si="55"/>
        <v>5.8433154211840463E-2</v>
      </c>
      <c r="AU49" s="753">
        <f t="shared" si="55"/>
        <v>6.3250887593667413E-2</v>
      </c>
      <c r="AV49" s="753">
        <f t="shared" si="55"/>
        <v>6.5224415475312159E-2</v>
      </c>
      <c r="AW49" s="753">
        <f t="shared" si="55"/>
        <v>6.8471119078277104E-2</v>
      </c>
      <c r="AX49" s="753">
        <f t="shared" si="55"/>
        <v>7.1491672108731807E-2</v>
      </c>
      <c r="AY49" s="753">
        <f t="shared" si="55"/>
        <v>7.29113407691237E-2</v>
      </c>
      <c r="AZ49" s="753">
        <f t="shared" si="55"/>
        <v>7.2609308172439171E-2</v>
      </c>
      <c r="BA49" s="753">
        <f t="shared" si="55"/>
        <v>7.0036850095280989E-2</v>
      </c>
      <c r="BB49" s="753">
        <f t="shared" si="55"/>
        <v>6.7201932752519067E-2</v>
      </c>
      <c r="BC49" s="753">
        <f t="shared" si="55"/>
        <v>6.4907970991494549E-2</v>
      </c>
      <c r="BD49" s="753">
        <f t="shared" si="55"/>
        <v>6.2922992267521766E-2</v>
      </c>
      <c r="BE49" s="753">
        <f t="shared" si="55"/>
        <v>6.0997692965170665E-2</v>
      </c>
      <c r="BF49" s="753">
        <f t="shared" si="55"/>
        <v>5.9702626654136566E-2</v>
      </c>
      <c r="BG49" s="753">
        <f t="shared" si="55"/>
        <v>5.9394855918565866E-2</v>
      </c>
      <c r="BH49" s="753">
        <f t="shared" si="55"/>
        <v>5.9665050197265666E-2</v>
      </c>
      <c r="BI49" s="753">
        <f t="shared" si="55"/>
        <v>6.0714706452272386E-2</v>
      </c>
      <c r="BJ49" s="753">
        <f t="shared" si="55"/>
        <v>6.275007996314165E-2</v>
      </c>
      <c r="BK49" s="753">
        <f t="shared" si="55"/>
        <v>6.5269496505202904E-2</v>
      </c>
      <c r="BL49" s="753">
        <f t="shared" si="55"/>
        <v>6.8076995441972821E-2</v>
      </c>
      <c r="BM49" s="753">
        <f t="shared" si="55"/>
        <v>7.0737492242519406E-2</v>
      </c>
      <c r="BN49" s="753">
        <f t="shared" si="55"/>
        <v>7.2820007158406336E-2</v>
      </c>
      <c r="BO49" s="753">
        <f t="shared" si="55"/>
        <v>7.4490109064473009E-2</v>
      </c>
      <c r="BP49" s="753">
        <f t="shared" si="55"/>
        <v>7.6027382976719141E-2</v>
      </c>
      <c r="BQ49" s="753">
        <f t="shared" si="55"/>
        <v>7.6960902006955045E-2</v>
      </c>
      <c r="BR49" s="753">
        <f t="shared" si="55"/>
        <v>7.7073162846635956E-2</v>
      </c>
      <c r="BS49" s="753">
        <f t="shared" si="55"/>
        <v>7.6389368967800783E-2</v>
      </c>
      <c r="BT49" s="753">
        <f t="shared" si="55"/>
        <v>7.5183073397836878E-2</v>
      </c>
      <c r="BU49" s="753">
        <f t="shared" si="55"/>
        <v>7.3492119550990401E-2</v>
      </c>
      <c r="BV49" s="753">
        <f t="shared" si="55"/>
        <v>7.1598630607997968E-2</v>
      </c>
      <c r="BW49" s="753">
        <f t="shared" si="55"/>
        <v>6.9746027607954536E-2</v>
      </c>
      <c r="BX49" s="753">
        <f t="shared" si="55"/>
        <v>6.8109440922498779E-2</v>
      </c>
      <c r="BY49" s="753">
        <f t="shared" si="55"/>
        <v>6.674575289876751E-2</v>
      </c>
      <c r="BZ49" s="753">
        <f t="shared" si="55"/>
        <v>6.5623183480411282E-2</v>
      </c>
      <c r="CA49" s="753">
        <f t="shared" si="55"/>
        <v>6.4677672935716468E-2</v>
      </c>
      <c r="CB49" s="753">
        <f t="shared" si="55"/>
        <v>6.3990894926869754E-2</v>
      </c>
      <c r="CC49" s="753">
        <f t="shared" si="55"/>
        <v>6.3535978139045005E-2</v>
      </c>
      <c r="CD49" s="753">
        <f t="shared" si="55"/>
        <v>6.3340004654356477E-2</v>
      </c>
      <c r="CE49" s="753">
        <f t="shared" si="55"/>
        <v>6.3410077172177573E-2</v>
      </c>
      <c r="CF49" s="753">
        <f t="shared" si="55"/>
        <v>6.3673251016815119E-2</v>
      </c>
      <c r="CG49" s="753">
        <f t="shared" si="55"/>
        <v>6.4053967667825437E-2</v>
      </c>
      <c r="CH49" s="753">
        <f t="shared" ref="CH49:DA49" si="56">CH47/CH8</f>
        <v>6.4532836230203006E-2</v>
      </c>
      <c r="CI49" s="753">
        <f t="shared" si="56"/>
        <v>6.5052613339294463E-2</v>
      </c>
      <c r="CJ49" s="753">
        <f t="shared" si="56"/>
        <v>6.5563144695043096E-2</v>
      </c>
      <c r="CK49" s="753">
        <f t="shared" si="56"/>
        <v>6.6071030495647193E-2</v>
      </c>
      <c r="CL49" s="753">
        <f t="shared" si="56"/>
        <v>6.6526188096269104E-2</v>
      </c>
      <c r="CM49" s="753">
        <f t="shared" si="56"/>
        <v>6.6927516624903982E-2</v>
      </c>
      <c r="CN49" s="753">
        <f t="shared" si="56"/>
        <v>6.7277009273944657E-2</v>
      </c>
      <c r="CO49" s="753">
        <f t="shared" si="56"/>
        <v>6.7580024848216E-2</v>
      </c>
      <c r="CP49" s="753">
        <f t="shared" si="56"/>
        <v>6.7745882471076865E-2</v>
      </c>
      <c r="CQ49" s="753">
        <f t="shared" si="56"/>
        <v>6.7648921984095084E-2</v>
      </c>
      <c r="CR49" s="753">
        <f t="shared" si="56"/>
        <v>6.7293519251254583E-2</v>
      </c>
      <c r="CS49" s="753">
        <f t="shared" si="56"/>
        <v>6.6687644726300968E-2</v>
      </c>
      <c r="CT49" s="753">
        <f t="shared" si="56"/>
        <v>6.5864605225174941E-2</v>
      </c>
      <c r="CU49" s="753">
        <f t="shared" si="56"/>
        <v>6.4907301632799036E-2</v>
      </c>
      <c r="CV49" s="753">
        <f t="shared" si="56"/>
        <v>6.3894142476294144E-2</v>
      </c>
      <c r="CW49" s="753">
        <f t="shared" si="56"/>
        <v>6.2899887297078058E-2</v>
      </c>
      <c r="CX49" s="753">
        <f t="shared" si="56"/>
        <v>6.1984879775848767E-2</v>
      </c>
      <c r="CY49" s="753">
        <f t="shared" si="56"/>
        <v>6.1150476137526215E-2</v>
      </c>
      <c r="CZ49" s="753">
        <f t="shared" si="56"/>
        <v>6.0396612723305571E-2</v>
      </c>
      <c r="DA49" s="753">
        <f t="shared" si="56"/>
        <v>5.9708897158275855E-2</v>
      </c>
      <c r="DC49" s="729">
        <f t="shared" si="48"/>
        <v>1.120777943428024E-2</v>
      </c>
      <c r="DD49" s="729">
        <f t="shared" si="49"/>
        <v>8.5284487090150407E-2</v>
      </c>
      <c r="DE49" s="729">
        <f t="shared" si="50"/>
        <v>6.0997692965170665E-2</v>
      </c>
      <c r="DF49" s="729">
        <f t="shared" si="51"/>
        <v>7.6960902006955045E-2</v>
      </c>
      <c r="DG49" s="729">
        <f t="shared" si="52"/>
        <v>6.3535978139045005E-2</v>
      </c>
      <c r="DH49" s="729">
        <f t="shared" si="53"/>
        <v>6.7580024848216E-2</v>
      </c>
      <c r="DI49" s="729">
        <f t="shared" si="54"/>
        <v>5.9708897158275855E-2</v>
      </c>
    </row>
    <row r="50" spans="1:117" ht="13" customHeight="1" outlineLevel="1">
      <c r="E50" s="230" t="s">
        <v>813</v>
      </c>
      <c r="F50" s="229"/>
      <c r="I50" s="609" t="s">
        <v>812</v>
      </c>
      <c r="O50" s="706"/>
      <c r="P50" s="706"/>
      <c r="Q50" s="706"/>
      <c r="R50" s="706"/>
      <c r="S50" s="706"/>
      <c r="T50" s="706"/>
      <c r="U50" s="706"/>
      <c r="V50" s="862">
        <f t="shared" ref="V50:CG50" si="57">V48/V8</f>
        <v>0</v>
      </c>
      <c r="W50" s="862">
        <f t="shared" si="57"/>
        <v>0</v>
      </c>
      <c r="X50" s="862">
        <f t="shared" si="57"/>
        <v>0</v>
      </c>
      <c r="Y50" s="862">
        <f t="shared" si="57"/>
        <v>2.6858714368759823E-3</v>
      </c>
      <c r="Z50" s="862">
        <f t="shared" si="57"/>
        <v>7.6177879544161815E-3</v>
      </c>
      <c r="AA50" s="862">
        <f t="shared" si="57"/>
        <v>3.5175056687184826E-2</v>
      </c>
      <c r="AB50" s="862">
        <f t="shared" si="57"/>
        <v>3.7956119412453151E-2</v>
      </c>
      <c r="AC50" s="862">
        <f t="shared" si="57"/>
        <v>3.432459367136384E-2</v>
      </c>
      <c r="AD50" s="862">
        <f t="shared" si="57"/>
        <v>3.3589062515648228E-2</v>
      </c>
      <c r="AE50" s="862">
        <f t="shared" si="57"/>
        <v>3.358169690003273E-2</v>
      </c>
      <c r="AF50" s="862">
        <f t="shared" si="57"/>
        <v>3.6273174636415544E-2</v>
      </c>
      <c r="AG50" s="862">
        <f t="shared" si="57"/>
        <v>3.6497179065805324E-2</v>
      </c>
      <c r="AH50" s="753">
        <f t="shared" si="57"/>
        <v>0.1380151666389258</v>
      </c>
      <c r="AI50" s="753">
        <f t="shared" si="57"/>
        <v>0.16314001649693205</v>
      </c>
      <c r="AJ50" s="753">
        <f t="shared" si="57"/>
        <v>0.16589718602278128</v>
      </c>
      <c r="AK50" s="753">
        <f t="shared" si="57"/>
        <v>0.17294393032911984</v>
      </c>
      <c r="AL50" s="753">
        <f t="shared" si="57"/>
        <v>0.16785344729946439</v>
      </c>
      <c r="AM50" s="753">
        <f t="shared" si="57"/>
        <v>0.15124241457705689</v>
      </c>
      <c r="AN50" s="753">
        <f t="shared" si="57"/>
        <v>0.14255629303545531</v>
      </c>
      <c r="AO50" s="753">
        <f t="shared" si="57"/>
        <v>0.15183432920459422</v>
      </c>
      <c r="AP50" s="753">
        <f t="shared" si="57"/>
        <v>0.16530957474066751</v>
      </c>
      <c r="AQ50" s="753">
        <f t="shared" si="57"/>
        <v>0.16765239840823939</v>
      </c>
      <c r="AR50" s="753">
        <f t="shared" si="57"/>
        <v>0.16734373582114948</v>
      </c>
      <c r="AS50" s="753">
        <f t="shared" si="57"/>
        <v>0.16678858330243426</v>
      </c>
      <c r="AT50" s="753">
        <f t="shared" si="57"/>
        <v>0.14723281791671336</v>
      </c>
      <c r="AU50" s="753">
        <f t="shared" si="57"/>
        <v>0.15778001212751783</v>
      </c>
      <c r="AV50" s="753">
        <f t="shared" si="57"/>
        <v>0.16072037138863007</v>
      </c>
      <c r="AW50" s="753">
        <f t="shared" si="57"/>
        <v>0.16127934491273765</v>
      </c>
      <c r="AX50" s="753">
        <f t="shared" si="57"/>
        <v>0.16060628081776371</v>
      </c>
      <c r="AY50" s="753">
        <f t="shared" si="57"/>
        <v>0.15892320851824412</v>
      </c>
      <c r="AZ50" s="753">
        <f t="shared" si="57"/>
        <v>0.15584371863865407</v>
      </c>
      <c r="BA50" s="753">
        <f t="shared" si="57"/>
        <v>0.15100154648708991</v>
      </c>
      <c r="BB50" s="753">
        <f t="shared" si="57"/>
        <v>0.14615591520427434</v>
      </c>
      <c r="BC50" s="753">
        <f t="shared" si="57"/>
        <v>0.14220167745160728</v>
      </c>
      <c r="BD50" s="753">
        <f t="shared" si="57"/>
        <v>0.13841353607583878</v>
      </c>
      <c r="BE50" s="753">
        <f t="shared" si="57"/>
        <v>0.13424647846115362</v>
      </c>
      <c r="BF50" s="753">
        <f t="shared" si="57"/>
        <v>0.13210078706790235</v>
      </c>
      <c r="BG50" s="753">
        <f t="shared" si="57"/>
        <v>0.1324661033561319</v>
      </c>
      <c r="BH50" s="753">
        <f t="shared" si="57"/>
        <v>0.13402900926356218</v>
      </c>
      <c r="BI50" s="753">
        <f t="shared" si="57"/>
        <v>0.13622782521607113</v>
      </c>
      <c r="BJ50" s="753">
        <f t="shared" si="57"/>
        <v>0.13906314899932146</v>
      </c>
      <c r="BK50" s="753">
        <f t="shared" si="57"/>
        <v>0.14201182049780992</v>
      </c>
      <c r="BL50" s="753">
        <f t="shared" si="57"/>
        <v>0.14501058279688395</v>
      </c>
      <c r="BM50" s="753">
        <f t="shared" si="57"/>
        <v>0.1477041920656402</v>
      </c>
      <c r="BN50" s="753">
        <f t="shared" si="57"/>
        <v>0.14975727258580718</v>
      </c>
      <c r="BO50" s="753">
        <f t="shared" si="57"/>
        <v>0.15128579435001371</v>
      </c>
      <c r="BP50" s="753">
        <f t="shared" si="57"/>
        <v>0.1528162774683986</v>
      </c>
      <c r="BQ50" s="753">
        <f t="shared" si="57"/>
        <v>0.15331654792298854</v>
      </c>
      <c r="BR50" s="753">
        <f t="shared" si="57"/>
        <v>0.152616347459819</v>
      </c>
      <c r="BS50" s="753">
        <f t="shared" si="57"/>
        <v>0.1509795115406703</v>
      </c>
      <c r="BT50" s="753">
        <f t="shared" si="57"/>
        <v>0.14917544359314244</v>
      </c>
      <c r="BU50" s="753">
        <f t="shared" si="57"/>
        <v>0.14693394758267778</v>
      </c>
      <c r="BV50" s="753">
        <f t="shared" si="57"/>
        <v>0.14454968010541916</v>
      </c>
      <c r="BW50" s="753">
        <f t="shared" si="57"/>
        <v>0.14225148761780931</v>
      </c>
      <c r="BX50" s="753">
        <f t="shared" si="57"/>
        <v>0.14020493508821061</v>
      </c>
      <c r="BY50" s="753">
        <f t="shared" si="57"/>
        <v>0.13853179434337029</v>
      </c>
      <c r="BZ50" s="753">
        <f t="shared" si="57"/>
        <v>0.137185301780992</v>
      </c>
      <c r="CA50" s="753">
        <f t="shared" si="57"/>
        <v>0.13613327241731646</v>
      </c>
      <c r="CB50" s="753">
        <f t="shared" si="57"/>
        <v>0.13540206744424629</v>
      </c>
      <c r="CC50" s="753">
        <f t="shared" si="57"/>
        <v>0.13496020354213656</v>
      </c>
      <c r="CD50" s="753">
        <f t="shared" si="57"/>
        <v>0.13483936978070696</v>
      </c>
      <c r="CE50" s="753">
        <f t="shared" si="57"/>
        <v>0.13502895113891644</v>
      </c>
      <c r="CF50" s="753">
        <f t="shared" si="57"/>
        <v>0.13543309384042534</v>
      </c>
      <c r="CG50" s="753">
        <f t="shared" si="57"/>
        <v>0.13599430372696231</v>
      </c>
      <c r="CH50" s="753">
        <f t="shared" ref="CH50:DA50" si="58">CH48/CH8</f>
        <v>0.13662968581421409</v>
      </c>
      <c r="CI50" s="753">
        <f t="shared" si="58"/>
        <v>0.13727906280413077</v>
      </c>
      <c r="CJ50" s="753">
        <f t="shared" si="58"/>
        <v>0.13789135093100977</v>
      </c>
      <c r="CK50" s="753">
        <f t="shared" si="58"/>
        <v>0.13848364076147926</v>
      </c>
      <c r="CL50" s="753">
        <f t="shared" si="58"/>
        <v>0.13900730852689538</v>
      </c>
      <c r="CM50" s="753">
        <f t="shared" si="58"/>
        <v>0.13946417899419536</v>
      </c>
      <c r="CN50" s="753">
        <f t="shared" si="58"/>
        <v>0.13985770790009666</v>
      </c>
      <c r="CO50" s="753">
        <f t="shared" si="58"/>
        <v>0.14019499897703097</v>
      </c>
      <c r="CP50" s="753">
        <f t="shared" si="58"/>
        <v>0.14030062904615495</v>
      </c>
      <c r="CQ50" s="753">
        <f t="shared" si="58"/>
        <v>0.13996744351435994</v>
      </c>
      <c r="CR50" s="753">
        <f t="shared" si="58"/>
        <v>0.13930977900649191</v>
      </c>
      <c r="CS50" s="753">
        <f t="shared" si="58"/>
        <v>0.13837914195341483</v>
      </c>
      <c r="CT50" s="753">
        <f t="shared" si="58"/>
        <v>0.13726487777678911</v>
      </c>
      <c r="CU50" s="753">
        <f t="shared" si="58"/>
        <v>0.13604778320302652</v>
      </c>
      <c r="CV50" s="753">
        <f t="shared" si="58"/>
        <v>0.13480248494772251</v>
      </c>
      <c r="CW50" s="753">
        <f t="shared" si="58"/>
        <v>0.13359800783184353</v>
      </c>
      <c r="CX50" s="753">
        <f t="shared" si="58"/>
        <v>0.13249291031923452</v>
      </c>
      <c r="CY50" s="753">
        <f t="shared" si="58"/>
        <v>0.13148755388846917</v>
      </c>
      <c r="CZ50" s="753">
        <f t="shared" si="58"/>
        <v>0.1305811486308977</v>
      </c>
      <c r="DA50" s="753">
        <f t="shared" si="58"/>
        <v>0.12974454585968681</v>
      </c>
      <c r="DC50" s="729">
        <f t="shared" si="48"/>
        <v>3.6497179065805324E-2</v>
      </c>
      <c r="DD50" s="729">
        <f t="shared" si="49"/>
        <v>0.16678858330243426</v>
      </c>
      <c r="DE50" s="729">
        <f t="shared" si="50"/>
        <v>0.13424647846115362</v>
      </c>
      <c r="DF50" s="729">
        <f t="shared" si="51"/>
        <v>0.15331654792298854</v>
      </c>
      <c r="DG50" s="729">
        <f t="shared" si="52"/>
        <v>0.13496020354213656</v>
      </c>
      <c r="DH50" s="729">
        <f t="shared" si="53"/>
        <v>0.14019499897703097</v>
      </c>
      <c r="DI50" s="729">
        <f t="shared" si="54"/>
        <v>0.12974454585968681</v>
      </c>
    </row>
    <row r="51" spans="1:117" ht="13" customHeight="1" outlineLevel="1">
      <c r="E51" s="230" t="s">
        <v>814</v>
      </c>
      <c r="F51" s="229"/>
      <c r="I51" s="609" t="s">
        <v>736</v>
      </c>
      <c r="O51" s="706"/>
      <c r="P51" s="706"/>
      <c r="Q51" s="706"/>
      <c r="R51" s="706"/>
      <c r="S51" s="706"/>
      <c r="T51" s="706"/>
      <c r="U51" s="706"/>
      <c r="V51" s="863">
        <f>V28</f>
        <v>-1.669418E-3</v>
      </c>
      <c r="W51" s="863">
        <f t="shared" ref="W51:AG51" si="59">V51+W28</f>
        <v>-9.2215530000000004E-3</v>
      </c>
      <c r="X51" s="863">
        <f t="shared" si="59"/>
        <v>-1.6588500999999999E-2</v>
      </c>
      <c r="Y51" s="863">
        <f t="shared" si="59"/>
        <v>-6.9944148999999997E-2</v>
      </c>
      <c r="Z51" s="863">
        <f t="shared" si="59"/>
        <v>-0.15344843499999999</v>
      </c>
      <c r="AA51" s="863">
        <f t="shared" si="59"/>
        <v>-0.476732194</v>
      </c>
      <c r="AB51" s="863">
        <f t="shared" si="59"/>
        <v>-0.75137231199999999</v>
      </c>
      <c r="AC51" s="863">
        <f t="shared" si="59"/>
        <v>-1.541591954</v>
      </c>
      <c r="AD51" s="863">
        <f t="shared" si="59"/>
        <v>-2.6487390670000002</v>
      </c>
      <c r="AE51" s="863">
        <f t="shared" si="59"/>
        <v>-4.4083816580000006</v>
      </c>
      <c r="AF51" s="863">
        <f t="shared" si="59"/>
        <v>-6.4140951090000007</v>
      </c>
      <c r="AG51" s="863">
        <f t="shared" si="59"/>
        <v>-9.376081997</v>
      </c>
      <c r="AH51" s="756">
        <f>AH28</f>
        <v>-3.6128270179999999</v>
      </c>
      <c r="AI51" s="756">
        <f t="shared" ref="AI51:AS51" si="60">AH51+AI28</f>
        <v>-8.1420944569999989</v>
      </c>
      <c r="AJ51" s="863">
        <f t="shared" si="60"/>
        <v>-13.206340237999999</v>
      </c>
      <c r="AK51" s="863">
        <f t="shared" si="60"/>
        <v>-20.067064210999998</v>
      </c>
      <c r="AL51" s="863">
        <f t="shared" si="60"/>
        <v>-27.664063695999999</v>
      </c>
      <c r="AM51" s="863">
        <f t="shared" si="60"/>
        <v>-37.442136059999996</v>
      </c>
      <c r="AN51" s="863">
        <f t="shared" si="60"/>
        <v>-57.349004451999988</v>
      </c>
      <c r="AO51" s="863">
        <f t="shared" si="60"/>
        <v>-74.525612837999986</v>
      </c>
      <c r="AP51" s="863">
        <f t="shared" si="60"/>
        <v>-92.227418032999992</v>
      </c>
      <c r="AQ51" s="863">
        <f t="shared" si="60"/>
        <v>-120.3304312574727</v>
      </c>
      <c r="AR51" s="863">
        <f t="shared" si="60"/>
        <v>-144.53116949790856</v>
      </c>
      <c r="AS51" s="863">
        <f t="shared" si="60"/>
        <v>-171.74226813700108</v>
      </c>
      <c r="AT51" s="756">
        <f>AT28</f>
        <v>-75.750896107743415</v>
      </c>
      <c r="AU51" s="756">
        <f t="shared" ref="AU51:BE51" si="61">AT51+AU28</f>
        <v>-119.91588841340007</v>
      </c>
      <c r="AV51" s="756">
        <f t="shared" si="61"/>
        <v>-173.72445284862235</v>
      </c>
      <c r="AW51" s="756">
        <f t="shared" si="61"/>
        <v>-233.52122755530007</v>
      </c>
      <c r="AX51" s="756">
        <f t="shared" si="61"/>
        <v>-297.98960428241139</v>
      </c>
      <c r="AY51" s="756">
        <f t="shared" si="61"/>
        <v>-369.06359294632193</v>
      </c>
      <c r="AZ51" s="756">
        <f t="shared" si="61"/>
        <v>-449.55590836398898</v>
      </c>
      <c r="BA51" s="756">
        <f t="shared" si="61"/>
        <v>-539.86913419897212</v>
      </c>
      <c r="BB51" s="756">
        <f t="shared" si="61"/>
        <v>-635.82002867022265</v>
      </c>
      <c r="BC51" s="756">
        <f t="shared" si="61"/>
        <v>-735.81475021625943</v>
      </c>
      <c r="BD51" s="756">
        <f t="shared" si="61"/>
        <v>-840.13381028226695</v>
      </c>
      <c r="BE51" s="756">
        <f t="shared" si="61"/>
        <v>-949.37913822958183</v>
      </c>
      <c r="BF51" s="863">
        <f>BF28</f>
        <v>-114.46882470985977</v>
      </c>
      <c r="BG51" s="863">
        <f t="shared" ref="BG51:BQ51" si="62">BF51+BG28</f>
        <v>-233.96619582519446</v>
      </c>
      <c r="BH51" s="863">
        <f t="shared" si="62"/>
        <v>-358.64731002815103</v>
      </c>
      <c r="BI51" s="863">
        <f t="shared" si="62"/>
        <v>-489.0408277237841</v>
      </c>
      <c r="BJ51" s="863">
        <f t="shared" si="62"/>
        <v>-625.33406019517588</v>
      </c>
      <c r="BK51" s="863">
        <f t="shared" si="62"/>
        <v>-767.01196896764895</v>
      </c>
      <c r="BL51" s="863">
        <f t="shared" si="62"/>
        <v>-914.4228248715458</v>
      </c>
      <c r="BM51" s="863">
        <f t="shared" si="62"/>
        <v>-1069.5458952500082</v>
      </c>
      <c r="BN51" s="863">
        <f t="shared" si="62"/>
        <v>-1232.2836274776018</v>
      </c>
      <c r="BO51" s="863">
        <f t="shared" si="62"/>
        <v>-1400.359738813961</v>
      </c>
      <c r="BP51" s="863">
        <f t="shared" si="62"/>
        <v>-1571.9202056024621</v>
      </c>
      <c r="BQ51" s="863">
        <f t="shared" si="62"/>
        <v>-1745.889972840406</v>
      </c>
      <c r="BR51" s="863">
        <f>BR28</f>
        <v>-175.38149601780384</v>
      </c>
      <c r="BS51" s="863">
        <f t="shared" ref="BS51:CC51" si="63">BR51+BS28</f>
        <v>-351.5130620706866</v>
      </c>
      <c r="BT51" s="863">
        <f t="shared" si="63"/>
        <v>-527.24958945001197</v>
      </c>
      <c r="BU51" s="863">
        <f t="shared" si="63"/>
        <v>-702.23796017151585</v>
      </c>
      <c r="BV51" s="863">
        <f t="shared" si="63"/>
        <v>-876.26723229626566</v>
      </c>
      <c r="BW51" s="863">
        <f t="shared" si="63"/>
        <v>-1048.9711457454882</v>
      </c>
      <c r="BX51" s="863">
        <f t="shared" si="63"/>
        <v>-1220.184333855163</v>
      </c>
      <c r="BY51" s="863">
        <f t="shared" si="63"/>
        <v>-1391.0281211197405</v>
      </c>
      <c r="BZ51" s="863">
        <f t="shared" si="63"/>
        <v>-1562.749229576888</v>
      </c>
      <c r="CA51" s="863">
        <f t="shared" si="63"/>
        <v>-1736.0952334224885</v>
      </c>
      <c r="CB51" s="863">
        <f t="shared" si="63"/>
        <v>-1911.8331017167848</v>
      </c>
      <c r="CC51" s="863">
        <f t="shared" si="63"/>
        <v>-2090.8380117448619</v>
      </c>
      <c r="CD51" s="863">
        <f>CD28</f>
        <v>-182.63814271631256</v>
      </c>
      <c r="CE51" s="863">
        <f t="shared" ref="CE51:CO51" si="64">CD51+CE28</f>
        <v>-369.48580399137779</v>
      </c>
      <c r="CF51" s="863">
        <f t="shared" si="64"/>
        <v>-561.52542359990991</v>
      </c>
      <c r="CG51" s="863">
        <f t="shared" si="64"/>
        <v>-759.07668571992383</v>
      </c>
      <c r="CH51" s="863">
        <f t="shared" si="64"/>
        <v>-962.66977351065623</v>
      </c>
      <c r="CI51" s="863">
        <f t="shared" si="64"/>
        <v>-1172.6051926917767</v>
      </c>
      <c r="CJ51" s="863">
        <f t="shared" si="64"/>
        <v>-1388.7832313720578</v>
      </c>
      <c r="CK51" s="863">
        <f t="shared" si="64"/>
        <v>-1611.0151789452748</v>
      </c>
      <c r="CL51" s="863">
        <f t="shared" si="64"/>
        <v>-1839.6454646280567</v>
      </c>
      <c r="CM51" s="863">
        <f t="shared" si="64"/>
        <v>-2074.4594780881894</v>
      </c>
      <c r="CN51" s="863">
        <f t="shared" si="64"/>
        <v>-2315.2257617205746</v>
      </c>
      <c r="CO51" s="863">
        <f t="shared" si="64"/>
        <v>-2561.6966029953587</v>
      </c>
      <c r="CP51" s="863">
        <f>CP28</f>
        <v>-252.13855594942402</v>
      </c>
      <c r="CQ51" s="863">
        <f t="shared" ref="CQ51:DA51" si="65">CP51+CQ28</f>
        <v>-510.03484780182026</v>
      </c>
      <c r="CR51" s="863">
        <f t="shared" si="65"/>
        <v>-773.61114453084224</v>
      </c>
      <c r="CS51" s="863">
        <f t="shared" si="65"/>
        <v>-1042.7710677398579</v>
      </c>
      <c r="CT51" s="863">
        <f t="shared" si="65"/>
        <v>-1317.5170967699555</v>
      </c>
      <c r="CU51" s="863">
        <f t="shared" si="65"/>
        <v>-1597.9916322548474</v>
      </c>
      <c r="CV51" s="863">
        <f t="shared" si="65"/>
        <v>-1884.3700588067743</v>
      </c>
      <c r="CW51" s="863">
        <f t="shared" si="65"/>
        <v>-2176.9283387670712</v>
      </c>
      <c r="CX51" s="863">
        <f t="shared" si="65"/>
        <v>-2476.3605069318255</v>
      </c>
      <c r="CY51" s="863">
        <f t="shared" si="65"/>
        <v>-2783.890523550454</v>
      </c>
      <c r="CZ51" s="863">
        <f t="shared" si="65"/>
        <v>-3100.8069088484995</v>
      </c>
      <c r="DA51" s="863">
        <f t="shared" si="65"/>
        <v>-3428.4990649232809</v>
      </c>
      <c r="DC51" s="12">
        <f t="shared" si="48"/>
        <v>-9.376081997</v>
      </c>
      <c r="DD51" s="12">
        <f t="shared" si="49"/>
        <v>-171.74226813700108</v>
      </c>
      <c r="DE51" s="12">
        <f t="shared" si="50"/>
        <v>-949.37913822958183</v>
      </c>
      <c r="DF51" s="12">
        <f t="shared" si="51"/>
        <v>-1745.889972840406</v>
      </c>
      <c r="DG51" s="12">
        <f t="shared" si="52"/>
        <v>-2090.8380117448619</v>
      </c>
      <c r="DH51" s="12">
        <f t="shared" si="53"/>
        <v>-2561.6966029953587</v>
      </c>
      <c r="DI51" s="12">
        <f t="shared" si="54"/>
        <v>-3428.4990649232809</v>
      </c>
    </row>
    <row r="52" spans="1:117" ht="13" customHeight="1" outlineLevel="1">
      <c r="E52" s="230" t="s">
        <v>815</v>
      </c>
      <c r="F52" s="229"/>
      <c r="I52" s="609" t="s">
        <v>812</v>
      </c>
      <c r="O52" s="706"/>
      <c r="P52" s="706"/>
      <c r="Q52" s="706"/>
      <c r="R52" s="706"/>
      <c r="S52" s="706"/>
      <c r="T52" s="706"/>
      <c r="U52" s="706"/>
      <c r="V52" s="862">
        <f>V51/AVERAGE(U$8:V8)</f>
        <v>-3.3157870227215483E-3</v>
      </c>
      <c r="W52" s="862">
        <f>W51/AVERAGE(V$8:W8)</f>
        <v>-6.1555765726270051E-3</v>
      </c>
      <c r="X52" s="862">
        <f>X51/AVERAGE(W$8:X8)</f>
        <v>-3.2938700508597513E-3</v>
      </c>
      <c r="Y52" s="862">
        <f>Y51/AVERAGE(X$8:Y8)</f>
        <v>-5.8205551099899024E-3</v>
      </c>
      <c r="Z52" s="862">
        <f>Z51/AVERAGE(Y$8:Z8)</f>
        <v>-6.2514459453964282E-3</v>
      </c>
      <c r="AA52" s="862">
        <f>AA51/AVERAGE(Z$8:AA8)</f>
        <v>-1.1517830231058391E-2</v>
      </c>
      <c r="AB52" s="862">
        <f>AB51/AVERAGE(AA$8:AB8)</f>
        <v>-1.0336678094876716E-2</v>
      </c>
      <c r="AC52" s="862">
        <f>AC51/AVERAGE(AB$8:AC8)</f>
        <v>-1.2857639977578435E-2</v>
      </c>
      <c r="AD52" s="862">
        <f>AD51/AVERAGE(AC$8:AD8)</f>
        <v>-1.5316656757747115E-2</v>
      </c>
      <c r="AE52" s="862">
        <f>AE51/AVERAGE(AD$8:AE8)</f>
        <v>-1.8419600791602642E-2</v>
      </c>
      <c r="AF52" s="862">
        <f>AF51/AVERAGE(AE$8:AF8)</f>
        <v>-2.0617358744003087E-2</v>
      </c>
      <c r="AG52" s="862">
        <f>AG51/AVERAGE(AF$8:AG8)</f>
        <v>-2.315663783209454E-2</v>
      </c>
      <c r="AH52" s="753">
        <f>AH51/AVERAGE($AG8:AH8)</f>
        <v>-7.1348028871122777E-3</v>
      </c>
      <c r="AI52" s="753">
        <f>AI51/AVERAGE($AG8:AI8)</f>
        <v>-1.5274607453503217E-2</v>
      </c>
      <c r="AJ52" s="753">
        <f>AJ51/AVERAGE($AG8:AJ8)</f>
        <v>-2.3724481900173757E-2</v>
      </c>
      <c r="AK52" s="753">
        <f>AK51/AVERAGE($AG8:AK8)</f>
        <v>-3.4190436155003424E-2</v>
      </c>
      <c r="AL52" s="753">
        <f>AL51/AVERAGE($AG8:AL8)</f>
        <v>-4.4463610900234631E-2</v>
      </c>
      <c r="AM52" s="753">
        <f>AM51/AVERAGE($AG8:AM8)</f>
        <v>-5.5116012609945107E-2</v>
      </c>
      <c r="AN52" s="753">
        <f>AN51/AVERAGE($AG8:AN8)</f>
        <v>-7.5635156144375867E-2</v>
      </c>
      <c r="AO52" s="753">
        <f>AO51/AVERAGE($AG8:AO8)</f>
        <v>-8.8628585228670856E-2</v>
      </c>
      <c r="AP52" s="753">
        <f>AP51/AVERAGE($AG8:AP8)</f>
        <v>-9.9440524593450833E-2</v>
      </c>
      <c r="AQ52" s="753">
        <f>AQ51/AVERAGE($AG8:AQ8)</f>
        <v>-0.11828753586703616</v>
      </c>
      <c r="AR52" s="753">
        <f>AR51/AVERAGE($AG8:AR8)</f>
        <v>-0.12968814248940577</v>
      </c>
      <c r="AS52" s="753">
        <f>AS51/AVERAGE($AG8:AS8)</f>
        <v>-0.14064622678729155</v>
      </c>
      <c r="AT52" s="753">
        <f>AT51/AVERAGE($AS8:AT8)</f>
        <v>-2.9258728877837099E-2</v>
      </c>
      <c r="AU52" s="753">
        <f>AU51/AVERAGE($AS8:AU8)</f>
        <v>-4.4877744867053954E-2</v>
      </c>
      <c r="AV52" s="753">
        <f>AV51/AVERAGE($AS8:AV8)</f>
        <v>-6.2739204487053182E-2</v>
      </c>
      <c r="AW52" s="753">
        <f>AW51/AVERAGE($AS8:AW8)</f>
        <v>-8.1153453984036075E-2</v>
      </c>
      <c r="AX52" s="753">
        <f>AX51/AVERAGE($AS8:AX8)</f>
        <v>-9.9426438975405068E-2</v>
      </c>
      <c r="AY52" s="753">
        <f>AY51/AVERAGE($AS8:AY8)</f>
        <v>-0.11804356417761833</v>
      </c>
      <c r="AZ52" s="753">
        <f>AZ51/AVERAGE($AS8:AZ8)</f>
        <v>-0.13764820126344945</v>
      </c>
      <c r="BA52" s="753">
        <f>BA51/AVERAGE($AS8:BA8)</f>
        <v>-0.15808230975083656</v>
      </c>
      <c r="BB52" s="753">
        <f>BB51/AVERAGE($AS8:BB8)</f>
        <v>-0.17791868238320596</v>
      </c>
      <c r="BC52" s="753">
        <f>BC51/AVERAGE($AS8:BC8)</f>
        <v>-0.19673184848650921</v>
      </c>
      <c r="BD52" s="753">
        <f>BD51/AVERAGE($AS8:BD8)</f>
        <v>-0.21458740044150942</v>
      </c>
      <c r="BE52" s="753">
        <f>BE51/AVERAGE($AS8:BE8)</f>
        <v>-0.23149829719688095</v>
      </c>
      <c r="BF52" s="753">
        <f>BF51/AVERAGE($BE8:BF8)</f>
        <v>-1.7434110854599328E-2</v>
      </c>
      <c r="BG52" s="753">
        <f>BG51/AVERAGE($BE8:BG8)</f>
        <v>-3.4550643355157611E-2</v>
      </c>
      <c r="BH52" s="753">
        <f>BH51/AVERAGE($BE8:BH8)</f>
        <v>-5.1581180955791964E-2</v>
      </c>
      <c r="BI52" s="753">
        <f>BI51/AVERAGE($BE8:BI8)</f>
        <v>-6.8760020866968127E-2</v>
      </c>
      <c r="BJ52" s="753">
        <f>BJ51/AVERAGE($BE8:BJ8)</f>
        <v>-8.6268177993873971E-2</v>
      </c>
      <c r="BK52" s="753">
        <f>BK51/AVERAGE($BE8:BK8)</f>
        <v>-0.10414879351166592</v>
      </c>
      <c r="BL52" s="753">
        <f>BL51/AVERAGE($BE8:BL8)</f>
        <v>-0.1225488874548947</v>
      </c>
      <c r="BM52" s="753">
        <f>BM51/AVERAGE($BE8:BM8)</f>
        <v>-0.14182786497825509</v>
      </c>
      <c r="BN52" s="753">
        <f>BN51/AVERAGE($BE8:BN8)</f>
        <v>-0.16205263020027394</v>
      </c>
      <c r="BO52" s="753">
        <f>BO51/AVERAGE($BE8:BO8)</f>
        <v>-0.18299358532521237</v>
      </c>
      <c r="BP52" s="753">
        <f>BP51/AVERAGE($BE8:BP8)</f>
        <v>-0.20452325296748497</v>
      </c>
      <c r="BQ52" s="753">
        <f>BQ51/AVERAGE($BE8:BQ8)</f>
        <v>-0.22650044315632059</v>
      </c>
      <c r="BR52" s="753">
        <f>BR51/AVERAGE($BQ8:BR8)</f>
        <v>-2.2029805815721996E-2</v>
      </c>
      <c r="BS52" s="753">
        <f>BS51/AVERAGE($BQ8:BS8)</f>
        <v>-4.4152940544620697E-2</v>
      </c>
      <c r="BT52" s="753">
        <f>BT51/AVERAGE($BQ8:BT8)</f>
        <v>-6.6153610149864719E-2</v>
      </c>
      <c r="BU52" s="753">
        <f>BU51/AVERAGE($BQ8:BU8)</f>
        <v>-8.7883323094762975E-2</v>
      </c>
      <c r="BV52" s="753">
        <f>BV51/AVERAGE($BQ8:BV8)</f>
        <v>-0.10921623167939731</v>
      </c>
      <c r="BW52" s="753">
        <f>BW51/AVERAGE($BQ8:BW8)</f>
        <v>-0.13001764960395951</v>
      </c>
      <c r="BX52" s="753">
        <f>BX51/AVERAGE($BQ8:BX8)</f>
        <v>-0.15019039041066834</v>
      </c>
      <c r="BY52" s="753">
        <f>BY51/AVERAGE($BQ8:BY8)</f>
        <v>-0.16981050016238181</v>
      </c>
      <c r="BZ52" s="753">
        <f>BZ51/AVERAGE($BQ8:BZ8)</f>
        <v>-0.18898149046522511</v>
      </c>
      <c r="CA52" s="753">
        <f>CA51/AVERAGE($BQ8:CA8)</f>
        <v>-0.20775601247667905</v>
      </c>
      <c r="CB52" s="753">
        <f>CB51/AVERAGE($BQ8:CB8)</f>
        <v>-0.22619799606302582</v>
      </c>
      <c r="CC52" s="753">
        <f>CC51/AVERAGE($BQ8:CC8)</f>
        <v>-0.24439291851735762</v>
      </c>
      <c r="CD52" s="753">
        <f>CD51/AVERAGE($CC8:CD8)</f>
        <v>-1.8376268227018225E-2</v>
      </c>
      <c r="CE52" s="753">
        <f>CE51/AVERAGE($CC8:CE8)</f>
        <v>-3.6644132501824613E-2</v>
      </c>
      <c r="CF52" s="753">
        <f>CF51/AVERAGE($CC8:CF8)</f>
        <v>-5.4912515248302284E-2</v>
      </c>
      <c r="CG52" s="753">
        <f>CG51/AVERAGE($CC8:CG8)</f>
        <v>-7.3225034149852361E-2</v>
      </c>
      <c r="CH52" s="753">
        <f>CH51/AVERAGE($CC8:CH8)</f>
        <v>-9.1643624606561683E-2</v>
      </c>
      <c r="CI52" s="753">
        <f>CI51/AVERAGE($CC8:CI8)</f>
        <v>-0.11020553384846213</v>
      </c>
      <c r="CJ52" s="753">
        <f>CJ51/AVERAGE($CC8:CJ8)</f>
        <v>-0.12890832400990684</v>
      </c>
      <c r="CK52" s="753">
        <f>CK51/AVERAGE($CC8:CK8)</f>
        <v>-0.14774226828226364</v>
      </c>
      <c r="CL52" s="753">
        <f>CL51/AVERAGE($CC8:CL8)</f>
        <v>-0.16674557046306759</v>
      </c>
      <c r="CM52" s="753">
        <f>CM51/AVERAGE($CC8:CM8)</f>
        <v>-0.18590384796855289</v>
      </c>
      <c r="CN52" s="753">
        <f>CN51/AVERAGE($CC8:CN8)</f>
        <v>-0.20520100669866262</v>
      </c>
      <c r="CO52" s="753">
        <f>CO51/AVERAGE($CC8:CO8)</f>
        <v>-0.22461924946195228</v>
      </c>
      <c r="CP52" s="753">
        <f>CP51/AVERAGE($CO8:CP8)</f>
        <v>-1.9417392170632378E-2</v>
      </c>
      <c r="CQ52" s="753">
        <f>CQ51/AVERAGE($CO8:CQ8)</f>
        <v>-3.8883881736021718E-2</v>
      </c>
      <c r="CR52" s="753">
        <f>CR51/AVERAGE($CO8:CR8)</f>
        <v>-5.8327213250504335E-2</v>
      </c>
      <c r="CS52" s="753">
        <f>CS51/AVERAGE($CO8:CS8)</f>
        <v>-7.7671287232705347E-2</v>
      </c>
      <c r="CT52" s="753">
        <f>CT51/AVERAGE($CO8:CT8)</f>
        <v>-9.6846921675703496E-2</v>
      </c>
      <c r="CU52" s="753">
        <f>CU51/AVERAGE($CO8:CU8)</f>
        <v>-0.11579503607429117</v>
      </c>
      <c r="CV52" s="753">
        <f>CV51/AVERAGE($CO8:CV8)</f>
        <v>-0.13445883694236369</v>
      </c>
      <c r="CW52" s="753">
        <f>CW51/AVERAGE($CO8:CW8)</f>
        <v>-0.15278892678096057</v>
      </c>
      <c r="CX52" s="753">
        <f>CX51/AVERAGE($CO8:CX8)</f>
        <v>-0.17076603891789982</v>
      </c>
      <c r="CY52" s="753">
        <f>CY51/AVERAGE($CO8:CY8)</f>
        <v>-0.18840686757035136</v>
      </c>
      <c r="CZ52" s="753">
        <f>CZ51/AVERAGE($CO8:CZ8)</f>
        <v>-0.20572999531134098</v>
      </c>
      <c r="DA52" s="753">
        <f>DA51/AVERAGE($CO8:DA8)</f>
        <v>-0.22275355628115515</v>
      </c>
      <c r="DC52" s="729">
        <f t="shared" si="48"/>
        <v>-2.315663783209454E-2</v>
      </c>
      <c r="DD52" s="729">
        <f t="shared" si="49"/>
        <v>-0.14064622678729155</v>
      </c>
      <c r="DE52" s="729">
        <f t="shared" si="50"/>
        <v>-0.23149829719688095</v>
      </c>
      <c r="DF52" s="729">
        <f t="shared" si="51"/>
        <v>-0.22650044315632059</v>
      </c>
      <c r="DG52" s="729">
        <f t="shared" si="52"/>
        <v>-0.24439291851735762</v>
      </c>
      <c r="DH52" s="729">
        <f t="shared" si="53"/>
        <v>-0.22461924946195228</v>
      </c>
      <c r="DI52" s="729">
        <f t="shared" si="54"/>
        <v>-0.22275355628115515</v>
      </c>
    </row>
    <row r="53" spans="1:117"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</row>
    <row r="54" spans="1:117" ht="19">
      <c r="A54" s="842"/>
      <c r="B54" s="842"/>
      <c r="C54" s="843" t="s">
        <v>740</v>
      </c>
      <c r="D54" s="843"/>
      <c r="E54" s="842"/>
      <c r="F54" s="842"/>
      <c r="G54" s="842"/>
      <c r="H54" s="864"/>
      <c r="I54" s="864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S54" s="737"/>
      <c r="AT54" s="737"/>
    </row>
    <row r="55" spans="1:117">
      <c r="B55" s="694"/>
      <c r="C55" s="694"/>
      <c r="D55" s="693" t="s">
        <v>710</v>
      </c>
      <c r="E55" s="694"/>
      <c r="F55" s="694"/>
      <c r="G55" s="694"/>
      <c r="H55" s="695"/>
      <c r="I55" s="695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</row>
    <row r="56" spans="1:117" outlineLevel="1">
      <c r="C56" s="698" t="s">
        <v>816</v>
      </c>
      <c r="E56" s="698"/>
    </row>
    <row r="57" spans="1:117" s="12" customFormat="1" outlineLevel="2">
      <c r="B57" s="758"/>
      <c r="E57" s="14"/>
      <c r="F57" s="12" t="s">
        <v>817</v>
      </c>
      <c r="H57" s="865"/>
      <c r="I57" s="848" t="s">
        <v>743</v>
      </c>
      <c r="J57" s="865"/>
      <c r="K57" s="865"/>
      <c r="L57" s="865"/>
      <c r="M57" s="865"/>
      <c r="V57" s="701">
        <f t="shared" ref="V57:CG60" si="66">V101+V142+V183</f>
        <v>0</v>
      </c>
      <c r="W57" s="701">
        <f t="shared" si="66"/>
        <v>0</v>
      </c>
      <c r="X57" s="701">
        <f t="shared" si="66"/>
        <v>0</v>
      </c>
      <c r="Y57" s="701">
        <f t="shared" si="66"/>
        <v>0</v>
      </c>
      <c r="Z57" s="701">
        <f t="shared" si="66"/>
        <v>0</v>
      </c>
      <c r="AA57" s="701">
        <f t="shared" si="66"/>
        <v>3.0000000000000001E-3</v>
      </c>
      <c r="AB57" s="701">
        <f t="shared" si="66"/>
        <v>3.129</v>
      </c>
      <c r="AC57" s="701">
        <f t="shared" si="66"/>
        <v>4.1740000000000004</v>
      </c>
      <c r="AD57" s="701">
        <f t="shared" si="66"/>
        <v>4.8109999999999999</v>
      </c>
      <c r="AE57" s="701">
        <f t="shared" si="66"/>
        <v>5.7809999999999997</v>
      </c>
      <c r="AF57" s="701">
        <f t="shared" si="66"/>
        <v>6.3339999999999996</v>
      </c>
      <c r="AG57" s="701">
        <f t="shared" si="66"/>
        <v>9.5109999999999992</v>
      </c>
      <c r="AH57" s="701">
        <f t="shared" si="66"/>
        <v>7.42</v>
      </c>
      <c r="AI57" s="701">
        <f t="shared" si="66"/>
        <v>4.5699999999999994</v>
      </c>
      <c r="AJ57" s="701">
        <f t="shared" si="66"/>
        <v>4.702</v>
      </c>
      <c r="AK57" s="701">
        <f t="shared" si="66"/>
        <v>8.8019999999999996</v>
      </c>
      <c r="AL57" s="701">
        <f t="shared" si="66"/>
        <v>10.439</v>
      </c>
      <c r="AM57" s="701">
        <f t="shared" si="66"/>
        <v>21.529</v>
      </c>
      <c r="AN57" s="701">
        <f t="shared" si="66"/>
        <v>28.576000000000001</v>
      </c>
      <c r="AO57" s="701">
        <f t="shared" si="66"/>
        <v>27.402999999999999</v>
      </c>
      <c r="AP57" s="701">
        <f t="shared" si="66"/>
        <v>32.377000000000002</v>
      </c>
      <c r="AQ57" s="701">
        <f t="shared" si="66"/>
        <v>35.163000000000004</v>
      </c>
      <c r="AR57" s="701">
        <f t="shared" si="66"/>
        <v>34.062787957900007</v>
      </c>
      <c r="AS57" s="701">
        <f t="shared" si="66"/>
        <v>38.57597151559478</v>
      </c>
      <c r="AT57" s="701">
        <f t="shared" si="66"/>
        <v>34.5</v>
      </c>
      <c r="AU57" s="701">
        <f t="shared" si="66"/>
        <v>27.8</v>
      </c>
      <c r="AV57" s="701">
        <f t="shared" si="66"/>
        <v>35.799999999999997</v>
      </c>
      <c r="AW57" s="701">
        <f t="shared" si="66"/>
        <v>39.939583333333331</v>
      </c>
      <c r="AX57" s="701">
        <f t="shared" si="66"/>
        <v>44.079166666666666</v>
      </c>
      <c r="AY57" s="701">
        <f t="shared" si="66"/>
        <v>48.21875</v>
      </c>
      <c r="AZ57" s="701">
        <f t="shared" si="66"/>
        <v>52.358333333333334</v>
      </c>
      <c r="BA57" s="701">
        <f t="shared" si="66"/>
        <v>56.497916666666669</v>
      </c>
      <c r="BB57" s="701">
        <f t="shared" si="66"/>
        <v>60.637499999999996</v>
      </c>
      <c r="BC57" s="701">
        <f t="shared" si="66"/>
        <v>64.777083333333323</v>
      </c>
      <c r="BD57" s="701">
        <f t="shared" si="66"/>
        <v>68.916666666666657</v>
      </c>
      <c r="BE57" s="701">
        <f t="shared" si="66"/>
        <v>75.8</v>
      </c>
      <c r="BF57" s="701">
        <f t="shared" si="66"/>
        <v>73.699999999999989</v>
      </c>
      <c r="BG57" s="701">
        <f t="shared" si="66"/>
        <v>71.599999999999994</v>
      </c>
      <c r="BH57" s="701">
        <f t="shared" si="66"/>
        <v>69.499999999999986</v>
      </c>
      <c r="BI57" s="701">
        <f t="shared" si="66"/>
        <v>67.399999999999991</v>
      </c>
      <c r="BJ57" s="701">
        <f t="shared" si="66"/>
        <v>65.299999999999983</v>
      </c>
      <c r="BK57" s="701">
        <f t="shared" si="66"/>
        <v>63.199999999999974</v>
      </c>
      <c r="BL57" s="701">
        <f t="shared" si="66"/>
        <v>61.09999999999998</v>
      </c>
      <c r="BM57" s="701">
        <f t="shared" si="66"/>
        <v>58.999999999999972</v>
      </c>
      <c r="BN57" s="701">
        <f t="shared" si="66"/>
        <v>56.89999999999997</v>
      </c>
      <c r="BO57" s="701">
        <f t="shared" si="66"/>
        <v>54.799999999999969</v>
      </c>
      <c r="BP57" s="701">
        <f t="shared" si="66"/>
        <v>52.699999999999974</v>
      </c>
      <c r="BQ57" s="701">
        <f t="shared" si="66"/>
        <v>50.599999999999994</v>
      </c>
      <c r="BR57" s="701">
        <f t="shared" si="66"/>
        <v>52.489999999999995</v>
      </c>
      <c r="BS57" s="701">
        <f t="shared" si="66"/>
        <v>54.379999999999995</v>
      </c>
      <c r="BT57" s="701">
        <f t="shared" si="66"/>
        <v>56.269999999999996</v>
      </c>
      <c r="BU57" s="701">
        <f t="shared" si="66"/>
        <v>58.16</v>
      </c>
      <c r="BV57" s="701">
        <f t="shared" si="66"/>
        <v>60.05</v>
      </c>
      <c r="BW57" s="701">
        <f t="shared" si="66"/>
        <v>61.94</v>
      </c>
      <c r="BX57" s="701">
        <f t="shared" si="66"/>
        <v>63.83</v>
      </c>
      <c r="BY57" s="701">
        <f t="shared" si="66"/>
        <v>65.72</v>
      </c>
      <c r="BZ57" s="701">
        <f t="shared" si="66"/>
        <v>67.61</v>
      </c>
      <c r="CA57" s="701">
        <f t="shared" si="66"/>
        <v>69.5</v>
      </c>
      <c r="CB57" s="701">
        <f t="shared" si="66"/>
        <v>71.39</v>
      </c>
      <c r="CC57" s="701">
        <f t="shared" si="66"/>
        <v>73.28</v>
      </c>
      <c r="CD57" s="701">
        <f t="shared" si="66"/>
        <v>74.649500000000003</v>
      </c>
      <c r="CE57" s="701">
        <f t="shared" si="66"/>
        <v>76.019000000000005</v>
      </c>
      <c r="CF57" s="701">
        <f t="shared" si="66"/>
        <v>77.388500000000008</v>
      </c>
      <c r="CG57" s="701">
        <f t="shared" si="66"/>
        <v>78.75800000000001</v>
      </c>
      <c r="CH57" s="701">
        <f t="shared" ref="CH57:DA62" si="67">CH101+CH142+CH183</f>
        <v>80.127500000000012</v>
      </c>
      <c r="CI57" s="701">
        <f t="shared" si="67"/>
        <v>81.497000000000014</v>
      </c>
      <c r="CJ57" s="701">
        <f t="shared" si="67"/>
        <v>82.866500000000016</v>
      </c>
      <c r="CK57" s="701">
        <f t="shared" si="67"/>
        <v>84.236000000000018</v>
      </c>
      <c r="CL57" s="701">
        <f t="shared" si="67"/>
        <v>85.605500000000006</v>
      </c>
      <c r="CM57" s="701">
        <f t="shared" si="67"/>
        <v>86.975000000000023</v>
      </c>
      <c r="CN57" s="701">
        <f t="shared" si="67"/>
        <v>88.344500000000011</v>
      </c>
      <c r="CO57" s="701">
        <f t="shared" si="67"/>
        <v>89.713999999999999</v>
      </c>
      <c r="CP57" s="701">
        <f t="shared" si="67"/>
        <v>90.825900000000004</v>
      </c>
      <c r="CQ57" s="701">
        <f t="shared" si="67"/>
        <v>91.937799999999996</v>
      </c>
      <c r="CR57" s="701">
        <f t="shared" si="67"/>
        <v>93.049700000000001</v>
      </c>
      <c r="CS57" s="701">
        <f t="shared" si="67"/>
        <v>94.161599999999993</v>
      </c>
      <c r="CT57" s="701">
        <f t="shared" si="67"/>
        <v>95.273499999999984</v>
      </c>
      <c r="CU57" s="701">
        <f t="shared" si="67"/>
        <v>96.385399999999976</v>
      </c>
      <c r="CV57" s="701">
        <f t="shared" si="67"/>
        <v>97.497299999999967</v>
      </c>
      <c r="CW57" s="701">
        <f t="shared" si="67"/>
        <v>98.609199999999973</v>
      </c>
      <c r="CX57" s="701">
        <f t="shared" si="67"/>
        <v>99.721099999999979</v>
      </c>
      <c r="CY57" s="701">
        <f t="shared" si="67"/>
        <v>100.83299999999997</v>
      </c>
      <c r="CZ57" s="701">
        <f t="shared" si="67"/>
        <v>101.94489999999996</v>
      </c>
      <c r="DA57" s="701">
        <f t="shared" si="67"/>
        <v>103.05680000000001</v>
      </c>
      <c r="DB57" s="701"/>
      <c r="DC57" s="12">
        <f>SUM(V57:AG57)</f>
        <v>33.742999999999995</v>
      </c>
      <c r="DD57" s="12">
        <f>SUM(AH57:AS57)</f>
        <v>253.61975947349481</v>
      </c>
      <c r="DE57" s="12">
        <f>SUM(AT57:BE57)</f>
        <v>609.32499999999993</v>
      </c>
      <c r="DF57" s="12">
        <f>SUM(BF57:BQ57)</f>
        <v>745.79999999999973</v>
      </c>
      <c r="DG57" s="12">
        <f>SUM(BR57:CC57)</f>
        <v>754.61999999999989</v>
      </c>
      <c r="DH57" s="12">
        <f>SUM(CD57:CO57)</f>
        <v>986.18100000000004</v>
      </c>
      <c r="DI57" s="12">
        <f>SUM(CP57:DA57)</f>
        <v>1163.2962</v>
      </c>
    </row>
    <row r="58" spans="1:117" outlineLevel="2">
      <c r="B58" s="758"/>
      <c r="E58" s="698"/>
      <c r="F58" s="12" t="s">
        <v>794</v>
      </c>
      <c r="I58" s="848" t="s">
        <v>743</v>
      </c>
      <c r="V58" s="701">
        <f t="shared" si="66"/>
        <v>0</v>
      </c>
      <c r="W58" s="701">
        <f t="shared" si="66"/>
        <v>0</v>
      </c>
      <c r="X58" s="701">
        <f t="shared" si="66"/>
        <v>0</v>
      </c>
      <c r="Y58" s="701">
        <f t="shared" si="66"/>
        <v>0</v>
      </c>
      <c r="Z58" s="701">
        <f t="shared" si="66"/>
        <v>0</v>
      </c>
      <c r="AA58" s="701">
        <f t="shared" si="66"/>
        <v>3.0000000000000001E-3</v>
      </c>
      <c r="AB58" s="701">
        <f t="shared" si="66"/>
        <v>3.1320000000000001</v>
      </c>
      <c r="AC58" s="701">
        <f t="shared" si="66"/>
        <v>7.42</v>
      </c>
      <c r="AD58" s="701">
        <f t="shared" si="66"/>
        <v>12.228999999999999</v>
      </c>
      <c r="AE58" s="701">
        <f t="shared" si="66"/>
        <v>17.856999999999999</v>
      </c>
      <c r="AF58" s="701">
        <f t="shared" si="66"/>
        <v>23.791</v>
      </c>
      <c r="AG58" s="701">
        <f t="shared" si="66"/>
        <v>33.856999999999999</v>
      </c>
      <c r="AH58" s="701">
        <f t="shared" si="66"/>
        <v>38.724000000000004</v>
      </c>
      <c r="AI58" s="701">
        <f t="shared" si="66"/>
        <v>41.501999999999995</v>
      </c>
      <c r="AJ58" s="701">
        <f t="shared" si="66"/>
        <v>43.844000000000008</v>
      </c>
      <c r="AK58" s="701">
        <f t="shared" si="66"/>
        <v>50.121000000000002</v>
      </c>
      <c r="AL58" s="701">
        <f t="shared" si="66"/>
        <v>57.897000000000006</v>
      </c>
      <c r="AM58" s="701">
        <f t="shared" si="66"/>
        <v>76.367999999999995</v>
      </c>
      <c r="AN58" s="701">
        <f t="shared" si="66"/>
        <v>100.871</v>
      </c>
      <c r="AO58" s="701">
        <f t="shared" si="66"/>
        <v>120.50600000000001</v>
      </c>
      <c r="AP58" s="701">
        <f t="shared" si="66"/>
        <v>146.57399999999998</v>
      </c>
      <c r="AQ58" s="701">
        <f t="shared" si="66"/>
        <v>170.21899999999999</v>
      </c>
      <c r="AR58" s="701">
        <f t="shared" si="66"/>
        <v>197.9477879579</v>
      </c>
      <c r="AS58" s="701">
        <f t="shared" si="66"/>
        <v>227.01275947349478</v>
      </c>
      <c r="AT58" s="701">
        <f t="shared" si="66"/>
        <v>254.09275947349479</v>
      </c>
      <c r="AU58" s="701">
        <f t="shared" si="66"/>
        <v>277.32275947349478</v>
      </c>
      <c r="AV58" s="701">
        <f t="shared" si="66"/>
        <v>308.4207594734948</v>
      </c>
      <c r="AW58" s="701">
        <f t="shared" si="66"/>
        <v>339.55834280682814</v>
      </c>
      <c r="AX58" s="701">
        <f t="shared" si="66"/>
        <v>373.19850947349482</v>
      </c>
      <c r="AY58" s="701">
        <f t="shared" si="66"/>
        <v>399.88825947349483</v>
      </c>
      <c r="AZ58" s="701">
        <f t="shared" si="66"/>
        <v>423.67059280682815</v>
      </c>
      <c r="BA58" s="701">
        <f t="shared" si="66"/>
        <v>452.76550947349483</v>
      </c>
      <c r="BB58" s="701">
        <f t="shared" si="66"/>
        <v>481.02600947349481</v>
      </c>
      <c r="BC58" s="701">
        <f t="shared" si="66"/>
        <v>510.64009280682808</v>
      </c>
      <c r="BD58" s="701">
        <f t="shared" si="66"/>
        <v>545.49397151559469</v>
      </c>
      <c r="BE58" s="701">
        <f t="shared" si="66"/>
        <v>582.71799999999996</v>
      </c>
      <c r="BF58" s="701">
        <f t="shared" si="66"/>
        <v>621.91799999999989</v>
      </c>
      <c r="BG58" s="701">
        <f t="shared" si="66"/>
        <v>665.71799999999985</v>
      </c>
      <c r="BH58" s="701">
        <f t="shared" si="66"/>
        <v>699.41799999999989</v>
      </c>
      <c r="BI58" s="701">
        <f t="shared" si="66"/>
        <v>726.87841666666645</v>
      </c>
      <c r="BJ58" s="701">
        <f t="shared" si="66"/>
        <v>748.09924999999976</v>
      </c>
      <c r="BK58" s="701">
        <f t="shared" si="66"/>
        <v>763.0804999999998</v>
      </c>
      <c r="BL58" s="701">
        <f t="shared" si="66"/>
        <v>771.82216666666648</v>
      </c>
      <c r="BM58" s="701">
        <f t="shared" si="66"/>
        <v>774.32424999999978</v>
      </c>
      <c r="BN58" s="701">
        <f t="shared" si="66"/>
        <v>770.58674999999971</v>
      </c>
      <c r="BO58" s="701">
        <f t="shared" si="66"/>
        <v>760.60966666666639</v>
      </c>
      <c r="BP58" s="701">
        <f t="shared" si="66"/>
        <v>744.3929999999998</v>
      </c>
      <c r="BQ58" s="701">
        <f t="shared" si="66"/>
        <v>719.19299999999964</v>
      </c>
      <c r="BR58" s="701">
        <f t="shared" si="66"/>
        <v>697.98299999999972</v>
      </c>
      <c r="BS58" s="701">
        <f t="shared" si="66"/>
        <v>680.76299999999969</v>
      </c>
      <c r="BT58" s="701">
        <f t="shared" si="66"/>
        <v>667.53299999999979</v>
      </c>
      <c r="BU58" s="701">
        <f t="shared" si="66"/>
        <v>658.29299999999978</v>
      </c>
      <c r="BV58" s="701">
        <f t="shared" si="66"/>
        <v>653.04299999999978</v>
      </c>
      <c r="BW58" s="701">
        <f t="shared" si="66"/>
        <v>651.78299999999979</v>
      </c>
      <c r="BX58" s="701">
        <f t="shared" si="66"/>
        <v>654.51299999999969</v>
      </c>
      <c r="BY58" s="701">
        <f t="shared" si="66"/>
        <v>661.23299999999983</v>
      </c>
      <c r="BZ58" s="701">
        <f t="shared" si="66"/>
        <v>671.94299999999987</v>
      </c>
      <c r="CA58" s="701">
        <f t="shared" si="66"/>
        <v>686.6429999999998</v>
      </c>
      <c r="CB58" s="701">
        <f t="shared" si="66"/>
        <v>705.33299999999986</v>
      </c>
      <c r="CC58" s="701">
        <f t="shared" si="66"/>
        <v>728.01299999999992</v>
      </c>
      <c r="CD58" s="701">
        <f t="shared" si="66"/>
        <v>750.1724999999999</v>
      </c>
      <c r="CE58" s="701">
        <f t="shared" si="66"/>
        <v>771.81149999999991</v>
      </c>
      <c r="CF58" s="701">
        <f t="shared" si="66"/>
        <v>792.92999999999984</v>
      </c>
      <c r="CG58" s="701">
        <f t="shared" si="66"/>
        <v>813.52800000000002</v>
      </c>
      <c r="CH58" s="701">
        <f t="shared" si="67"/>
        <v>833.60549999999989</v>
      </c>
      <c r="CI58" s="701">
        <f t="shared" si="67"/>
        <v>853.16249999999991</v>
      </c>
      <c r="CJ58" s="701">
        <f t="shared" si="67"/>
        <v>872.19899999999996</v>
      </c>
      <c r="CK58" s="701">
        <f t="shared" si="67"/>
        <v>890.71499999999992</v>
      </c>
      <c r="CL58" s="701">
        <f t="shared" si="67"/>
        <v>908.71049999999991</v>
      </c>
      <c r="CM58" s="701">
        <f t="shared" si="67"/>
        <v>926.18550000000005</v>
      </c>
      <c r="CN58" s="701">
        <f t="shared" si="67"/>
        <v>943.1400000000001</v>
      </c>
      <c r="CO58" s="701">
        <f t="shared" si="67"/>
        <v>959.57400000000007</v>
      </c>
      <c r="CP58" s="701">
        <f t="shared" si="67"/>
        <v>975.75040000000013</v>
      </c>
      <c r="CQ58" s="701">
        <f t="shared" si="67"/>
        <v>991.66920000000027</v>
      </c>
      <c r="CR58" s="701">
        <f t="shared" si="67"/>
        <v>1007.3304000000003</v>
      </c>
      <c r="CS58" s="701">
        <f t="shared" si="67"/>
        <v>1022.7340000000002</v>
      </c>
      <c r="CT58" s="701">
        <f t="shared" si="67"/>
        <v>1037.8800000000001</v>
      </c>
      <c r="CU58" s="701">
        <f t="shared" si="67"/>
        <v>1052.7684000000002</v>
      </c>
      <c r="CV58" s="701">
        <f t="shared" si="67"/>
        <v>1067.3992000000003</v>
      </c>
      <c r="CW58" s="701">
        <f t="shared" si="67"/>
        <v>1081.7724000000003</v>
      </c>
      <c r="CX58" s="701">
        <f t="shared" si="67"/>
        <v>1095.8879999999999</v>
      </c>
      <c r="CY58" s="701">
        <f t="shared" si="67"/>
        <v>1109.7460000000001</v>
      </c>
      <c r="CZ58" s="701">
        <f t="shared" si="67"/>
        <v>1123.3463999999999</v>
      </c>
      <c r="DA58" s="701">
        <f t="shared" si="67"/>
        <v>1136.6891999999998</v>
      </c>
      <c r="DC58" s="11">
        <f>AG58</f>
        <v>33.856999999999999</v>
      </c>
      <c r="DD58" s="11">
        <f>AS58</f>
        <v>227.01275947349478</v>
      </c>
      <c r="DE58" s="11">
        <f>BE58</f>
        <v>582.71799999999996</v>
      </c>
      <c r="DF58" s="11">
        <f>BQ58</f>
        <v>719.19299999999964</v>
      </c>
      <c r="DG58" s="11">
        <f>CC58</f>
        <v>728.01299999999992</v>
      </c>
      <c r="DH58" s="11">
        <f>CO58</f>
        <v>959.57400000000007</v>
      </c>
      <c r="DI58" s="11">
        <f>DA58</f>
        <v>1136.6891999999998</v>
      </c>
    </row>
    <row r="59" spans="1:117" s="12" customFormat="1" outlineLevel="2">
      <c r="B59" s="758"/>
      <c r="E59" s="14"/>
      <c r="F59" s="12" t="s">
        <v>795</v>
      </c>
      <c r="H59" s="865"/>
      <c r="I59" s="609" t="s">
        <v>736</v>
      </c>
      <c r="J59" s="865"/>
      <c r="K59" s="865"/>
      <c r="L59" s="865"/>
      <c r="M59" s="865"/>
      <c r="V59" s="701">
        <f t="shared" si="66"/>
        <v>0</v>
      </c>
      <c r="W59" s="701">
        <f t="shared" si="66"/>
        <v>0</v>
      </c>
      <c r="X59" s="701">
        <f t="shared" si="66"/>
        <v>0</v>
      </c>
      <c r="Y59" s="701">
        <f t="shared" si="66"/>
        <v>0</v>
      </c>
      <c r="Z59" s="701">
        <f t="shared" si="66"/>
        <v>0</v>
      </c>
      <c r="AA59" s="701">
        <f t="shared" si="66"/>
        <v>0</v>
      </c>
      <c r="AB59" s="701">
        <f t="shared" si="66"/>
        <v>32.846249999999998</v>
      </c>
      <c r="AC59" s="701">
        <f t="shared" si="66"/>
        <v>41.848999999999997</v>
      </c>
      <c r="AD59" s="701">
        <f t="shared" si="66"/>
        <v>46.990699999999997</v>
      </c>
      <c r="AE59" s="701">
        <f t="shared" si="66"/>
        <v>54.846299999999999</v>
      </c>
      <c r="AF59" s="701">
        <f t="shared" si="66"/>
        <v>60.138350000000003</v>
      </c>
      <c r="AG59" s="701">
        <f t="shared" si="66"/>
        <v>109.01439999999999</v>
      </c>
      <c r="AH59" s="701">
        <f t="shared" si="66"/>
        <v>91.988349999999997</v>
      </c>
      <c r="AI59" s="701">
        <f t="shared" si="66"/>
        <v>55.165200000000006</v>
      </c>
      <c r="AJ59" s="701">
        <f t="shared" si="66"/>
        <v>57.308890000000005</v>
      </c>
      <c r="AK59" s="701">
        <f t="shared" si="66"/>
        <v>101.07080000000002</v>
      </c>
      <c r="AL59" s="701">
        <f t="shared" si="66"/>
        <v>117.63689000000001</v>
      </c>
      <c r="AM59" s="701">
        <f t="shared" si="66"/>
        <v>245.98382988399999</v>
      </c>
      <c r="AN59" s="701">
        <f t="shared" si="66"/>
        <v>332.84521000000001</v>
      </c>
      <c r="AO59" s="701">
        <f t="shared" si="66"/>
        <v>283.28441999999995</v>
      </c>
      <c r="AP59" s="701">
        <f t="shared" si="66"/>
        <v>299.91300000000001</v>
      </c>
      <c r="AQ59" s="701">
        <f t="shared" si="66"/>
        <v>349.69191000000001</v>
      </c>
      <c r="AR59" s="701">
        <f t="shared" si="66"/>
        <v>382.15345549480014</v>
      </c>
      <c r="AS59" s="701">
        <f t="shared" si="66"/>
        <v>439.76880104428017</v>
      </c>
      <c r="AT59" s="701">
        <f t="shared" si="66"/>
        <v>396</v>
      </c>
      <c r="AU59" s="701">
        <f t="shared" si="66"/>
        <v>325.35000000000002</v>
      </c>
      <c r="AV59" s="701">
        <f t="shared" si="66"/>
        <v>423.97500000000002</v>
      </c>
      <c r="AW59" s="701">
        <f t="shared" si="66"/>
        <v>479.27499999999998</v>
      </c>
      <c r="AX59" s="701">
        <f t="shared" si="66"/>
        <v>535.09999999999991</v>
      </c>
      <c r="AY59" s="701">
        <f t="shared" si="66"/>
        <v>591.45000000000005</v>
      </c>
      <c r="AZ59" s="701">
        <f t="shared" si="66"/>
        <v>648.32499999999993</v>
      </c>
      <c r="BA59" s="701">
        <f t="shared" si="66"/>
        <v>705.72499999999991</v>
      </c>
      <c r="BB59" s="701">
        <f t="shared" si="66"/>
        <v>763.64999999999986</v>
      </c>
      <c r="BC59" s="701">
        <f t="shared" si="66"/>
        <v>822.09999999999991</v>
      </c>
      <c r="BD59" s="701">
        <f t="shared" si="66"/>
        <v>881.07499999999982</v>
      </c>
      <c r="BE59" s="701">
        <f t="shared" si="66"/>
        <v>973.49999999999989</v>
      </c>
      <c r="BF59" s="701">
        <f t="shared" si="66"/>
        <v>945.4749999999998</v>
      </c>
      <c r="BG59" s="701">
        <f t="shared" si="66"/>
        <v>917.44999999999982</v>
      </c>
      <c r="BH59" s="701">
        <f t="shared" si="66"/>
        <v>889.42499999999995</v>
      </c>
      <c r="BI59" s="701">
        <f t="shared" si="66"/>
        <v>861.39999999999986</v>
      </c>
      <c r="BJ59" s="701">
        <f t="shared" si="66"/>
        <v>833.37499999999977</v>
      </c>
      <c r="BK59" s="701">
        <f t="shared" si="66"/>
        <v>805.34999999999968</v>
      </c>
      <c r="BL59" s="701">
        <f t="shared" si="66"/>
        <v>777.32499999999982</v>
      </c>
      <c r="BM59" s="701">
        <f t="shared" si="66"/>
        <v>749.29999999999973</v>
      </c>
      <c r="BN59" s="701">
        <f t="shared" si="66"/>
        <v>721.27499999999964</v>
      </c>
      <c r="BO59" s="701">
        <f t="shared" si="66"/>
        <v>693.24999999999977</v>
      </c>
      <c r="BP59" s="701">
        <f t="shared" si="66"/>
        <v>665.22499999999968</v>
      </c>
      <c r="BQ59" s="701">
        <f t="shared" si="66"/>
        <v>637.20000000000005</v>
      </c>
      <c r="BR59" s="701">
        <f t="shared" si="66"/>
        <v>664.38</v>
      </c>
      <c r="BS59" s="701">
        <f t="shared" si="66"/>
        <v>691.56</v>
      </c>
      <c r="BT59" s="701">
        <f t="shared" si="66"/>
        <v>718.74</v>
      </c>
      <c r="BU59" s="701">
        <f t="shared" si="66"/>
        <v>745.92</v>
      </c>
      <c r="BV59" s="701">
        <f t="shared" si="66"/>
        <v>773.09999999999991</v>
      </c>
      <c r="BW59" s="701">
        <f t="shared" si="66"/>
        <v>800.28</v>
      </c>
      <c r="BX59" s="701">
        <f t="shared" si="66"/>
        <v>827.46</v>
      </c>
      <c r="BY59" s="701">
        <f t="shared" si="66"/>
        <v>854.64</v>
      </c>
      <c r="BZ59" s="701">
        <f t="shared" si="66"/>
        <v>881.81999999999994</v>
      </c>
      <c r="CA59" s="701">
        <f t="shared" si="66"/>
        <v>909</v>
      </c>
      <c r="CB59" s="701">
        <f t="shared" si="66"/>
        <v>936.18000000000006</v>
      </c>
      <c r="CC59" s="701">
        <f t="shared" si="66"/>
        <v>963.36</v>
      </c>
      <c r="CD59" s="701">
        <f t="shared" si="66"/>
        <v>980.7940000000001</v>
      </c>
      <c r="CE59" s="701">
        <f t="shared" si="66"/>
        <v>998.22800000000007</v>
      </c>
      <c r="CF59" s="701">
        <f t="shared" si="66"/>
        <v>1015.662</v>
      </c>
      <c r="CG59" s="701">
        <f t="shared" si="66"/>
        <v>1033.096</v>
      </c>
      <c r="CH59" s="701">
        <f t="shared" si="67"/>
        <v>1050.53</v>
      </c>
      <c r="CI59" s="701">
        <f t="shared" si="67"/>
        <v>1067.9639999999999</v>
      </c>
      <c r="CJ59" s="701">
        <f t="shared" si="67"/>
        <v>1085.3980000000001</v>
      </c>
      <c r="CK59" s="701">
        <f t="shared" si="67"/>
        <v>1102.8320000000001</v>
      </c>
      <c r="CL59" s="701">
        <f t="shared" si="67"/>
        <v>1120.2660000000001</v>
      </c>
      <c r="CM59" s="701">
        <f t="shared" si="67"/>
        <v>1137.7</v>
      </c>
      <c r="CN59" s="701">
        <f t="shared" si="67"/>
        <v>1155.1340000000002</v>
      </c>
      <c r="CO59" s="701">
        <f t="shared" si="67"/>
        <v>1172.5680000000002</v>
      </c>
      <c r="CP59" s="701">
        <f t="shared" si="67"/>
        <v>1186.4107999999999</v>
      </c>
      <c r="CQ59" s="701">
        <f t="shared" si="67"/>
        <v>1200.2536</v>
      </c>
      <c r="CR59" s="701">
        <f t="shared" si="67"/>
        <v>1214.0963999999999</v>
      </c>
      <c r="CS59" s="701">
        <f t="shared" si="67"/>
        <v>1227.9391999999998</v>
      </c>
      <c r="CT59" s="701">
        <f t="shared" si="67"/>
        <v>1241.7819999999999</v>
      </c>
      <c r="CU59" s="701">
        <f t="shared" si="67"/>
        <v>1255.6247999999996</v>
      </c>
      <c r="CV59" s="701">
        <f t="shared" si="67"/>
        <v>1269.4675999999997</v>
      </c>
      <c r="CW59" s="701">
        <f t="shared" si="67"/>
        <v>1283.3103999999996</v>
      </c>
      <c r="CX59" s="701">
        <f t="shared" si="67"/>
        <v>1297.1531999999997</v>
      </c>
      <c r="CY59" s="701">
        <f t="shared" si="67"/>
        <v>1310.9959999999996</v>
      </c>
      <c r="CZ59" s="701">
        <f t="shared" si="67"/>
        <v>1324.8387999999995</v>
      </c>
      <c r="DA59" s="701">
        <f t="shared" si="67"/>
        <v>1338.6815999999999</v>
      </c>
      <c r="DC59" s="12">
        <f>SUM(V59:AG59)</f>
        <v>345.68499999999995</v>
      </c>
      <c r="DD59" s="12">
        <f>SUM(AH59:AS59)</f>
        <v>2756.8107564230804</v>
      </c>
      <c r="DE59" s="12">
        <f>SUM(AT59:BE59)</f>
        <v>7545.5249999999987</v>
      </c>
      <c r="DF59" s="12">
        <f>SUM(BF59:BQ59)</f>
        <v>9496.0499999999993</v>
      </c>
      <c r="DG59" s="12">
        <f>SUM(BR59:CC59)</f>
        <v>9766.44</v>
      </c>
      <c r="DH59" s="12">
        <f>SUM(CD59:CO59)</f>
        <v>12920.172000000002</v>
      </c>
      <c r="DI59" s="12">
        <f>SUM(CP59:DA59)</f>
        <v>15150.554399999995</v>
      </c>
    </row>
    <row r="60" spans="1:117" s="12" customFormat="1" outlineLevel="2">
      <c r="B60" s="758"/>
      <c r="E60" s="14"/>
      <c r="F60" s="12" t="s">
        <v>796</v>
      </c>
      <c r="H60" s="865"/>
      <c r="I60" s="609" t="s">
        <v>736</v>
      </c>
      <c r="J60" s="865"/>
      <c r="K60" s="865"/>
      <c r="L60" s="865"/>
      <c r="M60" s="865"/>
      <c r="V60" s="701">
        <f t="shared" si="66"/>
        <v>0</v>
      </c>
      <c r="W60" s="701">
        <f t="shared" si="66"/>
        <v>0</v>
      </c>
      <c r="X60" s="701">
        <f t="shared" si="66"/>
        <v>0</v>
      </c>
      <c r="Y60" s="701">
        <f t="shared" si="66"/>
        <v>0</v>
      </c>
      <c r="Z60" s="701">
        <f t="shared" si="66"/>
        <v>0</v>
      </c>
      <c r="AA60" s="701">
        <f t="shared" si="66"/>
        <v>0</v>
      </c>
      <c r="AB60" s="701">
        <f t="shared" si="66"/>
        <v>32.846249999999998</v>
      </c>
      <c r="AC60" s="701">
        <f t="shared" si="66"/>
        <v>73.469522780000005</v>
      </c>
      <c r="AD60" s="701">
        <f t="shared" si="66"/>
        <v>116.680296478</v>
      </c>
      <c r="AE60" s="701">
        <f t="shared" si="66"/>
        <v>163.85205008700001</v>
      </c>
      <c r="AF60" s="701">
        <f t="shared" si="66"/>
        <v>210.537498973</v>
      </c>
      <c r="AG60" s="701">
        <f t="shared" si="66"/>
        <v>300.31055205800004</v>
      </c>
      <c r="AH60" s="701">
        <f>AH104+AH145+AH186</f>
        <v>364.938035754</v>
      </c>
      <c r="AI60" s="701">
        <f t="shared" si="66"/>
        <v>387.99408298999998</v>
      </c>
      <c r="AJ60" s="701">
        <f t="shared" si="66"/>
        <v>406.40865353799995</v>
      </c>
      <c r="AK60" s="701">
        <f t="shared" si="66"/>
        <v>468.55397232299998</v>
      </c>
      <c r="AL60" s="701">
        <f t="shared" si="66"/>
        <v>540.40897921700002</v>
      </c>
      <c r="AM60" s="701">
        <f t="shared" si="66"/>
        <v>734.72710050600006</v>
      </c>
      <c r="AN60" s="701">
        <f t="shared" si="66"/>
        <v>993.4285249809999</v>
      </c>
      <c r="AO60" s="701">
        <f t="shared" si="66"/>
        <v>1157.475441928</v>
      </c>
      <c r="AP60" s="701">
        <f t="shared" si="66"/>
        <v>1338.7291745510001</v>
      </c>
      <c r="AQ60" s="701">
        <f t="shared" si="66"/>
        <v>1522.058195889</v>
      </c>
      <c r="AR60" s="701">
        <f t="shared" si="66"/>
        <v>1766.6240933751296</v>
      </c>
      <c r="AS60" s="701">
        <f t="shared" si="66"/>
        <v>2047.8771276526563</v>
      </c>
      <c r="AT60" s="701">
        <f t="shared" si="66"/>
        <v>2202.9905079360597</v>
      </c>
      <c r="AU60" s="701">
        <f t="shared" si="66"/>
        <v>2313.7519447569121</v>
      </c>
      <c r="AV60" s="701">
        <f t="shared" si="66"/>
        <v>2497.3964817969249</v>
      </c>
      <c r="AW60" s="701">
        <f t="shared" si="66"/>
        <v>2709.5727338263951</v>
      </c>
      <c r="AX60" s="701">
        <f t="shared" si="66"/>
        <v>2951.1704447315192</v>
      </c>
      <c r="AY60" s="701">
        <f t="shared" si="66"/>
        <v>3215.868775933805</v>
      </c>
      <c r="AZ60" s="701">
        <f t="shared" si="66"/>
        <v>3509.367000779368</v>
      </c>
      <c r="BA60" s="701">
        <f t="shared" si="66"/>
        <v>3828.1590801502343</v>
      </c>
      <c r="BB60" s="701">
        <f t="shared" si="66"/>
        <v>4172.1370512170197</v>
      </c>
      <c r="BC60" s="701">
        <f t="shared" si="66"/>
        <v>4528.0492897835738</v>
      </c>
      <c r="BD60" s="701">
        <f t="shared" si="66"/>
        <v>4910.59273299288</v>
      </c>
      <c r="BE60" s="701">
        <f t="shared" si="66"/>
        <v>5351.6661340829232</v>
      </c>
      <c r="BF60" s="701">
        <f t="shared" si="66"/>
        <v>5728.8725690999008</v>
      </c>
      <c r="BG60" s="701">
        <f t="shared" si="66"/>
        <v>6047.6830632670735</v>
      </c>
      <c r="BH60" s="701">
        <f t="shared" si="66"/>
        <v>6299.7510060642198</v>
      </c>
      <c r="BI60" s="701">
        <f t="shared" si="66"/>
        <v>6489.5428441965832</v>
      </c>
      <c r="BJ60" s="701">
        <f t="shared" si="66"/>
        <v>6607.7010742963794</v>
      </c>
      <c r="BK60" s="701">
        <f t="shared" si="66"/>
        <v>6671.226835583464</v>
      </c>
      <c r="BL60" s="701">
        <f t="shared" si="66"/>
        <v>6685.7315111451371</v>
      </c>
      <c r="BM60" s="701">
        <f t="shared" si="66"/>
        <v>6652.5755261804297</v>
      </c>
      <c r="BN60" s="701">
        <f t="shared" si="66"/>
        <v>6578.7325904591216</v>
      </c>
      <c r="BO60" s="701">
        <f t="shared" si="66"/>
        <v>6471.1142010707053</v>
      </c>
      <c r="BP60" s="701">
        <f t="shared" si="66"/>
        <v>6314.8570909055743</v>
      </c>
      <c r="BQ60" s="701">
        <f t="shared" si="66"/>
        <v>6136.4522540450434</v>
      </c>
      <c r="BR60" s="701">
        <f t="shared" si="66"/>
        <v>5998.638937675516</v>
      </c>
      <c r="BS60" s="701">
        <f t="shared" si="66"/>
        <v>5908.0924067947362</v>
      </c>
      <c r="BT60" s="701">
        <f t="shared" si="66"/>
        <v>5839.4728947834119</v>
      </c>
      <c r="BU60" s="701">
        <f t="shared" si="66"/>
        <v>5814.2538567844076</v>
      </c>
      <c r="BV60" s="701">
        <f t="shared" si="66"/>
        <v>5829.6361965515689</v>
      </c>
      <c r="BW60" s="701">
        <f t="shared" si="66"/>
        <v>5882.9397379811253</v>
      </c>
      <c r="BX60" s="701">
        <f t="shared" si="66"/>
        <v>5972.0330340322535</v>
      </c>
      <c r="BY60" s="701">
        <f t="shared" si="66"/>
        <v>6093.7560570600563</v>
      </c>
      <c r="BZ60" s="701">
        <f t="shared" si="66"/>
        <v>6244.0723211110635</v>
      </c>
      <c r="CA60" s="701">
        <f t="shared" si="66"/>
        <v>6418.7234334753157</v>
      </c>
      <c r="CB60" s="701">
        <f t="shared" si="66"/>
        <v>6613.9298619082074</v>
      </c>
      <c r="CC60" s="701">
        <f t="shared" si="66"/>
        <v>6825.2600261912467</v>
      </c>
      <c r="CD60" s="701">
        <f t="shared" si="66"/>
        <v>7038.4526949820247</v>
      </c>
      <c r="CE60" s="701">
        <f t="shared" si="66"/>
        <v>7249.3358554552342</v>
      </c>
      <c r="CF60" s="701">
        <f t="shared" si="66"/>
        <v>7455.2407033401669</v>
      </c>
      <c r="CG60" s="701">
        <f t="shared" si="66"/>
        <v>7653.4540047924866</v>
      </c>
      <c r="CH60" s="701">
        <f t="shared" si="67"/>
        <v>7844.0850841538213</v>
      </c>
      <c r="CI60" s="701">
        <f t="shared" si="67"/>
        <v>8027.2692239543458</v>
      </c>
      <c r="CJ60" s="701">
        <f t="shared" si="67"/>
        <v>8203.179056564175</v>
      </c>
      <c r="CK60" s="701">
        <f t="shared" si="67"/>
        <v>8372.0311201908735</v>
      </c>
      <c r="CL60" s="701">
        <f t="shared" si="67"/>
        <v>8534.3824807084748</v>
      </c>
      <c r="CM60" s="701">
        <f t="shared" si="67"/>
        <v>8690.8520568836702</v>
      </c>
      <c r="CN60" s="701">
        <f t="shared" si="67"/>
        <v>8842.1019977729266</v>
      </c>
      <c r="CO60" s="701">
        <f t="shared" si="67"/>
        <v>8988.8459602080839</v>
      </c>
      <c r="CP60" s="701">
        <f t="shared" si="67"/>
        <v>9128.1964444790301</v>
      </c>
      <c r="CQ60" s="701">
        <f t="shared" si="67"/>
        <v>9313.8000143509998</v>
      </c>
      <c r="CR60" s="701">
        <f t="shared" si="67"/>
        <v>9549.1741469216922</v>
      </c>
      <c r="CS60" s="701">
        <f t="shared" si="67"/>
        <v>9838.330304017607</v>
      </c>
      <c r="CT60" s="701">
        <f t="shared" si="67"/>
        <v>10184.343257525863</v>
      </c>
      <c r="CU60" s="701">
        <f t="shared" si="67"/>
        <v>10590.630120062935</v>
      </c>
      <c r="CV60" s="701">
        <f t="shared" si="67"/>
        <v>11060.911987046187</v>
      </c>
      <c r="CW60" s="701">
        <f t="shared" si="67"/>
        <v>11599.175351100141</v>
      </c>
      <c r="CX60" s="701">
        <f t="shared" si="67"/>
        <v>12209.720749836539</v>
      </c>
      <c r="CY60" s="701">
        <f t="shared" si="67"/>
        <v>12895.830241129424</v>
      </c>
      <c r="CZ60" s="701">
        <f t="shared" si="67"/>
        <v>13660.893014963371</v>
      </c>
      <c r="DA60" s="701">
        <f t="shared" si="67"/>
        <v>14508.379092144478</v>
      </c>
      <c r="DC60" s="11">
        <f>AG60</f>
        <v>300.31055205800004</v>
      </c>
      <c r="DD60" s="11">
        <f>AS60</f>
        <v>2047.8771276526563</v>
      </c>
      <c r="DE60" s="11">
        <f>BE60</f>
        <v>5351.6661340829232</v>
      </c>
      <c r="DF60" s="11">
        <f>BQ60</f>
        <v>6136.4522540450434</v>
      </c>
      <c r="DG60" s="11">
        <f>CC60</f>
        <v>6825.2600261912467</v>
      </c>
      <c r="DH60" s="11">
        <f>CO60</f>
        <v>8988.8459602080839</v>
      </c>
      <c r="DI60" s="11">
        <f>DA60</f>
        <v>14508.379092144478</v>
      </c>
    </row>
    <row r="61" spans="1:117" s="12" customFormat="1" outlineLevel="2">
      <c r="B61" s="758"/>
      <c r="E61" s="14"/>
      <c r="F61" s="12" t="s">
        <v>215</v>
      </c>
      <c r="H61" s="865"/>
      <c r="I61" s="609" t="s">
        <v>736</v>
      </c>
      <c r="J61" s="701"/>
      <c r="K61" s="701"/>
      <c r="L61" s="701"/>
      <c r="M61" s="701"/>
      <c r="N61" s="701"/>
      <c r="O61" s="701"/>
      <c r="P61" s="701"/>
      <c r="Q61" s="701"/>
      <c r="R61" s="701"/>
      <c r="S61" s="701"/>
      <c r="T61" s="701"/>
      <c r="U61" s="701"/>
      <c r="V61" s="701">
        <f t="shared" ref="V61:CG62" si="68">V105+V146+V187</f>
        <v>0</v>
      </c>
      <c r="W61" s="701">
        <f t="shared" si="68"/>
        <v>0</v>
      </c>
      <c r="X61" s="701">
        <f t="shared" si="68"/>
        <v>0</v>
      </c>
      <c r="Y61" s="701">
        <f t="shared" si="68"/>
        <v>0</v>
      </c>
      <c r="Z61" s="701">
        <f t="shared" si="68"/>
        <v>0</v>
      </c>
      <c r="AA61" s="701">
        <f t="shared" si="68"/>
        <v>2.3122999999999999E-4</v>
      </c>
      <c r="AB61" s="701">
        <f t="shared" si="68"/>
        <v>1.7024871080000001</v>
      </c>
      <c r="AC61" s="701">
        <f t="shared" si="68"/>
        <v>3.3404869590000001</v>
      </c>
      <c r="AD61" s="701">
        <f t="shared" si="68"/>
        <v>4.3226210979999999</v>
      </c>
      <c r="AE61" s="701">
        <f t="shared" si="68"/>
        <v>6.1111253839999993</v>
      </c>
      <c r="AF61" s="701">
        <f t="shared" si="68"/>
        <v>7.4289994670000006</v>
      </c>
      <c r="AG61" s="701">
        <f t="shared" si="68"/>
        <v>11.770255338199089</v>
      </c>
      <c r="AH61" s="701">
        <f t="shared" si="68"/>
        <v>13.494545555</v>
      </c>
      <c r="AI61" s="701">
        <f t="shared" si="68"/>
        <v>12.326717130999999</v>
      </c>
      <c r="AJ61" s="701">
        <f t="shared" si="68"/>
        <v>14.151820446999999</v>
      </c>
      <c r="AK61" s="701">
        <f t="shared" si="68"/>
        <v>17.580731478000001</v>
      </c>
      <c r="AL61" s="701">
        <f t="shared" si="68"/>
        <v>23.486564237</v>
      </c>
      <c r="AM61" s="701">
        <f t="shared" si="68"/>
        <v>28.217673219000002</v>
      </c>
      <c r="AN61" s="701">
        <f t="shared" si="68"/>
        <v>45.696996646000002</v>
      </c>
      <c r="AO61" s="701">
        <f t="shared" si="68"/>
        <v>51.753444772999998</v>
      </c>
      <c r="AP61" s="701">
        <f t="shared" si="68"/>
        <v>55.512468442999996</v>
      </c>
      <c r="AQ61" s="701">
        <f t="shared" si="68"/>
        <v>64.019256416246492</v>
      </c>
      <c r="AR61" s="701">
        <f t="shared" si="68"/>
        <v>72.59870932506162</v>
      </c>
      <c r="AS61" s="701">
        <f t="shared" si="68"/>
        <v>83.983482394397328</v>
      </c>
      <c r="AT61" s="701">
        <f t="shared" si="68"/>
        <v>89.787199279921381</v>
      </c>
      <c r="AU61" s="701">
        <f t="shared" si="68"/>
        <v>89.584598802399896</v>
      </c>
      <c r="AV61" s="701">
        <f t="shared" si="68"/>
        <v>98.707233909656338</v>
      </c>
      <c r="AW61" s="701">
        <f t="shared" si="68"/>
        <v>107.85959025986234</v>
      </c>
      <c r="AX61" s="701">
        <f t="shared" si="68"/>
        <v>118.12173989881387</v>
      </c>
      <c r="AY61" s="701">
        <f t="shared" si="68"/>
        <v>129.50150473289798</v>
      </c>
      <c r="AZ61" s="701">
        <f t="shared" si="68"/>
        <v>142.03566849856773</v>
      </c>
      <c r="BA61" s="701">
        <f t="shared" si="68"/>
        <v>155.98357218361579</v>
      </c>
      <c r="BB61" s="701">
        <f t="shared" si="68"/>
        <v>170.90942575489987</v>
      </c>
      <c r="BC61" s="701">
        <f t="shared" si="68"/>
        <v>186.34776119588702</v>
      </c>
      <c r="BD61" s="701">
        <f t="shared" si="68"/>
        <v>202.53372473382649</v>
      </c>
      <c r="BE61" s="701">
        <f t="shared" si="68"/>
        <v>222.24796020230508</v>
      </c>
      <c r="BF61" s="701">
        <f t="shared" si="68"/>
        <v>239.41856221616015</v>
      </c>
      <c r="BG61" s="701">
        <f t="shared" si="68"/>
        <v>246.76304344413742</v>
      </c>
      <c r="BH61" s="701">
        <f t="shared" si="68"/>
        <v>254.37132954374607</v>
      </c>
      <c r="BI61" s="701">
        <f t="shared" si="68"/>
        <v>259.52349444537822</v>
      </c>
      <c r="BJ61" s="701">
        <f t="shared" si="68"/>
        <v>262.1290649449835</v>
      </c>
      <c r="BK61" s="701">
        <f t="shared" si="68"/>
        <v>262.52546783331297</v>
      </c>
      <c r="BL61" s="701">
        <f t="shared" si="68"/>
        <v>261.15930768850393</v>
      </c>
      <c r="BM61" s="701">
        <f t="shared" si="68"/>
        <v>258.40254741845376</v>
      </c>
      <c r="BN61" s="701">
        <f t="shared" si="68"/>
        <v>254.38221105492667</v>
      </c>
      <c r="BO61" s="701">
        <f t="shared" si="68"/>
        <v>249.32674403705158</v>
      </c>
      <c r="BP61" s="701">
        <f t="shared" si="68"/>
        <v>242.90737701362602</v>
      </c>
      <c r="BQ61" s="701">
        <f t="shared" si="68"/>
        <v>235.52469700148691</v>
      </c>
      <c r="BR61" s="701">
        <f t="shared" si="68"/>
        <v>231.52155667291879</v>
      </c>
      <c r="BS61" s="701">
        <f t="shared" si="68"/>
        <v>229.41175650939147</v>
      </c>
      <c r="BT61" s="701">
        <f t="shared" si="68"/>
        <v>228.55576786821462</v>
      </c>
      <c r="BU61" s="701">
        <f t="shared" si="68"/>
        <v>229.03495323268118</v>
      </c>
      <c r="BV61" s="701">
        <f t="shared" si="68"/>
        <v>231.03095219181367</v>
      </c>
      <c r="BW61" s="701">
        <f t="shared" si="68"/>
        <v>234.37036358894409</v>
      </c>
      <c r="BX61" s="701">
        <f t="shared" si="68"/>
        <v>238.88201165178498</v>
      </c>
      <c r="BY61" s="701">
        <f t="shared" si="68"/>
        <v>244.44095980740454</v>
      </c>
      <c r="BZ61" s="701">
        <f t="shared" si="68"/>
        <v>250.92982329362809</v>
      </c>
      <c r="CA61" s="701">
        <f t="shared" si="68"/>
        <v>258.21601444551311</v>
      </c>
      <c r="CB61" s="701">
        <f t="shared" si="68"/>
        <v>266.14539464544742</v>
      </c>
      <c r="CC61" s="701">
        <f t="shared" si="68"/>
        <v>274.58392243355974</v>
      </c>
      <c r="CD61" s="701">
        <f t="shared" si="68"/>
        <v>282.87859630877023</v>
      </c>
      <c r="CE61" s="701">
        <f t="shared" si="68"/>
        <v>291.00202291065716</v>
      </c>
      <c r="CF61" s="701">
        <f t="shared" si="68"/>
        <v>298.86466266033153</v>
      </c>
      <c r="CG61" s="701">
        <f t="shared" si="68"/>
        <v>306.39836148267369</v>
      </c>
      <c r="CH61" s="701">
        <f t="shared" si="67"/>
        <v>313.59925976181404</v>
      </c>
      <c r="CI61" s="701">
        <f t="shared" si="67"/>
        <v>320.50536426890227</v>
      </c>
      <c r="CJ61" s="701">
        <f t="shared" si="67"/>
        <v>327.15091460031044</v>
      </c>
      <c r="CK61" s="701">
        <f t="shared" si="67"/>
        <v>333.56662323675158</v>
      </c>
      <c r="CL61" s="701">
        <f t="shared" si="67"/>
        <v>339.7731287959848</v>
      </c>
      <c r="CM61" s="701">
        <f t="shared" si="67"/>
        <v>345.79427698293807</v>
      </c>
      <c r="CN61" s="701">
        <f t="shared" si="67"/>
        <v>351.65324639530547</v>
      </c>
      <c r="CO61" s="701">
        <f t="shared" si="67"/>
        <v>357.37227066470092</v>
      </c>
      <c r="CP61" s="701">
        <f t="shared" si="67"/>
        <v>362.72626339508366</v>
      </c>
      <c r="CQ61" s="701">
        <f t="shared" si="67"/>
        <v>369.11218101701218</v>
      </c>
      <c r="CR61" s="701">
        <f t="shared" si="67"/>
        <v>377.41206538323081</v>
      </c>
      <c r="CS61" s="701">
        <f t="shared" si="67"/>
        <v>387.71016450550513</v>
      </c>
      <c r="CT61" s="701">
        <f t="shared" si="67"/>
        <v>400.07673552079194</v>
      </c>
      <c r="CU61" s="701">
        <f t="shared" si="67"/>
        <v>414.57717966400918</v>
      </c>
      <c r="CV61" s="701">
        <f t="shared" si="67"/>
        <v>431.28998716001888</v>
      </c>
      <c r="CW61" s="701">
        <f t="shared" si="67"/>
        <v>450.30388864951482</v>
      </c>
      <c r="CX61" s="701">
        <f t="shared" si="67"/>
        <v>471.71375090677611</v>
      </c>
      <c r="CY61" s="701">
        <f t="shared" si="67"/>
        <v>495.65376130730465</v>
      </c>
      <c r="CZ61" s="701">
        <f t="shared" si="67"/>
        <v>522.24086336137498</v>
      </c>
      <c r="DA61" s="701">
        <f t="shared" si="67"/>
        <v>551.59470826963911</v>
      </c>
      <c r="DC61" s="12">
        <f t="shared" ref="DC61:DC78" si="69">SUM(V61:AG61)</f>
        <v>34.676206584199093</v>
      </c>
      <c r="DD61" s="12">
        <f t="shared" ref="DD61:DD92" si="70">SUM(AH61:AS61)</f>
        <v>482.82241006470542</v>
      </c>
      <c r="DE61" s="12">
        <f t="shared" ref="DE61:DE92" si="71">SUM(AT61:BE61)</f>
        <v>1713.6199794526538</v>
      </c>
      <c r="DF61" s="12">
        <f t="shared" ref="DF61:DF92" si="72">SUM(BF61:BQ61)</f>
        <v>3026.4338466417676</v>
      </c>
      <c r="DG61" s="12">
        <f t="shared" ref="DG61:DG92" si="73">SUM(BR61:CC61)</f>
        <v>2917.1234763413022</v>
      </c>
      <c r="DH61" s="12">
        <f t="shared" ref="DH61:DH92" si="74">SUM(CD61:CO61)</f>
        <v>3868.5587280691393</v>
      </c>
      <c r="DI61" s="12">
        <f>SUM(CP61:DA61)</f>
        <v>5234.4115491402617</v>
      </c>
    </row>
    <row r="62" spans="1:117" s="12" customFormat="1" outlineLevel="2">
      <c r="B62" s="758"/>
      <c r="E62" s="14"/>
      <c r="F62" s="12" t="s">
        <v>472</v>
      </c>
      <c r="H62" s="865"/>
      <c r="I62" s="609" t="s">
        <v>736</v>
      </c>
      <c r="J62" s="701"/>
      <c r="K62" s="701"/>
      <c r="L62" s="701"/>
      <c r="M62" s="701"/>
      <c r="N62" s="701"/>
      <c r="O62" s="701"/>
      <c r="P62" s="701"/>
      <c r="Q62" s="701"/>
      <c r="R62" s="701"/>
      <c r="S62" s="701"/>
      <c r="T62" s="701"/>
      <c r="U62" s="701"/>
      <c r="V62" s="701">
        <f t="shared" si="68"/>
        <v>0</v>
      </c>
      <c r="W62" s="701">
        <f t="shared" si="68"/>
        <v>0</v>
      </c>
      <c r="X62" s="701">
        <f t="shared" si="68"/>
        <v>0</v>
      </c>
      <c r="Y62" s="701">
        <f t="shared" si="68"/>
        <v>0</v>
      </c>
      <c r="Z62" s="701">
        <f t="shared" si="68"/>
        <v>0</v>
      </c>
      <c r="AA62" s="701">
        <f t="shared" si="68"/>
        <v>0</v>
      </c>
      <c r="AB62" s="701">
        <f t="shared" si="68"/>
        <v>-7.9680134E-2</v>
      </c>
      <c r="AC62" s="701">
        <f t="shared" si="68"/>
        <v>-0.40186648630029898</v>
      </c>
      <c r="AD62" s="701">
        <f t="shared" si="68"/>
        <v>-0.68022480100000005</v>
      </c>
      <c r="AE62" s="701">
        <f t="shared" si="68"/>
        <v>-1.0442627520000001</v>
      </c>
      <c r="AF62" s="701">
        <f t="shared" si="68"/>
        <v>-1.277845731</v>
      </c>
      <c r="AG62" s="701">
        <f t="shared" si="68"/>
        <v>-1.7392523597535001</v>
      </c>
      <c r="AH62" s="701">
        <f t="shared" si="68"/>
        <v>-2.1867963939999999</v>
      </c>
      <c r="AI62" s="701">
        <f t="shared" si="68"/>
        <v>-2.2871373356456002</v>
      </c>
      <c r="AJ62" s="701">
        <f t="shared" si="68"/>
        <v>-2.487451691</v>
      </c>
      <c r="AK62" s="701">
        <f t="shared" si="68"/>
        <v>-2.5447643640000002</v>
      </c>
      <c r="AL62" s="701">
        <f t="shared" si="68"/>
        <v>-2.9977883059999999</v>
      </c>
      <c r="AM62" s="701">
        <f t="shared" si="68"/>
        <v>-3.4291233649999997</v>
      </c>
      <c r="AN62" s="701">
        <f t="shared" si="68"/>
        <v>-4.9996239540000005</v>
      </c>
      <c r="AO62" s="701">
        <f t="shared" si="68"/>
        <v>-6.4876041369999999</v>
      </c>
      <c r="AP62" s="701">
        <f t="shared" si="68"/>
        <v>-6.9285029790000001</v>
      </c>
      <c r="AQ62" s="701">
        <f t="shared" si="68"/>
        <v>-8.0299891040000002</v>
      </c>
      <c r="AR62" s="701">
        <f t="shared" si="68"/>
        <v>-9.5919900103537117</v>
      </c>
      <c r="AS62" s="701">
        <f t="shared" si="68"/>
        <v>-11.125628561331041</v>
      </c>
      <c r="AT62" s="701">
        <f t="shared" si="68"/>
        <v>-12.398363937133755</v>
      </c>
      <c r="AU62" s="701">
        <f t="shared" si="68"/>
        <v>-13.173832153687837</v>
      </c>
      <c r="AV62" s="701">
        <f t="shared" si="68"/>
        <v>-14.03251624411536</v>
      </c>
      <c r="AW62" s="701">
        <f t="shared" si="68"/>
        <v>-15.186993545568019</v>
      </c>
      <c r="AX62" s="701">
        <f t="shared" si="68"/>
        <v>-16.510500937460588</v>
      </c>
      <c r="AY62" s="701">
        <f t="shared" si="68"/>
        <v>-17.987197726940529</v>
      </c>
      <c r="AZ62" s="701">
        <f t="shared" si="68"/>
        <v>-19.615271015413427</v>
      </c>
      <c r="BA62" s="701">
        <f t="shared" si="68"/>
        <v>-21.401117736044675</v>
      </c>
      <c r="BB62" s="701">
        <f t="shared" si="68"/>
        <v>-23.334197049821157</v>
      </c>
      <c r="BC62" s="701">
        <f t="shared" si="68"/>
        <v>-25.375543494585067</v>
      </c>
      <c r="BD62" s="701">
        <f t="shared" si="68"/>
        <v>-27.529372566431327</v>
      </c>
      <c r="BE62" s="701">
        <f t="shared" si="68"/>
        <v>-29.931588362304424</v>
      </c>
      <c r="BF62" s="701">
        <f t="shared" si="68"/>
        <v>-32.318237884283235</v>
      </c>
      <c r="BG62" s="701">
        <f t="shared" si="68"/>
        <v>-34.348287261070347</v>
      </c>
      <c r="BH62" s="701">
        <f t="shared" si="68"/>
        <v>-36.013349368882942</v>
      </c>
      <c r="BI62" s="701">
        <f t="shared" si="68"/>
        <v>-37.302107063260685</v>
      </c>
      <c r="BJ62" s="701">
        <f t="shared" si="68"/>
        <v>-38.200294762271149</v>
      </c>
      <c r="BK62" s="701">
        <f t="shared" si="68"/>
        <v>-38.730206403816211</v>
      </c>
      <c r="BL62" s="701">
        <f t="shared" si="68"/>
        <v>-38.957795177958424</v>
      </c>
      <c r="BM62" s="701">
        <f t="shared" si="68"/>
        <v>-38.903395525532908</v>
      </c>
      <c r="BN62" s="701">
        <f t="shared" si="68"/>
        <v>-38.59131534019869</v>
      </c>
      <c r="BO62" s="701">
        <f t="shared" si="68"/>
        <v>-38.062053141962004</v>
      </c>
      <c r="BP62" s="701">
        <f t="shared" si="68"/>
        <v>-37.292416268264148</v>
      </c>
      <c r="BQ62" s="701">
        <f t="shared" si="68"/>
        <v>-36.316318922772638</v>
      </c>
      <c r="BR62" s="701">
        <f t="shared" si="68"/>
        <v>-35.39401597585163</v>
      </c>
      <c r="BS62" s="701">
        <f t="shared" si="68"/>
        <v>-34.727966421371569</v>
      </c>
      <c r="BT62" s="701">
        <f t="shared" si="68"/>
        <v>-34.263732129602936</v>
      </c>
      <c r="BU62" s="701">
        <f t="shared" si="68"/>
        <v>-33.990036358739474</v>
      </c>
      <c r="BV62" s="701">
        <f t="shared" si="68"/>
        <v>-33.961345988896603</v>
      </c>
      <c r="BW62" s="701">
        <f t="shared" si="68"/>
        <v>-34.161679809053695</v>
      </c>
      <c r="BX62" s="701">
        <f t="shared" si="68"/>
        <v>-34.577003918372363</v>
      </c>
      <c r="BY62" s="701">
        <f t="shared" si="68"/>
        <v>-35.191884849019246</v>
      </c>
      <c r="BZ62" s="701">
        <f t="shared" si="68"/>
        <v>-35.985332769665774</v>
      </c>
      <c r="CA62" s="701">
        <f t="shared" si="68"/>
        <v>-36.933154284210275</v>
      </c>
      <c r="CB62" s="701">
        <f t="shared" si="68"/>
        <v>-38.011905444868617</v>
      </c>
      <c r="CC62" s="701">
        <f t="shared" si="68"/>
        <v>-39.19763717362342</v>
      </c>
      <c r="CD62" s="701">
        <f t="shared" si="68"/>
        <v>-40.435828770088719</v>
      </c>
      <c r="CE62" s="701">
        <f t="shared" si="68"/>
        <v>-41.672716605442019</v>
      </c>
      <c r="CF62" s="701">
        <f t="shared" si="68"/>
        <v>-42.888348296486598</v>
      </c>
      <c r="CG62" s="701">
        <f t="shared" si="68"/>
        <v>-44.067026232053578</v>
      </c>
      <c r="CH62" s="701">
        <f t="shared" si="67"/>
        <v>-45.201155676093407</v>
      </c>
      <c r="CI62" s="701">
        <f t="shared" si="67"/>
        <v>-46.291450065315487</v>
      </c>
      <c r="CJ62" s="701">
        <f t="shared" si="67"/>
        <v>-47.338807484845688</v>
      </c>
      <c r="CK62" s="701">
        <f t="shared" si="67"/>
        <v>-48.344363015535563</v>
      </c>
      <c r="CL62" s="701">
        <f t="shared" si="67"/>
        <v>-49.310373002623095</v>
      </c>
      <c r="CM62" s="701">
        <f t="shared" si="67"/>
        <v>-50.240267401310433</v>
      </c>
      <c r="CN62" s="701">
        <f t="shared" si="67"/>
        <v>-51.137782659415073</v>
      </c>
      <c r="CO62" s="701">
        <f t="shared" si="67"/>
        <v>-52.006931544111282</v>
      </c>
      <c r="CP62" s="701">
        <f t="shared" si="67"/>
        <v>-52.841373680337412</v>
      </c>
      <c r="CQ62" s="701">
        <f t="shared" si="67"/>
        <v>-53.789156338254259</v>
      </c>
      <c r="CR62" s="701">
        <f t="shared" si="67"/>
        <v>-55.017007970378693</v>
      </c>
      <c r="CS62" s="701">
        <f t="shared" si="67"/>
        <v>-56.546887981906295</v>
      </c>
      <c r="CT62" s="701">
        <f t="shared" si="67"/>
        <v>-58.39946455450179</v>
      </c>
      <c r="CU62" s="701">
        <f t="shared" si="67"/>
        <v>-60.593672351300668</v>
      </c>
      <c r="CV62" s="701">
        <f t="shared" si="67"/>
        <v>-63.150331145734953</v>
      </c>
      <c r="CW62" s="701">
        <f t="shared" si="67"/>
        <v>-66.091921402926801</v>
      </c>
      <c r="CX62" s="701">
        <f t="shared" si="67"/>
        <v>-69.442613627731987</v>
      </c>
      <c r="CY62" s="701">
        <f t="shared" si="67"/>
        <v>-73.224523723650734</v>
      </c>
      <c r="CZ62" s="701">
        <f t="shared" si="67"/>
        <v>-77.457109496937335</v>
      </c>
      <c r="DA62" s="701">
        <f t="shared" si="67"/>
        <v>-82.16037697906458</v>
      </c>
      <c r="DC62" s="12">
        <f t="shared" si="69"/>
        <v>-5.2231322640537998</v>
      </c>
      <c r="DD62" s="12">
        <f t="shared" si="70"/>
        <v>-63.096400201330354</v>
      </c>
      <c r="DE62" s="12">
        <f t="shared" si="71"/>
        <v>-236.47649476950619</v>
      </c>
      <c r="DF62" s="12">
        <f t="shared" si="72"/>
        <v>-445.03577712027334</v>
      </c>
      <c r="DG62" s="12">
        <f t="shared" si="73"/>
        <v>-426.39569512327563</v>
      </c>
      <c r="DH62" s="12">
        <f t="shared" si="74"/>
        <v>-558.93505075332098</v>
      </c>
      <c r="DI62" s="12">
        <f t="shared" ref="DI62:DI92" si="75">SUM(CP62:DA62)</f>
        <v>-768.71443925272558</v>
      </c>
    </row>
    <row r="63" spans="1:117" s="758" customFormat="1" outlineLevel="2">
      <c r="E63" s="704" t="s">
        <v>217</v>
      </c>
      <c r="H63" s="866"/>
      <c r="I63" s="609" t="s">
        <v>736</v>
      </c>
      <c r="J63" s="705">
        <f t="shared" ref="J63:T63" si="76">J64+J67</f>
        <v>4.965520000000001E-3</v>
      </c>
      <c r="K63" s="705">
        <f t="shared" si="76"/>
        <v>5.0063711111111107E-3</v>
      </c>
      <c r="L63" s="705">
        <f t="shared" si="76"/>
        <v>9.5210788888888884E-3</v>
      </c>
      <c r="M63" s="705">
        <f t="shared" si="76"/>
        <v>1.3471439999999998E-2</v>
      </c>
      <c r="N63" s="705">
        <f t="shared" si="76"/>
        <v>2.3450769999999999E-2</v>
      </c>
      <c r="O63" s="705">
        <f t="shared" si="76"/>
        <v>2.8571002222222218E-2</v>
      </c>
      <c r="P63" s="705">
        <f t="shared" si="76"/>
        <v>3.0593824444444438E-2</v>
      </c>
      <c r="Q63" s="705">
        <f t="shared" si="76"/>
        <v>3.4749227777777773E-2</v>
      </c>
      <c r="R63" s="705">
        <f t="shared" si="76"/>
        <v>2.675195E-2</v>
      </c>
      <c r="S63" s="705">
        <f t="shared" si="76"/>
        <v>2.8034486666666664E-2</v>
      </c>
      <c r="T63" s="705">
        <f t="shared" si="76"/>
        <v>2.1853895555555551E-2</v>
      </c>
      <c r="U63" s="705">
        <f>U64+U67</f>
        <v>1.901494222222222E-2</v>
      </c>
      <c r="V63" s="705">
        <f t="shared" ref="V63:CG63" si="77">V64+V67</f>
        <v>0</v>
      </c>
      <c r="W63" s="705">
        <f>W64+W67</f>
        <v>0</v>
      </c>
      <c r="X63" s="705">
        <f t="shared" si="77"/>
        <v>0</v>
      </c>
      <c r="Y63" s="705">
        <f t="shared" si="77"/>
        <v>0</v>
      </c>
      <c r="Z63" s="705">
        <f t="shared" si="77"/>
        <v>0</v>
      </c>
      <c r="AA63" s="705">
        <f t="shared" si="77"/>
        <v>2.3122999999999999E-4</v>
      </c>
      <c r="AB63" s="705">
        <f t="shared" si="77"/>
        <v>1.622806974</v>
      </c>
      <c r="AC63" s="705">
        <f t="shared" si="77"/>
        <v>2.9386204726997009</v>
      </c>
      <c r="AD63" s="705">
        <f t="shared" si="77"/>
        <v>3.6423962969999994</v>
      </c>
      <c r="AE63" s="705">
        <f t="shared" si="77"/>
        <v>5.0668626319999994</v>
      </c>
      <c r="AF63" s="705">
        <f t="shared" si="77"/>
        <v>6.1511537359999995</v>
      </c>
      <c r="AG63" s="705">
        <f t="shared" si="77"/>
        <v>10.031002978445589</v>
      </c>
      <c r="AH63" s="867">
        <f t="shared" si="77"/>
        <v>11.307749161</v>
      </c>
      <c r="AI63" s="867">
        <f t="shared" si="77"/>
        <v>10.039579795354399</v>
      </c>
      <c r="AJ63" s="867">
        <f>AJ64+AJ67</f>
        <v>11.664368755999998</v>
      </c>
      <c r="AK63" s="867">
        <f t="shared" si="77"/>
        <v>15.035967113999998</v>
      </c>
      <c r="AL63" s="867">
        <f t="shared" si="77"/>
        <v>20.488775930999999</v>
      </c>
      <c r="AM63" s="867">
        <f t="shared" si="77"/>
        <v>24.788549854000003</v>
      </c>
      <c r="AN63" s="867">
        <f t="shared" si="77"/>
        <v>40.697372692000002</v>
      </c>
      <c r="AO63" s="867">
        <f t="shared" si="77"/>
        <v>45.265840636000007</v>
      </c>
      <c r="AP63" s="867">
        <f t="shared" si="77"/>
        <v>48.583965464000002</v>
      </c>
      <c r="AQ63" s="867">
        <f t="shared" si="77"/>
        <v>55.989267312246497</v>
      </c>
      <c r="AR63" s="867">
        <f t="shared" si="77"/>
        <v>63.006719314707908</v>
      </c>
      <c r="AS63" s="867">
        <f t="shared" si="77"/>
        <v>72.857853833066287</v>
      </c>
      <c r="AT63" s="705">
        <f t="shared" si="77"/>
        <v>77.38883534278763</v>
      </c>
      <c r="AU63" s="705">
        <f t="shared" si="77"/>
        <v>76.410766648712055</v>
      </c>
      <c r="AV63" s="705">
        <f t="shared" si="77"/>
        <v>84.674717665540996</v>
      </c>
      <c r="AW63" s="705">
        <f t="shared" si="77"/>
        <v>92.672596714294315</v>
      </c>
      <c r="AX63" s="705">
        <f t="shared" si="77"/>
        <v>101.61123896135327</v>
      </c>
      <c r="AY63" s="705">
        <f t="shared" si="77"/>
        <v>111.51430700595746</v>
      </c>
      <c r="AZ63" s="705">
        <f t="shared" si="77"/>
        <v>122.42039748315429</v>
      </c>
      <c r="BA63" s="705">
        <f t="shared" si="77"/>
        <v>134.58245444757108</v>
      </c>
      <c r="BB63" s="705">
        <f t="shared" si="77"/>
        <v>147.5752287050787</v>
      </c>
      <c r="BC63" s="705">
        <f t="shared" si="77"/>
        <v>160.97221770130196</v>
      </c>
      <c r="BD63" s="705">
        <f t="shared" si="77"/>
        <v>175.00435216739515</v>
      </c>
      <c r="BE63" s="705">
        <f t="shared" si="77"/>
        <v>192.31637184000067</v>
      </c>
      <c r="BF63" s="867">
        <f t="shared" si="77"/>
        <v>207.10032433187692</v>
      </c>
      <c r="BG63" s="867">
        <f t="shared" si="77"/>
        <v>212.41475618306706</v>
      </c>
      <c r="BH63" s="867">
        <f t="shared" si="77"/>
        <v>218.35798017486314</v>
      </c>
      <c r="BI63" s="867">
        <f t="shared" si="77"/>
        <v>222.22138738211748</v>
      </c>
      <c r="BJ63" s="867">
        <f t="shared" si="77"/>
        <v>223.92877018271236</v>
      </c>
      <c r="BK63" s="867">
        <f t="shared" si="77"/>
        <v>223.79526142949675</v>
      </c>
      <c r="BL63" s="867">
        <f>BL64+BL67</f>
        <v>222.20151251054551</v>
      </c>
      <c r="BM63" s="867">
        <f t="shared" si="77"/>
        <v>219.49915189292085</v>
      </c>
      <c r="BN63" s="867">
        <f t="shared" si="77"/>
        <v>215.79089571472795</v>
      </c>
      <c r="BO63" s="867">
        <f t="shared" si="77"/>
        <v>211.26469089508959</v>
      </c>
      <c r="BP63" s="867">
        <f t="shared" si="77"/>
        <v>205.61496074536183</v>
      </c>
      <c r="BQ63" s="867">
        <f t="shared" si="77"/>
        <v>199.20837807871428</v>
      </c>
      <c r="BR63" s="867">
        <f t="shared" si="77"/>
        <v>196.12754069706716</v>
      </c>
      <c r="BS63" s="867">
        <f t="shared" si="77"/>
        <v>194.68379008801992</v>
      </c>
      <c r="BT63" s="867">
        <f t="shared" si="77"/>
        <v>194.29203573861167</v>
      </c>
      <c r="BU63" s="867">
        <f t="shared" si="77"/>
        <v>195.04491687394173</v>
      </c>
      <c r="BV63" s="867">
        <f t="shared" si="77"/>
        <v>197.0696062029171</v>
      </c>
      <c r="BW63" s="867">
        <f t="shared" si="77"/>
        <v>200.20868377989041</v>
      </c>
      <c r="BX63" s="867">
        <f t="shared" si="77"/>
        <v>204.30500773341262</v>
      </c>
      <c r="BY63" s="867">
        <f t="shared" si="77"/>
        <v>209.24907495838525</v>
      </c>
      <c r="BZ63" s="867">
        <f t="shared" si="77"/>
        <v>214.94449052396232</v>
      </c>
      <c r="CA63" s="867">
        <f t="shared" si="77"/>
        <v>221.28286016130281</v>
      </c>
      <c r="CB63" s="867">
        <f t="shared" si="77"/>
        <v>228.13348920057882</v>
      </c>
      <c r="CC63" s="867">
        <f t="shared" si="77"/>
        <v>235.38628525993627</v>
      </c>
      <c r="CD63" s="867">
        <f t="shared" si="77"/>
        <v>242.44276753868149</v>
      </c>
      <c r="CE63" s="867">
        <f t="shared" si="77"/>
        <v>249.32930630521514</v>
      </c>
      <c r="CF63" s="867">
        <f t="shared" si="77"/>
        <v>255.97631436384495</v>
      </c>
      <c r="CG63" s="867">
        <f t="shared" si="77"/>
        <v>262.3313352506201</v>
      </c>
      <c r="CH63" s="867">
        <f t="shared" ref="CH63:DA63" si="78">CH64+CH67</f>
        <v>268.39810408572066</v>
      </c>
      <c r="CI63" s="867">
        <f t="shared" si="78"/>
        <v>274.2139142035868</v>
      </c>
      <c r="CJ63" s="867">
        <f t="shared" si="78"/>
        <v>279.81210711546476</v>
      </c>
      <c r="CK63" s="867">
        <f t="shared" si="78"/>
        <v>285.22226022121595</v>
      </c>
      <c r="CL63" s="867">
        <f t="shared" si="78"/>
        <v>290.46275579336168</v>
      </c>
      <c r="CM63" s="867">
        <f t="shared" si="78"/>
        <v>295.55400958162761</v>
      </c>
      <c r="CN63" s="867">
        <f t="shared" si="78"/>
        <v>300.51546373589042</v>
      </c>
      <c r="CO63" s="867">
        <f t="shared" si="78"/>
        <v>305.36533912058962</v>
      </c>
      <c r="CP63" s="867">
        <f t="shared" si="78"/>
        <v>309.88488971474624</v>
      </c>
      <c r="CQ63" s="867">
        <f t="shared" si="78"/>
        <v>315.32302467875792</v>
      </c>
      <c r="CR63" s="867">
        <f t="shared" si="78"/>
        <v>322.39505741285217</v>
      </c>
      <c r="CS63" s="867">
        <f t="shared" si="78"/>
        <v>331.16327652359882</v>
      </c>
      <c r="CT63" s="867">
        <f t="shared" si="78"/>
        <v>341.67727096629017</v>
      </c>
      <c r="CU63" s="867">
        <f t="shared" si="78"/>
        <v>353.98350731270853</v>
      </c>
      <c r="CV63" s="867">
        <f t="shared" si="78"/>
        <v>368.1396560142839</v>
      </c>
      <c r="CW63" s="867">
        <f t="shared" si="78"/>
        <v>384.21196724658796</v>
      </c>
      <c r="CX63" s="867">
        <f t="shared" si="78"/>
        <v>402.27113727904418</v>
      </c>
      <c r="CY63" s="867">
        <f t="shared" si="78"/>
        <v>422.4292375836539</v>
      </c>
      <c r="CZ63" s="867">
        <f t="shared" si="78"/>
        <v>444.7837538644377</v>
      </c>
      <c r="DA63" s="867">
        <f t="shared" si="78"/>
        <v>469.43433129057451</v>
      </c>
      <c r="DC63" s="14">
        <f t="shared" si="69"/>
        <v>29.453074320145287</v>
      </c>
      <c r="DD63" s="14">
        <f t="shared" si="70"/>
        <v>419.72600986337511</v>
      </c>
      <c r="DE63" s="14">
        <f t="shared" si="71"/>
        <v>1477.1434846831476</v>
      </c>
      <c r="DF63" s="14">
        <f t="shared" si="72"/>
        <v>2581.3980695214937</v>
      </c>
      <c r="DG63" s="14">
        <f t="shared" si="73"/>
        <v>2490.7277812180259</v>
      </c>
      <c r="DH63" s="14">
        <f t="shared" si="74"/>
        <v>3309.6236773158189</v>
      </c>
      <c r="DI63" s="14">
        <f t="shared" si="75"/>
        <v>4465.6971098875356</v>
      </c>
    </row>
    <row r="64" spans="1:117" s="14" customFormat="1" outlineLevel="2">
      <c r="B64" s="758"/>
      <c r="E64" s="14" t="s">
        <v>797</v>
      </c>
      <c r="H64" s="868"/>
      <c r="I64" s="609" t="s">
        <v>736</v>
      </c>
      <c r="J64" s="741">
        <f t="shared" ref="J64:T64" si="79">SUM(J65:J66)</f>
        <v>4.965520000000001E-3</v>
      </c>
      <c r="K64" s="741">
        <f t="shared" si="79"/>
        <v>5.0063711111111107E-3</v>
      </c>
      <c r="L64" s="741">
        <f t="shared" si="79"/>
        <v>9.5210788888888884E-3</v>
      </c>
      <c r="M64" s="741">
        <f t="shared" si="79"/>
        <v>1.3471439999999998E-2</v>
      </c>
      <c r="N64" s="741">
        <f t="shared" si="79"/>
        <v>2.3450769999999999E-2</v>
      </c>
      <c r="O64" s="741">
        <f t="shared" si="79"/>
        <v>2.8571002222222218E-2</v>
      </c>
      <c r="P64" s="741">
        <f t="shared" si="79"/>
        <v>3.0593824444444438E-2</v>
      </c>
      <c r="Q64" s="741">
        <f t="shared" si="79"/>
        <v>3.4749227777777773E-2</v>
      </c>
      <c r="R64" s="741">
        <f t="shared" si="79"/>
        <v>2.675195E-2</v>
      </c>
      <c r="S64" s="741">
        <f t="shared" si="79"/>
        <v>2.8034486666666664E-2</v>
      </c>
      <c r="T64" s="741">
        <f t="shared" si="79"/>
        <v>2.1853895555555551E-2</v>
      </c>
      <c r="U64" s="741">
        <f>SUM(U65:U66)</f>
        <v>1.901494222222222E-2</v>
      </c>
      <c r="V64" s="702">
        <f t="shared" ref="V64:CG64" si="80">V65+V66</f>
        <v>0</v>
      </c>
      <c r="W64" s="702">
        <f t="shared" si="80"/>
        <v>0</v>
      </c>
      <c r="X64" s="708">
        <f t="shared" si="80"/>
        <v>0</v>
      </c>
      <c r="Y64" s="708">
        <f t="shared" si="80"/>
        <v>0</v>
      </c>
      <c r="Z64" s="708">
        <f t="shared" si="80"/>
        <v>0</v>
      </c>
      <c r="AA64" s="708">
        <f t="shared" si="80"/>
        <v>2.3122999999999999E-4</v>
      </c>
      <c r="AB64" s="708">
        <f t="shared" si="80"/>
        <v>0.32883096299999998</v>
      </c>
      <c r="AC64" s="708">
        <f t="shared" si="80"/>
        <v>1.3021956916997011</v>
      </c>
      <c r="AD64" s="708">
        <f t="shared" si="80"/>
        <v>1.8033034519999998</v>
      </c>
      <c r="AE64" s="708">
        <f t="shared" si="80"/>
        <v>2.9185292289999998</v>
      </c>
      <c r="AF64" s="708">
        <f t="shared" si="80"/>
        <v>3.7677314019999999</v>
      </c>
      <c r="AG64" s="708">
        <f t="shared" si="80"/>
        <v>5.7162196712464999</v>
      </c>
      <c r="AH64" s="742">
        <f t="shared" si="80"/>
        <v>7.6358882700000006</v>
      </c>
      <c r="AI64" s="742">
        <f t="shared" si="80"/>
        <v>7.7734432723543989</v>
      </c>
      <c r="AJ64" s="742">
        <f t="shared" si="80"/>
        <v>8.7675626439999998</v>
      </c>
      <c r="AK64" s="742">
        <f t="shared" si="80"/>
        <v>9.5812492869999986</v>
      </c>
      <c r="AL64" s="742">
        <f t="shared" si="80"/>
        <v>14.112197730999998</v>
      </c>
      <c r="AM64" s="742">
        <f t="shared" si="80"/>
        <v>12.617369266000004</v>
      </c>
      <c r="AN64" s="742">
        <f>AN65+AN66</f>
        <v>24.242769008000003</v>
      </c>
      <c r="AO64" s="742">
        <f t="shared" si="80"/>
        <v>29.148971997000004</v>
      </c>
      <c r="AP64" s="742">
        <f t="shared" si="80"/>
        <v>32.543530539000002</v>
      </c>
      <c r="AQ64" s="742">
        <f t="shared" si="80"/>
        <v>38.270828659746492</v>
      </c>
      <c r="AR64" s="742">
        <f t="shared" si="80"/>
        <v>43.81299486197176</v>
      </c>
      <c r="AS64" s="742">
        <f t="shared" si="80"/>
        <v>50.907296935056522</v>
      </c>
      <c r="AT64" s="708">
        <f t="shared" si="80"/>
        <v>57.991961466382946</v>
      </c>
      <c r="AU64" s="708">
        <f t="shared" si="80"/>
        <v>60.156751728913463</v>
      </c>
      <c r="AV64" s="708">
        <f t="shared" si="80"/>
        <v>63.698715431266351</v>
      </c>
      <c r="AW64" s="708">
        <f t="shared" si="80"/>
        <v>68.819796708927001</v>
      </c>
      <c r="AX64" s="708">
        <f t="shared" si="80"/>
        <v>74.856897515923876</v>
      </c>
      <c r="AY64" s="708">
        <f t="shared" si="80"/>
        <v>81.839648633496438</v>
      </c>
      <c r="AZ64" s="708">
        <f t="shared" si="80"/>
        <v>89.805284324945191</v>
      </c>
      <c r="BA64" s="708">
        <f t="shared" si="80"/>
        <v>98.99340801373333</v>
      </c>
      <c r="BB64" s="708">
        <f t="shared" si="80"/>
        <v>109.00260802230302</v>
      </c>
      <c r="BC64" s="708">
        <f t="shared" si="80"/>
        <v>119.40596289626669</v>
      </c>
      <c r="BD64" s="708">
        <f t="shared" si="80"/>
        <v>130.43287105456773</v>
      </c>
      <c r="BE64" s="708">
        <f t="shared" si="80"/>
        <v>142.89002720388174</v>
      </c>
      <c r="BF64" s="742">
        <f t="shared" si="80"/>
        <v>159.01396348196545</v>
      </c>
      <c r="BG64" s="742">
        <f t="shared" si="80"/>
        <v>165.66674205882984</v>
      </c>
      <c r="BH64" s="742">
        <f t="shared" si="80"/>
        <v>172.94699799494259</v>
      </c>
      <c r="BI64" s="742">
        <f t="shared" si="80"/>
        <v>178.14652933282321</v>
      </c>
      <c r="BJ64" s="742">
        <f t="shared" si="80"/>
        <v>181.18953379214258</v>
      </c>
      <c r="BK64" s="742">
        <f t="shared" si="80"/>
        <v>182.39140413706514</v>
      </c>
      <c r="BL64" s="742">
        <f t="shared" si="80"/>
        <v>182.13350024353937</v>
      </c>
      <c r="BM64" s="742">
        <f t="shared" si="80"/>
        <v>180.75963300792858</v>
      </c>
      <c r="BN64" s="742">
        <f t="shared" si="80"/>
        <v>178.37652505230446</v>
      </c>
      <c r="BO64" s="742">
        <f t="shared" si="80"/>
        <v>175.17515187996275</v>
      </c>
      <c r="BP64" s="742">
        <f t="shared" si="80"/>
        <v>170.85309407836695</v>
      </c>
      <c r="BQ64" s="742">
        <f t="shared" si="80"/>
        <v>165.77713756874653</v>
      </c>
      <c r="BR64" s="742">
        <f t="shared" si="80"/>
        <v>161.523488667365</v>
      </c>
      <c r="BS64" s="742">
        <f t="shared" si="80"/>
        <v>158.90944429910718</v>
      </c>
      <c r="BT64" s="742">
        <f t="shared" si="80"/>
        <v>157.34956342378683</v>
      </c>
      <c r="BU64" s="742">
        <f t="shared" si="80"/>
        <v>156.93616520935421</v>
      </c>
      <c r="BV64" s="742">
        <f t="shared" si="80"/>
        <v>157.79612595103981</v>
      </c>
      <c r="BW64" s="742">
        <f t="shared" si="80"/>
        <v>159.77174259506899</v>
      </c>
      <c r="BX64" s="742">
        <f t="shared" si="80"/>
        <v>162.70559554435343</v>
      </c>
      <c r="BY64" s="742">
        <f t="shared" si="80"/>
        <v>166.48790127293</v>
      </c>
      <c r="BZ64" s="742">
        <f t="shared" si="80"/>
        <v>171.02103260513798</v>
      </c>
      <c r="CA64" s="742">
        <f t="shared" si="80"/>
        <v>176.19578181487302</v>
      </c>
      <c r="CB64" s="742">
        <f t="shared" si="80"/>
        <v>181.88116048652347</v>
      </c>
      <c r="CC64" s="742">
        <f t="shared" si="80"/>
        <v>187.96721058337056</v>
      </c>
      <c r="CD64" s="742">
        <f t="shared" si="80"/>
        <v>194.12925727363188</v>
      </c>
      <c r="CE64" s="742">
        <f t="shared" si="80"/>
        <v>200.12018345762112</v>
      </c>
      <c r="CF64" s="742">
        <f t="shared" si="80"/>
        <v>205.8705460728753</v>
      </c>
      <c r="CG64" s="742">
        <f t="shared" si="80"/>
        <v>211.3280263780461</v>
      </c>
      <c r="CH64" s="742">
        <f t="shared" ref="CH64:CM64" si="81">CH65+CH66</f>
        <v>216.49649287403454</v>
      </c>
      <c r="CI64" s="742">
        <f t="shared" si="81"/>
        <v>221.41337189844529</v>
      </c>
      <c r="CJ64" s="742">
        <f t="shared" si="81"/>
        <v>226.11214015272856</v>
      </c>
      <c r="CK64" s="742">
        <f t="shared" si="81"/>
        <v>230.62251353036265</v>
      </c>
      <c r="CL64" s="742">
        <f t="shared" si="81"/>
        <v>234.96283705389422</v>
      </c>
      <c r="CM64" s="742">
        <f t="shared" si="81"/>
        <v>239.15357203499806</v>
      </c>
      <c r="CN64" s="742">
        <f>CN65+CN66</f>
        <v>243.21419553517123</v>
      </c>
      <c r="CO64" s="742">
        <f>CO65+CO66</f>
        <v>247.16297557826732</v>
      </c>
      <c r="CP64" s="742">
        <f t="shared" ref="CP64:CY64" si="82">CP65+CP66</f>
        <v>250.94242845921775</v>
      </c>
      <c r="CQ64" s="742">
        <f t="shared" si="82"/>
        <v>255.64024504166696</v>
      </c>
      <c r="CR64" s="742">
        <f t="shared" si="82"/>
        <v>261.97176252623626</v>
      </c>
      <c r="CS64" s="742">
        <f t="shared" si="82"/>
        <v>269.99929397534498</v>
      </c>
      <c r="CT64" s="742">
        <f t="shared" si="82"/>
        <v>279.77245320467279</v>
      </c>
      <c r="CU64" s="742">
        <f t="shared" si="82"/>
        <v>291.33773221425855</v>
      </c>
      <c r="CV64" s="742">
        <f t="shared" si="82"/>
        <v>304.75282741763488</v>
      </c>
      <c r="CW64" s="742">
        <f t="shared" si="82"/>
        <v>320.08401548155803</v>
      </c>
      <c r="CX64" s="742">
        <f t="shared" si="82"/>
        <v>337.40212314246406</v>
      </c>
      <c r="CY64" s="742">
        <f t="shared" si="82"/>
        <v>356.81719332515416</v>
      </c>
      <c r="CZ64" s="742">
        <f>CZ65+CZ66</f>
        <v>378.42533313093298</v>
      </c>
      <c r="DA64" s="742">
        <f>DA65+DA66</f>
        <v>402.32541103829465</v>
      </c>
      <c r="DB64" s="853">
        <f>CO63-CO64-CO67</f>
        <v>0</v>
      </c>
      <c r="DC64" s="14">
        <f t="shared" si="69"/>
        <v>15.8370416389462</v>
      </c>
      <c r="DD64" s="14">
        <f t="shared" si="70"/>
        <v>279.41410247112918</v>
      </c>
      <c r="DE64" s="14">
        <f>SUM(AT64:BE64)</f>
        <v>1097.8939330006078</v>
      </c>
      <c r="DF64" s="14">
        <f t="shared" si="72"/>
        <v>2092.4302126286175</v>
      </c>
      <c r="DG64" s="14">
        <f t="shared" si="73"/>
        <v>1998.5452124529104</v>
      </c>
      <c r="DH64" s="14">
        <f t="shared" si="74"/>
        <v>2670.5861118400767</v>
      </c>
      <c r="DI64" s="14">
        <f t="shared" si="75"/>
        <v>3709.4708189574353</v>
      </c>
      <c r="DJ64" s="758"/>
      <c r="DM64" s="869"/>
    </row>
    <row r="65" spans="2:116" outlineLevel="2">
      <c r="B65" s="758"/>
      <c r="F65" s="126" t="s">
        <v>737</v>
      </c>
      <c r="I65" s="609" t="s">
        <v>736</v>
      </c>
      <c r="J65" s="748">
        <v>6.9797788888888894E-3</v>
      </c>
      <c r="K65" s="748">
        <v>7.1208799999999996E-3</v>
      </c>
      <c r="L65" s="748">
        <v>1.3406525555555555E-2</v>
      </c>
      <c r="M65" s="748">
        <v>1.9160065555555553E-2</v>
      </c>
      <c r="N65" s="748">
        <v>3.1710895555555556E-2</v>
      </c>
      <c r="O65" s="748">
        <v>3.9175055555555553E-2</v>
      </c>
      <c r="P65" s="748">
        <v>4.3082988888888882E-2</v>
      </c>
      <c r="Q65" s="748">
        <v>4.793575555555555E-2</v>
      </c>
      <c r="R65" s="748">
        <v>3.912881E-2</v>
      </c>
      <c r="S65" s="748">
        <v>4.0557035555555551E-2</v>
      </c>
      <c r="T65" s="748">
        <v>3.2915413333333331E-2</v>
      </c>
      <c r="U65" s="748">
        <v>2.9448875555555556E-2</v>
      </c>
      <c r="V65" s="722">
        <f t="shared" ref="V65:CG68" si="83">V109+V150+V191</f>
        <v>0</v>
      </c>
      <c r="W65" s="722">
        <f t="shared" si="83"/>
        <v>0</v>
      </c>
      <c r="X65" s="722">
        <f t="shared" si="83"/>
        <v>0</v>
      </c>
      <c r="Y65" s="722">
        <f t="shared" si="83"/>
        <v>0</v>
      </c>
      <c r="Z65" s="722">
        <f t="shared" si="83"/>
        <v>0</v>
      </c>
      <c r="AA65" s="722">
        <f t="shared" si="83"/>
        <v>2.3122999999999999E-4</v>
      </c>
      <c r="AB65" s="722">
        <f t="shared" si="83"/>
        <v>0.40851109699999999</v>
      </c>
      <c r="AC65" s="722">
        <f t="shared" si="83"/>
        <v>1.704062178</v>
      </c>
      <c r="AD65" s="722">
        <f t="shared" si="83"/>
        <v>2.4835282529999998</v>
      </c>
      <c r="AE65" s="722">
        <f t="shared" si="83"/>
        <v>3.9627919810000001</v>
      </c>
      <c r="AF65" s="722">
        <f t="shared" si="83"/>
        <v>5.0455771330000001</v>
      </c>
      <c r="AG65" s="722">
        <f t="shared" si="83"/>
        <v>7.4554720310000002</v>
      </c>
      <c r="AH65" s="701">
        <f t="shared" si="83"/>
        <v>9.8226846640000005</v>
      </c>
      <c r="AI65" s="701">
        <f t="shared" si="83"/>
        <v>10.060580607999999</v>
      </c>
      <c r="AJ65" s="701">
        <f t="shared" si="83"/>
        <v>11.255014335</v>
      </c>
      <c r="AK65" s="701">
        <f t="shared" si="83"/>
        <v>12.126013650999999</v>
      </c>
      <c r="AL65" s="701">
        <f t="shared" si="83"/>
        <v>17.109986036999999</v>
      </c>
      <c r="AM65" s="701">
        <f t="shared" si="83"/>
        <v>16.046492631000003</v>
      </c>
      <c r="AN65" s="701">
        <f t="shared" si="83"/>
        <v>29.242392962000004</v>
      </c>
      <c r="AO65" s="701">
        <f t="shared" si="83"/>
        <v>35.636576134000002</v>
      </c>
      <c r="AP65" s="701">
        <f t="shared" si="83"/>
        <v>39.472033518000003</v>
      </c>
      <c r="AQ65" s="701">
        <f t="shared" si="83"/>
        <v>46.300817763746494</v>
      </c>
      <c r="AR65" s="701">
        <f t="shared" si="83"/>
        <v>53.404984872325471</v>
      </c>
      <c r="AS65" s="701">
        <f t="shared" si="83"/>
        <v>62.032925496387563</v>
      </c>
      <c r="AT65" s="701">
        <f t="shared" si="83"/>
        <v>70.390325403516698</v>
      </c>
      <c r="AU65" s="701">
        <f t="shared" si="83"/>
        <v>73.330583882601303</v>
      </c>
      <c r="AV65" s="701">
        <f t="shared" si="83"/>
        <v>77.731231675381707</v>
      </c>
      <c r="AW65" s="701">
        <f t="shared" si="83"/>
        <v>84.006790254495016</v>
      </c>
      <c r="AX65" s="701">
        <f t="shared" si="83"/>
        <v>91.367398453384467</v>
      </c>
      <c r="AY65" s="701">
        <f t="shared" si="83"/>
        <v>99.826846360436974</v>
      </c>
      <c r="AZ65" s="701">
        <f t="shared" si="83"/>
        <v>109.42055534035862</v>
      </c>
      <c r="BA65" s="701">
        <f t="shared" si="83"/>
        <v>120.39452574977801</v>
      </c>
      <c r="BB65" s="701">
        <f t="shared" si="83"/>
        <v>132.33680507212418</v>
      </c>
      <c r="BC65" s="701">
        <f t="shared" si="83"/>
        <v>144.78150639085175</v>
      </c>
      <c r="BD65" s="701">
        <f t="shared" si="83"/>
        <v>157.96224362099906</v>
      </c>
      <c r="BE65" s="701">
        <f t="shared" si="83"/>
        <v>172.82161556618618</v>
      </c>
      <c r="BF65" s="701">
        <f t="shared" si="83"/>
        <v>191.33220136624868</v>
      </c>
      <c r="BG65" s="701">
        <f t="shared" si="83"/>
        <v>200.01502931990018</v>
      </c>
      <c r="BH65" s="701">
        <f t="shared" si="83"/>
        <v>208.96034736382552</v>
      </c>
      <c r="BI65" s="701">
        <f t="shared" si="83"/>
        <v>215.44863639608388</v>
      </c>
      <c r="BJ65" s="701">
        <f t="shared" si="83"/>
        <v>219.38982855441373</v>
      </c>
      <c r="BK65" s="701">
        <f t="shared" si="83"/>
        <v>221.12161054088136</v>
      </c>
      <c r="BL65" s="701">
        <f t="shared" si="83"/>
        <v>221.09129542149779</v>
      </c>
      <c r="BM65" s="701">
        <f t="shared" si="83"/>
        <v>219.6630285334615</v>
      </c>
      <c r="BN65" s="701">
        <f t="shared" si="83"/>
        <v>216.96784039250315</v>
      </c>
      <c r="BO65" s="701">
        <f t="shared" si="83"/>
        <v>213.23720502192475</v>
      </c>
      <c r="BP65" s="701">
        <f t="shared" si="83"/>
        <v>208.14551034663111</v>
      </c>
      <c r="BQ65" s="701">
        <f t="shared" si="83"/>
        <v>202.09345649151916</v>
      </c>
      <c r="BR65" s="701">
        <f t="shared" si="83"/>
        <v>196.91750464321663</v>
      </c>
      <c r="BS65" s="701">
        <f t="shared" si="83"/>
        <v>193.63741072047875</v>
      </c>
      <c r="BT65" s="701">
        <f t="shared" si="83"/>
        <v>191.61329555338978</v>
      </c>
      <c r="BU65" s="701">
        <f t="shared" si="83"/>
        <v>190.92620156809369</v>
      </c>
      <c r="BV65" s="701">
        <f t="shared" si="83"/>
        <v>191.75747193993641</v>
      </c>
      <c r="BW65" s="701">
        <f t="shared" si="83"/>
        <v>193.93342240412269</v>
      </c>
      <c r="BX65" s="701">
        <f t="shared" si="83"/>
        <v>197.28259946272578</v>
      </c>
      <c r="BY65" s="701">
        <f t="shared" si="83"/>
        <v>201.67978612194926</v>
      </c>
      <c r="BZ65" s="701">
        <f t="shared" si="83"/>
        <v>207.00636537480375</v>
      </c>
      <c r="CA65" s="701">
        <f t="shared" si="83"/>
        <v>213.12893609908329</v>
      </c>
      <c r="CB65" s="701">
        <f t="shared" si="83"/>
        <v>219.89306593139207</v>
      </c>
      <c r="CC65" s="701">
        <f t="shared" si="83"/>
        <v>227.16484775699399</v>
      </c>
      <c r="CD65" s="701">
        <f t="shared" si="83"/>
        <v>234.56508604372061</v>
      </c>
      <c r="CE65" s="701">
        <f t="shared" si="83"/>
        <v>241.79290006306314</v>
      </c>
      <c r="CF65" s="701">
        <f t="shared" si="83"/>
        <v>248.75889436936188</v>
      </c>
      <c r="CG65" s="701">
        <f t="shared" si="83"/>
        <v>255.3950526100997</v>
      </c>
      <c r="CH65" s="701">
        <f t="shared" ref="CH65:DA75" si="84">CH109+CH150+CH191</f>
        <v>261.69764855012795</v>
      </c>
      <c r="CI65" s="701">
        <f t="shared" si="84"/>
        <v>267.70482196376076</v>
      </c>
      <c r="CJ65" s="701">
        <f t="shared" si="84"/>
        <v>273.45094763757425</v>
      </c>
      <c r="CK65" s="701">
        <f t="shared" si="84"/>
        <v>278.96687654589823</v>
      </c>
      <c r="CL65" s="701">
        <f t="shared" si="84"/>
        <v>284.27321005651731</v>
      </c>
      <c r="CM65" s="701">
        <f t="shared" si="84"/>
        <v>289.3938394363085</v>
      </c>
      <c r="CN65" s="701">
        <f t="shared" si="84"/>
        <v>294.35197819458631</v>
      </c>
      <c r="CO65" s="701">
        <f t="shared" si="84"/>
        <v>299.16990712237862</v>
      </c>
      <c r="CP65" s="701">
        <f t="shared" si="84"/>
        <v>303.78380213955518</v>
      </c>
      <c r="CQ65" s="701">
        <f t="shared" si="84"/>
        <v>309.42940137992122</v>
      </c>
      <c r="CR65" s="701">
        <f t="shared" si="84"/>
        <v>316.98877049661496</v>
      </c>
      <c r="CS65" s="701">
        <f t="shared" si="84"/>
        <v>326.54618195725129</v>
      </c>
      <c r="CT65" s="701">
        <f t="shared" si="84"/>
        <v>338.17191775917456</v>
      </c>
      <c r="CU65" s="701">
        <f t="shared" si="84"/>
        <v>351.93140456555921</v>
      </c>
      <c r="CV65" s="701">
        <f t="shared" si="84"/>
        <v>367.90315856336986</v>
      </c>
      <c r="CW65" s="701">
        <f t="shared" si="84"/>
        <v>386.17593688448483</v>
      </c>
      <c r="CX65" s="701">
        <f t="shared" si="84"/>
        <v>406.84473677019605</v>
      </c>
      <c r="CY65" s="701">
        <f t="shared" si="84"/>
        <v>430.04171704880491</v>
      </c>
      <c r="CZ65" s="701">
        <f t="shared" si="84"/>
        <v>455.88244262787032</v>
      </c>
      <c r="DA65" s="701">
        <f t="shared" si="84"/>
        <v>484.48578801735925</v>
      </c>
      <c r="DC65" s="12">
        <f t="shared" si="69"/>
        <v>21.060173902999999</v>
      </c>
      <c r="DD65" s="12">
        <f t="shared" si="70"/>
        <v>342.51050267245955</v>
      </c>
      <c r="DE65" s="12">
        <f t="shared" si="71"/>
        <v>1334.370427770114</v>
      </c>
      <c r="DF65" s="12">
        <f t="shared" si="72"/>
        <v>2537.4659897488909</v>
      </c>
      <c r="DG65" s="12">
        <f t="shared" si="73"/>
        <v>2424.940907576186</v>
      </c>
      <c r="DH65" s="12">
        <f t="shared" si="74"/>
        <v>3229.5211625933971</v>
      </c>
      <c r="DI65" s="12">
        <f t="shared" si="75"/>
        <v>4478.185258210161</v>
      </c>
    </row>
    <row r="66" spans="2:116" outlineLevel="2">
      <c r="B66" s="758"/>
      <c r="F66" s="126" t="s">
        <v>798</v>
      </c>
      <c r="I66" s="609" t="s">
        <v>736</v>
      </c>
      <c r="J66" s="721">
        <v>-2.0142588888888884E-3</v>
      </c>
      <c r="K66" s="721">
        <v>-2.1145088888888889E-3</v>
      </c>
      <c r="L66" s="721">
        <v>-3.8854466666666666E-3</v>
      </c>
      <c r="M66" s="721">
        <v>-5.6886255555555557E-3</v>
      </c>
      <c r="N66" s="721">
        <v>-8.2601255555555565E-3</v>
      </c>
      <c r="O66" s="721">
        <v>-1.0604053333333335E-2</v>
      </c>
      <c r="P66" s="721">
        <v>-1.2489164444444445E-2</v>
      </c>
      <c r="Q66" s="721">
        <v>-1.3186527777777778E-2</v>
      </c>
      <c r="R66" s="721">
        <v>-1.237686E-2</v>
      </c>
      <c r="S66" s="721">
        <v>-1.2522548888888888E-2</v>
      </c>
      <c r="T66" s="721">
        <v>-1.1061517777777778E-2</v>
      </c>
      <c r="U66" s="721">
        <v>-1.0433933333333334E-2</v>
      </c>
      <c r="V66" s="722">
        <f t="shared" si="83"/>
        <v>0</v>
      </c>
      <c r="W66" s="722">
        <f t="shared" si="83"/>
        <v>0</v>
      </c>
      <c r="X66" s="722">
        <f t="shared" si="83"/>
        <v>0</v>
      </c>
      <c r="Y66" s="722">
        <f t="shared" si="83"/>
        <v>0</v>
      </c>
      <c r="Z66" s="722">
        <f t="shared" si="83"/>
        <v>0</v>
      </c>
      <c r="AA66" s="722">
        <f t="shared" si="83"/>
        <v>0</v>
      </c>
      <c r="AB66" s="722">
        <f t="shared" si="83"/>
        <v>-7.9680134E-2</v>
      </c>
      <c r="AC66" s="722">
        <f t="shared" si="83"/>
        <v>-0.40186648630029898</v>
      </c>
      <c r="AD66" s="722">
        <f t="shared" si="83"/>
        <v>-0.68022480100000005</v>
      </c>
      <c r="AE66" s="722">
        <f t="shared" si="83"/>
        <v>-1.0442627520000001</v>
      </c>
      <c r="AF66" s="722">
        <f t="shared" si="83"/>
        <v>-1.277845731</v>
      </c>
      <c r="AG66" s="722">
        <f t="shared" si="83"/>
        <v>-1.7392523597535001</v>
      </c>
      <c r="AH66" s="701">
        <f t="shared" si="83"/>
        <v>-2.1867963939999999</v>
      </c>
      <c r="AI66" s="701">
        <f t="shared" si="83"/>
        <v>-2.2871373356456002</v>
      </c>
      <c r="AJ66" s="701">
        <f t="shared" si="83"/>
        <v>-2.487451691</v>
      </c>
      <c r="AK66" s="701">
        <f t="shared" si="83"/>
        <v>-2.5447643640000002</v>
      </c>
      <c r="AL66" s="701">
        <f t="shared" si="83"/>
        <v>-2.9977883059999999</v>
      </c>
      <c r="AM66" s="701">
        <f t="shared" si="83"/>
        <v>-3.4291233649999997</v>
      </c>
      <c r="AN66" s="701">
        <f t="shared" si="83"/>
        <v>-4.9996239540000005</v>
      </c>
      <c r="AO66" s="701">
        <f t="shared" si="83"/>
        <v>-6.4876041369999999</v>
      </c>
      <c r="AP66" s="701">
        <f t="shared" si="83"/>
        <v>-6.9285029790000001</v>
      </c>
      <c r="AQ66" s="701">
        <f t="shared" si="83"/>
        <v>-8.0299891040000002</v>
      </c>
      <c r="AR66" s="701">
        <f t="shared" si="83"/>
        <v>-9.5919900103537117</v>
      </c>
      <c r="AS66" s="701">
        <f t="shared" si="83"/>
        <v>-11.125628561331041</v>
      </c>
      <c r="AT66" s="701">
        <f t="shared" si="83"/>
        <v>-12.398363937133755</v>
      </c>
      <c r="AU66" s="701">
        <f t="shared" si="83"/>
        <v>-13.173832153687837</v>
      </c>
      <c r="AV66" s="701">
        <f t="shared" si="83"/>
        <v>-14.03251624411536</v>
      </c>
      <c r="AW66" s="701">
        <f t="shared" si="83"/>
        <v>-15.186993545568019</v>
      </c>
      <c r="AX66" s="701">
        <f t="shared" si="83"/>
        <v>-16.510500937460588</v>
      </c>
      <c r="AY66" s="701">
        <f t="shared" si="83"/>
        <v>-17.987197726940529</v>
      </c>
      <c r="AZ66" s="701">
        <f t="shared" si="83"/>
        <v>-19.615271015413427</v>
      </c>
      <c r="BA66" s="701">
        <f t="shared" si="83"/>
        <v>-21.401117736044675</v>
      </c>
      <c r="BB66" s="701">
        <f t="shared" si="83"/>
        <v>-23.334197049821157</v>
      </c>
      <c r="BC66" s="701">
        <f t="shared" si="83"/>
        <v>-25.375543494585067</v>
      </c>
      <c r="BD66" s="701">
        <f t="shared" si="83"/>
        <v>-27.529372566431327</v>
      </c>
      <c r="BE66" s="701">
        <f t="shared" si="83"/>
        <v>-29.931588362304424</v>
      </c>
      <c r="BF66" s="701">
        <f t="shared" si="83"/>
        <v>-32.318237884283235</v>
      </c>
      <c r="BG66" s="701">
        <f t="shared" si="83"/>
        <v>-34.348287261070347</v>
      </c>
      <c r="BH66" s="701">
        <f t="shared" si="83"/>
        <v>-36.013349368882942</v>
      </c>
      <c r="BI66" s="701">
        <f t="shared" si="83"/>
        <v>-37.302107063260685</v>
      </c>
      <c r="BJ66" s="701">
        <f t="shared" si="83"/>
        <v>-38.200294762271149</v>
      </c>
      <c r="BK66" s="701">
        <f t="shared" si="83"/>
        <v>-38.730206403816211</v>
      </c>
      <c r="BL66" s="701">
        <f t="shared" si="83"/>
        <v>-38.957795177958424</v>
      </c>
      <c r="BM66" s="701">
        <f t="shared" si="83"/>
        <v>-38.903395525532908</v>
      </c>
      <c r="BN66" s="701">
        <f t="shared" si="83"/>
        <v>-38.59131534019869</v>
      </c>
      <c r="BO66" s="701">
        <f t="shared" si="83"/>
        <v>-38.062053141962004</v>
      </c>
      <c r="BP66" s="701">
        <f t="shared" si="83"/>
        <v>-37.292416268264148</v>
      </c>
      <c r="BQ66" s="701">
        <f t="shared" si="83"/>
        <v>-36.316318922772638</v>
      </c>
      <c r="BR66" s="701">
        <f t="shared" si="83"/>
        <v>-35.39401597585163</v>
      </c>
      <c r="BS66" s="701">
        <f t="shared" si="83"/>
        <v>-34.727966421371569</v>
      </c>
      <c r="BT66" s="701">
        <f t="shared" si="83"/>
        <v>-34.263732129602936</v>
      </c>
      <c r="BU66" s="701">
        <f t="shared" si="83"/>
        <v>-33.990036358739474</v>
      </c>
      <c r="BV66" s="701">
        <f t="shared" si="83"/>
        <v>-33.961345988896603</v>
      </c>
      <c r="BW66" s="701">
        <f t="shared" si="83"/>
        <v>-34.161679809053695</v>
      </c>
      <c r="BX66" s="701">
        <f t="shared" si="83"/>
        <v>-34.577003918372363</v>
      </c>
      <c r="BY66" s="701">
        <f t="shared" si="83"/>
        <v>-35.191884849019246</v>
      </c>
      <c r="BZ66" s="701">
        <f t="shared" si="83"/>
        <v>-35.985332769665774</v>
      </c>
      <c r="CA66" s="701">
        <f t="shared" si="83"/>
        <v>-36.933154284210275</v>
      </c>
      <c r="CB66" s="701">
        <f t="shared" si="83"/>
        <v>-38.011905444868617</v>
      </c>
      <c r="CC66" s="701">
        <f t="shared" si="83"/>
        <v>-39.19763717362342</v>
      </c>
      <c r="CD66" s="701">
        <f t="shared" si="83"/>
        <v>-40.435828770088719</v>
      </c>
      <c r="CE66" s="701">
        <f t="shared" si="83"/>
        <v>-41.672716605442019</v>
      </c>
      <c r="CF66" s="701">
        <f t="shared" si="83"/>
        <v>-42.888348296486598</v>
      </c>
      <c r="CG66" s="701">
        <f t="shared" si="83"/>
        <v>-44.067026232053578</v>
      </c>
      <c r="CH66" s="701">
        <f t="shared" si="84"/>
        <v>-45.201155676093407</v>
      </c>
      <c r="CI66" s="701">
        <f t="shared" si="84"/>
        <v>-46.291450065315487</v>
      </c>
      <c r="CJ66" s="701">
        <f t="shared" si="84"/>
        <v>-47.338807484845688</v>
      </c>
      <c r="CK66" s="701">
        <f t="shared" si="84"/>
        <v>-48.344363015535563</v>
      </c>
      <c r="CL66" s="701">
        <f t="shared" si="84"/>
        <v>-49.310373002623095</v>
      </c>
      <c r="CM66" s="701">
        <f t="shared" si="84"/>
        <v>-50.240267401310433</v>
      </c>
      <c r="CN66" s="701">
        <f t="shared" si="84"/>
        <v>-51.137782659415073</v>
      </c>
      <c r="CO66" s="701">
        <f t="shared" si="84"/>
        <v>-52.006931544111282</v>
      </c>
      <c r="CP66" s="701">
        <f t="shared" si="84"/>
        <v>-52.841373680337412</v>
      </c>
      <c r="CQ66" s="701">
        <f t="shared" si="84"/>
        <v>-53.789156338254259</v>
      </c>
      <c r="CR66" s="701">
        <f t="shared" si="84"/>
        <v>-55.017007970378693</v>
      </c>
      <c r="CS66" s="701">
        <f t="shared" si="84"/>
        <v>-56.546887981906295</v>
      </c>
      <c r="CT66" s="701">
        <f t="shared" si="84"/>
        <v>-58.39946455450179</v>
      </c>
      <c r="CU66" s="701">
        <f t="shared" si="84"/>
        <v>-60.593672351300668</v>
      </c>
      <c r="CV66" s="701">
        <f t="shared" si="84"/>
        <v>-63.150331145734953</v>
      </c>
      <c r="CW66" s="701">
        <f t="shared" si="84"/>
        <v>-66.091921402926801</v>
      </c>
      <c r="CX66" s="701">
        <f t="shared" si="84"/>
        <v>-69.442613627731987</v>
      </c>
      <c r="CY66" s="701">
        <f t="shared" si="84"/>
        <v>-73.224523723650734</v>
      </c>
      <c r="CZ66" s="701">
        <f t="shared" si="84"/>
        <v>-77.457109496937335</v>
      </c>
      <c r="DA66" s="701">
        <f t="shared" si="84"/>
        <v>-82.16037697906458</v>
      </c>
      <c r="DC66" s="12">
        <f t="shared" si="69"/>
        <v>-5.2231322640537998</v>
      </c>
      <c r="DD66" s="12">
        <f t="shared" si="70"/>
        <v>-63.096400201330354</v>
      </c>
      <c r="DE66" s="12">
        <f t="shared" si="71"/>
        <v>-236.47649476950619</v>
      </c>
      <c r="DF66" s="12">
        <f t="shared" si="72"/>
        <v>-445.03577712027334</v>
      </c>
      <c r="DG66" s="12">
        <f t="shared" si="73"/>
        <v>-426.39569512327563</v>
      </c>
      <c r="DH66" s="12">
        <f t="shared" si="74"/>
        <v>-558.93505075332098</v>
      </c>
      <c r="DI66" s="12">
        <f t="shared" si="75"/>
        <v>-768.71443925272558</v>
      </c>
    </row>
    <row r="67" spans="2:116" s="12" customFormat="1" outlineLevel="2">
      <c r="B67" s="758"/>
      <c r="E67" s="14" t="s">
        <v>593</v>
      </c>
      <c r="H67" s="865"/>
      <c r="I67" s="609" t="s">
        <v>736</v>
      </c>
      <c r="J67" s="870"/>
      <c r="K67" s="870"/>
      <c r="L67" s="870"/>
      <c r="M67" s="870"/>
      <c r="N67" s="870"/>
      <c r="O67" s="870"/>
      <c r="P67" s="870"/>
      <c r="Q67" s="870"/>
      <c r="R67" s="870"/>
      <c r="S67" s="870"/>
      <c r="T67" s="870"/>
      <c r="U67" s="870"/>
      <c r="V67" s="870">
        <f t="shared" si="83"/>
        <v>0</v>
      </c>
      <c r="W67" s="870">
        <f t="shared" si="83"/>
        <v>0</v>
      </c>
      <c r="X67" s="870">
        <f t="shared" si="83"/>
        <v>0</v>
      </c>
      <c r="Y67" s="870">
        <f t="shared" si="83"/>
        <v>0</v>
      </c>
      <c r="Z67" s="870">
        <f t="shared" si="83"/>
        <v>0</v>
      </c>
      <c r="AA67" s="870">
        <f t="shared" si="83"/>
        <v>0</v>
      </c>
      <c r="AB67" s="870">
        <f t="shared" si="83"/>
        <v>1.293976011</v>
      </c>
      <c r="AC67" s="870">
        <f t="shared" si="83"/>
        <v>1.6364247810000001</v>
      </c>
      <c r="AD67" s="870">
        <f t="shared" si="83"/>
        <v>1.8390928449999999</v>
      </c>
      <c r="AE67" s="870">
        <f t="shared" si="83"/>
        <v>2.1483334029999996</v>
      </c>
      <c r="AF67" s="870">
        <f t="shared" si="83"/>
        <v>2.383422334</v>
      </c>
      <c r="AG67" s="870">
        <f t="shared" si="83"/>
        <v>4.3147833071990878</v>
      </c>
      <c r="AH67" s="870">
        <f t="shared" si="83"/>
        <v>3.6718608910000001</v>
      </c>
      <c r="AI67" s="870">
        <f t="shared" si="83"/>
        <v>2.2661365230000001</v>
      </c>
      <c r="AJ67" s="870">
        <f t="shared" si="83"/>
        <v>2.8968061119999993</v>
      </c>
      <c r="AK67" s="870">
        <f t="shared" si="83"/>
        <v>5.4547178269999996</v>
      </c>
      <c r="AL67" s="870">
        <f t="shared" si="83"/>
        <v>6.3765782</v>
      </c>
      <c r="AM67" s="870">
        <f t="shared" si="83"/>
        <v>12.171180587999999</v>
      </c>
      <c r="AN67" s="870">
        <f t="shared" si="83"/>
        <v>16.454603683999999</v>
      </c>
      <c r="AO67" s="870">
        <f t="shared" si="83"/>
        <v>16.116868639</v>
      </c>
      <c r="AP67" s="870">
        <f t="shared" si="83"/>
        <v>16.040434925</v>
      </c>
      <c r="AQ67" s="870">
        <f t="shared" si="83"/>
        <v>17.718438652500001</v>
      </c>
      <c r="AR67" s="870">
        <f t="shared" si="83"/>
        <v>19.193724452736149</v>
      </c>
      <c r="AS67" s="870">
        <f t="shared" si="83"/>
        <v>21.950556898009765</v>
      </c>
      <c r="AT67" s="696">
        <f t="shared" si="83"/>
        <v>19.396873876404683</v>
      </c>
      <c r="AU67" s="696">
        <f t="shared" si="83"/>
        <v>16.254014919798593</v>
      </c>
      <c r="AV67" s="696">
        <f t="shared" si="83"/>
        <v>20.976002234274642</v>
      </c>
      <c r="AW67" s="696">
        <f t="shared" si="83"/>
        <v>23.852800005367321</v>
      </c>
      <c r="AX67" s="696">
        <f t="shared" si="83"/>
        <v>26.75434144542939</v>
      </c>
      <c r="AY67" s="696">
        <f t="shared" si="83"/>
        <v>29.674658372461025</v>
      </c>
      <c r="AZ67" s="696">
        <f t="shared" si="83"/>
        <v>32.615113158209098</v>
      </c>
      <c r="BA67" s="696">
        <f t="shared" si="83"/>
        <v>35.589046433837765</v>
      </c>
      <c r="BB67" s="696">
        <f t="shared" si="83"/>
        <v>38.572620682775678</v>
      </c>
      <c r="BC67" s="696">
        <f t="shared" si="83"/>
        <v>41.566254805035271</v>
      </c>
      <c r="BD67" s="696">
        <f t="shared" si="83"/>
        <v>44.571481112827414</v>
      </c>
      <c r="BE67" s="696">
        <f t="shared" si="83"/>
        <v>49.426344636118941</v>
      </c>
      <c r="BF67" s="870">
        <f t="shared" si="83"/>
        <v>48.086360849911479</v>
      </c>
      <c r="BG67" s="870">
        <f t="shared" si="83"/>
        <v>46.748014124237223</v>
      </c>
      <c r="BH67" s="870">
        <f t="shared" si="83"/>
        <v>45.410982179920559</v>
      </c>
      <c r="BI67" s="870">
        <f t="shared" si="83"/>
        <v>44.074858049294285</v>
      </c>
      <c r="BJ67" s="870">
        <f t="shared" si="83"/>
        <v>42.739236390569779</v>
      </c>
      <c r="BK67" s="870">
        <f t="shared" si="83"/>
        <v>41.403857292431617</v>
      </c>
      <c r="BL67" s="870">
        <f t="shared" si="83"/>
        <v>40.068012267006146</v>
      </c>
      <c r="BM67" s="870">
        <f t="shared" si="83"/>
        <v>38.739518884992272</v>
      </c>
      <c r="BN67" s="870">
        <f t="shared" si="83"/>
        <v>37.414370662423501</v>
      </c>
      <c r="BO67" s="870">
        <f t="shared" si="83"/>
        <v>36.089539015126846</v>
      </c>
      <c r="BP67" s="870">
        <f t="shared" si="83"/>
        <v>34.761866666994891</v>
      </c>
      <c r="BQ67" s="870">
        <f t="shared" si="83"/>
        <v>33.431240509967751</v>
      </c>
      <c r="BR67" s="870">
        <f t="shared" si="83"/>
        <v>34.604052029702174</v>
      </c>
      <c r="BS67" s="870">
        <f t="shared" si="83"/>
        <v>35.77434578891274</v>
      </c>
      <c r="BT67" s="870">
        <f t="shared" si="83"/>
        <v>36.942472314824855</v>
      </c>
      <c r="BU67" s="870">
        <f t="shared" si="83"/>
        <v>38.108751664587516</v>
      </c>
      <c r="BV67" s="870">
        <f t="shared" si="83"/>
        <v>39.273480251877274</v>
      </c>
      <c r="BW67" s="870">
        <f t="shared" si="83"/>
        <v>40.436941184821421</v>
      </c>
      <c r="BX67" s="870">
        <f t="shared" si="83"/>
        <v>41.599412189059201</v>
      </c>
      <c r="BY67" s="870">
        <f t="shared" si="83"/>
        <v>42.761173685455248</v>
      </c>
      <c r="BZ67" s="870">
        <f t="shared" si="83"/>
        <v>43.923457918824326</v>
      </c>
      <c r="CA67" s="870">
        <f t="shared" si="83"/>
        <v>45.087078346429792</v>
      </c>
      <c r="CB67" s="870">
        <f t="shared" si="83"/>
        <v>46.252328714055366</v>
      </c>
      <c r="CC67" s="870">
        <f t="shared" si="83"/>
        <v>47.419074676565714</v>
      </c>
      <c r="CD67" s="870">
        <f t="shared" si="83"/>
        <v>48.313510265049608</v>
      </c>
      <c r="CE67" s="870">
        <f t="shared" si="83"/>
        <v>49.209122847594031</v>
      </c>
      <c r="CF67" s="870">
        <f t="shared" si="83"/>
        <v>50.105768290969642</v>
      </c>
      <c r="CG67" s="870">
        <f t="shared" si="83"/>
        <v>51.00330887257401</v>
      </c>
      <c r="CH67" s="870">
        <f t="shared" si="84"/>
        <v>51.901611211686124</v>
      </c>
      <c r="CI67" s="870">
        <f t="shared" si="84"/>
        <v>52.800542305141519</v>
      </c>
      <c r="CJ67" s="870">
        <f t="shared" si="84"/>
        <v>53.699966962736184</v>
      </c>
      <c r="CK67" s="870">
        <f t="shared" si="84"/>
        <v>54.599746690853301</v>
      </c>
      <c r="CL67" s="870">
        <f t="shared" si="84"/>
        <v>55.499918739467461</v>
      </c>
      <c r="CM67" s="870">
        <f t="shared" si="84"/>
        <v>56.400437546629519</v>
      </c>
      <c r="CN67" s="870">
        <f t="shared" si="84"/>
        <v>57.301268200719193</v>
      </c>
      <c r="CO67" s="870">
        <f t="shared" si="84"/>
        <v>58.202363542322296</v>
      </c>
      <c r="CP67" s="870">
        <f t="shared" si="84"/>
        <v>58.942461255528514</v>
      </c>
      <c r="CQ67" s="870">
        <f t="shared" si="84"/>
        <v>59.682779637090945</v>
      </c>
      <c r="CR67" s="870">
        <f t="shared" si="84"/>
        <v>60.423294886615892</v>
      </c>
      <c r="CS67" s="870">
        <f t="shared" si="84"/>
        <v>61.16398254825382</v>
      </c>
      <c r="CT67" s="870">
        <f t="shared" si="84"/>
        <v>61.904817761617352</v>
      </c>
      <c r="CU67" s="870">
        <f t="shared" si="84"/>
        <v>62.645775098449946</v>
      </c>
      <c r="CV67" s="870">
        <f t="shared" si="84"/>
        <v>63.386828596649053</v>
      </c>
      <c r="CW67" s="870">
        <f t="shared" si="84"/>
        <v>64.127951765029948</v>
      </c>
      <c r="CX67" s="870">
        <f t="shared" si="84"/>
        <v>64.869014136580091</v>
      </c>
      <c r="CY67" s="870">
        <f t="shared" si="84"/>
        <v>65.612044258499751</v>
      </c>
      <c r="CZ67" s="870">
        <f t="shared" si="84"/>
        <v>66.358420733504687</v>
      </c>
      <c r="DA67" s="870">
        <f t="shared" si="84"/>
        <v>67.108920252279887</v>
      </c>
      <c r="DC67" s="14">
        <f t="shared" si="69"/>
        <v>13.616032681199087</v>
      </c>
      <c r="DD67" s="14">
        <f t="shared" si="70"/>
        <v>140.3119073922459</v>
      </c>
      <c r="DE67" s="14">
        <f t="shared" si="71"/>
        <v>379.24955168253985</v>
      </c>
      <c r="DF67" s="14">
        <f t="shared" si="72"/>
        <v>488.96785689287628</v>
      </c>
      <c r="DG67" s="14">
        <f t="shared" si="73"/>
        <v>492.18256876511566</v>
      </c>
      <c r="DH67" s="14">
        <f t="shared" si="74"/>
        <v>639.03756547574278</v>
      </c>
      <c r="DI67" s="14">
        <f t="shared" si="75"/>
        <v>756.22629093009971</v>
      </c>
      <c r="DJ67" s="741"/>
      <c r="DK67" s="741"/>
    </row>
    <row r="68" spans="2:116" outlineLevel="2">
      <c r="B68" s="758"/>
      <c r="F68" s="126" t="s">
        <v>540</v>
      </c>
      <c r="I68" s="609" t="s">
        <v>736</v>
      </c>
      <c r="O68" s="710"/>
      <c r="P68" s="710"/>
      <c r="Q68" s="710"/>
      <c r="R68" s="710"/>
      <c r="S68" s="710"/>
      <c r="T68" s="710"/>
      <c r="U68" s="710"/>
      <c r="V68" s="701">
        <f t="shared" si="83"/>
        <v>0</v>
      </c>
      <c r="W68" s="701">
        <f t="shared" si="83"/>
        <v>0</v>
      </c>
      <c r="X68" s="701">
        <f t="shared" si="83"/>
        <v>0</v>
      </c>
      <c r="Y68" s="701">
        <f t="shared" si="83"/>
        <v>0</v>
      </c>
      <c r="Z68" s="701">
        <f t="shared" si="83"/>
        <v>0</v>
      </c>
      <c r="AA68" s="701">
        <f t="shared" si="83"/>
        <v>0</v>
      </c>
      <c r="AB68" s="701">
        <f t="shared" si="83"/>
        <v>1.293976011</v>
      </c>
      <c r="AC68" s="701">
        <f t="shared" si="83"/>
        <v>1.6364247810000001</v>
      </c>
      <c r="AD68" s="701">
        <f t="shared" si="83"/>
        <v>1.838922929</v>
      </c>
      <c r="AE68" s="701">
        <f t="shared" si="83"/>
        <v>2.1416854879999998</v>
      </c>
      <c r="AF68" s="701">
        <f t="shared" si="83"/>
        <v>2.3665740230000001</v>
      </c>
      <c r="AG68" s="701">
        <f t="shared" si="83"/>
        <v>4.279475134199088</v>
      </c>
      <c r="AH68" s="701">
        <f t="shared" si="83"/>
        <v>3.6050235850000001</v>
      </c>
      <c r="AI68" s="701">
        <f t="shared" si="83"/>
        <v>2.164718047</v>
      </c>
      <c r="AJ68" s="701">
        <f t="shared" si="83"/>
        <v>2.7089099999999995</v>
      </c>
      <c r="AK68" s="701">
        <f t="shared" si="83"/>
        <v>5.2493684849999998</v>
      </c>
      <c r="AL68" s="701">
        <f t="shared" si="83"/>
        <v>6.1457888280000006</v>
      </c>
      <c r="AM68" s="701">
        <f t="shared" si="83"/>
        <v>11.905850106999999</v>
      </c>
      <c r="AN68" s="701">
        <f t="shared" si="83"/>
        <v>15.952581492</v>
      </c>
      <c r="AO68" s="701">
        <f t="shared" si="83"/>
        <v>14.760674975999999</v>
      </c>
      <c r="AP68" s="701">
        <f t="shared" si="83"/>
        <v>15.057642423999999</v>
      </c>
      <c r="AQ68" s="701">
        <f t="shared" si="83"/>
        <v>17.0190548325</v>
      </c>
      <c r="AR68" s="701">
        <f t="shared" si="83"/>
        <v>18.429417541746549</v>
      </c>
      <c r="AS68" s="701">
        <f t="shared" si="83"/>
        <v>21.071019295921204</v>
      </c>
      <c r="AT68" s="715">
        <f t="shared" si="83"/>
        <v>18.543600000000001</v>
      </c>
      <c r="AU68" s="715">
        <f t="shared" si="83"/>
        <v>15.529117500000002</v>
      </c>
      <c r="AV68" s="715">
        <f t="shared" si="83"/>
        <v>20.035923750000002</v>
      </c>
      <c r="AW68" s="715">
        <f t="shared" si="83"/>
        <v>22.782656249999999</v>
      </c>
      <c r="AX68" s="715">
        <f t="shared" si="83"/>
        <v>25.549469999999999</v>
      </c>
      <c r="AY68" s="715">
        <f t="shared" si="83"/>
        <v>28.336365000000001</v>
      </c>
      <c r="AZ68" s="715">
        <f t="shared" si="83"/>
        <v>31.143341250000002</v>
      </c>
      <c r="BA68" s="715">
        <f t="shared" si="83"/>
        <v>33.970398750000001</v>
      </c>
      <c r="BB68" s="715">
        <f t="shared" si="83"/>
        <v>36.8175375</v>
      </c>
      <c r="BC68" s="715">
        <f t="shared" si="83"/>
        <v>39.684757500000003</v>
      </c>
      <c r="BD68" s="715">
        <f t="shared" si="83"/>
        <v>42.572058749999997</v>
      </c>
      <c r="BE68" s="715">
        <f t="shared" si="83"/>
        <v>47.242575000000002</v>
      </c>
      <c r="BF68" s="701">
        <f t="shared" si="83"/>
        <v>45.95794875</v>
      </c>
      <c r="BG68" s="701">
        <f t="shared" si="83"/>
        <v>44.673322499999998</v>
      </c>
      <c r="BH68" s="701">
        <f t="shared" si="83"/>
        <v>43.388696249999995</v>
      </c>
      <c r="BI68" s="701">
        <f t="shared" si="83"/>
        <v>42.10407</v>
      </c>
      <c r="BJ68" s="701">
        <f t="shared" si="83"/>
        <v>40.819443749999991</v>
      </c>
      <c r="BK68" s="701">
        <f t="shared" si="83"/>
        <v>39.534817499999988</v>
      </c>
      <c r="BL68" s="701">
        <f t="shared" si="83"/>
        <v>38.250191249999986</v>
      </c>
      <c r="BM68" s="701">
        <f t="shared" si="83"/>
        <v>36.965564999999984</v>
      </c>
      <c r="BN68" s="701">
        <f t="shared" si="83"/>
        <v>35.680938749999981</v>
      </c>
      <c r="BO68" s="701">
        <f t="shared" si="83"/>
        <v>34.396312499999986</v>
      </c>
      <c r="BP68" s="701">
        <f t="shared" si="83"/>
        <v>33.111686249999991</v>
      </c>
      <c r="BQ68" s="701">
        <f t="shared" si="83"/>
        <v>31.827060000000007</v>
      </c>
      <c r="BR68" s="701">
        <f t="shared" si="83"/>
        <v>32.938299000000001</v>
      </c>
      <c r="BS68" s="701">
        <f t="shared" si="83"/>
        <v>34.049537999999998</v>
      </c>
      <c r="BT68" s="701">
        <f t="shared" si="83"/>
        <v>35.160777000000003</v>
      </c>
      <c r="BU68" s="701">
        <f t="shared" si="83"/>
        <v>36.272016000000001</v>
      </c>
      <c r="BV68" s="701">
        <f t="shared" si="83"/>
        <v>37.383254999999998</v>
      </c>
      <c r="BW68" s="701">
        <f t="shared" si="83"/>
        <v>38.494494000000003</v>
      </c>
      <c r="BX68" s="701">
        <f t="shared" si="83"/>
        <v>39.605733000000001</v>
      </c>
      <c r="BY68" s="701">
        <f t="shared" si="83"/>
        <v>40.716972000000005</v>
      </c>
      <c r="BZ68" s="701">
        <f t="shared" si="83"/>
        <v>41.828211000000003</v>
      </c>
      <c r="CA68" s="701">
        <f t="shared" si="83"/>
        <v>42.939450000000008</v>
      </c>
      <c r="CB68" s="701">
        <f t="shared" si="83"/>
        <v>44.050689000000006</v>
      </c>
      <c r="CC68" s="701">
        <f t="shared" si="83"/>
        <v>45.161928000000003</v>
      </c>
      <c r="CD68" s="701">
        <f t="shared" si="83"/>
        <v>46.019018700000004</v>
      </c>
      <c r="CE68" s="701">
        <f t="shared" si="83"/>
        <v>46.876109400000004</v>
      </c>
      <c r="CF68" s="701">
        <f t="shared" si="83"/>
        <v>47.733200100000005</v>
      </c>
      <c r="CG68" s="701">
        <f t="shared" ref="CG68" si="85">CG112+CG153+CG194</f>
        <v>48.590290800000005</v>
      </c>
      <c r="CH68" s="701">
        <f t="shared" si="84"/>
        <v>49.447381500000006</v>
      </c>
      <c r="CI68" s="701">
        <f t="shared" si="84"/>
        <v>50.304472200000006</v>
      </c>
      <c r="CJ68" s="701">
        <f t="shared" si="84"/>
        <v>51.161562900000014</v>
      </c>
      <c r="CK68" s="701">
        <f t="shared" si="84"/>
        <v>52.018653600000022</v>
      </c>
      <c r="CL68" s="701">
        <f t="shared" si="84"/>
        <v>52.875744300000015</v>
      </c>
      <c r="CM68" s="701">
        <f t="shared" si="84"/>
        <v>53.732835000000016</v>
      </c>
      <c r="CN68" s="701">
        <f t="shared" si="84"/>
        <v>54.589925700000009</v>
      </c>
      <c r="CO68" s="701">
        <f t="shared" si="84"/>
        <v>55.447016400000017</v>
      </c>
      <c r="CP68" s="701">
        <f t="shared" si="84"/>
        <v>56.150048339999998</v>
      </c>
      <c r="CQ68" s="701">
        <f t="shared" si="84"/>
        <v>56.85308028</v>
      </c>
      <c r="CR68" s="701">
        <f t="shared" si="84"/>
        <v>57.556112220000003</v>
      </c>
      <c r="CS68" s="701">
        <f t="shared" si="84"/>
        <v>58.259144160000005</v>
      </c>
      <c r="CT68" s="701">
        <f t="shared" si="84"/>
        <v>58.962176100000008</v>
      </c>
      <c r="CU68" s="701">
        <f t="shared" si="84"/>
        <v>59.665208039999996</v>
      </c>
      <c r="CV68" s="701">
        <f t="shared" si="84"/>
        <v>60.368239979999998</v>
      </c>
      <c r="CW68" s="701">
        <f t="shared" si="84"/>
        <v>61.071271919999987</v>
      </c>
      <c r="CX68" s="701">
        <f t="shared" si="84"/>
        <v>61.774303859999996</v>
      </c>
      <c r="CY68" s="701">
        <f t="shared" si="84"/>
        <v>62.477335799999992</v>
      </c>
      <c r="CZ68" s="701">
        <f t="shared" si="84"/>
        <v>63.180367739999987</v>
      </c>
      <c r="DA68" s="701">
        <f t="shared" si="84"/>
        <v>63.883399680000004</v>
      </c>
      <c r="DC68" s="12">
        <f t="shared" si="69"/>
        <v>13.557058366199087</v>
      </c>
      <c r="DD68" s="12">
        <f>SUM(AH68:AS68)</f>
        <v>134.07004961416774</v>
      </c>
      <c r="DE68" s="12">
        <f>SUM(AT68:BE68)</f>
        <v>362.20780124999999</v>
      </c>
      <c r="DF68" s="12">
        <f>SUM(BF68:BQ68)</f>
        <v>466.7100524999999</v>
      </c>
      <c r="DG68" s="12">
        <f>SUM(BR68:CC68)</f>
        <v>468.60136199999999</v>
      </c>
      <c r="DH68" s="12">
        <f>SUM(CD68:CO68)</f>
        <v>608.79621060000022</v>
      </c>
      <c r="DI68" s="12">
        <f t="shared" si="75"/>
        <v>720.20068812</v>
      </c>
    </row>
    <row r="69" spans="2:116" outlineLevel="2">
      <c r="B69" s="758"/>
      <c r="F69" s="126" t="s">
        <v>799</v>
      </c>
      <c r="I69" s="609" t="s">
        <v>736</v>
      </c>
      <c r="O69" s="710"/>
      <c r="P69" s="710"/>
      <c r="Q69" s="710"/>
      <c r="R69" s="710"/>
      <c r="S69" s="710"/>
      <c r="T69" s="710"/>
      <c r="U69" s="710"/>
      <c r="V69" s="701">
        <f t="shared" ref="V69:CG72" si="86">V113+V154+V195</f>
        <v>0</v>
      </c>
      <c r="W69" s="701">
        <f t="shared" si="86"/>
        <v>0</v>
      </c>
      <c r="X69" s="701">
        <f t="shared" si="86"/>
        <v>0</v>
      </c>
      <c r="Y69" s="701">
        <f t="shared" si="86"/>
        <v>0</v>
      </c>
      <c r="Z69" s="701">
        <f t="shared" si="86"/>
        <v>0</v>
      </c>
      <c r="AA69" s="701">
        <f t="shared" si="86"/>
        <v>0</v>
      </c>
      <c r="AB69" s="701">
        <f t="shared" si="86"/>
        <v>0</v>
      </c>
      <c r="AC69" s="701">
        <f t="shared" si="86"/>
        <v>0</v>
      </c>
      <c r="AD69" s="701">
        <f t="shared" si="86"/>
        <v>1.6991599999999999E-4</v>
      </c>
      <c r="AE69" s="701">
        <f t="shared" si="86"/>
        <v>6.6479149999999999E-3</v>
      </c>
      <c r="AF69" s="701">
        <f t="shared" si="86"/>
        <v>1.6848311000000001E-2</v>
      </c>
      <c r="AG69" s="701">
        <f t="shared" si="86"/>
        <v>3.5308172999999998E-2</v>
      </c>
      <c r="AH69" s="701">
        <f t="shared" si="86"/>
        <v>6.6837305999999999E-2</v>
      </c>
      <c r="AI69" s="701">
        <f t="shared" si="86"/>
        <v>0.10141847599999999</v>
      </c>
      <c r="AJ69" s="701">
        <f t="shared" si="86"/>
        <v>0.187896112</v>
      </c>
      <c r="AK69" s="701">
        <f t="shared" si="86"/>
        <v>0.20534934199999999</v>
      </c>
      <c r="AL69" s="701">
        <f t="shared" si="86"/>
        <v>0.23078937199999999</v>
      </c>
      <c r="AM69" s="701">
        <f t="shared" si="86"/>
        <v>0.26533048100000001</v>
      </c>
      <c r="AN69" s="701">
        <f t="shared" si="86"/>
        <v>0.50202219200000009</v>
      </c>
      <c r="AO69" s="701">
        <f t="shared" si="86"/>
        <v>1.356193663</v>
      </c>
      <c r="AP69" s="701">
        <f t="shared" si="86"/>
        <v>0.98279250099999993</v>
      </c>
      <c r="AQ69" s="701">
        <f t="shared" si="86"/>
        <v>0.69938381999999999</v>
      </c>
      <c r="AR69" s="701">
        <f t="shared" si="86"/>
        <v>0.76430691098960035</v>
      </c>
      <c r="AS69" s="701">
        <f t="shared" si="86"/>
        <v>0.87953760208856036</v>
      </c>
      <c r="AT69" s="715">
        <f t="shared" si="86"/>
        <v>0.79200000000000004</v>
      </c>
      <c r="AU69" s="715">
        <f t="shared" si="86"/>
        <v>0.65070000000000006</v>
      </c>
      <c r="AV69" s="715">
        <f t="shared" si="86"/>
        <v>0.84795000000000009</v>
      </c>
      <c r="AW69" s="715">
        <f t="shared" si="86"/>
        <v>0.95855000000000001</v>
      </c>
      <c r="AX69" s="715">
        <f t="shared" si="86"/>
        <v>1.0702</v>
      </c>
      <c r="AY69" s="715">
        <f t="shared" si="86"/>
        <v>1.1829000000000001</v>
      </c>
      <c r="AZ69" s="715">
        <f t="shared" si="86"/>
        <v>1.2966500000000001</v>
      </c>
      <c r="BA69" s="715">
        <f t="shared" si="86"/>
        <v>1.4114499999999999</v>
      </c>
      <c r="BB69" s="715">
        <f t="shared" si="86"/>
        <v>1.5272999999999999</v>
      </c>
      <c r="BC69" s="715">
        <f t="shared" si="86"/>
        <v>1.6442000000000001</v>
      </c>
      <c r="BD69" s="715">
        <f t="shared" si="86"/>
        <v>1.7621500000000001</v>
      </c>
      <c r="BE69" s="715">
        <f t="shared" si="86"/>
        <v>1.9470000000000001</v>
      </c>
      <c r="BF69" s="701">
        <f t="shared" si="86"/>
        <v>1.8909499999999997</v>
      </c>
      <c r="BG69" s="701">
        <f t="shared" si="86"/>
        <v>1.8348999999999998</v>
      </c>
      <c r="BH69" s="701">
        <f t="shared" si="86"/>
        <v>1.77885</v>
      </c>
      <c r="BI69" s="701">
        <f t="shared" si="86"/>
        <v>1.7227999999999999</v>
      </c>
      <c r="BJ69" s="701">
        <f t="shared" si="86"/>
        <v>1.6667499999999997</v>
      </c>
      <c r="BK69" s="701">
        <f t="shared" si="86"/>
        <v>1.6106999999999996</v>
      </c>
      <c r="BL69" s="701">
        <f t="shared" si="86"/>
        <v>1.5546499999999996</v>
      </c>
      <c r="BM69" s="701">
        <f t="shared" si="86"/>
        <v>1.4985999999999993</v>
      </c>
      <c r="BN69" s="701">
        <f t="shared" si="86"/>
        <v>1.4425499999999993</v>
      </c>
      <c r="BO69" s="701">
        <f t="shared" si="86"/>
        <v>1.3864999999999994</v>
      </c>
      <c r="BP69" s="701">
        <f t="shared" si="86"/>
        <v>1.3304499999999995</v>
      </c>
      <c r="BQ69" s="701">
        <f t="shared" si="86"/>
        <v>1.2744</v>
      </c>
      <c r="BR69" s="701">
        <f t="shared" si="86"/>
        <v>1.3287599999999999</v>
      </c>
      <c r="BS69" s="701">
        <f t="shared" si="86"/>
        <v>1.3831199999999999</v>
      </c>
      <c r="BT69" s="701">
        <f t="shared" si="86"/>
        <v>1.4374800000000001</v>
      </c>
      <c r="BU69" s="701">
        <f t="shared" si="86"/>
        <v>1.4918399999999998</v>
      </c>
      <c r="BV69" s="701">
        <f t="shared" si="86"/>
        <v>1.5462000000000002</v>
      </c>
      <c r="BW69" s="701">
        <f t="shared" si="86"/>
        <v>1.6005600000000002</v>
      </c>
      <c r="BX69" s="701">
        <f t="shared" si="86"/>
        <v>1.6549199999999999</v>
      </c>
      <c r="BY69" s="701">
        <f t="shared" si="86"/>
        <v>1.7092800000000001</v>
      </c>
      <c r="BZ69" s="701">
        <f t="shared" si="86"/>
        <v>1.7636400000000001</v>
      </c>
      <c r="CA69" s="701">
        <f t="shared" si="86"/>
        <v>1.8180000000000001</v>
      </c>
      <c r="CB69" s="701">
        <f t="shared" si="86"/>
        <v>1.87236</v>
      </c>
      <c r="CC69" s="701">
        <f t="shared" si="86"/>
        <v>1.92672</v>
      </c>
      <c r="CD69" s="701">
        <f t="shared" si="86"/>
        <v>1.9615880000000003</v>
      </c>
      <c r="CE69" s="701">
        <f t="shared" si="86"/>
        <v>1.9964560000000002</v>
      </c>
      <c r="CF69" s="701">
        <f t="shared" si="86"/>
        <v>2.0313240000000001</v>
      </c>
      <c r="CG69" s="701">
        <f t="shared" si="86"/>
        <v>2.0661920000000005</v>
      </c>
      <c r="CH69" s="701">
        <f t="shared" si="84"/>
        <v>2.1010600000000004</v>
      </c>
      <c r="CI69" s="701">
        <f t="shared" si="84"/>
        <v>2.1359280000000007</v>
      </c>
      <c r="CJ69" s="701">
        <f t="shared" si="84"/>
        <v>2.1707960000000002</v>
      </c>
      <c r="CK69" s="701">
        <f t="shared" si="84"/>
        <v>2.2056640000000005</v>
      </c>
      <c r="CL69" s="701">
        <f t="shared" si="84"/>
        <v>2.240532</v>
      </c>
      <c r="CM69" s="701">
        <f t="shared" si="84"/>
        <v>2.2754000000000003</v>
      </c>
      <c r="CN69" s="701">
        <f t="shared" si="84"/>
        <v>2.3102680000000007</v>
      </c>
      <c r="CO69" s="701">
        <f t="shared" si="84"/>
        <v>2.3451360000000001</v>
      </c>
      <c r="CP69" s="701">
        <f t="shared" si="84"/>
        <v>2.3728216</v>
      </c>
      <c r="CQ69" s="701">
        <f t="shared" si="84"/>
        <v>2.4005071999999998</v>
      </c>
      <c r="CR69" s="701">
        <f t="shared" si="84"/>
        <v>2.4281927999999997</v>
      </c>
      <c r="CS69" s="701">
        <f t="shared" si="84"/>
        <v>2.4558783999999996</v>
      </c>
      <c r="CT69" s="701">
        <f t="shared" si="84"/>
        <v>2.4835639999999999</v>
      </c>
      <c r="CU69" s="701">
        <f t="shared" si="84"/>
        <v>2.5112495999999993</v>
      </c>
      <c r="CV69" s="701">
        <f t="shared" si="84"/>
        <v>2.5389351999999992</v>
      </c>
      <c r="CW69" s="701">
        <f t="shared" si="84"/>
        <v>2.5666207999999995</v>
      </c>
      <c r="CX69" s="701">
        <f t="shared" si="84"/>
        <v>2.5943063999999993</v>
      </c>
      <c r="CY69" s="701">
        <f t="shared" si="84"/>
        <v>2.6219919999999992</v>
      </c>
      <c r="CZ69" s="701">
        <f t="shared" si="84"/>
        <v>2.6496775999999986</v>
      </c>
      <c r="DA69" s="701">
        <f t="shared" si="84"/>
        <v>2.6773631999999998</v>
      </c>
      <c r="DC69" s="12">
        <f t="shared" si="69"/>
        <v>5.8974314999999999E-2</v>
      </c>
      <c r="DD69" s="12">
        <f t="shared" si="70"/>
        <v>6.2418577780781614</v>
      </c>
      <c r="DE69" s="12">
        <f t="shared" si="71"/>
        <v>15.091049999999999</v>
      </c>
      <c r="DF69" s="12">
        <f t="shared" si="72"/>
        <v>18.992099999999997</v>
      </c>
      <c r="DG69" s="12">
        <f t="shared" si="73"/>
        <v>19.532879999999999</v>
      </c>
      <c r="DH69" s="12">
        <f t="shared" si="74"/>
        <v>25.840344000000009</v>
      </c>
      <c r="DI69" s="12">
        <f t="shared" si="75"/>
        <v>30.301108799999991</v>
      </c>
      <c r="DJ69" s="737"/>
      <c r="DK69" s="741"/>
      <c r="DL69" s="12"/>
    </row>
    <row r="70" spans="2:116" outlineLevel="2">
      <c r="B70" s="758"/>
      <c r="F70" s="126" t="s">
        <v>800</v>
      </c>
      <c r="I70" s="609" t="s">
        <v>736</v>
      </c>
      <c r="O70" s="710"/>
      <c r="P70" s="710"/>
      <c r="Q70" s="710"/>
      <c r="R70" s="710"/>
      <c r="S70" s="710"/>
      <c r="T70" s="710"/>
      <c r="U70" s="710"/>
      <c r="V70" s="701">
        <f t="shared" si="86"/>
        <v>0</v>
      </c>
      <c r="W70" s="701">
        <f t="shared" si="86"/>
        <v>0</v>
      </c>
      <c r="X70" s="701">
        <f t="shared" si="86"/>
        <v>0</v>
      </c>
      <c r="Y70" s="701">
        <f t="shared" si="86"/>
        <v>0</v>
      </c>
      <c r="Z70" s="701">
        <f t="shared" si="86"/>
        <v>0</v>
      </c>
      <c r="AA70" s="701">
        <f t="shared" si="86"/>
        <v>0</v>
      </c>
      <c r="AB70" s="701">
        <f t="shared" si="86"/>
        <v>0</v>
      </c>
      <c r="AC70" s="701">
        <f t="shared" si="86"/>
        <v>0</v>
      </c>
      <c r="AD70" s="701">
        <f t="shared" si="86"/>
        <v>0</v>
      </c>
      <c r="AE70" s="701">
        <f t="shared" si="86"/>
        <v>0</v>
      </c>
      <c r="AF70" s="701">
        <f t="shared" si="86"/>
        <v>0</v>
      </c>
      <c r="AG70" s="701">
        <f t="shared" si="86"/>
        <v>0</v>
      </c>
      <c r="AH70" s="701">
        <f t="shared" si="86"/>
        <v>0</v>
      </c>
      <c r="AI70" s="701">
        <f t="shared" si="86"/>
        <v>0</v>
      </c>
      <c r="AJ70" s="701">
        <f t="shared" si="86"/>
        <v>0</v>
      </c>
      <c r="AK70" s="701">
        <f t="shared" si="86"/>
        <v>0</v>
      </c>
      <c r="AL70" s="701">
        <f t="shared" si="86"/>
        <v>0</v>
      </c>
      <c r="AM70" s="701">
        <f t="shared" si="86"/>
        <v>0</v>
      </c>
      <c r="AN70" s="701">
        <f t="shared" si="86"/>
        <v>0</v>
      </c>
      <c r="AO70" s="701">
        <f t="shared" si="86"/>
        <v>0</v>
      </c>
      <c r="AP70" s="701">
        <f t="shared" si="86"/>
        <v>0</v>
      </c>
      <c r="AQ70" s="701">
        <f t="shared" si="86"/>
        <v>0</v>
      </c>
      <c r="AR70" s="701">
        <f t="shared" si="86"/>
        <v>0</v>
      </c>
      <c r="AS70" s="701">
        <f t="shared" si="86"/>
        <v>0</v>
      </c>
      <c r="AT70" s="715">
        <f t="shared" si="86"/>
        <v>0</v>
      </c>
      <c r="AU70" s="715">
        <f t="shared" si="86"/>
        <v>0</v>
      </c>
      <c r="AV70" s="715">
        <f t="shared" si="86"/>
        <v>0</v>
      </c>
      <c r="AW70" s="715">
        <f t="shared" si="86"/>
        <v>0</v>
      </c>
      <c r="AX70" s="715">
        <f t="shared" si="86"/>
        <v>0</v>
      </c>
      <c r="AY70" s="715">
        <f t="shared" si="86"/>
        <v>0</v>
      </c>
      <c r="AZ70" s="715">
        <f t="shared" si="86"/>
        <v>0</v>
      </c>
      <c r="BA70" s="715">
        <f t="shared" si="86"/>
        <v>0</v>
      </c>
      <c r="BB70" s="715">
        <f t="shared" si="86"/>
        <v>0</v>
      </c>
      <c r="BC70" s="715">
        <f t="shared" si="86"/>
        <v>0</v>
      </c>
      <c r="BD70" s="715">
        <f t="shared" si="86"/>
        <v>0</v>
      </c>
      <c r="BE70" s="715">
        <f t="shared" si="86"/>
        <v>0</v>
      </c>
      <c r="BF70" s="701">
        <f t="shared" si="86"/>
        <v>0</v>
      </c>
      <c r="BG70" s="701">
        <f t="shared" si="86"/>
        <v>0</v>
      </c>
      <c r="BH70" s="701">
        <f t="shared" si="86"/>
        <v>0</v>
      </c>
      <c r="BI70" s="701">
        <f t="shared" si="86"/>
        <v>0</v>
      </c>
      <c r="BJ70" s="701">
        <f t="shared" si="86"/>
        <v>0</v>
      </c>
      <c r="BK70" s="701">
        <f t="shared" si="86"/>
        <v>0</v>
      </c>
      <c r="BL70" s="701">
        <f t="shared" si="86"/>
        <v>0</v>
      </c>
      <c r="BM70" s="701">
        <f t="shared" si="86"/>
        <v>0</v>
      </c>
      <c r="BN70" s="701">
        <f t="shared" si="86"/>
        <v>0</v>
      </c>
      <c r="BO70" s="701">
        <f t="shared" si="86"/>
        <v>0</v>
      </c>
      <c r="BP70" s="701">
        <f t="shared" si="86"/>
        <v>0</v>
      </c>
      <c r="BQ70" s="701">
        <f t="shared" si="86"/>
        <v>0</v>
      </c>
      <c r="BR70" s="701">
        <f t="shared" si="86"/>
        <v>0</v>
      </c>
      <c r="BS70" s="701">
        <f t="shared" si="86"/>
        <v>0</v>
      </c>
      <c r="BT70" s="701">
        <f t="shared" si="86"/>
        <v>0</v>
      </c>
      <c r="BU70" s="701">
        <f t="shared" si="86"/>
        <v>0</v>
      </c>
      <c r="BV70" s="701">
        <f t="shared" si="86"/>
        <v>0</v>
      </c>
      <c r="BW70" s="701">
        <f t="shared" si="86"/>
        <v>0</v>
      </c>
      <c r="BX70" s="701">
        <f t="shared" si="86"/>
        <v>0</v>
      </c>
      <c r="BY70" s="701">
        <f t="shared" si="86"/>
        <v>0</v>
      </c>
      <c r="BZ70" s="701">
        <f t="shared" si="86"/>
        <v>0</v>
      </c>
      <c r="CA70" s="701">
        <f t="shared" si="86"/>
        <v>0</v>
      </c>
      <c r="CB70" s="701">
        <f t="shared" si="86"/>
        <v>0</v>
      </c>
      <c r="CC70" s="701">
        <f t="shared" si="86"/>
        <v>0</v>
      </c>
      <c r="CD70" s="701">
        <f t="shared" si="86"/>
        <v>0</v>
      </c>
      <c r="CE70" s="701">
        <f t="shared" si="86"/>
        <v>0</v>
      </c>
      <c r="CF70" s="701">
        <f t="shared" si="86"/>
        <v>0</v>
      </c>
      <c r="CG70" s="701">
        <f t="shared" si="86"/>
        <v>0</v>
      </c>
      <c r="CH70" s="701">
        <f t="shared" si="84"/>
        <v>0</v>
      </c>
      <c r="CI70" s="701">
        <f t="shared" si="84"/>
        <v>0</v>
      </c>
      <c r="CJ70" s="701">
        <f t="shared" si="84"/>
        <v>0</v>
      </c>
      <c r="CK70" s="701">
        <f t="shared" si="84"/>
        <v>0</v>
      </c>
      <c r="CL70" s="701">
        <f t="shared" si="84"/>
        <v>0</v>
      </c>
      <c r="CM70" s="701">
        <f t="shared" si="84"/>
        <v>0</v>
      </c>
      <c r="CN70" s="701">
        <f t="shared" si="84"/>
        <v>0</v>
      </c>
      <c r="CO70" s="701">
        <f t="shared" si="84"/>
        <v>0</v>
      </c>
      <c r="CP70" s="701">
        <f t="shared" si="84"/>
        <v>0</v>
      </c>
      <c r="CQ70" s="701">
        <f t="shared" si="84"/>
        <v>0</v>
      </c>
      <c r="CR70" s="701">
        <f t="shared" si="84"/>
        <v>0</v>
      </c>
      <c r="CS70" s="701">
        <f t="shared" si="84"/>
        <v>0</v>
      </c>
      <c r="CT70" s="701">
        <f t="shared" si="84"/>
        <v>0</v>
      </c>
      <c r="CU70" s="701">
        <f t="shared" si="84"/>
        <v>0</v>
      </c>
      <c r="CV70" s="701">
        <f t="shared" si="84"/>
        <v>0</v>
      </c>
      <c r="CW70" s="701">
        <f t="shared" si="84"/>
        <v>0</v>
      </c>
      <c r="CX70" s="701">
        <f t="shared" si="84"/>
        <v>0</v>
      </c>
      <c r="CY70" s="701">
        <f t="shared" si="84"/>
        <v>0</v>
      </c>
      <c r="CZ70" s="701">
        <f t="shared" si="84"/>
        <v>0</v>
      </c>
      <c r="DA70" s="701">
        <f t="shared" si="84"/>
        <v>0</v>
      </c>
      <c r="DC70" s="12">
        <f t="shared" si="69"/>
        <v>0</v>
      </c>
      <c r="DD70" s="12">
        <f t="shared" si="70"/>
        <v>0</v>
      </c>
      <c r="DE70" s="12">
        <f t="shared" si="71"/>
        <v>0</v>
      </c>
      <c r="DF70" s="12">
        <f t="shared" si="72"/>
        <v>0</v>
      </c>
      <c r="DG70" s="12">
        <f t="shared" si="73"/>
        <v>0</v>
      </c>
      <c r="DH70" s="12">
        <f t="shared" si="74"/>
        <v>0</v>
      </c>
      <c r="DI70" s="12">
        <f t="shared" si="75"/>
        <v>0</v>
      </c>
    </row>
    <row r="71" spans="2:116" outlineLevel="2">
      <c r="B71" s="758"/>
      <c r="F71" s="126" t="s">
        <v>223</v>
      </c>
      <c r="I71" s="609" t="s">
        <v>736</v>
      </c>
      <c r="O71" s="710"/>
      <c r="P71" s="710"/>
      <c r="Q71" s="710"/>
      <c r="R71" s="710"/>
      <c r="S71" s="710"/>
      <c r="T71" s="710"/>
      <c r="U71" s="710"/>
      <c r="V71" s="701">
        <f t="shared" si="86"/>
        <v>0</v>
      </c>
      <c r="W71" s="701">
        <f t="shared" si="86"/>
        <v>0</v>
      </c>
      <c r="X71" s="701">
        <f t="shared" si="86"/>
        <v>0</v>
      </c>
      <c r="Y71" s="701">
        <f t="shared" si="86"/>
        <v>0</v>
      </c>
      <c r="Z71" s="701">
        <f t="shared" si="86"/>
        <v>0</v>
      </c>
      <c r="AA71" s="701">
        <f t="shared" si="86"/>
        <v>0</v>
      </c>
      <c r="AB71" s="701">
        <f t="shared" si="86"/>
        <v>0</v>
      </c>
      <c r="AC71" s="701">
        <f t="shared" si="86"/>
        <v>0</v>
      </c>
      <c r="AD71" s="701">
        <f t="shared" si="86"/>
        <v>0</v>
      </c>
      <c r="AE71" s="701">
        <f t="shared" si="86"/>
        <v>0</v>
      </c>
      <c r="AF71" s="701">
        <f t="shared" si="86"/>
        <v>0</v>
      </c>
      <c r="AG71" s="701">
        <f t="shared" si="86"/>
        <v>0</v>
      </c>
      <c r="AH71" s="701">
        <f t="shared" si="86"/>
        <v>0</v>
      </c>
      <c r="AI71" s="701">
        <f t="shared" si="86"/>
        <v>0</v>
      </c>
      <c r="AJ71" s="701">
        <f t="shared" si="86"/>
        <v>0</v>
      </c>
      <c r="AK71" s="701">
        <f t="shared" si="86"/>
        <v>0</v>
      </c>
      <c r="AL71" s="701">
        <f t="shared" si="86"/>
        <v>0</v>
      </c>
      <c r="AM71" s="701">
        <f t="shared" si="86"/>
        <v>0</v>
      </c>
      <c r="AN71" s="701">
        <f t="shared" si="86"/>
        <v>0</v>
      </c>
      <c r="AO71" s="701">
        <f t="shared" si="86"/>
        <v>0</v>
      </c>
      <c r="AP71" s="701">
        <f t="shared" si="86"/>
        <v>0</v>
      </c>
      <c r="AQ71" s="701">
        <f t="shared" si="86"/>
        <v>0</v>
      </c>
      <c r="AR71" s="701">
        <f t="shared" si="86"/>
        <v>0</v>
      </c>
      <c r="AS71" s="701">
        <f t="shared" si="86"/>
        <v>0</v>
      </c>
      <c r="AT71" s="715">
        <f t="shared" si="86"/>
        <v>0</v>
      </c>
      <c r="AU71" s="715">
        <f t="shared" si="86"/>
        <v>0</v>
      </c>
      <c r="AV71" s="715">
        <f t="shared" si="86"/>
        <v>0</v>
      </c>
      <c r="AW71" s="715">
        <f t="shared" si="86"/>
        <v>0</v>
      </c>
      <c r="AX71" s="715">
        <f t="shared" si="86"/>
        <v>0</v>
      </c>
      <c r="AY71" s="715">
        <f t="shared" si="86"/>
        <v>0</v>
      </c>
      <c r="AZ71" s="715">
        <f t="shared" si="86"/>
        <v>0</v>
      </c>
      <c r="BA71" s="715">
        <f t="shared" si="86"/>
        <v>0</v>
      </c>
      <c r="BB71" s="715">
        <f t="shared" si="86"/>
        <v>0</v>
      </c>
      <c r="BC71" s="715">
        <f t="shared" si="86"/>
        <v>0</v>
      </c>
      <c r="BD71" s="715">
        <f t="shared" si="86"/>
        <v>0</v>
      </c>
      <c r="BE71" s="715">
        <f t="shared" si="86"/>
        <v>0</v>
      </c>
      <c r="BF71" s="701">
        <f t="shared" si="86"/>
        <v>0</v>
      </c>
      <c r="BG71" s="701">
        <f t="shared" si="86"/>
        <v>0</v>
      </c>
      <c r="BH71" s="701">
        <f t="shared" si="86"/>
        <v>0</v>
      </c>
      <c r="BI71" s="701">
        <f t="shared" si="86"/>
        <v>0</v>
      </c>
      <c r="BJ71" s="701">
        <f t="shared" si="86"/>
        <v>0</v>
      </c>
      <c r="BK71" s="701">
        <f t="shared" si="86"/>
        <v>0</v>
      </c>
      <c r="BL71" s="701">
        <f t="shared" si="86"/>
        <v>0</v>
      </c>
      <c r="BM71" s="701">
        <f t="shared" si="86"/>
        <v>0</v>
      </c>
      <c r="BN71" s="701">
        <f t="shared" si="86"/>
        <v>0</v>
      </c>
      <c r="BO71" s="701">
        <f t="shared" si="86"/>
        <v>0</v>
      </c>
      <c r="BP71" s="701">
        <f t="shared" si="86"/>
        <v>0</v>
      </c>
      <c r="BQ71" s="701">
        <f t="shared" si="86"/>
        <v>0</v>
      </c>
      <c r="BR71" s="701">
        <f t="shared" si="86"/>
        <v>0</v>
      </c>
      <c r="BS71" s="701">
        <f t="shared" si="86"/>
        <v>0</v>
      </c>
      <c r="BT71" s="701">
        <f t="shared" si="86"/>
        <v>0</v>
      </c>
      <c r="BU71" s="701">
        <f t="shared" si="86"/>
        <v>0</v>
      </c>
      <c r="BV71" s="701">
        <f t="shared" si="86"/>
        <v>0</v>
      </c>
      <c r="BW71" s="701">
        <f t="shared" si="86"/>
        <v>0</v>
      </c>
      <c r="BX71" s="701">
        <f t="shared" si="86"/>
        <v>0</v>
      </c>
      <c r="BY71" s="701">
        <f t="shared" si="86"/>
        <v>0</v>
      </c>
      <c r="BZ71" s="701">
        <f t="shared" si="86"/>
        <v>0</v>
      </c>
      <c r="CA71" s="701">
        <f t="shared" si="86"/>
        <v>0</v>
      </c>
      <c r="CB71" s="701">
        <f t="shared" si="86"/>
        <v>0</v>
      </c>
      <c r="CC71" s="701">
        <f t="shared" si="86"/>
        <v>0</v>
      </c>
      <c r="CD71" s="701">
        <f t="shared" si="86"/>
        <v>0</v>
      </c>
      <c r="CE71" s="701">
        <f t="shared" si="86"/>
        <v>0</v>
      </c>
      <c r="CF71" s="701">
        <f t="shared" si="86"/>
        <v>0</v>
      </c>
      <c r="CG71" s="701">
        <f t="shared" si="86"/>
        <v>0</v>
      </c>
      <c r="CH71" s="701">
        <f t="shared" si="84"/>
        <v>0</v>
      </c>
      <c r="CI71" s="701">
        <f t="shared" si="84"/>
        <v>0</v>
      </c>
      <c r="CJ71" s="701">
        <f t="shared" si="84"/>
        <v>0</v>
      </c>
      <c r="CK71" s="701">
        <f t="shared" si="84"/>
        <v>0</v>
      </c>
      <c r="CL71" s="701">
        <f t="shared" si="84"/>
        <v>0</v>
      </c>
      <c r="CM71" s="701">
        <f t="shared" si="84"/>
        <v>0</v>
      </c>
      <c r="CN71" s="701">
        <f t="shared" si="84"/>
        <v>0</v>
      </c>
      <c r="CO71" s="701">
        <f t="shared" si="84"/>
        <v>0</v>
      </c>
      <c r="CP71" s="701">
        <f t="shared" si="84"/>
        <v>0</v>
      </c>
      <c r="CQ71" s="701">
        <f t="shared" si="84"/>
        <v>0</v>
      </c>
      <c r="CR71" s="701">
        <f t="shared" si="84"/>
        <v>0</v>
      </c>
      <c r="CS71" s="701">
        <f t="shared" si="84"/>
        <v>0</v>
      </c>
      <c r="CT71" s="701">
        <f t="shared" si="84"/>
        <v>0</v>
      </c>
      <c r="CU71" s="701">
        <f t="shared" si="84"/>
        <v>0</v>
      </c>
      <c r="CV71" s="701">
        <f t="shared" si="84"/>
        <v>0</v>
      </c>
      <c r="CW71" s="701">
        <f t="shared" si="84"/>
        <v>0</v>
      </c>
      <c r="CX71" s="701">
        <f t="shared" si="84"/>
        <v>0</v>
      </c>
      <c r="CY71" s="701">
        <f t="shared" si="84"/>
        <v>0</v>
      </c>
      <c r="CZ71" s="701">
        <f t="shared" si="84"/>
        <v>0</v>
      </c>
      <c r="DA71" s="701">
        <f t="shared" si="84"/>
        <v>0</v>
      </c>
      <c r="DC71" s="12">
        <f t="shared" si="69"/>
        <v>0</v>
      </c>
      <c r="DD71" s="12">
        <f t="shared" si="70"/>
        <v>0</v>
      </c>
      <c r="DE71" s="12">
        <f t="shared" si="71"/>
        <v>0</v>
      </c>
      <c r="DF71" s="12">
        <f t="shared" si="72"/>
        <v>0</v>
      </c>
      <c r="DG71" s="12">
        <f t="shared" si="73"/>
        <v>0</v>
      </c>
      <c r="DH71" s="12">
        <f t="shared" si="74"/>
        <v>0</v>
      </c>
      <c r="DI71" s="12">
        <f t="shared" si="75"/>
        <v>0</v>
      </c>
    </row>
    <row r="72" spans="2:116" outlineLevel="2">
      <c r="B72" s="758"/>
      <c r="F72" s="126" t="s">
        <v>221</v>
      </c>
      <c r="I72" s="609" t="s">
        <v>736</v>
      </c>
      <c r="O72" s="710"/>
      <c r="P72" s="710"/>
      <c r="Q72" s="710"/>
      <c r="R72" s="710"/>
      <c r="S72" s="710"/>
      <c r="T72" s="710"/>
      <c r="U72" s="710"/>
      <c r="V72" s="701">
        <f t="shared" si="86"/>
        <v>0</v>
      </c>
      <c r="W72" s="701">
        <f t="shared" si="86"/>
        <v>0</v>
      </c>
      <c r="X72" s="701">
        <f t="shared" si="86"/>
        <v>0</v>
      </c>
      <c r="Y72" s="701">
        <f t="shared" si="86"/>
        <v>0</v>
      </c>
      <c r="Z72" s="701">
        <f t="shared" si="86"/>
        <v>0</v>
      </c>
      <c r="AA72" s="701">
        <f t="shared" si="86"/>
        <v>0</v>
      </c>
      <c r="AB72" s="701">
        <f t="shared" si="86"/>
        <v>0</v>
      </c>
      <c r="AC72" s="701">
        <f t="shared" si="86"/>
        <v>0</v>
      </c>
      <c r="AD72" s="701">
        <f t="shared" si="86"/>
        <v>0</v>
      </c>
      <c r="AE72" s="701">
        <f t="shared" si="86"/>
        <v>0</v>
      </c>
      <c r="AF72" s="701">
        <f t="shared" si="86"/>
        <v>0</v>
      </c>
      <c r="AG72" s="701">
        <f t="shared" si="86"/>
        <v>0</v>
      </c>
      <c r="AH72" s="701">
        <f t="shared" si="86"/>
        <v>0</v>
      </c>
      <c r="AI72" s="701">
        <f t="shared" si="86"/>
        <v>0</v>
      </c>
      <c r="AJ72" s="701">
        <f t="shared" si="86"/>
        <v>0</v>
      </c>
      <c r="AK72" s="701">
        <f t="shared" si="86"/>
        <v>0</v>
      </c>
      <c r="AL72" s="701">
        <f t="shared" si="86"/>
        <v>0</v>
      </c>
      <c r="AM72" s="701">
        <f t="shared" si="86"/>
        <v>0</v>
      </c>
      <c r="AN72" s="701">
        <f t="shared" si="86"/>
        <v>0</v>
      </c>
      <c r="AO72" s="701">
        <f t="shared" si="86"/>
        <v>0</v>
      </c>
      <c r="AP72" s="701">
        <f t="shared" si="86"/>
        <v>0</v>
      </c>
      <c r="AQ72" s="701">
        <f t="shared" si="86"/>
        <v>0</v>
      </c>
      <c r="AR72" s="701">
        <f t="shared" si="86"/>
        <v>0</v>
      </c>
      <c r="AS72" s="701">
        <f t="shared" si="86"/>
        <v>0</v>
      </c>
      <c r="AT72" s="715">
        <f t="shared" si="86"/>
        <v>0</v>
      </c>
      <c r="AU72" s="715">
        <f t="shared" si="86"/>
        <v>0</v>
      </c>
      <c r="AV72" s="715">
        <f t="shared" si="86"/>
        <v>0</v>
      </c>
      <c r="AW72" s="715">
        <f t="shared" si="86"/>
        <v>0</v>
      </c>
      <c r="AX72" s="715">
        <f t="shared" si="86"/>
        <v>0</v>
      </c>
      <c r="AY72" s="715">
        <f t="shared" si="86"/>
        <v>0</v>
      </c>
      <c r="AZ72" s="715">
        <f t="shared" si="86"/>
        <v>0</v>
      </c>
      <c r="BA72" s="715">
        <f t="shared" si="86"/>
        <v>0</v>
      </c>
      <c r="BB72" s="715">
        <f t="shared" si="86"/>
        <v>0</v>
      </c>
      <c r="BC72" s="715">
        <f t="shared" si="86"/>
        <v>0</v>
      </c>
      <c r="BD72" s="715">
        <f t="shared" si="86"/>
        <v>0</v>
      </c>
      <c r="BE72" s="715">
        <f t="shared" si="86"/>
        <v>0</v>
      </c>
      <c r="BF72" s="701">
        <f t="shared" si="86"/>
        <v>0</v>
      </c>
      <c r="BG72" s="701">
        <f t="shared" si="86"/>
        <v>0</v>
      </c>
      <c r="BH72" s="701">
        <f t="shared" si="86"/>
        <v>0</v>
      </c>
      <c r="BI72" s="701">
        <f t="shared" si="86"/>
        <v>0</v>
      </c>
      <c r="BJ72" s="701">
        <f t="shared" si="86"/>
        <v>0</v>
      </c>
      <c r="BK72" s="701">
        <f t="shared" si="86"/>
        <v>0</v>
      </c>
      <c r="BL72" s="701">
        <f t="shared" si="86"/>
        <v>0</v>
      </c>
      <c r="BM72" s="701">
        <f t="shared" si="86"/>
        <v>0</v>
      </c>
      <c r="BN72" s="701">
        <f t="shared" si="86"/>
        <v>0</v>
      </c>
      <c r="BO72" s="701">
        <f t="shared" si="86"/>
        <v>0</v>
      </c>
      <c r="BP72" s="701">
        <f t="shared" si="86"/>
        <v>0</v>
      </c>
      <c r="BQ72" s="701">
        <f t="shared" si="86"/>
        <v>0</v>
      </c>
      <c r="BR72" s="701">
        <f t="shared" si="86"/>
        <v>0</v>
      </c>
      <c r="BS72" s="701">
        <f t="shared" si="86"/>
        <v>0</v>
      </c>
      <c r="BT72" s="701">
        <f t="shared" si="86"/>
        <v>0</v>
      </c>
      <c r="BU72" s="701">
        <f t="shared" si="86"/>
        <v>0</v>
      </c>
      <c r="BV72" s="701">
        <f t="shared" si="86"/>
        <v>0</v>
      </c>
      <c r="BW72" s="701">
        <f t="shared" si="86"/>
        <v>0</v>
      </c>
      <c r="BX72" s="701">
        <f t="shared" si="86"/>
        <v>0</v>
      </c>
      <c r="BY72" s="701">
        <f t="shared" si="86"/>
        <v>0</v>
      </c>
      <c r="BZ72" s="701">
        <f t="shared" si="86"/>
        <v>0</v>
      </c>
      <c r="CA72" s="701">
        <f t="shared" si="86"/>
        <v>0</v>
      </c>
      <c r="CB72" s="701">
        <f t="shared" si="86"/>
        <v>0</v>
      </c>
      <c r="CC72" s="701">
        <f t="shared" si="86"/>
        <v>0</v>
      </c>
      <c r="CD72" s="701">
        <f t="shared" si="86"/>
        <v>0</v>
      </c>
      <c r="CE72" s="701">
        <f t="shared" si="86"/>
        <v>0</v>
      </c>
      <c r="CF72" s="701">
        <f t="shared" si="86"/>
        <v>0</v>
      </c>
      <c r="CG72" s="701">
        <f t="shared" ref="CG72" si="87">CG116+CG157+CG198</f>
        <v>0</v>
      </c>
      <c r="CH72" s="701">
        <f t="shared" si="84"/>
        <v>0</v>
      </c>
      <c r="CI72" s="701">
        <f t="shared" si="84"/>
        <v>0</v>
      </c>
      <c r="CJ72" s="701">
        <f t="shared" si="84"/>
        <v>0</v>
      </c>
      <c r="CK72" s="701">
        <f t="shared" si="84"/>
        <v>0</v>
      </c>
      <c r="CL72" s="701">
        <f t="shared" si="84"/>
        <v>0</v>
      </c>
      <c r="CM72" s="701">
        <f t="shared" si="84"/>
        <v>0</v>
      </c>
      <c r="CN72" s="701">
        <f t="shared" si="84"/>
        <v>0</v>
      </c>
      <c r="CO72" s="701">
        <f t="shared" si="84"/>
        <v>0</v>
      </c>
      <c r="CP72" s="701">
        <f t="shared" si="84"/>
        <v>0</v>
      </c>
      <c r="CQ72" s="701">
        <f t="shared" si="84"/>
        <v>0</v>
      </c>
      <c r="CR72" s="701">
        <f t="shared" si="84"/>
        <v>0</v>
      </c>
      <c r="CS72" s="701">
        <f t="shared" si="84"/>
        <v>0</v>
      </c>
      <c r="CT72" s="701">
        <f t="shared" si="84"/>
        <v>0</v>
      </c>
      <c r="CU72" s="701">
        <f t="shared" si="84"/>
        <v>0</v>
      </c>
      <c r="CV72" s="701">
        <f t="shared" si="84"/>
        <v>0</v>
      </c>
      <c r="CW72" s="701">
        <f t="shared" si="84"/>
        <v>0</v>
      </c>
      <c r="CX72" s="701">
        <f t="shared" si="84"/>
        <v>0</v>
      </c>
      <c r="CY72" s="701">
        <f t="shared" si="84"/>
        <v>0</v>
      </c>
      <c r="CZ72" s="701">
        <f t="shared" si="84"/>
        <v>0</v>
      </c>
      <c r="DA72" s="701">
        <f t="shared" si="84"/>
        <v>0</v>
      </c>
      <c r="DC72" s="12">
        <f t="shared" si="69"/>
        <v>0</v>
      </c>
      <c r="DD72" s="12">
        <f t="shared" si="70"/>
        <v>0</v>
      </c>
      <c r="DE72" s="12">
        <f t="shared" si="71"/>
        <v>0</v>
      </c>
      <c r="DF72" s="12">
        <f t="shared" si="72"/>
        <v>0</v>
      </c>
      <c r="DG72" s="12">
        <f t="shared" si="73"/>
        <v>0</v>
      </c>
      <c r="DH72" s="12">
        <f t="shared" si="74"/>
        <v>0</v>
      </c>
      <c r="DI72" s="12">
        <f t="shared" si="75"/>
        <v>0</v>
      </c>
    </row>
    <row r="73" spans="2:116" outlineLevel="2">
      <c r="B73" s="758"/>
      <c r="F73" s="126" t="s">
        <v>801</v>
      </c>
      <c r="I73" s="609" t="s">
        <v>736</v>
      </c>
      <c r="O73" s="710"/>
      <c r="P73" s="710"/>
      <c r="Q73" s="710"/>
      <c r="R73" s="710"/>
      <c r="S73" s="710"/>
      <c r="T73" s="710"/>
      <c r="U73" s="710"/>
      <c r="V73" s="701">
        <f t="shared" ref="V73:CG75" si="88">V117+V158+V199</f>
        <v>0</v>
      </c>
      <c r="W73" s="701">
        <f t="shared" si="88"/>
        <v>0</v>
      </c>
      <c r="X73" s="701">
        <f t="shared" si="88"/>
        <v>0</v>
      </c>
      <c r="Y73" s="701">
        <f t="shared" si="88"/>
        <v>0</v>
      </c>
      <c r="Z73" s="701">
        <f t="shared" si="88"/>
        <v>0</v>
      </c>
      <c r="AA73" s="701">
        <f t="shared" si="88"/>
        <v>0</v>
      </c>
      <c r="AB73" s="701">
        <f t="shared" si="88"/>
        <v>0</v>
      </c>
      <c r="AC73" s="701">
        <f t="shared" si="88"/>
        <v>0</v>
      </c>
      <c r="AD73" s="701">
        <f t="shared" si="88"/>
        <v>0</v>
      </c>
      <c r="AE73" s="701">
        <f t="shared" si="88"/>
        <v>0</v>
      </c>
      <c r="AF73" s="701">
        <f t="shared" si="88"/>
        <v>0</v>
      </c>
      <c r="AG73" s="701">
        <f t="shared" si="88"/>
        <v>0</v>
      </c>
      <c r="AH73" s="701">
        <f t="shared" si="88"/>
        <v>0</v>
      </c>
      <c r="AI73" s="701">
        <f t="shared" si="88"/>
        <v>0</v>
      </c>
      <c r="AJ73" s="701">
        <f t="shared" si="88"/>
        <v>0</v>
      </c>
      <c r="AK73" s="701">
        <f t="shared" si="88"/>
        <v>0</v>
      </c>
      <c r="AL73" s="701">
        <f t="shared" si="88"/>
        <v>0</v>
      </c>
      <c r="AM73" s="701">
        <f t="shared" si="88"/>
        <v>0</v>
      </c>
      <c r="AN73" s="701">
        <f t="shared" si="88"/>
        <v>0</v>
      </c>
      <c r="AO73" s="701">
        <f t="shared" si="88"/>
        <v>0</v>
      </c>
      <c r="AP73" s="701">
        <f t="shared" si="88"/>
        <v>0</v>
      </c>
      <c r="AQ73" s="701">
        <f t="shared" si="88"/>
        <v>0</v>
      </c>
      <c r="AR73" s="701">
        <f t="shared" si="88"/>
        <v>0</v>
      </c>
      <c r="AS73" s="701">
        <f t="shared" si="88"/>
        <v>0</v>
      </c>
      <c r="AT73" s="715">
        <f t="shared" si="88"/>
        <v>6.1273876404683847E-2</v>
      </c>
      <c r="AU73" s="715">
        <f t="shared" si="88"/>
        <v>7.4197419798593955E-2</v>
      </c>
      <c r="AV73" s="715">
        <f t="shared" si="88"/>
        <v>9.2128484274638822E-2</v>
      </c>
      <c r="AW73" s="715">
        <f t="shared" si="88"/>
        <v>0.11159375536732341</v>
      </c>
      <c r="AX73" s="715">
        <f t="shared" si="88"/>
        <v>0.13467144542939025</v>
      </c>
      <c r="AY73" s="715">
        <f t="shared" si="88"/>
        <v>0.15539337246102036</v>
      </c>
      <c r="AZ73" s="715">
        <f t="shared" si="88"/>
        <v>0.17512190820909268</v>
      </c>
      <c r="BA73" s="715">
        <f t="shared" si="88"/>
        <v>0.20719768383776227</v>
      </c>
      <c r="BB73" s="715">
        <f t="shared" si="88"/>
        <v>0.22778318277568133</v>
      </c>
      <c r="BC73" s="715">
        <f t="shared" si="88"/>
        <v>0.2372973050352698</v>
      </c>
      <c r="BD73" s="715">
        <f t="shared" si="88"/>
        <v>0.2372723628274116</v>
      </c>
      <c r="BE73" s="715">
        <f t="shared" si="88"/>
        <v>0.23676963611893598</v>
      </c>
      <c r="BF73" s="701">
        <f t="shared" si="88"/>
        <v>0.23746209991148248</v>
      </c>
      <c r="BG73" s="701">
        <f t="shared" si="88"/>
        <v>0.23979162423722755</v>
      </c>
      <c r="BH73" s="701">
        <f t="shared" si="88"/>
        <v>0.24343592992056529</v>
      </c>
      <c r="BI73" s="701">
        <f t="shared" si="88"/>
        <v>0.24798804929429252</v>
      </c>
      <c r="BJ73" s="701">
        <f t="shared" si="88"/>
        <v>0.25304264056978809</v>
      </c>
      <c r="BK73" s="701">
        <f t="shared" si="88"/>
        <v>0.2583397924316273</v>
      </c>
      <c r="BL73" s="701">
        <f t="shared" si="88"/>
        <v>0.26317101700615808</v>
      </c>
      <c r="BM73" s="701">
        <f t="shared" si="88"/>
        <v>0.27535388499228475</v>
      </c>
      <c r="BN73" s="701">
        <f t="shared" si="88"/>
        <v>0.29088191242351513</v>
      </c>
      <c r="BO73" s="701">
        <f t="shared" si="88"/>
        <v>0.30672651512685434</v>
      </c>
      <c r="BP73" s="701">
        <f t="shared" si="88"/>
        <v>0.31973041699490068</v>
      </c>
      <c r="BQ73" s="701">
        <f t="shared" si="88"/>
        <v>0.32978050996774755</v>
      </c>
      <c r="BR73" s="701">
        <f t="shared" si="88"/>
        <v>0.33699302970217104</v>
      </c>
      <c r="BS73" s="701">
        <f t="shared" si="88"/>
        <v>0.34168778891273632</v>
      </c>
      <c r="BT73" s="701">
        <f t="shared" si="88"/>
        <v>0.34421531482485079</v>
      </c>
      <c r="BU73" s="701">
        <f t="shared" si="88"/>
        <v>0.34489566458751142</v>
      </c>
      <c r="BV73" s="701">
        <f t="shared" si="88"/>
        <v>0.34402525187726951</v>
      </c>
      <c r="BW73" s="701">
        <f t="shared" si="88"/>
        <v>0.34188718482141667</v>
      </c>
      <c r="BX73" s="701">
        <f t="shared" si="88"/>
        <v>0.33875918905920344</v>
      </c>
      <c r="BY73" s="701">
        <f t="shared" si="88"/>
        <v>0.33492168545524237</v>
      </c>
      <c r="BZ73" s="701">
        <f t="shared" si="88"/>
        <v>0.33160691882432047</v>
      </c>
      <c r="CA73" s="701">
        <f t="shared" si="88"/>
        <v>0.32962834642978578</v>
      </c>
      <c r="CB73" s="701">
        <f t="shared" si="88"/>
        <v>0.32927971405536027</v>
      </c>
      <c r="CC73" s="701">
        <f t="shared" si="88"/>
        <v>0.33042667656570757</v>
      </c>
      <c r="CD73" s="701">
        <f t="shared" si="88"/>
        <v>0.33290356504960528</v>
      </c>
      <c r="CE73" s="701">
        <f t="shared" si="88"/>
        <v>0.33655744759403206</v>
      </c>
      <c r="CF73" s="701">
        <f t="shared" si="88"/>
        <v>0.34124419096963265</v>
      </c>
      <c r="CG73" s="701">
        <f t="shared" si="88"/>
        <v>0.34682607257400377</v>
      </c>
      <c r="CH73" s="701">
        <f t="shared" si="84"/>
        <v>0.35316971168612099</v>
      </c>
      <c r="CI73" s="701">
        <f t="shared" si="84"/>
        <v>0.36014210514150591</v>
      </c>
      <c r="CJ73" s="701">
        <f t="shared" si="84"/>
        <v>0.36760806273616708</v>
      </c>
      <c r="CK73" s="701">
        <f t="shared" si="84"/>
        <v>0.37542909085328802</v>
      </c>
      <c r="CL73" s="701">
        <f t="shared" si="84"/>
        <v>0.38364243946745091</v>
      </c>
      <c r="CM73" s="701">
        <f t="shared" si="84"/>
        <v>0.39220254662950538</v>
      </c>
      <c r="CN73" s="701">
        <f t="shared" si="84"/>
        <v>0.40107450071917583</v>
      </c>
      <c r="CO73" s="701">
        <f t="shared" si="84"/>
        <v>0.41021114232228229</v>
      </c>
      <c r="CP73" s="701">
        <f t="shared" si="84"/>
        <v>0.41959131552852114</v>
      </c>
      <c r="CQ73" s="701">
        <f t="shared" si="84"/>
        <v>0.42919215709093805</v>
      </c>
      <c r="CR73" s="701">
        <f t="shared" si="84"/>
        <v>0.43898986661588424</v>
      </c>
      <c r="CS73" s="701">
        <f t="shared" si="84"/>
        <v>0.44895998825381866</v>
      </c>
      <c r="CT73" s="701">
        <f t="shared" si="84"/>
        <v>0.45907766161735708</v>
      </c>
      <c r="CU73" s="701">
        <f t="shared" si="84"/>
        <v>0.46931745844995021</v>
      </c>
      <c r="CV73" s="701">
        <f t="shared" si="84"/>
        <v>0.47965341664905736</v>
      </c>
      <c r="CW73" s="701">
        <f t="shared" si="84"/>
        <v>0.490059045029966</v>
      </c>
      <c r="CX73" s="701">
        <f t="shared" si="84"/>
        <v>0.50040387658009422</v>
      </c>
      <c r="CY73" s="701">
        <f t="shared" si="84"/>
        <v>0.51271645849976721</v>
      </c>
      <c r="CZ73" s="701">
        <f t="shared" si="84"/>
        <v>0.52837539350468887</v>
      </c>
      <c r="DA73" s="701">
        <f t="shared" si="84"/>
        <v>0.54815737227988848</v>
      </c>
      <c r="DC73" s="12">
        <f t="shared" si="69"/>
        <v>0</v>
      </c>
      <c r="DD73" s="12">
        <f t="shared" si="70"/>
        <v>0</v>
      </c>
      <c r="DE73" s="12">
        <f t="shared" si="71"/>
        <v>1.9507004325398043</v>
      </c>
      <c r="DF73" s="12">
        <f t="shared" si="72"/>
        <v>3.2657043928764438</v>
      </c>
      <c r="DG73" s="12">
        <f t="shared" si="73"/>
        <v>4.0483267651155757</v>
      </c>
      <c r="DH73" s="12">
        <f t="shared" si="74"/>
        <v>4.4010108757427702</v>
      </c>
      <c r="DI73" s="12">
        <f t="shared" si="75"/>
        <v>5.7244940100999315</v>
      </c>
    </row>
    <row r="74" spans="2:116" outlineLevel="2">
      <c r="B74" s="758"/>
      <c r="F74" s="126" t="s">
        <v>802</v>
      </c>
      <c r="I74" s="609" t="s">
        <v>736</v>
      </c>
      <c r="O74" s="710"/>
      <c r="P74" s="710"/>
      <c r="Q74" s="710"/>
      <c r="R74" s="710"/>
      <c r="S74" s="710"/>
      <c r="T74" s="710"/>
      <c r="U74" s="710"/>
      <c r="V74" s="701">
        <f t="shared" si="88"/>
        <v>0</v>
      </c>
      <c r="W74" s="701">
        <f t="shared" si="88"/>
        <v>0</v>
      </c>
      <c r="X74" s="701">
        <f t="shared" si="88"/>
        <v>0</v>
      </c>
      <c r="Y74" s="701">
        <f t="shared" si="88"/>
        <v>0</v>
      </c>
      <c r="Z74" s="701">
        <f t="shared" si="88"/>
        <v>0</v>
      </c>
      <c r="AA74" s="701">
        <f t="shared" si="88"/>
        <v>0</v>
      </c>
      <c r="AB74" s="701">
        <f t="shared" si="88"/>
        <v>0</v>
      </c>
      <c r="AC74" s="701">
        <f t="shared" si="88"/>
        <v>0</v>
      </c>
      <c r="AD74" s="701">
        <f t="shared" si="88"/>
        <v>0</v>
      </c>
      <c r="AE74" s="701">
        <f t="shared" si="88"/>
        <v>0</v>
      </c>
      <c r="AF74" s="701">
        <f t="shared" si="88"/>
        <v>0</v>
      </c>
      <c r="AG74" s="701">
        <f t="shared" si="88"/>
        <v>0</v>
      </c>
      <c r="AH74" s="701">
        <f t="shared" si="88"/>
        <v>0</v>
      </c>
      <c r="AI74" s="701">
        <f t="shared" si="88"/>
        <v>0</v>
      </c>
      <c r="AJ74" s="701">
        <f t="shared" si="88"/>
        <v>0</v>
      </c>
      <c r="AK74" s="701">
        <f t="shared" si="88"/>
        <v>0</v>
      </c>
      <c r="AL74" s="701">
        <f t="shared" si="88"/>
        <v>0</v>
      </c>
      <c r="AM74" s="701">
        <f t="shared" si="88"/>
        <v>0</v>
      </c>
      <c r="AN74" s="701">
        <f t="shared" si="88"/>
        <v>0</v>
      </c>
      <c r="AO74" s="701">
        <f t="shared" si="88"/>
        <v>0</v>
      </c>
      <c r="AP74" s="701">
        <f t="shared" si="88"/>
        <v>0</v>
      </c>
      <c r="AQ74" s="701">
        <f t="shared" si="88"/>
        <v>0</v>
      </c>
      <c r="AR74" s="701">
        <f t="shared" si="88"/>
        <v>0</v>
      </c>
      <c r="AS74" s="701">
        <f t="shared" si="88"/>
        <v>0</v>
      </c>
      <c r="AT74" s="715">
        <f t="shared" si="88"/>
        <v>0</v>
      </c>
      <c r="AU74" s="715">
        <f t="shared" si="88"/>
        <v>0</v>
      </c>
      <c r="AV74" s="715">
        <f t="shared" si="88"/>
        <v>0</v>
      </c>
      <c r="AW74" s="715">
        <f t="shared" si="88"/>
        <v>0</v>
      </c>
      <c r="AX74" s="715">
        <f t="shared" si="88"/>
        <v>0</v>
      </c>
      <c r="AY74" s="715">
        <f t="shared" si="88"/>
        <v>0</v>
      </c>
      <c r="AZ74" s="715">
        <f t="shared" si="88"/>
        <v>0</v>
      </c>
      <c r="BA74" s="715">
        <f t="shared" si="88"/>
        <v>0</v>
      </c>
      <c r="BB74" s="715">
        <f t="shared" si="88"/>
        <v>0</v>
      </c>
      <c r="BC74" s="715">
        <f t="shared" si="88"/>
        <v>0</v>
      </c>
      <c r="BD74" s="715">
        <f t="shared" si="88"/>
        <v>0</v>
      </c>
      <c r="BE74" s="715">
        <f t="shared" si="88"/>
        <v>0</v>
      </c>
      <c r="BF74" s="701">
        <f t="shared" si="88"/>
        <v>0</v>
      </c>
      <c r="BG74" s="701">
        <f t="shared" si="88"/>
        <v>0</v>
      </c>
      <c r="BH74" s="701">
        <f t="shared" si="88"/>
        <v>0</v>
      </c>
      <c r="BI74" s="701">
        <f t="shared" si="88"/>
        <v>0</v>
      </c>
      <c r="BJ74" s="701">
        <f t="shared" si="88"/>
        <v>0</v>
      </c>
      <c r="BK74" s="701">
        <f t="shared" si="88"/>
        <v>0</v>
      </c>
      <c r="BL74" s="701">
        <f t="shared" si="88"/>
        <v>0</v>
      </c>
      <c r="BM74" s="701">
        <f t="shared" si="88"/>
        <v>0</v>
      </c>
      <c r="BN74" s="701">
        <f t="shared" si="88"/>
        <v>0</v>
      </c>
      <c r="BO74" s="701">
        <f t="shared" si="88"/>
        <v>0</v>
      </c>
      <c r="BP74" s="701">
        <f t="shared" si="88"/>
        <v>0</v>
      </c>
      <c r="BQ74" s="701">
        <f t="shared" si="88"/>
        <v>0</v>
      </c>
      <c r="BR74" s="701">
        <f t="shared" si="88"/>
        <v>0</v>
      </c>
      <c r="BS74" s="701">
        <f t="shared" si="88"/>
        <v>0</v>
      </c>
      <c r="BT74" s="701">
        <f t="shared" si="88"/>
        <v>0</v>
      </c>
      <c r="BU74" s="701">
        <f t="shared" si="88"/>
        <v>0</v>
      </c>
      <c r="BV74" s="701">
        <f t="shared" si="88"/>
        <v>0</v>
      </c>
      <c r="BW74" s="701">
        <f t="shared" si="88"/>
        <v>0</v>
      </c>
      <c r="BX74" s="701">
        <f t="shared" si="88"/>
        <v>0</v>
      </c>
      <c r="BY74" s="701">
        <f t="shared" si="88"/>
        <v>0</v>
      </c>
      <c r="BZ74" s="701">
        <f t="shared" si="88"/>
        <v>0</v>
      </c>
      <c r="CA74" s="701">
        <f t="shared" si="88"/>
        <v>0</v>
      </c>
      <c r="CB74" s="701">
        <f t="shared" si="88"/>
        <v>0</v>
      </c>
      <c r="CC74" s="701">
        <f t="shared" si="88"/>
        <v>0</v>
      </c>
      <c r="CD74" s="701">
        <f t="shared" si="88"/>
        <v>0</v>
      </c>
      <c r="CE74" s="701">
        <f t="shared" si="88"/>
        <v>0</v>
      </c>
      <c r="CF74" s="701">
        <f t="shared" si="88"/>
        <v>0</v>
      </c>
      <c r="CG74" s="701">
        <f t="shared" si="88"/>
        <v>0</v>
      </c>
      <c r="CH74" s="701">
        <f t="shared" si="84"/>
        <v>0</v>
      </c>
      <c r="CI74" s="701">
        <f t="shared" si="84"/>
        <v>0</v>
      </c>
      <c r="CJ74" s="701">
        <f t="shared" si="84"/>
        <v>0</v>
      </c>
      <c r="CK74" s="701">
        <f t="shared" si="84"/>
        <v>0</v>
      </c>
      <c r="CL74" s="701">
        <f t="shared" si="84"/>
        <v>0</v>
      </c>
      <c r="CM74" s="701">
        <f t="shared" si="84"/>
        <v>0</v>
      </c>
      <c r="CN74" s="701">
        <f t="shared" si="84"/>
        <v>0</v>
      </c>
      <c r="CO74" s="701">
        <f t="shared" si="84"/>
        <v>0</v>
      </c>
      <c r="CP74" s="701">
        <f t="shared" si="84"/>
        <v>0</v>
      </c>
      <c r="CQ74" s="701">
        <f t="shared" si="84"/>
        <v>0</v>
      </c>
      <c r="CR74" s="701">
        <f t="shared" si="84"/>
        <v>0</v>
      </c>
      <c r="CS74" s="701">
        <f t="shared" si="84"/>
        <v>0</v>
      </c>
      <c r="CT74" s="701">
        <f t="shared" si="84"/>
        <v>0</v>
      </c>
      <c r="CU74" s="701">
        <f t="shared" si="84"/>
        <v>0</v>
      </c>
      <c r="CV74" s="701">
        <f t="shared" si="84"/>
        <v>0</v>
      </c>
      <c r="CW74" s="701">
        <f t="shared" si="84"/>
        <v>0</v>
      </c>
      <c r="CX74" s="701">
        <f t="shared" si="84"/>
        <v>0</v>
      </c>
      <c r="CY74" s="701">
        <f t="shared" si="84"/>
        <v>0</v>
      </c>
      <c r="CZ74" s="701">
        <f t="shared" si="84"/>
        <v>0</v>
      </c>
      <c r="DA74" s="701">
        <f t="shared" si="84"/>
        <v>0</v>
      </c>
      <c r="DC74" s="12">
        <f t="shared" si="69"/>
        <v>0</v>
      </c>
      <c r="DD74" s="12">
        <f t="shared" si="70"/>
        <v>0</v>
      </c>
      <c r="DE74" s="12">
        <f t="shared" si="71"/>
        <v>0</v>
      </c>
      <c r="DF74" s="12">
        <f t="shared" si="72"/>
        <v>0</v>
      </c>
      <c r="DG74" s="12">
        <f t="shared" si="73"/>
        <v>0</v>
      </c>
      <c r="DH74" s="12">
        <f t="shared" si="74"/>
        <v>0</v>
      </c>
      <c r="DI74" s="12">
        <f t="shared" si="75"/>
        <v>0</v>
      </c>
    </row>
    <row r="75" spans="2:116" outlineLevel="2">
      <c r="B75" s="758"/>
      <c r="F75" s="126" t="s">
        <v>222</v>
      </c>
      <c r="I75" s="609" t="s">
        <v>736</v>
      </c>
      <c r="O75" s="710"/>
      <c r="P75" s="710"/>
      <c r="Q75" s="710"/>
      <c r="R75" s="710"/>
      <c r="S75" s="710"/>
      <c r="T75" s="710"/>
      <c r="U75" s="710"/>
      <c r="V75" s="701">
        <f t="shared" si="88"/>
        <v>0</v>
      </c>
      <c r="W75" s="701">
        <f t="shared" si="88"/>
        <v>0</v>
      </c>
      <c r="X75" s="701">
        <f t="shared" si="88"/>
        <v>0</v>
      </c>
      <c r="Y75" s="701">
        <f t="shared" si="88"/>
        <v>0</v>
      </c>
      <c r="Z75" s="701">
        <f t="shared" si="88"/>
        <v>0</v>
      </c>
      <c r="AA75" s="701">
        <f t="shared" si="88"/>
        <v>0</v>
      </c>
      <c r="AB75" s="701">
        <f t="shared" si="88"/>
        <v>0</v>
      </c>
      <c r="AC75" s="701">
        <f t="shared" si="88"/>
        <v>0</v>
      </c>
      <c r="AD75" s="701">
        <f t="shared" si="88"/>
        <v>0</v>
      </c>
      <c r="AE75" s="701">
        <f t="shared" si="88"/>
        <v>0</v>
      </c>
      <c r="AF75" s="701">
        <f t="shared" si="88"/>
        <v>0</v>
      </c>
      <c r="AG75" s="701">
        <f t="shared" si="88"/>
        <v>0</v>
      </c>
      <c r="AH75" s="701">
        <f t="shared" si="88"/>
        <v>0</v>
      </c>
      <c r="AI75" s="701">
        <f t="shared" si="88"/>
        <v>0</v>
      </c>
      <c r="AJ75" s="701">
        <f t="shared" si="88"/>
        <v>0</v>
      </c>
      <c r="AK75" s="701">
        <f t="shared" si="88"/>
        <v>0</v>
      </c>
      <c r="AL75" s="701">
        <f t="shared" si="88"/>
        <v>0</v>
      </c>
      <c r="AM75" s="701">
        <f t="shared" si="88"/>
        <v>0</v>
      </c>
      <c r="AN75" s="701">
        <f t="shared" si="88"/>
        <v>0</v>
      </c>
      <c r="AO75" s="701">
        <f t="shared" si="88"/>
        <v>0</v>
      </c>
      <c r="AP75" s="701">
        <f t="shared" si="88"/>
        <v>0</v>
      </c>
      <c r="AQ75" s="701">
        <f t="shared" si="88"/>
        <v>0</v>
      </c>
      <c r="AR75" s="701">
        <f t="shared" si="88"/>
        <v>0</v>
      </c>
      <c r="AS75" s="701">
        <f t="shared" si="88"/>
        <v>0</v>
      </c>
      <c r="AT75" s="715">
        <f t="shared" si="88"/>
        <v>0</v>
      </c>
      <c r="AU75" s="715">
        <f t="shared" si="88"/>
        <v>0</v>
      </c>
      <c r="AV75" s="715">
        <f t="shared" si="88"/>
        <v>0</v>
      </c>
      <c r="AW75" s="715">
        <f t="shared" si="88"/>
        <v>0</v>
      </c>
      <c r="AX75" s="715">
        <f t="shared" si="88"/>
        <v>0</v>
      </c>
      <c r="AY75" s="715">
        <f t="shared" si="88"/>
        <v>0</v>
      </c>
      <c r="AZ75" s="715">
        <f t="shared" si="88"/>
        <v>0</v>
      </c>
      <c r="BA75" s="715">
        <f t="shared" si="88"/>
        <v>0</v>
      </c>
      <c r="BB75" s="715">
        <f t="shared" si="88"/>
        <v>0</v>
      </c>
      <c r="BC75" s="715">
        <f t="shared" si="88"/>
        <v>0</v>
      </c>
      <c r="BD75" s="715">
        <f t="shared" si="88"/>
        <v>0</v>
      </c>
      <c r="BE75" s="715">
        <f t="shared" si="88"/>
        <v>0</v>
      </c>
      <c r="BF75" s="701">
        <f t="shared" si="88"/>
        <v>0</v>
      </c>
      <c r="BG75" s="701">
        <f t="shared" si="88"/>
        <v>0</v>
      </c>
      <c r="BH75" s="701">
        <f t="shared" si="88"/>
        <v>0</v>
      </c>
      <c r="BI75" s="701">
        <f t="shared" si="88"/>
        <v>0</v>
      </c>
      <c r="BJ75" s="701">
        <f t="shared" si="88"/>
        <v>0</v>
      </c>
      <c r="BK75" s="701">
        <f t="shared" si="88"/>
        <v>0</v>
      </c>
      <c r="BL75" s="701">
        <f t="shared" si="88"/>
        <v>0</v>
      </c>
      <c r="BM75" s="701">
        <f t="shared" si="88"/>
        <v>0</v>
      </c>
      <c r="BN75" s="701">
        <f t="shared" si="88"/>
        <v>0</v>
      </c>
      <c r="BO75" s="701">
        <f t="shared" si="88"/>
        <v>0</v>
      </c>
      <c r="BP75" s="701">
        <f t="shared" si="88"/>
        <v>0</v>
      </c>
      <c r="BQ75" s="701">
        <f t="shared" si="88"/>
        <v>0</v>
      </c>
      <c r="BR75" s="701">
        <f t="shared" si="88"/>
        <v>0</v>
      </c>
      <c r="BS75" s="701">
        <f t="shared" si="88"/>
        <v>0</v>
      </c>
      <c r="BT75" s="701">
        <f t="shared" si="88"/>
        <v>0</v>
      </c>
      <c r="BU75" s="701">
        <f t="shared" si="88"/>
        <v>0</v>
      </c>
      <c r="BV75" s="701">
        <f t="shared" si="88"/>
        <v>0</v>
      </c>
      <c r="BW75" s="701">
        <f t="shared" si="88"/>
        <v>0</v>
      </c>
      <c r="BX75" s="701">
        <f t="shared" si="88"/>
        <v>0</v>
      </c>
      <c r="BY75" s="701">
        <f t="shared" si="88"/>
        <v>0</v>
      </c>
      <c r="BZ75" s="701">
        <f t="shared" si="88"/>
        <v>0</v>
      </c>
      <c r="CA75" s="701">
        <f t="shared" si="88"/>
        <v>0</v>
      </c>
      <c r="CB75" s="701">
        <f t="shared" si="88"/>
        <v>0</v>
      </c>
      <c r="CC75" s="701">
        <f t="shared" si="88"/>
        <v>0</v>
      </c>
      <c r="CD75" s="701">
        <f t="shared" si="88"/>
        <v>0</v>
      </c>
      <c r="CE75" s="701">
        <f t="shared" si="88"/>
        <v>0</v>
      </c>
      <c r="CF75" s="701">
        <f t="shared" si="88"/>
        <v>0</v>
      </c>
      <c r="CG75" s="701">
        <f t="shared" si="88"/>
        <v>0</v>
      </c>
      <c r="CH75" s="701">
        <f t="shared" si="84"/>
        <v>0</v>
      </c>
      <c r="CI75" s="701">
        <f t="shared" si="84"/>
        <v>0</v>
      </c>
      <c r="CJ75" s="701">
        <f t="shared" si="84"/>
        <v>0</v>
      </c>
      <c r="CK75" s="701">
        <f t="shared" si="84"/>
        <v>0</v>
      </c>
      <c r="CL75" s="701">
        <f t="shared" si="84"/>
        <v>0</v>
      </c>
      <c r="CM75" s="701">
        <f t="shared" si="84"/>
        <v>0</v>
      </c>
      <c r="CN75" s="701">
        <f t="shared" si="84"/>
        <v>0</v>
      </c>
      <c r="CO75" s="701">
        <f t="shared" si="84"/>
        <v>0</v>
      </c>
      <c r="CP75" s="701">
        <f t="shared" si="84"/>
        <v>0</v>
      </c>
      <c r="CQ75" s="701">
        <f t="shared" si="84"/>
        <v>0</v>
      </c>
      <c r="CR75" s="701">
        <f t="shared" si="84"/>
        <v>0</v>
      </c>
      <c r="CS75" s="701">
        <f t="shared" si="84"/>
        <v>0</v>
      </c>
      <c r="CT75" s="701">
        <f t="shared" si="84"/>
        <v>0</v>
      </c>
      <c r="CU75" s="701">
        <f t="shared" si="84"/>
        <v>0</v>
      </c>
      <c r="CV75" s="701">
        <f t="shared" si="84"/>
        <v>0</v>
      </c>
      <c r="CW75" s="701">
        <f t="shared" si="84"/>
        <v>0</v>
      </c>
      <c r="CX75" s="701">
        <f t="shared" si="84"/>
        <v>0</v>
      </c>
      <c r="CY75" s="701">
        <f t="shared" si="84"/>
        <v>0</v>
      </c>
      <c r="CZ75" s="701">
        <f t="shared" si="84"/>
        <v>0</v>
      </c>
      <c r="DA75" s="701">
        <f t="shared" si="84"/>
        <v>0</v>
      </c>
      <c r="DC75" s="12">
        <f t="shared" si="69"/>
        <v>0</v>
      </c>
      <c r="DD75" s="12">
        <f t="shared" si="70"/>
        <v>0</v>
      </c>
      <c r="DE75" s="12">
        <f t="shared" si="71"/>
        <v>0</v>
      </c>
      <c r="DF75" s="12">
        <f t="shared" si="72"/>
        <v>0</v>
      </c>
      <c r="DG75" s="12">
        <f t="shared" si="73"/>
        <v>0</v>
      </c>
      <c r="DH75" s="12">
        <f t="shared" si="74"/>
        <v>0</v>
      </c>
      <c r="DI75" s="12">
        <f t="shared" si="75"/>
        <v>0</v>
      </c>
    </row>
    <row r="76" spans="2:116" outlineLevel="2">
      <c r="B76" s="758"/>
      <c r="F76" s="126" t="s">
        <v>803</v>
      </c>
      <c r="I76" s="609" t="s">
        <v>736</v>
      </c>
      <c r="O76" s="710"/>
      <c r="P76" s="710"/>
      <c r="Q76" s="710"/>
      <c r="R76" s="710"/>
      <c r="S76" s="710"/>
      <c r="T76" s="710"/>
      <c r="U76" s="710"/>
      <c r="V76" s="871"/>
      <c r="W76" s="871"/>
      <c r="X76" s="871"/>
      <c r="Y76" s="871"/>
      <c r="Z76" s="871"/>
      <c r="AA76" s="701"/>
      <c r="AB76" s="701"/>
      <c r="AC76" s="701"/>
      <c r="AD76" s="701"/>
      <c r="AE76" s="701"/>
      <c r="AF76" s="701"/>
      <c r="AG76" s="701"/>
      <c r="AH76" s="722"/>
      <c r="AI76" s="722"/>
      <c r="AJ76" s="722"/>
      <c r="AK76" s="722"/>
      <c r="AL76" s="722"/>
      <c r="AM76" s="722"/>
      <c r="AN76" s="722"/>
      <c r="AO76" s="722"/>
      <c r="AP76" s="722"/>
      <c r="AQ76" s="722"/>
      <c r="AR76" s="722"/>
      <c r="AS76" s="722"/>
      <c r="AT76" s="715"/>
      <c r="AU76" s="715"/>
      <c r="AV76" s="715"/>
      <c r="AW76" s="715"/>
      <c r="AX76" s="715"/>
      <c r="AY76" s="715"/>
      <c r="AZ76" s="715"/>
      <c r="BA76" s="715"/>
      <c r="BB76" s="715"/>
      <c r="BC76" s="715"/>
      <c r="BD76" s="715"/>
      <c r="BE76" s="715"/>
      <c r="BF76" s="722"/>
      <c r="BG76" s="722"/>
      <c r="BH76" s="722"/>
      <c r="BI76" s="722"/>
      <c r="BJ76" s="722"/>
      <c r="BK76" s="722"/>
      <c r="BL76" s="722"/>
      <c r="BM76" s="722"/>
      <c r="BN76" s="722"/>
      <c r="BO76" s="722"/>
      <c r="BP76" s="722"/>
      <c r="BQ76" s="722"/>
      <c r="BR76" s="722"/>
      <c r="BS76" s="722"/>
      <c r="BT76" s="722"/>
      <c r="BU76" s="722"/>
      <c r="BV76" s="722"/>
      <c r="BW76" s="722"/>
      <c r="BX76" s="722"/>
      <c r="BY76" s="722"/>
      <c r="BZ76" s="722"/>
      <c r="CA76" s="722"/>
      <c r="CB76" s="722"/>
      <c r="CC76" s="722"/>
      <c r="CD76" s="722"/>
      <c r="CE76" s="722"/>
      <c r="CF76" s="722"/>
      <c r="CG76" s="722"/>
      <c r="CH76" s="722"/>
      <c r="CI76" s="722"/>
      <c r="CJ76" s="722"/>
      <c r="CK76" s="722"/>
      <c r="CL76" s="722"/>
      <c r="CM76" s="722"/>
      <c r="CN76" s="722"/>
      <c r="CO76" s="722"/>
      <c r="CP76" s="722"/>
      <c r="CQ76" s="722"/>
      <c r="CR76" s="722"/>
      <c r="CS76" s="722"/>
      <c r="CT76" s="722"/>
      <c r="CU76" s="722"/>
      <c r="CV76" s="722"/>
      <c r="CW76" s="722"/>
      <c r="CX76" s="722"/>
      <c r="CY76" s="722"/>
      <c r="CZ76" s="722"/>
      <c r="DA76" s="722"/>
      <c r="DC76" s="12"/>
      <c r="DD76" s="12"/>
      <c r="DE76" s="12"/>
      <c r="DF76" s="12"/>
      <c r="DG76" s="12"/>
      <c r="DH76" s="12"/>
      <c r="DI76" s="12">
        <f t="shared" si="75"/>
        <v>0</v>
      </c>
    </row>
    <row r="77" spans="2:116" outlineLevel="2">
      <c r="B77" s="758"/>
      <c r="F77" s="126" t="s">
        <v>224</v>
      </c>
      <c r="I77" s="609" t="s">
        <v>736</v>
      </c>
      <c r="O77" s="710"/>
      <c r="P77" s="710"/>
      <c r="Q77" s="710"/>
      <c r="R77" s="710"/>
      <c r="S77" s="710"/>
      <c r="T77" s="710"/>
      <c r="U77" s="710"/>
      <c r="V77" s="871"/>
      <c r="W77" s="871"/>
      <c r="X77" s="871"/>
      <c r="Y77" s="871"/>
      <c r="Z77" s="871"/>
      <c r="AA77" s="701"/>
      <c r="AB77" s="701"/>
      <c r="AC77" s="701"/>
      <c r="AD77" s="701"/>
      <c r="AE77" s="701"/>
      <c r="AF77" s="701"/>
      <c r="AG77" s="701"/>
      <c r="AH77" s="722"/>
      <c r="AI77" s="722"/>
      <c r="AJ77" s="722"/>
      <c r="AK77" s="722"/>
      <c r="AL77" s="722"/>
      <c r="AM77" s="722"/>
      <c r="AN77" s="722"/>
      <c r="AO77" s="722"/>
      <c r="AP77" s="722"/>
      <c r="AQ77" s="722"/>
      <c r="AR77" s="722"/>
      <c r="AS77" s="722"/>
      <c r="AT77" s="715"/>
      <c r="AU77" s="715"/>
      <c r="AV77" s="715"/>
      <c r="AW77" s="715"/>
      <c r="AX77" s="715"/>
      <c r="AY77" s="715"/>
      <c r="AZ77" s="715"/>
      <c r="BA77" s="715"/>
      <c r="BB77" s="715"/>
      <c r="BC77" s="715"/>
      <c r="BD77" s="715"/>
      <c r="BE77" s="715"/>
      <c r="BF77" s="722"/>
      <c r="BG77" s="722"/>
      <c r="BH77" s="722"/>
      <c r="BI77" s="722"/>
      <c r="BJ77" s="722"/>
      <c r="BK77" s="722"/>
      <c r="BL77" s="722"/>
      <c r="BM77" s="722"/>
      <c r="BN77" s="722"/>
      <c r="BO77" s="722"/>
      <c r="BP77" s="722"/>
      <c r="BQ77" s="722"/>
      <c r="BR77" s="722"/>
      <c r="BS77" s="722"/>
      <c r="BT77" s="722"/>
      <c r="BU77" s="722"/>
      <c r="BV77" s="722"/>
      <c r="BW77" s="722"/>
      <c r="BX77" s="722"/>
      <c r="BY77" s="722"/>
      <c r="BZ77" s="722"/>
      <c r="CA77" s="722"/>
      <c r="CB77" s="722"/>
      <c r="CC77" s="722"/>
      <c r="CD77" s="722"/>
      <c r="CE77" s="722"/>
      <c r="CF77" s="722"/>
      <c r="CG77" s="722"/>
      <c r="CH77" s="722"/>
      <c r="CI77" s="722"/>
      <c r="CJ77" s="722"/>
      <c r="CK77" s="722"/>
      <c r="CL77" s="722"/>
      <c r="CM77" s="722"/>
      <c r="CN77" s="722"/>
      <c r="CO77" s="722"/>
      <c r="CP77" s="722"/>
      <c r="CQ77" s="722"/>
      <c r="CR77" s="722"/>
      <c r="CS77" s="722"/>
      <c r="CT77" s="722"/>
      <c r="CU77" s="722"/>
      <c r="CV77" s="722"/>
      <c r="CW77" s="722"/>
      <c r="CX77" s="722"/>
      <c r="CY77" s="722"/>
      <c r="CZ77" s="722"/>
      <c r="DA77" s="722"/>
      <c r="DC77" s="12"/>
      <c r="DD77" s="12"/>
      <c r="DE77" s="12"/>
      <c r="DF77" s="12"/>
      <c r="DG77" s="12"/>
      <c r="DH77" s="12"/>
      <c r="DI77" s="12">
        <f t="shared" si="75"/>
        <v>0</v>
      </c>
    </row>
    <row r="78" spans="2:116" outlineLevel="2">
      <c r="B78" s="758"/>
      <c r="F78" s="126" t="s">
        <v>804</v>
      </c>
      <c r="G78" s="230"/>
      <c r="H78" s="232"/>
      <c r="I78" s="609" t="s">
        <v>736</v>
      </c>
      <c r="O78" s="710"/>
      <c r="P78" s="710"/>
      <c r="Q78" s="710"/>
      <c r="R78" s="710"/>
      <c r="S78" s="710"/>
      <c r="T78" s="710"/>
      <c r="U78" s="710"/>
      <c r="V78" s="871"/>
      <c r="W78" s="871"/>
      <c r="X78" s="871"/>
      <c r="Y78" s="871"/>
      <c r="Z78" s="871"/>
      <c r="AA78" s="701"/>
      <c r="AB78" s="701"/>
      <c r="AC78" s="701"/>
      <c r="AD78" s="701"/>
      <c r="AE78" s="701"/>
      <c r="AF78" s="701"/>
      <c r="AG78" s="701"/>
      <c r="AH78" s="722"/>
      <c r="AI78" s="722"/>
      <c r="AJ78" s="722"/>
      <c r="AK78" s="722"/>
      <c r="AL78" s="722"/>
      <c r="AM78" s="722"/>
      <c r="AN78" s="722"/>
      <c r="AO78" s="722"/>
      <c r="AP78" s="722"/>
      <c r="AQ78" s="722"/>
      <c r="AR78" s="722"/>
      <c r="AS78" s="722"/>
      <c r="AT78" s="715"/>
      <c r="AU78" s="715"/>
      <c r="AV78" s="715"/>
      <c r="AW78" s="715"/>
      <c r="AX78" s="715"/>
      <c r="AY78" s="715"/>
      <c r="AZ78" s="715"/>
      <c r="BA78" s="715"/>
      <c r="BB78" s="715"/>
      <c r="BC78" s="715"/>
      <c r="BD78" s="715"/>
      <c r="BE78" s="715"/>
      <c r="BF78" s="722"/>
      <c r="BG78" s="722"/>
      <c r="BH78" s="722"/>
      <c r="BI78" s="722"/>
      <c r="BJ78" s="722"/>
      <c r="BK78" s="722"/>
      <c r="BL78" s="722"/>
      <c r="BM78" s="722"/>
      <c r="BN78" s="722"/>
      <c r="BO78" s="722"/>
      <c r="BP78" s="722"/>
      <c r="BQ78" s="722"/>
      <c r="BR78" s="722"/>
      <c r="BS78" s="722"/>
      <c r="BT78" s="722"/>
      <c r="BU78" s="722"/>
      <c r="BV78" s="722"/>
      <c r="BW78" s="722"/>
      <c r="BX78" s="722"/>
      <c r="BY78" s="722"/>
      <c r="BZ78" s="722"/>
      <c r="CA78" s="722"/>
      <c r="CB78" s="722"/>
      <c r="CC78" s="722"/>
      <c r="CD78" s="722"/>
      <c r="CE78" s="722"/>
      <c r="CF78" s="722"/>
      <c r="CG78" s="722"/>
      <c r="CH78" s="722"/>
      <c r="CI78" s="722"/>
      <c r="CJ78" s="722"/>
      <c r="CK78" s="722"/>
      <c r="CL78" s="722"/>
      <c r="CM78" s="722"/>
      <c r="CN78" s="722"/>
      <c r="CO78" s="722"/>
      <c r="CP78" s="722"/>
      <c r="CQ78" s="722"/>
      <c r="CR78" s="722"/>
      <c r="CS78" s="722"/>
      <c r="CT78" s="722"/>
      <c r="CU78" s="722"/>
      <c r="CV78" s="722"/>
      <c r="CW78" s="722"/>
      <c r="CX78" s="722"/>
      <c r="CY78" s="722"/>
      <c r="CZ78" s="722"/>
      <c r="DA78" s="722"/>
      <c r="DC78" s="12">
        <f t="shared" si="69"/>
        <v>0</v>
      </c>
      <c r="DD78" s="12">
        <f t="shared" si="70"/>
        <v>0</v>
      </c>
      <c r="DE78" s="12">
        <f t="shared" si="71"/>
        <v>0</v>
      </c>
      <c r="DF78" s="12">
        <f t="shared" si="72"/>
        <v>0</v>
      </c>
      <c r="DG78" s="12">
        <f t="shared" si="73"/>
        <v>0</v>
      </c>
      <c r="DH78" s="12">
        <f t="shared" si="74"/>
        <v>0</v>
      </c>
      <c r="DI78" s="12">
        <f t="shared" si="75"/>
        <v>0</v>
      </c>
    </row>
    <row r="79" spans="2:116" outlineLevel="2">
      <c r="B79" s="758"/>
      <c r="E79" s="720" t="s">
        <v>621</v>
      </c>
      <c r="I79" s="609" t="s">
        <v>736</v>
      </c>
      <c r="N79" s="710"/>
      <c r="O79" s="710"/>
      <c r="P79" s="710"/>
      <c r="Q79" s="710"/>
      <c r="R79" s="710"/>
      <c r="S79" s="710"/>
      <c r="T79" s="710"/>
      <c r="U79" s="710"/>
      <c r="V79" s="715">
        <f t="shared" ref="V79:CG79" si="89">V120+V161+V202</f>
        <v>0</v>
      </c>
      <c r="W79" s="715">
        <f t="shared" si="89"/>
        <v>0</v>
      </c>
      <c r="X79" s="715">
        <f t="shared" si="89"/>
        <v>0</v>
      </c>
      <c r="Y79" s="715">
        <f t="shared" si="89"/>
        <v>0</v>
      </c>
      <c r="Z79" s="715">
        <f t="shared" si="89"/>
        <v>0</v>
      </c>
      <c r="AA79" s="715">
        <f t="shared" si="89"/>
        <v>0</v>
      </c>
      <c r="AB79" s="696">
        <f t="shared" si="89"/>
        <v>-1.26E-4</v>
      </c>
      <c r="AC79" s="696">
        <f t="shared" si="89"/>
        <v>-0.48209249500000001</v>
      </c>
      <c r="AD79" s="696">
        <f t="shared" si="89"/>
        <v>-0.79944912599999995</v>
      </c>
      <c r="AE79" s="696">
        <f t="shared" si="89"/>
        <v>-1.1535793640000001</v>
      </c>
      <c r="AF79" s="696">
        <f t="shared" si="89"/>
        <v>-1.1945738699999999</v>
      </c>
      <c r="AG79" s="696">
        <f t="shared" si="89"/>
        <v>-2.0585056670000004</v>
      </c>
      <c r="AH79" s="696">
        <f t="shared" si="89"/>
        <v>-2.2282908830000001</v>
      </c>
      <c r="AI79" s="696">
        <f t="shared" si="89"/>
        <v>-2.9558034279999998</v>
      </c>
      <c r="AJ79" s="696">
        <f t="shared" si="89"/>
        <v>-3.2753034400000001</v>
      </c>
      <c r="AK79" s="696">
        <f t="shared" si="89"/>
        <v>-5.074965722</v>
      </c>
      <c r="AL79" s="696">
        <f t="shared" si="89"/>
        <v>-5.4767027390000003</v>
      </c>
      <c r="AM79" s="696">
        <f t="shared" si="89"/>
        <v>-6.4100901280000002</v>
      </c>
      <c r="AN79" s="696">
        <f t="shared" si="89"/>
        <v>-14.372958077999998</v>
      </c>
      <c r="AO79" s="696">
        <f t="shared" si="89"/>
        <v>-12.696542289</v>
      </c>
      <c r="AP79" s="696">
        <f t="shared" si="89"/>
        <v>-13.620899327</v>
      </c>
      <c r="AQ79" s="696">
        <f t="shared" si="89"/>
        <v>-23.325516834093069</v>
      </c>
      <c r="AR79" s="696">
        <f t="shared" si="89"/>
        <v>-18.369303521022061</v>
      </c>
      <c r="AS79" s="696">
        <f t="shared" si="89"/>
        <v>-20.898527254662664</v>
      </c>
      <c r="AT79" s="696">
        <f t="shared" si="89"/>
        <v>-54.415810649987705</v>
      </c>
      <c r="AU79" s="696">
        <f t="shared" si="89"/>
        <v>-35.260445146396428</v>
      </c>
      <c r="AV79" s="696">
        <f t="shared" si="89"/>
        <v>-42.873049795540524</v>
      </c>
      <c r="AW79" s="696">
        <f t="shared" si="89"/>
        <v>-47.073825965772841</v>
      </c>
      <c r="AX79" s="696">
        <f t="shared" si="89"/>
        <v>-51.413228052326545</v>
      </c>
      <c r="AY79" s="696">
        <f t="shared" si="89"/>
        <v>-57.49076975003149</v>
      </c>
      <c r="AZ79" s="696">
        <f t="shared" si="89"/>
        <v>-65.690563322451325</v>
      </c>
      <c r="BA79" s="696">
        <f t="shared" si="89"/>
        <v>-74.52737295946396</v>
      </c>
      <c r="BB79" s="696">
        <f t="shared" si="89"/>
        <v>-78.524385821512212</v>
      </c>
      <c r="BC79" s="696">
        <f t="shared" si="89"/>
        <v>-81.082012146812673</v>
      </c>
      <c r="BD79" s="696">
        <f t="shared" si="89"/>
        <v>-84.552970432357739</v>
      </c>
      <c r="BE79" s="696">
        <f t="shared" si="89"/>
        <v>-88.862752139827592</v>
      </c>
      <c r="BF79" s="696">
        <f t="shared" si="89"/>
        <v>-92.994639449721063</v>
      </c>
      <c r="BG79" s="696">
        <f t="shared" si="89"/>
        <v>-97.11007038921943</v>
      </c>
      <c r="BH79" s="696">
        <f t="shared" si="89"/>
        <v>-101.35933997829547</v>
      </c>
      <c r="BI79" s="696">
        <f t="shared" si="89"/>
        <v>-106.53325143853269</v>
      </c>
      <c r="BJ79" s="696">
        <f t="shared" si="89"/>
        <v>-111.28677383397641</v>
      </c>
      <c r="BK79" s="696">
        <f t="shared" si="89"/>
        <v>-115.86150456384723</v>
      </c>
      <c r="BL79" s="696">
        <f t="shared" si="89"/>
        <v>-121.57719768721043</v>
      </c>
      <c r="BM79" s="696">
        <f t="shared" si="89"/>
        <v>-128.86892250882036</v>
      </c>
      <c r="BN79" s="696">
        <f t="shared" si="89"/>
        <v>-134.39428336915782</v>
      </c>
      <c r="BO79" s="696">
        <f t="shared" si="89"/>
        <v>-138.39162482655956</v>
      </c>
      <c r="BP79" s="696">
        <f t="shared" si="89"/>
        <v>-140.70980460552519</v>
      </c>
      <c r="BQ79" s="696">
        <f t="shared" si="89"/>
        <v>-141.7320553992522</v>
      </c>
      <c r="BR79" s="696">
        <f t="shared" si="89"/>
        <v>-141.98634652924267</v>
      </c>
      <c r="BS79" s="696">
        <f t="shared" si="89"/>
        <v>-141.37572624188567</v>
      </c>
      <c r="BT79" s="696">
        <f t="shared" si="89"/>
        <v>-139.66949585399121</v>
      </c>
      <c r="BU79" s="696">
        <f t="shared" si="89"/>
        <v>-137.5576436199521</v>
      </c>
      <c r="BV79" s="696">
        <f t="shared" si="89"/>
        <v>-135.14430029451114</v>
      </c>
      <c r="BW79" s="696">
        <f t="shared" si="89"/>
        <v>-132.35870019879829</v>
      </c>
      <c r="BX79" s="696">
        <f t="shared" si="89"/>
        <v>-129.25388288918697</v>
      </c>
      <c r="BY79" s="696">
        <f t="shared" si="89"/>
        <v>-126.85631720782376</v>
      </c>
      <c r="BZ79" s="696">
        <f t="shared" si="89"/>
        <v>-125.61297142187934</v>
      </c>
      <c r="CA79" s="696">
        <f t="shared" si="89"/>
        <v>-125.30301920793923</v>
      </c>
      <c r="CB79" s="696">
        <f t="shared" si="89"/>
        <v>-125.70214071283738</v>
      </c>
      <c r="CC79" s="696">
        <f t="shared" si="89"/>
        <v>-127.04205158606203</v>
      </c>
      <c r="CD79" s="696">
        <f t="shared" si="89"/>
        <v>-129.127132434461</v>
      </c>
      <c r="CE79" s="696">
        <f t="shared" si="89"/>
        <v>-131.91826177423107</v>
      </c>
      <c r="CF79" s="696">
        <f t="shared" si="89"/>
        <v>-135.33842729527402</v>
      </c>
      <c r="CG79" s="696">
        <f t="shared" si="89"/>
        <v>-139.29670588960644</v>
      </c>
      <c r="CH79" s="696">
        <f t="shared" ref="CH79:DA79" si="90">CH120+CH161+CH202</f>
        <v>-143.67695799938534</v>
      </c>
      <c r="CI79" s="696">
        <f t="shared" si="90"/>
        <v>-148.39600769347763</v>
      </c>
      <c r="CJ79" s="696">
        <f t="shared" si="90"/>
        <v>-153.36971946937038</v>
      </c>
      <c r="CK79" s="696">
        <f t="shared" si="90"/>
        <v>-158.41455026721599</v>
      </c>
      <c r="CL79" s="696">
        <f t="shared" si="90"/>
        <v>-163.30237425181099</v>
      </c>
      <c r="CM79" s="696">
        <f t="shared" si="90"/>
        <v>-167.98743090218161</v>
      </c>
      <c r="CN79" s="696">
        <f t="shared" si="90"/>
        <v>-172.43781021830051</v>
      </c>
      <c r="CO79" s="696">
        <f t="shared" si="90"/>
        <v>-176.64318382125219</v>
      </c>
      <c r="CP79" s="696">
        <f t="shared" si="90"/>
        <v>-180.59955749171922</v>
      </c>
      <c r="CQ79" s="696">
        <f t="shared" si="90"/>
        <v>-184.81041392594437</v>
      </c>
      <c r="CR79" s="696">
        <f t="shared" si="90"/>
        <v>-188.99110967603019</v>
      </c>
      <c r="CS79" s="696">
        <f t="shared" si="90"/>
        <v>-193.12496720097428</v>
      </c>
      <c r="CT79" s="696">
        <f t="shared" si="90"/>
        <v>-197.20926025755924</v>
      </c>
      <c r="CU79" s="696">
        <f t="shared" si="90"/>
        <v>-201.47879900426358</v>
      </c>
      <c r="CV79" s="696">
        <f t="shared" si="90"/>
        <v>-205.95564886888769</v>
      </c>
      <c r="CW79" s="696">
        <f t="shared" si="90"/>
        <v>-210.6410335947358</v>
      </c>
      <c r="CX79" s="696">
        <f t="shared" si="90"/>
        <v>-215.92962412996351</v>
      </c>
      <c r="CY79" s="696">
        <f t="shared" si="90"/>
        <v>-222.54096590317829</v>
      </c>
      <c r="CZ79" s="696">
        <f t="shared" si="90"/>
        <v>-230.52878467445203</v>
      </c>
      <c r="DA79" s="696">
        <f t="shared" si="90"/>
        <v>-239.95538602945879</v>
      </c>
      <c r="DC79" s="12">
        <f>SUM(V79:AG79)</f>
        <v>-5.6883265220000006</v>
      </c>
      <c r="DD79" s="12">
        <f>SUM(AH79:AS79)</f>
        <v>-128.70490364377778</v>
      </c>
      <c r="DE79" s="12">
        <f>SUM(AT79:BE79)</f>
        <v>-761.76718618248105</v>
      </c>
      <c r="DF79" s="12">
        <f>SUM(BF79:BQ79)</f>
        <v>-1430.8194680501178</v>
      </c>
      <c r="DG79" s="12">
        <f>SUM(BR79:CC79)</f>
        <v>-1587.8625957641098</v>
      </c>
      <c r="DH79" s="12">
        <f>SUM(CD79:CO79)</f>
        <v>-1819.908562016567</v>
      </c>
      <c r="DI79" s="12">
        <f t="shared" si="75"/>
        <v>-2471.7655507571667</v>
      </c>
    </row>
    <row r="80" spans="2:116" s="856" customFormat="1" outlineLevel="2">
      <c r="B80" s="758"/>
      <c r="E80" s="856" t="s">
        <v>701</v>
      </c>
      <c r="H80" s="857"/>
      <c r="I80" s="609" t="s">
        <v>736</v>
      </c>
      <c r="J80" s="857"/>
      <c r="K80" s="857"/>
      <c r="L80" s="857"/>
      <c r="M80" s="857"/>
      <c r="O80" s="696"/>
      <c r="P80" s="696"/>
      <c r="Q80" s="696"/>
      <c r="R80" s="696"/>
      <c r="S80" s="696"/>
      <c r="T80" s="696"/>
      <c r="U80" s="696"/>
      <c r="V80" s="696">
        <f t="shared" ref="V80:CG80" si="91">SUM(V81:V89)</f>
        <v>0</v>
      </c>
      <c r="W80" s="696">
        <f t="shared" si="91"/>
        <v>0</v>
      </c>
      <c r="X80" s="696">
        <f t="shared" si="91"/>
        <v>0</v>
      </c>
      <c r="Y80" s="696">
        <f t="shared" si="91"/>
        <v>0</v>
      </c>
      <c r="Z80" s="696">
        <f t="shared" si="91"/>
        <v>0</v>
      </c>
      <c r="AA80" s="696">
        <f t="shared" si="91"/>
        <v>-1.15615E-4</v>
      </c>
      <c r="AB80" s="696">
        <f t="shared" si="91"/>
        <v>-0.7814661393949538</v>
      </c>
      <c r="AC80" s="696">
        <f t="shared" si="91"/>
        <v>-1.0426181279411997</v>
      </c>
      <c r="AD80" s="696">
        <f t="shared" si="91"/>
        <v>-1.6316644779895952</v>
      </c>
      <c r="AE80" s="696">
        <f t="shared" si="91"/>
        <v>-2.2119229488154124</v>
      </c>
      <c r="AF80" s="696">
        <f t="shared" si="91"/>
        <v>-2.13521879195515</v>
      </c>
      <c r="AG80" s="696">
        <f t="shared" si="91"/>
        <v>-0.35264001961242597</v>
      </c>
      <c r="AH80" s="872">
        <f t="shared" si="91"/>
        <v>-2.2160565632698832</v>
      </c>
      <c r="AI80" s="872">
        <f t="shared" si="91"/>
        <v>-2.1011658077659501</v>
      </c>
      <c r="AJ80" s="872">
        <f t="shared" si="91"/>
        <v>-5.8241470125096821</v>
      </c>
      <c r="AK80" s="872">
        <f t="shared" si="91"/>
        <v>-7.5287382260886657</v>
      </c>
      <c r="AL80" s="872">
        <f t="shared" si="91"/>
        <v>-8.5999813443748181</v>
      </c>
      <c r="AM80" s="872">
        <f t="shared" si="91"/>
        <v>-7.2992582572202078</v>
      </c>
      <c r="AN80" s="872">
        <f t="shared" si="91"/>
        <v>-8.5367745476991157</v>
      </c>
      <c r="AO80" s="872">
        <f t="shared" si="91"/>
        <v>-11.110741714359754</v>
      </c>
      <c r="AP80" s="872">
        <f t="shared" si="91"/>
        <v>-15.899659215224752</v>
      </c>
      <c r="AQ80" s="872">
        <f t="shared" si="91"/>
        <v>-22.195730455842654</v>
      </c>
      <c r="AR80" s="872">
        <f t="shared" si="91"/>
        <v>-23.304311844557532</v>
      </c>
      <c r="AS80" s="872">
        <f t="shared" si="91"/>
        <v>-26.607198671361207</v>
      </c>
      <c r="AT80" s="872">
        <f t="shared" si="91"/>
        <v>-28.000795715365747</v>
      </c>
      <c r="AU80" s="872">
        <f t="shared" si="91"/>
        <v>-24.320965290564168</v>
      </c>
      <c r="AV80" s="872">
        <f t="shared" si="91"/>
        <v>-26.055356424174281</v>
      </c>
      <c r="AW80" s="872">
        <f t="shared" si="91"/>
        <v>-26.411274182900122</v>
      </c>
      <c r="AX80" s="872">
        <f t="shared" si="91"/>
        <v>-27.836695472554574</v>
      </c>
      <c r="AY80" s="872">
        <f t="shared" si="91"/>
        <v>-29.690921992288054</v>
      </c>
      <c r="AZ80" s="872">
        <f t="shared" si="91"/>
        <v>-29.021800802226061</v>
      </c>
      <c r="BA80" s="872">
        <f t="shared" si="91"/>
        <v>-32.60246404604662</v>
      </c>
      <c r="BB80" s="872">
        <f t="shared" si="91"/>
        <v>-36.698361883909229</v>
      </c>
      <c r="BC80" s="872">
        <f t="shared" si="91"/>
        <v>-41.059895237971027</v>
      </c>
      <c r="BD80" s="872">
        <f t="shared" si="91"/>
        <v>-45.355857921379268</v>
      </c>
      <c r="BE80" s="872">
        <f t="shared" si="91"/>
        <v>-50.204887089134864</v>
      </c>
      <c r="BF80" s="872">
        <f t="shared" si="91"/>
        <v>-55.533815314174163</v>
      </c>
      <c r="BG80" s="872">
        <f t="shared" si="91"/>
        <v>-55.754534517618382</v>
      </c>
      <c r="BH80" s="872">
        <f t="shared" si="91"/>
        <v>-56.739498281870134</v>
      </c>
      <c r="BI80" s="872">
        <f t="shared" si="91"/>
        <v>-56.706901861396076</v>
      </c>
      <c r="BJ80" s="872">
        <f t="shared" si="91"/>
        <v>-56.315973368481572</v>
      </c>
      <c r="BK80" s="872">
        <f t="shared" si="91"/>
        <v>-55.667001697761236</v>
      </c>
      <c r="BL80" s="872">
        <f t="shared" si="91"/>
        <v>-53.408507239418121</v>
      </c>
      <c r="BM80" s="872">
        <f t="shared" si="91"/>
        <v>-51.185829470697655</v>
      </c>
      <c r="BN80" s="872">
        <f t="shared" si="91"/>
        <v>-48.94890881521053</v>
      </c>
      <c r="BO80" s="872">
        <f t="shared" si="91"/>
        <v>-46.790336643819941</v>
      </c>
      <c r="BP80" s="872">
        <f t="shared" si="91"/>
        <v>-44.71958797512869</v>
      </c>
      <c r="BQ80" s="872">
        <f t="shared" si="91"/>
        <v>-42.740650670550743</v>
      </c>
      <c r="BR80" s="872">
        <f t="shared" si="91"/>
        <v>-43.114103930311551</v>
      </c>
      <c r="BS80" s="872">
        <f t="shared" si="91"/>
        <v>-43.282054573355687</v>
      </c>
      <c r="BT80" s="872">
        <f t="shared" si="91"/>
        <v>-43.950866091222338</v>
      </c>
      <c r="BU80" s="872">
        <f t="shared" si="91"/>
        <v>-44.900366953237722</v>
      </c>
      <c r="BV80" s="872">
        <f t="shared" si="91"/>
        <v>-46.173838130669182</v>
      </c>
      <c r="BW80" s="872">
        <f t="shared" si="91"/>
        <v>-47.68934128495993</v>
      </c>
      <c r="BX80" s="872">
        <f t="shared" si="91"/>
        <v>-49.427510235301469</v>
      </c>
      <c r="BY80" s="872">
        <f t="shared" si="91"/>
        <v>-51.157980358430763</v>
      </c>
      <c r="BZ80" s="872">
        <f t="shared" si="91"/>
        <v>-52.860806490348523</v>
      </c>
      <c r="CA80" s="872">
        <f t="shared" si="91"/>
        <v>-54.535331976268601</v>
      </c>
      <c r="CB80" s="872">
        <f t="shared" si="91"/>
        <v>-56.176165942204427</v>
      </c>
      <c r="CC80" s="872">
        <f t="shared" si="91"/>
        <v>-57.776683657080902</v>
      </c>
      <c r="CD80" s="872">
        <f t="shared" si="91"/>
        <v>-59.833050393977061</v>
      </c>
      <c r="CE80" s="872">
        <f t="shared" si="91"/>
        <v>-61.202439883248672</v>
      </c>
      <c r="CF80" s="872">
        <f t="shared" si="91"/>
        <v>-62.532783041549472</v>
      </c>
      <c r="CG80" s="872">
        <f t="shared" si="91"/>
        <v>-63.83127730937764</v>
      </c>
      <c r="CH80" s="872">
        <f t="shared" ref="CH80:DA80" si="92">SUM(CH81:CH89)</f>
        <v>-65.101825549059328</v>
      </c>
      <c r="CI80" s="872">
        <f t="shared" si="92"/>
        <v>-66.359968351082941</v>
      </c>
      <c r="CJ80" s="872">
        <f t="shared" si="92"/>
        <v>-67.61797593706585</v>
      </c>
      <c r="CK80" s="872">
        <f t="shared" si="92"/>
        <v>-68.856904573057761</v>
      </c>
      <c r="CL80" s="872">
        <f t="shared" si="92"/>
        <v>-70.087405117020921</v>
      </c>
      <c r="CM80" s="872">
        <f t="shared" si="92"/>
        <v>-71.30819769584933</v>
      </c>
      <c r="CN80" s="872">
        <f t="shared" si="92"/>
        <v>-72.515465569758874</v>
      </c>
      <c r="CO80" s="872">
        <f t="shared" si="92"/>
        <v>-73.706373944959637</v>
      </c>
      <c r="CP80" s="872">
        <f t="shared" si="92"/>
        <v>-75.159593867816156</v>
      </c>
      <c r="CQ80" s="872">
        <f t="shared" si="92"/>
        <v>-76.539098486345182</v>
      </c>
      <c r="CR80" s="872">
        <f t="shared" si="92"/>
        <v>-78.463144176913048</v>
      </c>
      <c r="CS80" s="872">
        <f t="shared" si="92"/>
        <v>-80.946618911079497</v>
      </c>
      <c r="CT80" s="872">
        <f t="shared" si="92"/>
        <v>-84.008291954855522</v>
      </c>
      <c r="CU80" s="872">
        <f t="shared" si="92"/>
        <v>-87.644425144830592</v>
      </c>
      <c r="CV80" s="872">
        <f t="shared" si="92"/>
        <v>-91.878531932859545</v>
      </c>
      <c r="CW80" s="872">
        <f t="shared" si="92"/>
        <v>-96.752771968315614</v>
      </c>
      <c r="CX80" s="872">
        <f t="shared" si="92"/>
        <v>-101.94100852308495</v>
      </c>
      <c r="CY80" s="872">
        <f t="shared" si="92"/>
        <v>-107.48037821667792</v>
      </c>
      <c r="CZ80" s="872">
        <f t="shared" si="92"/>
        <v>-113.39390643635315</v>
      </c>
      <c r="DA80" s="872">
        <f t="shared" si="92"/>
        <v>-119.70221468583976</v>
      </c>
      <c r="DC80" s="14">
        <f t="shared" ref="DC80:DC91" si="93">SUM(V80:AG80)</f>
        <v>-8.1556461207087381</v>
      </c>
      <c r="DD80" s="14">
        <f t="shared" si="70"/>
        <v>-141.22376366027422</v>
      </c>
      <c r="DE80" s="14">
        <f t="shared" si="71"/>
        <v>-397.25927605851399</v>
      </c>
      <c r="DF80" s="14">
        <f t="shared" si="72"/>
        <v>-624.51154585612721</v>
      </c>
      <c r="DG80" s="14">
        <f t="shared" si="73"/>
        <v>-591.04504962339104</v>
      </c>
      <c r="DH80" s="14">
        <f t="shared" si="74"/>
        <v>-802.95366736600738</v>
      </c>
      <c r="DI80" s="14">
        <f t="shared" si="75"/>
        <v>-1113.909984304971</v>
      </c>
    </row>
    <row r="81" spans="2:113" outlineLevel="2">
      <c r="B81" s="758"/>
      <c r="F81" s="126" t="s">
        <v>100</v>
      </c>
      <c r="I81" s="609" t="s">
        <v>736</v>
      </c>
      <c r="O81" s="710"/>
      <c r="P81" s="710"/>
      <c r="Q81" s="710"/>
      <c r="R81" s="710"/>
      <c r="S81" s="710"/>
      <c r="T81" s="710"/>
      <c r="U81" s="710"/>
      <c r="V81" s="715">
        <f t="shared" ref="V81:CG84" si="94">V122+V163+V204</f>
        <v>0</v>
      </c>
      <c r="W81" s="715">
        <f t="shared" si="94"/>
        <v>0</v>
      </c>
      <c r="X81" s="715">
        <f t="shared" si="94"/>
        <v>0</v>
      </c>
      <c r="Y81" s="715">
        <f t="shared" si="94"/>
        <v>0</v>
      </c>
      <c r="Z81" s="715">
        <f t="shared" si="94"/>
        <v>0</v>
      </c>
      <c r="AA81" s="715">
        <f t="shared" si="94"/>
        <v>0</v>
      </c>
      <c r="AB81" s="715">
        <f t="shared" si="94"/>
        <v>-7.5431831894953796E-2</v>
      </c>
      <c r="AC81" s="715">
        <f t="shared" si="94"/>
        <v>-0.106128964265677</v>
      </c>
      <c r="AD81" s="715">
        <f t="shared" si="94"/>
        <v>-0.15815280400000001</v>
      </c>
      <c r="AE81" s="715">
        <f t="shared" si="94"/>
        <v>-0.183422479</v>
      </c>
      <c r="AF81" s="715">
        <f t="shared" si="94"/>
        <v>-0.17799827600000001</v>
      </c>
      <c r="AG81" s="715">
        <f t="shared" si="94"/>
        <v>-0.26000848199999999</v>
      </c>
      <c r="AH81" s="715">
        <f t="shared" si="94"/>
        <v>-0.30415426000000001</v>
      </c>
      <c r="AI81" s="715">
        <f t="shared" si="94"/>
        <v>-0.16793362399999998</v>
      </c>
      <c r="AJ81" s="715">
        <f t="shared" si="94"/>
        <v>-0.153173275</v>
      </c>
      <c r="AK81" s="715">
        <f t="shared" si="94"/>
        <v>-0.27483678400000006</v>
      </c>
      <c r="AL81" s="715">
        <f t="shared" si="94"/>
        <v>-0.26254406200000002</v>
      </c>
      <c r="AM81" s="715">
        <f t="shared" si="94"/>
        <v>-0.63223533800000009</v>
      </c>
      <c r="AN81" s="715">
        <f t="shared" si="94"/>
        <v>-1.1019735537255639</v>
      </c>
      <c r="AO81" s="715">
        <f t="shared" si="94"/>
        <v>-1.4278140320815482</v>
      </c>
      <c r="AP81" s="715">
        <f t="shared" si="94"/>
        <v>-1.9606099811928881</v>
      </c>
      <c r="AQ81" s="715">
        <f t="shared" si="94"/>
        <v>-2.924426</v>
      </c>
      <c r="AR81" s="715">
        <f t="shared" si="94"/>
        <v>-2.8907714572352665</v>
      </c>
      <c r="AS81" s="715">
        <f t="shared" si="94"/>
        <v>-2.8973096549068456</v>
      </c>
      <c r="AT81" s="715">
        <f t="shared" si="94"/>
        <v>-2.4319999999999999</v>
      </c>
      <c r="AU81" s="715">
        <f t="shared" si="94"/>
        <v>-1.8062499999999999</v>
      </c>
      <c r="AV81" s="715">
        <f t="shared" si="94"/>
        <v>-2.3772500000000001</v>
      </c>
      <c r="AW81" s="715">
        <f t="shared" si="94"/>
        <v>-2.524375</v>
      </c>
      <c r="AX81" s="715">
        <f t="shared" si="94"/>
        <v>-2.6715</v>
      </c>
      <c r="AY81" s="715">
        <f t="shared" si="94"/>
        <v>-2.8186249999999999</v>
      </c>
      <c r="AZ81" s="715">
        <f t="shared" si="94"/>
        <v>-2.8534999999999999</v>
      </c>
      <c r="BA81" s="715">
        <f t="shared" si="94"/>
        <v>-2.9962499999999999</v>
      </c>
      <c r="BB81" s="715">
        <f t="shared" si="94"/>
        <v>-3.1389999999999998</v>
      </c>
      <c r="BC81" s="715">
        <f t="shared" si="94"/>
        <v>-3.2817499999999997</v>
      </c>
      <c r="BD81" s="715">
        <f t="shared" si="94"/>
        <v>-3.4234999999999998</v>
      </c>
      <c r="BE81" s="715">
        <f t="shared" si="94"/>
        <v>-3.4331249999999991</v>
      </c>
      <c r="BF81" s="715">
        <f t="shared" si="94"/>
        <v>-3.3186729166666655</v>
      </c>
      <c r="BG81" s="715">
        <f t="shared" si="94"/>
        <v>-3.2042208333333324</v>
      </c>
      <c r="BH81" s="715">
        <f t="shared" si="94"/>
        <v>-3.0897687499999988</v>
      </c>
      <c r="BI81" s="715">
        <f t="shared" si="94"/>
        <v>-2.9753166666666657</v>
      </c>
      <c r="BJ81" s="715">
        <f t="shared" si="94"/>
        <v>-2.8608645833333326</v>
      </c>
      <c r="BK81" s="715">
        <f t="shared" si="94"/>
        <v>-2.746412499999999</v>
      </c>
      <c r="BL81" s="715">
        <f t="shared" si="94"/>
        <v>-2.6319604166666659</v>
      </c>
      <c r="BM81" s="715">
        <f t="shared" si="94"/>
        <v>-2.5175083333333323</v>
      </c>
      <c r="BN81" s="715">
        <f t="shared" si="94"/>
        <v>-2.4030562499999988</v>
      </c>
      <c r="BO81" s="715">
        <f t="shared" si="94"/>
        <v>-2.2886041666666657</v>
      </c>
      <c r="BP81" s="715">
        <f t="shared" si="94"/>
        <v>-2.1741520833333325</v>
      </c>
      <c r="BQ81" s="715">
        <f t="shared" si="94"/>
        <v>-2.0587</v>
      </c>
      <c r="BR81" s="715">
        <f t="shared" si="94"/>
        <v>-2.2425549999999999</v>
      </c>
      <c r="BS81" s="715">
        <f t="shared" si="94"/>
        <v>-2.4264099999999997</v>
      </c>
      <c r="BT81" s="715">
        <f t="shared" si="94"/>
        <v>-2.6102649999999996</v>
      </c>
      <c r="BU81" s="715">
        <f t="shared" si="94"/>
        <v>-2.7941199999999995</v>
      </c>
      <c r="BV81" s="715">
        <f t="shared" si="94"/>
        <v>-2.9779749999999998</v>
      </c>
      <c r="BW81" s="715">
        <f t="shared" si="94"/>
        <v>-3.1618299999999997</v>
      </c>
      <c r="BX81" s="715">
        <f t="shared" si="94"/>
        <v>-3.345685</v>
      </c>
      <c r="BY81" s="715">
        <f t="shared" si="94"/>
        <v>-3.5295399999999999</v>
      </c>
      <c r="BZ81" s="715">
        <f t="shared" si="94"/>
        <v>-3.7133949999999998</v>
      </c>
      <c r="CA81" s="715">
        <f t="shared" si="94"/>
        <v>-3.8972500000000001</v>
      </c>
      <c r="CB81" s="715">
        <f t="shared" si="94"/>
        <v>-4.081105</v>
      </c>
      <c r="CC81" s="715">
        <f t="shared" si="94"/>
        <v>-4.2649600000000003</v>
      </c>
      <c r="CD81" s="715">
        <f t="shared" si="94"/>
        <v>-4.332200666666667</v>
      </c>
      <c r="CE81" s="715">
        <f t="shared" si="94"/>
        <v>-4.3994413333333329</v>
      </c>
      <c r="CF81" s="715">
        <f t="shared" si="94"/>
        <v>-4.4666819999999996</v>
      </c>
      <c r="CG81" s="715">
        <f t="shared" si="94"/>
        <v>-4.5339226666666663</v>
      </c>
      <c r="CH81" s="715">
        <f t="shared" ref="CH81:DA86" si="95">CH122+CH163+CH204</f>
        <v>-4.601163333333333</v>
      </c>
      <c r="CI81" s="715">
        <f t="shared" si="95"/>
        <v>-4.6684039999999998</v>
      </c>
      <c r="CJ81" s="715">
        <f t="shared" si="95"/>
        <v>-4.7356446666666665</v>
      </c>
      <c r="CK81" s="715">
        <f t="shared" si="95"/>
        <v>-4.8028853333333332</v>
      </c>
      <c r="CL81" s="715">
        <f t="shared" si="95"/>
        <v>-4.8691259999999996</v>
      </c>
      <c r="CM81" s="715">
        <f t="shared" si="95"/>
        <v>-4.9363666666666663</v>
      </c>
      <c r="CN81" s="715">
        <f t="shared" si="95"/>
        <v>-5.0036073333333331</v>
      </c>
      <c r="CO81" s="715">
        <f t="shared" si="95"/>
        <v>-5.0708480000000007</v>
      </c>
      <c r="CP81" s="715">
        <f t="shared" si="95"/>
        <v>-5.116137133333333</v>
      </c>
      <c r="CQ81" s="715">
        <f t="shared" si="95"/>
        <v>-5.1614262666666662</v>
      </c>
      <c r="CR81" s="715">
        <f t="shared" si="95"/>
        <v>-5.2067153999999993</v>
      </c>
      <c r="CS81" s="715">
        <f t="shared" si="95"/>
        <v>-5.2520045333333325</v>
      </c>
      <c r="CT81" s="715">
        <f t="shared" si="95"/>
        <v>-5.2972936666666648</v>
      </c>
      <c r="CU81" s="715">
        <f t="shared" si="95"/>
        <v>-5.3425827999999989</v>
      </c>
      <c r="CV81" s="715">
        <f t="shared" si="95"/>
        <v>-5.3878719333333311</v>
      </c>
      <c r="CW81" s="715">
        <f t="shared" si="95"/>
        <v>-5.4331610666666652</v>
      </c>
      <c r="CX81" s="715">
        <f t="shared" si="95"/>
        <v>-5.4784501999999975</v>
      </c>
      <c r="CY81" s="715">
        <f t="shared" si="95"/>
        <v>-5.5237393333333307</v>
      </c>
      <c r="CZ81" s="715">
        <f t="shared" si="95"/>
        <v>-5.5690284666666638</v>
      </c>
      <c r="DA81" s="715">
        <f t="shared" si="95"/>
        <v>-5.6143175999999997</v>
      </c>
      <c r="DC81" s="12">
        <f t="shared" si="93"/>
        <v>-0.96114283716063076</v>
      </c>
      <c r="DD81" s="12">
        <f t="shared" si="70"/>
        <v>-14.997782022142111</v>
      </c>
      <c r="DE81" s="702">
        <f t="shared" si="71"/>
        <v>-33.757124999999995</v>
      </c>
      <c r="DF81" s="12">
        <f t="shared" si="72"/>
        <v>-32.269237499999988</v>
      </c>
      <c r="DG81" s="12">
        <f t="shared" si="73"/>
        <v>-39.045089999999995</v>
      </c>
      <c r="DH81" s="12">
        <f t="shared" si="74"/>
        <v>-56.420291999999996</v>
      </c>
      <c r="DI81" s="12">
        <f t="shared" si="75"/>
        <v>-64.382728399999991</v>
      </c>
    </row>
    <row r="82" spans="2:113" outlineLevel="2">
      <c r="B82" s="758"/>
      <c r="F82" s="126" t="s">
        <v>107</v>
      </c>
      <c r="I82" s="609" t="s">
        <v>736</v>
      </c>
      <c r="O82" s="710"/>
      <c r="P82" s="710"/>
      <c r="Q82" s="710"/>
      <c r="R82" s="710"/>
      <c r="S82" s="710"/>
      <c r="T82" s="710"/>
      <c r="U82" s="710"/>
      <c r="V82" s="715">
        <f t="shared" si="94"/>
        <v>0</v>
      </c>
      <c r="W82" s="715">
        <f t="shared" si="94"/>
        <v>0</v>
      </c>
      <c r="X82" s="715">
        <f t="shared" si="94"/>
        <v>0</v>
      </c>
      <c r="Y82" s="715">
        <f t="shared" si="94"/>
        <v>0</v>
      </c>
      <c r="Z82" s="715">
        <f t="shared" si="94"/>
        <v>0</v>
      </c>
      <c r="AA82" s="715">
        <f t="shared" si="94"/>
        <v>0</v>
      </c>
      <c r="AB82" s="715">
        <f t="shared" si="94"/>
        <v>0</v>
      </c>
      <c r="AC82" s="715">
        <f t="shared" si="94"/>
        <v>-8.8683744824957192E-4</v>
      </c>
      <c r="AD82" s="715">
        <f t="shared" si="94"/>
        <v>-2.0029099535045402E-2</v>
      </c>
      <c r="AE82" s="715">
        <f t="shared" si="94"/>
        <v>-5.27464503608625E-2</v>
      </c>
      <c r="AF82" s="715">
        <f t="shared" si="94"/>
        <v>-0.23080878577333</v>
      </c>
      <c r="AG82" s="715">
        <f t="shared" si="94"/>
        <v>-0.38467008961242599</v>
      </c>
      <c r="AH82" s="715">
        <f t="shared" si="94"/>
        <v>-0.29495109665137537</v>
      </c>
      <c r="AI82" s="715">
        <f t="shared" si="94"/>
        <v>-0.47738088626844682</v>
      </c>
      <c r="AJ82" s="715">
        <f t="shared" si="94"/>
        <v>-0.26929745618912776</v>
      </c>
      <c r="AK82" s="715">
        <f t="shared" si="94"/>
        <v>-0.26571748992061989</v>
      </c>
      <c r="AL82" s="715">
        <f t="shared" si="94"/>
        <v>-0.46897683874831109</v>
      </c>
      <c r="AM82" s="715">
        <f t="shared" si="94"/>
        <v>-0.7668544184014946</v>
      </c>
      <c r="AN82" s="715">
        <f t="shared" si="94"/>
        <v>-0.89823293361642997</v>
      </c>
      <c r="AO82" s="715">
        <f t="shared" si="94"/>
        <v>-0.56882486164921087</v>
      </c>
      <c r="AP82" s="715">
        <f t="shared" si="94"/>
        <v>-0.82426221387294574</v>
      </c>
      <c r="AQ82" s="715">
        <f t="shared" si="94"/>
        <v>-1.3378300000000003</v>
      </c>
      <c r="AR82" s="715">
        <f t="shared" si="94"/>
        <v>-1.5524</v>
      </c>
      <c r="AS82" s="715">
        <f t="shared" si="94"/>
        <v>-1.7901878795790003</v>
      </c>
      <c r="AT82" s="715">
        <f t="shared" si="94"/>
        <v>-2.0330786661635192</v>
      </c>
      <c r="AU82" s="715">
        <f t="shared" si="94"/>
        <v>-2.2451286661635192</v>
      </c>
      <c r="AV82" s="715">
        <f t="shared" si="94"/>
        <v>-2.4364286661635193</v>
      </c>
      <c r="AW82" s="715">
        <f t="shared" si="94"/>
        <v>-2.6889086661635191</v>
      </c>
      <c r="AX82" s="715">
        <f t="shared" si="94"/>
        <v>-2.9300551244968531</v>
      </c>
      <c r="AY82" s="715">
        <f t="shared" si="94"/>
        <v>-3.1852255411635197</v>
      </c>
      <c r="AZ82" s="715">
        <f t="shared" si="94"/>
        <v>-3.3839024161635192</v>
      </c>
      <c r="BA82" s="715">
        <f t="shared" si="94"/>
        <v>-3.5677732494968533</v>
      </c>
      <c r="BB82" s="715">
        <f t="shared" si="94"/>
        <v>-3.7693905411635198</v>
      </c>
      <c r="BC82" s="715">
        <f t="shared" si="94"/>
        <v>-3.9379917911635198</v>
      </c>
      <c r="BD82" s="715">
        <f t="shared" si="94"/>
        <v>-4.1152594994968528</v>
      </c>
      <c r="BE82" s="715">
        <f t="shared" si="94"/>
        <v>-4.3444232865845187</v>
      </c>
      <c r="BF82" s="715">
        <f t="shared" si="94"/>
        <v>-4.5724224999999992</v>
      </c>
      <c r="BG82" s="715">
        <f t="shared" si="94"/>
        <v>-4.8388391666666664</v>
      </c>
      <c r="BH82" s="715">
        <f t="shared" si="94"/>
        <v>-5.1411724999999997</v>
      </c>
      <c r="BI82" s="715">
        <f t="shared" si="94"/>
        <v>-5.3676724999999985</v>
      </c>
      <c r="BJ82" s="715">
        <f t="shared" si="94"/>
        <v>-5.5519902083333328</v>
      </c>
      <c r="BK82" s="715">
        <f t="shared" si="94"/>
        <v>-5.694125624999999</v>
      </c>
      <c r="BL82" s="715">
        <f t="shared" si="94"/>
        <v>-5.7940787499999988</v>
      </c>
      <c r="BM82" s="715">
        <f t="shared" si="94"/>
        <v>-5.8518495833333315</v>
      </c>
      <c r="BN82" s="715">
        <f t="shared" si="94"/>
        <v>-5.8674381249999978</v>
      </c>
      <c r="BO82" s="715">
        <f t="shared" si="94"/>
        <v>-5.8408443749999979</v>
      </c>
      <c r="BP82" s="715">
        <f t="shared" si="94"/>
        <v>-5.7720683333333316</v>
      </c>
      <c r="BQ82" s="715">
        <f t="shared" si="94"/>
        <v>-5.6611099999999972</v>
      </c>
      <c r="BR82" s="715">
        <f t="shared" si="94"/>
        <v>-5.5011099999999979</v>
      </c>
      <c r="BS82" s="715">
        <f t="shared" si="94"/>
        <v>-5.3724058333333309</v>
      </c>
      <c r="BT82" s="715">
        <f t="shared" si="94"/>
        <v>-5.2749974999999978</v>
      </c>
      <c r="BU82" s="715">
        <f t="shared" si="94"/>
        <v>-5.2088849999999978</v>
      </c>
      <c r="BV82" s="715">
        <f t="shared" si="94"/>
        <v>-5.1740683333333317</v>
      </c>
      <c r="BW82" s="715">
        <f t="shared" si="94"/>
        <v>-5.1705474999999979</v>
      </c>
      <c r="BX82" s="715">
        <f t="shared" si="94"/>
        <v>-5.198322499999998</v>
      </c>
      <c r="BY82" s="715">
        <f t="shared" si="94"/>
        <v>-5.257393333333332</v>
      </c>
      <c r="BZ82" s="715">
        <f t="shared" si="94"/>
        <v>-5.3477599999999992</v>
      </c>
      <c r="CA82" s="715">
        <f t="shared" si="94"/>
        <v>-5.4694224999999985</v>
      </c>
      <c r="CB82" s="715">
        <f t="shared" si="94"/>
        <v>-5.6223808333333327</v>
      </c>
      <c r="CC82" s="715">
        <f t="shared" si="94"/>
        <v>-5.806635</v>
      </c>
      <c r="CD82" s="715">
        <f t="shared" si="94"/>
        <v>-6.0221849999999986</v>
      </c>
      <c r="CE82" s="715">
        <f t="shared" si="94"/>
        <v>-6.2323216666666665</v>
      </c>
      <c r="CF82" s="715">
        <f t="shared" si="94"/>
        <v>-6.4370449999999995</v>
      </c>
      <c r="CG82" s="715">
        <f t="shared" si="94"/>
        <v>-6.636355</v>
      </c>
      <c r="CH82" s="715">
        <f t="shared" si="95"/>
        <v>-6.8302516666666673</v>
      </c>
      <c r="CI82" s="715">
        <f t="shared" si="95"/>
        <v>-7.0187350000000013</v>
      </c>
      <c r="CJ82" s="715">
        <f t="shared" si="95"/>
        <v>-7.2018050000000011</v>
      </c>
      <c r="CK82" s="715">
        <f t="shared" si="95"/>
        <v>-7.3794616666666677</v>
      </c>
      <c r="CL82" s="715">
        <f t="shared" si="95"/>
        <v>-7.5517050000000001</v>
      </c>
      <c r="CM82" s="715">
        <f t="shared" si="95"/>
        <v>-7.7185350000000001</v>
      </c>
      <c r="CN82" s="715">
        <f t="shared" si="95"/>
        <v>-7.8799516666666669</v>
      </c>
      <c r="CO82" s="715">
        <f t="shared" si="95"/>
        <v>-8.0359550000000013</v>
      </c>
      <c r="CP82" s="715">
        <f t="shared" si="95"/>
        <v>-8.1865450000000006</v>
      </c>
      <c r="CQ82" s="715">
        <f t="shared" si="95"/>
        <v>-8.3346631666666688</v>
      </c>
      <c r="CR82" s="715">
        <f t="shared" si="95"/>
        <v>-8.4803095000000006</v>
      </c>
      <c r="CS82" s="715">
        <f t="shared" si="95"/>
        <v>-8.6234840000000013</v>
      </c>
      <c r="CT82" s="715">
        <f t="shared" si="95"/>
        <v>-8.764186666666669</v>
      </c>
      <c r="CU82" s="715">
        <f t="shared" si="95"/>
        <v>-8.9024175000000021</v>
      </c>
      <c r="CV82" s="715">
        <f t="shared" si="95"/>
        <v>-9.0381765000000023</v>
      </c>
      <c r="CW82" s="715">
        <f t="shared" si="95"/>
        <v>-9.1714636666666678</v>
      </c>
      <c r="CX82" s="715">
        <f t="shared" si="95"/>
        <v>-9.3022790000000022</v>
      </c>
      <c r="CY82" s="715">
        <f t="shared" si="95"/>
        <v>-9.4306225000000019</v>
      </c>
      <c r="CZ82" s="715">
        <f t="shared" si="95"/>
        <v>-9.556494166666667</v>
      </c>
      <c r="DA82" s="715">
        <f t="shared" si="95"/>
        <v>-9.6798939999999991</v>
      </c>
      <c r="DC82" s="12">
        <f t="shared" si="93"/>
        <v>-0.6891412627299135</v>
      </c>
      <c r="DD82" s="12">
        <f t="shared" si="70"/>
        <v>-9.5149160748969628</v>
      </c>
      <c r="DE82" s="702">
        <f t="shared" si="71"/>
        <v>-38.637566114383233</v>
      </c>
      <c r="DF82" s="12">
        <f t="shared" si="72"/>
        <v>-65.953611666666646</v>
      </c>
      <c r="DG82" s="12">
        <f t="shared" si="73"/>
        <v>-64.403928333333312</v>
      </c>
      <c r="DH82" s="12">
        <f t="shared" si="74"/>
        <v>-84.944306666666677</v>
      </c>
      <c r="DI82" s="12">
        <f t="shared" si="75"/>
        <v>-107.47053566666668</v>
      </c>
    </row>
    <row r="83" spans="2:113" outlineLevel="2">
      <c r="B83" s="758"/>
      <c r="F83" s="126" t="s">
        <v>806</v>
      </c>
      <c r="I83" s="609" t="s">
        <v>736</v>
      </c>
      <c r="O83" s="710"/>
      <c r="P83" s="710"/>
      <c r="Q83" s="710"/>
      <c r="R83" s="710"/>
      <c r="S83" s="710"/>
      <c r="T83" s="710"/>
      <c r="U83" s="710"/>
      <c r="V83" s="715">
        <f t="shared" si="94"/>
        <v>0</v>
      </c>
      <c r="W83" s="715">
        <f t="shared" si="94"/>
        <v>0</v>
      </c>
      <c r="X83" s="715">
        <f t="shared" si="94"/>
        <v>0</v>
      </c>
      <c r="Y83" s="715">
        <f t="shared" si="94"/>
        <v>0</v>
      </c>
      <c r="Z83" s="715">
        <f t="shared" si="94"/>
        <v>0</v>
      </c>
      <c r="AA83" s="715">
        <f t="shared" si="94"/>
        <v>0</v>
      </c>
      <c r="AB83" s="715">
        <f t="shared" si="94"/>
        <v>-2.6064569999999999E-2</v>
      </c>
      <c r="AC83" s="715">
        <f t="shared" si="94"/>
        <v>-3.4769420000000002E-2</v>
      </c>
      <c r="AD83" s="715">
        <f t="shared" si="94"/>
        <v>-4.0075630000000001E-2</v>
      </c>
      <c r="AE83" s="715">
        <f t="shared" si="94"/>
        <v>-4.8155730000000001E-2</v>
      </c>
      <c r="AF83" s="715">
        <f t="shared" si="94"/>
        <v>-5.2762219999999999E-2</v>
      </c>
      <c r="AG83" s="715">
        <f t="shared" si="94"/>
        <v>-7.9060862999999995E-2</v>
      </c>
      <c r="AH83" s="715">
        <f t="shared" si="94"/>
        <v>-6.7941979E-2</v>
      </c>
      <c r="AI83" s="715">
        <f t="shared" si="94"/>
        <v>-3.8401299999999999E-2</v>
      </c>
      <c r="AJ83" s="715">
        <f t="shared" si="94"/>
        <v>-3.9450880000000001E-2</v>
      </c>
      <c r="AK83" s="715">
        <f t="shared" si="94"/>
        <v>-8.1385765999999998E-2</v>
      </c>
      <c r="AL83" s="715">
        <f t="shared" si="94"/>
        <v>-8.7798200000000007E-2</v>
      </c>
      <c r="AM83" s="715">
        <f t="shared" si="94"/>
        <v>-0.19727022700000002</v>
      </c>
      <c r="AN83" s="715">
        <f t="shared" si="94"/>
        <v>-0.22727476900000002</v>
      </c>
      <c r="AO83" s="715">
        <f t="shared" si="94"/>
        <v>-2.3288160999999998E-2</v>
      </c>
      <c r="AP83" s="715">
        <f t="shared" si="94"/>
        <v>-3.0490716000000001E-2</v>
      </c>
      <c r="AQ83" s="715">
        <f t="shared" si="94"/>
        <v>-0.24710937999999999</v>
      </c>
      <c r="AR83" s="715">
        <f t="shared" si="94"/>
        <v>-0.22615402368930707</v>
      </c>
      <c r="AS83" s="715">
        <f t="shared" si="94"/>
        <v>-0.25453212843919021</v>
      </c>
      <c r="AT83" s="715">
        <f t="shared" si="94"/>
        <v>-0.21810500000000002</v>
      </c>
      <c r="AU83" s="715">
        <f t="shared" si="94"/>
        <v>-0.183944</v>
      </c>
      <c r="AV83" s="715">
        <f t="shared" si="94"/>
        <v>-0.233264</v>
      </c>
      <c r="AW83" s="715">
        <f t="shared" si="94"/>
        <v>-0.26471572916666664</v>
      </c>
      <c r="AX83" s="715">
        <f t="shared" si="94"/>
        <v>-0.29616745833333336</v>
      </c>
      <c r="AY83" s="715">
        <f t="shared" si="94"/>
        <v>-0.32761918749999996</v>
      </c>
      <c r="AZ83" s="715">
        <f t="shared" si="94"/>
        <v>-0.35907091666666663</v>
      </c>
      <c r="BA83" s="715">
        <f t="shared" si="94"/>
        <v>-0.39052264583333329</v>
      </c>
      <c r="BB83" s="715">
        <f t="shared" si="94"/>
        <v>-0.42197437500000001</v>
      </c>
      <c r="BC83" s="715">
        <f t="shared" si="94"/>
        <v>-0.45342610416666668</v>
      </c>
      <c r="BD83" s="715">
        <f t="shared" si="94"/>
        <v>-0.48487783333333334</v>
      </c>
      <c r="BE83" s="715">
        <f t="shared" si="94"/>
        <v>-0.53918499999999991</v>
      </c>
      <c r="BF83" s="715">
        <f t="shared" si="94"/>
        <v>-0.52576941666666666</v>
      </c>
      <c r="BG83" s="715">
        <f t="shared" si="94"/>
        <v>-0.51235383333333329</v>
      </c>
      <c r="BH83" s="715">
        <f t="shared" si="94"/>
        <v>-0.49893824999999992</v>
      </c>
      <c r="BI83" s="715">
        <f t="shared" si="94"/>
        <v>-0.48552266666666655</v>
      </c>
      <c r="BJ83" s="715">
        <f t="shared" si="94"/>
        <v>-0.47210708333333318</v>
      </c>
      <c r="BK83" s="715">
        <f t="shared" si="94"/>
        <v>-0.45869149999999992</v>
      </c>
      <c r="BL83" s="715">
        <f t="shared" si="94"/>
        <v>-0.44527591666666649</v>
      </c>
      <c r="BM83" s="715">
        <f t="shared" si="94"/>
        <v>-0.43186033333333312</v>
      </c>
      <c r="BN83" s="715">
        <f t="shared" si="94"/>
        <v>-0.41844474999999981</v>
      </c>
      <c r="BO83" s="715">
        <f t="shared" si="94"/>
        <v>-0.40502916666666644</v>
      </c>
      <c r="BP83" s="715">
        <f t="shared" si="94"/>
        <v>-0.39161358333333318</v>
      </c>
      <c r="BQ83" s="715">
        <f t="shared" si="94"/>
        <v>-0.37819799999999992</v>
      </c>
      <c r="BR83" s="715">
        <f t="shared" si="94"/>
        <v>-0.38744669999999998</v>
      </c>
      <c r="BS83" s="715">
        <f t="shared" si="94"/>
        <v>-0.39669539999999998</v>
      </c>
      <c r="BT83" s="715">
        <f t="shared" si="94"/>
        <v>-0.40594409999999997</v>
      </c>
      <c r="BU83" s="715">
        <f t="shared" si="94"/>
        <v>-0.41519279999999997</v>
      </c>
      <c r="BV83" s="715">
        <f t="shared" si="94"/>
        <v>-0.42444149999999997</v>
      </c>
      <c r="BW83" s="715">
        <f t="shared" si="94"/>
        <v>-0.43369019999999997</v>
      </c>
      <c r="BX83" s="715">
        <f t="shared" si="94"/>
        <v>-0.44293889999999997</v>
      </c>
      <c r="BY83" s="715">
        <f t="shared" si="94"/>
        <v>-0.45218759999999991</v>
      </c>
      <c r="BZ83" s="715">
        <f t="shared" si="94"/>
        <v>-0.46143630000000002</v>
      </c>
      <c r="CA83" s="715">
        <f t="shared" si="94"/>
        <v>-0.47068500000000002</v>
      </c>
      <c r="CB83" s="715">
        <f t="shared" si="94"/>
        <v>-0.47993370000000002</v>
      </c>
      <c r="CC83" s="715">
        <f t="shared" si="94"/>
        <v>-0.48918240000000002</v>
      </c>
      <c r="CD83" s="715">
        <f t="shared" si="94"/>
        <v>-0.4991470016666667</v>
      </c>
      <c r="CE83" s="715">
        <f t="shared" si="94"/>
        <v>-0.50911160333333338</v>
      </c>
      <c r="CF83" s="715">
        <f t="shared" si="94"/>
        <v>-0.51907620500000007</v>
      </c>
      <c r="CG83" s="715">
        <f t="shared" si="94"/>
        <v>-0.52904080666666675</v>
      </c>
      <c r="CH83" s="715">
        <f t="shared" si="95"/>
        <v>-0.53900540833333355</v>
      </c>
      <c r="CI83" s="715">
        <f t="shared" si="95"/>
        <v>-0.54897001000000012</v>
      </c>
      <c r="CJ83" s="715">
        <f t="shared" si="95"/>
        <v>-0.5589346116666668</v>
      </c>
      <c r="CK83" s="715">
        <f t="shared" si="95"/>
        <v>-0.56889921333333349</v>
      </c>
      <c r="CL83" s="715">
        <f t="shared" si="95"/>
        <v>-0.57886381500000017</v>
      </c>
      <c r="CM83" s="715">
        <f t="shared" si="95"/>
        <v>-0.58882841666666685</v>
      </c>
      <c r="CN83" s="715">
        <f t="shared" si="95"/>
        <v>-0.59879301833333354</v>
      </c>
      <c r="CO83" s="715">
        <f t="shared" si="95"/>
        <v>-0.60875762</v>
      </c>
      <c r="CP83" s="715">
        <f t="shared" si="95"/>
        <v>-0.61729808033333344</v>
      </c>
      <c r="CQ83" s="715">
        <f t="shared" si="95"/>
        <v>-0.62583854066666667</v>
      </c>
      <c r="CR83" s="715">
        <f t="shared" si="95"/>
        <v>-0.634379001</v>
      </c>
      <c r="CS83" s="715">
        <f t="shared" si="95"/>
        <v>-0.64291946133333322</v>
      </c>
      <c r="CT83" s="715">
        <f t="shared" si="95"/>
        <v>-0.65145992166666666</v>
      </c>
      <c r="CU83" s="715">
        <f t="shared" si="95"/>
        <v>-0.660000382</v>
      </c>
      <c r="CV83" s="715">
        <f t="shared" si="95"/>
        <v>-0.66854084233333322</v>
      </c>
      <c r="CW83" s="715">
        <f t="shared" si="95"/>
        <v>-0.67708130266666644</v>
      </c>
      <c r="CX83" s="715">
        <f t="shared" si="95"/>
        <v>-0.68562176299999977</v>
      </c>
      <c r="CY83" s="715">
        <f t="shared" si="95"/>
        <v>-0.69416222333333322</v>
      </c>
      <c r="CZ83" s="715">
        <f t="shared" si="95"/>
        <v>-0.70270268366666644</v>
      </c>
      <c r="DA83" s="715">
        <f t="shared" si="95"/>
        <v>-0.71124314399999999</v>
      </c>
      <c r="DC83" s="12">
        <f t="shared" si="93"/>
        <v>-0.28088843299999999</v>
      </c>
      <c r="DD83" s="12">
        <f t="shared" si="70"/>
        <v>-1.5210975301284972</v>
      </c>
      <c r="DE83" s="702">
        <f t="shared" si="71"/>
        <v>-4.1728722500000002</v>
      </c>
      <c r="DF83" s="12">
        <f t="shared" si="72"/>
        <v>-5.4238044999999993</v>
      </c>
      <c r="DG83" s="12">
        <f t="shared" si="73"/>
        <v>-5.2597745999999992</v>
      </c>
      <c r="DH83" s="12">
        <f t="shared" si="74"/>
        <v>-6.6474277300000022</v>
      </c>
      <c r="DI83" s="12">
        <f t="shared" si="75"/>
        <v>-7.9712473459999993</v>
      </c>
    </row>
    <row r="84" spans="2:113" s="698" customFormat="1" outlineLevel="2">
      <c r="B84" s="758"/>
      <c r="F84" s="126" t="s">
        <v>807</v>
      </c>
      <c r="H84" s="703"/>
      <c r="I84" s="609" t="s">
        <v>736</v>
      </c>
      <c r="J84" s="703"/>
      <c r="K84" s="703"/>
      <c r="L84" s="703"/>
      <c r="M84" s="703"/>
      <c r="N84" s="714"/>
      <c r="O84" s="714"/>
      <c r="P84" s="714"/>
      <c r="Q84" s="714"/>
      <c r="R84" s="714"/>
      <c r="S84" s="714"/>
      <c r="T84" s="714"/>
      <c r="U84" s="714"/>
      <c r="V84" s="715">
        <f t="shared" si="94"/>
        <v>0</v>
      </c>
      <c r="W84" s="715">
        <f t="shared" si="94"/>
        <v>0</v>
      </c>
      <c r="X84" s="715">
        <f t="shared" si="94"/>
        <v>0</v>
      </c>
      <c r="Y84" s="715">
        <f t="shared" si="94"/>
        <v>0</v>
      </c>
      <c r="Z84" s="715">
        <f t="shared" si="94"/>
        <v>0</v>
      </c>
      <c r="AA84" s="715">
        <f t="shared" si="94"/>
        <v>0</v>
      </c>
      <c r="AB84" s="715">
        <f t="shared" si="94"/>
        <v>0</v>
      </c>
      <c r="AC84" s="715">
        <f t="shared" si="94"/>
        <v>0</v>
      </c>
      <c r="AD84" s="715">
        <f t="shared" si="94"/>
        <v>0</v>
      </c>
      <c r="AE84" s="715">
        <f t="shared" si="94"/>
        <v>0</v>
      </c>
      <c r="AF84" s="715">
        <f t="shared" si="94"/>
        <v>0</v>
      </c>
      <c r="AG84" s="715">
        <f t="shared" si="94"/>
        <v>0</v>
      </c>
      <c r="AH84" s="715">
        <f t="shared" si="94"/>
        <v>0</v>
      </c>
      <c r="AI84" s="715">
        <f t="shared" si="94"/>
        <v>0</v>
      </c>
      <c r="AJ84" s="715">
        <f t="shared" si="94"/>
        <v>0</v>
      </c>
      <c r="AK84" s="715">
        <f t="shared" si="94"/>
        <v>0</v>
      </c>
      <c r="AL84" s="715">
        <f t="shared" si="94"/>
        <v>0</v>
      </c>
      <c r="AM84" s="715">
        <f t="shared" si="94"/>
        <v>-2.8000000000000001E-2</v>
      </c>
      <c r="AN84" s="715">
        <f t="shared" si="94"/>
        <v>-0.03</v>
      </c>
      <c r="AO84" s="715">
        <f t="shared" si="94"/>
        <v>0</v>
      </c>
      <c r="AP84" s="715">
        <f t="shared" si="94"/>
        <v>-0.1196188</v>
      </c>
      <c r="AQ84" s="715">
        <f t="shared" si="94"/>
        <v>-2.0730919999999999</v>
      </c>
      <c r="AR84" s="715">
        <f t="shared" si="94"/>
        <v>-2.5802</v>
      </c>
      <c r="AS84" s="715">
        <f t="shared" si="94"/>
        <v>-2.9314285714285715</v>
      </c>
      <c r="AT84" s="715">
        <f t="shared" si="94"/>
        <v>-3.04</v>
      </c>
      <c r="AU84" s="715">
        <f t="shared" si="94"/>
        <v>-2.09</v>
      </c>
      <c r="AV84" s="715">
        <f t="shared" si="94"/>
        <v>-2.8499999999999996</v>
      </c>
      <c r="AW84" s="715">
        <f t="shared" si="94"/>
        <v>-2.9830000000000001</v>
      </c>
      <c r="AX84" s="715">
        <f t="shared" si="94"/>
        <v>-3.1159999999999992</v>
      </c>
      <c r="AY84" s="715">
        <f t="shared" si="94"/>
        <v>-3.2489999999999992</v>
      </c>
      <c r="AZ84" s="715">
        <f t="shared" si="94"/>
        <v>-3.2039999999999997</v>
      </c>
      <c r="BA84" s="715">
        <f t="shared" si="94"/>
        <v>-3.3299999999999996</v>
      </c>
      <c r="BB84" s="715">
        <f t="shared" si="94"/>
        <v>-3.4559999999999991</v>
      </c>
      <c r="BC84" s="715">
        <f t="shared" si="94"/>
        <v>-3.5819999999999994</v>
      </c>
      <c r="BD84" s="715">
        <f t="shared" si="94"/>
        <v>-3.7079999999999993</v>
      </c>
      <c r="BE84" s="715">
        <f t="shared" si="94"/>
        <v>-3.6209999999999991</v>
      </c>
      <c r="BF84" s="715">
        <f t="shared" si="94"/>
        <v>-3.4609166666666655</v>
      </c>
      <c r="BG84" s="715">
        <f t="shared" si="94"/>
        <v>-3.300833333333332</v>
      </c>
      <c r="BH84" s="715">
        <f t="shared" si="94"/>
        <v>-3.1407499999999988</v>
      </c>
      <c r="BI84" s="715">
        <f t="shared" si="94"/>
        <v>-2.9806666666666657</v>
      </c>
      <c r="BJ84" s="715">
        <f t="shared" si="94"/>
        <v>-2.8205833333333321</v>
      </c>
      <c r="BK84" s="715">
        <f t="shared" si="94"/>
        <v>-2.660499999999999</v>
      </c>
      <c r="BL84" s="715">
        <f t="shared" si="94"/>
        <v>-2.5004166666666658</v>
      </c>
      <c r="BM84" s="715">
        <f t="shared" si="94"/>
        <v>-2.3403333333333327</v>
      </c>
      <c r="BN84" s="715">
        <f t="shared" si="94"/>
        <v>-2.1802499999999991</v>
      </c>
      <c r="BO84" s="715">
        <f t="shared" si="94"/>
        <v>-2.020166666666666</v>
      </c>
      <c r="BP84" s="715">
        <f t="shared" si="94"/>
        <v>-1.8600833333333326</v>
      </c>
      <c r="BQ84" s="715">
        <f t="shared" si="94"/>
        <v>-1.7</v>
      </c>
      <c r="BR84" s="715">
        <f t="shared" si="94"/>
        <v>-1.9549999999999998</v>
      </c>
      <c r="BS84" s="715">
        <f t="shared" si="94"/>
        <v>-2.21</v>
      </c>
      <c r="BT84" s="715">
        <f t="shared" si="94"/>
        <v>-2.4649999999999999</v>
      </c>
      <c r="BU84" s="715">
        <f t="shared" si="94"/>
        <v>-2.72</v>
      </c>
      <c r="BV84" s="715">
        <f t="shared" si="94"/>
        <v>-2.9750000000000001</v>
      </c>
      <c r="BW84" s="715">
        <f t="shared" si="94"/>
        <v>-3.23</v>
      </c>
      <c r="BX84" s="715">
        <f t="shared" si="94"/>
        <v>-3.4849999999999994</v>
      </c>
      <c r="BY84" s="715">
        <f t="shared" si="94"/>
        <v>-3.74</v>
      </c>
      <c r="BZ84" s="715">
        <f t="shared" si="94"/>
        <v>-3.9950000000000001</v>
      </c>
      <c r="CA84" s="715">
        <f t="shared" si="94"/>
        <v>-4.25</v>
      </c>
      <c r="CB84" s="715">
        <f t="shared" si="94"/>
        <v>-4.5049999999999999</v>
      </c>
      <c r="CC84" s="715">
        <f t="shared" si="94"/>
        <v>-4.76</v>
      </c>
      <c r="CD84" s="715">
        <f t="shared" si="94"/>
        <v>-4.8166666666666664</v>
      </c>
      <c r="CE84" s="715">
        <f t="shared" si="94"/>
        <v>-4.8733333333333331</v>
      </c>
      <c r="CF84" s="715">
        <f t="shared" si="94"/>
        <v>-4.9299999999999988</v>
      </c>
      <c r="CG84" s="715">
        <f t="shared" ref="CG84" si="96">CG125+CG166+CG207</f>
        <v>-4.9866666666666664</v>
      </c>
      <c r="CH84" s="715">
        <f t="shared" si="95"/>
        <v>-5.0433333333333321</v>
      </c>
      <c r="CI84" s="715">
        <f t="shared" si="95"/>
        <v>-5.0999999999999988</v>
      </c>
      <c r="CJ84" s="715">
        <f t="shared" si="95"/>
        <v>-5.1566666666666654</v>
      </c>
      <c r="CK84" s="715">
        <f t="shared" si="95"/>
        <v>-5.2133333333333312</v>
      </c>
      <c r="CL84" s="715">
        <f t="shared" si="95"/>
        <v>-5.2699999999999987</v>
      </c>
      <c r="CM84" s="715">
        <f t="shared" si="95"/>
        <v>-5.3266666666666644</v>
      </c>
      <c r="CN84" s="715">
        <f t="shared" si="95"/>
        <v>-5.3833333333333311</v>
      </c>
      <c r="CO84" s="715">
        <f t="shared" si="95"/>
        <v>-5.44</v>
      </c>
      <c r="CP84" s="715">
        <f t="shared" si="95"/>
        <v>-5.4683333333333328</v>
      </c>
      <c r="CQ84" s="715">
        <f t="shared" si="95"/>
        <v>-5.4966666666666661</v>
      </c>
      <c r="CR84" s="715">
        <f t="shared" si="95"/>
        <v>-5.5249999999999986</v>
      </c>
      <c r="CS84" s="715">
        <f t="shared" si="95"/>
        <v>-5.5533333333333319</v>
      </c>
      <c r="CT84" s="715">
        <f t="shared" si="95"/>
        <v>-5.5816666666666652</v>
      </c>
      <c r="CU84" s="715">
        <f t="shared" si="95"/>
        <v>-5.6099999999999977</v>
      </c>
      <c r="CV84" s="715">
        <f t="shared" si="95"/>
        <v>-5.6383333333333301</v>
      </c>
      <c r="CW84" s="715">
        <f t="shared" si="95"/>
        <v>-5.6666666666666634</v>
      </c>
      <c r="CX84" s="715">
        <f t="shared" si="95"/>
        <v>-5.6949999999999958</v>
      </c>
      <c r="CY84" s="715">
        <f t="shared" si="95"/>
        <v>-5.7233333333333283</v>
      </c>
      <c r="CZ84" s="715">
        <f t="shared" si="95"/>
        <v>-5.7516666666666616</v>
      </c>
      <c r="DA84" s="715">
        <f t="shared" si="95"/>
        <v>-5.7799999999999994</v>
      </c>
      <c r="DC84" s="12">
        <f t="shared" si="93"/>
        <v>0</v>
      </c>
      <c r="DD84" s="12">
        <f t="shared" si="70"/>
        <v>-7.7623393714285713</v>
      </c>
      <c r="DE84" s="702">
        <f t="shared" si="71"/>
        <v>-38.228999999999999</v>
      </c>
      <c r="DF84" s="12">
        <f t="shared" si="72"/>
        <v>-30.965499999999988</v>
      </c>
      <c r="DG84" s="12">
        <f t="shared" si="73"/>
        <v>-40.29</v>
      </c>
      <c r="DH84" s="12">
        <f t="shared" si="74"/>
        <v>-61.539999999999985</v>
      </c>
      <c r="DI84" s="12">
        <f t="shared" si="75"/>
        <v>-67.489999999999966</v>
      </c>
    </row>
    <row r="85" spans="2:113" s="698" customFormat="1" outlineLevel="2">
      <c r="B85" s="758"/>
      <c r="F85" s="126" t="s">
        <v>703</v>
      </c>
      <c r="H85" s="703"/>
      <c r="I85" s="609" t="s">
        <v>736</v>
      </c>
      <c r="J85" s="703"/>
      <c r="K85" s="703"/>
      <c r="L85" s="703"/>
      <c r="M85" s="703"/>
      <c r="N85" s="714"/>
      <c r="O85" s="714"/>
      <c r="P85" s="714"/>
      <c r="Q85" s="714"/>
      <c r="R85" s="714"/>
      <c r="S85" s="714"/>
      <c r="T85" s="714"/>
      <c r="U85" s="714"/>
      <c r="V85" s="715">
        <f t="shared" ref="V85:CG86" si="97">V126+V167+V208</f>
        <v>0</v>
      </c>
      <c r="W85" s="715">
        <f t="shared" si="97"/>
        <v>0</v>
      </c>
      <c r="X85" s="715">
        <f t="shared" si="97"/>
        <v>0</v>
      </c>
      <c r="Y85" s="715">
        <f t="shared" si="97"/>
        <v>0</v>
      </c>
      <c r="Z85" s="715">
        <f t="shared" si="97"/>
        <v>0</v>
      </c>
      <c r="AA85" s="715">
        <f t="shared" si="97"/>
        <v>0</v>
      </c>
      <c r="AB85" s="715">
        <f t="shared" si="97"/>
        <v>-1.4760308E-2</v>
      </c>
      <c r="AC85" s="715">
        <f t="shared" si="97"/>
        <v>-1.3111268000000001E-2</v>
      </c>
      <c r="AD85" s="715">
        <f t="shared" si="97"/>
        <v>-1.42893E-2</v>
      </c>
      <c r="AE85" s="715">
        <f t="shared" si="97"/>
        <v>-1.8630899999999999E-2</v>
      </c>
      <c r="AF85" s="715">
        <f t="shared" si="97"/>
        <v>0</v>
      </c>
      <c r="AG85" s="715">
        <f t="shared" si="97"/>
        <v>0</v>
      </c>
      <c r="AH85" s="715">
        <f t="shared" si="97"/>
        <v>-2.0136721999999999E-2</v>
      </c>
      <c r="AI85" s="715">
        <f t="shared" si="97"/>
        <v>-1.1195449E-2</v>
      </c>
      <c r="AJ85" s="715">
        <f t="shared" si="97"/>
        <v>-9.6396419999999986E-3</v>
      </c>
      <c r="AK85" s="715">
        <f t="shared" si="97"/>
        <v>-1.815050859902451E-2</v>
      </c>
      <c r="AL85" s="715">
        <f t="shared" si="97"/>
        <v>-1.4441032146315565E-2</v>
      </c>
      <c r="AM85" s="715">
        <f t="shared" si="97"/>
        <v>-3.1027427387508636E-2</v>
      </c>
      <c r="AN85" s="715">
        <f t="shared" si="97"/>
        <v>0</v>
      </c>
      <c r="AO85" s="715">
        <f t="shared" si="97"/>
        <v>0</v>
      </c>
      <c r="AP85" s="715">
        <f t="shared" si="97"/>
        <v>0</v>
      </c>
      <c r="AQ85" s="715">
        <f t="shared" si="97"/>
        <v>0</v>
      </c>
      <c r="AR85" s="715">
        <f t="shared" si="97"/>
        <v>0</v>
      </c>
      <c r="AS85" s="715">
        <f t="shared" si="97"/>
        <v>0</v>
      </c>
      <c r="AT85" s="715">
        <f t="shared" si="97"/>
        <v>0</v>
      </c>
      <c r="AU85" s="715">
        <f t="shared" si="97"/>
        <v>0</v>
      </c>
      <c r="AV85" s="715">
        <f t="shared" si="97"/>
        <v>0</v>
      </c>
      <c r="AW85" s="715">
        <f t="shared" si="97"/>
        <v>0</v>
      </c>
      <c r="AX85" s="715">
        <f t="shared" si="97"/>
        <v>0</v>
      </c>
      <c r="AY85" s="715">
        <f t="shared" si="97"/>
        <v>0</v>
      </c>
      <c r="AZ85" s="715">
        <f t="shared" si="97"/>
        <v>0</v>
      </c>
      <c r="BA85" s="715">
        <f t="shared" si="97"/>
        <v>0</v>
      </c>
      <c r="BB85" s="715">
        <f t="shared" si="97"/>
        <v>0</v>
      </c>
      <c r="BC85" s="715">
        <f t="shared" si="97"/>
        <v>0</v>
      </c>
      <c r="BD85" s="715">
        <f t="shared" si="97"/>
        <v>0</v>
      </c>
      <c r="BE85" s="715">
        <f t="shared" si="97"/>
        <v>0</v>
      </c>
      <c r="BF85" s="715">
        <f t="shared" si="97"/>
        <v>0</v>
      </c>
      <c r="BG85" s="715">
        <f t="shared" si="97"/>
        <v>0</v>
      </c>
      <c r="BH85" s="715">
        <f t="shared" si="97"/>
        <v>0</v>
      </c>
      <c r="BI85" s="715">
        <f t="shared" si="97"/>
        <v>0</v>
      </c>
      <c r="BJ85" s="715">
        <f t="shared" si="97"/>
        <v>0</v>
      </c>
      <c r="BK85" s="715">
        <f t="shared" si="97"/>
        <v>0</v>
      </c>
      <c r="BL85" s="715">
        <f t="shared" si="97"/>
        <v>0</v>
      </c>
      <c r="BM85" s="715">
        <f t="shared" si="97"/>
        <v>0</v>
      </c>
      <c r="BN85" s="715">
        <f t="shared" si="97"/>
        <v>0</v>
      </c>
      <c r="BO85" s="715">
        <f t="shared" si="97"/>
        <v>0</v>
      </c>
      <c r="BP85" s="715">
        <f t="shared" si="97"/>
        <v>0</v>
      </c>
      <c r="BQ85" s="715">
        <f t="shared" si="97"/>
        <v>0</v>
      </c>
      <c r="BR85" s="715">
        <f t="shared" si="97"/>
        <v>0</v>
      </c>
      <c r="BS85" s="715">
        <f t="shared" si="97"/>
        <v>0</v>
      </c>
      <c r="BT85" s="715">
        <f t="shared" si="97"/>
        <v>0</v>
      </c>
      <c r="BU85" s="715">
        <f t="shared" si="97"/>
        <v>0</v>
      </c>
      <c r="BV85" s="715">
        <f t="shared" si="97"/>
        <v>0</v>
      </c>
      <c r="BW85" s="715">
        <f t="shared" si="97"/>
        <v>0</v>
      </c>
      <c r="BX85" s="715">
        <f t="shared" si="97"/>
        <v>0</v>
      </c>
      <c r="BY85" s="715">
        <f t="shared" si="97"/>
        <v>0</v>
      </c>
      <c r="BZ85" s="715">
        <f t="shared" si="97"/>
        <v>0</v>
      </c>
      <c r="CA85" s="715">
        <f t="shared" si="97"/>
        <v>0</v>
      </c>
      <c r="CB85" s="715">
        <f t="shared" si="97"/>
        <v>0</v>
      </c>
      <c r="CC85" s="715">
        <f t="shared" si="97"/>
        <v>0</v>
      </c>
      <c r="CD85" s="715">
        <f t="shared" si="97"/>
        <v>0</v>
      </c>
      <c r="CE85" s="715">
        <f t="shared" si="97"/>
        <v>0</v>
      </c>
      <c r="CF85" s="715">
        <f t="shared" si="97"/>
        <v>0</v>
      </c>
      <c r="CG85" s="715">
        <f t="shared" si="97"/>
        <v>0</v>
      </c>
      <c r="CH85" s="715">
        <f t="shared" si="95"/>
        <v>0</v>
      </c>
      <c r="CI85" s="715">
        <f t="shared" si="95"/>
        <v>0</v>
      </c>
      <c r="CJ85" s="715">
        <f t="shared" si="95"/>
        <v>0</v>
      </c>
      <c r="CK85" s="715">
        <f t="shared" si="95"/>
        <v>0</v>
      </c>
      <c r="CL85" s="715">
        <f t="shared" si="95"/>
        <v>0</v>
      </c>
      <c r="CM85" s="715">
        <f t="shared" si="95"/>
        <v>0</v>
      </c>
      <c r="CN85" s="715">
        <f t="shared" si="95"/>
        <v>0</v>
      </c>
      <c r="CO85" s="715">
        <f t="shared" si="95"/>
        <v>0</v>
      </c>
      <c r="CP85" s="715">
        <f t="shared" si="95"/>
        <v>0</v>
      </c>
      <c r="CQ85" s="715">
        <f t="shared" si="95"/>
        <v>0</v>
      </c>
      <c r="CR85" s="715">
        <f t="shared" si="95"/>
        <v>0</v>
      </c>
      <c r="CS85" s="715">
        <f t="shared" si="95"/>
        <v>0</v>
      </c>
      <c r="CT85" s="715">
        <f t="shared" si="95"/>
        <v>0</v>
      </c>
      <c r="CU85" s="715">
        <f t="shared" si="95"/>
        <v>0</v>
      </c>
      <c r="CV85" s="715">
        <f t="shared" si="95"/>
        <v>0</v>
      </c>
      <c r="CW85" s="715">
        <f t="shared" si="95"/>
        <v>0</v>
      </c>
      <c r="CX85" s="715">
        <f t="shared" si="95"/>
        <v>0</v>
      </c>
      <c r="CY85" s="715">
        <f t="shared" si="95"/>
        <v>0</v>
      </c>
      <c r="CZ85" s="715">
        <f t="shared" si="95"/>
        <v>0</v>
      </c>
      <c r="DA85" s="715">
        <f t="shared" si="95"/>
        <v>0</v>
      </c>
      <c r="DC85" s="12">
        <f t="shared" si="93"/>
        <v>-6.0791775999999999E-2</v>
      </c>
      <c r="DD85" s="12">
        <f t="shared" si="70"/>
        <v>-0.1045907811328487</v>
      </c>
      <c r="DE85" s="702">
        <f t="shared" si="71"/>
        <v>0</v>
      </c>
      <c r="DF85" s="12">
        <f t="shared" si="72"/>
        <v>0</v>
      </c>
      <c r="DG85" s="12">
        <f t="shared" si="73"/>
        <v>0</v>
      </c>
      <c r="DH85" s="12">
        <f t="shared" si="74"/>
        <v>0</v>
      </c>
      <c r="DI85" s="12">
        <f t="shared" si="75"/>
        <v>0</v>
      </c>
    </row>
    <row r="86" spans="2:113" s="698" customFormat="1" outlineLevel="2">
      <c r="B86" s="758"/>
      <c r="F86" s="126" t="s">
        <v>163</v>
      </c>
      <c r="H86" s="703"/>
      <c r="I86" s="609" t="s">
        <v>736</v>
      </c>
      <c r="J86" s="703"/>
      <c r="K86" s="703"/>
      <c r="L86" s="703"/>
      <c r="M86" s="703"/>
      <c r="N86" s="714"/>
      <c r="O86" s="714"/>
      <c r="P86" s="714"/>
      <c r="Q86" s="714"/>
      <c r="R86" s="714"/>
      <c r="S86" s="714"/>
      <c r="T86" s="714"/>
      <c r="U86" s="714"/>
      <c r="V86" s="715">
        <f t="shared" si="97"/>
        <v>0</v>
      </c>
      <c r="W86" s="715">
        <f t="shared" si="97"/>
        <v>0</v>
      </c>
      <c r="X86" s="715">
        <f t="shared" si="97"/>
        <v>0</v>
      </c>
      <c r="Y86" s="715">
        <f t="shared" si="97"/>
        <v>0</v>
      </c>
      <c r="Z86" s="715">
        <f t="shared" si="97"/>
        <v>0</v>
      </c>
      <c r="AA86" s="715">
        <f t="shared" si="97"/>
        <v>0</v>
      </c>
      <c r="AB86" s="715">
        <f t="shared" si="97"/>
        <v>-1.8221424E-2</v>
      </c>
      <c r="AC86" s="715">
        <f t="shared" si="97"/>
        <v>-1.7194865E-2</v>
      </c>
      <c r="AD86" s="715">
        <f t="shared" si="97"/>
        <v>-1.9998939E-2</v>
      </c>
      <c r="AE86" s="715">
        <f t="shared" si="97"/>
        <v>-2.0286327999999999E-2</v>
      </c>
      <c r="AF86" s="715">
        <f t="shared" si="97"/>
        <v>0</v>
      </c>
      <c r="AG86" s="715">
        <f t="shared" si="97"/>
        <v>0</v>
      </c>
      <c r="AH86" s="715">
        <f t="shared" si="97"/>
        <v>-5.3354964618508235E-2</v>
      </c>
      <c r="AI86" s="715">
        <f t="shared" si="97"/>
        <v>-3.3212470497503435E-2</v>
      </c>
      <c r="AJ86" s="715">
        <f t="shared" si="97"/>
        <v>-6.2180243320554385E-2</v>
      </c>
      <c r="AK86" s="715">
        <f t="shared" si="97"/>
        <v>-5.2895455569021033E-2</v>
      </c>
      <c r="AL86" s="715">
        <f t="shared" si="97"/>
        <v>-7.192121848019202E-2</v>
      </c>
      <c r="AM86" s="715">
        <f t="shared" si="97"/>
        <v>-0.10059916643120302</v>
      </c>
      <c r="AN86" s="715">
        <f t="shared" si="97"/>
        <v>-0.12556824435712233</v>
      </c>
      <c r="AO86" s="715">
        <f t="shared" si="97"/>
        <v>-0.12205343662899644</v>
      </c>
      <c r="AP86" s="715">
        <f t="shared" si="97"/>
        <v>-4.8093027158915932E-2</v>
      </c>
      <c r="AQ86" s="715">
        <f t="shared" si="97"/>
        <v>-6.0230519999999996E-2</v>
      </c>
      <c r="AR86" s="715">
        <f t="shared" si="97"/>
        <v>-7.5415339999999997E-2</v>
      </c>
      <c r="AS86" s="715">
        <f t="shared" si="97"/>
        <v>-8.936209760898467E-2</v>
      </c>
      <c r="AT86" s="715">
        <f t="shared" si="97"/>
        <v>-0.11111363564553448</v>
      </c>
      <c r="AU86" s="715">
        <f t="shared" si="97"/>
        <v>-0.1153122356455345</v>
      </c>
      <c r="AV86" s="715">
        <f t="shared" si="97"/>
        <v>-0.13257283564553446</v>
      </c>
      <c r="AW86" s="715">
        <f t="shared" si="97"/>
        <v>-0.15648049564553448</v>
      </c>
      <c r="AX86" s="715">
        <f t="shared" si="97"/>
        <v>-0.18026263981220114</v>
      </c>
      <c r="AY86" s="715">
        <f t="shared" si="97"/>
        <v>-0.20496051814553445</v>
      </c>
      <c r="AZ86" s="715">
        <f t="shared" si="97"/>
        <v>-0.22708624064553448</v>
      </c>
      <c r="BA86" s="715">
        <f t="shared" si="97"/>
        <v>-0.24826233731220118</v>
      </c>
      <c r="BB86" s="715">
        <f t="shared" si="97"/>
        <v>-0.27122237814553452</v>
      </c>
      <c r="BC86" s="715">
        <f t="shared" si="97"/>
        <v>-0.29359217314553449</v>
      </c>
      <c r="BD86" s="715">
        <f t="shared" si="97"/>
        <v>-0.31657803231220116</v>
      </c>
      <c r="BE86" s="715">
        <f t="shared" si="97"/>
        <v>-0.3649018280365498</v>
      </c>
      <c r="BF86" s="715">
        <f t="shared" si="97"/>
        <v>-0.37296566999999997</v>
      </c>
      <c r="BG86" s="715">
        <f t="shared" si="97"/>
        <v>-0.38210417000000002</v>
      </c>
      <c r="BH86" s="715">
        <f t="shared" si="97"/>
        <v>-0.39289116999999996</v>
      </c>
      <c r="BI86" s="715">
        <f t="shared" si="97"/>
        <v>-0.39990167000000004</v>
      </c>
      <c r="BJ86" s="715">
        <f t="shared" si="97"/>
        <v>-0.40455681583333331</v>
      </c>
      <c r="BK86" s="715">
        <f t="shared" si="97"/>
        <v>-0.40685660749999997</v>
      </c>
      <c r="BL86" s="715">
        <f t="shared" si="97"/>
        <v>-0.40680104499999992</v>
      </c>
      <c r="BM86" s="715">
        <f t="shared" si="97"/>
        <v>-0.40439012833333321</v>
      </c>
      <c r="BN86" s="715">
        <f t="shared" si="97"/>
        <v>-0.3996238574999999</v>
      </c>
      <c r="BO86" s="715">
        <f t="shared" si="97"/>
        <v>-0.39250223249999988</v>
      </c>
      <c r="BP86" s="715">
        <f t="shared" si="97"/>
        <v>-0.3830252533333332</v>
      </c>
      <c r="BQ86" s="715">
        <f t="shared" si="97"/>
        <v>-0.37119291999999987</v>
      </c>
      <c r="BR86" s="715">
        <f t="shared" si="97"/>
        <v>-0.3588449199999999</v>
      </c>
      <c r="BS86" s="715">
        <f t="shared" si="97"/>
        <v>-0.34797846999999987</v>
      </c>
      <c r="BT86" s="715">
        <f t="shared" si="97"/>
        <v>-0.3385935699999999</v>
      </c>
      <c r="BU86" s="715">
        <f t="shared" si="97"/>
        <v>-0.33069021999999992</v>
      </c>
      <c r="BV86" s="715">
        <f t="shared" si="97"/>
        <v>-0.32426841999999995</v>
      </c>
      <c r="BW86" s="715">
        <f t="shared" si="97"/>
        <v>-0.31932816999999991</v>
      </c>
      <c r="BX86" s="715">
        <f t="shared" si="97"/>
        <v>-0.31586946999999993</v>
      </c>
      <c r="BY86" s="715">
        <f t="shared" si="97"/>
        <v>-0.31389231999999989</v>
      </c>
      <c r="BZ86" s="715">
        <f t="shared" si="97"/>
        <v>-0.31339671999999996</v>
      </c>
      <c r="CA86" s="715">
        <f t="shared" si="97"/>
        <v>-0.31438266999999998</v>
      </c>
      <c r="CB86" s="715">
        <f t="shared" si="97"/>
        <v>-0.31685016999999993</v>
      </c>
      <c r="CC86" s="715">
        <f t="shared" si="97"/>
        <v>-0.32079921999999994</v>
      </c>
      <c r="CD86" s="715">
        <f t="shared" si="97"/>
        <v>-0.32972981999999995</v>
      </c>
      <c r="CE86" s="715">
        <f t="shared" si="97"/>
        <v>-0.33849430999999991</v>
      </c>
      <c r="CF86" s="715">
        <f t="shared" si="97"/>
        <v>-0.34709268999999993</v>
      </c>
      <c r="CG86" s="715">
        <f t="shared" si="97"/>
        <v>-0.35552495999999995</v>
      </c>
      <c r="CH86" s="715">
        <f t="shared" si="95"/>
        <v>-0.36379112000000002</v>
      </c>
      <c r="CI86" s="715">
        <f t="shared" si="95"/>
        <v>-0.37189117000000005</v>
      </c>
      <c r="CJ86" s="715">
        <f t="shared" si="95"/>
        <v>-0.37982511000000008</v>
      </c>
      <c r="CK86" s="715">
        <f t="shared" si="95"/>
        <v>-0.38759294000000005</v>
      </c>
      <c r="CL86" s="715">
        <f t="shared" si="95"/>
        <v>-0.39519466000000003</v>
      </c>
      <c r="CM86" s="715">
        <f t="shared" si="95"/>
        <v>-0.40263027000000007</v>
      </c>
      <c r="CN86" s="715">
        <f t="shared" si="95"/>
        <v>-0.40989977000000005</v>
      </c>
      <c r="CO86" s="715">
        <f t="shared" si="95"/>
        <v>-0.41700315999999998</v>
      </c>
      <c r="CP86" s="715">
        <f t="shared" si="95"/>
        <v>-0.42429044000000005</v>
      </c>
      <c r="CQ86" s="715">
        <f t="shared" si="95"/>
        <v>-0.43147827800000005</v>
      </c>
      <c r="CR86" s="715">
        <f t="shared" si="95"/>
        <v>-0.43856667400000005</v>
      </c>
      <c r="CS86" s="715">
        <f t="shared" si="95"/>
        <v>-0.44555562800000004</v>
      </c>
      <c r="CT86" s="715">
        <f t="shared" si="95"/>
        <v>-0.45244514000000008</v>
      </c>
      <c r="CU86" s="715">
        <f t="shared" si="95"/>
        <v>-0.45923521000000006</v>
      </c>
      <c r="CV86" s="715">
        <f t="shared" si="95"/>
        <v>-0.46592583800000004</v>
      </c>
      <c r="CW86" s="715">
        <f t="shared" si="95"/>
        <v>-0.47251702400000006</v>
      </c>
      <c r="CX86" s="715">
        <f t="shared" si="95"/>
        <v>-0.47900876800000003</v>
      </c>
      <c r="CY86" s="715">
        <f t="shared" si="95"/>
        <v>-0.4854010700000001</v>
      </c>
      <c r="CZ86" s="715">
        <f t="shared" si="95"/>
        <v>-0.49169393</v>
      </c>
      <c r="DA86" s="715">
        <f t="shared" si="95"/>
        <v>-0.49788734800000001</v>
      </c>
      <c r="DC86" s="12">
        <f t="shared" si="93"/>
        <v>-7.5701556000000003E-2</v>
      </c>
      <c r="DD86" s="12">
        <f t="shared" si="70"/>
        <v>-0.89488618467100145</v>
      </c>
      <c r="DE86" s="702">
        <f t="shared" si="71"/>
        <v>-2.622345350137429</v>
      </c>
      <c r="DF86" s="12">
        <f t="shared" si="72"/>
        <v>-4.7168115399999992</v>
      </c>
      <c r="DG86" s="12">
        <f t="shared" si="73"/>
        <v>-3.9148943399999996</v>
      </c>
      <c r="DH86" s="12">
        <f t="shared" si="74"/>
        <v>-4.4986699800000007</v>
      </c>
      <c r="DI86" s="12">
        <f t="shared" si="75"/>
        <v>-5.5440053480000007</v>
      </c>
    </row>
    <row r="87" spans="2:113" s="698" customFormat="1" outlineLevel="2">
      <c r="B87" s="758"/>
      <c r="F87" s="126" t="s">
        <v>152</v>
      </c>
      <c r="H87" s="703"/>
      <c r="I87" s="609" t="s">
        <v>736</v>
      </c>
      <c r="J87" s="703"/>
      <c r="K87" s="703"/>
      <c r="L87" s="703"/>
      <c r="M87" s="703"/>
      <c r="N87" s="714"/>
      <c r="O87" s="714"/>
      <c r="P87" s="714"/>
      <c r="Q87" s="714"/>
      <c r="R87" s="714"/>
      <c r="S87" s="714"/>
      <c r="T87" s="714"/>
      <c r="U87" s="714"/>
      <c r="V87" s="715"/>
      <c r="W87" s="715"/>
      <c r="X87" s="715"/>
      <c r="Y87" s="715"/>
      <c r="Z87" s="715"/>
      <c r="AA87" s="715"/>
      <c r="AB87" s="715"/>
      <c r="AC87" s="715"/>
      <c r="AD87" s="715"/>
      <c r="AE87" s="715"/>
      <c r="AF87" s="715"/>
      <c r="AG87" s="715"/>
      <c r="AH87" s="715"/>
      <c r="AI87" s="715"/>
      <c r="AJ87" s="715"/>
      <c r="AK87" s="715"/>
      <c r="AL87" s="715"/>
      <c r="AM87" s="715"/>
      <c r="AN87" s="715"/>
      <c r="AO87" s="715"/>
      <c r="AP87" s="715"/>
      <c r="AQ87" s="715"/>
      <c r="AR87" s="715"/>
      <c r="AS87" s="715"/>
      <c r="AT87" s="750">
        <v>-0.28500000000000003</v>
      </c>
      <c r="AU87" s="750">
        <v>-0.28500000000000003</v>
      </c>
      <c r="AV87" s="750">
        <v>-0.28500000000000003</v>
      </c>
      <c r="AW87" s="750">
        <v>-0.28500000000000003</v>
      </c>
      <c r="AX87" s="750">
        <v>-0.28500000000000003</v>
      </c>
      <c r="AY87" s="750">
        <v>-0.28500000000000003</v>
      </c>
      <c r="AZ87" s="750">
        <v>-8.5000000000000006E-2</v>
      </c>
      <c r="BA87" s="750">
        <v>-8.5000000000000006E-2</v>
      </c>
      <c r="BB87" s="750">
        <v>-8.5000000000000006E-2</v>
      </c>
      <c r="BC87" s="750">
        <v>-8.5000000000000006E-2</v>
      </c>
      <c r="BD87" s="750">
        <v>-8.5000000000000006E-2</v>
      </c>
      <c r="BE87" s="750">
        <v>-8.5000000000000006E-2</v>
      </c>
      <c r="BF87" s="750">
        <v>-8.5000000000000006E-2</v>
      </c>
      <c r="BG87" s="750">
        <v>-8.5000000000000006E-2</v>
      </c>
      <c r="BH87" s="750">
        <v>-8.5000000000000006E-2</v>
      </c>
      <c r="BI87" s="750">
        <v>-8.5000000000000006E-2</v>
      </c>
      <c r="BJ87" s="750">
        <v>-8.5000000000000006E-2</v>
      </c>
      <c r="BK87" s="750">
        <v>-8.5000000000000006E-2</v>
      </c>
      <c r="BL87" s="750">
        <v>-8.5000000000000006E-2</v>
      </c>
      <c r="BM87" s="750">
        <v>-8.5000000000000006E-2</v>
      </c>
      <c r="BN87" s="750">
        <v>-8.5000000000000006E-2</v>
      </c>
      <c r="BO87" s="750">
        <v>-8.5000000000000006E-2</v>
      </c>
      <c r="BP87" s="750">
        <v>-8.5000000000000006E-2</v>
      </c>
      <c r="BQ87" s="750">
        <v>-8.5000000000000006E-2</v>
      </c>
      <c r="BR87" s="750">
        <v>-8.5000000000000006E-2</v>
      </c>
      <c r="BS87" s="750">
        <v>-8.5000000000000006E-2</v>
      </c>
      <c r="BT87" s="750">
        <v>-8.5000000000000006E-2</v>
      </c>
      <c r="BU87" s="750">
        <v>-8.5000000000000006E-2</v>
      </c>
      <c r="BV87" s="750">
        <v>-8.5000000000000006E-2</v>
      </c>
      <c r="BW87" s="750">
        <v>-8.5000000000000006E-2</v>
      </c>
      <c r="BX87" s="750">
        <v>-8.5000000000000006E-2</v>
      </c>
      <c r="BY87" s="750">
        <v>-8.5000000000000006E-2</v>
      </c>
      <c r="BZ87" s="750">
        <v>-8.5000000000000006E-2</v>
      </c>
      <c r="CA87" s="750">
        <v>-8.5000000000000006E-2</v>
      </c>
      <c r="CB87" s="750">
        <v>-8.5000000000000006E-2</v>
      </c>
      <c r="CC87" s="750">
        <v>-8.5000000000000006E-2</v>
      </c>
      <c r="CD87" s="750">
        <v>-8.5000000000000006E-2</v>
      </c>
      <c r="CE87" s="750">
        <v>-8.5000000000000006E-2</v>
      </c>
      <c r="CF87" s="750">
        <v>-8.5000000000000006E-2</v>
      </c>
      <c r="CG87" s="750">
        <v>-8.5000000000000006E-2</v>
      </c>
      <c r="CH87" s="750">
        <v>-8.5000000000000006E-2</v>
      </c>
      <c r="CI87" s="750">
        <v>-8.5000000000000006E-2</v>
      </c>
      <c r="CJ87" s="750">
        <v>-8.5000000000000006E-2</v>
      </c>
      <c r="CK87" s="750">
        <v>-8.5000000000000006E-2</v>
      </c>
      <c r="CL87" s="750">
        <v>-8.5000000000000006E-2</v>
      </c>
      <c r="CM87" s="750">
        <v>-8.5000000000000006E-2</v>
      </c>
      <c r="CN87" s="750">
        <v>-8.5000000000000006E-2</v>
      </c>
      <c r="CO87" s="750">
        <v>-8.5000000000000006E-2</v>
      </c>
      <c r="CP87" s="750">
        <v>-8.5000000000000006E-2</v>
      </c>
      <c r="CQ87" s="750">
        <v>-8.5000000000000006E-2</v>
      </c>
      <c r="CR87" s="750">
        <v>-8.5000000000000006E-2</v>
      </c>
      <c r="CS87" s="750">
        <v>-8.5000000000000006E-2</v>
      </c>
      <c r="CT87" s="750">
        <v>-8.5000000000000006E-2</v>
      </c>
      <c r="CU87" s="750">
        <v>-8.5000000000000006E-2</v>
      </c>
      <c r="CV87" s="750">
        <v>-8.5000000000000006E-2</v>
      </c>
      <c r="CW87" s="750">
        <v>-8.5000000000000006E-2</v>
      </c>
      <c r="CX87" s="750">
        <v>-8.5000000000000006E-2</v>
      </c>
      <c r="CY87" s="750">
        <v>-8.5000000000000006E-2</v>
      </c>
      <c r="CZ87" s="750">
        <v>-8.5000000000000006E-2</v>
      </c>
      <c r="DA87" s="750">
        <v>-8.5000000000000006E-2</v>
      </c>
      <c r="DC87" s="12">
        <f>SUM(V87:AG87)</f>
        <v>0</v>
      </c>
      <c r="DD87" s="12">
        <f>SUM(AH87:AS87)</f>
        <v>0</v>
      </c>
      <c r="DE87" s="702">
        <f>SUM(AT87:BE87)</f>
        <v>-2.2200000000000002</v>
      </c>
      <c r="DF87" s="12">
        <f>SUM(BF87:BQ87)</f>
        <v>-1.0199999999999998</v>
      </c>
      <c r="DG87" s="12">
        <f>SUM(BR87:CC87)</f>
        <v>-1.0199999999999998</v>
      </c>
      <c r="DH87" s="12">
        <f>SUM(CD87:CO87)</f>
        <v>-1.0199999999999998</v>
      </c>
      <c r="DI87" s="12">
        <f t="shared" si="75"/>
        <v>-1.0199999999999998</v>
      </c>
    </row>
    <row r="88" spans="2:113" s="698" customFormat="1" outlineLevel="2">
      <c r="B88" s="758"/>
      <c r="F88" s="126" t="s">
        <v>144</v>
      </c>
      <c r="G88" s="718"/>
      <c r="H88" s="703"/>
      <c r="I88" s="609" t="s">
        <v>736</v>
      </c>
      <c r="J88" s="703"/>
      <c r="K88" s="703"/>
      <c r="L88" s="703"/>
      <c r="M88" s="703"/>
      <c r="N88" s="714"/>
      <c r="O88" s="714"/>
      <c r="P88" s="714"/>
      <c r="Q88" s="714"/>
      <c r="R88" s="714"/>
      <c r="S88" s="714"/>
      <c r="T88" s="714"/>
      <c r="U88" s="714"/>
      <c r="V88" s="715"/>
      <c r="W88" s="715"/>
      <c r="X88" s="715"/>
      <c r="Y88" s="715"/>
      <c r="Z88" s="715"/>
      <c r="AA88" s="715"/>
      <c r="AB88" s="715"/>
      <c r="AC88" s="715"/>
      <c r="AD88" s="715"/>
      <c r="AE88" s="715"/>
      <c r="AF88" s="715"/>
      <c r="AG88" s="715"/>
      <c r="AH88" s="715"/>
      <c r="AI88" s="715"/>
      <c r="AJ88" s="715"/>
      <c r="AK88" s="715"/>
      <c r="AL88" s="715"/>
      <c r="AM88" s="715"/>
      <c r="AN88" s="715"/>
      <c r="AO88" s="715"/>
      <c r="AP88" s="715"/>
      <c r="AQ88" s="715"/>
      <c r="AR88" s="715"/>
      <c r="AS88" s="715"/>
      <c r="AT88" s="750">
        <v>-1.6666666666666667</v>
      </c>
      <c r="AU88" s="773">
        <v>-1.6666666666666667</v>
      </c>
      <c r="AV88" s="773">
        <v>-1.6666666666666667</v>
      </c>
      <c r="AW88" s="773">
        <v>-1.6666666666666667</v>
      </c>
      <c r="AX88" s="773">
        <v>-1.6666666666666667</v>
      </c>
      <c r="AY88" s="773">
        <v>-1.6666666666666667</v>
      </c>
      <c r="AZ88" s="773">
        <v>-1.6666666666666667</v>
      </c>
      <c r="BA88" s="773">
        <v>-1.6666666666666667</v>
      </c>
      <c r="BB88" s="773">
        <v>-1.6666666666666667</v>
      </c>
      <c r="BC88" s="773">
        <v>-1.6666666666666667</v>
      </c>
      <c r="BD88" s="773">
        <v>-1.6666666666666667</v>
      </c>
      <c r="BE88" s="773">
        <v>-1.6666666666666667</v>
      </c>
      <c r="BF88" s="773">
        <v>-2.5</v>
      </c>
      <c r="BG88" s="773">
        <v>-2.5</v>
      </c>
      <c r="BH88" s="773">
        <v>-2.5</v>
      </c>
      <c r="BI88" s="773">
        <v>-2.5</v>
      </c>
      <c r="BJ88" s="773">
        <v>-2.5</v>
      </c>
      <c r="BK88" s="773">
        <v>-2.5</v>
      </c>
      <c r="BL88" s="773">
        <v>-2.5</v>
      </c>
      <c r="BM88" s="773">
        <v>-2.5</v>
      </c>
      <c r="BN88" s="773">
        <v>-2.5</v>
      </c>
      <c r="BO88" s="773">
        <v>-2.5</v>
      </c>
      <c r="BP88" s="773">
        <v>-2.5</v>
      </c>
      <c r="BQ88" s="773">
        <v>-2.5</v>
      </c>
      <c r="BR88" s="773">
        <v>-3.25</v>
      </c>
      <c r="BS88" s="773">
        <v>-3.25</v>
      </c>
      <c r="BT88" s="773">
        <v>-3.25</v>
      </c>
      <c r="BU88" s="773">
        <v>-3.25</v>
      </c>
      <c r="BV88" s="773">
        <v>-3.25</v>
      </c>
      <c r="BW88" s="773">
        <v>-3.25</v>
      </c>
      <c r="BX88" s="773">
        <v>-3.25</v>
      </c>
      <c r="BY88" s="773">
        <v>-3.25</v>
      </c>
      <c r="BZ88" s="773">
        <v>-3.25</v>
      </c>
      <c r="CA88" s="773">
        <v>-3.25</v>
      </c>
      <c r="CB88" s="773">
        <v>-3.25</v>
      </c>
      <c r="CC88" s="773">
        <v>-3.25</v>
      </c>
      <c r="CD88" s="773">
        <v>-3.9</v>
      </c>
      <c r="CE88" s="773">
        <v>-3.9</v>
      </c>
      <c r="CF88" s="773">
        <v>-3.9</v>
      </c>
      <c r="CG88" s="773">
        <v>-3.9</v>
      </c>
      <c r="CH88" s="773">
        <v>-3.9</v>
      </c>
      <c r="CI88" s="773">
        <v>-3.9</v>
      </c>
      <c r="CJ88" s="773">
        <v>-3.9</v>
      </c>
      <c r="CK88" s="773">
        <v>-3.9</v>
      </c>
      <c r="CL88" s="773">
        <v>-3.9</v>
      </c>
      <c r="CM88" s="773">
        <v>-3.9</v>
      </c>
      <c r="CN88" s="773">
        <v>-3.9</v>
      </c>
      <c r="CO88" s="773">
        <v>-3.9</v>
      </c>
      <c r="CP88" s="773">
        <v>-4.29</v>
      </c>
      <c r="CQ88" s="773">
        <v>-4.29</v>
      </c>
      <c r="CR88" s="773">
        <v>-4.29</v>
      </c>
      <c r="CS88" s="773">
        <v>-4.29</v>
      </c>
      <c r="CT88" s="773">
        <v>-4.29</v>
      </c>
      <c r="CU88" s="773">
        <v>-4.29</v>
      </c>
      <c r="CV88" s="773">
        <v>-4.29</v>
      </c>
      <c r="CW88" s="773">
        <v>-4.29</v>
      </c>
      <c r="CX88" s="773">
        <v>-4.29</v>
      </c>
      <c r="CY88" s="773">
        <v>-4.29</v>
      </c>
      <c r="CZ88" s="773">
        <v>-4.29</v>
      </c>
      <c r="DA88" s="773">
        <v>-4.29</v>
      </c>
      <c r="DC88" s="12">
        <f>SUM(V88:AG88)</f>
        <v>0</v>
      </c>
      <c r="DD88" s="12">
        <f>SUM(AH88:AS88)</f>
        <v>0</v>
      </c>
      <c r="DE88" s="702">
        <f>SUM(AT88:BE88)</f>
        <v>-20</v>
      </c>
      <c r="DF88" s="12">
        <f>SUM(BF88:BQ88)</f>
        <v>-30</v>
      </c>
      <c r="DG88" s="12">
        <f>SUM(BR88:CC88)</f>
        <v>-39</v>
      </c>
      <c r="DH88" s="12">
        <f>SUM(CD88:CO88)</f>
        <v>-46.79999999999999</v>
      </c>
      <c r="DI88" s="12">
        <f t="shared" si="75"/>
        <v>-51.48</v>
      </c>
    </row>
    <row r="89" spans="2:113" s="698" customFormat="1" outlineLevel="2">
      <c r="B89" s="704"/>
      <c r="F89" s="698" t="s">
        <v>808</v>
      </c>
      <c r="H89" s="703"/>
      <c r="I89" s="703" t="s">
        <v>736</v>
      </c>
      <c r="J89" s="703"/>
      <c r="K89" s="703"/>
      <c r="L89" s="703"/>
      <c r="M89" s="703"/>
      <c r="O89" s="696"/>
      <c r="P89" s="696"/>
      <c r="Q89" s="696"/>
      <c r="R89" s="696"/>
      <c r="S89" s="696"/>
      <c r="T89" s="696"/>
      <c r="U89" s="696"/>
      <c r="V89" s="870">
        <f t="shared" ref="V89:CG91" si="98">V130+V171+V212</f>
        <v>0</v>
      </c>
      <c r="W89" s="870">
        <f t="shared" si="98"/>
        <v>0</v>
      </c>
      <c r="X89" s="870">
        <f t="shared" si="98"/>
        <v>0</v>
      </c>
      <c r="Y89" s="870">
        <f t="shared" si="98"/>
        <v>0</v>
      </c>
      <c r="Z89" s="870">
        <f t="shared" si="98"/>
        <v>0</v>
      </c>
      <c r="AA89" s="870">
        <f t="shared" si="98"/>
        <v>-1.15615E-4</v>
      </c>
      <c r="AB89" s="870">
        <f t="shared" si="98"/>
        <v>-0.64698800550000002</v>
      </c>
      <c r="AC89" s="870">
        <f t="shared" si="98"/>
        <v>-0.87052677322727301</v>
      </c>
      <c r="AD89" s="870">
        <f t="shared" si="98"/>
        <v>-1.37911870545455</v>
      </c>
      <c r="AE89" s="870">
        <f t="shared" si="98"/>
        <v>-1.8886810614545499</v>
      </c>
      <c r="AF89" s="870">
        <f t="shared" si="98"/>
        <v>-1.6736495101818201</v>
      </c>
      <c r="AG89" s="870">
        <f t="shared" si="98"/>
        <v>0.37109941499999999</v>
      </c>
      <c r="AH89" s="870">
        <f t="shared" si="98"/>
        <v>-1.4755175409999999</v>
      </c>
      <c r="AI89" s="870">
        <f t="shared" si="98"/>
        <v>-1.3730420779999999</v>
      </c>
      <c r="AJ89" s="870">
        <f t="shared" si="98"/>
        <v>-5.2904055159999999</v>
      </c>
      <c r="AK89" s="870">
        <f t="shared" si="98"/>
        <v>-6.835752222</v>
      </c>
      <c r="AL89" s="870">
        <f t="shared" si="98"/>
        <v>-7.6942999929999996</v>
      </c>
      <c r="AM89" s="870">
        <f t="shared" si="98"/>
        <v>-5.543271680000001</v>
      </c>
      <c r="AN89" s="870">
        <f t="shared" si="98"/>
        <v>-6.153725047</v>
      </c>
      <c r="AO89" s="870">
        <f t="shared" si="98"/>
        <v>-8.9687612229999996</v>
      </c>
      <c r="AP89" s="870">
        <f t="shared" si="98"/>
        <v>-12.916584477000002</v>
      </c>
      <c r="AQ89" s="870">
        <f t="shared" si="98"/>
        <v>-15.553042555842651</v>
      </c>
      <c r="AR89" s="870">
        <f t="shared" si="98"/>
        <v>-15.979371023632959</v>
      </c>
      <c r="AS89" s="870">
        <f t="shared" si="98"/>
        <v>-18.644378339398614</v>
      </c>
      <c r="AT89" s="870">
        <f t="shared" si="98"/>
        <v>-18.214831746890027</v>
      </c>
      <c r="AU89" s="870">
        <f t="shared" si="98"/>
        <v>-15.928663722088446</v>
      </c>
      <c r="AV89" s="870">
        <f t="shared" si="98"/>
        <v>-16.074174255698562</v>
      </c>
      <c r="AW89" s="870">
        <f t="shared" si="98"/>
        <v>-15.842127625257739</v>
      </c>
      <c r="AX89" s="870">
        <f t="shared" si="98"/>
        <v>-16.691043583245524</v>
      </c>
      <c r="AY89" s="870">
        <f>AY130+AY171+AY212</f>
        <v>-17.953825078812333</v>
      </c>
      <c r="AZ89" s="870">
        <f t="shared" si="98"/>
        <v>-17.242574562083675</v>
      </c>
      <c r="BA89" s="870">
        <f t="shared" si="98"/>
        <v>-20.317989146737563</v>
      </c>
      <c r="BB89" s="870">
        <f t="shared" si="98"/>
        <v>-23.889107922933505</v>
      </c>
      <c r="BC89" s="870">
        <f t="shared" si="98"/>
        <v>-27.759468502828643</v>
      </c>
      <c r="BD89" s="870">
        <f t="shared" si="98"/>
        <v>-31.555975889570217</v>
      </c>
      <c r="BE89" s="870">
        <f t="shared" si="98"/>
        <v>-36.15058530784713</v>
      </c>
      <c r="BF89" s="870">
        <f t="shared" si="98"/>
        <v>-40.698068144174165</v>
      </c>
      <c r="BG89" s="870">
        <f t="shared" si="98"/>
        <v>-40.93118318095172</v>
      </c>
      <c r="BH89" s="870">
        <f t="shared" si="98"/>
        <v>-41.890977611870134</v>
      </c>
      <c r="BI89" s="870">
        <f t="shared" si="98"/>
        <v>-41.912821691396076</v>
      </c>
      <c r="BJ89" s="870">
        <f t="shared" si="98"/>
        <v>-41.620871344314907</v>
      </c>
      <c r="BK89" s="870">
        <f t="shared" si="98"/>
        <v>-41.115415465261236</v>
      </c>
      <c r="BL89" s="870">
        <f t="shared" si="98"/>
        <v>-39.044974444418123</v>
      </c>
      <c r="BM89" s="870">
        <f t="shared" si="98"/>
        <v>-37.054887759030997</v>
      </c>
      <c r="BN89" s="870">
        <f t="shared" si="98"/>
        <v>-35.095095832710534</v>
      </c>
      <c r="BO89" s="870">
        <f t="shared" si="98"/>
        <v>-33.258190036319945</v>
      </c>
      <c r="BP89" s="870">
        <f t="shared" si="98"/>
        <v>-31.553645388462023</v>
      </c>
      <c r="BQ89" s="870">
        <f t="shared" si="98"/>
        <v>-29.986449750550747</v>
      </c>
      <c r="BR89" s="870">
        <f t="shared" si="98"/>
        <v>-29.33414731031155</v>
      </c>
      <c r="BS89" s="870">
        <f t="shared" si="98"/>
        <v>-29.193564870022357</v>
      </c>
      <c r="BT89" s="870">
        <f t="shared" si="98"/>
        <v>-29.521065921222338</v>
      </c>
      <c r="BU89" s="870">
        <f t="shared" si="98"/>
        <v>-30.096478933237719</v>
      </c>
      <c r="BV89" s="870">
        <f t="shared" si="98"/>
        <v>-30.963084877335852</v>
      </c>
      <c r="BW89" s="870">
        <f t="shared" si="98"/>
        <v>-32.038945414959933</v>
      </c>
      <c r="BX89" s="870">
        <f t="shared" si="98"/>
        <v>-33.304694365301472</v>
      </c>
      <c r="BY89" s="870">
        <f t="shared" si="98"/>
        <v>-34.529967105097427</v>
      </c>
      <c r="BZ89" s="870">
        <f t="shared" si="98"/>
        <v>-35.694818470348523</v>
      </c>
      <c r="CA89" s="870">
        <f t="shared" si="98"/>
        <v>-36.798591806268604</v>
      </c>
      <c r="CB89" s="870">
        <f t="shared" si="98"/>
        <v>-37.835896238871094</v>
      </c>
      <c r="CC89" s="870">
        <f t="shared" si="98"/>
        <v>-38.800107037080899</v>
      </c>
      <c r="CD89" s="870">
        <f t="shared" si="98"/>
        <v>-39.848121238977065</v>
      </c>
      <c r="CE89" s="870">
        <f t="shared" si="98"/>
        <v>-40.864737636582007</v>
      </c>
      <c r="CF89" s="870">
        <f t="shared" si="98"/>
        <v>-41.847887146549475</v>
      </c>
      <c r="CG89" s="870">
        <f t="shared" si="98"/>
        <v>-42.804767209377644</v>
      </c>
      <c r="CH89" s="870">
        <f t="shared" ref="CH89:DA91" si="99">CH130+CH171+CH212</f>
        <v>-43.739280687392672</v>
      </c>
      <c r="CI89" s="870">
        <f t="shared" si="99"/>
        <v>-44.666968171082942</v>
      </c>
      <c r="CJ89" s="870">
        <f t="shared" si="99"/>
        <v>-45.600099882065848</v>
      </c>
      <c r="CK89" s="870">
        <f t="shared" si="99"/>
        <v>-46.519732086391102</v>
      </c>
      <c r="CL89" s="870">
        <f t="shared" si="99"/>
        <v>-47.437515642020927</v>
      </c>
      <c r="CM89" s="870">
        <f t="shared" si="99"/>
        <v>-48.350170675849334</v>
      </c>
      <c r="CN89" s="870">
        <f t="shared" si="99"/>
        <v>-49.254880448092209</v>
      </c>
      <c r="CO89" s="870">
        <f t="shared" si="99"/>
        <v>-50.148810164959627</v>
      </c>
      <c r="CP89" s="870">
        <f t="shared" si="99"/>
        <v>-50.971989880816153</v>
      </c>
      <c r="CQ89" s="870">
        <f t="shared" si="99"/>
        <v>-52.11402556767851</v>
      </c>
      <c r="CR89" s="870">
        <f t="shared" si="99"/>
        <v>-53.803173601913052</v>
      </c>
      <c r="CS89" s="870">
        <f t="shared" si="99"/>
        <v>-56.054321955079502</v>
      </c>
      <c r="CT89" s="870">
        <f t="shared" si="99"/>
        <v>-58.886239893188858</v>
      </c>
      <c r="CU89" s="870">
        <f t="shared" si="99"/>
        <v>-62.295189252830589</v>
      </c>
      <c r="CV89" s="870">
        <f t="shared" si="99"/>
        <v>-66.304683485859542</v>
      </c>
      <c r="CW89" s="870">
        <f t="shared" si="99"/>
        <v>-70.956882241648941</v>
      </c>
      <c r="CX89" s="870">
        <f t="shared" si="99"/>
        <v>-75.925648792084957</v>
      </c>
      <c r="CY89" s="870">
        <f t="shared" si="99"/>
        <v>-81.248119756677923</v>
      </c>
      <c r="CZ89" s="870">
        <f t="shared" si="99"/>
        <v>-86.947320522686482</v>
      </c>
      <c r="DA89" s="870">
        <f t="shared" si="99"/>
        <v>-93.043872593839765</v>
      </c>
      <c r="DC89" s="14">
        <f t="shared" si="93"/>
        <v>-6.0879802558181932</v>
      </c>
      <c r="DD89" s="14">
        <f t="shared" si="70"/>
        <v>-106.42815169587422</v>
      </c>
      <c r="DE89" s="14">
        <f t="shared" si="71"/>
        <v>-257.62036734399334</v>
      </c>
      <c r="DF89" s="14">
        <f t="shared" si="72"/>
        <v>-454.16258064946055</v>
      </c>
      <c r="DG89" s="14">
        <f t="shared" si="73"/>
        <v>-398.11136235005779</v>
      </c>
      <c r="DH89" s="14">
        <f t="shared" si="74"/>
        <v>-541.08297098934077</v>
      </c>
      <c r="DI89" s="14">
        <f t="shared" si="75"/>
        <v>-808.55146754430427</v>
      </c>
    </row>
    <row r="90" spans="2:113" outlineLevel="2">
      <c r="B90" s="758"/>
      <c r="E90" s="698"/>
      <c r="G90" s="126" t="s">
        <v>818</v>
      </c>
      <c r="I90" s="609" t="s">
        <v>736</v>
      </c>
      <c r="O90" s="715"/>
      <c r="P90" s="715"/>
      <c r="Q90" s="715"/>
      <c r="R90" s="715"/>
      <c r="S90" s="715"/>
      <c r="T90" s="715"/>
      <c r="U90" s="715"/>
      <c r="V90" s="871">
        <f t="shared" si="98"/>
        <v>0</v>
      </c>
      <c r="W90" s="871">
        <f t="shared" si="98"/>
        <v>0</v>
      </c>
      <c r="X90" s="871">
        <f t="shared" si="98"/>
        <v>0</v>
      </c>
      <c r="Y90" s="871">
        <f t="shared" si="98"/>
        <v>0</v>
      </c>
      <c r="Z90" s="871">
        <f t="shared" si="98"/>
        <v>0</v>
      </c>
      <c r="AA90" s="871">
        <f t="shared" si="98"/>
        <v>0</v>
      </c>
      <c r="AB90" s="871">
        <f t="shared" si="98"/>
        <v>0</v>
      </c>
      <c r="AC90" s="871">
        <f t="shared" si="98"/>
        <v>0</v>
      </c>
      <c r="AD90" s="871">
        <f t="shared" si="98"/>
        <v>0</v>
      </c>
      <c r="AE90" s="871">
        <f t="shared" si="98"/>
        <v>0</v>
      </c>
      <c r="AF90" s="871">
        <f t="shared" si="98"/>
        <v>-2.3732488759999999</v>
      </c>
      <c r="AG90" s="871">
        <f t="shared" si="98"/>
        <v>-9.1288583419999991</v>
      </c>
      <c r="AH90" s="871">
        <f t="shared" si="98"/>
        <v>-7.2834957090000003</v>
      </c>
      <c r="AI90" s="871">
        <f t="shared" si="98"/>
        <v>-7.9595431510000001</v>
      </c>
      <c r="AJ90" s="871">
        <f t="shared" si="98"/>
        <v>-2.5921175000000001E-2</v>
      </c>
      <c r="AK90" s="871">
        <f t="shared" si="98"/>
        <v>-0.266455995</v>
      </c>
      <c r="AL90" s="871">
        <f t="shared" si="98"/>
        <v>-0.91661643900000001</v>
      </c>
      <c r="AM90" s="871">
        <f t="shared" si="98"/>
        <v>-10.011174184000001</v>
      </c>
      <c r="AN90" s="871">
        <f t="shared" si="98"/>
        <v>-13.711398717</v>
      </c>
      <c r="AO90" s="871">
        <f t="shared" si="98"/>
        <v>-13.633796893</v>
      </c>
      <c r="AP90" s="871">
        <f t="shared" si="98"/>
        <v>-10.733017081849201</v>
      </c>
      <c r="AQ90" s="871">
        <f t="shared" si="98"/>
        <v>-17.378442035380434</v>
      </c>
      <c r="AR90" s="871">
        <f t="shared" si="98"/>
        <v>-23.850790285492508</v>
      </c>
      <c r="AS90" s="871">
        <f t="shared" si="98"/>
        <v>-24.495629742905329</v>
      </c>
      <c r="AT90" s="871">
        <f t="shared" si="98"/>
        <v>-24.624404081078229</v>
      </c>
      <c r="AU90" s="871">
        <f t="shared" si="98"/>
        <v>-30.948553754907365</v>
      </c>
      <c r="AV90" s="871">
        <f t="shared" si="98"/>
        <v>-37.183387562630415</v>
      </c>
      <c r="AW90" s="871">
        <f t="shared" si="98"/>
        <v>-45.143736896110084</v>
      </c>
      <c r="AX90" s="871">
        <f t="shared" si="98"/>
        <v>-51.719883818543948</v>
      </c>
      <c r="AY90" s="871">
        <f t="shared" si="98"/>
        <v>-56.111811329926084</v>
      </c>
      <c r="AZ90" s="871">
        <f t="shared" si="98"/>
        <v>-66.491637763890779</v>
      </c>
      <c r="BA90" s="871">
        <f t="shared" si="98"/>
        <v>-70.220571753891647</v>
      </c>
      <c r="BB90" s="871">
        <f t="shared" si="98"/>
        <v>-73.540109532220782</v>
      </c>
      <c r="BC90" s="871">
        <f t="shared" si="98"/>
        <v>-76.471218987170772</v>
      </c>
      <c r="BD90" s="871">
        <f t="shared" si="98"/>
        <v>-80.011631737597767</v>
      </c>
      <c r="BE90" s="871">
        <f t="shared" si="98"/>
        <v>-84.144856285422122</v>
      </c>
      <c r="BF90" s="871">
        <f t="shared" si="98"/>
        <v>-88.556108998523541</v>
      </c>
      <c r="BG90" s="871">
        <f t="shared" si="98"/>
        <v>-93.275869358997568</v>
      </c>
      <c r="BH90" s="871">
        <f t="shared" si="98"/>
        <v>-98.172112005560265</v>
      </c>
      <c r="BI90" s="871">
        <f t="shared" si="98"/>
        <v>-104.92112726003302</v>
      </c>
      <c r="BJ90" s="871">
        <f t="shared" si="98"/>
        <v>-110.35003082217304</v>
      </c>
      <c r="BK90" s="871">
        <f t="shared" si="98"/>
        <v>-114.44911261992405</v>
      </c>
      <c r="BL90" s="871">
        <f t="shared" si="98"/>
        <v>-119.9766699678997</v>
      </c>
      <c r="BM90" s="871">
        <f t="shared" si="98"/>
        <v>-124.05222846007707</v>
      </c>
      <c r="BN90" s="871">
        <f t="shared" si="98"/>
        <v>-126.52345431994758</v>
      </c>
      <c r="BO90" s="871">
        <f t="shared" si="98"/>
        <v>-127.72654075997545</v>
      </c>
      <c r="BP90" s="871">
        <f t="shared" si="98"/>
        <v>-127.76735116820885</v>
      </c>
      <c r="BQ90" s="871">
        <f t="shared" si="98"/>
        <v>-126.83706703578754</v>
      </c>
      <c r="BR90" s="871">
        <f t="shared" si="98"/>
        <v>-125.09241284958216</v>
      </c>
      <c r="BS90" s="871">
        <f t="shared" si="98"/>
        <v>-122.68826945115862</v>
      </c>
      <c r="BT90" s="871">
        <f t="shared" si="98"/>
        <v>-119.21829656409493</v>
      </c>
      <c r="BU90" s="871">
        <f t="shared" si="98"/>
        <v>-115.91948715810442</v>
      </c>
      <c r="BV90" s="871">
        <f t="shared" si="98"/>
        <v>-113.26302571108405</v>
      </c>
      <c r="BW90" s="871">
        <f t="shared" si="98"/>
        <v>-111.34653740587001</v>
      </c>
      <c r="BX90" s="871">
        <f t="shared" si="98"/>
        <v>-109.55919861005081</v>
      </c>
      <c r="BY90" s="871">
        <f t="shared" si="98"/>
        <v>-108.81982356627053</v>
      </c>
      <c r="BZ90" s="871">
        <f t="shared" si="98"/>
        <v>-109.05700164462959</v>
      </c>
      <c r="CA90" s="871">
        <f t="shared" si="98"/>
        <v>-110.16884170762836</v>
      </c>
      <c r="CB90" s="871">
        <f t="shared" si="98"/>
        <v>-112.06147541873588</v>
      </c>
      <c r="CC90" s="871">
        <f t="shared" si="98"/>
        <v>-114.64775451294335</v>
      </c>
      <c r="CD90" s="871">
        <f t="shared" si="98"/>
        <v>-117.84262910560543</v>
      </c>
      <c r="CE90" s="871">
        <f t="shared" si="98"/>
        <v>-121.56045698523667</v>
      </c>
      <c r="CF90" s="871">
        <f t="shared" si="98"/>
        <v>-125.71444036758</v>
      </c>
      <c r="CG90" s="871">
        <f t="shared" si="98"/>
        <v>-130.2176015447202</v>
      </c>
      <c r="CH90" s="871">
        <f t="shared" si="99"/>
        <v>-134.63351441297834</v>
      </c>
      <c r="CI90" s="871">
        <f t="shared" si="99"/>
        <v>-138.90237326257977</v>
      </c>
      <c r="CJ90" s="871">
        <f t="shared" si="99"/>
        <v>-142.96273777706949</v>
      </c>
      <c r="CK90" s="871">
        <f t="shared" si="99"/>
        <v>-146.81025276316333</v>
      </c>
      <c r="CL90" s="871">
        <f t="shared" si="99"/>
        <v>-150.44405031807645</v>
      </c>
      <c r="CM90" s="871">
        <f t="shared" si="99"/>
        <v>-153.88834618379352</v>
      </c>
      <c r="CN90" s="871">
        <f t="shared" si="99"/>
        <v>-157.16482842764708</v>
      </c>
      <c r="CO90" s="871">
        <f t="shared" si="99"/>
        <v>-160.29334790343484</v>
      </c>
      <c r="CP90" s="871">
        <f t="shared" si="99"/>
        <v>-163.29222132971097</v>
      </c>
      <c r="CQ90" s="871">
        <f t="shared" si="99"/>
        <v>-166.17936334440361</v>
      </c>
      <c r="CR90" s="871">
        <f t="shared" si="99"/>
        <v>-168.97244733341495</v>
      </c>
      <c r="CS90" s="871">
        <f t="shared" si="99"/>
        <v>-171.6890898975725</v>
      </c>
      <c r="CT90" s="871">
        <f t="shared" si="99"/>
        <v>-174.29326939522053</v>
      </c>
      <c r="CU90" s="871">
        <f t="shared" si="99"/>
        <v>-177.31898861838368</v>
      </c>
      <c r="CV90" s="871">
        <f t="shared" si="99"/>
        <v>-180.79054629056918</v>
      </c>
      <c r="CW90" s="871">
        <f t="shared" si="99"/>
        <v>-184.70838080761922</v>
      </c>
      <c r="CX90" s="871">
        <f t="shared" si="99"/>
        <v>-189.78612835441427</v>
      </c>
      <c r="CY90" s="871">
        <f t="shared" si="99"/>
        <v>-196.04319100191316</v>
      </c>
      <c r="CZ90" s="871">
        <f t="shared" si="99"/>
        <v>-203.51985866970142</v>
      </c>
      <c r="DA90" s="871">
        <f t="shared" si="99"/>
        <v>-212.26381542486979</v>
      </c>
      <c r="DC90" s="12">
        <f t="shared" si="93"/>
        <v>-11.502107217999999</v>
      </c>
      <c r="DD90" s="12">
        <f t="shared" si="70"/>
        <v>-130.26628140862746</v>
      </c>
      <c r="DE90" s="702">
        <f t="shared" si="71"/>
        <v>-696.61180350339009</v>
      </c>
      <c r="DF90" s="12">
        <f t="shared" si="72"/>
        <v>-1362.6076727771078</v>
      </c>
      <c r="DG90" s="12">
        <f t="shared" si="73"/>
        <v>-1371.8421246001526</v>
      </c>
      <c r="DH90" s="12">
        <f t="shared" si="74"/>
        <v>-1680.4345790518853</v>
      </c>
      <c r="DI90" s="12">
        <f t="shared" si="75"/>
        <v>-2188.8573004677933</v>
      </c>
    </row>
    <row r="91" spans="2:113" outlineLevel="2">
      <c r="B91" s="758"/>
      <c r="E91" s="698"/>
      <c r="G91" s="126" t="s">
        <v>819</v>
      </c>
      <c r="I91" s="609" t="s">
        <v>736</v>
      </c>
      <c r="O91" s="715"/>
      <c r="P91" s="715"/>
      <c r="Q91" s="715"/>
      <c r="R91" s="715"/>
      <c r="S91" s="715"/>
      <c r="T91" s="715"/>
      <c r="U91" s="715"/>
      <c r="V91" s="871">
        <f t="shared" si="98"/>
        <v>0</v>
      </c>
      <c r="W91" s="871">
        <f t="shared" si="98"/>
        <v>0</v>
      </c>
      <c r="X91" s="871">
        <f t="shared" si="98"/>
        <v>0</v>
      </c>
      <c r="Y91" s="871">
        <f t="shared" si="98"/>
        <v>0</v>
      </c>
      <c r="Z91" s="871">
        <f t="shared" si="98"/>
        <v>0</v>
      </c>
      <c r="AA91" s="871">
        <f t="shared" si="98"/>
        <v>0</v>
      </c>
      <c r="AB91" s="871">
        <f t="shared" si="98"/>
        <v>0</v>
      </c>
      <c r="AC91" s="871">
        <f t="shared" si="98"/>
        <v>0</v>
      </c>
      <c r="AD91" s="871">
        <f t="shared" si="98"/>
        <v>0</v>
      </c>
      <c r="AE91" s="871">
        <f t="shared" si="98"/>
        <v>0</v>
      </c>
      <c r="AF91" s="871">
        <f t="shared" si="98"/>
        <v>0</v>
      </c>
      <c r="AG91" s="871">
        <f t="shared" si="98"/>
        <v>0</v>
      </c>
      <c r="AH91" s="871">
        <f t="shared" si="98"/>
        <v>0</v>
      </c>
      <c r="AI91" s="871">
        <f t="shared" si="98"/>
        <v>0</v>
      </c>
      <c r="AJ91" s="871">
        <f t="shared" si="98"/>
        <v>0</v>
      </c>
      <c r="AK91" s="871">
        <f t="shared" si="98"/>
        <v>-1.39776E-2</v>
      </c>
      <c r="AL91" s="871">
        <f t="shared" si="98"/>
        <v>-1.6284992000000002E-2</v>
      </c>
      <c r="AM91" s="871">
        <f t="shared" si="98"/>
        <v>-1.88352E-2</v>
      </c>
      <c r="AN91" s="871">
        <f t="shared" si="98"/>
        <v>-2.23E-2</v>
      </c>
      <c r="AO91" s="871">
        <f t="shared" si="98"/>
        <v>-2.5142399999999999E-2</v>
      </c>
      <c r="AP91" s="871">
        <f t="shared" si="98"/>
        <v>0.21075548932765747</v>
      </c>
      <c r="AQ91" s="871">
        <f t="shared" si="98"/>
        <v>0.15515751478825734</v>
      </c>
      <c r="AR91" s="871">
        <f t="shared" si="98"/>
        <v>0.61496397165042183</v>
      </c>
      <c r="AS91" s="871">
        <f t="shared" si="98"/>
        <v>1.2836085400191592</v>
      </c>
      <c r="AT91" s="871">
        <f t="shared" si="98"/>
        <v>1.2799197369191191</v>
      </c>
      <c r="AU91" s="871">
        <f t="shared" si="98"/>
        <v>0.89052825432548488</v>
      </c>
      <c r="AV91" s="871">
        <f t="shared" si="98"/>
        <v>0.7960338494213488</v>
      </c>
      <c r="AW91" s="871">
        <f t="shared" si="98"/>
        <v>0.85995505379884563</v>
      </c>
      <c r="AX91" s="871">
        <f t="shared" si="98"/>
        <v>1.0017397772732686</v>
      </c>
      <c r="AY91" s="871">
        <f t="shared" si="98"/>
        <v>1.1749567462529491</v>
      </c>
      <c r="AZ91" s="871">
        <f t="shared" si="98"/>
        <v>1.2731534202544168</v>
      </c>
      <c r="BA91" s="871">
        <f t="shared" si="98"/>
        <v>1.4402803706407141</v>
      </c>
      <c r="BB91" s="871">
        <f t="shared" si="98"/>
        <v>1.6390044962809114</v>
      </c>
      <c r="BC91" s="871">
        <f t="shared" si="98"/>
        <v>1.8689096177855511</v>
      </c>
      <c r="BD91" s="871">
        <f t="shared" si="98"/>
        <v>2.1233858795468485</v>
      </c>
      <c r="BE91" s="871">
        <f t="shared" si="98"/>
        <v>2.4093441442605439</v>
      </c>
      <c r="BF91" s="871">
        <f t="shared" si="98"/>
        <v>2.7245579333336494</v>
      </c>
      <c r="BG91" s="871">
        <f t="shared" si="98"/>
        <v>3.0583671688129499</v>
      </c>
      <c r="BH91" s="871">
        <f t="shared" si="98"/>
        <v>3.4115010828781962</v>
      </c>
      <c r="BI91" s="871">
        <f t="shared" si="98"/>
        <v>3.7761515423276819</v>
      </c>
      <c r="BJ91" s="871">
        <f t="shared" si="98"/>
        <v>4.2560482970364717</v>
      </c>
      <c r="BK91" s="871">
        <f t="shared" si="98"/>
        <v>4.6842838784154424</v>
      </c>
      <c r="BL91" s="871">
        <f t="shared" si="98"/>
        <v>5.003506047798453</v>
      </c>
      <c r="BM91" s="871">
        <f t="shared" si="98"/>
        <v>5.2326984326662114</v>
      </c>
      <c r="BN91" s="871">
        <f t="shared" si="98"/>
        <v>5.3818164187485422</v>
      </c>
      <c r="BO91" s="871">
        <f t="shared" si="98"/>
        <v>5.4479571224464109</v>
      </c>
      <c r="BP91" s="871">
        <f t="shared" si="98"/>
        <v>5.4452236616327525</v>
      </c>
      <c r="BQ91" s="871">
        <f t="shared" si="98"/>
        <v>5.3805831195523979</v>
      </c>
      <c r="BR91" s="871">
        <f t="shared" si="98"/>
        <v>5.2638533297026697</v>
      </c>
      <c r="BS91" s="871">
        <f t="shared" si="98"/>
        <v>5.1042492194484907</v>
      </c>
      <c r="BT91" s="871">
        <f t="shared" si="98"/>
        <v>4.9106122313305036</v>
      </c>
      <c r="BU91" s="871">
        <f t="shared" si="98"/>
        <v>4.6747089429587163</v>
      </c>
      <c r="BV91" s="871">
        <f t="shared" si="98"/>
        <v>4.4670224037590742</v>
      </c>
      <c r="BW91" s="871">
        <f t="shared" si="98"/>
        <v>4.2961219040511196</v>
      </c>
      <c r="BX91" s="871">
        <f t="shared" si="98"/>
        <v>4.1538126778793298</v>
      </c>
      <c r="BY91" s="871">
        <f t="shared" si="98"/>
        <v>4.0240606732287745</v>
      </c>
      <c r="BZ91" s="871">
        <f t="shared" si="98"/>
        <v>3.9238862081707566</v>
      </c>
      <c r="CA91" s="871">
        <f t="shared" si="98"/>
        <v>3.8508519231442335</v>
      </c>
      <c r="CB91" s="871">
        <f t="shared" si="98"/>
        <v>3.8025309337238298</v>
      </c>
      <c r="CC91" s="871">
        <f t="shared" si="98"/>
        <v>3.7762379580125298</v>
      </c>
      <c r="CD91" s="871">
        <f t="shared" si="98"/>
        <v>3.7694266906680411</v>
      </c>
      <c r="CE91" s="871">
        <f t="shared" si="98"/>
        <v>3.7795493719231956</v>
      </c>
      <c r="CF91" s="871">
        <f t="shared" si="98"/>
        <v>3.8039897710048649</v>
      </c>
      <c r="CG91" s="871">
        <f t="shared" si="98"/>
        <v>3.8400718209324936</v>
      </c>
      <c r="CH91" s="871">
        <f t="shared" si="99"/>
        <v>3.8850885036156484</v>
      </c>
      <c r="CI91" s="871">
        <f t="shared" si="99"/>
        <v>3.9325137003490198</v>
      </c>
      <c r="CJ91" s="871">
        <f t="shared" si="99"/>
        <v>3.984006240193537</v>
      </c>
      <c r="CK91" s="871">
        <f t="shared" si="99"/>
        <v>4.0370127482324136</v>
      </c>
      <c r="CL91" s="871">
        <f t="shared" si="99"/>
        <v>4.0895206672183946</v>
      </c>
      <c r="CM91" s="871">
        <f t="shared" si="99"/>
        <v>4.1416045391713396</v>
      </c>
      <c r="CN91" s="871">
        <f t="shared" si="99"/>
        <v>4.1932900677250018</v>
      </c>
      <c r="CO91" s="871">
        <f t="shared" si="99"/>
        <v>4.2445550330397879</v>
      </c>
      <c r="CP91" s="871">
        <f t="shared" si="99"/>
        <v>4.2953578311414162</v>
      </c>
      <c r="CQ91" s="871">
        <f t="shared" si="99"/>
        <v>4.3456113631762179</v>
      </c>
      <c r="CR91" s="871">
        <f t="shared" si="99"/>
        <v>4.3952032047335763</v>
      </c>
      <c r="CS91" s="871">
        <f t="shared" si="99"/>
        <v>4.4439923259476615</v>
      </c>
      <c r="CT91" s="871">
        <f t="shared" si="99"/>
        <v>4.4918140312146591</v>
      </c>
      <c r="CU91" s="871">
        <f t="shared" si="99"/>
        <v>4.5375411439448214</v>
      </c>
      <c r="CV91" s="871">
        <f t="shared" si="99"/>
        <v>4.5968166659481113</v>
      </c>
      <c r="CW91" s="871">
        <f t="shared" si="99"/>
        <v>4.6700901915606323</v>
      </c>
      <c r="CX91" s="871">
        <f t="shared" si="99"/>
        <v>4.7583854118561106</v>
      </c>
      <c r="CY91" s="871">
        <f t="shared" si="99"/>
        <v>4.8639819128793107</v>
      </c>
      <c r="CZ91" s="871">
        <f t="shared" si="99"/>
        <v>4.988635868973347</v>
      </c>
      <c r="DA91" s="871">
        <f t="shared" si="99"/>
        <v>5.1335956296859138</v>
      </c>
      <c r="DC91" s="12">
        <f t="shared" si="93"/>
        <v>0</v>
      </c>
      <c r="DD91" s="12">
        <f t="shared" si="70"/>
        <v>2.1679453237854958</v>
      </c>
      <c r="DE91" s="12">
        <f t="shared" si="71"/>
        <v>16.757211346760002</v>
      </c>
      <c r="DF91" s="12">
        <f t="shared" si="72"/>
        <v>53.802694705649159</v>
      </c>
      <c r="DG91" s="12">
        <f t="shared" si="73"/>
        <v>52.247948405410028</v>
      </c>
      <c r="DH91" s="12">
        <f t="shared" si="74"/>
        <v>47.700629154073738</v>
      </c>
      <c r="DI91" s="12">
        <f t="shared" si="75"/>
        <v>55.521025581061778</v>
      </c>
    </row>
    <row r="92" spans="2:113" outlineLevel="2">
      <c r="B92" s="758"/>
      <c r="E92" s="698" t="s">
        <v>820</v>
      </c>
      <c r="I92" s="609" t="s">
        <v>736</v>
      </c>
      <c r="O92" s="696"/>
      <c r="P92" s="696"/>
      <c r="Q92" s="696"/>
      <c r="R92" s="696"/>
      <c r="S92" s="696"/>
      <c r="T92" s="696"/>
      <c r="U92" s="696"/>
      <c r="V92" s="700"/>
      <c r="W92" s="700"/>
      <c r="X92" s="700"/>
      <c r="Y92" s="700"/>
      <c r="Z92" s="700"/>
      <c r="AA92" s="696">
        <f t="shared" ref="AA92:CL92" si="100">AA63+AA79+AA80</f>
        <v>1.15615E-4</v>
      </c>
      <c r="AB92" s="696">
        <f t="shared" si="100"/>
        <v>0.84121483460504609</v>
      </c>
      <c r="AC92" s="696">
        <f t="shared" si="100"/>
        <v>1.4139098497585014</v>
      </c>
      <c r="AD92" s="696">
        <f t="shared" si="100"/>
        <v>1.2112826930104044</v>
      </c>
      <c r="AE92" s="696">
        <f t="shared" si="100"/>
        <v>1.701360319184587</v>
      </c>
      <c r="AF92" s="696">
        <f t="shared" si="100"/>
        <v>2.8213610740448494</v>
      </c>
      <c r="AG92" s="696">
        <f t="shared" si="100"/>
        <v>7.6198572918331617</v>
      </c>
      <c r="AH92" s="872">
        <f t="shared" si="100"/>
        <v>6.8634017147301174</v>
      </c>
      <c r="AI92" s="872">
        <f t="shared" si="100"/>
        <v>4.9826105595884496</v>
      </c>
      <c r="AJ92" s="872">
        <f t="shared" si="100"/>
        <v>2.564918303490316</v>
      </c>
      <c r="AK92" s="872">
        <f t="shared" si="100"/>
        <v>2.4322631659113325</v>
      </c>
      <c r="AL92" s="872">
        <f t="shared" si="100"/>
        <v>6.4120918476251809</v>
      </c>
      <c r="AM92" s="872">
        <f t="shared" si="100"/>
        <v>11.079201468779795</v>
      </c>
      <c r="AN92" s="872">
        <f t="shared" si="100"/>
        <v>17.787640066300888</v>
      </c>
      <c r="AO92" s="872">
        <f t="shared" si="100"/>
        <v>21.458556632640253</v>
      </c>
      <c r="AP92" s="872">
        <f t="shared" si="100"/>
        <v>19.063406921775247</v>
      </c>
      <c r="AQ92" s="872">
        <f t="shared" si="100"/>
        <v>10.468020022310778</v>
      </c>
      <c r="AR92" s="872">
        <f t="shared" si="100"/>
        <v>21.333103949128315</v>
      </c>
      <c r="AS92" s="872">
        <f t="shared" si="100"/>
        <v>25.352127907042412</v>
      </c>
      <c r="AT92" s="872">
        <f t="shared" si="100"/>
        <v>-5.0277710225658225</v>
      </c>
      <c r="AU92" s="872">
        <f t="shared" si="100"/>
        <v>16.82935621175146</v>
      </c>
      <c r="AV92" s="872">
        <f t="shared" si="100"/>
        <v>15.746311445826191</v>
      </c>
      <c r="AW92" s="872">
        <f t="shared" si="100"/>
        <v>19.187496565621352</v>
      </c>
      <c r="AX92" s="872">
        <f t="shared" si="100"/>
        <v>22.361315436472147</v>
      </c>
      <c r="AY92" s="872">
        <f t="shared" si="100"/>
        <v>24.332615263637919</v>
      </c>
      <c r="AZ92" s="872">
        <f t="shared" si="100"/>
        <v>27.708033358476904</v>
      </c>
      <c r="BA92" s="872">
        <f t="shared" si="100"/>
        <v>27.4526174420605</v>
      </c>
      <c r="BB92" s="872">
        <f t="shared" si="100"/>
        <v>32.35248099965726</v>
      </c>
      <c r="BC92" s="872">
        <f t="shared" si="100"/>
        <v>38.830310316518258</v>
      </c>
      <c r="BD92" s="872">
        <f t="shared" si="100"/>
        <v>45.095523813658147</v>
      </c>
      <c r="BE92" s="872">
        <f>BE63+BE79+BE80</f>
        <v>53.248732611038214</v>
      </c>
      <c r="BF92" s="872">
        <f t="shared" si="100"/>
        <v>58.571869567981693</v>
      </c>
      <c r="BG92" s="872">
        <f t="shared" si="100"/>
        <v>59.550151276229244</v>
      </c>
      <c r="BH92" s="872">
        <f t="shared" si="100"/>
        <v>60.259141914697544</v>
      </c>
      <c r="BI92" s="872">
        <f t="shared" si="100"/>
        <v>58.98123408218872</v>
      </c>
      <c r="BJ92" s="872">
        <f t="shared" si="100"/>
        <v>56.326022980254372</v>
      </c>
      <c r="BK92" s="872">
        <f t="shared" si="100"/>
        <v>52.266755167888277</v>
      </c>
      <c r="BL92" s="872">
        <f t="shared" si="100"/>
        <v>47.215807583916963</v>
      </c>
      <c r="BM92" s="872">
        <f t="shared" si="100"/>
        <v>39.444399913402833</v>
      </c>
      <c r="BN92" s="872">
        <f t="shared" si="100"/>
        <v>32.447703530359604</v>
      </c>
      <c r="BO92" s="872">
        <f t="shared" si="100"/>
        <v>26.082729424710081</v>
      </c>
      <c r="BP92" s="872">
        <f t="shared" si="100"/>
        <v>20.185568164707945</v>
      </c>
      <c r="BQ92" s="872">
        <f t="shared" si="100"/>
        <v>14.73567200891133</v>
      </c>
      <c r="BR92" s="872">
        <f t="shared" si="100"/>
        <v>11.027090237512944</v>
      </c>
      <c r="BS92" s="872">
        <f t="shared" si="100"/>
        <v>10.026009272778559</v>
      </c>
      <c r="BT92" s="872">
        <f t="shared" si="100"/>
        <v>10.671673793398128</v>
      </c>
      <c r="BU92" s="872">
        <f t="shared" si="100"/>
        <v>12.586906300751906</v>
      </c>
      <c r="BV92" s="872">
        <f t="shared" si="100"/>
        <v>15.751467777736778</v>
      </c>
      <c r="BW92" s="872">
        <f t="shared" si="100"/>
        <v>20.160642296132188</v>
      </c>
      <c r="BX92" s="872">
        <f t="shared" si="100"/>
        <v>25.623614608924186</v>
      </c>
      <c r="BY92" s="872">
        <f t="shared" si="100"/>
        <v>31.234777392130724</v>
      </c>
      <c r="BZ92" s="872">
        <f t="shared" si="100"/>
        <v>36.470712611734456</v>
      </c>
      <c r="CA92" s="872">
        <f t="shared" si="100"/>
        <v>41.444508977094976</v>
      </c>
      <c r="CB92" s="872">
        <f t="shared" si="100"/>
        <v>46.255182545537018</v>
      </c>
      <c r="CC92" s="872">
        <f t="shared" si="100"/>
        <v>50.567550016793341</v>
      </c>
      <c r="CD92" s="872">
        <f t="shared" si="100"/>
        <v>53.48258471024343</v>
      </c>
      <c r="CE92" s="872">
        <f t="shared" si="100"/>
        <v>56.208604647735399</v>
      </c>
      <c r="CF92" s="872">
        <f t="shared" si="100"/>
        <v>58.105104027021461</v>
      </c>
      <c r="CG92" s="872">
        <f t="shared" si="100"/>
        <v>59.203352051636017</v>
      </c>
      <c r="CH92" s="872">
        <f t="shared" si="100"/>
        <v>59.619320537275996</v>
      </c>
      <c r="CI92" s="872">
        <f t="shared" si="100"/>
        <v>59.457938159026227</v>
      </c>
      <c r="CJ92" s="872">
        <f t="shared" si="100"/>
        <v>58.824411709028524</v>
      </c>
      <c r="CK92" s="872">
        <f t="shared" si="100"/>
        <v>57.950805380942199</v>
      </c>
      <c r="CL92" s="872">
        <f t="shared" si="100"/>
        <v>57.07297642452977</v>
      </c>
      <c r="CM92" s="872">
        <f t="shared" ref="CM92:DA92" si="101">CM63+CM79+CM80</f>
        <v>56.258380983596666</v>
      </c>
      <c r="CN92" s="872">
        <f t="shared" si="101"/>
        <v>55.562187947831035</v>
      </c>
      <c r="CO92" s="872">
        <f t="shared" si="101"/>
        <v>55.015781354377793</v>
      </c>
      <c r="CP92" s="872">
        <f t="shared" si="101"/>
        <v>54.125738355210856</v>
      </c>
      <c r="CQ92" s="872">
        <f t="shared" si="101"/>
        <v>53.973512266468362</v>
      </c>
      <c r="CR92" s="872">
        <f t="shared" si="101"/>
        <v>54.940803559908929</v>
      </c>
      <c r="CS92" s="872">
        <f t="shared" si="101"/>
        <v>57.091690411545045</v>
      </c>
      <c r="CT92" s="872">
        <f t="shared" si="101"/>
        <v>60.459718753875407</v>
      </c>
      <c r="CU92" s="872">
        <f t="shared" si="101"/>
        <v>64.860283163614355</v>
      </c>
      <c r="CV92" s="872">
        <f t="shared" si="101"/>
        <v>70.305475212536663</v>
      </c>
      <c r="CW92" s="872">
        <f t="shared" si="101"/>
        <v>76.818161683536545</v>
      </c>
      <c r="CX92" s="872">
        <f t="shared" si="101"/>
        <v>84.400504625995723</v>
      </c>
      <c r="CY92" s="872">
        <f t="shared" si="101"/>
        <v>92.407893463797691</v>
      </c>
      <c r="CZ92" s="872">
        <f t="shared" si="101"/>
        <v>100.86106275363252</v>
      </c>
      <c r="DA92" s="872">
        <f t="shared" si="101"/>
        <v>109.77673057527595</v>
      </c>
      <c r="DC92" s="14">
        <f>SUM(V92:AG92)</f>
        <v>15.60910167743655</v>
      </c>
      <c r="DD92" s="14">
        <f t="shared" si="70"/>
        <v>149.79734255932308</v>
      </c>
      <c r="DE92" s="14">
        <f t="shared" si="71"/>
        <v>318.11702244215252</v>
      </c>
      <c r="DF92" s="14">
        <f t="shared" si="72"/>
        <v>526.06705561524859</v>
      </c>
      <c r="DG92" s="14">
        <f t="shared" si="73"/>
        <v>311.8201358305252</v>
      </c>
      <c r="DH92" s="14">
        <f t="shared" si="74"/>
        <v>686.76144793324465</v>
      </c>
      <c r="DI92" s="14">
        <f t="shared" si="75"/>
        <v>880.02157482539792</v>
      </c>
    </row>
    <row r="93" spans="2:113" outlineLevel="2">
      <c r="B93" s="758"/>
      <c r="E93" s="229"/>
      <c r="F93" s="230" t="s">
        <v>423</v>
      </c>
      <c r="I93" s="609" t="s">
        <v>736</v>
      </c>
      <c r="O93" s="696"/>
      <c r="P93" s="696"/>
      <c r="Q93" s="696"/>
      <c r="R93" s="696"/>
      <c r="S93" s="696"/>
      <c r="T93" s="696"/>
      <c r="U93" s="696"/>
      <c r="V93" s="700"/>
      <c r="W93" s="700"/>
      <c r="X93" s="700"/>
      <c r="Y93" s="700"/>
      <c r="Z93" s="700"/>
      <c r="AA93" s="696"/>
      <c r="AB93" s="715">
        <f t="shared" ref="AB93:CM94" si="102">AB134+AB175+AB216</f>
        <v>0</v>
      </c>
      <c r="AC93" s="715">
        <f t="shared" si="102"/>
        <v>0</v>
      </c>
      <c r="AD93" s="715">
        <f t="shared" si="102"/>
        <v>0</v>
      </c>
      <c r="AE93" s="715">
        <f t="shared" si="102"/>
        <v>0</v>
      </c>
      <c r="AF93" s="715">
        <f t="shared" si="102"/>
        <v>0</v>
      </c>
      <c r="AG93" s="715">
        <f t="shared" si="102"/>
        <v>0</v>
      </c>
      <c r="AH93" s="715">
        <f t="shared" si="102"/>
        <v>17.749568959196381</v>
      </c>
      <c r="AI93" s="715">
        <f t="shared" si="102"/>
        <v>24.736000650701133</v>
      </c>
      <c r="AJ93" s="715">
        <f t="shared" si="102"/>
        <v>33.682158085176191</v>
      </c>
      <c r="AK93" s="715">
        <f t="shared" si="102"/>
        <v>46.259236661994912</v>
      </c>
      <c r="AL93" s="715">
        <f t="shared" si="102"/>
        <v>58.662876883970732</v>
      </c>
      <c r="AM93" s="715">
        <f t="shared" si="102"/>
        <v>65.750406461386717</v>
      </c>
      <c r="AN93" s="715">
        <f t="shared" si="102"/>
        <v>74.639110285931935</v>
      </c>
      <c r="AO93" s="715">
        <f t="shared" si="102"/>
        <v>83.700026419558952</v>
      </c>
      <c r="AP93" s="715">
        <f t="shared" si="102"/>
        <v>93.840530957232971</v>
      </c>
      <c r="AQ93" s="715">
        <f t="shared" si="102"/>
        <v>107.75183146491679</v>
      </c>
      <c r="AR93" s="715">
        <f t="shared" si="102"/>
        <v>132.87535949368828</v>
      </c>
      <c r="AS93" s="715">
        <f t="shared" si="102"/>
        <v>158.15182731713514</v>
      </c>
      <c r="AT93" s="715">
        <f t="shared" si="102"/>
        <v>122.24772712718637</v>
      </c>
      <c r="AU93" s="715">
        <f t="shared" si="102"/>
        <v>141.27035853215602</v>
      </c>
      <c r="AV93" s="715">
        <f t="shared" si="102"/>
        <v>157.58580899587355</v>
      </c>
      <c r="AW93" s="715">
        <f t="shared" si="102"/>
        <v>182.97669894342334</v>
      </c>
      <c r="AX93" s="715">
        <f t="shared" si="102"/>
        <v>210.47867973838498</v>
      </c>
      <c r="AY93" s="715">
        <f t="shared" si="102"/>
        <v>233.2602519100401</v>
      </c>
      <c r="AZ93" s="715">
        <f t="shared" si="102"/>
        <v>252.28195952378309</v>
      </c>
      <c r="BA93" s="715">
        <f t="shared" si="102"/>
        <v>263.10832970080185</v>
      </c>
      <c r="BB93" s="715">
        <f t="shared" si="102"/>
        <v>273.01627106737249</v>
      </c>
      <c r="BC93" s="715">
        <f t="shared" si="102"/>
        <v>285.26673348271243</v>
      </c>
      <c r="BD93" s="715">
        <f t="shared" si="102"/>
        <v>299.26163553226581</v>
      </c>
      <c r="BE93" s="715">
        <f t="shared" si="102"/>
        <v>314.80932439220123</v>
      </c>
      <c r="BF93" s="715">
        <f t="shared" si="102"/>
        <v>331.51806617123168</v>
      </c>
      <c r="BG93" s="715">
        <f t="shared" si="102"/>
        <v>349.20915303019831</v>
      </c>
      <c r="BH93" s="715">
        <f t="shared" si="102"/>
        <v>367.35348744817531</v>
      </c>
      <c r="BI93" s="715">
        <f t="shared" si="102"/>
        <v>390.02260990006334</v>
      </c>
      <c r="BJ93" s="715">
        <f t="shared" si="102"/>
        <v>415.10650381845846</v>
      </c>
      <c r="BK93" s="715">
        <f t="shared" si="102"/>
        <v>440.98173895112308</v>
      </c>
      <c r="BL93" s="715">
        <f t="shared" si="102"/>
        <v>466.21108940337683</v>
      </c>
      <c r="BM93" s="715">
        <f t="shared" si="102"/>
        <v>485.22111201149937</v>
      </c>
      <c r="BN93" s="715">
        <f t="shared" si="102"/>
        <v>498.20213248984328</v>
      </c>
      <c r="BO93" s="715">
        <f t="shared" si="102"/>
        <v>505.53837750169714</v>
      </c>
      <c r="BP93" s="715">
        <f t="shared" si="102"/>
        <v>507.87694014890883</v>
      </c>
      <c r="BQ93" s="715">
        <f t="shared" si="102"/>
        <v>505.82608668090211</v>
      </c>
      <c r="BR93" s="715">
        <f t="shared" si="102"/>
        <v>500.34095034115171</v>
      </c>
      <c r="BS93" s="715">
        <f t="shared" si="102"/>
        <v>492.02059651227825</v>
      </c>
      <c r="BT93" s="715">
        <f t="shared" si="102"/>
        <v>480.88828941729378</v>
      </c>
      <c r="BU93" s="715">
        <f t="shared" si="102"/>
        <v>468.06040037867092</v>
      </c>
      <c r="BV93" s="715">
        <f t="shared" si="102"/>
        <v>455.23901814062162</v>
      </c>
      <c r="BW93" s="715">
        <f t="shared" si="102"/>
        <v>444.03962426840218</v>
      </c>
      <c r="BX93" s="715">
        <f t="shared" si="102"/>
        <v>435.79748180879432</v>
      </c>
      <c r="BY93" s="715">
        <f t="shared" si="102"/>
        <v>431.23948286696282</v>
      </c>
      <c r="BZ93" s="715">
        <f t="shared" si="102"/>
        <v>430.147982273845</v>
      </c>
      <c r="CA93" s="715">
        <f t="shared" si="102"/>
        <v>432.16137627549369</v>
      </c>
      <c r="CB93" s="715">
        <f t="shared" si="102"/>
        <v>437.50095408510117</v>
      </c>
      <c r="CC93" s="715">
        <f t="shared" si="102"/>
        <v>445.79618577612052</v>
      </c>
      <c r="CD93" s="715">
        <f t="shared" si="102"/>
        <v>456.70417072236069</v>
      </c>
      <c r="CE93" s="715">
        <f t="shared" si="102"/>
        <v>469.89136052450556</v>
      </c>
      <c r="CF93" s="715">
        <f t="shared" si="102"/>
        <v>485.02573140064021</v>
      </c>
      <c r="CG93" s="715">
        <f t="shared" si="102"/>
        <v>501.77038207231959</v>
      </c>
      <c r="CH93" s="715">
        <f t="shared" si="102"/>
        <v>519.49387894601409</v>
      </c>
      <c r="CI93" s="715">
        <f t="shared" si="102"/>
        <v>537.58478872786213</v>
      </c>
      <c r="CJ93" s="715">
        <f t="shared" si="102"/>
        <v>555.47415230923025</v>
      </c>
      <c r="CK93" s="715">
        <f t="shared" si="102"/>
        <v>572.637827391065</v>
      </c>
      <c r="CL93" s="715">
        <f t="shared" si="102"/>
        <v>588.95660453862365</v>
      </c>
      <c r="CM93" s="715">
        <f t="shared" si="102"/>
        <v>604.39920023787204</v>
      </c>
      <c r="CN93" s="715">
        <f t="shared" ref="CN93:DA94" si="103">CN134+CN175+CN216</f>
        <v>618.99413884691467</v>
      </c>
      <c r="CO93" s="715">
        <f t="shared" si="103"/>
        <v>632.83092055532234</v>
      </c>
      <c r="CP93" s="715">
        <f t="shared" si="103"/>
        <v>645.99082434383899</v>
      </c>
      <c r="CQ93" s="715">
        <f t="shared" si="103"/>
        <v>658.54984833256583</v>
      </c>
      <c r="CR93" s="715">
        <f t="shared" si="103"/>
        <v>670.58035415374093</v>
      </c>
      <c r="CS93" s="715">
        <f t="shared" si="103"/>
        <v>682.15264831040258</v>
      </c>
      <c r="CT93" s="715">
        <f t="shared" si="103"/>
        <v>693.24757836689309</v>
      </c>
      <c r="CU93" s="715">
        <f t="shared" si="103"/>
        <v>705.08607146784755</v>
      </c>
      <c r="CV93" s="715">
        <f t="shared" si="103"/>
        <v>718.88256327454394</v>
      </c>
      <c r="CW93" s="715">
        <f t="shared" si="103"/>
        <v>735.89240882682157</v>
      </c>
      <c r="CX93" s="715">
        <f t="shared" si="103"/>
        <v>757.47391613589718</v>
      </c>
      <c r="CY93" s="715">
        <f t="shared" si="103"/>
        <v>783.80468936969419</v>
      </c>
      <c r="CZ93" s="715">
        <f t="shared" si="103"/>
        <v>815.08235756765521</v>
      </c>
      <c r="DA93" s="715">
        <f t="shared" si="103"/>
        <v>851.50183568149839</v>
      </c>
      <c r="DC93" s="11">
        <f t="shared" ref="DC93:DC98" si="104">AG93</f>
        <v>0</v>
      </c>
      <c r="DD93" s="11">
        <f t="shared" ref="DD93:DD98" si="105">AS93</f>
        <v>158.15182731713514</v>
      </c>
      <c r="DE93" s="11">
        <f t="shared" ref="DE93:DE98" si="106">BE93</f>
        <v>314.80932439220123</v>
      </c>
      <c r="DF93" s="11">
        <f t="shared" ref="DF93:DF98" si="107">BQ93</f>
        <v>505.82608668090211</v>
      </c>
      <c r="DG93" s="11">
        <f t="shared" ref="DG93:DG98" si="108">CC93</f>
        <v>445.79618577612052</v>
      </c>
      <c r="DH93" s="11">
        <f t="shared" ref="DH93:DH98" si="109">CO93</f>
        <v>632.83092055532234</v>
      </c>
      <c r="DI93" s="11">
        <f t="shared" ref="DI93:DI98" si="110">DA93</f>
        <v>851.50183568149839</v>
      </c>
    </row>
    <row r="94" spans="2:113" outlineLevel="2">
      <c r="B94" s="758"/>
      <c r="E94" s="229"/>
      <c r="F94" s="230" t="s">
        <v>810</v>
      </c>
      <c r="I94" s="609" t="s">
        <v>736</v>
      </c>
      <c r="O94" s="696"/>
      <c r="P94" s="696"/>
      <c r="Q94" s="696"/>
      <c r="R94" s="696"/>
      <c r="S94" s="696"/>
      <c r="T94" s="696"/>
      <c r="U94" s="696"/>
      <c r="V94" s="700"/>
      <c r="W94" s="700"/>
      <c r="X94" s="700"/>
      <c r="Y94" s="700"/>
      <c r="Z94" s="700"/>
      <c r="AA94" s="696"/>
      <c r="AB94" s="715">
        <f t="shared" si="102"/>
        <v>0</v>
      </c>
      <c r="AC94" s="715">
        <f t="shared" si="102"/>
        <v>0</v>
      </c>
      <c r="AD94" s="715">
        <f t="shared" si="102"/>
        <v>0</v>
      </c>
      <c r="AE94" s="715">
        <f t="shared" si="102"/>
        <v>0</v>
      </c>
      <c r="AF94" s="715">
        <f t="shared" si="102"/>
        <v>0</v>
      </c>
      <c r="AG94" s="715">
        <f t="shared" si="102"/>
        <v>0</v>
      </c>
      <c r="AH94" s="715">
        <f t="shared" si="102"/>
        <v>54.767981645382882</v>
      </c>
      <c r="AI94" s="715">
        <f t="shared" si="102"/>
        <v>69.49557771383364</v>
      </c>
      <c r="AJ94" s="715">
        <f t="shared" si="102"/>
        <v>73.041412749386211</v>
      </c>
      <c r="AK94" s="715">
        <f t="shared" si="102"/>
        <v>86.099644646674889</v>
      </c>
      <c r="AL94" s="715">
        <f t="shared" si="102"/>
        <v>92.749433983270947</v>
      </c>
      <c r="AM94" s="715">
        <f t="shared" si="102"/>
        <v>108.17190507324032</v>
      </c>
      <c r="AN94" s="715">
        <f t="shared" si="102"/>
        <v>135.16352627245374</v>
      </c>
      <c r="AO94" s="715">
        <f t="shared" si="102"/>
        <v>169.57366810004964</v>
      </c>
      <c r="AP94" s="715">
        <f t="shared" si="102"/>
        <v>214.842258799973</v>
      </c>
      <c r="AQ94" s="715">
        <f t="shared" si="102"/>
        <v>244.47979943672914</v>
      </c>
      <c r="AR94" s="715">
        <f t="shared" si="102"/>
        <v>281.20652853258355</v>
      </c>
      <c r="AS94" s="715">
        <f t="shared" si="102"/>
        <v>324.51877096597082</v>
      </c>
      <c r="AT94" s="715">
        <f t="shared" si="102"/>
        <v>320.84088815844513</v>
      </c>
      <c r="AU94" s="715">
        <f t="shared" si="102"/>
        <v>366.68079881180415</v>
      </c>
      <c r="AV94" s="715">
        <f t="shared" si="102"/>
        <v>402.64565423975478</v>
      </c>
      <c r="AW94" s="715">
        <f t="shared" si="102"/>
        <v>438.86020494445347</v>
      </c>
      <c r="AX94" s="715">
        <f t="shared" si="102"/>
        <v>476.38831683178108</v>
      </c>
      <c r="AY94" s="715">
        <f t="shared" si="102"/>
        <v>512.15736306269639</v>
      </c>
      <c r="AZ94" s="715">
        <f t="shared" si="102"/>
        <v>546.20747645910774</v>
      </c>
      <c r="BA94" s="715">
        <f t="shared" si="102"/>
        <v>573.93070511313067</v>
      </c>
      <c r="BB94" s="715">
        <f t="shared" si="102"/>
        <v>602.39457473605762</v>
      </c>
      <c r="BC94" s="715">
        <f t="shared" si="102"/>
        <v>634.41036826904212</v>
      </c>
      <c r="BD94" s="715">
        <f t="shared" si="102"/>
        <v>668.21192445372844</v>
      </c>
      <c r="BE94" s="715">
        <f t="shared" si="102"/>
        <v>703.46063151406838</v>
      </c>
      <c r="BF94" s="715">
        <f t="shared" si="102"/>
        <v>748.47207873926095</v>
      </c>
      <c r="BG94" s="715">
        <f t="shared" si="102"/>
        <v>796.04478003548979</v>
      </c>
      <c r="BH94" s="715">
        <f t="shared" si="102"/>
        <v>843.59977664153416</v>
      </c>
      <c r="BI94" s="715">
        <f t="shared" si="102"/>
        <v>888.68983060742789</v>
      </c>
      <c r="BJ94" s="715">
        <f t="shared" si="102"/>
        <v>929.83537646181139</v>
      </c>
      <c r="BK94" s="715">
        <f t="shared" si="102"/>
        <v>965.30399082173744</v>
      </c>
      <c r="BL94" s="715">
        <f t="shared" si="102"/>
        <v>994.50076912304394</v>
      </c>
      <c r="BM94" s="715">
        <f t="shared" si="102"/>
        <v>1012.5105823003502</v>
      </c>
      <c r="BN94" s="715">
        <f t="shared" si="102"/>
        <v>1020.5605892551218</v>
      </c>
      <c r="BO94" s="715">
        <f t="shared" si="102"/>
        <v>1019.6873868394639</v>
      </c>
      <c r="BP94" s="715">
        <f t="shared" si="102"/>
        <v>1011.1679134257794</v>
      </c>
      <c r="BQ94" s="715">
        <f t="shared" si="102"/>
        <v>995.334645501674</v>
      </c>
      <c r="BR94" s="715">
        <f t="shared" si="102"/>
        <v>975.07517133402916</v>
      </c>
      <c r="BS94" s="715">
        <f t="shared" si="102"/>
        <v>953.2565387881732</v>
      </c>
      <c r="BT94" s="715">
        <f t="shared" si="102"/>
        <v>932.15774532664477</v>
      </c>
      <c r="BU94" s="715">
        <f t="shared" si="102"/>
        <v>912.67975318912841</v>
      </c>
      <c r="BV94" s="715">
        <f t="shared" si="102"/>
        <v>896.65925809739292</v>
      </c>
      <c r="BW94" s="715">
        <f t="shared" si="102"/>
        <v>885.38036129962939</v>
      </c>
      <c r="BX94" s="715">
        <f t="shared" si="102"/>
        <v>880.44837861769327</v>
      </c>
      <c r="BY94" s="715">
        <f t="shared" si="102"/>
        <v>882.21673213728934</v>
      </c>
      <c r="BZ94" s="715">
        <f t="shared" si="102"/>
        <v>890.12686104949432</v>
      </c>
      <c r="CA94" s="715">
        <f t="shared" si="102"/>
        <v>903.48956201386693</v>
      </c>
      <c r="CB94" s="715">
        <f t="shared" si="102"/>
        <v>922.20149569529292</v>
      </c>
      <c r="CC94" s="715">
        <f t="shared" si="102"/>
        <v>945.56175569042625</v>
      </c>
      <c r="CD94" s="715">
        <f t="shared" si="102"/>
        <v>972.88963940062354</v>
      </c>
      <c r="CE94" s="715">
        <f t="shared" si="102"/>
        <v>1003.115663010717</v>
      </c>
      <c r="CF94" s="715">
        <f t="shared" si="102"/>
        <v>1035.3029544786723</v>
      </c>
      <c r="CG94" s="715">
        <f t="shared" si="102"/>
        <v>1068.5769396170019</v>
      </c>
      <c r="CH94" s="715">
        <f t="shared" si="102"/>
        <v>1102.111153585186</v>
      </c>
      <c r="CI94" s="715">
        <f t="shared" si="102"/>
        <v>1135.2369159141006</v>
      </c>
      <c r="CJ94" s="715">
        <f t="shared" si="102"/>
        <v>1167.3976042714676</v>
      </c>
      <c r="CK94" s="715">
        <f t="shared" si="102"/>
        <v>1198.1485072269575</v>
      </c>
      <c r="CL94" s="715">
        <f t="shared" si="102"/>
        <v>1227.4415285288674</v>
      </c>
      <c r="CM94" s="715">
        <f t="shared" si="102"/>
        <v>1255.310377518696</v>
      </c>
      <c r="CN94" s="715">
        <f t="shared" si="103"/>
        <v>1281.8444186792908</v>
      </c>
      <c r="CO94" s="715">
        <f t="shared" si="103"/>
        <v>1307.1914847031476</v>
      </c>
      <c r="CP94" s="715">
        <f t="shared" si="103"/>
        <v>1331.4901130469098</v>
      </c>
      <c r="CQ94" s="715">
        <f t="shared" si="103"/>
        <v>1354.7294318672443</v>
      </c>
      <c r="CR94" s="715">
        <f t="shared" si="103"/>
        <v>1379.0679540446722</v>
      </c>
      <c r="CS94" s="715">
        <f t="shared" si="103"/>
        <v>1405.9287501951392</v>
      </c>
      <c r="CT94" s="715">
        <f t="shared" si="103"/>
        <v>1436.7391579808941</v>
      </c>
      <c r="CU94" s="715">
        <f t="shared" si="103"/>
        <v>1472.8896904838421</v>
      </c>
      <c r="CV94" s="715">
        <f t="shared" si="103"/>
        <v>1515.781960591954</v>
      </c>
      <c r="CW94" s="715">
        <f t="shared" si="103"/>
        <v>1566.8541703157498</v>
      </c>
      <c r="CX94" s="715">
        <f t="shared" si="103"/>
        <v>1627.6735342189411</v>
      </c>
      <c r="CY94" s="715">
        <f t="shared" si="103"/>
        <v>1698.6470372756726</v>
      </c>
      <c r="CZ94" s="715">
        <f t="shared" si="103"/>
        <v>1780.2177085041278</v>
      </c>
      <c r="DA94" s="715">
        <f t="shared" si="103"/>
        <v>1872.8368806363669</v>
      </c>
      <c r="DC94" s="11">
        <f t="shared" si="104"/>
        <v>0</v>
      </c>
      <c r="DD94" s="11">
        <f t="shared" si="105"/>
        <v>324.51877096597082</v>
      </c>
      <c r="DE94" s="11">
        <f t="shared" si="106"/>
        <v>703.46063151406838</v>
      </c>
      <c r="DF94" s="11">
        <f t="shared" si="107"/>
        <v>995.334645501674</v>
      </c>
      <c r="DG94" s="11">
        <f t="shared" si="108"/>
        <v>945.56175569042625</v>
      </c>
      <c r="DH94" s="11">
        <f t="shared" si="109"/>
        <v>1307.1914847031476</v>
      </c>
      <c r="DI94" s="11">
        <f t="shared" si="110"/>
        <v>1872.8368806363669</v>
      </c>
    </row>
    <row r="95" spans="2:113" outlineLevel="2">
      <c r="B95" s="758"/>
      <c r="E95" s="230" t="s">
        <v>811</v>
      </c>
      <c r="F95" s="230"/>
      <c r="I95" s="609" t="s">
        <v>812</v>
      </c>
      <c r="O95" s="696"/>
      <c r="P95" s="696"/>
      <c r="Q95" s="696"/>
      <c r="R95" s="696"/>
      <c r="S95" s="696"/>
      <c r="T95" s="696"/>
      <c r="U95" s="696"/>
      <c r="V95" s="700"/>
      <c r="W95" s="700"/>
      <c r="X95" s="700"/>
      <c r="Y95" s="700"/>
      <c r="Z95" s="700"/>
      <c r="AA95" s="696"/>
      <c r="AB95" s="729">
        <f t="shared" ref="AB95:CM95" si="111">AB93/AB60</f>
        <v>0</v>
      </c>
      <c r="AC95" s="729">
        <f t="shared" si="111"/>
        <v>0</v>
      </c>
      <c r="AD95" s="729">
        <f t="shared" si="111"/>
        <v>0</v>
      </c>
      <c r="AE95" s="729">
        <f t="shared" si="111"/>
        <v>0</v>
      </c>
      <c r="AF95" s="729">
        <f t="shared" si="111"/>
        <v>0</v>
      </c>
      <c r="AG95" s="729">
        <f t="shared" si="111"/>
        <v>0</v>
      </c>
      <c r="AH95" s="729">
        <f t="shared" si="111"/>
        <v>4.8637212951847898E-2</v>
      </c>
      <c r="AI95" s="729">
        <f t="shared" si="111"/>
        <v>6.3753551239951953E-2</v>
      </c>
      <c r="AJ95" s="729">
        <f t="shared" si="111"/>
        <v>8.2877561272269626E-2</v>
      </c>
      <c r="AK95" s="729">
        <f t="shared" si="111"/>
        <v>9.8727658699915746E-2</v>
      </c>
      <c r="AL95" s="729">
        <f t="shared" si="111"/>
        <v>0.10855274271898208</v>
      </c>
      <c r="AM95" s="729">
        <f t="shared" si="111"/>
        <v>8.9489562064751657E-2</v>
      </c>
      <c r="AN95" s="729">
        <f t="shared" si="111"/>
        <v>7.5132843892679116E-2</v>
      </c>
      <c r="AO95" s="729">
        <f t="shared" si="111"/>
        <v>7.2312572161479571E-2</v>
      </c>
      <c r="AP95" s="729">
        <f t="shared" si="111"/>
        <v>7.0096725118959466E-2</v>
      </c>
      <c r="AQ95" s="729">
        <f t="shared" si="111"/>
        <v>7.0793503005304848E-2</v>
      </c>
      <c r="AR95" s="729">
        <f t="shared" si="111"/>
        <v>7.5214280158395402E-2</v>
      </c>
      <c r="AS95" s="729">
        <f t="shared" si="111"/>
        <v>7.7227205275940528E-2</v>
      </c>
      <c r="AT95" s="729">
        <f t="shared" si="111"/>
        <v>5.5491717593335418E-2</v>
      </c>
      <c r="AU95" s="729">
        <f t="shared" si="111"/>
        <v>6.1056829731589143E-2</v>
      </c>
      <c r="AV95" s="729">
        <f t="shared" si="111"/>
        <v>6.3100036435739484E-2</v>
      </c>
      <c r="AW95" s="729">
        <f t="shared" si="111"/>
        <v>6.7529724025908663E-2</v>
      </c>
      <c r="AX95" s="729">
        <f t="shared" si="111"/>
        <v>7.1320407845007788E-2</v>
      </c>
      <c r="AY95" s="729">
        <f t="shared" si="111"/>
        <v>7.2534132504305113E-2</v>
      </c>
      <c r="AZ95" s="729">
        <f t="shared" si="111"/>
        <v>7.1888166574700152E-2</v>
      </c>
      <c r="BA95" s="729">
        <f t="shared" si="111"/>
        <v>6.8729727315949549E-2</v>
      </c>
      <c r="BB95" s="729">
        <f t="shared" si="111"/>
        <v>6.5437992020835736E-2</v>
      </c>
      <c r="BC95" s="729">
        <f t="shared" si="111"/>
        <v>6.2999917895405072E-2</v>
      </c>
      <c r="BD95" s="729">
        <f t="shared" si="111"/>
        <v>6.0942059707295979E-2</v>
      </c>
      <c r="BE95" s="729">
        <f t="shared" si="111"/>
        <v>5.8824544824888983E-2</v>
      </c>
      <c r="BF95" s="729">
        <f t="shared" si="111"/>
        <v>5.7867942107729331E-2</v>
      </c>
      <c r="BG95" s="729">
        <f t="shared" si="111"/>
        <v>5.7742634555579514E-2</v>
      </c>
      <c r="BH95" s="729">
        <f t="shared" si="111"/>
        <v>5.8312382044077016E-2</v>
      </c>
      <c r="BI95" s="729">
        <f t="shared" si="111"/>
        <v>6.0100167186483665E-2</v>
      </c>
      <c r="BJ95" s="729">
        <f t="shared" si="111"/>
        <v>6.2821622702213573E-2</v>
      </c>
      <c r="BK95" s="729">
        <f t="shared" si="111"/>
        <v>6.6102045368774356E-2</v>
      </c>
      <c r="BL95" s="729">
        <f t="shared" si="111"/>
        <v>6.9732248240331127E-2</v>
      </c>
      <c r="BM95" s="729">
        <f t="shared" si="111"/>
        <v>7.2937332331210469E-2</v>
      </c>
      <c r="BN95" s="729">
        <f t="shared" si="111"/>
        <v>7.5729196412750735E-2</v>
      </c>
      <c r="BO95" s="729">
        <f t="shared" si="111"/>
        <v>7.8122308120918527E-2</v>
      </c>
      <c r="BP95" s="729">
        <f t="shared" si="111"/>
        <v>8.0425721886934642E-2</v>
      </c>
      <c r="BQ95" s="729">
        <f t="shared" si="111"/>
        <v>8.2429727428820182E-2</v>
      </c>
      <c r="BR95" s="729">
        <f t="shared" si="111"/>
        <v>8.3409079216065427E-2</v>
      </c>
      <c r="BS95" s="729">
        <f t="shared" si="111"/>
        <v>8.3279096302965525E-2</v>
      </c>
      <c r="BT95" s="729">
        <f t="shared" si="111"/>
        <v>8.2351318018255834E-2</v>
      </c>
      <c r="BU95" s="729">
        <f t="shared" si="111"/>
        <v>8.0502229848892992E-2</v>
      </c>
      <c r="BV95" s="729">
        <f t="shared" si="111"/>
        <v>7.8090467876865327E-2</v>
      </c>
      <c r="BW95" s="729">
        <f t="shared" si="111"/>
        <v>7.5479206662889473E-2</v>
      </c>
      <c r="BX95" s="729">
        <f t="shared" si="111"/>
        <v>7.2973052782085573E-2</v>
      </c>
      <c r="BY95" s="729">
        <f t="shared" si="111"/>
        <v>7.0767434539382446E-2</v>
      </c>
      <c r="BZ95" s="729">
        <f t="shared" si="111"/>
        <v>6.888901347595297E-2</v>
      </c>
      <c r="CA95" s="729">
        <f t="shared" si="111"/>
        <v>6.7328243809611651E-2</v>
      </c>
      <c r="CB95" s="729">
        <f t="shared" si="111"/>
        <v>6.6148411492055997E-2</v>
      </c>
      <c r="CC95" s="729">
        <f t="shared" si="111"/>
        <v>6.5315633992759636E-2</v>
      </c>
      <c r="CD95" s="729">
        <f t="shared" si="111"/>
        <v>6.4887012886790038E-2</v>
      </c>
      <c r="CE95" s="729">
        <f t="shared" si="111"/>
        <v>6.4818539228101185E-2</v>
      </c>
      <c r="CF95" s="729">
        <f t="shared" si="111"/>
        <v>6.5058359709745439E-2</v>
      </c>
      <c r="CG95" s="729">
        <f t="shared" si="111"/>
        <v>6.5561298435728221E-2</v>
      </c>
      <c r="CH95" s="729">
        <f t="shared" si="111"/>
        <v>6.6227466093587678E-2</v>
      </c>
      <c r="CI95" s="729">
        <f t="shared" si="111"/>
        <v>6.6969821707691557E-2</v>
      </c>
      <c r="CJ95" s="729">
        <f t="shared" si="111"/>
        <v>6.7714498059717521E-2</v>
      </c>
      <c r="CK95" s="729">
        <f t="shared" si="111"/>
        <v>6.8398912900602002E-2</v>
      </c>
      <c r="CL95" s="729">
        <f t="shared" si="111"/>
        <v>6.9009867541082112E-2</v>
      </c>
      <c r="CM95" s="729">
        <f t="shared" si="111"/>
        <v>6.954429741548207E-2</v>
      </c>
      <c r="CN95" s="729">
        <f t="shared" ref="CN95:DA95" si="112">CN93/CN60</f>
        <v>7.0005315365375978E-2</v>
      </c>
      <c r="CO95" s="729">
        <f t="shared" si="112"/>
        <v>7.0401798335041538E-2</v>
      </c>
      <c r="CP95" s="729">
        <f t="shared" si="112"/>
        <v>7.0768725045849662E-2</v>
      </c>
      <c r="CQ95" s="729">
        <f t="shared" si="112"/>
        <v>7.0706891635836211E-2</v>
      </c>
      <c r="CR95" s="729">
        <f t="shared" si="112"/>
        <v>7.0223910867717468E-2</v>
      </c>
      <c r="CS95" s="729">
        <f t="shared" si="112"/>
        <v>6.9336221414708646E-2</v>
      </c>
      <c r="CT95" s="729">
        <f t="shared" si="112"/>
        <v>6.8069934490337228E-2</v>
      </c>
      <c r="CU95" s="729">
        <f t="shared" si="112"/>
        <v>6.6576404186954791E-2</v>
      </c>
      <c r="CV95" s="729">
        <f t="shared" si="112"/>
        <v>6.4993064235250392E-2</v>
      </c>
      <c r="CW95" s="729">
        <f t="shared" si="112"/>
        <v>6.3443510986927604E-2</v>
      </c>
      <c r="CX95" s="729">
        <f t="shared" si="112"/>
        <v>6.2038594629286514E-2</v>
      </c>
      <c r="CY95" s="729">
        <f t="shared" si="112"/>
        <v>6.0779699694701324E-2</v>
      </c>
      <c r="CZ95" s="729">
        <f t="shared" si="112"/>
        <v>5.9665378879320705E-2</v>
      </c>
      <c r="DA95" s="729">
        <f t="shared" si="112"/>
        <v>5.8690349230159124E-2</v>
      </c>
      <c r="DC95" s="729">
        <f t="shared" si="104"/>
        <v>0</v>
      </c>
      <c r="DD95" s="729">
        <f t="shared" si="105"/>
        <v>7.7227205275940528E-2</v>
      </c>
      <c r="DE95" s="729">
        <f t="shared" si="106"/>
        <v>5.8824544824888983E-2</v>
      </c>
      <c r="DF95" s="729">
        <f t="shared" si="107"/>
        <v>8.2429727428820182E-2</v>
      </c>
      <c r="DG95" s="729">
        <f t="shared" si="108"/>
        <v>6.5315633992759636E-2</v>
      </c>
      <c r="DH95" s="729">
        <f t="shared" si="109"/>
        <v>7.0401798335041538E-2</v>
      </c>
      <c r="DI95" s="729">
        <f t="shared" si="110"/>
        <v>5.8690349230159124E-2</v>
      </c>
    </row>
    <row r="96" spans="2:113" outlineLevel="2">
      <c r="B96" s="758"/>
      <c r="E96" s="230" t="s">
        <v>813</v>
      </c>
      <c r="F96" s="230"/>
      <c r="I96" s="609" t="s">
        <v>812</v>
      </c>
      <c r="O96" s="696"/>
      <c r="P96" s="696"/>
      <c r="Q96" s="696"/>
      <c r="R96" s="696"/>
      <c r="S96" s="696"/>
      <c r="T96" s="696"/>
      <c r="U96" s="696"/>
      <c r="V96" s="700"/>
      <c r="W96" s="700"/>
      <c r="X96" s="700"/>
      <c r="Y96" s="700"/>
      <c r="Z96" s="700"/>
      <c r="AA96" s="696"/>
      <c r="AB96" s="729">
        <f t="shared" ref="AB96:CM96" si="113">AB94/AB60</f>
        <v>0</v>
      </c>
      <c r="AC96" s="729">
        <f t="shared" si="113"/>
        <v>0</v>
      </c>
      <c r="AD96" s="729">
        <f t="shared" si="113"/>
        <v>0</v>
      </c>
      <c r="AE96" s="729">
        <f t="shared" si="113"/>
        <v>0</v>
      </c>
      <c r="AF96" s="729">
        <f t="shared" si="113"/>
        <v>0</v>
      </c>
      <c r="AG96" s="729">
        <f t="shared" si="113"/>
        <v>0</v>
      </c>
      <c r="AH96" s="729">
        <f t="shared" si="113"/>
        <v>0.15007474222911987</v>
      </c>
      <c r="AI96" s="729">
        <f t="shared" si="113"/>
        <v>0.17911504520450328</v>
      </c>
      <c r="AJ96" s="729">
        <f t="shared" si="113"/>
        <v>0.17972405881007331</v>
      </c>
      <c r="AK96" s="729">
        <f t="shared" si="113"/>
        <v>0.18375608730795623</v>
      </c>
      <c r="AL96" s="729">
        <f t="shared" si="113"/>
        <v>0.17162822519650922</v>
      </c>
      <c r="AM96" s="729">
        <f t="shared" si="113"/>
        <v>0.14722732426603469</v>
      </c>
      <c r="AN96" s="729">
        <f t="shared" si="113"/>
        <v>0.13605762555996553</v>
      </c>
      <c r="AO96" s="729">
        <f t="shared" si="113"/>
        <v>0.14650303752241325</v>
      </c>
      <c r="AP96" s="729">
        <f t="shared" si="113"/>
        <v>0.1604822415796156</v>
      </c>
      <c r="AQ96" s="729">
        <f t="shared" si="113"/>
        <v>0.16062447552731976</v>
      </c>
      <c r="AR96" s="729">
        <f t="shared" si="113"/>
        <v>0.15917734258641258</v>
      </c>
      <c r="AS96" s="729">
        <f t="shared" si="113"/>
        <v>0.15846593849990639</v>
      </c>
      <c r="AT96" s="729">
        <f t="shared" si="113"/>
        <v>0.14563879735416332</v>
      </c>
      <c r="AU96" s="729">
        <f t="shared" si="113"/>
        <v>0.15847887222427745</v>
      </c>
      <c r="AV96" s="729">
        <f t="shared" si="113"/>
        <v>0.16122616379680468</v>
      </c>
      <c r="AW96" s="729">
        <f t="shared" si="113"/>
        <v>0.16196657113710522</v>
      </c>
      <c r="AX96" s="729">
        <f t="shared" si="113"/>
        <v>0.16142351848306077</v>
      </c>
      <c r="AY96" s="729">
        <f t="shared" si="113"/>
        <v>0.15925940974192243</v>
      </c>
      <c r="AZ96" s="729">
        <f t="shared" si="113"/>
        <v>0.15564273452671229</v>
      </c>
      <c r="BA96" s="729">
        <f t="shared" si="113"/>
        <v>0.14992342091766131</v>
      </c>
      <c r="BB96" s="729">
        <f t="shared" si="113"/>
        <v>0.14438513580476414</v>
      </c>
      <c r="BC96" s="729">
        <f t="shared" si="113"/>
        <v>0.14010677173952868</v>
      </c>
      <c r="BD96" s="729">
        <f t="shared" si="113"/>
        <v>0.1360756146532377</v>
      </c>
      <c r="BE96" s="729">
        <f t="shared" si="113"/>
        <v>0.1314470323613742</v>
      </c>
      <c r="BF96" s="729">
        <f t="shared" si="113"/>
        <v>0.13064910586008341</v>
      </c>
      <c r="BG96" s="729">
        <f t="shared" si="113"/>
        <v>0.13162805849905951</v>
      </c>
      <c r="BH96" s="729">
        <f t="shared" si="113"/>
        <v>0.13391001895622134</v>
      </c>
      <c r="BI96" s="729">
        <f t="shared" si="113"/>
        <v>0.13694182347561792</v>
      </c>
      <c r="BJ96" s="729">
        <f t="shared" si="113"/>
        <v>0.14071995176640537</v>
      </c>
      <c r="BK96" s="729">
        <f t="shared" si="113"/>
        <v>0.14469662246723952</v>
      </c>
      <c r="BL96" s="729">
        <f t="shared" si="113"/>
        <v>0.14874973179302933</v>
      </c>
      <c r="BM96" s="729">
        <f t="shared" si="113"/>
        <v>0.15219828445625813</v>
      </c>
      <c r="BN96" s="729">
        <f t="shared" si="113"/>
        <v>0.15513027398851884</v>
      </c>
      <c r="BO96" s="729">
        <f t="shared" si="113"/>
        <v>0.15757524209211873</v>
      </c>
      <c r="BP96" s="729">
        <f t="shared" si="113"/>
        <v>0.1601252251427869</v>
      </c>
      <c r="BQ96" s="729">
        <f t="shared" si="113"/>
        <v>0.16220034057065572</v>
      </c>
      <c r="BR96" s="729">
        <f t="shared" si="113"/>
        <v>0.16254940186679626</v>
      </c>
      <c r="BS96" s="729">
        <f t="shared" si="113"/>
        <v>0.16134760141731344</v>
      </c>
      <c r="BT96" s="729">
        <f t="shared" si="113"/>
        <v>0.15963046016693924</v>
      </c>
      <c r="BU96" s="729">
        <f t="shared" si="113"/>
        <v>0.1569728078047643</v>
      </c>
      <c r="BV96" s="729">
        <f t="shared" si="113"/>
        <v>0.15381049998073598</v>
      </c>
      <c r="BW96" s="729">
        <f t="shared" si="113"/>
        <v>0.15049964825977791</v>
      </c>
      <c r="BX96" s="729">
        <f t="shared" si="113"/>
        <v>0.14742858480526921</v>
      </c>
      <c r="BY96" s="729">
        <f t="shared" si="113"/>
        <v>0.14477388393570129</v>
      </c>
      <c r="BZ96" s="729">
        <f t="shared" si="113"/>
        <v>0.14255550148578452</v>
      </c>
      <c r="CA96" s="729">
        <f t="shared" si="113"/>
        <v>0.14075845008400478</v>
      </c>
      <c r="CB96" s="729">
        <f t="shared" si="113"/>
        <v>0.13943321367929135</v>
      </c>
      <c r="CC96" s="729">
        <f t="shared" si="113"/>
        <v>0.13853856879619655</v>
      </c>
      <c r="CD96" s="729">
        <f t="shared" si="113"/>
        <v>0.13822493118327453</v>
      </c>
      <c r="CE96" s="729">
        <f t="shared" si="113"/>
        <v>0.13837345696376549</v>
      </c>
      <c r="CF96" s="729">
        <f t="shared" si="113"/>
        <v>0.13886915200669861</v>
      </c>
      <c r="CG96" s="729">
        <f t="shared" si="113"/>
        <v>0.13962022100712618</v>
      </c>
      <c r="CH96" s="729">
        <f t="shared" si="113"/>
        <v>0.14050219264087394</v>
      </c>
      <c r="CI96" s="729">
        <f t="shared" si="113"/>
        <v>0.14142255407684792</v>
      </c>
      <c r="CJ96" s="729">
        <f t="shared" si="113"/>
        <v>0.14231038920664754</v>
      </c>
      <c r="CK96" s="729">
        <f t="shared" si="113"/>
        <v>0.1431132409837054</v>
      </c>
      <c r="CL96" s="729">
        <f t="shared" si="113"/>
        <v>0.14382312150919352</v>
      </c>
      <c r="CM96" s="729">
        <f t="shared" si="113"/>
        <v>0.14444042647399752</v>
      </c>
      <c r="CN96" s="729">
        <f t="shared" ref="CN96:DA96" si="114">CN94/CN60</f>
        <v>0.14497055326913791</v>
      </c>
      <c r="CO96" s="729">
        <f t="shared" si="114"/>
        <v>0.14542372741615958</v>
      </c>
      <c r="CP96" s="729">
        <f t="shared" si="114"/>
        <v>0.14586562867544656</v>
      </c>
      <c r="CQ96" s="729">
        <f t="shared" si="114"/>
        <v>0.14545399619702312</v>
      </c>
      <c r="CR96" s="729">
        <f t="shared" si="114"/>
        <v>0.14441751012460421</v>
      </c>
      <c r="CS96" s="729">
        <f t="shared" si="114"/>
        <v>0.14290318649100553</v>
      </c>
      <c r="CT96" s="729">
        <f t="shared" si="114"/>
        <v>0.14107332418506177</v>
      </c>
      <c r="CU96" s="729">
        <f t="shared" si="114"/>
        <v>0.1390747928863641</v>
      </c>
      <c r="CV96" s="729">
        <f t="shared" si="114"/>
        <v>0.13703951015676991</v>
      </c>
      <c r="CW96" s="729">
        <f t="shared" si="114"/>
        <v>0.1350832384965315</v>
      </c>
      <c r="CX96" s="729">
        <f t="shared" si="114"/>
        <v>0.13330964463218636</v>
      </c>
      <c r="CY96" s="729">
        <f t="shared" si="114"/>
        <v>0.13172064190625574</v>
      </c>
      <c r="CZ96" s="729">
        <f t="shared" si="114"/>
        <v>0.13031488545837946</v>
      </c>
      <c r="DA96" s="729">
        <f t="shared" si="114"/>
        <v>0.12908656912958727</v>
      </c>
      <c r="DC96" s="729">
        <f t="shared" si="104"/>
        <v>0</v>
      </c>
      <c r="DD96" s="729">
        <f t="shared" si="105"/>
        <v>0.15846593849990639</v>
      </c>
      <c r="DE96" s="729">
        <f t="shared" si="106"/>
        <v>0.1314470323613742</v>
      </c>
      <c r="DF96" s="729">
        <f t="shared" si="107"/>
        <v>0.16220034057065572</v>
      </c>
      <c r="DG96" s="729">
        <f t="shared" si="108"/>
        <v>0.13853856879619655</v>
      </c>
      <c r="DH96" s="729">
        <f t="shared" si="109"/>
        <v>0.14542372741615958</v>
      </c>
      <c r="DI96" s="729">
        <f t="shared" si="110"/>
        <v>0.12908656912958727</v>
      </c>
    </row>
    <row r="97" spans="2:117" outlineLevel="2">
      <c r="B97" s="758"/>
      <c r="E97" s="230" t="s">
        <v>814</v>
      </c>
      <c r="F97" s="229"/>
      <c r="I97" s="609" t="s">
        <v>812</v>
      </c>
      <c r="O97" s="696"/>
      <c r="P97" s="696"/>
      <c r="Q97" s="696"/>
      <c r="R97" s="696"/>
      <c r="S97" s="696"/>
      <c r="T97" s="696"/>
      <c r="U97" s="696"/>
      <c r="V97" s="700"/>
      <c r="W97" s="700"/>
      <c r="X97" s="700"/>
      <c r="Y97" s="700"/>
      <c r="Z97" s="700"/>
      <c r="AA97" s="696"/>
      <c r="AB97" s="729"/>
      <c r="AC97" s="729"/>
      <c r="AD97" s="729"/>
      <c r="AE97" s="729"/>
      <c r="AF97" s="729"/>
      <c r="AG97" s="729"/>
      <c r="AH97" s="741">
        <f>AH79</f>
        <v>-2.2282908830000001</v>
      </c>
      <c r="AI97" s="12">
        <f>AH97+AI79</f>
        <v>-5.184094311</v>
      </c>
      <c r="AJ97" s="12">
        <f t="shared" ref="AJ97:CO97" si="115">AI97+AJ79</f>
        <v>-8.4593977510000009</v>
      </c>
      <c r="AK97" s="12">
        <f t="shared" si="115"/>
        <v>-13.534363473000001</v>
      </c>
      <c r="AL97" s="12">
        <f t="shared" si="115"/>
        <v>-19.011066212000003</v>
      </c>
      <c r="AM97" s="12">
        <f t="shared" si="115"/>
        <v>-25.421156340000003</v>
      </c>
      <c r="AN97" s="12">
        <f t="shared" si="115"/>
        <v>-39.794114417999999</v>
      </c>
      <c r="AO97" s="12">
        <f t="shared" si="115"/>
        <v>-52.490656706999999</v>
      </c>
      <c r="AP97" s="12">
        <f t="shared" si="115"/>
        <v>-66.111556034000003</v>
      </c>
      <c r="AQ97" s="12">
        <f t="shared" si="115"/>
        <v>-89.437072868093068</v>
      </c>
      <c r="AR97" s="12">
        <f t="shared" si="115"/>
        <v>-107.80637638911513</v>
      </c>
      <c r="AS97" s="12">
        <f t="shared" si="115"/>
        <v>-128.70490364377778</v>
      </c>
      <c r="AT97" s="12">
        <f>AT79</f>
        <v>-54.415810649987705</v>
      </c>
      <c r="AU97" s="12">
        <f t="shared" si="115"/>
        <v>-89.67625579638414</v>
      </c>
      <c r="AV97" s="12">
        <f t="shared" si="115"/>
        <v>-132.54930559192468</v>
      </c>
      <c r="AW97" s="12">
        <f t="shared" si="115"/>
        <v>-179.62313155769752</v>
      </c>
      <c r="AX97" s="12">
        <f t="shared" si="115"/>
        <v>-231.03635961002408</v>
      </c>
      <c r="AY97" s="12">
        <f t="shared" si="115"/>
        <v>-288.5271293600556</v>
      </c>
      <c r="AZ97" s="12">
        <f t="shared" si="115"/>
        <v>-354.21769268250694</v>
      </c>
      <c r="BA97" s="12">
        <f t="shared" si="115"/>
        <v>-428.74506564197088</v>
      </c>
      <c r="BB97" s="12">
        <f t="shared" si="115"/>
        <v>-507.26945146348311</v>
      </c>
      <c r="BC97" s="12">
        <f t="shared" si="115"/>
        <v>-588.35146361029581</v>
      </c>
      <c r="BD97" s="12">
        <f t="shared" si="115"/>
        <v>-672.90443404265352</v>
      </c>
      <c r="BE97" s="12">
        <f t="shared" si="115"/>
        <v>-761.76718618248105</v>
      </c>
      <c r="BF97" s="12">
        <f>BF79</f>
        <v>-92.994639449721063</v>
      </c>
      <c r="BG97" s="12">
        <f t="shared" si="115"/>
        <v>-190.10470983894049</v>
      </c>
      <c r="BH97" s="12">
        <f t="shared" si="115"/>
        <v>-291.46404981723595</v>
      </c>
      <c r="BI97" s="12">
        <f t="shared" si="115"/>
        <v>-397.99730125576866</v>
      </c>
      <c r="BJ97" s="12">
        <f t="shared" si="115"/>
        <v>-509.2840750897451</v>
      </c>
      <c r="BK97" s="12">
        <f t="shared" si="115"/>
        <v>-625.14557965359234</v>
      </c>
      <c r="BL97" s="12">
        <f t="shared" si="115"/>
        <v>-746.72277734080274</v>
      </c>
      <c r="BM97" s="12">
        <f t="shared" si="115"/>
        <v>-875.59169984962307</v>
      </c>
      <c r="BN97" s="12">
        <f t="shared" si="115"/>
        <v>-1009.9859832187809</v>
      </c>
      <c r="BO97" s="12">
        <f t="shared" si="115"/>
        <v>-1148.3776080453404</v>
      </c>
      <c r="BP97" s="12">
        <f t="shared" si="115"/>
        <v>-1289.0874126508656</v>
      </c>
      <c r="BQ97" s="12">
        <f t="shared" si="115"/>
        <v>-1430.8194680501178</v>
      </c>
      <c r="BR97" s="12">
        <f>BR79</f>
        <v>-141.98634652924267</v>
      </c>
      <c r="BS97" s="12">
        <f t="shared" si="115"/>
        <v>-283.36207277112834</v>
      </c>
      <c r="BT97" s="12">
        <f t="shared" si="115"/>
        <v>-423.03156862511958</v>
      </c>
      <c r="BU97" s="12">
        <f t="shared" si="115"/>
        <v>-560.58921224507162</v>
      </c>
      <c r="BV97" s="12">
        <f t="shared" si="115"/>
        <v>-695.73351253958276</v>
      </c>
      <c r="BW97" s="12">
        <f t="shared" si="115"/>
        <v>-828.09221273838102</v>
      </c>
      <c r="BX97" s="12">
        <f t="shared" si="115"/>
        <v>-957.34609562756805</v>
      </c>
      <c r="BY97" s="12">
        <f t="shared" si="115"/>
        <v>-1084.2024128353919</v>
      </c>
      <c r="BZ97" s="12">
        <f t="shared" si="115"/>
        <v>-1209.8153842572713</v>
      </c>
      <c r="CA97" s="12">
        <f t="shared" si="115"/>
        <v>-1335.1184034652106</v>
      </c>
      <c r="CB97" s="12">
        <f t="shared" si="115"/>
        <v>-1460.8205441780478</v>
      </c>
      <c r="CC97" s="12">
        <f t="shared" si="115"/>
        <v>-1587.8625957641098</v>
      </c>
      <c r="CD97" s="12">
        <f>CD79</f>
        <v>-129.127132434461</v>
      </c>
      <c r="CE97" s="12">
        <f t="shared" si="115"/>
        <v>-261.04539420869207</v>
      </c>
      <c r="CF97" s="12">
        <f t="shared" si="115"/>
        <v>-396.38382150396609</v>
      </c>
      <c r="CG97" s="12">
        <f t="shared" si="115"/>
        <v>-535.68052739357256</v>
      </c>
      <c r="CH97" s="12">
        <f t="shared" si="115"/>
        <v>-679.35748539295787</v>
      </c>
      <c r="CI97" s="12">
        <f t="shared" si="115"/>
        <v>-827.75349308643547</v>
      </c>
      <c r="CJ97" s="12">
        <f t="shared" si="115"/>
        <v>-981.12321255580582</v>
      </c>
      <c r="CK97" s="12">
        <f t="shared" si="115"/>
        <v>-1139.5377628230217</v>
      </c>
      <c r="CL97" s="12">
        <f t="shared" si="115"/>
        <v>-1302.8401370748327</v>
      </c>
      <c r="CM97" s="12">
        <f t="shared" si="115"/>
        <v>-1470.8275679770143</v>
      </c>
      <c r="CN97" s="12">
        <f t="shared" si="115"/>
        <v>-1643.2653781953147</v>
      </c>
      <c r="CO97" s="12">
        <f t="shared" si="115"/>
        <v>-1819.908562016567</v>
      </c>
      <c r="CP97" s="12">
        <f>CP79</f>
        <v>-180.59955749171922</v>
      </c>
      <c r="CQ97" s="12">
        <f t="shared" ref="CQ97:DA97" si="116">CP97+CQ79</f>
        <v>-365.4099714176636</v>
      </c>
      <c r="CR97" s="12">
        <f t="shared" si="116"/>
        <v>-554.40108109369385</v>
      </c>
      <c r="CS97" s="12">
        <f t="shared" si="116"/>
        <v>-747.52604829466816</v>
      </c>
      <c r="CT97" s="12">
        <f t="shared" si="116"/>
        <v>-944.73530855222737</v>
      </c>
      <c r="CU97" s="12">
        <f t="shared" si="116"/>
        <v>-1146.2141075564909</v>
      </c>
      <c r="CV97" s="12">
        <f t="shared" si="116"/>
        <v>-1352.1697564253786</v>
      </c>
      <c r="CW97" s="12">
        <f t="shared" si="116"/>
        <v>-1562.8107900201144</v>
      </c>
      <c r="CX97" s="12">
        <f t="shared" si="116"/>
        <v>-1778.7404141500779</v>
      </c>
      <c r="CY97" s="12">
        <f t="shared" si="116"/>
        <v>-2001.2813800532563</v>
      </c>
      <c r="CZ97" s="12">
        <f t="shared" si="116"/>
        <v>-2231.8101647277081</v>
      </c>
      <c r="DA97" s="12">
        <f t="shared" si="116"/>
        <v>-2471.7655507571667</v>
      </c>
      <c r="DC97" s="12">
        <f t="shared" si="104"/>
        <v>0</v>
      </c>
      <c r="DD97" s="12">
        <f t="shared" si="105"/>
        <v>-128.70490364377778</v>
      </c>
      <c r="DE97" s="12">
        <f t="shared" si="106"/>
        <v>-761.76718618248105</v>
      </c>
      <c r="DF97" s="12">
        <f t="shared" si="107"/>
        <v>-1430.8194680501178</v>
      </c>
      <c r="DG97" s="12">
        <f t="shared" si="108"/>
        <v>-1587.8625957641098</v>
      </c>
      <c r="DH97" s="12">
        <f t="shared" si="109"/>
        <v>-1819.908562016567</v>
      </c>
      <c r="DI97" s="12">
        <f t="shared" si="110"/>
        <v>-2471.7655507571667</v>
      </c>
    </row>
    <row r="98" spans="2:117" outlineLevel="2">
      <c r="B98" s="758"/>
      <c r="E98" s="230" t="s">
        <v>815</v>
      </c>
      <c r="F98" s="229"/>
      <c r="I98" s="609" t="s">
        <v>812</v>
      </c>
      <c r="O98" s="696"/>
      <c r="P98" s="696"/>
      <c r="Q98" s="696"/>
      <c r="R98" s="696"/>
      <c r="S98" s="696"/>
      <c r="T98" s="696"/>
      <c r="U98" s="696"/>
      <c r="V98" s="700"/>
      <c r="W98" s="700"/>
      <c r="X98" s="700"/>
      <c r="Y98" s="700"/>
      <c r="Z98" s="700"/>
      <c r="AA98" s="696"/>
      <c r="AB98" s="729"/>
      <c r="AC98" s="729"/>
      <c r="AD98" s="729"/>
      <c r="AE98" s="729"/>
      <c r="AF98" s="729"/>
      <c r="AG98" s="729"/>
      <c r="AH98" s="729">
        <f>AH97/AVERAGE($AG60:AH60)</f>
        <v>-6.6991224748896945E-3</v>
      </c>
      <c r="AI98" s="729">
        <f>AI97/AVERAGE($AG60:AI60)</f>
        <v>-1.4766096517109006E-2</v>
      </c>
      <c r="AJ98" s="729">
        <f>AJ97/AVERAGE($AG60:AJ60)</f>
        <v>-2.3181968487782589E-2</v>
      </c>
      <c r="AK98" s="729">
        <f>AK97/AVERAGE($AG60:AK60)</f>
        <v>-3.5095753280065423E-2</v>
      </c>
      <c r="AL98" s="729">
        <f>AL97/AVERAGE($AG60:AL60)</f>
        <v>-4.620665058389415E-2</v>
      </c>
      <c r="AM98" s="729">
        <f>AM97/AVERAGE($AG60:AM60)</f>
        <v>-5.5550774479353346E-2</v>
      </c>
      <c r="AN98" s="729">
        <f>AN97/AVERAGE($AG60:AN60)</f>
        <v>-7.5856652336432351E-2</v>
      </c>
      <c r="AO98" s="729">
        <f>AO97/AVERAGE($AG60:AO60)</f>
        <v>-8.8232025257228036E-2</v>
      </c>
      <c r="AP98" s="729">
        <f>AP97/AVERAGE($AG60:AP60)</f>
        <v>-9.8777540326384944E-2</v>
      </c>
      <c r="AQ98" s="729">
        <f>AQ97/AVERAGE($AG60:AQ60)</f>
        <v>-0.11975701568469244</v>
      </c>
      <c r="AR98" s="729">
        <f>AR97/AVERAGE($AG60:AR60)</f>
        <v>-0.12960538933254753</v>
      </c>
      <c r="AS98" s="729">
        <f>AS97/AVERAGE($AG60:AS60)</f>
        <v>-0.13908799430159344</v>
      </c>
      <c r="AT98" s="729">
        <f>AT97/AVERAGE($AS60:AT60)</f>
        <v>-2.5602213625478595E-2</v>
      </c>
      <c r="AU98" s="729">
        <f>AU97/AVERAGE($AS60:AU60)</f>
        <v>-4.098162339743501E-2</v>
      </c>
      <c r="AV98" s="729">
        <f>AV97/AVERAGE($AS60:AV60)</f>
        <v>-5.8507645399421528E-2</v>
      </c>
      <c r="AW98" s="729">
        <f>AW97/AVERAGE($AS60:AW60)</f>
        <v>-7.6295194587160359E-2</v>
      </c>
      <c r="AX98" s="729">
        <f>AX97/AVERAGE($AS60:AX60)</f>
        <v>-9.4154780024385709E-2</v>
      </c>
      <c r="AY98" s="729">
        <f>AY97/AVERAGE($AS60:AY60)</f>
        <v>-0.11258887266336952</v>
      </c>
      <c r="AZ98" s="729">
        <f>AZ97/AVERAGE($AS60:AZ60)</f>
        <v>-0.13212151248446949</v>
      </c>
      <c r="BA98" s="729">
        <f>BA97/AVERAGE($AS60:BA60)</f>
        <v>-0.15266189531379859</v>
      </c>
      <c r="BB98" s="729">
        <f>BB97/AVERAGE($AS60:BB60)</f>
        <v>-0.17225768683847148</v>
      </c>
      <c r="BC98" s="729">
        <f>BC97/AVERAGE($AS60:BC60)</f>
        <v>-0.19048155322718141</v>
      </c>
      <c r="BD98" s="729">
        <f>BD97/AVERAGE($AS60:BD60)</f>
        <v>-0.20764952517309709</v>
      </c>
      <c r="BE98" s="729">
        <f>BE97/AVERAGE($AS60:BE60)</f>
        <v>-0.22385368379214615</v>
      </c>
      <c r="BF98" s="729">
        <f>BF97/AVERAGE($BE60:BF60)</f>
        <v>-1.6785219914083934E-2</v>
      </c>
      <c r="BG98" s="729">
        <f>BG97/AVERAGE($BE60:BG60)</f>
        <v>-3.3296750666431167E-2</v>
      </c>
      <c r="BH98" s="729">
        <f>BH97/AVERAGE($BE60:BH60)</f>
        <v>-4.9763426421458687E-2</v>
      </c>
      <c r="BI98" s="729">
        <f>BI97/AVERAGE($BE60:BI60)</f>
        <v>-6.6515767277391127E-2</v>
      </c>
      <c r="BJ98" s="729">
        <f>BJ97/AVERAGE($BE60:BJ60)</f>
        <v>-8.3660132023003694E-2</v>
      </c>
      <c r="BK98" s="729">
        <f>BK97/AVERAGE($BE60:BK60)</f>
        <v>-0.10130507746271725</v>
      </c>
      <c r="BL98" s="729">
        <f>BL97/AVERAGE($BE60:BL60)</f>
        <v>-0.1197578536663102</v>
      </c>
      <c r="BM98" s="729">
        <f>BM97/AVERAGE($BE60:BM60)</f>
        <v>-0.1393890522208531</v>
      </c>
      <c r="BN98" s="729">
        <f>BN97/AVERAGE($BE60:BN60)</f>
        <v>-0.16002697565405488</v>
      </c>
      <c r="BO98" s="729">
        <f>BO97/AVERAGE($BE60:BO60)</f>
        <v>-0.18153663552829491</v>
      </c>
      <c r="BP98" s="729">
        <f>BP97/AVERAGE($BE60:BP60)</f>
        <v>-0.2038097515278515</v>
      </c>
      <c r="BQ98" s="729">
        <f>BQ97/AVERAGE($BE60:BQ60)</f>
        <v>-0.22673794723306956</v>
      </c>
      <c r="BR98" s="729">
        <f>BR97/AVERAGE($BQ60:BR60)</f>
        <v>-2.3400952541026813E-2</v>
      </c>
      <c r="BS98" s="729">
        <f>BS97/AVERAGE($BQ60:BS60)</f>
        <v>-4.7113981502872666E-2</v>
      </c>
      <c r="BT98" s="729">
        <f>BT97/AVERAGE($BQ60:BT60)</f>
        <v>-7.0851677449503006E-2</v>
      </c>
      <c r="BU98" s="729">
        <f>BU97/AVERAGE($BQ60:BU60)</f>
        <v>-9.4385107008868124E-2</v>
      </c>
      <c r="BV98" s="729">
        <f>BV97/AVERAGE($BQ60:BV60)</f>
        <v>-0.11750089668180609</v>
      </c>
      <c r="BW98" s="729">
        <f>BW97/AVERAGE($BQ60:BW60)</f>
        <v>-0.13998351607955592</v>
      </c>
      <c r="BX98" s="729">
        <f>BX97/AVERAGE($BQ60:BX60)</f>
        <v>-0.1616404217330841</v>
      </c>
      <c r="BY98" s="729">
        <f>BY97/AVERAGE($BQ60:BY60)</f>
        <v>-0.18247351971470449</v>
      </c>
      <c r="BZ98" s="729">
        <f>BZ97/AVERAGE($BQ60:BZ60)</f>
        <v>-0.20258348942443477</v>
      </c>
      <c r="CA98" s="729">
        <f>CA97/AVERAGE($BQ60:CA60)</f>
        <v>-0.22205519736408316</v>
      </c>
      <c r="CB98" s="729">
        <f>CB97/AVERAGE($BQ60:CB60)</f>
        <v>-0.24095346232491061</v>
      </c>
      <c r="CC98" s="729">
        <f>CC97/AVERAGE($BQ60:CC60)</f>
        <v>-0.25939839447555335</v>
      </c>
      <c r="CD98" s="729">
        <f>CD97/AVERAGE($CC60:CD60)</f>
        <v>-1.8628073883448604E-2</v>
      </c>
      <c r="CE98" s="729">
        <f>CE97/AVERAGE($CC60:CE60)</f>
        <v>-3.7092520285913796E-2</v>
      </c>
      <c r="CF98" s="729">
        <f>CF97/AVERAGE($CC60:CF60)</f>
        <v>-5.549983306587418E-2</v>
      </c>
      <c r="CG98" s="729">
        <f>CG97/AVERAGE($CC60:CG60)</f>
        <v>-7.394460879232978E-2</v>
      </c>
      <c r="CH98" s="729">
        <f>CH97/AVERAGE($CC60:CH60)</f>
        <v>-9.2501266020296818E-2</v>
      </c>
      <c r="CI98" s="729">
        <f>CI97/AVERAGE($CC60:CI60)</f>
        <v>-0.11122921690873279</v>
      </c>
      <c r="CJ98" s="729">
        <f>CJ97/AVERAGE($CC60:CJ60)</f>
        <v>-0.13017363818467537</v>
      </c>
      <c r="CK98" s="729">
        <f>CK97/AVERAGE($CC60:CK60)</f>
        <v>-0.14935332176547234</v>
      </c>
      <c r="CL98" s="729">
        <f>CL97/AVERAGE($CC60:CL60)</f>
        <v>-0.16875579501832391</v>
      </c>
      <c r="CM98" s="729">
        <f>CM97/AVERAGE($CC60:CM60)</f>
        <v>-0.18836227745595999</v>
      </c>
      <c r="CN98" s="729">
        <f>CN97/AVERAGE($CC60:CN60)</f>
        <v>-0.20814957963298744</v>
      </c>
      <c r="CO98" s="729">
        <f>CO97/AVERAGE($CC60:CO60)</f>
        <v>-0.22809281825078837</v>
      </c>
      <c r="CP98" s="729">
        <f>CP97/AVERAGE($CO60:CP60)</f>
        <v>-1.9936980160182857E-2</v>
      </c>
      <c r="CQ98" s="729">
        <f>CQ97/AVERAGE($CO60:CQ60)</f>
        <v>-3.9963406792500218E-2</v>
      </c>
      <c r="CR98" s="729">
        <f>CR97/AVERAGE($CO60:CR60)</f>
        <v>-5.9967640101494316E-2</v>
      </c>
      <c r="CS98" s="729">
        <f>CS97/AVERAGE($CO60:CS60)</f>
        <v>-7.9832597503995212E-2</v>
      </c>
      <c r="CT98" s="729">
        <f>CT97/AVERAGE($CO60:CT60)</f>
        <v>-9.9441128806979015E-2</v>
      </c>
      <c r="CU98" s="729">
        <f>CU97/AVERAGE($CO60:CU60)</f>
        <v>-0.11870253929691128</v>
      </c>
      <c r="CV98" s="729">
        <f>CV97/AVERAGE($CO60:CV60)</f>
        <v>-0.13753052752630859</v>
      </c>
      <c r="CW98" s="729">
        <f>CW97/AVERAGE($CO60:CW60)</f>
        <v>-0.15584228326031227</v>
      </c>
      <c r="CX98" s="729">
        <f>CX97/AVERAGE($CO60:CX60)</f>
        <v>-0.17359809748585947</v>
      </c>
      <c r="CY98" s="729">
        <f>CY97/AVERAGE($CO60:CY60)</f>
        <v>-0.19083125794650063</v>
      </c>
      <c r="CZ98" s="729">
        <f>CZ97/AVERAGE($CO60:CZ60)</f>
        <v>-0.20757830400781099</v>
      </c>
      <c r="DA98" s="729">
        <f>DA97/AVERAGE($CO60:DA60)</f>
        <v>-0.22387896796858556</v>
      </c>
      <c r="DC98" s="729">
        <f t="shared" si="104"/>
        <v>0</v>
      </c>
      <c r="DD98" s="729">
        <f t="shared" si="105"/>
        <v>-0.13908799430159344</v>
      </c>
      <c r="DE98" s="729">
        <f t="shared" si="106"/>
        <v>-0.22385368379214615</v>
      </c>
      <c r="DF98" s="729">
        <f t="shared" si="107"/>
        <v>-0.22673794723306956</v>
      </c>
      <c r="DG98" s="729">
        <f t="shared" si="108"/>
        <v>-0.25939839447555335</v>
      </c>
      <c r="DH98" s="729">
        <f t="shared" si="109"/>
        <v>-0.22809281825078837</v>
      </c>
      <c r="DI98" s="729">
        <f t="shared" si="110"/>
        <v>-0.22387896796858556</v>
      </c>
    </row>
    <row r="99" spans="2:117" outlineLevel="2">
      <c r="B99" s="758"/>
      <c r="E99" s="720"/>
      <c r="F99" s="718"/>
      <c r="O99" s="696"/>
      <c r="P99" s="696"/>
      <c r="Q99" s="696"/>
      <c r="R99" s="696"/>
      <c r="S99" s="696"/>
      <c r="T99" s="696"/>
      <c r="U99" s="696"/>
      <c r="V99" s="696"/>
      <c r="W99" s="696"/>
      <c r="X99" s="696"/>
      <c r="Y99" s="696"/>
      <c r="Z99" s="696"/>
      <c r="AA99" s="696"/>
      <c r="AB99" s="696"/>
      <c r="AC99" s="696"/>
      <c r="AD99" s="696"/>
      <c r="AE99" s="696"/>
      <c r="AF99" s="696"/>
      <c r="AG99" s="696"/>
      <c r="AH99" s="696"/>
      <c r="AI99" s="696"/>
      <c r="AJ99" s="696"/>
      <c r="AK99" s="696"/>
      <c r="AL99" s="696"/>
      <c r="AM99" s="696"/>
      <c r="AN99" s="696"/>
      <c r="AO99" s="696"/>
      <c r="AP99" s="696"/>
      <c r="AQ99" s="696"/>
      <c r="AR99" s="696"/>
      <c r="AS99" s="696"/>
      <c r="AT99" s="696"/>
      <c r="AU99" s="696"/>
      <c r="AV99" s="696"/>
      <c r="AW99" s="696"/>
      <c r="AX99" s="696"/>
      <c r="AY99" s="696"/>
      <c r="AZ99" s="696"/>
      <c r="BA99" s="696"/>
      <c r="BB99" s="696"/>
      <c r="BC99" s="696"/>
      <c r="BD99" s="696"/>
      <c r="BE99" s="696"/>
      <c r="BF99" s="696"/>
      <c r="BG99" s="696"/>
      <c r="BH99" s="696"/>
      <c r="BI99" s="696"/>
      <c r="BJ99" s="696"/>
      <c r="BK99" s="696"/>
      <c r="BL99" s="696"/>
      <c r="BM99" s="696"/>
      <c r="BN99" s="696"/>
      <c r="BO99" s="696"/>
      <c r="BP99" s="696"/>
      <c r="BQ99" s="696"/>
      <c r="BR99" s="696"/>
      <c r="BS99" s="696"/>
      <c r="BT99" s="696"/>
      <c r="BU99" s="696"/>
      <c r="BV99" s="696"/>
      <c r="BW99" s="696"/>
      <c r="BX99" s="696"/>
      <c r="BY99" s="696"/>
      <c r="BZ99" s="696"/>
      <c r="CA99" s="696"/>
      <c r="CB99" s="696"/>
      <c r="CC99" s="696"/>
      <c r="CD99" s="696"/>
      <c r="CE99" s="696"/>
      <c r="CF99" s="696"/>
      <c r="CG99" s="696"/>
      <c r="CH99" s="696"/>
      <c r="CI99" s="696"/>
      <c r="CJ99" s="696"/>
      <c r="CK99" s="696"/>
      <c r="CL99" s="696"/>
      <c r="CM99" s="696"/>
      <c r="CN99" s="696"/>
      <c r="CO99" s="696"/>
      <c r="CP99" s="696"/>
      <c r="CQ99" s="696"/>
      <c r="CR99" s="696"/>
      <c r="CS99" s="696"/>
      <c r="CT99" s="696"/>
      <c r="CU99" s="696"/>
      <c r="CV99" s="696"/>
      <c r="CW99" s="696"/>
      <c r="CX99" s="696"/>
      <c r="CY99" s="696"/>
      <c r="CZ99" s="696"/>
      <c r="DA99" s="696"/>
      <c r="DC99" s="14"/>
      <c r="DD99" s="14"/>
      <c r="DE99" s="14"/>
      <c r="DF99" s="14"/>
      <c r="DG99" s="14"/>
      <c r="DH99" s="14"/>
    </row>
    <row r="100" spans="2:117" outlineLevel="1">
      <c r="E100" s="735" t="s">
        <v>821</v>
      </c>
      <c r="F100" s="734"/>
      <c r="G100" s="734"/>
      <c r="H100" s="736"/>
      <c r="AA100" s="873"/>
      <c r="AB100" s="873"/>
      <c r="AC100" s="873"/>
      <c r="AD100" s="873"/>
      <c r="AE100" s="873"/>
      <c r="AF100" s="873"/>
      <c r="AG100" s="873"/>
      <c r="AH100" s="873"/>
      <c r="AI100" s="873"/>
    </row>
    <row r="101" spans="2:117" s="12" customFormat="1" ht="15" outlineLevel="2">
      <c r="B101" s="758"/>
      <c r="E101" s="14"/>
      <c r="F101" s="12" t="s">
        <v>822</v>
      </c>
      <c r="H101" s="865"/>
      <c r="I101" s="848" t="s">
        <v>743</v>
      </c>
      <c r="J101" s="865"/>
      <c r="K101" s="865"/>
      <c r="L101" s="865"/>
      <c r="M101" s="865"/>
      <c r="V101" s="14"/>
      <c r="AA101" s="700">
        <v>3.0000000000000001E-3</v>
      </c>
      <c r="AB101" s="874">
        <v>3.129</v>
      </c>
      <c r="AC101" s="874">
        <v>4.1740000000000004</v>
      </c>
      <c r="AD101" s="874">
        <v>4.8109999999999999</v>
      </c>
      <c r="AE101" s="874">
        <v>5.7809999999999997</v>
      </c>
      <c r="AF101" s="874">
        <v>6.3339999999999996</v>
      </c>
      <c r="AG101" s="874">
        <v>9.5109999999999992</v>
      </c>
      <c r="AH101" s="875">
        <v>7.42</v>
      </c>
      <c r="AI101" s="875">
        <v>4.5699999999999994</v>
      </c>
      <c r="AJ101" s="713">
        <v>4.702</v>
      </c>
      <c r="AK101" s="713">
        <v>8.6929999999999996</v>
      </c>
      <c r="AL101" s="713">
        <v>10.124000000000001</v>
      </c>
      <c r="AM101" s="713">
        <v>14.116999999999999</v>
      </c>
      <c r="AN101" s="713">
        <v>15.145999999999999</v>
      </c>
      <c r="AO101" s="713">
        <v>18.224</v>
      </c>
      <c r="AP101" s="713">
        <v>24.484000000000002</v>
      </c>
      <c r="AQ101" s="713">
        <v>24.451000000000001</v>
      </c>
      <c r="AR101" s="710">
        <v>19.929454624566674</v>
      </c>
      <c r="AS101" s="755">
        <v>21.922400087023348</v>
      </c>
      <c r="AT101" s="710">
        <v>16</v>
      </c>
      <c r="AU101" s="710">
        <v>15</v>
      </c>
      <c r="AV101" s="710">
        <v>18</v>
      </c>
      <c r="AW101" s="710">
        <v>20</v>
      </c>
      <c r="AX101" s="710">
        <f>AW101+2</f>
        <v>22</v>
      </c>
      <c r="AY101" s="710">
        <f t="shared" ref="AY101:BE101" si="117">AX101+2</f>
        <v>24</v>
      </c>
      <c r="AZ101" s="710">
        <f t="shared" si="117"/>
        <v>26</v>
      </c>
      <c r="BA101" s="710">
        <f t="shared" si="117"/>
        <v>28</v>
      </c>
      <c r="BB101" s="710">
        <f t="shared" si="117"/>
        <v>30</v>
      </c>
      <c r="BC101" s="710">
        <f t="shared" si="117"/>
        <v>32</v>
      </c>
      <c r="BD101" s="710">
        <f t="shared" si="117"/>
        <v>34</v>
      </c>
      <c r="BE101" s="710">
        <f t="shared" si="117"/>
        <v>36</v>
      </c>
      <c r="BF101" s="710">
        <f t="shared" ref="BF101:BP101" si="118">BE101+($BQ$101-$BE$101)/12</f>
        <v>35.549999999999997</v>
      </c>
      <c r="BG101" s="710">
        <f t="shared" si="118"/>
        <v>35.099999999999994</v>
      </c>
      <c r="BH101" s="710">
        <f t="shared" si="118"/>
        <v>34.649999999999991</v>
      </c>
      <c r="BI101" s="710">
        <f t="shared" si="118"/>
        <v>34.199999999999989</v>
      </c>
      <c r="BJ101" s="710">
        <f t="shared" si="118"/>
        <v>33.749999999999986</v>
      </c>
      <c r="BK101" s="710">
        <f t="shared" si="118"/>
        <v>33.299999999999983</v>
      </c>
      <c r="BL101" s="710">
        <f t="shared" si="118"/>
        <v>32.84999999999998</v>
      </c>
      <c r="BM101" s="710">
        <f t="shared" si="118"/>
        <v>32.399999999999977</v>
      </c>
      <c r="BN101" s="710">
        <f t="shared" si="118"/>
        <v>31.949999999999978</v>
      </c>
      <c r="BO101" s="710">
        <f t="shared" si="118"/>
        <v>31.499999999999979</v>
      </c>
      <c r="BP101" s="710">
        <f t="shared" si="118"/>
        <v>31.049999999999979</v>
      </c>
      <c r="BQ101" s="755">
        <f>BE101*0.85</f>
        <v>30.599999999999998</v>
      </c>
      <c r="BR101" s="710">
        <f t="shared" ref="BR101:CB101" si="119">BQ101+($CC$101-$BQ$101)/12</f>
        <v>31.364999999999998</v>
      </c>
      <c r="BS101" s="710">
        <f t="shared" si="119"/>
        <v>32.129999999999995</v>
      </c>
      <c r="BT101" s="710">
        <f t="shared" si="119"/>
        <v>32.894999999999996</v>
      </c>
      <c r="BU101" s="710">
        <f t="shared" si="119"/>
        <v>33.659999999999997</v>
      </c>
      <c r="BV101" s="710">
        <f t="shared" si="119"/>
        <v>34.424999999999997</v>
      </c>
      <c r="BW101" s="710">
        <f t="shared" si="119"/>
        <v>35.19</v>
      </c>
      <c r="BX101" s="710">
        <f t="shared" si="119"/>
        <v>35.954999999999998</v>
      </c>
      <c r="BY101" s="710">
        <f t="shared" si="119"/>
        <v>36.72</v>
      </c>
      <c r="BZ101" s="710">
        <f t="shared" si="119"/>
        <v>37.484999999999999</v>
      </c>
      <c r="CA101" s="710">
        <f t="shared" si="119"/>
        <v>38.25</v>
      </c>
      <c r="CB101" s="710">
        <f t="shared" si="119"/>
        <v>39.015000000000001</v>
      </c>
      <c r="CC101" s="755">
        <f>BQ101*1.3</f>
        <v>39.78</v>
      </c>
      <c r="CD101" s="710">
        <f t="shared" ref="CD101:CN101" si="120">CC101+($CO$101-$CC$101)/12</f>
        <v>40.774500000000003</v>
      </c>
      <c r="CE101" s="710">
        <f t="shared" si="120"/>
        <v>41.769000000000005</v>
      </c>
      <c r="CF101" s="710">
        <f t="shared" si="120"/>
        <v>42.763500000000008</v>
      </c>
      <c r="CG101" s="710">
        <f t="shared" si="120"/>
        <v>43.75800000000001</v>
      </c>
      <c r="CH101" s="710">
        <f t="shared" si="120"/>
        <v>44.752500000000012</v>
      </c>
      <c r="CI101" s="710">
        <f t="shared" si="120"/>
        <v>45.747000000000014</v>
      </c>
      <c r="CJ101" s="710">
        <f t="shared" si="120"/>
        <v>46.741500000000016</v>
      </c>
      <c r="CK101" s="710">
        <f t="shared" si="120"/>
        <v>47.736000000000018</v>
      </c>
      <c r="CL101" s="710">
        <f t="shared" si="120"/>
        <v>48.730500000000021</v>
      </c>
      <c r="CM101" s="710">
        <f t="shared" si="120"/>
        <v>49.725000000000023</v>
      </c>
      <c r="CN101" s="710">
        <f t="shared" si="120"/>
        <v>50.719500000000025</v>
      </c>
      <c r="CO101" s="755">
        <f>CC101*1.3</f>
        <v>51.714000000000006</v>
      </c>
      <c r="CP101" s="710">
        <f>CO101+($DA101-$CO101)/12</f>
        <v>52.575900000000004</v>
      </c>
      <c r="CQ101" s="710">
        <f t="shared" ref="CQ101:CZ101" si="121">CP101+($DA101-$CO101)/12</f>
        <v>53.437800000000003</v>
      </c>
      <c r="CR101" s="710">
        <f t="shared" si="121"/>
        <v>54.299700000000001</v>
      </c>
      <c r="CS101" s="710">
        <f t="shared" si="121"/>
        <v>55.1616</v>
      </c>
      <c r="CT101" s="710">
        <f t="shared" si="121"/>
        <v>56.023499999999999</v>
      </c>
      <c r="CU101" s="710">
        <f t="shared" si="121"/>
        <v>56.885399999999997</v>
      </c>
      <c r="CV101" s="710">
        <f t="shared" si="121"/>
        <v>57.747299999999996</v>
      </c>
      <c r="CW101" s="710">
        <f t="shared" si="121"/>
        <v>58.609199999999994</v>
      </c>
      <c r="CX101" s="710">
        <f t="shared" si="121"/>
        <v>59.471099999999993</v>
      </c>
      <c r="CY101" s="710">
        <f t="shared" si="121"/>
        <v>60.332999999999991</v>
      </c>
      <c r="CZ101" s="710">
        <f t="shared" si="121"/>
        <v>61.19489999999999</v>
      </c>
      <c r="DA101" s="755">
        <f>CO101*1.2</f>
        <v>62.056800000000003</v>
      </c>
      <c r="DC101" s="12">
        <f>SUM(V101:AG101)</f>
        <v>33.742999999999995</v>
      </c>
      <c r="DD101" s="12">
        <f>SUM(AH101:AS101)</f>
        <v>173.78285471159001</v>
      </c>
      <c r="DE101" s="12">
        <f>SUM(AT101:BE101)</f>
        <v>301</v>
      </c>
      <c r="DF101" s="12">
        <f>SUM(BF101:BQ101)</f>
        <v>396.89999999999986</v>
      </c>
      <c r="DG101" s="12">
        <f>SUM(BR101:CC101)</f>
        <v>426.86999999999989</v>
      </c>
      <c r="DH101" s="12">
        <f>SUM(CD101:CO101)</f>
        <v>554.93100000000027</v>
      </c>
      <c r="DI101" s="12">
        <f>SUM(CP101:DA101)</f>
        <v>687.79619999999989</v>
      </c>
    </row>
    <row r="102" spans="2:117" ht="15" outlineLevel="2">
      <c r="B102" s="758"/>
      <c r="E102" s="698"/>
      <c r="F102" s="12" t="s">
        <v>823</v>
      </c>
      <c r="I102" s="848" t="s">
        <v>743</v>
      </c>
      <c r="V102" s="698"/>
      <c r="W102" s="12"/>
      <c r="AA102" s="876">
        <v>3.0000000000000001E-3</v>
      </c>
      <c r="AB102" s="877">
        <v>3.1320000000000001</v>
      </c>
      <c r="AC102" s="877">
        <v>7.42</v>
      </c>
      <c r="AD102" s="877">
        <v>12.228999999999999</v>
      </c>
      <c r="AE102" s="877">
        <v>17.856999999999999</v>
      </c>
      <c r="AF102" s="877">
        <v>23.791</v>
      </c>
      <c r="AG102" s="877">
        <v>33.856999999999999</v>
      </c>
      <c r="AH102" s="878">
        <v>38.724000000000004</v>
      </c>
      <c r="AI102" s="878">
        <v>41.501999999999995</v>
      </c>
      <c r="AJ102" s="878">
        <v>43.844000000000008</v>
      </c>
      <c r="AK102" s="878">
        <v>50.013000000000005</v>
      </c>
      <c r="AL102" s="878">
        <v>57.478000000000009</v>
      </c>
      <c r="AM102" s="878">
        <v>68.650999999999996</v>
      </c>
      <c r="AN102" s="879">
        <v>80.337000000000003</v>
      </c>
      <c r="AO102" s="879">
        <v>91.871000000000009</v>
      </c>
      <c r="AP102" s="879">
        <v>111.366</v>
      </c>
      <c r="AQ102" s="713">
        <v>126.267</v>
      </c>
      <c r="AR102" s="880">
        <f t="shared" ref="AR102:DA102" si="122">AQ102+AR101-AF101</f>
        <v>139.86245462456668</v>
      </c>
      <c r="AS102" s="880">
        <f t="shared" si="122"/>
        <v>152.27385471159002</v>
      </c>
      <c r="AT102" s="880">
        <f t="shared" si="122"/>
        <v>160.85385471159003</v>
      </c>
      <c r="AU102" s="880">
        <f t="shared" si="122"/>
        <v>171.28385471159004</v>
      </c>
      <c r="AV102" s="880">
        <f t="shared" si="122"/>
        <v>184.58185471159004</v>
      </c>
      <c r="AW102" s="880">
        <f t="shared" si="122"/>
        <v>195.88885471159003</v>
      </c>
      <c r="AX102" s="880">
        <f t="shared" si="122"/>
        <v>207.76485471159003</v>
      </c>
      <c r="AY102" s="880">
        <f t="shared" si="122"/>
        <v>217.64785471159004</v>
      </c>
      <c r="AZ102" s="880">
        <f t="shared" si="122"/>
        <v>228.50185471159006</v>
      </c>
      <c r="BA102" s="880">
        <f t="shared" si="122"/>
        <v>238.27785471159007</v>
      </c>
      <c r="BB102" s="880">
        <f t="shared" si="122"/>
        <v>243.79385471159006</v>
      </c>
      <c r="BC102" s="880">
        <f t="shared" si="122"/>
        <v>251.34285471159004</v>
      </c>
      <c r="BD102" s="880">
        <f t="shared" si="122"/>
        <v>265.41340008702332</v>
      </c>
      <c r="BE102" s="880">
        <f t="shared" si="122"/>
        <v>279.49099999999999</v>
      </c>
      <c r="BF102" s="880">
        <f t="shared" si="122"/>
        <v>299.041</v>
      </c>
      <c r="BG102" s="880">
        <f t="shared" si="122"/>
        <v>319.14099999999996</v>
      </c>
      <c r="BH102" s="880">
        <f t="shared" si="122"/>
        <v>335.79099999999994</v>
      </c>
      <c r="BI102" s="880">
        <f t="shared" si="122"/>
        <v>349.99099999999993</v>
      </c>
      <c r="BJ102" s="880">
        <f t="shared" si="122"/>
        <v>361.74099999999993</v>
      </c>
      <c r="BK102" s="880">
        <f t="shared" si="122"/>
        <v>371.04099999999994</v>
      </c>
      <c r="BL102" s="880">
        <f t="shared" si="122"/>
        <v>377.89099999999991</v>
      </c>
      <c r="BM102" s="880">
        <f t="shared" si="122"/>
        <v>382.29099999999988</v>
      </c>
      <c r="BN102" s="880">
        <f t="shared" si="122"/>
        <v>384.24099999999987</v>
      </c>
      <c r="BO102" s="880">
        <f t="shared" si="122"/>
        <v>383.74099999999987</v>
      </c>
      <c r="BP102" s="880">
        <f t="shared" si="122"/>
        <v>380.79099999999983</v>
      </c>
      <c r="BQ102" s="880">
        <f t="shared" si="122"/>
        <v>375.39099999999985</v>
      </c>
      <c r="BR102" s="880">
        <f t="shared" si="122"/>
        <v>371.20599999999985</v>
      </c>
      <c r="BS102" s="880">
        <f t="shared" si="122"/>
        <v>368.23599999999988</v>
      </c>
      <c r="BT102" s="880">
        <f t="shared" si="122"/>
        <v>366.48099999999988</v>
      </c>
      <c r="BU102" s="880">
        <f t="shared" si="122"/>
        <v>365.94099999999986</v>
      </c>
      <c r="BV102" s="880">
        <f t="shared" si="122"/>
        <v>366.61599999999987</v>
      </c>
      <c r="BW102" s="880">
        <f t="shared" si="122"/>
        <v>368.50599999999986</v>
      </c>
      <c r="BX102" s="880">
        <f t="shared" si="122"/>
        <v>371.61099999999988</v>
      </c>
      <c r="BY102" s="880">
        <f t="shared" si="122"/>
        <v>375.93099999999993</v>
      </c>
      <c r="BZ102" s="880">
        <f t="shared" si="122"/>
        <v>381.46599999999995</v>
      </c>
      <c r="CA102" s="880">
        <f t="shared" si="122"/>
        <v>388.21599999999995</v>
      </c>
      <c r="CB102" s="880">
        <f t="shared" si="122"/>
        <v>396.18099999999998</v>
      </c>
      <c r="CC102" s="880">
        <f t="shared" si="122"/>
        <v>405.36099999999999</v>
      </c>
      <c r="CD102" s="880">
        <f t="shared" si="122"/>
        <v>414.77049999999997</v>
      </c>
      <c r="CE102" s="880">
        <f t="shared" si="122"/>
        <v>424.40949999999998</v>
      </c>
      <c r="CF102" s="880">
        <f t="shared" si="122"/>
        <v>434.27800000000002</v>
      </c>
      <c r="CG102" s="880">
        <f t="shared" si="122"/>
        <v>444.37600000000009</v>
      </c>
      <c r="CH102" s="880">
        <f t="shared" si="122"/>
        <v>454.70350000000008</v>
      </c>
      <c r="CI102" s="880">
        <f t="shared" si="122"/>
        <v>465.26050000000009</v>
      </c>
      <c r="CJ102" s="880">
        <f t="shared" si="122"/>
        <v>476.04700000000008</v>
      </c>
      <c r="CK102" s="880">
        <f t="shared" si="122"/>
        <v>487.0630000000001</v>
      </c>
      <c r="CL102" s="880">
        <f t="shared" si="122"/>
        <v>498.30850000000009</v>
      </c>
      <c r="CM102" s="880">
        <f t="shared" si="122"/>
        <v>509.78350000000012</v>
      </c>
      <c r="CN102" s="880">
        <f t="shared" si="122"/>
        <v>521.48800000000017</v>
      </c>
      <c r="CO102" s="880">
        <f t="shared" si="122"/>
        <v>533.42200000000025</v>
      </c>
      <c r="CP102" s="880">
        <f t="shared" si="122"/>
        <v>545.22340000000031</v>
      </c>
      <c r="CQ102" s="880">
        <f t="shared" si="122"/>
        <v>556.89220000000034</v>
      </c>
      <c r="CR102" s="880">
        <f t="shared" si="122"/>
        <v>568.42840000000035</v>
      </c>
      <c r="CS102" s="880">
        <f t="shared" si="122"/>
        <v>579.83200000000033</v>
      </c>
      <c r="CT102" s="880">
        <f t="shared" si="122"/>
        <v>591.10300000000029</v>
      </c>
      <c r="CU102" s="880">
        <f t="shared" si="122"/>
        <v>602.24140000000034</v>
      </c>
      <c r="CV102" s="880">
        <f t="shared" si="122"/>
        <v>613.24720000000036</v>
      </c>
      <c r="CW102" s="880">
        <f t="shared" si="122"/>
        <v>624.12040000000036</v>
      </c>
      <c r="CX102" s="880">
        <f t="shared" si="122"/>
        <v>634.86100000000033</v>
      </c>
      <c r="CY102" s="880">
        <f t="shared" si="122"/>
        <v>645.46900000000028</v>
      </c>
      <c r="CZ102" s="880">
        <f t="shared" si="122"/>
        <v>655.9444000000002</v>
      </c>
      <c r="DA102" s="880">
        <f t="shared" si="122"/>
        <v>666.2872000000001</v>
      </c>
      <c r="DC102" s="11">
        <f>AG102</f>
        <v>33.856999999999999</v>
      </c>
      <c r="DD102" s="11">
        <f>AS102</f>
        <v>152.27385471159002</v>
      </c>
      <c r="DE102" s="11">
        <f>BE102</f>
        <v>279.49099999999999</v>
      </c>
      <c r="DF102" s="11">
        <f>BQ102</f>
        <v>375.39099999999985</v>
      </c>
      <c r="DG102" s="11">
        <f>CC102</f>
        <v>405.36099999999999</v>
      </c>
      <c r="DH102" s="11">
        <f>CO102</f>
        <v>533.42200000000025</v>
      </c>
      <c r="DI102" s="11">
        <f>DA102</f>
        <v>666.2872000000001</v>
      </c>
    </row>
    <row r="103" spans="2:117" s="12" customFormat="1" outlineLevel="2">
      <c r="B103" s="758"/>
      <c r="E103" s="14"/>
      <c r="F103" s="12" t="s">
        <v>795</v>
      </c>
      <c r="H103" s="865"/>
      <c r="I103" s="609" t="s">
        <v>736</v>
      </c>
      <c r="J103" s="865"/>
      <c r="K103" s="865"/>
      <c r="L103" s="865"/>
      <c r="M103" s="865"/>
      <c r="V103" s="14"/>
      <c r="AA103" s="12">
        <v>0</v>
      </c>
      <c r="AB103" s="881">
        <v>32.846249999999998</v>
      </c>
      <c r="AC103" s="881">
        <v>41.848999999999997</v>
      </c>
      <c r="AD103" s="881">
        <v>46.990699999999997</v>
      </c>
      <c r="AE103" s="881">
        <v>54.846299999999999</v>
      </c>
      <c r="AF103" s="882">
        <v>60.138350000000003</v>
      </c>
      <c r="AG103" s="881">
        <v>109.01439999999999</v>
      </c>
      <c r="AH103" s="712">
        <v>91.988349999999997</v>
      </c>
      <c r="AI103" s="712">
        <v>55.165200000000006</v>
      </c>
      <c r="AJ103" s="712">
        <v>57.308890000000005</v>
      </c>
      <c r="AK103" s="883">
        <v>99.399090000000015</v>
      </c>
      <c r="AL103" s="883">
        <v>112.85531</v>
      </c>
      <c r="AM103" s="712">
        <v>155.31387999999998</v>
      </c>
      <c r="AN103" s="712">
        <v>167.74406000000002</v>
      </c>
      <c r="AO103" s="883">
        <v>187.16388999999998</v>
      </c>
      <c r="AP103" s="883">
        <v>223.05885999999998</v>
      </c>
      <c r="AQ103" s="713">
        <v>236.45690999999999</v>
      </c>
      <c r="AR103" s="884">
        <v>239.15345549480011</v>
      </c>
      <c r="AS103" s="884">
        <v>263.06880104428018</v>
      </c>
      <c r="AT103" s="710">
        <v>192</v>
      </c>
      <c r="AU103" s="710">
        <v>180</v>
      </c>
      <c r="AV103" s="710">
        <v>216</v>
      </c>
      <c r="AW103" s="710">
        <v>240</v>
      </c>
      <c r="AX103" s="710">
        <v>264</v>
      </c>
      <c r="AY103" s="710">
        <v>288</v>
      </c>
      <c r="AZ103" s="710">
        <v>312</v>
      </c>
      <c r="BA103" s="710">
        <v>336</v>
      </c>
      <c r="BB103" s="710">
        <v>360</v>
      </c>
      <c r="BC103" s="710">
        <v>384</v>
      </c>
      <c r="BD103" s="710">
        <v>408</v>
      </c>
      <c r="BE103" s="710">
        <v>432</v>
      </c>
      <c r="BF103" s="710">
        <v>426.59999999999997</v>
      </c>
      <c r="BG103" s="710">
        <v>421.19999999999993</v>
      </c>
      <c r="BH103" s="710">
        <v>415.7999999999999</v>
      </c>
      <c r="BI103" s="710">
        <v>410.39999999999986</v>
      </c>
      <c r="BJ103" s="710">
        <v>404.99999999999983</v>
      </c>
      <c r="BK103" s="710">
        <v>399.5999999999998</v>
      </c>
      <c r="BL103" s="710">
        <v>394.19999999999976</v>
      </c>
      <c r="BM103" s="710">
        <v>388.79999999999973</v>
      </c>
      <c r="BN103" s="710">
        <v>383.39999999999969</v>
      </c>
      <c r="BO103" s="710">
        <v>377.99999999999977</v>
      </c>
      <c r="BP103" s="710">
        <v>372.5999999999998</v>
      </c>
      <c r="BQ103" s="710">
        <v>367.2</v>
      </c>
      <c r="BR103" s="710">
        <v>376.38</v>
      </c>
      <c r="BS103" s="710">
        <v>385.55999999999995</v>
      </c>
      <c r="BT103" s="710">
        <v>394.73999999999995</v>
      </c>
      <c r="BU103" s="710">
        <v>403.91999999999996</v>
      </c>
      <c r="BV103" s="710">
        <v>413.09999999999997</v>
      </c>
      <c r="BW103" s="710">
        <v>422.28</v>
      </c>
      <c r="BX103" s="710">
        <v>431.46</v>
      </c>
      <c r="BY103" s="710">
        <v>440.64</v>
      </c>
      <c r="BZ103" s="710">
        <v>449.82</v>
      </c>
      <c r="CA103" s="710">
        <v>459</v>
      </c>
      <c r="CB103" s="710">
        <v>468.18</v>
      </c>
      <c r="CC103" s="710">
        <v>477.36</v>
      </c>
      <c r="CD103" s="710">
        <v>489.29400000000004</v>
      </c>
      <c r="CE103" s="710">
        <v>501.22800000000007</v>
      </c>
      <c r="CF103" s="710">
        <v>513.16200000000015</v>
      </c>
      <c r="CG103" s="710">
        <v>525.09600000000012</v>
      </c>
      <c r="CH103" s="710">
        <v>537.03000000000009</v>
      </c>
      <c r="CI103" s="710">
        <v>548.96400000000017</v>
      </c>
      <c r="CJ103" s="710">
        <v>560.89800000000025</v>
      </c>
      <c r="CK103" s="710">
        <v>572.83200000000022</v>
      </c>
      <c r="CL103" s="710">
        <v>584.76600000000019</v>
      </c>
      <c r="CM103" s="710">
        <v>596.70000000000027</v>
      </c>
      <c r="CN103" s="710">
        <v>608.63400000000036</v>
      </c>
      <c r="CO103" s="710">
        <v>620.5680000000001</v>
      </c>
      <c r="CP103" s="710">
        <v>630.91079999999999</v>
      </c>
      <c r="CQ103" s="710">
        <v>641.25360000000001</v>
      </c>
      <c r="CR103" s="710">
        <v>651.59640000000002</v>
      </c>
      <c r="CS103" s="710">
        <v>661.93919999999991</v>
      </c>
      <c r="CT103" s="710">
        <v>672.28200000000004</v>
      </c>
      <c r="CU103" s="710">
        <v>682.62479999999994</v>
      </c>
      <c r="CV103" s="710">
        <v>692.96759999999995</v>
      </c>
      <c r="CW103" s="710">
        <v>703.31039999999996</v>
      </c>
      <c r="CX103" s="710">
        <v>713.65319999999997</v>
      </c>
      <c r="CY103" s="710">
        <v>723.99599999999987</v>
      </c>
      <c r="CZ103" s="710">
        <v>734.33879999999988</v>
      </c>
      <c r="DA103" s="710">
        <v>744.6816</v>
      </c>
      <c r="DC103" s="12">
        <f>SUM(V103:AG103)</f>
        <v>345.68499999999995</v>
      </c>
      <c r="DD103" s="12">
        <f>SUM(AH103:AS103)</f>
        <v>1888.6766965390802</v>
      </c>
      <c r="DE103" s="12">
        <f>SUM(AT103:BE103)</f>
        <v>3612</v>
      </c>
      <c r="DF103" s="12">
        <f>SUM(BF103:BQ103)</f>
        <v>4762.7999999999975</v>
      </c>
      <c r="DG103" s="12">
        <f>SUM(BR103:CC103)</f>
        <v>5122.4399999999996</v>
      </c>
      <c r="DH103" s="12">
        <f>SUM(CD103:CO103)</f>
        <v>6659.1720000000014</v>
      </c>
      <c r="DI103" s="12">
        <f>SUM(CP103:DA103)</f>
        <v>8253.5543999999991</v>
      </c>
    </row>
    <row r="104" spans="2:117" s="12" customFormat="1" outlineLevel="2">
      <c r="B104" s="758"/>
      <c r="E104" s="14"/>
      <c r="F104" s="12" t="s">
        <v>796</v>
      </c>
      <c r="H104" s="865"/>
      <c r="I104" s="609" t="s">
        <v>736</v>
      </c>
      <c r="J104" s="865"/>
      <c r="K104" s="865"/>
      <c r="L104" s="865"/>
      <c r="M104" s="865"/>
      <c r="V104" s="14"/>
      <c r="AA104" s="12">
        <v>0</v>
      </c>
      <c r="AB104" s="700">
        <v>32.846249999999998</v>
      </c>
      <c r="AC104" s="700">
        <v>73.469522780000005</v>
      </c>
      <c r="AD104" s="700">
        <v>116.680296478</v>
      </c>
      <c r="AE104" s="700">
        <v>163.85205008700001</v>
      </c>
      <c r="AF104" s="700">
        <v>210.537498973</v>
      </c>
      <c r="AG104" s="700">
        <v>300.31055205800004</v>
      </c>
      <c r="AH104" s="713">
        <v>364.938035754</v>
      </c>
      <c r="AI104" s="713">
        <v>387.99408298999998</v>
      </c>
      <c r="AJ104" s="713">
        <v>406.40865353799995</v>
      </c>
      <c r="AK104" s="712">
        <v>466.89296232300001</v>
      </c>
      <c r="AL104" s="712">
        <v>534.08131578200005</v>
      </c>
      <c r="AM104" s="712">
        <v>639.11450966699999</v>
      </c>
      <c r="AN104" s="885">
        <v>745.19380025299995</v>
      </c>
      <c r="AO104" s="885">
        <v>838.55972565100001</v>
      </c>
      <c r="AP104" s="885">
        <v>974.72579852000001</v>
      </c>
      <c r="AQ104" s="713">
        <v>1087.2322512149999</v>
      </c>
      <c r="AR104" s="756">
        <v>1220.6923350798522</v>
      </c>
      <c r="AS104" s="756">
        <v>1366.6715376804764</v>
      </c>
      <c r="AT104" s="756">
        <v>1371.5864314066625</v>
      </c>
      <c r="AU104" s="756">
        <v>1411.411751468466</v>
      </c>
      <c r="AV104" s="756">
        <v>1477.0316834408186</v>
      </c>
      <c r="AW104" s="756">
        <v>1553.7419209110919</v>
      </c>
      <c r="AX104" s="756">
        <v>1641.8460690910078</v>
      </c>
      <c r="AY104" s="756">
        <v>1741.7191945394284</v>
      </c>
      <c r="AZ104" s="756">
        <v>1854.7241556869906</v>
      </c>
      <c r="BA104" s="756">
        <v>1975.547167530457</v>
      </c>
      <c r="BB104" s="756">
        <v>2110.4241506023318</v>
      </c>
      <c r="BC104" s="756">
        <v>2241.3551915635203</v>
      </c>
      <c r="BD104" s="756">
        <v>2385.6464689873055</v>
      </c>
      <c r="BE104" s="756">
        <v>2542.3646254085488</v>
      </c>
      <c r="BF104" s="756">
        <v>2680.3000836197566</v>
      </c>
      <c r="BG104" s="756">
        <v>2802.1110581598082</v>
      </c>
      <c r="BH104" s="756">
        <v>2901.7540248848386</v>
      </c>
      <c r="BI104" s="756">
        <v>2978.1910551064534</v>
      </c>
      <c r="BJ104" s="756">
        <v>3034.5527905299805</v>
      </c>
      <c r="BK104" s="756">
        <v>3072.9472400959139</v>
      </c>
      <c r="BL104" s="756">
        <v>3095.6953856273017</v>
      </c>
      <c r="BM104" s="756">
        <v>3102.3999283935877</v>
      </c>
      <c r="BN104" s="756">
        <v>3095.4858699952501</v>
      </c>
      <c r="BO104" s="756">
        <v>3077.3076409722216</v>
      </c>
      <c r="BP104" s="756">
        <v>3050.3906891456745</v>
      </c>
      <c r="BQ104" s="756">
        <v>3017.3397609009694</v>
      </c>
      <c r="BR104" s="756">
        <v>2995.3418731037668</v>
      </c>
      <c r="BS104" s="756">
        <v>2985.9975379325128</v>
      </c>
      <c r="BT104" s="756">
        <v>2988.508900981396</v>
      </c>
      <c r="BU104" s="756">
        <v>3002.1049803940982</v>
      </c>
      <c r="BV104" s="756">
        <v>3026.0271262988317</v>
      </c>
      <c r="BW104" s="756">
        <v>3059.5131211906873</v>
      </c>
      <c r="BX104" s="756">
        <v>3101.7825276958129</v>
      </c>
      <c r="BY104" s="756">
        <v>3152.0223169496567</v>
      </c>
      <c r="BZ104" s="756">
        <v>3209.0570985560817</v>
      </c>
      <c r="CA104" s="756">
        <v>3271.6542029492075</v>
      </c>
      <c r="CB104" s="756">
        <v>3338.5637569052356</v>
      </c>
      <c r="CC104" s="756">
        <v>3408.5148055669979</v>
      </c>
      <c r="CD104" s="756">
        <v>3482.9667625047164</v>
      </c>
      <c r="CE104" s="756">
        <v>3560.4105792532519</v>
      </c>
      <c r="CF104" s="756">
        <v>3640.5841838350752</v>
      </c>
      <c r="CG104" s="756">
        <v>3723.2302035378939</v>
      </c>
      <c r="CH104" s="756">
        <v>3808.0998449628391</v>
      </c>
      <c r="CI104" s="756">
        <v>3894.9551797063218</v>
      </c>
      <c r="CJ104" s="756">
        <v>3983.5715681301272</v>
      </c>
      <c r="CK104" s="756">
        <v>4073.7400245862173</v>
      </c>
      <c r="CL104" s="756">
        <v>4165.2098666075972</v>
      </c>
      <c r="CM104" s="756">
        <v>4257.7510039655099</v>
      </c>
      <c r="CN104" s="756">
        <v>4351.12828649124</v>
      </c>
      <c r="CO104" s="756">
        <v>4445.101838960496</v>
      </c>
      <c r="CP104" s="756">
        <v>4537.8357350986962</v>
      </c>
      <c r="CQ104" s="756">
        <v>4661.6918865102998</v>
      </c>
      <c r="CR104" s="756">
        <v>4818.1255030959792</v>
      </c>
      <c r="CS104" s="756">
        <v>5008.8959772342687</v>
      </c>
      <c r="CT104" s="756">
        <v>5235.9943144778163</v>
      </c>
      <c r="CU104" s="756">
        <v>5501.6265028617181</v>
      </c>
      <c r="CV104" s="756">
        <v>5808.1928770766808</v>
      </c>
      <c r="CW104" s="756">
        <v>6158.2657033669257</v>
      </c>
      <c r="CX104" s="756">
        <v>6554.6002472226528</v>
      </c>
      <c r="CY104" s="756">
        <v>6999.3702088071877</v>
      </c>
      <c r="CZ104" s="756">
        <v>7494.8297558149088</v>
      </c>
      <c r="DA104" s="756">
        <v>8043.2989824852257</v>
      </c>
      <c r="DC104" s="11">
        <f>AG104</f>
        <v>300.31055205800004</v>
      </c>
      <c r="DD104" s="11">
        <f>AS104</f>
        <v>1366.6715376804764</v>
      </c>
      <c r="DE104" s="11">
        <f>BE104</f>
        <v>2542.3646254085488</v>
      </c>
      <c r="DF104" s="11">
        <f>BQ104</f>
        <v>3017.3397609009694</v>
      </c>
      <c r="DG104" s="11">
        <f>CC104</f>
        <v>3408.5148055669979</v>
      </c>
      <c r="DH104" s="11">
        <f>CO104</f>
        <v>4445.101838960496</v>
      </c>
      <c r="DI104" s="11">
        <f>DA104</f>
        <v>8043.2989824852257</v>
      </c>
    </row>
    <row r="105" spans="2:117" s="12" customFormat="1" outlineLevel="2">
      <c r="B105" s="758"/>
      <c r="E105" s="14"/>
      <c r="F105" s="12" t="s">
        <v>215</v>
      </c>
      <c r="H105" s="865"/>
      <c r="I105" s="609" t="s">
        <v>736</v>
      </c>
      <c r="J105" s="865"/>
      <c r="K105" s="865"/>
      <c r="L105" s="865"/>
      <c r="M105" s="865"/>
      <c r="V105" s="14"/>
      <c r="AA105" s="702">
        <f>AA109+AA111</f>
        <v>2.3122999999999999E-4</v>
      </c>
      <c r="AB105" s="702">
        <f>AB109+AB111</f>
        <v>1.7024871080000001</v>
      </c>
      <c r="AC105" s="702">
        <f t="shared" ref="AC105:CN105" si="123">AC109+AC111</f>
        <v>3.3404869590000001</v>
      </c>
      <c r="AD105" s="702">
        <f t="shared" si="123"/>
        <v>4.3226210979999999</v>
      </c>
      <c r="AE105" s="702">
        <f t="shared" si="123"/>
        <v>6.1111253839999993</v>
      </c>
      <c r="AF105" s="702">
        <f t="shared" si="123"/>
        <v>7.4289994670000006</v>
      </c>
      <c r="AG105" s="702">
        <f t="shared" si="123"/>
        <v>11.770255338199089</v>
      </c>
      <c r="AH105" s="887">
        <f t="shared" si="123"/>
        <v>13.494545555</v>
      </c>
      <c r="AI105" s="887">
        <f t="shared" si="123"/>
        <v>12.326717130999999</v>
      </c>
      <c r="AJ105" s="887">
        <f t="shared" si="123"/>
        <v>14.151820446999999</v>
      </c>
      <c r="AK105" s="887">
        <f t="shared" si="123"/>
        <v>17.462880711</v>
      </c>
      <c r="AL105" s="887">
        <f t="shared" si="123"/>
        <v>23.064252454999998</v>
      </c>
      <c r="AM105" s="887">
        <f t="shared" si="123"/>
        <v>23.483740028</v>
      </c>
      <c r="AN105" s="887">
        <f t="shared" si="123"/>
        <v>30.928478834000003</v>
      </c>
      <c r="AO105" s="887">
        <f t="shared" si="123"/>
        <v>35.802513302999998</v>
      </c>
      <c r="AP105" s="887">
        <f t="shared" si="123"/>
        <v>40.371716280000001</v>
      </c>
      <c r="AQ105" s="887">
        <f t="shared" si="123"/>
        <v>46.329003581966973</v>
      </c>
      <c r="AR105" s="887">
        <f t="shared" si="123"/>
        <v>50.350687991803454</v>
      </c>
      <c r="AS105" s="887">
        <f t="shared" si="123"/>
        <v>56.064894852087647</v>
      </c>
      <c r="AT105" s="887">
        <f t="shared" si="123"/>
        <v>55.448719107317061</v>
      </c>
      <c r="AU105" s="702">
        <f t="shared" si="123"/>
        <v>54.396182081817258</v>
      </c>
      <c r="AV105" s="702">
        <f t="shared" si="123"/>
        <v>57.452329003855446</v>
      </c>
      <c r="AW105" s="702">
        <f t="shared" si="123"/>
        <v>60.758008036701916</v>
      </c>
      <c r="AX105" s="702">
        <f t="shared" si="123"/>
        <v>64.745591126381953</v>
      </c>
      <c r="AY105" s="702">
        <f t="shared" si="123"/>
        <v>69.323111107270734</v>
      </c>
      <c r="AZ105" s="702">
        <f t="shared" si="123"/>
        <v>74.536013251727837</v>
      </c>
      <c r="BA105" s="702">
        <f t="shared" si="123"/>
        <v>80.503579132947166</v>
      </c>
      <c r="BB105" s="702">
        <f t="shared" si="123"/>
        <v>86.915081018565147</v>
      </c>
      <c r="BC105" s="702">
        <f t="shared" si="123"/>
        <v>93.408344381418431</v>
      </c>
      <c r="BD105" s="702">
        <f t="shared" si="123"/>
        <v>100.12600822451874</v>
      </c>
      <c r="BE105" s="702">
        <f t="shared" si="123"/>
        <v>107.34502375022642</v>
      </c>
      <c r="BF105" s="702">
        <f t="shared" si="123"/>
        <v>116.59862575690799</v>
      </c>
      <c r="BG105" s="702">
        <f t="shared" si="123"/>
        <v>118.12521874336007</v>
      </c>
      <c r="BH105" s="702">
        <f t="shared" si="123"/>
        <v>121.58334395985872</v>
      </c>
      <c r="BI105" s="702">
        <f t="shared" si="123"/>
        <v>124.0871108584471</v>
      </c>
      <c r="BJ105" s="702">
        <f t="shared" si="123"/>
        <v>125.71908777295786</v>
      </c>
      <c r="BK105" s="702">
        <f t="shared" si="123"/>
        <v>126.60183926041368</v>
      </c>
      <c r="BL105" s="702">
        <f t="shared" si="123"/>
        <v>126.83327262846591</v>
      </c>
      <c r="BM105" s="702">
        <f t="shared" si="123"/>
        <v>126.58970097589371</v>
      </c>
      <c r="BN105" s="702">
        <f t="shared" si="123"/>
        <v>125.90385304318617</v>
      </c>
      <c r="BO105" s="702">
        <f t="shared" si="123"/>
        <v>124.86032494187626</v>
      </c>
      <c r="BP105" s="702">
        <f t="shared" si="123"/>
        <v>123.5383952907454</v>
      </c>
      <c r="BQ105" s="702">
        <f t="shared" si="123"/>
        <v>122.02252185985202</v>
      </c>
      <c r="BR105" s="702">
        <f t="shared" si="123"/>
        <v>121.56295541883182</v>
      </c>
      <c r="BS105" s="702">
        <f t="shared" si="123"/>
        <v>121.62763096725324</v>
      </c>
      <c r="BT105" s="702">
        <f t="shared" si="123"/>
        <v>122.19070109264574</v>
      </c>
      <c r="BU105" s="702">
        <f t="shared" si="123"/>
        <v>123.19434000322678</v>
      </c>
      <c r="BV105" s="702">
        <f t="shared" si="123"/>
        <v>124.58601564446906</v>
      </c>
      <c r="BW105" s="702">
        <f t="shared" si="123"/>
        <v>126.31725875948854</v>
      </c>
      <c r="BX105" s="702">
        <f t="shared" si="123"/>
        <v>128.34277159303645</v>
      </c>
      <c r="BY105" s="702">
        <f t="shared" si="123"/>
        <v>130.61974339320557</v>
      </c>
      <c r="BZ105" s="702">
        <f t="shared" si="123"/>
        <v>133.11590751671321</v>
      </c>
      <c r="CA105" s="702">
        <f t="shared" si="123"/>
        <v>135.79275117235235</v>
      </c>
      <c r="CB105" s="702">
        <f t="shared" si="123"/>
        <v>138.60936447113846</v>
      </c>
      <c r="CC105" s="702">
        <f t="shared" si="123"/>
        <v>141.52333953315775</v>
      </c>
      <c r="CD105" s="702">
        <f t="shared" si="123"/>
        <v>144.70959236805732</v>
      </c>
      <c r="CE105" s="702">
        <f t="shared" si="123"/>
        <v>148.00759511981096</v>
      </c>
      <c r="CF105" s="702">
        <f t="shared" si="123"/>
        <v>151.39179004952575</v>
      </c>
      <c r="CG105" s="702">
        <f t="shared" si="123"/>
        <v>154.85601509748756</v>
      </c>
      <c r="CH105" s="702">
        <f t="shared" si="123"/>
        <v>158.39349722033211</v>
      </c>
      <c r="CI105" s="702">
        <f t="shared" si="123"/>
        <v>161.99694187821149</v>
      </c>
      <c r="CJ105" s="702">
        <f t="shared" si="123"/>
        <v>165.65863095447844</v>
      </c>
      <c r="CK105" s="702">
        <f t="shared" si="123"/>
        <v>169.3705074213199</v>
      </c>
      <c r="CL105" s="702">
        <f t="shared" si="123"/>
        <v>173.12589164806593</v>
      </c>
      <c r="CM105" s="702">
        <f t="shared" si="123"/>
        <v>176.91649860511444</v>
      </c>
      <c r="CN105" s="702">
        <f t="shared" si="123"/>
        <v>180.73436360113789</v>
      </c>
      <c r="CO105" s="702">
        <f>CO109+CO111</f>
        <v>184.57135563546521</v>
      </c>
      <c r="CP105" s="702">
        <f t="shared" ref="CP105:CZ105" si="124">CP109+CP111</f>
        <v>188.29303064333016</v>
      </c>
      <c r="CQ105" s="702">
        <f t="shared" si="124"/>
        <v>192.72939219017277</v>
      </c>
      <c r="CR105" s="702">
        <f t="shared" si="124"/>
        <v>198.40431953407645</v>
      </c>
      <c r="CS105" s="702">
        <f t="shared" si="124"/>
        <v>205.34790895396495</v>
      </c>
      <c r="CT105" s="702">
        <f t="shared" si="124"/>
        <v>213.60113930874627</v>
      </c>
      <c r="CU105" s="702">
        <f t="shared" si="124"/>
        <v>223.21364417146157</v>
      </c>
      <c r="CV105" s="702">
        <f t="shared" si="124"/>
        <v>234.24204088661634</v>
      </c>
      <c r="CW105" s="702">
        <f t="shared" si="124"/>
        <v>246.7487204896498</v>
      </c>
      <c r="CX105" s="702">
        <f t="shared" si="124"/>
        <v>260.79982690252524</v>
      </c>
      <c r="CY105" s="702">
        <f t="shared" si="124"/>
        <v>276.4848733486682</v>
      </c>
      <c r="CZ105" s="702">
        <f t="shared" si="124"/>
        <v>293.88266118260736</v>
      </c>
      <c r="DA105" s="702">
        <f>DA109+DA111</f>
        <v>313.07324490382746</v>
      </c>
      <c r="DC105" s="12">
        <f t="shared" ref="DC105:DC119" si="125">SUM(V105:AG105)</f>
        <v>34.676206584199093</v>
      </c>
      <c r="DD105" s="12">
        <f t="shared" ref="DD105:DD133" si="126">SUM(AH105:AS105)</f>
        <v>363.83125116985809</v>
      </c>
      <c r="DE105" s="12">
        <f t="shared" ref="DE105:DE133" si="127">SUM(AT105:BE105)</f>
        <v>904.95799022274821</v>
      </c>
      <c r="DF105" s="12">
        <f t="shared" ref="DF105:DF133" si="128">SUM(BF105:BQ105)</f>
        <v>1482.4632950919652</v>
      </c>
      <c r="DG105" s="12">
        <f t="shared" ref="DG105:DG133" si="129">SUM(BR105:CC105)</f>
        <v>1547.4827795655187</v>
      </c>
      <c r="DH105" s="12">
        <f t="shared" ref="DH105:DH133" si="130">SUM(CD105:CO105)</f>
        <v>1969.732679599007</v>
      </c>
      <c r="DI105" s="12">
        <f>SUM(CP105:DA105)</f>
        <v>2846.8208025156464</v>
      </c>
    </row>
    <row r="106" spans="2:117" s="12" customFormat="1" outlineLevel="2">
      <c r="B106" s="758"/>
      <c r="E106" s="14"/>
      <c r="F106" s="12" t="s">
        <v>472</v>
      </c>
      <c r="H106" s="865"/>
      <c r="I106" s="609" t="s">
        <v>736</v>
      </c>
      <c r="J106" s="865"/>
      <c r="K106" s="865"/>
      <c r="L106" s="865"/>
      <c r="M106" s="865"/>
      <c r="V106" s="14"/>
      <c r="AA106" s="702">
        <f>AA110</f>
        <v>0</v>
      </c>
      <c r="AB106" s="702">
        <f>AB110</f>
        <v>-7.9680134E-2</v>
      </c>
      <c r="AC106" s="702">
        <f t="shared" ref="AC106:CN106" si="131">AC110</f>
        <v>-0.40186648630029898</v>
      </c>
      <c r="AD106" s="702">
        <f t="shared" si="131"/>
        <v>-0.68022480100000005</v>
      </c>
      <c r="AE106" s="702">
        <f t="shared" si="131"/>
        <v>-1.0442627520000001</v>
      </c>
      <c r="AF106" s="702">
        <f t="shared" si="131"/>
        <v>-1.277845731</v>
      </c>
      <c r="AG106" s="702">
        <f t="shared" si="131"/>
        <v>-1.7392523597535001</v>
      </c>
      <c r="AH106" s="887">
        <f t="shared" si="131"/>
        <v>-2.1867963939999999</v>
      </c>
      <c r="AI106" s="887">
        <f t="shared" si="131"/>
        <v>-2.2871373356456002</v>
      </c>
      <c r="AJ106" s="887">
        <f t="shared" si="131"/>
        <v>-2.487451691</v>
      </c>
      <c r="AK106" s="887">
        <f t="shared" si="131"/>
        <v>-2.5419344780000004</v>
      </c>
      <c r="AL106" s="887">
        <f t="shared" si="131"/>
        <v>-2.9767247729999999</v>
      </c>
      <c r="AM106" s="887">
        <f t="shared" si="131"/>
        <v>-3.3262417209999997</v>
      </c>
      <c r="AN106" s="887">
        <f t="shared" si="131"/>
        <v>-4.0650589909999999</v>
      </c>
      <c r="AO106" s="887">
        <f t="shared" si="131"/>
        <v>-4.7455373740000004</v>
      </c>
      <c r="AP106" s="887">
        <f t="shared" si="131"/>
        <v>-5.0204691950000004</v>
      </c>
      <c r="AQ106" s="887">
        <f t="shared" si="131"/>
        <v>-5.7765197409999995</v>
      </c>
      <c r="AR106" s="887">
        <f t="shared" si="131"/>
        <v>-6.7314467100266526</v>
      </c>
      <c r="AS106" s="887">
        <f t="shared" si="131"/>
        <v>-7.546477962217625</v>
      </c>
      <c r="AT106" s="887">
        <f t="shared" si="131"/>
        <v>-7.9865857431708234</v>
      </c>
      <c r="AU106" s="702">
        <f t="shared" si="131"/>
        <v>-8.117078033385793</v>
      </c>
      <c r="AV106" s="710">
        <f t="shared" si="131"/>
        <v>-8.4246266851520808</v>
      </c>
      <c r="AW106" s="702">
        <f t="shared" si="131"/>
        <v>-8.839756346026407</v>
      </c>
      <c r="AX106" s="702">
        <f t="shared" si="131"/>
        <v>-9.3204649708394598</v>
      </c>
      <c r="AY106" s="702">
        <f t="shared" si="131"/>
        <v>-9.8687320189221062</v>
      </c>
      <c r="AZ106" s="702">
        <f t="shared" si="131"/>
        <v>-10.489626438160391</v>
      </c>
      <c r="BA106" s="702">
        <f t="shared" si="131"/>
        <v>-11.171624692717556</v>
      </c>
      <c r="BB106" s="702">
        <f t="shared" si="131"/>
        <v>-11.917416344553969</v>
      </c>
      <c r="BC106" s="702">
        <f t="shared" si="131"/>
        <v>-12.692689747983735</v>
      </c>
      <c r="BD106" s="702">
        <f t="shared" si="131"/>
        <v>-13.495421509939911</v>
      </c>
      <c r="BE106" s="702">
        <f t="shared" si="131"/>
        <v>-14.373365691987908</v>
      </c>
      <c r="BF106" s="702">
        <f t="shared" si="131"/>
        <v>-15.232772067999226</v>
      </c>
      <c r="BG106" s="702">
        <f t="shared" si="131"/>
        <v>-15.990365830190399</v>
      </c>
      <c r="BH106" s="702">
        <f t="shared" si="131"/>
        <v>-16.636273158880222</v>
      </c>
      <c r="BI106" s="702">
        <f t="shared" si="131"/>
        <v>-17.149839816641272</v>
      </c>
      <c r="BJ106" s="702">
        <f t="shared" si="131"/>
        <v>-17.537169549772937</v>
      </c>
      <c r="BK106" s="702">
        <f t="shared" si="131"/>
        <v>-17.813541755992194</v>
      </c>
      <c r="BL106" s="702">
        <f t="shared" si="131"/>
        <v>-17.99187432502605</v>
      </c>
      <c r="BM106" s="702">
        <f t="shared" si="131"/>
        <v>-18.077777999227596</v>
      </c>
      <c r="BN106" s="702">
        <f t="shared" si="131"/>
        <v>-18.077166911967442</v>
      </c>
      <c r="BO106" s="702">
        <f t="shared" si="131"/>
        <v>-18.00398107365513</v>
      </c>
      <c r="BP106" s="702">
        <f t="shared" si="131"/>
        <v>-17.872453462843865</v>
      </c>
      <c r="BQ106" s="702">
        <f t="shared" si="131"/>
        <v>-17.697547145969377</v>
      </c>
      <c r="BR106" s="702">
        <f t="shared" si="131"/>
        <v>-17.536988099180483</v>
      </c>
      <c r="BS106" s="702">
        <f t="shared" si="131"/>
        <v>-17.445573282189152</v>
      </c>
      <c r="BT106" s="702">
        <f t="shared" si="131"/>
        <v>-17.425643780165569</v>
      </c>
      <c r="BU106" s="702">
        <f t="shared" si="131"/>
        <v>-17.472623820678525</v>
      </c>
      <c r="BV106" s="702">
        <f t="shared" si="131"/>
        <v>-17.58205197785438</v>
      </c>
      <c r="BW106" s="702">
        <f t="shared" si="131"/>
        <v>-17.749492388511097</v>
      </c>
      <c r="BX106" s="702">
        <f t="shared" si="131"/>
        <v>-17.970445642585627</v>
      </c>
      <c r="BY106" s="702">
        <f t="shared" si="131"/>
        <v>-18.240264130215955</v>
      </c>
      <c r="BZ106" s="702">
        <f t="shared" si="131"/>
        <v>-18.553148295225071</v>
      </c>
      <c r="CA106" s="702">
        <f t="shared" si="131"/>
        <v>-18.90207462939043</v>
      </c>
      <c r="CB106" s="702">
        <f t="shared" si="131"/>
        <v>-19.279802382908795</v>
      </c>
      <c r="CC106" s="702">
        <f t="shared" si="131"/>
        <v>-19.678979140544019</v>
      </c>
      <c r="CD106" s="702">
        <f t="shared" si="131"/>
        <v>-20.100154573542504</v>
      </c>
      <c r="CE106" s="702">
        <f t="shared" si="131"/>
        <v>-20.543183913460744</v>
      </c>
      <c r="CF106" s="702">
        <f t="shared" si="131"/>
        <v>-21.002901392340956</v>
      </c>
      <c r="CG106" s="702">
        <f t="shared" si="131"/>
        <v>-21.47779196317116</v>
      </c>
      <c r="CH106" s="702">
        <f t="shared" si="131"/>
        <v>-21.966379308127141</v>
      </c>
      <c r="CI106" s="702">
        <f t="shared" si="131"/>
        <v>-22.467243821951723</v>
      </c>
      <c r="CJ106" s="702">
        <f t="shared" si="131"/>
        <v>-22.979036347856312</v>
      </c>
      <c r="CK106" s="702">
        <f t="shared" si="131"/>
        <v>-23.500492145422673</v>
      </c>
      <c r="CL106" s="702">
        <f t="shared" si="131"/>
        <v>-24.030270515981957</v>
      </c>
      <c r="CM106" s="702">
        <f t="shared" si="131"/>
        <v>-24.566969205838234</v>
      </c>
      <c r="CN106" s="702">
        <f t="shared" si="131"/>
        <v>-25.109231263832186</v>
      </c>
      <c r="CO106" s="702">
        <f>CO110</f>
        <v>-25.655671199234234</v>
      </c>
      <c r="CP106" s="702">
        <f t="shared" ref="CP106:CZ106" si="132">CP110</f>
        <v>-26.20023459100598</v>
      </c>
      <c r="CQ106" s="702">
        <f t="shared" si="132"/>
        <v>-26.831955563026238</v>
      </c>
      <c r="CR106" s="702">
        <f t="shared" si="132"/>
        <v>-27.649467386351649</v>
      </c>
      <c r="CS106" s="702">
        <f t="shared" si="132"/>
        <v>-28.662145984296558</v>
      </c>
      <c r="CT106" s="702">
        <f t="shared" si="132"/>
        <v>-29.880930017493583</v>
      </c>
      <c r="CU106" s="702">
        <f t="shared" si="132"/>
        <v>-31.318060717240314</v>
      </c>
      <c r="CV106" s="702">
        <f t="shared" si="132"/>
        <v>-32.986973191487003</v>
      </c>
      <c r="CW106" s="702">
        <f t="shared" si="132"/>
        <v>-34.902170859627191</v>
      </c>
      <c r="CX106" s="702">
        <f t="shared" si="132"/>
        <v>-37.079192355886271</v>
      </c>
      <c r="CY106" s="702">
        <f t="shared" si="132"/>
        <v>-39.532413830087044</v>
      </c>
      <c r="CZ106" s="702">
        <f t="shared" si="132"/>
        <v>-42.274749896814455</v>
      </c>
      <c r="DA106" s="702">
        <f>DA110</f>
        <v>-45.319542153375401</v>
      </c>
      <c r="DC106" s="12">
        <f t="shared" si="125"/>
        <v>-5.2231322640537998</v>
      </c>
      <c r="DD106" s="12">
        <f t="shared" si="126"/>
        <v>-49.691796365889878</v>
      </c>
      <c r="DE106" s="12">
        <f t="shared" si="127"/>
        <v>-126.69738822284015</v>
      </c>
      <c r="DF106" s="12">
        <f t="shared" si="128"/>
        <v>-208.0807630981657</v>
      </c>
      <c r="DG106" s="12">
        <f t="shared" si="129"/>
        <v>-217.8370875694491</v>
      </c>
      <c r="DH106" s="12">
        <f t="shared" si="130"/>
        <v>-273.39932565075981</v>
      </c>
      <c r="DI106" s="12">
        <f t="shared" ref="DI106:DI133" si="133">SUM(CP106:DA106)</f>
        <v>-402.63783654669169</v>
      </c>
    </row>
    <row r="107" spans="2:117" s="758" customFormat="1" outlineLevel="2">
      <c r="E107" s="704" t="s">
        <v>217</v>
      </c>
      <c r="H107" s="866"/>
      <c r="I107" s="609" t="s">
        <v>736</v>
      </c>
      <c r="J107" s="866"/>
      <c r="K107" s="866"/>
      <c r="L107" s="866"/>
      <c r="M107" s="866"/>
      <c r="AA107" s="705">
        <f>AA108+AA111</f>
        <v>2.3122999999999999E-4</v>
      </c>
      <c r="AB107" s="705">
        <f>AB108+AB111</f>
        <v>1.622806974</v>
      </c>
      <c r="AC107" s="705">
        <f t="shared" ref="AC107:CN107" si="134">AC108+AC111</f>
        <v>2.9386204726997009</v>
      </c>
      <c r="AD107" s="705">
        <f t="shared" si="134"/>
        <v>3.6423962969999994</v>
      </c>
      <c r="AE107" s="705">
        <f t="shared" si="134"/>
        <v>5.0668626319999994</v>
      </c>
      <c r="AF107" s="705">
        <f t="shared" si="134"/>
        <v>6.1511537359999995</v>
      </c>
      <c r="AG107" s="705">
        <f t="shared" si="134"/>
        <v>10.031002978445589</v>
      </c>
      <c r="AH107" s="705">
        <f t="shared" si="134"/>
        <v>11.307749161</v>
      </c>
      <c r="AI107" s="705">
        <v>1</v>
      </c>
      <c r="AJ107" s="705">
        <f>AJ108+AJ111</f>
        <v>11.664368755999998</v>
      </c>
      <c r="AK107" s="705">
        <f t="shared" si="134"/>
        <v>14.920946232999999</v>
      </c>
      <c r="AL107" s="705">
        <f t="shared" si="134"/>
        <v>20.087527681999997</v>
      </c>
      <c r="AM107" s="705">
        <f t="shared" si="134"/>
        <v>20.157498307000001</v>
      </c>
      <c r="AN107" s="705">
        <f t="shared" si="134"/>
        <v>26.863419843000003</v>
      </c>
      <c r="AO107" s="705">
        <f t="shared" si="134"/>
        <v>31.056975928999996</v>
      </c>
      <c r="AP107" s="705">
        <f t="shared" si="134"/>
        <v>35.351247085000004</v>
      </c>
      <c r="AQ107" s="705">
        <f t="shared" si="134"/>
        <v>40.552483840966971</v>
      </c>
      <c r="AR107" s="705">
        <f t="shared" si="134"/>
        <v>43.619241281776794</v>
      </c>
      <c r="AS107" s="705">
        <f t="shared" si="134"/>
        <v>48.518416889870025</v>
      </c>
      <c r="AT107" s="705">
        <f t="shared" si="134"/>
        <v>47.46213336414624</v>
      </c>
      <c r="AU107" s="705">
        <f t="shared" si="134"/>
        <v>46.279104048431464</v>
      </c>
      <c r="AV107" s="705">
        <f t="shared" si="134"/>
        <v>49.027702318703362</v>
      </c>
      <c r="AW107" s="705">
        <f t="shared" si="134"/>
        <v>51.918251690675511</v>
      </c>
      <c r="AX107" s="705">
        <f t="shared" si="134"/>
        <v>55.425126155542486</v>
      </c>
      <c r="AY107" s="705">
        <f t="shared" si="134"/>
        <v>59.454379088348617</v>
      </c>
      <c r="AZ107" s="705">
        <f t="shared" si="134"/>
        <v>64.046386813567437</v>
      </c>
      <c r="BA107" s="705">
        <f t="shared" si="134"/>
        <v>69.331954440229609</v>
      </c>
      <c r="BB107" s="705">
        <f t="shared" si="134"/>
        <v>74.997664674011176</v>
      </c>
      <c r="BC107" s="705">
        <f t="shared" si="134"/>
        <v>80.715654633434696</v>
      </c>
      <c r="BD107" s="705">
        <f t="shared" si="134"/>
        <v>86.63058671457884</v>
      </c>
      <c r="BE107" s="705">
        <f t="shared" si="134"/>
        <v>92.971658058238503</v>
      </c>
      <c r="BF107" s="705">
        <f t="shared" si="134"/>
        <v>101.36585368890877</v>
      </c>
      <c r="BG107" s="705">
        <f t="shared" si="134"/>
        <v>102.13485291316967</v>
      </c>
      <c r="BH107" s="705">
        <f t="shared" si="134"/>
        <v>104.94707080097851</v>
      </c>
      <c r="BI107" s="705">
        <f t="shared" si="134"/>
        <v>106.93727104180583</v>
      </c>
      <c r="BJ107" s="705">
        <f t="shared" si="134"/>
        <v>108.18191822318494</v>
      </c>
      <c r="BK107" s="705">
        <f t="shared" si="134"/>
        <v>108.78829750442149</v>
      </c>
      <c r="BL107" s="705">
        <f t="shared" si="134"/>
        <v>108.84139830343986</v>
      </c>
      <c r="BM107" s="705">
        <f t="shared" si="134"/>
        <v>108.51192297666611</v>
      </c>
      <c r="BN107" s="705">
        <f t="shared" si="134"/>
        <v>107.82668613121874</v>
      </c>
      <c r="BO107" s="705">
        <f t="shared" si="134"/>
        <v>106.85634386822113</v>
      </c>
      <c r="BP107" s="705">
        <f t="shared" si="134"/>
        <v>105.66594182790152</v>
      </c>
      <c r="BQ107" s="705">
        <f t="shared" si="134"/>
        <v>104.32497471388265</v>
      </c>
      <c r="BR107" s="705">
        <f t="shared" si="134"/>
        <v>104.02596731965134</v>
      </c>
      <c r="BS107" s="705">
        <f t="shared" si="134"/>
        <v>104.18205768506408</v>
      </c>
      <c r="BT107" s="705">
        <f t="shared" si="134"/>
        <v>104.76505731248017</v>
      </c>
      <c r="BU107" s="705">
        <f t="shared" si="134"/>
        <v>105.72171618254828</v>
      </c>
      <c r="BV107" s="705">
        <f t="shared" si="134"/>
        <v>107.00396366661468</v>
      </c>
      <c r="BW107" s="705">
        <f t="shared" si="134"/>
        <v>108.56776637097744</v>
      </c>
      <c r="BX107" s="705">
        <f t="shared" si="134"/>
        <v>110.3723259504508</v>
      </c>
      <c r="BY107" s="705">
        <f t="shared" si="134"/>
        <v>112.37947926298961</v>
      </c>
      <c r="BZ107" s="705">
        <f t="shared" si="134"/>
        <v>114.56275922148814</v>
      </c>
      <c r="CA107" s="705">
        <f t="shared" si="134"/>
        <v>116.89067654296193</v>
      </c>
      <c r="CB107" s="705">
        <f t="shared" si="134"/>
        <v>119.32956208822966</v>
      </c>
      <c r="CC107" s="705">
        <f t="shared" si="134"/>
        <v>121.84436039261374</v>
      </c>
      <c r="CD107" s="705">
        <f t="shared" si="134"/>
        <v>124.6094377945148</v>
      </c>
      <c r="CE107" s="705">
        <f t="shared" si="134"/>
        <v>127.46441120635022</v>
      </c>
      <c r="CF107" s="705">
        <f t="shared" si="134"/>
        <v>130.38888865718479</v>
      </c>
      <c r="CG107" s="705">
        <f t="shared" si="134"/>
        <v>133.37822313431639</v>
      </c>
      <c r="CH107" s="705">
        <f t="shared" si="134"/>
        <v>136.42711791220495</v>
      </c>
      <c r="CI107" s="705">
        <f t="shared" si="134"/>
        <v>139.52969805625978</v>
      </c>
      <c r="CJ107" s="705">
        <f t="shared" si="134"/>
        <v>142.67959460662212</v>
      </c>
      <c r="CK107" s="705">
        <f t="shared" si="134"/>
        <v>145.87001527589723</v>
      </c>
      <c r="CL107" s="705">
        <f t="shared" si="134"/>
        <v>149.09562113208398</v>
      </c>
      <c r="CM107" s="705">
        <f t="shared" si="134"/>
        <v>152.34952939927621</v>
      </c>
      <c r="CN107" s="705">
        <f t="shared" si="134"/>
        <v>155.6251323373057</v>
      </c>
      <c r="CO107" s="705">
        <f>CO108+CO111</f>
        <v>158.91568443623098</v>
      </c>
      <c r="CP107" s="705">
        <f t="shared" ref="CP107:CZ107" si="135">CP108+CP111</f>
        <v>162.09279605232419</v>
      </c>
      <c r="CQ107" s="705">
        <f t="shared" si="135"/>
        <v>165.89743662714653</v>
      </c>
      <c r="CR107" s="705">
        <f t="shared" si="135"/>
        <v>170.75485214772479</v>
      </c>
      <c r="CS107" s="705">
        <f t="shared" si="135"/>
        <v>176.68576296966839</v>
      </c>
      <c r="CT107" s="705">
        <f t="shared" si="135"/>
        <v>183.72020929125267</v>
      </c>
      <c r="CU107" s="705">
        <f t="shared" si="135"/>
        <v>191.89558345422125</v>
      </c>
      <c r="CV107" s="705">
        <f t="shared" si="135"/>
        <v>201.25506769512933</v>
      </c>
      <c r="CW107" s="705">
        <f t="shared" si="135"/>
        <v>211.84654963002259</v>
      </c>
      <c r="CX107" s="705">
        <f t="shared" si="135"/>
        <v>223.72063454663896</v>
      </c>
      <c r="CY107" s="705">
        <f t="shared" si="135"/>
        <v>236.95245951858118</v>
      </c>
      <c r="CZ107" s="705">
        <f t="shared" si="135"/>
        <v>251.60791128579294</v>
      </c>
      <c r="DA107" s="705">
        <f>DA108+DA111</f>
        <v>267.75370275045208</v>
      </c>
      <c r="DC107" s="14">
        <f t="shared" si="125"/>
        <v>29.453074320145287</v>
      </c>
      <c r="DD107" s="14">
        <f t="shared" si="126"/>
        <v>305.09987500861376</v>
      </c>
      <c r="DE107" s="14">
        <f t="shared" si="127"/>
        <v>778.26060199990798</v>
      </c>
      <c r="DF107" s="14">
        <f t="shared" si="128"/>
        <v>1274.3825319937994</v>
      </c>
      <c r="DG107" s="14">
        <f t="shared" si="129"/>
        <v>1329.6456919960697</v>
      </c>
      <c r="DH107" s="14">
        <f t="shared" si="130"/>
        <v>1696.3333539482473</v>
      </c>
      <c r="DI107" s="14">
        <f t="shared" si="133"/>
        <v>2444.1829659689552</v>
      </c>
    </row>
    <row r="108" spans="2:117" s="14" customFormat="1" outlineLevel="2">
      <c r="B108" s="758"/>
      <c r="E108" s="14" t="s">
        <v>797</v>
      </c>
      <c r="H108" s="868"/>
      <c r="I108" s="609" t="s">
        <v>736</v>
      </c>
      <c r="J108" s="868"/>
      <c r="K108" s="868"/>
      <c r="L108" s="868"/>
      <c r="M108" s="868"/>
      <c r="AA108" s="702">
        <f t="shared" ref="AA108:CL108" si="136">AA109+AA110</f>
        <v>2.3122999999999999E-4</v>
      </c>
      <c r="AB108" s="702">
        <f t="shared" si="136"/>
        <v>0.32883096299999998</v>
      </c>
      <c r="AC108" s="702">
        <f t="shared" si="136"/>
        <v>1.3021956916997011</v>
      </c>
      <c r="AD108" s="702">
        <f t="shared" si="136"/>
        <v>1.8033034519999998</v>
      </c>
      <c r="AE108" s="702">
        <f t="shared" si="136"/>
        <v>2.9185292289999998</v>
      </c>
      <c r="AF108" s="702">
        <f t="shared" si="136"/>
        <v>3.7677314019999999</v>
      </c>
      <c r="AG108" s="702">
        <f t="shared" si="136"/>
        <v>5.7162196712464999</v>
      </c>
      <c r="AH108" s="702">
        <f t="shared" si="136"/>
        <v>7.6358882700000006</v>
      </c>
      <c r="AI108" s="702">
        <f t="shared" si="136"/>
        <v>7.7734432723543989</v>
      </c>
      <c r="AJ108" s="702">
        <f t="shared" si="136"/>
        <v>8.7675626439999998</v>
      </c>
      <c r="AK108" s="702">
        <f t="shared" si="136"/>
        <v>9.5596300559999996</v>
      </c>
      <c r="AL108" s="702">
        <f t="shared" si="136"/>
        <v>13.975731883999998</v>
      </c>
      <c r="AM108" s="702">
        <f t="shared" si="136"/>
        <v>11.836121085000002</v>
      </c>
      <c r="AN108" s="702">
        <f t="shared" si="136"/>
        <v>17.778980110000003</v>
      </c>
      <c r="AO108" s="702">
        <f t="shared" si="136"/>
        <v>20.210879927999997</v>
      </c>
      <c r="AP108" s="702">
        <f t="shared" si="136"/>
        <v>23.008166087000003</v>
      </c>
      <c r="AQ108" s="702">
        <f>AQ109+AQ110</f>
        <v>27.417302490466973</v>
      </c>
      <c r="AR108" s="702">
        <f t="shared" si="136"/>
        <v>30.334266829040651</v>
      </c>
      <c r="AS108" s="702">
        <f t="shared" si="136"/>
        <v>33.904944991860262</v>
      </c>
      <c r="AT108" s="702">
        <f t="shared" si="136"/>
        <v>36.735259487741551</v>
      </c>
      <c r="AU108" s="702">
        <f t="shared" si="136"/>
        <v>36.205906628632867</v>
      </c>
      <c r="AV108" s="702">
        <f t="shared" si="136"/>
        <v>36.93677383442872</v>
      </c>
      <c r="AW108" s="702">
        <f t="shared" si="136"/>
        <v>38.474657935308187</v>
      </c>
      <c r="AX108" s="702">
        <f t="shared" si="136"/>
        <v>40.625254710113097</v>
      </c>
      <c r="AY108" s="702">
        <f t="shared" si="136"/>
        <v>43.300585715887593</v>
      </c>
      <c r="AZ108" s="702">
        <f t="shared" si="136"/>
        <v>46.539664905358343</v>
      </c>
      <c r="BA108" s="702">
        <f t="shared" si="136"/>
        <v>50.459956756391847</v>
      </c>
      <c r="BB108" s="702">
        <f t="shared" si="136"/>
        <v>54.77188149123549</v>
      </c>
      <c r="BC108" s="702">
        <f t="shared" si="136"/>
        <v>59.14715732839943</v>
      </c>
      <c r="BD108" s="702">
        <f t="shared" si="136"/>
        <v>63.72891435175142</v>
      </c>
      <c r="BE108" s="702">
        <f t="shared" si="136"/>
        <v>68.737288422119562</v>
      </c>
      <c r="BF108" s="702">
        <f t="shared" si="136"/>
        <v>77.430761588997285</v>
      </c>
      <c r="BG108" s="702">
        <f t="shared" si="136"/>
        <v>78.497401288932437</v>
      </c>
      <c r="BH108" s="702">
        <f t="shared" si="136"/>
        <v>81.605944871057943</v>
      </c>
      <c r="BI108" s="702">
        <f t="shared" si="136"/>
        <v>83.891562992511538</v>
      </c>
      <c r="BJ108" s="702">
        <f t="shared" si="136"/>
        <v>85.431125582615152</v>
      </c>
      <c r="BK108" s="702">
        <f t="shared" si="136"/>
        <v>86.332177711989871</v>
      </c>
      <c r="BL108" s="702">
        <f t="shared" si="136"/>
        <v>86.680417286433709</v>
      </c>
      <c r="BM108" s="702">
        <f t="shared" si="136"/>
        <v>86.638729091673838</v>
      </c>
      <c r="BN108" s="702">
        <f t="shared" si="136"/>
        <v>86.237934218795232</v>
      </c>
      <c r="BO108" s="702">
        <f t="shared" si="136"/>
        <v>85.55171735309429</v>
      </c>
      <c r="BP108" s="702">
        <f t="shared" si="136"/>
        <v>84.648281410906634</v>
      </c>
      <c r="BQ108" s="702">
        <f t="shared" si="136"/>
        <v>83.597234203914894</v>
      </c>
      <c r="BR108" s="702">
        <f t="shared" si="136"/>
        <v>82.781065289949169</v>
      </c>
      <c r="BS108" s="702">
        <f t="shared" si="136"/>
        <v>82.422511896151349</v>
      </c>
      <c r="BT108" s="702">
        <f t="shared" si="136"/>
        <v>82.493034997655315</v>
      </c>
      <c r="BU108" s="702">
        <f t="shared" si="136"/>
        <v>82.939064517960759</v>
      </c>
      <c r="BV108" s="702">
        <f t="shared" si="136"/>
        <v>83.712233414737412</v>
      </c>
      <c r="BW108" s="702">
        <f t="shared" si="136"/>
        <v>84.76822518615603</v>
      </c>
      <c r="BX108" s="702">
        <f t="shared" si="136"/>
        <v>86.0659637613916</v>
      </c>
      <c r="BY108" s="702">
        <f t="shared" si="136"/>
        <v>87.56700557753436</v>
      </c>
      <c r="BZ108" s="702">
        <f t="shared" si="136"/>
        <v>89.243651302663807</v>
      </c>
      <c r="CA108" s="702">
        <f t="shared" si="136"/>
        <v>91.063598196532141</v>
      </c>
      <c r="CB108" s="702">
        <f t="shared" si="136"/>
        <v>92.992883374174298</v>
      </c>
      <c r="CC108" s="702">
        <f t="shared" si="136"/>
        <v>94.996585716048017</v>
      </c>
      <c r="CD108" s="702">
        <f t="shared" si="136"/>
        <v>97.096252529465204</v>
      </c>
      <c r="CE108" s="702">
        <f t="shared" si="136"/>
        <v>99.284638358756183</v>
      </c>
      <c r="CF108" s="702">
        <f t="shared" si="136"/>
        <v>101.54149536621516</v>
      </c>
      <c r="CG108" s="702">
        <f t="shared" si="136"/>
        <v>103.86231426174238</v>
      </c>
      <c r="CH108" s="702">
        <f t="shared" si="136"/>
        <v>106.24193170051883</v>
      </c>
      <c r="CI108" s="702">
        <f t="shared" si="136"/>
        <v>108.67460575111825</v>
      </c>
      <c r="CJ108" s="702">
        <f t="shared" si="136"/>
        <v>111.15410264388593</v>
      </c>
      <c r="CK108" s="702">
        <f t="shared" si="136"/>
        <v>113.67376858504392</v>
      </c>
      <c r="CL108" s="702">
        <f t="shared" si="136"/>
        <v>116.2282273926165</v>
      </c>
      <c r="CM108" s="702">
        <f>CM109+CM110</f>
        <v>118.81064185264668</v>
      </c>
      <c r="CN108" s="702">
        <f>CN109+CN110</f>
        <v>121.41443913658651</v>
      </c>
      <c r="CO108" s="702">
        <f>CO109+CO110</f>
        <v>124.03292089390868</v>
      </c>
      <c r="CP108" s="702">
        <f t="shared" ref="CP108:CX108" si="137">CP109+CP110</f>
        <v>126.62610979679566</v>
      </c>
      <c r="CQ108" s="702">
        <f t="shared" si="137"/>
        <v>129.84660699005559</v>
      </c>
      <c r="CR108" s="702">
        <f t="shared" si="137"/>
        <v>134.11968226110889</v>
      </c>
      <c r="CS108" s="702">
        <f t="shared" si="137"/>
        <v>139.46608042141457</v>
      </c>
      <c r="CT108" s="702">
        <f t="shared" si="137"/>
        <v>145.91586652963531</v>
      </c>
      <c r="CU108" s="702">
        <f t="shared" si="137"/>
        <v>153.50645835577131</v>
      </c>
      <c r="CV108" s="702">
        <f t="shared" si="137"/>
        <v>162.28106409848027</v>
      </c>
      <c r="CW108" s="702">
        <f t="shared" si="137"/>
        <v>172.28759786499262</v>
      </c>
      <c r="CX108" s="702">
        <f t="shared" si="137"/>
        <v>183.57679541005885</v>
      </c>
      <c r="CY108" s="702">
        <f>CY109+CY110</f>
        <v>196.22176526008141</v>
      </c>
      <c r="CZ108" s="702">
        <f>CZ109+CZ110</f>
        <v>210.28701555228824</v>
      </c>
      <c r="DA108" s="702">
        <f>DA109+DA110</f>
        <v>225.83848249817217</v>
      </c>
      <c r="DC108" s="14">
        <f t="shared" si="125"/>
        <v>15.8370416389462</v>
      </c>
      <c r="DD108" s="14">
        <f t="shared" si="126"/>
        <v>212.2029176477223</v>
      </c>
      <c r="DE108" s="14">
        <f t="shared" si="127"/>
        <v>575.66330156736819</v>
      </c>
      <c r="DF108" s="14">
        <f t="shared" si="128"/>
        <v>1006.5432876009229</v>
      </c>
      <c r="DG108" s="14">
        <f t="shared" si="129"/>
        <v>1041.0458232309543</v>
      </c>
      <c r="DH108" s="14">
        <f t="shared" si="130"/>
        <v>1322.0153384725045</v>
      </c>
      <c r="DI108" s="14">
        <f t="shared" si="133"/>
        <v>1979.9735250388551</v>
      </c>
      <c r="DJ108" s="758"/>
      <c r="DM108" s="869"/>
    </row>
    <row r="109" spans="2:117" ht="15" outlineLevel="2">
      <c r="B109" s="758"/>
      <c r="F109" s="126" t="s">
        <v>737</v>
      </c>
      <c r="I109" s="609" t="s">
        <v>736</v>
      </c>
      <c r="O109" s="710"/>
      <c r="P109" s="710"/>
      <c r="Q109" s="710"/>
      <c r="R109" s="710"/>
      <c r="S109" s="710"/>
      <c r="T109" s="710"/>
      <c r="Y109" s="710"/>
      <c r="Z109" s="710"/>
      <c r="AA109" s="713">
        <v>2.3122999999999999E-4</v>
      </c>
      <c r="AB109" s="713">
        <v>0.40851109699999999</v>
      </c>
      <c r="AC109" s="713">
        <v>1.704062178</v>
      </c>
      <c r="AD109" s="713">
        <v>2.4835282529999998</v>
      </c>
      <c r="AE109" s="713">
        <v>3.9627919810000001</v>
      </c>
      <c r="AF109" s="713">
        <v>5.0455771330000001</v>
      </c>
      <c r="AG109" s="713">
        <v>7.4554720310000002</v>
      </c>
      <c r="AH109" s="878">
        <v>9.8226846640000005</v>
      </c>
      <c r="AI109" s="878">
        <v>10.060580607999999</v>
      </c>
      <c r="AJ109" s="712">
        <v>11.255014335</v>
      </c>
      <c r="AK109" s="712">
        <v>12.101564534</v>
      </c>
      <c r="AL109" s="712">
        <v>16.952456656999999</v>
      </c>
      <c r="AM109" s="712">
        <v>15.162362806000001</v>
      </c>
      <c r="AN109" s="712">
        <v>21.844039101000003</v>
      </c>
      <c r="AO109" s="888">
        <v>24.956417301999998</v>
      </c>
      <c r="AP109" s="712">
        <v>28.028635282000003</v>
      </c>
      <c r="AQ109" s="710">
        <v>33.193822231466974</v>
      </c>
      <c r="AR109" s="710">
        <v>37.065713539067303</v>
      </c>
      <c r="AS109" s="710">
        <v>41.451422954077884</v>
      </c>
      <c r="AT109" s="710">
        <v>44.721845230912372</v>
      </c>
      <c r="AU109" s="710">
        <v>44.322984662018662</v>
      </c>
      <c r="AV109" s="710">
        <v>45.361400519580805</v>
      </c>
      <c r="AW109" s="710">
        <v>47.314414281334592</v>
      </c>
      <c r="AX109" s="710">
        <v>49.945719680952557</v>
      </c>
      <c r="AY109" s="710">
        <v>53.169317734809702</v>
      </c>
      <c r="AZ109" s="710">
        <v>57.029291343518736</v>
      </c>
      <c r="BA109" s="710">
        <v>61.631581449109405</v>
      </c>
      <c r="BB109" s="710">
        <v>66.689297835789461</v>
      </c>
      <c r="BC109" s="710">
        <v>71.839847076383165</v>
      </c>
      <c r="BD109" s="710">
        <v>77.22433586169133</v>
      </c>
      <c r="BE109" s="710">
        <v>83.110654114107476</v>
      </c>
      <c r="BF109" s="710">
        <v>92.663533656996506</v>
      </c>
      <c r="BG109" s="710">
        <v>94.487767119122836</v>
      </c>
      <c r="BH109" s="710">
        <v>98.242218029938172</v>
      </c>
      <c r="BI109" s="710">
        <v>101.04140280915281</v>
      </c>
      <c r="BJ109" s="710">
        <v>102.96829513238809</v>
      </c>
      <c r="BK109" s="710">
        <v>104.14571946798206</v>
      </c>
      <c r="BL109" s="710">
        <v>104.67229161145976</v>
      </c>
      <c r="BM109" s="710">
        <v>104.71650709090143</v>
      </c>
      <c r="BN109" s="710">
        <v>104.31510113076267</v>
      </c>
      <c r="BO109" s="710">
        <v>103.55569842674942</v>
      </c>
      <c r="BP109" s="710">
        <v>102.5207348737505</v>
      </c>
      <c r="BQ109" s="710">
        <v>101.29478134988427</v>
      </c>
      <c r="BR109" s="710">
        <v>100.31805338912964</v>
      </c>
      <c r="BS109" s="710">
        <v>99.868085178340507</v>
      </c>
      <c r="BT109" s="710">
        <v>99.918678777820887</v>
      </c>
      <c r="BU109" s="710">
        <v>100.41168833863928</v>
      </c>
      <c r="BV109" s="710">
        <v>101.29428539259179</v>
      </c>
      <c r="BW109" s="710">
        <v>102.51771757466713</v>
      </c>
      <c r="BX109" s="710">
        <v>104.03640940397723</v>
      </c>
      <c r="BY109" s="710">
        <v>105.80726970775031</v>
      </c>
      <c r="BZ109" s="710">
        <v>107.79679959788888</v>
      </c>
      <c r="CA109" s="710">
        <v>109.96567282592257</v>
      </c>
      <c r="CB109" s="710">
        <v>112.2726857570831</v>
      </c>
      <c r="CC109" s="710">
        <v>114.67556485659203</v>
      </c>
      <c r="CD109" s="710">
        <v>117.1964071030077</v>
      </c>
      <c r="CE109" s="710">
        <v>119.82782227221692</v>
      </c>
      <c r="CF109" s="710">
        <v>122.54439675855612</v>
      </c>
      <c r="CG109" s="710">
        <v>125.34010622491354</v>
      </c>
      <c r="CH109" s="710">
        <v>128.20831100864598</v>
      </c>
      <c r="CI109" s="710">
        <v>131.14184957306998</v>
      </c>
      <c r="CJ109" s="710">
        <v>134.13313899174224</v>
      </c>
      <c r="CK109" s="710">
        <v>137.17426073046659</v>
      </c>
      <c r="CL109" s="710">
        <v>140.25849790859846</v>
      </c>
      <c r="CM109" s="710">
        <v>143.37761105848492</v>
      </c>
      <c r="CN109" s="710">
        <v>146.52367040041869</v>
      </c>
      <c r="CO109" s="710">
        <v>149.68859209314292</v>
      </c>
      <c r="CP109" s="710">
        <v>152.82634438780164</v>
      </c>
      <c r="CQ109" s="710">
        <v>156.67856255308183</v>
      </c>
      <c r="CR109" s="710">
        <v>161.76914964746055</v>
      </c>
      <c r="CS109" s="710">
        <v>168.12822640571113</v>
      </c>
      <c r="CT109" s="710">
        <v>175.79679654712891</v>
      </c>
      <c r="CU109" s="710">
        <v>184.82451907301163</v>
      </c>
      <c r="CV109" s="710">
        <v>195.26803728996728</v>
      </c>
      <c r="CW109" s="710">
        <v>207.18976872461982</v>
      </c>
      <c r="CX109" s="710">
        <v>220.65598776594513</v>
      </c>
      <c r="CY109" s="710">
        <v>235.75417909016846</v>
      </c>
      <c r="CZ109" s="710">
        <v>252.56176544910269</v>
      </c>
      <c r="DA109" s="710">
        <v>271.15802465154758</v>
      </c>
      <c r="DC109" s="12">
        <f t="shared" si="125"/>
        <v>21.060173902999999</v>
      </c>
      <c r="DD109" s="12">
        <f t="shared" si="126"/>
        <v>261.8947140136122</v>
      </c>
      <c r="DE109" s="12">
        <f t="shared" si="127"/>
        <v>702.3606897902082</v>
      </c>
      <c r="DF109" s="12">
        <f t="shared" si="128"/>
        <v>1214.6240506990887</v>
      </c>
      <c r="DG109" s="12">
        <f t="shared" si="129"/>
        <v>1258.8829108004034</v>
      </c>
      <c r="DH109" s="12">
        <f t="shared" si="130"/>
        <v>1595.4146641232642</v>
      </c>
      <c r="DI109" s="12">
        <f t="shared" si="133"/>
        <v>2382.611361585547</v>
      </c>
    </row>
    <row r="110" spans="2:117" ht="15" outlineLevel="2">
      <c r="B110" s="758"/>
      <c r="F110" s="126" t="s">
        <v>798</v>
      </c>
      <c r="I110" s="609" t="s">
        <v>736</v>
      </c>
      <c r="O110" s="710"/>
      <c r="P110" s="710"/>
      <c r="Q110" s="710"/>
      <c r="R110" s="710"/>
      <c r="S110" s="710"/>
      <c r="T110" s="710"/>
      <c r="Y110" s="710"/>
      <c r="Z110" s="710"/>
      <c r="AA110" s="713">
        <v>0</v>
      </c>
      <c r="AB110" s="713">
        <v>-7.9680134E-2</v>
      </c>
      <c r="AC110" s="713">
        <v>-0.40186648630029898</v>
      </c>
      <c r="AD110" s="713">
        <v>-0.68022480100000005</v>
      </c>
      <c r="AE110" s="713">
        <v>-1.0442627520000001</v>
      </c>
      <c r="AF110" s="713">
        <v>-1.277845731</v>
      </c>
      <c r="AG110" s="713">
        <v>-1.7392523597535001</v>
      </c>
      <c r="AH110" s="889">
        <v>-2.1867963939999999</v>
      </c>
      <c r="AI110" s="889">
        <v>-2.2871373356456002</v>
      </c>
      <c r="AJ110" s="712">
        <v>-2.487451691</v>
      </c>
      <c r="AK110" s="712">
        <v>-2.5419344780000004</v>
      </c>
      <c r="AL110" s="712">
        <v>-2.9767247729999999</v>
      </c>
      <c r="AM110" s="712">
        <v>-3.3262417209999997</v>
      </c>
      <c r="AN110" s="712">
        <v>-4.0650589909999999</v>
      </c>
      <c r="AO110" s="712">
        <v>-4.7455373740000004</v>
      </c>
      <c r="AP110" s="712">
        <v>-5.0204691950000004</v>
      </c>
      <c r="AQ110" s="713">
        <v>-5.7765197409999995</v>
      </c>
      <c r="AR110" s="710">
        <v>-6.7314467100266526</v>
      </c>
      <c r="AS110" s="710">
        <v>-7.546477962217625</v>
      </c>
      <c r="AT110" s="710">
        <v>-7.9865857431708234</v>
      </c>
      <c r="AU110" s="710">
        <v>-8.117078033385793</v>
      </c>
      <c r="AV110" s="710">
        <v>-8.4246266851520808</v>
      </c>
      <c r="AW110" s="710">
        <v>-8.839756346026407</v>
      </c>
      <c r="AX110" s="710">
        <v>-9.3204649708394598</v>
      </c>
      <c r="AY110" s="710">
        <v>-9.8687320189221062</v>
      </c>
      <c r="AZ110" s="710">
        <v>-10.489626438160391</v>
      </c>
      <c r="BA110" s="710">
        <v>-11.171624692717556</v>
      </c>
      <c r="BB110" s="710">
        <v>-11.917416344553969</v>
      </c>
      <c r="BC110" s="710">
        <v>-12.692689747983735</v>
      </c>
      <c r="BD110" s="710">
        <v>-13.495421509939911</v>
      </c>
      <c r="BE110" s="710">
        <v>-14.373365691987908</v>
      </c>
      <c r="BF110" s="710">
        <v>-15.232772067999226</v>
      </c>
      <c r="BG110" s="710">
        <v>-15.990365830190399</v>
      </c>
      <c r="BH110" s="710">
        <v>-16.636273158880222</v>
      </c>
      <c r="BI110" s="710">
        <v>-17.149839816641272</v>
      </c>
      <c r="BJ110" s="710">
        <v>-17.537169549772937</v>
      </c>
      <c r="BK110" s="710">
        <v>-17.813541755992194</v>
      </c>
      <c r="BL110" s="710">
        <v>-17.99187432502605</v>
      </c>
      <c r="BM110" s="710">
        <v>-18.077777999227596</v>
      </c>
      <c r="BN110" s="710">
        <v>-18.077166911967442</v>
      </c>
      <c r="BO110" s="710">
        <v>-18.00398107365513</v>
      </c>
      <c r="BP110" s="710">
        <v>-17.872453462843865</v>
      </c>
      <c r="BQ110" s="710">
        <v>-17.697547145969377</v>
      </c>
      <c r="BR110" s="710">
        <v>-17.536988099180483</v>
      </c>
      <c r="BS110" s="710">
        <v>-17.445573282189152</v>
      </c>
      <c r="BT110" s="710">
        <v>-17.425643780165569</v>
      </c>
      <c r="BU110" s="710">
        <v>-17.472623820678525</v>
      </c>
      <c r="BV110" s="710">
        <v>-17.58205197785438</v>
      </c>
      <c r="BW110" s="710">
        <v>-17.749492388511097</v>
      </c>
      <c r="BX110" s="710">
        <v>-17.970445642585627</v>
      </c>
      <c r="BY110" s="710">
        <v>-18.240264130215955</v>
      </c>
      <c r="BZ110" s="710">
        <v>-18.553148295225071</v>
      </c>
      <c r="CA110" s="710">
        <v>-18.90207462939043</v>
      </c>
      <c r="CB110" s="710">
        <v>-19.279802382908795</v>
      </c>
      <c r="CC110" s="710">
        <v>-19.678979140544019</v>
      </c>
      <c r="CD110" s="710">
        <v>-20.100154573542504</v>
      </c>
      <c r="CE110" s="710">
        <v>-20.543183913460744</v>
      </c>
      <c r="CF110" s="710">
        <v>-21.002901392340956</v>
      </c>
      <c r="CG110" s="710">
        <v>-21.47779196317116</v>
      </c>
      <c r="CH110" s="710">
        <v>-21.966379308127141</v>
      </c>
      <c r="CI110" s="710">
        <v>-22.467243821951723</v>
      </c>
      <c r="CJ110" s="710">
        <v>-22.979036347856312</v>
      </c>
      <c r="CK110" s="710">
        <v>-23.500492145422673</v>
      </c>
      <c r="CL110" s="710">
        <v>-24.030270515981957</v>
      </c>
      <c r="CM110" s="710">
        <v>-24.566969205838234</v>
      </c>
      <c r="CN110" s="710">
        <v>-25.109231263832186</v>
      </c>
      <c r="CO110" s="710">
        <v>-25.655671199234234</v>
      </c>
      <c r="CP110" s="710">
        <v>-26.20023459100598</v>
      </c>
      <c r="CQ110" s="710">
        <v>-26.831955563026238</v>
      </c>
      <c r="CR110" s="710">
        <v>-27.649467386351649</v>
      </c>
      <c r="CS110" s="710">
        <v>-28.662145984296558</v>
      </c>
      <c r="CT110" s="710">
        <v>-29.880930017493583</v>
      </c>
      <c r="CU110" s="710">
        <v>-31.318060717240314</v>
      </c>
      <c r="CV110" s="710">
        <v>-32.986973191487003</v>
      </c>
      <c r="CW110" s="710">
        <v>-34.902170859627191</v>
      </c>
      <c r="CX110" s="710">
        <v>-37.079192355886271</v>
      </c>
      <c r="CY110" s="710">
        <v>-39.532413830087044</v>
      </c>
      <c r="CZ110" s="710">
        <v>-42.274749896814455</v>
      </c>
      <c r="DA110" s="710">
        <v>-45.319542153375401</v>
      </c>
      <c r="DC110" s="12">
        <f t="shared" si="125"/>
        <v>-5.2231322640537998</v>
      </c>
      <c r="DD110" s="12">
        <f t="shared" si="126"/>
        <v>-49.691796365889878</v>
      </c>
      <c r="DE110" s="12">
        <f t="shared" si="127"/>
        <v>-126.69738822284015</v>
      </c>
      <c r="DF110" s="12">
        <f t="shared" si="128"/>
        <v>-208.0807630981657</v>
      </c>
      <c r="DG110" s="12">
        <f t="shared" si="129"/>
        <v>-217.8370875694491</v>
      </c>
      <c r="DH110" s="12">
        <f t="shared" si="130"/>
        <v>-273.39932565075981</v>
      </c>
      <c r="DI110" s="12">
        <f t="shared" si="133"/>
        <v>-402.63783654669169</v>
      </c>
    </row>
    <row r="111" spans="2:117" s="12" customFormat="1" outlineLevel="2">
      <c r="B111" s="758"/>
      <c r="E111" s="14" t="s">
        <v>593</v>
      </c>
      <c r="H111" s="865"/>
      <c r="I111" s="609" t="s">
        <v>736</v>
      </c>
      <c r="J111" s="865"/>
      <c r="K111" s="865"/>
      <c r="L111" s="865"/>
      <c r="M111" s="865"/>
      <c r="AA111" s="702"/>
      <c r="AB111" s="702">
        <f>SUM(AB112:AB117)+AB118</f>
        <v>1.293976011</v>
      </c>
      <c r="AC111" s="702">
        <f t="shared" ref="AC111:CN111" si="138">SUM(AC112:AC117)+AC118</f>
        <v>1.6364247810000001</v>
      </c>
      <c r="AD111" s="702">
        <f t="shared" si="138"/>
        <v>1.8390928449999999</v>
      </c>
      <c r="AE111" s="702">
        <f t="shared" si="138"/>
        <v>2.1483334029999996</v>
      </c>
      <c r="AF111" s="702">
        <f t="shared" si="138"/>
        <v>2.383422334</v>
      </c>
      <c r="AG111" s="702">
        <f t="shared" si="138"/>
        <v>4.3147833071990878</v>
      </c>
      <c r="AH111" s="702">
        <f t="shared" si="138"/>
        <v>3.6718608910000001</v>
      </c>
      <c r="AI111" s="702">
        <f t="shared" si="138"/>
        <v>2.2661365230000001</v>
      </c>
      <c r="AJ111" s="702">
        <f>SUM(AJ112:AJ117)+AJ118</f>
        <v>2.8968061119999993</v>
      </c>
      <c r="AK111" s="702">
        <f t="shared" si="138"/>
        <v>5.361316177</v>
      </c>
      <c r="AL111" s="702">
        <f t="shared" si="138"/>
        <v>6.1117957980000002</v>
      </c>
      <c r="AM111" s="702">
        <f t="shared" si="138"/>
        <v>8.3213772219999989</v>
      </c>
      <c r="AN111" s="702">
        <f t="shared" si="138"/>
        <v>9.084439733</v>
      </c>
      <c r="AO111" s="702">
        <f t="shared" si="138"/>
        <v>10.846096000999999</v>
      </c>
      <c r="AP111" s="702">
        <f t="shared" si="138"/>
        <v>12.343080998</v>
      </c>
      <c r="AQ111" s="702">
        <f t="shared" si="138"/>
        <v>13.1351813505</v>
      </c>
      <c r="AR111" s="702">
        <f t="shared" si="138"/>
        <v>13.284974452736147</v>
      </c>
      <c r="AS111" s="702">
        <f t="shared" si="138"/>
        <v>14.613471898009765</v>
      </c>
      <c r="AT111" s="702">
        <f>SUM(AT112:AT117)+AT118</f>
        <v>10.726873876404685</v>
      </c>
      <c r="AU111" s="702">
        <f t="shared" si="138"/>
        <v>10.073197419798595</v>
      </c>
      <c r="AV111" s="702">
        <f t="shared" si="138"/>
        <v>12.090928484274642</v>
      </c>
      <c r="AW111" s="702">
        <f t="shared" si="138"/>
        <v>13.443593755367324</v>
      </c>
      <c r="AX111" s="702">
        <f t="shared" si="138"/>
        <v>14.799871445429391</v>
      </c>
      <c r="AY111" s="702">
        <f t="shared" si="138"/>
        <v>16.153793372461024</v>
      </c>
      <c r="AZ111" s="702">
        <f t="shared" si="138"/>
        <v>17.506721908209094</v>
      </c>
      <c r="BA111" s="702">
        <f t="shared" si="138"/>
        <v>18.871997683837765</v>
      </c>
      <c r="BB111" s="702">
        <f t="shared" si="138"/>
        <v>20.225783182775682</v>
      </c>
      <c r="BC111" s="702">
        <f t="shared" si="138"/>
        <v>21.568497305035272</v>
      </c>
      <c r="BD111" s="702">
        <f t="shared" si="138"/>
        <v>22.901672362827412</v>
      </c>
      <c r="BE111" s="702">
        <f t="shared" si="138"/>
        <v>24.234369636118942</v>
      </c>
      <c r="BF111" s="702">
        <f t="shared" si="138"/>
        <v>23.935092099911483</v>
      </c>
      <c r="BG111" s="702">
        <f t="shared" si="138"/>
        <v>23.637451624237226</v>
      </c>
      <c r="BH111" s="702">
        <f t="shared" si="138"/>
        <v>23.341125929920558</v>
      </c>
      <c r="BI111" s="702">
        <f t="shared" si="138"/>
        <v>23.045708049294287</v>
      </c>
      <c r="BJ111" s="702">
        <f t="shared" si="138"/>
        <v>22.750792640569777</v>
      </c>
      <c r="BK111" s="702">
        <f t="shared" si="138"/>
        <v>22.456119792431618</v>
      </c>
      <c r="BL111" s="702">
        <f t="shared" si="138"/>
        <v>22.160981017006147</v>
      </c>
      <c r="BM111" s="702">
        <f t="shared" si="138"/>
        <v>21.873193884992272</v>
      </c>
      <c r="BN111" s="702">
        <f t="shared" si="138"/>
        <v>21.588751912423501</v>
      </c>
      <c r="BO111" s="702">
        <f t="shared" si="138"/>
        <v>21.304626515126845</v>
      </c>
      <c r="BP111" s="702">
        <f t="shared" si="138"/>
        <v>21.017660416994893</v>
      </c>
      <c r="BQ111" s="702">
        <f t="shared" si="138"/>
        <v>20.727740509967752</v>
      </c>
      <c r="BR111" s="702">
        <f t="shared" si="138"/>
        <v>21.244902029702171</v>
      </c>
      <c r="BS111" s="702">
        <f t="shared" si="138"/>
        <v>21.759545788912735</v>
      </c>
      <c r="BT111" s="702">
        <f t="shared" si="138"/>
        <v>22.272022314824852</v>
      </c>
      <c r="BU111" s="702">
        <f t="shared" si="138"/>
        <v>22.782651664587512</v>
      </c>
      <c r="BV111" s="702">
        <f t="shared" si="138"/>
        <v>23.291730251877269</v>
      </c>
      <c r="BW111" s="702">
        <f t="shared" si="138"/>
        <v>23.799541184821415</v>
      </c>
      <c r="BX111" s="702">
        <f t="shared" si="138"/>
        <v>24.3063621890592</v>
      </c>
      <c r="BY111" s="702">
        <f t="shared" si="138"/>
        <v>24.812473685455245</v>
      </c>
      <c r="BZ111" s="702">
        <f t="shared" si="138"/>
        <v>25.319107918824326</v>
      </c>
      <c r="CA111" s="702">
        <f t="shared" si="138"/>
        <v>25.82707834642979</v>
      </c>
      <c r="CB111" s="702">
        <f t="shared" si="138"/>
        <v>26.336678714055367</v>
      </c>
      <c r="CC111" s="702">
        <f t="shared" si="138"/>
        <v>26.847774676565713</v>
      </c>
      <c r="CD111" s="702">
        <f t="shared" si="138"/>
        <v>27.513185265049607</v>
      </c>
      <c r="CE111" s="702">
        <f t="shared" si="138"/>
        <v>28.179772847594037</v>
      </c>
      <c r="CF111" s="702">
        <f t="shared" si="138"/>
        <v>28.847393290969642</v>
      </c>
      <c r="CG111" s="702">
        <f t="shared" si="138"/>
        <v>29.515908872574009</v>
      </c>
      <c r="CH111" s="702">
        <f t="shared" si="138"/>
        <v>30.18518621168613</v>
      </c>
      <c r="CI111" s="702">
        <f t="shared" si="138"/>
        <v>30.855092305141518</v>
      </c>
      <c r="CJ111" s="702">
        <f t="shared" si="138"/>
        <v>31.525491962736183</v>
      </c>
      <c r="CK111" s="702">
        <f t="shared" si="138"/>
        <v>32.196246690853307</v>
      </c>
      <c r="CL111" s="702">
        <f t="shared" si="138"/>
        <v>32.867393739467467</v>
      </c>
      <c r="CM111" s="702">
        <f t="shared" si="138"/>
        <v>33.538887546629525</v>
      </c>
      <c r="CN111" s="702">
        <f t="shared" si="138"/>
        <v>34.210693200719199</v>
      </c>
      <c r="CO111" s="702">
        <f>SUM(CO112:CO117)+CO118</f>
        <v>34.882763542322294</v>
      </c>
      <c r="CP111" s="702">
        <f t="shared" ref="CP111:CZ111" si="139">SUM(CP112:CP117)+CP118</f>
        <v>35.466686255528522</v>
      </c>
      <c r="CQ111" s="702">
        <f t="shared" si="139"/>
        <v>36.050829637090942</v>
      </c>
      <c r="CR111" s="702">
        <f t="shared" si="139"/>
        <v>36.635169886615891</v>
      </c>
      <c r="CS111" s="702">
        <f t="shared" si="139"/>
        <v>37.219682548253822</v>
      </c>
      <c r="CT111" s="702">
        <f t="shared" si="139"/>
        <v>37.804342761617363</v>
      </c>
      <c r="CU111" s="702">
        <f t="shared" si="139"/>
        <v>38.389125098449952</v>
      </c>
      <c r="CV111" s="702">
        <f t="shared" si="139"/>
        <v>38.974003596649062</v>
      </c>
      <c r="CW111" s="702">
        <f t="shared" si="139"/>
        <v>39.558951765029967</v>
      </c>
      <c r="CX111" s="702">
        <f t="shared" si="139"/>
        <v>40.143839136580098</v>
      </c>
      <c r="CY111" s="702">
        <f t="shared" si="139"/>
        <v>40.730694258499767</v>
      </c>
      <c r="CZ111" s="702">
        <f t="shared" si="139"/>
        <v>41.320895733504692</v>
      </c>
      <c r="DA111" s="702">
        <f>SUM(DA112:DA117)+DA118</f>
        <v>41.915220252279887</v>
      </c>
      <c r="DC111" s="14">
        <f t="shared" si="125"/>
        <v>13.616032681199087</v>
      </c>
      <c r="DD111" s="14">
        <f t="shared" si="126"/>
        <v>101.9365371562459</v>
      </c>
      <c r="DE111" s="14">
        <f t="shared" si="127"/>
        <v>202.59730043253981</v>
      </c>
      <c r="DF111" s="14">
        <f t="shared" si="128"/>
        <v>267.83924439287637</v>
      </c>
      <c r="DG111" s="14">
        <f t="shared" si="129"/>
        <v>288.59986876511562</v>
      </c>
      <c r="DH111" s="14">
        <f t="shared" si="130"/>
        <v>374.31801547574298</v>
      </c>
      <c r="DI111" s="14">
        <f t="shared" si="133"/>
        <v>464.20944093010002</v>
      </c>
      <c r="DJ111" s="741"/>
      <c r="DK111" s="741"/>
    </row>
    <row r="112" spans="2:117" ht="15" outlineLevel="2">
      <c r="B112" s="758"/>
      <c r="F112" s="126" t="s">
        <v>540</v>
      </c>
      <c r="I112" s="609" t="s">
        <v>736</v>
      </c>
      <c r="O112" s="710"/>
      <c r="P112" s="710"/>
      <c r="Q112" s="710"/>
      <c r="R112" s="710"/>
      <c r="S112" s="710"/>
      <c r="T112" s="710"/>
      <c r="Y112" s="710"/>
      <c r="Z112" s="710"/>
      <c r="AA112" s="702">
        <v>0</v>
      </c>
      <c r="AB112" s="713">
        <v>1.293976011</v>
      </c>
      <c r="AC112" s="713">
        <v>1.6364247810000001</v>
      </c>
      <c r="AD112" s="713">
        <v>1.838922929</v>
      </c>
      <c r="AE112" s="712">
        <v>2.1416854879999998</v>
      </c>
      <c r="AF112" s="712">
        <v>2.3665740230000001</v>
      </c>
      <c r="AG112" s="890">
        <v>4.279475134199088</v>
      </c>
      <c r="AH112" s="712">
        <v>3.6050235850000001</v>
      </c>
      <c r="AI112" s="891">
        <v>2.164718047</v>
      </c>
      <c r="AJ112" s="712">
        <v>2.7089099999999995</v>
      </c>
      <c r="AK112" s="712">
        <v>5.1562878349999997</v>
      </c>
      <c r="AL112" s="712">
        <v>5.8824299260000004</v>
      </c>
      <c r="AM112" s="712">
        <v>8.0912608889999991</v>
      </c>
      <c r="AN112" s="712">
        <v>8.7995163569999999</v>
      </c>
      <c r="AO112" s="888">
        <v>9.8181480299999997</v>
      </c>
      <c r="AP112" s="712">
        <v>11.73706666</v>
      </c>
      <c r="AQ112" s="710">
        <v>12.662267530499999</v>
      </c>
      <c r="AR112" s="710">
        <v>12.806667541746547</v>
      </c>
      <c r="AS112" s="710">
        <v>14.087334295921204</v>
      </c>
      <c r="AT112" s="710">
        <v>10.281600000000001</v>
      </c>
      <c r="AU112" s="710">
        <v>9.6390000000000011</v>
      </c>
      <c r="AV112" s="710">
        <v>11.566800000000002</v>
      </c>
      <c r="AW112" s="710">
        <v>12.852</v>
      </c>
      <c r="AX112" s="710">
        <v>14.1372</v>
      </c>
      <c r="AY112" s="710">
        <v>15.422400000000001</v>
      </c>
      <c r="AZ112" s="710">
        <v>16.707600000000003</v>
      </c>
      <c r="BA112" s="710">
        <v>17.992800000000003</v>
      </c>
      <c r="BB112" s="710">
        <v>19.278000000000002</v>
      </c>
      <c r="BC112" s="710">
        <v>20.563200000000002</v>
      </c>
      <c r="BD112" s="710">
        <v>21.848400000000002</v>
      </c>
      <c r="BE112" s="710">
        <v>23.133600000000005</v>
      </c>
      <c r="BF112" s="710">
        <v>22.844429999999999</v>
      </c>
      <c r="BG112" s="710">
        <v>22.555259999999997</v>
      </c>
      <c r="BH112" s="710">
        <v>22.266089999999995</v>
      </c>
      <c r="BI112" s="710">
        <v>21.976919999999996</v>
      </c>
      <c r="BJ112" s="710">
        <v>21.687749999999991</v>
      </c>
      <c r="BK112" s="710">
        <v>21.398579999999992</v>
      </c>
      <c r="BL112" s="710">
        <v>21.10940999999999</v>
      </c>
      <c r="BM112" s="710">
        <v>20.820239999999988</v>
      </c>
      <c r="BN112" s="710">
        <v>20.531069999999985</v>
      </c>
      <c r="BO112" s="710">
        <v>20.24189999999999</v>
      </c>
      <c r="BP112" s="710">
        <v>19.952729999999992</v>
      </c>
      <c r="BQ112" s="710">
        <v>19.663560000000004</v>
      </c>
      <c r="BR112" s="710">
        <v>20.155149000000002</v>
      </c>
      <c r="BS112" s="710">
        <v>20.646737999999999</v>
      </c>
      <c r="BT112" s="710">
        <v>21.138327</v>
      </c>
      <c r="BU112" s="710">
        <v>21.629916000000001</v>
      </c>
      <c r="BV112" s="710">
        <v>22.121504999999999</v>
      </c>
      <c r="BW112" s="710">
        <v>22.613093999999997</v>
      </c>
      <c r="BX112" s="710">
        <v>23.104682999999998</v>
      </c>
      <c r="BY112" s="710">
        <v>23.596272000000003</v>
      </c>
      <c r="BZ112" s="710">
        <v>24.087861000000004</v>
      </c>
      <c r="CA112" s="710">
        <v>24.579450000000005</v>
      </c>
      <c r="CB112" s="710">
        <v>25.071039000000006</v>
      </c>
      <c r="CC112" s="710">
        <v>25.562628000000004</v>
      </c>
      <c r="CD112" s="710">
        <v>26.201693700000003</v>
      </c>
      <c r="CE112" s="710">
        <v>26.840759400000007</v>
      </c>
      <c r="CF112" s="710">
        <v>27.47982510000001</v>
      </c>
      <c r="CG112" s="710">
        <v>28.118890800000006</v>
      </c>
      <c r="CH112" s="710">
        <v>28.757956500000009</v>
      </c>
      <c r="CI112" s="710">
        <v>29.397022200000013</v>
      </c>
      <c r="CJ112" s="710">
        <v>30.036087900000016</v>
      </c>
      <c r="CK112" s="710">
        <v>30.675153600000019</v>
      </c>
      <c r="CL112" s="710">
        <v>31.314219300000016</v>
      </c>
      <c r="CM112" s="710">
        <v>31.953285000000019</v>
      </c>
      <c r="CN112" s="710">
        <v>32.592350700000019</v>
      </c>
      <c r="CO112" s="710">
        <v>33.231416400000015</v>
      </c>
      <c r="CP112" s="710">
        <v>33.785273340000003</v>
      </c>
      <c r="CQ112" s="710">
        <v>34.339130280000006</v>
      </c>
      <c r="CR112" s="710">
        <v>34.892987220000009</v>
      </c>
      <c r="CS112" s="710">
        <v>35.446844160000005</v>
      </c>
      <c r="CT112" s="710">
        <v>36.000701100000008</v>
      </c>
      <c r="CU112" s="710">
        <v>36.554558040000003</v>
      </c>
      <c r="CV112" s="710">
        <v>37.108414980000006</v>
      </c>
      <c r="CW112" s="710">
        <v>37.662271920000002</v>
      </c>
      <c r="CX112" s="710">
        <v>38.216128860000005</v>
      </c>
      <c r="CY112" s="710">
        <v>38.769985800000001</v>
      </c>
      <c r="CZ112" s="710">
        <v>39.323842740000003</v>
      </c>
      <c r="DA112" s="710">
        <v>39.877699679999999</v>
      </c>
      <c r="DC112" s="12">
        <f t="shared" si="125"/>
        <v>13.557058366199087</v>
      </c>
      <c r="DD112" s="12">
        <f>SUM(AH112:AS112)</f>
        <v>97.519630697167756</v>
      </c>
      <c r="DE112" s="12">
        <f>SUM(AT112:BE112)</f>
        <v>193.42260000000002</v>
      </c>
      <c r="DF112" s="12">
        <f>SUM(BF112:BQ112)</f>
        <v>255.04793999999993</v>
      </c>
      <c r="DG112" s="12">
        <f>SUM(BR112:CC112)</f>
        <v>274.30666200000002</v>
      </c>
      <c r="DH112" s="12">
        <f>SUM(CD112:CO112)</f>
        <v>356.59866060000007</v>
      </c>
      <c r="DI112" s="12">
        <f t="shared" si="133"/>
        <v>441.97783812000011</v>
      </c>
    </row>
    <row r="113" spans="2:116" ht="15" outlineLevel="2">
      <c r="B113" s="758"/>
      <c r="F113" s="126" t="s">
        <v>799</v>
      </c>
      <c r="I113" s="609" t="s">
        <v>736</v>
      </c>
      <c r="O113" s="710"/>
      <c r="P113" s="710"/>
      <c r="Q113" s="710"/>
      <c r="R113" s="710"/>
      <c r="S113" s="710"/>
      <c r="T113" s="710"/>
      <c r="Y113" s="710"/>
      <c r="Z113" s="710"/>
      <c r="AA113" s="710">
        <v>0</v>
      </c>
      <c r="AB113" s="713">
        <v>0</v>
      </c>
      <c r="AC113" s="713">
        <v>0</v>
      </c>
      <c r="AD113" s="713">
        <v>1.6991599999999999E-4</v>
      </c>
      <c r="AE113" s="713">
        <v>6.6479149999999999E-3</v>
      </c>
      <c r="AF113" s="713">
        <v>1.6848311000000001E-2</v>
      </c>
      <c r="AG113" s="713">
        <v>3.5308172999999998E-2</v>
      </c>
      <c r="AH113" s="878">
        <v>6.6837305999999999E-2</v>
      </c>
      <c r="AI113" s="878">
        <v>0.10141847599999999</v>
      </c>
      <c r="AJ113" s="712">
        <v>0.187896112</v>
      </c>
      <c r="AK113" s="712">
        <v>0.205028342</v>
      </c>
      <c r="AL113" s="712">
        <v>0.229365872</v>
      </c>
      <c r="AM113" s="712">
        <v>0.23011633300000001</v>
      </c>
      <c r="AN113" s="712">
        <v>0.28492337600000001</v>
      </c>
      <c r="AO113" s="712">
        <v>1.0279479710000001</v>
      </c>
      <c r="AP113" s="712">
        <v>0.60601433799999993</v>
      </c>
      <c r="AQ113" s="710">
        <v>0.47291381999999998</v>
      </c>
      <c r="AR113" s="710">
        <v>0.47830691098960026</v>
      </c>
      <c r="AS113" s="710">
        <v>0.52613760208856042</v>
      </c>
      <c r="AT113" s="710">
        <v>0.38400000000000006</v>
      </c>
      <c r="AU113" s="710">
        <v>0.36</v>
      </c>
      <c r="AV113" s="710">
        <v>0.43200000000000005</v>
      </c>
      <c r="AW113" s="710">
        <v>0.48</v>
      </c>
      <c r="AX113" s="710">
        <v>0.52800000000000002</v>
      </c>
      <c r="AY113" s="710">
        <v>0.57600000000000007</v>
      </c>
      <c r="AZ113" s="710">
        <v>0.62400000000000011</v>
      </c>
      <c r="BA113" s="710">
        <v>0.67200000000000004</v>
      </c>
      <c r="BB113" s="710">
        <v>0.72</v>
      </c>
      <c r="BC113" s="710">
        <v>0.76800000000000013</v>
      </c>
      <c r="BD113" s="710">
        <v>0.81600000000000006</v>
      </c>
      <c r="BE113" s="710">
        <v>0.8640000000000001</v>
      </c>
      <c r="BF113" s="710">
        <v>0.85319999999999996</v>
      </c>
      <c r="BG113" s="710">
        <v>0.84239999999999993</v>
      </c>
      <c r="BH113" s="710">
        <v>0.83159999999999989</v>
      </c>
      <c r="BI113" s="710">
        <v>0.82079999999999986</v>
      </c>
      <c r="BJ113" s="710">
        <v>0.80999999999999972</v>
      </c>
      <c r="BK113" s="710">
        <v>0.79919999999999958</v>
      </c>
      <c r="BL113" s="710">
        <v>0.78839999999999966</v>
      </c>
      <c r="BM113" s="710">
        <v>0.77759999999999951</v>
      </c>
      <c r="BN113" s="710">
        <v>0.76679999999999937</v>
      </c>
      <c r="BO113" s="710">
        <v>0.75599999999999956</v>
      </c>
      <c r="BP113" s="710">
        <v>0.74519999999999964</v>
      </c>
      <c r="BQ113" s="710">
        <v>0.73439999999999994</v>
      </c>
      <c r="BR113" s="710">
        <v>0.75275999999999998</v>
      </c>
      <c r="BS113" s="710">
        <v>0.77111999999999992</v>
      </c>
      <c r="BT113" s="710">
        <v>0.78947999999999996</v>
      </c>
      <c r="BU113" s="710">
        <v>0.80783999999999989</v>
      </c>
      <c r="BV113" s="710">
        <v>0.82620000000000005</v>
      </c>
      <c r="BW113" s="710">
        <v>0.84456000000000009</v>
      </c>
      <c r="BX113" s="710">
        <v>0.86292000000000002</v>
      </c>
      <c r="BY113" s="710">
        <v>0.88128000000000006</v>
      </c>
      <c r="BZ113" s="710">
        <v>0.89964</v>
      </c>
      <c r="CA113" s="710">
        <v>0.91800000000000015</v>
      </c>
      <c r="CB113" s="710">
        <v>0.93636000000000008</v>
      </c>
      <c r="CC113" s="710">
        <v>0.95472000000000012</v>
      </c>
      <c r="CD113" s="710">
        <v>0.97858800000000024</v>
      </c>
      <c r="CE113" s="710">
        <v>1.0024560000000002</v>
      </c>
      <c r="CF113" s="710">
        <v>1.0263240000000002</v>
      </c>
      <c r="CG113" s="710">
        <v>1.0501920000000002</v>
      </c>
      <c r="CH113" s="710">
        <v>1.0740600000000002</v>
      </c>
      <c r="CI113" s="710">
        <v>1.0979280000000005</v>
      </c>
      <c r="CJ113" s="710">
        <v>1.1217960000000005</v>
      </c>
      <c r="CK113" s="710">
        <v>1.1456640000000005</v>
      </c>
      <c r="CL113" s="710">
        <v>1.1695320000000005</v>
      </c>
      <c r="CM113" s="710">
        <v>1.1934000000000007</v>
      </c>
      <c r="CN113" s="710">
        <v>1.2172680000000009</v>
      </c>
      <c r="CO113" s="710">
        <v>1.2411360000000002</v>
      </c>
      <c r="CP113" s="710">
        <v>1.2618216000000002</v>
      </c>
      <c r="CQ113" s="710">
        <v>1.2825072</v>
      </c>
      <c r="CR113" s="710">
        <v>1.3031928000000002</v>
      </c>
      <c r="CS113" s="710">
        <v>1.3238783999999999</v>
      </c>
      <c r="CT113" s="710">
        <v>1.3445640000000001</v>
      </c>
      <c r="CU113" s="710">
        <v>1.3652496000000001</v>
      </c>
      <c r="CV113" s="710">
        <v>1.3859351999999998</v>
      </c>
      <c r="CW113" s="710">
        <v>1.4066208</v>
      </c>
      <c r="CX113" s="710">
        <v>1.4273064</v>
      </c>
      <c r="CY113" s="710">
        <v>1.4479919999999999</v>
      </c>
      <c r="CZ113" s="710">
        <v>1.4686775999999997</v>
      </c>
      <c r="DA113" s="710">
        <v>1.4893631999999999</v>
      </c>
      <c r="DC113" s="12">
        <f t="shared" si="125"/>
        <v>5.8974314999999999E-2</v>
      </c>
      <c r="DD113" s="12">
        <f t="shared" si="126"/>
        <v>4.4169064590781613</v>
      </c>
      <c r="DE113" s="12">
        <f t="shared" si="127"/>
        <v>7.2239999999999993</v>
      </c>
      <c r="DF113" s="12">
        <f t="shared" si="128"/>
        <v>9.5255999999999972</v>
      </c>
      <c r="DG113" s="12">
        <f t="shared" si="129"/>
        <v>10.24488</v>
      </c>
      <c r="DH113" s="12">
        <f t="shared" si="130"/>
        <v>13.318344000000005</v>
      </c>
      <c r="DI113" s="12">
        <f t="shared" si="133"/>
        <v>16.507108800000001</v>
      </c>
      <c r="DJ113" s="737"/>
      <c r="DK113" s="741"/>
      <c r="DL113" s="12"/>
    </row>
    <row r="114" spans="2:116" outlineLevel="2">
      <c r="B114" s="758"/>
      <c r="F114" s="126" t="s">
        <v>800</v>
      </c>
      <c r="I114" s="609" t="s">
        <v>736</v>
      </c>
      <c r="O114" s="710"/>
      <c r="P114" s="710"/>
      <c r="Q114" s="710"/>
      <c r="R114" s="710"/>
      <c r="S114" s="710"/>
      <c r="T114" s="710"/>
      <c r="Y114" s="710"/>
      <c r="Z114" s="710"/>
      <c r="AA114" s="713"/>
      <c r="AB114" s="713"/>
      <c r="AC114" s="713"/>
      <c r="AD114" s="713"/>
      <c r="AE114" s="713"/>
      <c r="AF114" s="713"/>
      <c r="AG114" s="713"/>
      <c r="AH114" s="710"/>
      <c r="AI114" s="710"/>
      <c r="AJ114" s="710"/>
      <c r="AK114" s="710"/>
      <c r="AL114" s="710"/>
      <c r="AM114" s="710"/>
      <c r="AN114" s="710"/>
      <c r="AO114" s="710"/>
      <c r="AP114" s="710"/>
      <c r="AQ114" s="710"/>
      <c r="AR114" s="710"/>
      <c r="AS114" s="710"/>
      <c r="AT114" s="710"/>
      <c r="AU114" s="710"/>
      <c r="AV114" s="710"/>
      <c r="AW114" s="710"/>
      <c r="AX114" s="710"/>
      <c r="AY114" s="710"/>
      <c r="AZ114" s="710"/>
      <c r="BA114" s="710"/>
      <c r="BB114" s="710"/>
      <c r="BC114" s="710"/>
      <c r="BD114" s="710"/>
      <c r="BE114" s="710"/>
      <c r="BF114" s="710"/>
      <c r="BG114" s="710"/>
      <c r="BH114" s="710"/>
      <c r="BI114" s="710"/>
      <c r="BJ114" s="710"/>
      <c r="BK114" s="710"/>
      <c r="BL114" s="710"/>
      <c r="BM114" s="710"/>
      <c r="BN114" s="710"/>
      <c r="BO114" s="710"/>
      <c r="BP114" s="710"/>
      <c r="BQ114" s="710"/>
      <c r="BR114" s="710"/>
      <c r="BS114" s="710"/>
      <c r="BT114" s="710"/>
      <c r="BU114" s="710"/>
      <c r="BV114" s="710"/>
      <c r="BW114" s="710"/>
      <c r="BX114" s="710"/>
      <c r="BY114" s="710"/>
      <c r="BZ114" s="710"/>
      <c r="CA114" s="710"/>
      <c r="CB114" s="710"/>
      <c r="CC114" s="710"/>
      <c r="CD114" s="710"/>
      <c r="CE114" s="710"/>
      <c r="CF114" s="710"/>
      <c r="CG114" s="710"/>
      <c r="CH114" s="710"/>
      <c r="CI114" s="710"/>
      <c r="CJ114" s="710"/>
      <c r="CK114" s="710"/>
      <c r="CL114" s="710"/>
      <c r="CM114" s="710"/>
      <c r="CN114" s="710"/>
      <c r="CO114" s="710"/>
      <c r="CP114" s="710"/>
      <c r="CQ114" s="710"/>
      <c r="CR114" s="710"/>
      <c r="CS114" s="710"/>
      <c r="CT114" s="710"/>
      <c r="CU114" s="710"/>
      <c r="CV114" s="710"/>
      <c r="CW114" s="710"/>
      <c r="CX114" s="710"/>
      <c r="CY114" s="710"/>
      <c r="CZ114" s="710"/>
      <c r="DA114" s="710"/>
      <c r="DC114" s="12">
        <f t="shared" si="125"/>
        <v>0</v>
      </c>
      <c r="DD114" s="12">
        <f t="shared" si="126"/>
        <v>0</v>
      </c>
      <c r="DE114" s="12">
        <f t="shared" si="127"/>
        <v>0</v>
      </c>
      <c r="DF114" s="12">
        <f t="shared" si="128"/>
        <v>0</v>
      </c>
      <c r="DG114" s="12">
        <f t="shared" si="129"/>
        <v>0</v>
      </c>
      <c r="DH114" s="12">
        <f t="shared" si="130"/>
        <v>0</v>
      </c>
      <c r="DI114" s="12">
        <f t="shared" si="133"/>
        <v>0</v>
      </c>
    </row>
    <row r="115" spans="2:116" outlineLevel="2">
      <c r="B115" s="758"/>
      <c r="F115" s="126" t="s">
        <v>223</v>
      </c>
      <c r="I115" s="609" t="s">
        <v>736</v>
      </c>
      <c r="O115" s="710"/>
      <c r="P115" s="710"/>
      <c r="Q115" s="710"/>
      <c r="R115" s="710"/>
      <c r="S115" s="710"/>
      <c r="T115" s="710"/>
      <c r="Y115" s="710"/>
      <c r="Z115" s="710"/>
      <c r="AA115" s="713"/>
      <c r="AB115" s="713"/>
      <c r="AC115" s="713"/>
      <c r="AD115" s="713"/>
      <c r="AE115" s="713"/>
      <c r="AF115" s="713"/>
      <c r="AG115" s="713"/>
      <c r="AH115" s="713"/>
      <c r="AI115" s="713"/>
      <c r="AJ115" s="713"/>
      <c r="AK115" s="710"/>
      <c r="AL115" s="710"/>
      <c r="AM115" s="710"/>
      <c r="AN115" s="710"/>
      <c r="AO115" s="710"/>
      <c r="AP115" s="710"/>
      <c r="AQ115" s="710"/>
      <c r="AR115" s="710"/>
      <c r="AS115" s="710"/>
      <c r="AT115" s="710"/>
      <c r="AU115" s="710"/>
      <c r="AV115" s="710"/>
      <c r="AW115" s="710"/>
      <c r="AX115" s="710"/>
      <c r="AY115" s="710"/>
      <c r="AZ115" s="710"/>
      <c r="BA115" s="710"/>
      <c r="BB115" s="710"/>
      <c r="BC115" s="710"/>
      <c r="BD115" s="710"/>
      <c r="BE115" s="710"/>
      <c r="BF115" s="710"/>
      <c r="BG115" s="710"/>
      <c r="BH115" s="710"/>
      <c r="BI115" s="710"/>
      <c r="BJ115" s="710"/>
      <c r="BK115" s="710"/>
      <c r="BL115" s="710"/>
      <c r="BM115" s="710"/>
      <c r="BN115" s="710"/>
      <c r="BO115" s="710"/>
      <c r="BP115" s="710"/>
      <c r="BQ115" s="710"/>
      <c r="BR115" s="710"/>
      <c r="BS115" s="710"/>
      <c r="BT115" s="710"/>
      <c r="BU115" s="710"/>
      <c r="BV115" s="710"/>
      <c r="BW115" s="710"/>
      <c r="BX115" s="710"/>
      <c r="BY115" s="710"/>
      <c r="BZ115" s="710"/>
      <c r="CA115" s="710"/>
      <c r="CB115" s="710"/>
      <c r="CC115" s="710"/>
      <c r="CD115" s="710"/>
      <c r="CE115" s="710"/>
      <c r="CF115" s="710"/>
      <c r="CG115" s="710"/>
      <c r="CH115" s="710"/>
      <c r="CI115" s="710"/>
      <c r="CJ115" s="710"/>
      <c r="CK115" s="710"/>
      <c r="CL115" s="710"/>
      <c r="CM115" s="710"/>
      <c r="CN115" s="710"/>
      <c r="CO115" s="710"/>
      <c r="CP115" s="710"/>
      <c r="CQ115" s="710"/>
      <c r="CR115" s="710"/>
      <c r="CS115" s="710"/>
      <c r="CT115" s="710"/>
      <c r="CU115" s="710"/>
      <c r="CV115" s="710"/>
      <c r="CW115" s="710"/>
      <c r="CX115" s="710"/>
      <c r="CY115" s="710"/>
      <c r="CZ115" s="710"/>
      <c r="DA115" s="710"/>
      <c r="DC115" s="12">
        <f t="shared" si="125"/>
        <v>0</v>
      </c>
      <c r="DD115" s="12">
        <f t="shared" si="126"/>
        <v>0</v>
      </c>
      <c r="DE115" s="12">
        <f t="shared" si="127"/>
        <v>0</v>
      </c>
      <c r="DF115" s="12">
        <f t="shared" si="128"/>
        <v>0</v>
      </c>
      <c r="DG115" s="12">
        <f t="shared" si="129"/>
        <v>0</v>
      </c>
      <c r="DH115" s="12">
        <f t="shared" si="130"/>
        <v>0</v>
      </c>
      <c r="DI115" s="12">
        <f t="shared" si="133"/>
        <v>0</v>
      </c>
    </row>
    <row r="116" spans="2:116" outlineLevel="2">
      <c r="B116" s="758"/>
      <c r="F116" s="126" t="s">
        <v>221</v>
      </c>
      <c r="I116" s="609" t="s">
        <v>736</v>
      </c>
      <c r="O116" s="710"/>
      <c r="P116" s="710"/>
      <c r="Q116" s="710"/>
      <c r="R116" s="710"/>
      <c r="S116" s="710"/>
      <c r="T116" s="710"/>
      <c r="Y116" s="710"/>
      <c r="Z116" s="710"/>
      <c r="AA116" s="713"/>
      <c r="AB116" s="713"/>
      <c r="AC116" s="713"/>
      <c r="AD116" s="713"/>
      <c r="AE116" s="713"/>
      <c r="AF116" s="713"/>
      <c r="AG116" s="713"/>
      <c r="AH116" s="713"/>
      <c r="AI116" s="713"/>
      <c r="AJ116" s="713"/>
      <c r="AK116" s="710"/>
      <c r="AL116" s="710"/>
      <c r="AM116" s="710"/>
      <c r="AN116" s="710"/>
      <c r="AO116" s="710"/>
      <c r="AP116" s="710"/>
      <c r="AQ116" s="710"/>
      <c r="AR116" s="710"/>
      <c r="AS116" s="710"/>
      <c r="AT116" s="710"/>
      <c r="AU116" s="710"/>
      <c r="AV116" s="710"/>
      <c r="AW116" s="710"/>
      <c r="AX116" s="710"/>
      <c r="AY116" s="710"/>
      <c r="AZ116" s="710"/>
      <c r="BA116" s="710"/>
      <c r="BB116" s="710"/>
      <c r="BC116" s="710"/>
      <c r="BD116" s="710"/>
      <c r="BE116" s="710"/>
      <c r="BF116" s="710"/>
      <c r="BG116" s="710"/>
      <c r="BH116" s="710"/>
      <c r="BI116" s="710"/>
      <c r="BJ116" s="710"/>
      <c r="BK116" s="710"/>
      <c r="BL116" s="710"/>
      <c r="BM116" s="710"/>
      <c r="BN116" s="710"/>
      <c r="BO116" s="710"/>
      <c r="BP116" s="710"/>
      <c r="BQ116" s="710"/>
      <c r="BR116" s="710"/>
      <c r="BS116" s="710"/>
      <c r="BT116" s="710"/>
      <c r="BU116" s="710"/>
      <c r="BV116" s="710"/>
      <c r="BW116" s="710"/>
      <c r="BX116" s="710"/>
      <c r="BY116" s="710"/>
      <c r="BZ116" s="710"/>
      <c r="CA116" s="710"/>
      <c r="CB116" s="710"/>
      <c r="CC116" s="710"/>
      <c r="CD116" s="710"/>
      <c r="CE116" s="710"/>
      <c r="CF116" s="710"/>
      <c r="CG116" s="710"/>
      <c r="CH116" s="710"/>
      <c r="CI116" s="710"/>
      <c r="CJ116" s="710"/>
      <c r="CK116" s="710"/>
      <c r="CL116" s="710"/>
      <c r="CM116" s="710"/>
      <c r="CN116" s="710"/>
      <c r="CO116" s="710"/>
      <c r="CP116" s="710"/>
      <c r="CQ116" s="710"/>
      <c r="CR116" s="710"/>
      <c r="CS116" s="710"/>
      <c r="CT116" s="710"/>
      <c r="CU116" s="710"/>
      <c r="CV116" s="710"/>
      <c r="CW116" s="710"/>
      <c r="CX116" s="710"/>
      <c r="CY116" s="710"/>
      <c r="CZ116" s="710"/>
      <c r="DA116" s="710"/>
      <c r="DC116" s="12">
        <f t="shared" si="125"/>
        <v>0</v>
      </c>
      <c r="DD116" s="12">
        <f t="shared" si="126"/>
        <v>0</v>
      </c>
      <c r="DE116" s="12">
        <f t="shared" si="127"/>
        <v>0</v>
      </c>
      <c r="DF116" s="12">
        <f t="shared" si="128"/>
        <v>0</v>
      </c>
      <c r="DG116" s="12">
        <f t="shared" si="129"/>
        <v>0</v>
      </c>
      <c r="DH116" s="12">
        <f t="shared" si="130"/>
        <v>0</v>
      </c>
      <c r="DI116" s="12">
        <f t="shared" si="133"/>
        <v>0</v>
      </c>
    </row>
    <row r="117" spans="2:116" outlineLevel="2">
      <c r="B117" s="758"/>
      <c r="F117" s="126" t="s">
        <v>801</v>
      </c>
      <c r="I117" s="609" t="s">
        <v>736</v>
      </c>
      <c r="O117" s="716"/>
      <c r="P117" s="716"/>
      <c r="Q117" s="716"/>
      <c r="R117" s="716"/>
      <c r="S117" s="716"/>
      <c r="T117" s="716"/>
      <c r="Y117" s="716"/>
      <c r="Z117" s="716"/>
      <c r="AA117" s="712"/>
      <c r="AB117" s="712"/>
      <c r="AC117" s="712"/>
      <c r="AD117" s="712"/>
      <c r="AE117" s="712"/>
      <c r="AF117" s="712"/>
      <c r="AG117" s="712"/>
      <c r="AH117" s="712"/>
      <c r="AI117" s="712"/>
      <c r="AJ117" s="712"/>
      <c r="AK117" s="716"/>
      <c r="AL117" s="716"/>
      <c r="AM117" s="716"/>
      <c r="AN117" s="716"/>
      <c r="AO117" s="716"/>
      <c r="AP117" s="716"/>
      <c r="AQ117" s="716"/>
      <c r="AR117" s="716"/>
      <c r="AS117" s="716"/>
      <c r="AT117" s="739">
        <v>6.1273876404683847E-2</v>
      </c>
      <c r="AU117" s="710">
        <v>7.4197419798593955E-2</v>
      </c>
      <c r="AV117" s="710">
        <v>9.2128484274638822E-2</v>
      </c>
      <c r="AW117" s="710">
        <v>0.11159375536732341</v>
      </c>
      <c r="AX117" s="710">
        <v>0.13467144542939025</v>
      </c>
      <c r="AY117" s="710">
        <v>0.15539337246102036</v>
      </c>
      <c r="AZ117" s="710">
        <v>0.17512190820909268</v>
      </c>
      <c r="BA117" s="710">
        <v>0.20719768383776227</v>
      </c>
      <c r="BB117" s="710">
        <v>0.22778318277568133</v>
      </c>
      <c r="BC117" s="710">
        <v>0.2372973050352698</v>
      </c>
      <c r="BD117" s="710">
        <v>0.2372723628274116</v>
      </c>
      <c r="BE117" s="710">
        <v>0.23676963611893598</v>
      </c>
      <c r="BF117" s="710">
        <v>0.23746209991148248</v>
      </c>
      <c r="BG117" s="710">
        <v>0.23979162423722755</v>
      </c>
      <c r="BH117" s="710">
        <v>0.24343592992056529</v>
      </c>
      <c r="BI117" s="710">
        <v>0.24798804929429252</v>
      </c>
      <c r="BJ117" s="710">
        <v>0.25304264056978809</v>
      </c>
      <c r="BK117" s="710">
        <v>0.2583397924316273</v>
      </c>
      <c r="BL117" s="710">
        <v>0.26317101700615808</v>
      </c>
      <c r="BM117" s="710">
        <v>0.27535388499228475</v>
      </c>
      <c r="BN117" s="710">
        <v>0.29088191242351513</v>
      </c>
      <c r="BO117" s="710">
        <v>0.30672651512685434</v>
      </c>
      <c r="BP117" s="710">
        <v>0.31973041699490068</v>
      </c>
      <c r="BQ117" s="710">
        <v>0.32978050996774755</v>
      </c>
      <c r="BR117" s="710">
        <v>0.33699302970217104</v>
      </c>
      <c r="BS117" s="710">
        <v>0.34168778891273632</v>
      </c>
      <c r="BT117" s="710">
        <v>0.34421531482485079</v>
      </c>
      <c r="BU117" s="710">
        <v>0.34489566458751142</v>
      </c>
      <c r="BV117" s="710">
        <v>0.34402525187726951</v>
      </c>
      <c r="BW117" s="710">
        <v>0.34188718482141667</v>
      </c>
      <c r="BX117" s="710">
        <v>0.33875918905920344</v>
      </c>
      <c r="BY117" s="710">
        <v>0.33492168545524237</v>
      </c>
      <c r="BZ117" s="710">
        <v>0.33160691882432047</v>
      </c>
      <c r="CA117" s="710">
        <v>0.32962834642978578</v>
      </c>
      <c r="CB117" s="710">
        <v>0.32927971405536027</v>
      </c>
      <c r="CC117" s="710">
        <v>0.33042667656570757</v>
      </c>
      <c r="CD117" s="710">
        <v>0.33290356504960528</v>
      </c>
      <c r="CE117" s="710">
        <v>0.33655744759403206</v>
      </c>
      <c r="CF117" s="710">
        <v>0.34124419096963265</v>
      </c>
      <c r="CG117" s="710">
        <v>0.34682607257400377</v>
      </c>
      <c r="CH117" s="710">
        <v>0.35316971168612099</v>
      </c>
      <c r="CI117" s="710">
        <v>0.36014210514150591</v>
      </c>
      <c r="CJ117" s="710">
        <v>0.36760806273616708</v>
      </c>
      <c r="CK117" s="710">
        <v>0.37542909085328802</v>
      </c>
      <c r="CL117" s="710">
        <v>0.38364243946745091</v>
      </c>
      <c r="CM117" s="710">
        <v>0.39220254662950538</v>
      </c>
      <c r="CN117" s="710">
        <v>0.40107450071917583</v>
      </c>
      <c r="CO117" s="710">
        <v>0.41021114232228229</v>
      </c>
      <c r="CP117" s="710">
        <v>0.41959131552852114</v>
      </c>
      <c r="CQ117" s="710">
        <v>0.42919215709093805</v>
      </c>
      <c r="CR117" s="710">
        <v>0.43898986661588424</v>
      </c>
      <c r="CS117" s="710">
        <v>0.44895998825381866</v>
      </c>
      <c r="CT117" s="710">
        <v>0.45907766161735708</v>
      </c>
      <c r="CU117" s="710">
        <v>0.46931745844995021</v>
      </c>
      <c r="CV117" s="710">
        <v>0.47965341664905736</v>
      </c>
      <c r="CW117" s="710">
        <v>0.490059045029966</v>
      </c>
      <c r="CX117" s="710">
        <v>0.50040387658009422</v>
      </c>
      <c r="CY117" s="710">
        <v>0.51271645849976721</v>
      </c>
      <c r="CZ117" s="710">
        <v>0.52837539350468887</v>
      </c>
      <c r="DA117" s="710">
        <v>0.54815737227988848</v>
      </c>
      <c r="DC117" s="758">
        <f t="shared" si="125"/>
        <v>0</v>
      </c>
      <c r="DD117" s="758">
        <f t="shared" si="126"/>
        <v>0</v>
      </c>
      <c r="DE117" s="758">
        <f t="shared" si="127"/>
        <v>1.9507004325398043</v>
      </c>
      <c r="DF117" s="758">
        <f t="shared" si="128"/>
        <v>3.2657043928764438</v>
      </c>
      <c r="DG117" s="758">
        <f t="shared" si="129"/>
        <v>4.0483267651155757</v>
      </c>
      <c r="DH117" s="758">
        <f t="shared" si="130"/>
        <v>4.4010108757427702</v>
      </c>
      <c r="DI117" s="758">
        <f t="shared" si="133"/>
        <v>5.7244940100999315</v>
      </c>
    </row>
    <row r="118" spans="2:116" outlineLevel="2">
      <c r="B118" s="758"/>
      <c r="F118" s="126" t="s">
        <v>802</v>
      </c>
      <c r="I118" s="609" t="s">
        <v>736</v>
      </c>
      <c r="O118" s="710"/>
      <c r="P118" s="710"/>
      <c r="Q118" s="710"/>
      <c r="R118" s="710"/>
      <c r="S118" s="710"/>
      <c r="T118" s="710"/>
      <c r="Y118" s="710"/>
      <c r="Z118" s="710"/>
      <c r="AA118" s="713"/>
      <c r="AB118" s="713"/>
      <c r="AC118" s="713"/>
      <c r="AD118" s="713"/>
      <c r="AE118" s="713"/>
      <c r="AF118" s="713"/>
      <c r="AG118" s="713"/>
      <c r="AH118" s="713"/>
      <c r="AI118" s="713"/>
      <c r="AJ118" s="713"/>
      <c r="AK118" s="710"/>
      <c r="AL118" s="710"/>
      <c r="AM118" s="710"/>
      <c r="AN118" s="710"/>
      <c r="AO118" s="710"/>
      <c r="AP118" s="710"/>
      <c r="AQ118" s="710"/>
      <c r="AR118" s="710"/>
      <c r="AS118" s="710"/>
      <c r="AT118" s="710"/>
      <c r="AU118" s="710"/>
      <c r="AV118" s="710"/>
      <c r="AW118" s="710"/>
      <c r="AX118" s="710"/>
      <c r="AY118" s="710"/>
      <c r="AZ118" s="710"/>
      <c r="BA118" s="710"/>
      <c r="BB118" s="710"/>
      <c r="BC118" s="710"/>
      <c r="BD118" s="710"/>
      <c r="BE118" s="710"/>
      <c r="BF118" s="710"/>
      <c r="BG118" s="710"/>
      <c r="BH118" s="710"/>
      <c r="BI118" s="710"/>
      <c r="BJ118" s="710"/>
      <c r="BK118" s="710"/>
      <c r="BL118" s="710"/>
      <c r="BM118" s="710"/>
      <c r="BN118" s="710"/>
      <c r="BO118" s="710"/>
      <c r="BP118" s="710"/>
      <c r="BQ118" s="710"/>
      <c r="BR118" s="710"/>
      <c r="BS118" s="710"/>
      <c r="BT118" s="710"/>
      <c r="BU118" s="710"/>
      <c r="BV118" s="710"/>
      <c r="BW118" s="710"/>
      <c r="BX118" s="710"/>
      <c r="BY118" s="710"/>
      <c r="BZ118" s="710"/>
      <c r="CA118" s="710"/>
      <c r="CB118" s="710"/>
      <c r="CC118" s="710"/>
      <c r="CD118" s="710"/>
      <c r="CE118" s="710"/>
      <c r="CF118" s="710"/>
      <c r="CG118" s="710"/>
      <c r="CH118" s="710"/>
      <c r="CI118" s="710"/>
      <c r="CJ118" s="710"/>
      <c r="CK118" s="710"/>
      <c r="CL118" s="710"/>
      <c r="CM118" s="710"/>
      <c r="CN118" s="710"/>
      <c r="CO118" s="710"/>
      <c r="CP118" s="710"/>
      <c r="CQ118" s="710"/>
      <c r="CR118" s="710"/>
      <c r="CS118" s="710"/>
      <c r="CT118" s="710"/>
      <c r="CU118" s="710"/>
      <c r="CV118" s="710"/>
      <c r="CW118" s="710"/>
      <c r="CX118" s="710"/>
      <c r="CY118" s="710"/>
      <c r="CZ118" s="710"/>
      <c r="DA118" s="710"/>
      <c r="DC118" s="12">
        <f t="shared" si="125"/>
        <v>0</v>
      </c>
      <c r="DD118" s="12">
        <f t="shared" si="126"/>
        <v>0</v>
      </c>
      <c r="DE118" s="12">
        <f t="shared" si="127"/>
        <v>0</v>
      </c>
      <c r="DF118" s="12">
        <f t="shared" si="128"/>
        <v>0</v>
      </c>
      <c r="DG118" s="12">
        <f t="shared" si="129"/>
        <v>0</v>
      </c>
      <c r="DH118" s="12">
        <f t="shared" si="130"/>
        <v>0</v>
      </c>
      <c r="DI118" s="12">
        <f t="shared" si="133"/>
        <v>0</v>
      </c>
    </row>
    <row r="119" spans="2:116" outlineLevel="2">
      <c r="B119" s="758"/>
      <c r="F119" s="126" t="s">
        <v>222</v>
      </c>
      <c r="I119" s="609" t="s">
        <v>736</v>
      </c>
      <c r="O119" s="710"/>
      <c r="P119" s="710"/>
      <c r="Q119" s="710"/>
      <c r="R119" s="710"/>
      <c r="S119" s="710"/>
      <c r="T119" s="710"/>
      <c r="Y119" s="710"/>
      <c r="Z119" s="710"/>
      <c r="AA119" s="713"/>
      <c r="AB119" s="713"/>
      <c r="AC119" s="713"/>
      <c r="AD119" s="713"/>
      <c r="AE119" s="713"/>
      <c r="AF119" s="713"/>
      <c r="AG119" s="713"/>
      <c r="AH119" s="713"/>
      <c r="AI119" s="713"/>
      <c r="AJ119" s="713"/>
      <c r="AK119" s="710"/>
      <c r="AL119" s="710"/>
      <c r="AM119" s="710"/>
      <c r="AN119" s="710"/>
      <c r="AO119" s="710"/>
      <c r="AP119" s="710"/>
      <c r="AQ119" s="710"/>
      <c r="AR119" s="710"/>
      <c r="AS119" s="710"/>
      <c r="AT119" s="710"/>
      <c r="AU119" s="710"/>
      <c r="AV119" s="710"/>
      <c r="AW119" s="710"/>
      <c r="AX119" s="710"/>
      <c r="AY119" s="710"/>
      <c r="AZ119" s="710"/>
      <c r="BA119" s="710"/>
      <c r="BB119" s="710"/>
      <c r="BC119" s="710"/>
      <c r="BD119" s="710"/>
      <c r="BE119" s="710"/>
      <c r="BF119" s="710"/>
      <c r="BG119" s="710"/>
      <c r="BH119" s="710"/>
      <c r="BI119" s="710"/>
      <c r="BJ119" s="710"/>
      <c r="BK119" s="710"/>
      <c r="BL119" s="710"/>
      <c r="BM119" s="710"/>
      <c r="BN119" s="710"/>
      <c r="BO119" s="710"/>
      <c r="BP119" s="710"/>
      <c r="BQ119" s="710"/>
      <c r="BR119" s="710"/>
      <c r="BS119" s="710"/>
      <c r="BT119" s="710"/>
      <c r="BU119" s="710"/>
      <c r="BV119" s="710"/>
      <c r="BW119" s="710"/>
      <c r="BX119" s="710"/>
      <c r="BY119" s="710"/>
      <c r="BZ119" s="710"/>
      <c r="CA119" s="710"/>
      <c r="CB119" s="710"/>
      <c r="CC119" s="710"/>
      <c r="CD119" s="710"/>
      <c r="CE119" s="710"/>
      <c r="CF119" s="710"/>
      <c r="CG119" s="710"/>
      <c r="CH119" s="710"/>
      <c r="CI119" s="710"/>
      <c r="CJ119" s="710"/>
      <c r="CK119" s="710"/>
      <c r="CL119" s="710"/>
      <c r="CM119" s="710"/>
      <c r="CN119" s="710"/>
      <c r="CO119" s="710"/>
      <c r="CP119" s="710"/>
      <c r="CQ119" s="710"/>
      <c r="CR119" s="710"/>
      <c r="CS119" s="710"/>
      <c r="CT119" s="710"/>
      <c r="CU119" s="710"/>
      <c r="CV119" s="710"/>
      <c r="CW119" s="710"/>
      <c r="CX119" s="710"/>
      <c r="CY119" s="710"/>
      <c r="CZ119" s="710"/>
      <c r="DA119" s="710"/>
      <c r="DC119" s="12">
        <f t="shared" si="125"/>
        <v>0</v>
      </c>
      <c r="DD119" s="12">
        <f t="shared" si="126"/>
        <v>0</v>
      </c>
      <c r="DE119" s="12">
        <f t="shared" si="127"/>
        <v>0</v>
      </c>
      <c r="DF119" s="12">
        <f t="shared" si="128"/>
        <v>0</v>
      </c>
      <c r="DG119" s="12">
        <f t="shared" si="129"/>
        <v>0</v>
      </c>
      <c r="DH119" s="12">
        <f t="shared" si="130"/>
        <v>0</v>
      </c>
      <c r="DI119" s="12">
        <f t="shared" si="133"/>
        <v>0</v>
      </c>
    </row>
    <row r="120" spans="2:116" ht="15" outlineLevel="2">
      <c r="B120" s="758"/>
      <c r="E120" s="720" t="s">
        <v>621</v>
      </c>
      <c r="I120" s="609" t="s">
        <v>736</v>
      </c>
      <c r="N120" s="710"/>
      <c r="O120" s="710"/>
      <c r="P120" s="710"/>
      <c r="Q120" s="710"/>
      <c r="R120" s="710"/>
      <c r="S120" s="710"/>
      <c r="T120" s="710"/>
      <c r="Y120" s="710"/>
      <c r="Z120" s="710"/>
      <c r="AA120" s="893">
        <v>0</v>
      </c>
      <c r="AB120" s="893">
        <v>-1.26E-4</v>
      </c>
      <c r="AC120" s="893">
        <v>-0.48209249500000001</v>
      </c>
      <c r="AD120" s="893">
        <v>-0.79944912599999995</v>
      </c>
      <c r="AE120" s="893">
        <v>-1.1535793640000001</v>
      </c>
      <c r="AF120" s="893">
        <v>-1.1945738699999999</v>
      </c>
      <c r="AG120" s="893">
        <v>-2.0585056670000004</v>
      </c>
      <c r="AH120" s="893">
        <v>-2.2282908830000001</v>
      </c>
      <c r="AI120" s="893">
        <v>-2.9558034279999998</v>
      </c>
      <c r="AJ120" s="893">
        <v>-3.2753034400000001</v>
      </c>
      <c r="AK120" s="893">
        <v>-5.074965722</v>
      </c>
      <c r="AL120" s="893">
        <v>-5.4437519889999999</v>
      </c>
      <c r="AM120" s="893">
        <v>-6.3090017100000004</v>
      </c>
      <c r="AN120" s="893">
        <v>-11.960181511999998</v>
      </c>
      <c r="AO120" s="893">
        <v>-10.249254538000001</v>
      </c>
      <c r="AP120" s="893">
        <v>-11.804233521</v>
      </c>
      <c r="AQ120" s="714">
        <v>-20.556262622108953</v>
      </c>
      <c r="AR120" s="714">
        <v>-14.054111966142273</v>
      </c>
      <c r="AS120" s="714">
        <v>-16.388642052985251</v>
      </c>
      <c r="AT120" s="714">
        <v>-47.239751319003012</v>
      </c>
      <c r="AU120" s="714">
        <v>-21.815733978674515</v>
      </c>
      <c r="AV120" s="714">
        <v>-25.624378851213404</v>
      </c>
      <c r="AW120" s="714">
        <v>-30.389299646630644</v>
      </c>
      <c r="AX120" s="714">
        <v>-34.12740259655061</v>
      </c>
      <c r="AY120" s="714">
        <v>-37.048832342597777</v>
      </c>
      <c r="AZ120" s="714">
        <v>-41.594533358228048</v>
      </c>
      <c r="BA120" s="714">
        <v>-46.351697541238217</v>
      </c>
      <c r="BB120" s="714">
        <v>-47.071801472606118</v>
      </c>
      <c r="BC120" s="714">
        <v>-47.153482524552459</v>
      </c>
      <c r="BD120" s="714">
        <v>-47.205356250920794</v>
      </c>
      <c r="BE120" s="714">
        <v>-47.606409035229383</v>
      </c>
      <c r="BF120" s="714">
        <v>-48.319869756329304</v>
      </c>
      <c r="BG120" s="714">
        <v>-49.054178195137304</v>
      </c>
      <c r="BH120" s="714">
        <v>-49.824160261907842</v>
      </c>
      <c r="BI120" s="714">
        <v>-51.068106042812211</v>
      </c>
      <c r="BJ120" s="714">
        <v>-52.237097842041457</v>
      </c>
      <c r="BK120" s="714">
        <v>-53.282317883423666</v>
      </c>
      <c r="BL120" s="714">
        <v>-55.016779007977846</v>
      </c>
      <c r="BM120" s="714">
        <v>-57.935130904882321</v>
      </c>
      <c r="BN120" s="714">
        <v>-60.347365391017028</v>
      </c>
      <c r="BO120" s="714">
        <v>-62.302266004043766</v>
      </c>
      <c r="BP120" s="714">
        <v>-63.744503241222752</v>
      </c>
      <c r="BQ120" s="714">
        <v>-64.711466447122632</v>
      </c>
      <c r="BR120" s="714">
        <v>-65.404817546204129</v>
      </c>
      <c r="BS120" s="714">
        <v>-65.784383219261855</v>
      </c>
      <c r="BT120" s="714">
        <v>-65.872352329246553</v>
      </c>
      <c r="BU120" s="714">
        <v>-65.718041963094066</v>
      </c>
      <c r="BV120" s="714">
        <v>-65.425422113748255</v>
      </c>
      <c r="BW120" s="714">
        <v>-65.037128421240382</v>
      </c>
      <c r="BX120" s="714">
        <v>-64.588586759778167</v>
      </c>
      <c r="BY120" s="714">
        <v>-64.225591425938717</v>
      </c>
      <c r="BZ120" s="714">
        <v>-64.153241019303351</v>
      </c>
      <c r="CA120" s="714">
        <v>-64.36245964103108</v>
      </c>
      <c r="CB120" s="714">
        <v>-64.819789177197606</v>
      </c>
      <c r="CC120" s="714">
        <v>-65.494713724142343</v>
      </c>
      <c r="CD120" s="714">
        <v>-66.382285773632717</v>
      </c>
      <c r="CE120" s="714">
        <v>-67.435928018585173</v>
      </c>
      <c r="CF120" s="714">
        <v>-68.636692396918633</v>
      </c>
      <c r="CG120" s="714">
        <v>-69.961120911043949</v>
      </c>
      <c r="CH120" s="714">
        <v>-71.395146861238018</v>
      </c>
      <c r="CI120" s="714">
        <v>-72.912404548568787</v>
      </c>
      <c r="CJ120" s="714">
        <v>-74.491035340976509</v>
      </c>
      <c r="CK120" s="714">
        <v>-76.129090617009354</v>
      </c>
      <c r="CL120" s="714">
        <v>-77.835119083683836</v>
      </c>
      <c r="CM120" s="714">
        <v>-79.589533559042152</v>
      </c>
      <c r="CN120" s="714">
        <v>-81.388498715580809</v>
      </c>
      <c r="CO120" s="714">
        <v>-83.227661113862624</v>
      </c>
      <c r="CP120" s="714">
        <v>-85.088745789733821</v>
      </c>
      <c r="CQ120" s="714">
        <v>-87.258366884195141</v>
      </c>
      <c r="CR120" s="714">
        <v>-89.541772657522316</v>
      </c>
      <c r="CS120" s="714">
        <v>-91.907772401973304</v>
      </c>
      <c r="CT120" s="714">
        <v>-94.347609749851827</v>
      </c>
      <c r="CU120" s="714">
        <v>-96.983729959744494</v>
      </c>
      <c r="CV120" s="714">
        <v>-99.815097088323441</v>
      </c>
      <c r="CW120" s="714">
        <v>-102.83254278127637</v>
      </c>
      <c r="CX120" s="714">
        <v>-106.26424918974666</v>
      </c>
      <c r="CY120" s="714">
        <v>-110.51939398205906</v>
      </c>
      <c r="CZ120" s="714">
        <v>-115.6177334274246</v>
      </c>
      <c r="DA120" s="714">
        <v>-121.59116503531116</v>
      </c>
      <c r="DC120" s="12">
        <f>SUM(V120:AG120)</f>
        <v>-5.6883265220000006</v>
      </c>
      <c r="DD120" s="12">
        <f>SUM(AH120:AS120)</f>
        <v>-110.29980338423648</v>
      </c>
      <c r="DE120" s="12">
        <f>SUM(AT120:BE120)</f>
        <v>-473.228678917445</v>
      </c>
      <c r="DF120" s="12">
        <f>SUM(BF120:BQ120)</f>
        <v>-667.84324097791819</v>
      </c>
      <c r="DG120" s="12">
        <f>SUM(BR120:CC120)</f>
        <v>-780.88652734018649</v>
      </c>
      <c r="DH120" s="12">
        <f>SUM(CD120:CO120)</f>
        <v>-889.38451694014248</v>
      </c>
      <c r="DI120" s="12">
        <f t="shared" si="133"/>
        <v>-1201.7681789471621</v>
      </c>
    </row>
    <row r="121" spans="2:116" s="856" customFormat="1" outlineLevel="2">
      <c r="B121" s="758"/>
      <c r="E121" s="856" t="s">
        <v>701</v>
      </c>
      <c r="H121" s="857"/>
      <c r="I121" s="609" t="s">
        <v>736</v>
      </c>
      <c r="J121" s="857"/>
      <c r="K121" s="857"/>
      <c r="L121" s="857"/>
      <c r="M121" s="857"/>
      <c r="O121" s="696"/>
      <c r="P121" s="696"/>
      <c r="Q121" s="696"/>
      <c r="R121" s="696"/>
      <c r="S121" s="696"/>
      <c r="T121" s="696"/>
      <c r="Y121" s="696"/>
      <c r="Z121" s="696"/>
      <c r="AA121" s="696">
        <f t="shared" ref="AA121:CL121" si="140">SUM(AA122:AA130)</f>
        <v>-1.15615E-4</v>
      </c>
      <c r="AB121" s="696">
        <f t="shared" si="140"/>
        <v>-0.7814661393949538</v>
      </c>
      <c r="AC121" s="696">
        <f t="shared" si="140"/>
        <v>-1.0426181279411997</v>
      </c>
      <c r="AD121" s="696">
        <f t="shared" si="140"/>
        <v>-1.6316644779895952</v>
      </c>
      <c r="AE121" s="696">
        <f t="shared" si="140"/>
        <v>-2.2119229488154124</v>
      </c>
      <c r="AF121" s="696">
        <f t="shared" si="140"/>
        <v>-2.13521879195515</v>
      </c>
      <c r="AG121" s="696">
        <f t="shared" si="140"/>
        <v>-0.35264001961242597</v>
      </c>
      <c r="AH121" s="696">
        <f t="shared" si="140"/>
        <v>-2.2160565632698832</v>
      </c>
      <c r="AI121" s="696">
        <f t="shared" si="140"/>
        <v>-2.1011658077659501</v>
      </c>
      <c r="AJ121" s="696">
        <f t="shared" si="140"/>
        <v>-5.8241470125096821</v>
      </c>
      <c r="AK121" s="696">
        <f t="shared" si="140"/>
        <v>-7.4964379029220556</v>
      </c>
      <c r="AL121" s="696">
        <f t="shared" si="140"/>
        <v>-8.4872770211244486</v>
      </c>
      <c r="AM121" s="696">
        <f t="shared" si="140"/>
        <v>-6.411894464874031</v>
      </c>
      <c r="AN121" s="696">
        <f t="shared" si="140"/>
        <v>-6.3968341593075015</v>
      </c>
      <c r="AO121" s="696">
        <f t="shared" si="140"/>
        <v>-8.7766024785728778</v>
      </c>
      <c r="AP121" s="696">
        <f t="shared" si="140"/>
        <v>-13.452501258134003</v>
      </c>
      <c r="AQ121" s="696">
        <f t="shared" si="140"/>
        <v>-18.045866753251644</v>
      </c>
      <c r="AR121" s="696">
        <f t="shared" si="140"/>
        <v>-19.394462437756957</v>
      </c>
      <c r="AS121" s="696">
        <f t="shared" si="140"/>
        <v>-21.010599318350614</v>
      </c>
      <c r="AT121" s="696">
        <f t="shared" si="140"/>
        <v>-20.357228370182828</v>
      </c>
      <c r="AU121" s="696">
        <f t="shared" si="140"/>
        <v>-18.172835116103329</v>
      </c>
      <c r="AV121" s="696">
        <f t="shared" si="140"/>
        <v>-18.092588821986467</v>
      </c>
      <c r="AW121" s="696">
        <f t="shared" si="140"/>
        <v>-17.510561840389062</v>
      </c>
      <c r="AX121" s="696">
        <f t="shared" si="140"/>
        <v>-17.971323261282432</v>
      </c>
      <c r="AY121" s="696">
        <f t="shared" si="140"/>
        <v>-18.564637753260325</v>
      </c>
      <c r="AZ121" s="696">
        <f t="shared" si="140"/>
        <v>-17.219689190413543</v>
      </c>
      <c r="BA121" s="696">
        <f t="shared" si="140"/>
        <v>-19.672885233625479</v>
      </c>
      <c r="BB121" s="696">
        <f t="shared" si="140"/>
        <v>-22.601021098411959</v>
      </c>
      <c r="BC121" s="696">
        <f t="shared" si="140"/>
        <v>-25.763313484299058</v>
      </c>
      <c r="BD121" s="696">
        <f t="shared" si="140"/>
        <v>-28.854766039678807</v>
      </c>
      <c r="BE121" s="696">
        <f t="shared" si="140"/>
        <v>-32.012227965816393</v>
      </c>
      <c r="BF121" s="696">
        <f t="shared" si="140"/>
        <v>-36.630201248723125</v>
      </c>
      <c r="BG121" s="696">
        <f t="shared" si="140"/>
        <v>-36.846867960958456</v>
      </c>
      <c r="BH121" s="696">
        <f t="shared" si="140"/>
        <v>-38.040073862548617</v>
      </c>
      <c r="BI121" s="696">
        <f t="shared" si="140"/>
        <v>-38.770535679951841</v>
      </c>
      <c r="BJ121" s="696">
        <f t="shared" si="140"/>
        <v>-39.091910757116928</v>
      </c>
      <c r="BK121" s="696">
        <f t="shared" si="140"/>
        <v>-39.160761170530485</v>
      </c>
      <c r="BL121" s="696">
        <f t="shared" si="140"/>
        <v>-37.646199388081548</v>
      </c>
      <c r="BM121" s="696">
        <f t="shared" si="140"/>
        <v>-36.183793824638528</v>
      </c>
      <c r="BN121" s="696">
        <f t="shared" si="140"/>
        <v>-34.717470519562568</v>
      </c>
      <c r="BO121" s="696">
        <f t="shared" si="140"/>
        <v>-33.339407160287827</v>
      </c>
      <c r="BP121" s="696">
        <f t="shared" si="140"/>
        <v>-32.083167756617406</v>
      </c>
      <c r="BQ121" s="696">
        <f t="shared" si="140"/>
        <v>-30.943172672685446</v>
      </c>
      <c r="BR121" s="696">
        <f t="shared" si="140"/>
        <v>-31.113369410336311</v>
      </c>
      <c r="BS121" s="696">
        <f t="shared" si="140"/>
        <v>-31.119523225879774</v>
      </c>
      <c r="BT121" s="696">
        <f t="shared" si="140"/>
        <v>-31.486586030490638</v>
      </c>
      <c r="BU121" s="696">
        <f t="shared" si="140"/>
        <v>-32.165186143811567</v>
      </c>
      <c r="BV121" s="696">
        <f t="shared" si="140"/>
        <v>-33.108270612611804</v>
      </c>
      <c r="BW121" s="696">
        <f t="shared" si="140"/>
        <v>-34.270707774840183</v>
      </c>
      <c r="BX121" s="696">
        <f t="shared" si="140"/>
        <v>-35.608676508229422</v>
      </c>
      <c r="BY121" s="696">
        <f t="shared" si="140"/>
        <v>-36.921268393170749</v>
      </c>
      <c r="BZ121" s="696">
        <f t="shared" si="140"/>
        <v>-38.189083957913553</v>
      </c>
      <c r="CA121" s="696">
        <f t="shared" si="140"/>
        <v>-39.412719431371706</v>
      </c>
      <c r="CB121" s="696">
        <f t="shared" si="140"/>
        <v>-40.589566580411407</v>
      </c>
      <c r="CC121" s="696">
        <f t="shared" si="140"/>
        <v>-41.715028043094733</v>
      </c>
      <c r="CD121" s="696">
        <f t="shared" si="140"/>
        <v>-43.445746913483617</v>
      </c>
      <c r="CE121" s="696">
        <f t="shared" si="140"/>
        <v>-44.574627607445564</v>
      </c>
      <c r="CF121" s="696">
        <f t="shared" si="140"/>
        <v>-45.673660739761004</v>
      </c>
      <c r="CG121" s="696">
        <f t="shared" si="140"/>
        <v>-46.751412444072884</v>
      </c>
      <c r="CH121" s="696">
        <f t="shared" si="140"/>
        <v>-47.81636799967486</v>
      </c>
      <c r="CI121" s="696">
        <f t="shared" si="140"/>
        <v>-48.877008666407178</v>
      </c>
      <c r="CJ121" s="696">
        <f t="shared" si="140"/>
        <v>-49.941845987983839</v>
      </c>
      <c r="CK121" s="696">
        <f t="shared" si="140"/>
        <v>-50.989605712469647</v>
      </c>
      <c r="CL121" s="696">
        <f t="shared" si="140"/>
        <v>-52.0331915059691</v>
      </c>
      <c r="CM121" s="696">
        <f>SUM(CM122:CM130)</f>
        <v>-53.070549471429516</v>
      </c>
      <c r="CN121" s="696">
        <f>SUM(CN122:CN130)</f>
        <v>-54.100143723492081</v>
      </c>
      <c r="CO121" s="696">
        <f>SUM(CO122:CO130)</f>
        <v>-55.120469699225481</v>
      </c>
      <c r="CP121" s="696">
        <f t="shared" ref="CP121:CX121" si="141">SUM(CP122:CP130)</f>
        <v>-56.410116586235361</v>
      </c>
      <c r="CQ121" s="696">
        <f t="shared" si="141"/>
        <v>-57.647672768645066</v>
      </c>
      <c r="CR121" s="696">
        <f t="shared" si="141"/>
        <v>-59.397277554938825</v>
      </c>
      <c r="CS121" s="696">
        <f t="shared" si="141"/>
        <v>-61.671372926237773</v>
      </c>
      <c r="CT121" s="696">
        <f t="shared" si="141"/>
        <v>-64.48712820260414</v>
      </c>
      <c r="CU121" s="696">
        <f t="shared" si="141"/>
        <v>-67.865425356638582</v>
      </c>
      <c r="CV121" s="696">
        <f t="shared" si="141"/>
        <v>-71.830082125303491</v>
      </c>
      <c r="CW121" s="696">
        <f t="shared" si="141"/>
        <v>-76.424558287225906</v>
      </c>
      <c r="CX121" s="696">
        <f t="shared" si="141"/>
        <v>-81.322279165843383</v>
      </c>
      <c r="CY121" s="696">
        <f>SUM(CY122:CY130)</f>
        <v>-86.559423194577207</v>
      </c>
      <c r="CZ121" s="696">
        <f>SUM(CZ122:CZ130)</f>
        <v>-92.158459832994808</v>
      </c>
      <c r="DA121" s="696">
        <f>SUM(DA122:DA130)</f>
        <v>-98.139505928341549</v>
      </c>
      <c r="DC121" s="14">
        <f>SUM(V121:AG121)</f>
        <v>-8.1556461207087381</v>
      </c>
      <c r="DD121" s="14">
        <f t="shared" si="126"/>
        <v>-119.61384517783965</v>
      </c>
      <c r="DE121" s="14">
        <f t="shared" si="127"/>
        <v>-256.79307817544969</v>
      </c>
      <c r="DF121" s="14">
        <f t="shared" si="128"/>
        <v>-433.45356200170278</v>
      </c>
      <c r="DG121" s="14">
        <f t="shared" si="129"/>
        <v>-425.69998611216192</v>
      </c>
      <c r="DH121" s="14">
        <f t="shared" si="130"/>
        <v>-592.39463047141476</v>
      </c>
      <c r="DI121" s="14">
        <f t="shared" si="133"/>
        <v>-873.91330192958617</v>
      </c>
    </row>
    <row r="122" spans="2:116" outlineLevel="2">
      <c r="B122" s="758"/>
      <c r="F122" s="126" t="s">
        <v>100</v>
      </c>
      <c r="I122" s="609" t="s">
        <v>736</v>
      </c>
      <c r="O122" s="710"/>
      <c r="P122" s="710"/>
      <c r="Q122" s="710"/>
      <c r="R122" s="710"/>
      <c r="S122" s="710"/>
      <c r="T122" s="710"/>
      <c r="Y122" s="710"/>
      <c r="Z122" s="710"/>
      <c r="AA122" s="710">
        <v>0</v>
      </c>
      <c r="AB122" s="879">
        <v>-7.5431831894953796E-2</v>
      </c>
      <c r="AC122" s="879">
        <v>-0.106128964265677</v>
      </c>
      <c r="AD122" s="879">
        <v>-0.15815280400000001</v>
      </c>
      <c r="AE122" s="879">
        <v>-0.183422479</v>
      </c>
      <c r="AF122" s="879">
        <v>-0.17799827600000001</v>
      </c>
      <c r="AG122" s="713">
        <v>-0.26000848199999999</v>
      </c>
      <c r="AH122" s="712">
        <v>-0.30415426000000001</v>
      </c>
      <c r="AI122" s="712">
        <v>-0.16793362399999998</v>
      </c>
      <c r="AJ122" s="712">
        <v>-0.153173275</v>
      </c>
      <c r="AK122" s="712">
        <v>-0.27028082608841048</v>
      </c>
      <c r="AL122" s="712">
        <v>-0.25189544787411572</v>
      </c>
      <c r="AM122" s="712">
        <v>-0.30537859507292964</v>
      </c>
      <c r="AN122" s="712">
        <v>-0.28838232133072389</v>
      </c>
      <c r="AO122" s="712">
        <v>-0.35709478643437986</v>
      </c>
      <c r="AP122" s="712">
        <v>-0.50820814599410813</v>
      </c>
      <c r="AQ122" s="710">
        <v>-0.83133399999999991</v>
      </c>
      <c r="AR122" s="710">
        <v>-0.67760145723526688</v>
      </c>
      <c r="AS122" s="710">
        <v>-0.74536160295879383</v>
      </c>
      <c r="AT122" s="710">
        <v>-0.51200000000000001</v>
      </c>
      <c r="AU122" s="710">
        <v>-0.48</v>
      </c>
      <c r="AV122" s="710">
        <v>-0.57599999999999996</v>
      </c>
      <c r="AW122" s="710">
        <v>-0.64000000000000012</v>
      </c>
      <c r="AX122" s="710">
        <v>-0.70400000000000007</v>
      </c>
      <c r="AY122" s="710">
        <v>-0.76800000000000002</v>
      </c>
      <c r="AZ122" s="710">
        <v>-0.83200000000000007</v>
      </c>
      <c r="BA122" s="710">
        <v>-0.89600000000000013</v>
      </c>
      <c r="BB122" s="710">
        <v>-0.96</v>
      </c>
      <c r="BC122" s="710">
        <v>-1.024</v>
      </c>
      <c r="BD122" s="710">
        <v>-1.0880000000000001</v>
      </c>
      <c r="BE122" s="710">
        <v>-1.1519999999999999</v>
      </c>
      <c r="BF122" s="710">
        <v>-1.1375999999999999</v>
      </c>
      <c r="BG122" s="710">
        <v>-1.1231999999999998</v>
      </c>
      <c r="BH122" s="710">
        <v>-1.1087999999999996</v>
      </c>
      <c r="BI122" s="710">
        <v>-1.0943999999999996</v>
      </c>
      <c r="BJ122" s="710">
        <v>-1.0799999999999998</v>
      </c>
      <c r="BK122" s="710">
        <v>-1.0655999999999997</v>
      </c>
      <c r="BL122" s="710">
        <v>-1.0511999999999995</v>
      </c>
      <c r="BM122" s="710">
        <v>-1.0367999999999993</v>
      </c>
      <c r="BN122" s="710">
        <v>-1.0223999999999993</v>
      </c>
      <c r="BO122" s="710">
        <v>-1.0079999999999993</v>
      </c>
      <c r="BP122" s="710">
        <v>-0.99359999999999937</v>
      </c>
      <c r="BQ122" s="710">
        <v>-0.97920000000000007</v>
      </c>
      <c r="BR122" s="710">
        <v>-1.0036799999999999</v>
      </c>
      <c r="BS122" s="710">
        <v>-1.02816</v>
      </c>
      <c r="BT122" s="710">
        <v>-1.0526399999999998</v>
      </c>
      <c r="BU122" s="710">
        <v>-1.0771199999999999</v>
      </c>
      <c r="BV122" s="710">
        <v>-1.1016000000000001</v>
      </c>
      <c r="BW122" s="710">
        <v>-1.12608</v>
      </c>
      <c r="BX122" s="710">
        <v>-1.15056</v>
      </c>
      <c r="BY122" s="710">
        <v>-1.1750399999999999</v>
      </c>
      <c r="BZ122" s="710">
        <v>-1.1995200000000001</v>
      </c>
      <c r="CA122" s="710">
        <v>-1.2240000000000002</v>
      </c>
      <c r="CB122" s="710">
        <v>-1.24848</v>
      </c>
      <c r="CC122" s="710">
        <v>-1.2729600000000001</v>
      </c>
      <c r="CD122" s="710">
        <v>-1.3047840000000002</v>
      </c>
      <c r="CE122" s="710">
        <v>-1.3366080000000002</v>
      </c>
      <c r="CF122" s="710">
        <v>-1.3684320000000003</v>
      </c>
      <c r="CG122" s="710">
        <v>-1.4002560000000004</v>
      </c>
      <c r="CH122" s="710">
        <v>-1.4320800000000005</v>
      </c>
      <c r="CI122" s="710">
        <v>-1.4639040000000005</v>
      </c>
      <c r="CJ122" s="710">
        <v>-1.4957280000000006</v>
      </c>
      <c r="CK122" s="710">
        <v>-1.5275520000000007</v>
      </c>
      <c r="CL122" s="710">
        <v>-1.5593760000000005</v>
      </c>
      <c r="CM122" s="710">
        <v>-1.5912000000000008</v>
      </c>
      <c r="CN122" s="710">
        <v>-1.6230240000000009</v>
      </c>
      <c r="CO122" s="710">
        <v>-1.6548480000000005</v>
      </c>
      <c r="CP122" s="710">
        <v>-1.6824288000000001</v>
      </c>
      <c r="CQ122" s="710">
        <v>-1.7100096000000002</v>
      </c>
      <c r="CR122" s="710">
        <v>-1.7375904000000002</v>
      </c>
      <c r="CS122" s="710">
        <v>-1.7651712000000002</v>
      </c>
      <c r="CT122" s="710">
        <v>-1.7927520000000001</v>
      </c>
      <c r="CU122" s="710">
        <v>-1.8203328000000001</v>
      </c>
      <c r="CV122" s="710">
        <v>-1.8479135999999998</v>
      </c>
      <c r="CW122" s="710">
        <v>-1.8754944</v>
      </c>
      <c r="CX122" s="710">
        <v>-1.9030751999999997</v>
      </c>
      <c r="CY122" s="710">
        <v>-1.9306559999999999</v>
      </c>
      <c r="CZ122" s="710">
        <v>-1.9582367999999997</v>
      </c>
      <c r="DA122" s="710">
        <v>-1.9858176000000001</v>
      </c>
      <c r="DC122" s="12">
        <f>SUM(V122:AG122)</f>
        <v>-0.96114283716063076</v>
      </c>
      <c r="DD122" s="12">
        <f t="shared" si="126"/>
        <v>-4.8607983419887288</v>
      </c>
      <c r="DE122" s="12">
        <f t="shared" si="127"/>
        <v>-9.6319999999999997</v>
      </c>
      <c r="DF122" s="12">
        <f t="shared" si="128"/>
        <v>-12.700799999999996</v>
      </c>
      <c r="DG122" s="12">
        <f t="shared" si="129"/>
        <v>-13.659839999999999</v>
      </c>
      <c r="DH122" s="12">
        <f t="shared" si="130"/>
        <v>-17.757792000000006</v>
      </c>
      <c r="DI122" s="12">
        <f t="shared" si="133"/>
        <v>-22.009478399999999</v>
      </c>
    </row>
    <row r="123" spans="2:116" outlineLevel="2">
      <c r="B123" s="758"/>
      <c r="F123" s="126" t="s">
        <v>107</v>
      </c>
      <c r="I123" s="609" t="s">
        <v>736</v>
      </c>
      <c r="O123" s="710"/>
      <c r="P123" s="710"/>
      <c r="Q123" s="710"/>
      <c r="R123" s="710"/>
      <c r="S123" s="710"/>
      <c r="T123" s="710"/>
      <c r="Y123" s="710"/>
      <c r="Z123" s="710"/>
      <c r="AA123" s="710">
        <v>0</v>
      </c>
      <c r="AB123" s="879">
        <v>0</v>
      </c>
      <c r="AC123" s="879">
        <v>-8.8683744824957192E-4</v>
      </c>
      <c r="AD123" s="879">
        <v>-2.0029099535045402E-2</v>
      </c>
      <c r="AE123" s="879">
        <v>-5.27464503608625E-2</v>
      </c>
      <c r="AF123" s="879">
        <v>-0.23080878577333</v>
      </c>
      <c r="AG123" s="713">
        <v>-0.38467008961242599</v>
      </c>
      <c r="AH123" s="712">
        <v>-0.29495109665137537</v>
      </c>
      <c r="AI123" s="712">
        <v>-0.47738088626844682</v>
      </c>
      <c r="AJ123" s="712">
        <v>-0.26929745618912776</v>
      </c>
      <c r="AK123" s="712">
        <v>-0.26571748992061989</v>
      </c>
      <c r="AL123" s="712">
        <v>-0.46784725292827012</v>
      </c>
      <c r="AM123" s="712">
        <v>-0.76056626619768575</v>
      </c>
      <c r="AN123" s="712">
        <v>-0.79657920354129585</v>
      </c>
      <c r="AO123" s="712">
        <v>-0.42129275535923411</v>
      </c>
      <c r="AP123" s="712">
        <v>-0.60978762662912978</v>
      </c>
      <c r="AQ123" s="710">
        <v>-1.1136600000000001</v>
      </c>
      <c r="AR123" s="710">
        <v>-1.2626700000000002</v>
      </c>
      <c r="AS123" s="710">
        <v>-1.3986245462456668</v>
      </c>
      <c r="AT123" s="710">
        <v>-1.5227385471159003</v>
      </c>
      <c r="AU123" s="710">
        <v>-1.6085385471159002</v>
      </c>
      <c r="AV123" s="710">
        <v>-1.7128385471159004</v>
      </c>
      <c r="AW123" s="710">
        <v>-1.8458185471159003</v>
      </c>
      <c r="AX123" s="710">
        <v>-1.9588885471159003</v>
      </c>
      <c r="AY123" s="710">
        <v>-2.0776485471159005</v>
      </c>
      <c r="AZ123" s="710">
        <v>-2.1764785471159001</v>
      </c>
      <c r="BA123" s="710">
        <v>-2.2850185471159006</v>
      </c>
      <c r="BB123" s="710">
        <v>-2.3827785471159006</v>
      </c>
      <c r="BC123" s="710">
        <v>-2.437938547115901</v>
      </c>
      <c r="BD123" s="710">
        <v>-2.5134285471159004</v>
      </c>
      <c r="BE123" s="710">
        <v>-2.6541340008702332</v>
      </c>
      <c r="BF123" s="710">
        <v>-2.7949099999999998</v>
      </c>
      <c r="BG123" s="710">
        <v>-2.9904099999999998</v>
      </c>
      <c r="BH123" s="710">
        <v>-3.1914099999999999</v>
      </c>
      <c r="BI123" s="710">
        <v>-3.3579099999999995</v>
      </c>
      <c r="BJ123" s="710">
        <v>-3.4999099999999994</v>
      </c>
      <c r="BK123" s="710">
        <v>-3.6174099999999996</v>
      </c>
      <c r="BL123" s="710">
        <v>-3.7104099999999995</v>
      </c>
      <c r="BM123" s="710">
        <v>-3.7789099999999989</v>
      </c>
      <c r="BN123" s="710">
        <v>-3.8229099999999989</v>
      </c>
      <c r="BO123" s="710">
        <v>-3.8424099999999988</v>
      </c>
      <c r="BP123" s="710">
        <v>-3.8374099999999989</v>
      </c>
      <c r="BQ123" s="710">
        <v>-3.8079099999999979</v>
      </c>
      <c r="BR123" s="710">
        <v>-3.7539099999999985</v>
      </c>
      <c r="BS123" s="710">
        <v>-3.7120599999999984</v>
      </c>
      <c r="BT123" s="710">
        <v>-3.6823599999999987</v>
      </c>
      <c r="BU123" s="710">
        <v>-3.6648099999999988</v>
      </c>
      <c r="BV123" s="710">
        <v>-3.6594099999999985</v>
      </c>
      <c r="BW123" s="710">
        <v>-3.6661599999999988</v>
      </c>
      <c r="BX123" s="710">
        <v>-3.6850599999999987</v>
      </c>
      <c r="BY123" s="710">
        <v>-3.7161099999999987</v>
      </c>
      <c r="BZ123" s="710">
        <v>-3.7593099999999997</v>
      </c>
      <c r="CA123" s="710">
        <v>-3.8146599999999995</v>
      </c>
      <c r="CB123" s="710">
        <v>-3.8821599999999994</v>
      </c>
      <c r="CC123" s="710">
        <v>-3.9618099999999998</v>
      </c>
      <c r="CD123" s="710">
        <v>-4.0536099999999999</v>
      </c>
      <c r="CE123" s="710">
        <v>-4.1477050000000002</v>
      </c>
      <c r="CF123" s="710">
        <v>-4.2440949999999997</v>
      </c>
      <c r="CG123" s="710">
        <v>-4.3427800000000003</v>
      </c>
      <c r="CH123" s="710">
        <v>-4.443760000000001</v>
      </c>
      <c r="CI123" s="710">
        <v>-4.547035000000001</v>
      </c>
      <c r="CJ123" s="710">
        <v>-4.6526050000000012</v>
      </c>
      <c r="CK123" s="710">
        <v>-4.7604700000000015</v>
      </c>
      <c r="CL123" s="710">
        <v>-4.8706300000000011</v>
      </c>
      <c r="CM123" s="710">
        <v>-4.9830850000000009</v>
      </c>
      <c r="CN123" s="710">
        <v>-5.0978350000000008</v>
      </c>
      <c r="CO123" s="710">
        <v>-5.2148800000000017</v>
      </c>
      <c r="CP123" s="710">
        <v>-5.3342200000000028</v>
      </c>
      <c r="CQ123" s="710">
        <v>-5.4522340000000034</v>
      </c>
      <c r="CR123" s="710">
        <v>-5.5689220000000033</v>
      </c>
      <c r="CS123" s="710">
        <v>-5.6842840000000034</v>
      </c>
      <c r="CT123" s="710">
        <v>-5.798320000000003</v>
      </c>
      <c r="CU123" s="710">
        <v>-5.9110300000000029</v>
      </c>
      <c r="CV123" s="710">
        <v>-6.022414000000003</v>
      </c>
      <c r="CW123" s="710">
        <v>-6.1324720000000035</v>
      </c>
      <c r="CX123" s="710">
        <v>-6.2412040000000033</v>
      </c>
      <c r="CY123" s="710">
        <v>-6.3486100000000034</v>
      </c>
      <c r="CZ123" s="710">
        <v>-6.454690000000002</v>
      </c>
      <c r="DA123" s="710">
        <v>-6.5594440000000018</v>
      </c>
      <c r="DC123" s="12">
        <f>SUM(V123:AG123)</f>
        <v>-0.6891412627299135</v>
      </c>
      <c r="DD123" s="12">
        <f t="shared" si="126"/>
        <v>-8.1383745799308524</v>
      </c>
      <c r="DE123" s="12">
        <f t="shared" si="127"/>
        <v>-25.176248019145138</v>
      </c>
      <c r="DF123" s="12">
        <f t="shared" si="128"/>
        <v>-42.251919999999998</v>
      </c>
      <c r="DG123" s="12">
        <f t="shared" si="129"/>
        <v>-44.957819999999984</v>
      </c>
      <c r="DH123" s="12">
        <f t="shared" si="130"/>
        <v>-55.35849000000001</v>
      </c>
      <c r="DI123" s="12">
        <f t="shared" si="133"/>
        <v>-71.507844000000034</v>
      </c>
    </row>
    <row r="124" spans="2:116" ht="15" outlineLevel="2">
      <c r="B124" s="758"/>
      <c r="F124" s="126" t="s">
        <v>806</v>
      </c>
      <c r="I124" s="609" t="s">
        <v>736</v>
      </c>
      <c r="O124" s="710"/>
      <c r="P124" s="710"/>
      <c r="Q124" s="710"/>
      <c r="R124" s="710"/>
      <c r="S124" s="710"/>
      <c r="T124" s="710"/>
      <c r="Y124" s="710"/>
      <c r="Z124" s="710"/>
      <c r="AA124" s="710">
        <v>0</v>
      </c>
      <c r="AB124" s="879">
        <v>-2.6064569999999999E-2</v>
      </c>
      <c r="AC124" s="879">
        <v>-3.4769420000000002E-2</v>
      </c>
      <c r="AD124" s="879">
        <v>-4.0075630000000001E-2</v>
      </c>
      <c r="AE124" s="879">
        <v>-4.8155730000000001E-2</v>
      </c>
      <c r="AF124" s="879">
        <v>-5.2762219999999999E-2</v>
      </c>
      <c r="AG124" s="894">
        <v>-7.9060862999999995E-2</v>
      </c>
      <c r="AH124" s="895">
        <v>-6.7941979E-2</v>
      </c>
      <c r="AI124" s="895">
        <v>-3.8401299999999999E-2</v>
      </c>
      <c r="AJ124" s="895">
        <v>-3.9450880000000001E-2</v>
      </c>
      <c r="AK124" s="895">
        <v>-8.0386999000000001E-2</v>
      </c>
      <c r="AL124" s="895">
        <v>-8.5174250000000007E-2</v>
      </c>
      <c r="AM124" s="895">
        <v>-0.12935407100000001</v>
      </c>
      <c r="AN124" s="713">
        <v>-0.12074758400000001</v>
      </c>
      <c r="AO124" s="888">
        <v>-1.6489538999999998E-2</v>
      </c>
      <c r="AP124" s="713">
        <v>-2.4706619000000003E-2</v>
      </c>
      <c r="AQ124" s="710">
        <v>-0.20367683</v>
      </c>
      <c r="AR124" s="710">
        <v>-0.16601235702264039</v>
      </c>
      <c r="AS124" s="710">
        <v>-0.18261359272490449</v>
      </c>
      <c r="AT124" s="710">
        <v>-0.13328000000000001</v>
      </c>
      <c r="AU124" s="710">
        <v>-0.12495000000000001</v>
      </c>
      <c r="AV124" s="710">
        <v>-0.14993999999999999</v>
      </c>
      <c r="AW124" s="710">
        <v>-0.1666</v>
      </c>
      <c r="AX124" s="710">
        <v>-0.18326000000000001</v>
      </c>
      <c r="AY124" s="710">
        <v>-0.19991999999999999</v>
      </c>
      <c r="AZ124" s="710">
        <v>-0.21657999999999999</v>
      </c>
      <c r="BA124" s="710">
        <v>-0.23324</v>
      </c>
      <c r="BB124" s="710">
        <v>-0.24990000000000001</v>
      </c>
      <c r="BC124" s="710">
        <v>-0.26656000000000002</v>
      </c>
      <c r="BD124" s="710">
        <v>-0.28322000000000003</v>
      </c>
      <c r="BE124" s="710">
        <v>-0.29987999999999998</v>
      </c>
      <c r="BF124" s="710">
        <v>-0.29613149999999999</v>
      </c>
      <c r="BG124" s="710">
        <v>-0.29238299999999995</v>
      </c>
      <c r="BH124" s="710">
        <v>-0.28863449999999996</v>
      </c>
      <c r="BI124" s="710">
        <v>-0.28488599999999986</v>
      </c>
      <c r="BJ124" s="710">
        <v>-0.28113749999999987</v>
      </c>
      <c r="BK124" s="710">
        <v>-0.27738899999999989</v>
      </c>
      <c r="BL124" s="710">
        <v>-0.27364049999999984</v>
      </c>
      <c r="BM124" s="710">
        <v>-0.2698919999999998</v>
      </c>
      <c r="BN124" s="710">
        <v>-0.26614349999999981</v>
      </c>
      <c r="BO124" s="710">
        <v>-0.26239499999999982</v>
      </c>
      <c r="BP124" s="710">
        <v>-0.25864649999999983</v>
      </c>
      <c r="BQ124" s="710">
        <v>-0.25489799999999996</v>
      </c>
      <c r="BR124" s="710">
        <v>-0.26127044999999999</v>
      </c>
      <c r="BS124" s="710">
        <v>-0.26764289999999996</v>
      </c>
      <c r="BT124" s="710">
        <v>-0.27401534999999999</v>
      </c>
      <c r="BU124" s="710">
        <v>-0.28038779999999996</v>
      </c>
      <c r="BV124" s="710">
        <v>-0.28676024999999999</v>
      </c>
      <c r="BW124" s="710">
        <v>-0.29313269999999997</v>
      </c>
      <c r="BX124" s="710">
        <v>-0.29950514999999994</v>
      </c>
      <c r="BY124" s="710">
        <v>-0.30587759999999997</v>
      </c>
      <c r="BZ124" s="710">
        <v>-0.31225005</v>
      </c>
      <c r="CA124" s="710">
        <v>-0.31862249999999998</v>
      </c>
      <c r="CB124" s="710">
        <v>-0.32499495</v>
      </c>
      <c r="CC124" s="710">
        <v>-0.33136740000000003</v>
      </c>
      <c r="CD124" s="710">
        <v>-0.33965158500000003</v>
      </c>
      <c r="CE124" s="710">
        <v>-0.34793577000000003</v>
      </c>
      <c r="CF124" s="710">
        <v>-0.35621995500000009</v>
      </c>
      <c r="CG124" s="710">
        <v>-0.36450414000000009</v>
      </c>
      <c r="CH124" s="710">
        <v>-0.37278832500000014</v>
      </c>
      <c r="CI124" s="710">
        <v>-0.38107251000000014</v>
      </c>
      <c r="CJ124" s="710">
        <v>-0.38935669500000014</v>
      </c>
      <c r="CK124" s="710">
        <v>-0.3976408800000002</v>
      </c>
      <c r="CL124" s="710">
        <v>-0.4059250650000002</v>
      </c>
      <c r="CM124" s="710">
        <v>-0.4142092500000002</v>
      </c>
      <c r="CN124" s="710">
        <v>-0.42249343500000025</v>
      </c>
      <c r="CO124" s="710">
        <v>-0.43077762000000003</v>
      </c>
      <c r="CP124" s="710">
        <v>-0.43795724700000005</v>
      </c>
      <c r="CQ124" s="710">
        <v>-0.44513687400000002</v>
      </c>
      <c r="CR124" s="710">
        <v>-0.45231650099999998</v>
      </c>
      <c r="CS124" s="710">
        <v>-0.459496128</v>
      </c>
      <c r="CT124" s="710">
        <v>-0.46667575500000003</v>
      </c>
      <c r="CU124" s="710">
        <v>-0.47385538199999999</v>
      </c>
      <c r="CV124" s="710">
        <v>-0.48103500899999996</v>
      </c>
      <c r="CW124" s="710">
        <v>-0.48821463599999992</v>
      </c>
      <c r="CX124" s="710">
        <v>-0.49539426299999995</v>
      </c>
      <c r="CY124" s="710">
        <v>-0.50257388999999997</v>
      </c>
      <c r="CZ124" s="710">
        <v>-0.50975351699999993</v>
      </c>
      <c r="DA124" s="710">
        <v>-0.51693314400000001</v>
      </c>
      <c r="DC124" s="12">
        <f>SUM(V124:AG124)</f>
        <v>-0.28088843299999999</v>
      </c>
      <c r="DD124" s="12">
        <f t="shared" si="126"/>
        <v>-1.1549560007475448</v>
      </c>
      <c r="DE124" s="12">
        <f t="shared" si="127"/>
        <v>-2.5073299999999996</v>
      </c>
      <c r="DF124" s="12">
        <f t="shared" si="128"/>
        <v>-3.3061769999999981</v>
      </c>
      <c r="DG124" s="12">
        <f t="shared" si="129"/>
        <v>-3.5558270999999997</v>
      </c>
      <c r="DH124" s="12">
        <f t="shared" si="130"/>
        <v>-4.6225752300000016</v>
      </c>
      <c r="DI124" s="12">
        <f t="shared" si="133"/>
        <v>-5.7293423460000001</v>
      </c>
    </row>
    <row r="125" spans="2:116" s="698" customFormat="1" outlineLevel="2">
      <c r="B125" s="758"/>
      <c r="F125" s="126" t="s">
        <v>807</v>
      </c>
      <c r="H125" s="703"/>
      <c r="I125" s="609" t="s">
        <v>736</v>
      </c>
      <c r="J125" s="703"/>
      <c r="K125" s="703"/>
      <c r="L125" s="703"/>
      <c r="M125" s="703"/>
      <c r="N125" s="714"/>
      <c r="O125" s="714"/>
      <c r="P125" s="714"/>
      <c r="Q125" s="714"/>
      <c r="R125" s="714"/>
      <c r="S125" s="714"/>
      <c r="T125" s="714"/>
      <c r="Y125" s="714"/>
      <c r="Z125" s="714"/>
      <c r="AA125" s="710">
        <v>0</v>
      </c>
      <c r="AB125" s="713">
        <v>0</v>
      </c>
      <c r="AC125" s="713">
        <v>0</v>
      </c>
      <c r="AD125" s="713">
        <v>0</v>
      </c>
      <c r="AE125" s="713">
        <v>0</v>
      </c>
      <c r="AF125" s="713">
        <v>0</v>
      </c>
      <c r="AG125" s="713">
        <v>0</v>
      </c>
      <c r="AH125" s="713">
        <v>0</v>
      </c>
      <c r="AI125" s="713">
        <v>0</v>
      </c>
      <c r="AJ125" s="713">
        <v>0</v>
      </c>
      <c r="AK125" s="713">
        <v>0</v>
      </c>
      <c r="AL125" s="713">
        <v>0</v>
      </c>
      <c r="AM125" s="713">
        <v>0</v>
      </c>
      <c r="AN125" s="713">
        <v>0</v>
      </c>
      <c r="AO125" s="710">
        <v>0</v>
      </c>
      <c r="AP125" s="710">
        <v>0</v>
      </c>
      <c r="AQ125" s="710"/>
      <c r="AR125" s="710"/>
      <c r="AS125" s="710"/>
      <c r="AT125" s="710"/>
      <c r="AU125" s="710"/>
      <c r="AV125" s="710"/>
      <c r="AW125" s="710"/>
      <c r="AX125" s="710"/>
      <c r="AY125" s="710"/>
      <c r="AZ125" s="710"/>
      <c r="BA125" s="710"/>
      <c r="BB125" s="710"/>
      <c r="BC125" s="710"/>
      <c r="BD125" s="710"/>
      <c r="BE125" s="710"/>
      <c r="BF125" s="710"/>
      <c r="BG125" s="710"/>
      <c r="BH125" s="710"/>
      <c r="BI125" s="710"/>
      <c r="BJ125" s="710"/>
      <c r="BK125" s="710"/>
      <c r="BL125" s="710"/>
      <c r="BM125" s="710"/>
      <c r="BN125" s="710"/>
      <c r="BO125" s="710"/>
      <c r="BP125" s="710"/>
      <c r="BQ125" s="710"/>
      <c r="BR125" s="710"/>
      <c r="BS125" s="710"/>
      <c r="BT125" s="710"/>
      <c r="BU125" s="710"/>
      <c r="BV125" s="710"/>
      <c r="BW125" s="710"/>
      <c r="BX125" s="710"/>
      <c r="BY125" s="710"/>
      <c r="BZ125" s="710"/>
      <c r="CA125" s="710"/>
      <c r="CB125" s="710"/>
      <c r="CC125" s="710"/>
      <c r="CD125" s="710"/>
      <c r="CE125" s="710"/>
      <c r="CF125" s="710"/>
      <c r="CG125" s="710"/>
      <c r="CH125" s="710"/>
      <c r="CI125" s="710"/>
      <c r="CJ125" s="710"/>
      <c r="CK125" s="710"/>
      <c r="CL125" s="710"/>
      <c r="CM125" s="710"/>
      <c r="CN125" s="710"/>
      <c r="CO125" s="710"/>
      <c r="CP125" s="710"/>
      <c r="CQ125" s="710"/>
      <c r="CR125" s="710"/>
      <c r="CS125" s="710"/>
      <c r="CT125" s="710"/>
      <c r="CU125" s="710"/>
      <c r="CV125" s="710"/>
      <c r="CW125" s="710"/>
      <c r="CX125" s="710"/>
      <c r="CY125" s="710"/>
      <c r="CZ125" s="710"/>
      <c r="DA125" s="710"/>
      <c r="DC125" s="12">
        <f t="shared" ref="DC125:DC132" si="142">SUM(V125:AG125)</f>
        <v>0</v>
      </c>
      <c r="DD125" s="12">
        <f t="shared" si="126"/>
        <v>0</v>
      </c>
      <c r="DE125" s="12">
        <f t="shared" si="127"/>
        <v>0</v>
      </c>
      <c r="DF125" s="12">
        <f t="shared" si="128"/>
        <v>0</v>
      </c>
      <c r="DG125" s="12">
        <f t="shared" si="129"/>
        <v>0</v>
      </c>
      <c r="DH125" s="12">
        <f t="shared" si="130"/>
        <v>0</v>
      </c>
      <c r="DI125" s="12">
        <f t="shared" si="133"/>
        <v>0</v>
      </c>
    </row>
    <row r="126" spans="2:116" s="698" customFormat="1" outlineLevel="2">
      <c r="B126" s="758"/>
      <c r="F126" s="126" t="s">
        <v>703</v>
      </c>
      <c r="H126" s="703"/>
      <c r="I126" s="609" t="s">
        <v>736</v>
      </c>
      <c r="J126" s="703"/>
      <c r="K126" s="703"/>
      <c r="L126" s="703"/>
      <c r="M126" s="703"/>
      <c r="N126" s="714"/>
      <c r="O126" s="714"/>
      <c r="P126" s="714"/>
      <c r="Q126" s="714"/>
      <c r="R126" s="714"/>
      <c r="S126" s="714"/>
      <c r="T126" s="714"/>
      <c r="Y126" s="714"/>
      <c r="Z126" s="714"/>
      <c r="AA126" s="710">
        <v>0</v>
      </c>
      <c r="AB126" s="713">
        <v>-1.4760308E-2</v>
      </c>
      <c r="AC126" s="713">
        <v>-1.3111268000000001E-2</v>
      </c>
      <c r="AD126" s="713">
        <v>-1.42893E-2</v>
      </c>
      <c r="AE126" s="713">
        <v>-1.8630899999999999E-2</v>
      </c>
      <c r="AF126" s="713">
        <v>0</v>
      </c>
      <c r="AG126" s="713">
        <v>0</v>
      </c>
      <c r="AH126" s="713">
        <v>-2.0136721999999999E-2</v>
      </c>
      <c r="AI126" s="713">
        <v>-1.1195449E-2</v>
      </c>
      <c r="AJ126" s="713">
        <v>-9.6396419999999986E-3</v>
      </c>
      <c r="AK126" s="713">
        <v>-1.7619322000000003E-2</v>
      </c>
      <c r="AL126" s="713">
        <v>-1.3165853E-2</v>
      </c>
      <c r="AM126" s="713">
        <v>-1.9566795000000001E-2</v>
      </c>
      <c r="AN126" s="713">
        <v>0</v>
      </c>
      <c r="AO126" s="710">
        <v>0</v>
      </c>
      <c r="AP126" s="710">
        <v>0</v>
      </c>
      <c r="AQ126" s="749"/>
      <c r="AR126" s="710"/>
      <c r="AS126" s="710"/>
      <c r="AT126" s="710"/>
      <c r="AU126" s="710"/>
      <c r="AV126" s="710"/>
      <c r="AW126" s="710"/>
      <c r="AX126" s="710"/>
      <c r="AY126" s="710"/>
      <c r="AZ126" s="710"/>
      <c r="BA126" s="710"/>
      <c r="BB126" s="710"/>
      <c r="BC126" s="710"/>
      <c r="BD126" s="710"/>
      <c r="BE126" s="710"/>
      <c r="BF126" s="710"/>
      <c r="BG126" s="710"/>
      <c r="BH126" s="710"/>
      <c r="BI126" s="710"/>
      <c r="BJ126" s="710"/>
      <c r="BK126" s="710"/>
      <c r="BL126" s="710"/>
      <c r="BM126" s="710"/>
      <c r="BN126" s="710"/>
      <c r="BO126" s="710"/>
      <c r="BP126" s="710"/>
      <c r="BQ126" s="710"/>
      <c r="BR126" s="710"/>
      <c r="BS126" s="710"/>
      <c r="BT126" s="710"/>
      <c r="BU126" s="710"/>
      <c r="BV126" s="710"/>
      <c r="BW126" s="710"/>
      <c r="BX126" s="710"/>
      <c r="BY126" s="710"/>
      <c r="BZ126" s="710"/>
      <c r="CA126" s="710"/>
      <c r="CB126" s="710"/>
      <c r="CC126" s="710"/>
      <c r="CD126" s="710"/>
      <c r="CE126" s="710"/>
      <c r="CF126" s="710"/>
      <c r="CG126" s="710"/>
      <c r="CH126" s="710"/>
      <c r="CI126" s="710"/>
      <c r="CJ126" s="710"/>
      <c r="CK126" s="710"/>
      <c r="CL126" s="710"/>
      <c r="CM126" s="710"/>
      <c r="CN126" s="710"/>
      <c r="CO126" s="710"/>
      <c r="CP126" s="710"/>
      <c r="CQ126" s="710"/>
      <c r="CR126" s="710"/>
      <c r="CS126" s="710"/>
      <c r="CT126" s="710"/>
      <c r="CU126" s="710"/>
      <c r="CV126" s="710"/>
      <c r="CW126" s="710"/>
      <c r="CX126" s="710"/>
      <c r="CY126" s="710"/>
      <c r="CZ126" s="710"/>
      <c r="DA126" s="710"/>
      <c r="DC126" s="12">
        <f t="shared" si="142"/>
        <v>-6.0791775999999999E-2</v>
      </c>
      <c r="DD126" s="12">
        <f t="shared" si="126"/>
        <v>-9.1323783000000006E-2</v>
      </c>
      <c r="DE126" s="12">
        <f t="shared" si="127"/>
        <v>0</v>
      </c>
      <c r="DF126" s="12">
        <f t="shared" si="128"/>
        <v>0</v>
      </c>
      <c r="DG126" s="12">
        <f t="shared" si="129"/>
        <v>0</v>
      </c>
      <c r="DH126" s="12">
        <f t="shared" si="130"/>
        <v>0</v>
      </c>
      <c r="DI126" s="12">
        <f t="shared" si="133"/>
        <v>0</v>
      </c>
    </row>
    <row r="127" spans="2:116" s="698" customFormat="1" outlineLevel="2">
      <c r="B127" s="758"/>
      <c r="F127" s="126" t="s">
        <v>163</v>
      </c>
      <c r="H127" s="703"/>
      <c r="I127" s="609" t="s">
        <v>736</v>
      </c>
      <c r="J127" s="703"/>
      <c r="K127" s="703"/>
      <c r="L127" s="703"/>
      <c r="M127" s="703"/>
      <c r="N127" s="714"/>
      <c r="O127" s="714"/>
      <c r="P127" s="714"/>
      <c r="Q127" s="714"/>
      <c r="R127" s="714"/>
      <c r="S127" s="714"/>
      <c r="T127" s="714"/>
      <c r="Y127" s="714"/>
      <c r="Z127" s="714"/>
      <c r="AA127" s="710">
        <v>0</v>
      </c>
      <c r="AB127" s="713">
        <v>-1.8221424E-2</v>
      </c>
      <c r="AC127" s="713">
        <v>-1.7194865E-2</v>
      </c>
      <c r="AD127" s="713">
        <v>-1.9998939E-2</v>
      </c>
      <c r="AE127" s="713">
        <v>-2.0286327999999999E-2</v>
      </c>
      <c r="AF127" s="713">
        <v>0</v>
      </c>
      <c r="AG127" s="713">
        <v>0</v>
      </c>
      <c r="AH127" s="713">
        <v>-5.3354964618508235E-2</v>
      </c>
      <c r="AI127" s="713">
        <v>-3.3212470497503435E-2</v>
      </c>
      <c r="AJ127" s="713">
        <v>-6.2180243320554385E-2</v>
      </c>
      <c r="AK127" s="713">
        <v>-5.2721469913025037E-2</v>
      </c>
      <c r="AL127" s="713">
        <v>-6.4230703322063445E-2</v>
      </c>
      <c r="AM127" s="713">
        <v>-6.510807560341493E-2</v>
      </c>
      <c r="AN127" s="721">
        <v>-4.3766502435482219E-2</v>
      </c>
      <c r="AO127" s="860">
        <v>-4.6725703779263598E-2</v>
      </c>
      <c r="AP127" s="721">
        <v>-3.6700212510762865E-2</v>
      </c>
      <c r="AQ127" s="749">
        <v>-4.6773719999999991E-2</v>
      </c>
      <c r="AR127" s="749">
        <v>-5.3032139999999992E-2</v>
      </c>
      <c r="AS127" s="749">
        <v>-5.8742230942318008E-2</v>
      </c>
      <c r="AT127" s="749">
        <v>-6.3955018978867809E-2</v>
      </c>
      <c r="AU127" s="749">
        <v>-6.7558618978867821E-2</v>
      </c>
      <c r="AV127" s="749">
        <v>-7.1939218978867805E-2</v>
      </c>
      <c r="AW127" s="749">
        <v>-7.7524378978867811E-2</v>
      </c>
      <c r="AX127" s="749">
        <v>-8.2273318978867804E-2</v>
      </c>
      <c r="AY127" s="749">
        <v>-8.7261238978867811E-2</v>
      </c>
      <c r="AZ127" s="749">
        <v>-9.1412098978867817E-2</v>
      </c>
      <c r="BA127" s="749">
        <v>-9.5970778978867827E-2</v>
      </c>
      <c r="BB127" s="749">
        <v>-0.10007669897886784</v>
      </c>
      <c r="BC127" s="749">
        <v>-0.10239341897886782</v>
      </c>
      <c r="BD127" s="749">
        <v>-0.10556399897886783</v>
      </c>
      <c r="BE127" s="749">
        <v>-0.1114736280365498</v>
      </c>
      <c r="BF127" s="749">
        <v>-0.11738621999999999</v>
      </c>
      <c r="BG127" s="749">
        <v>-0.12559722000000001</v>
      </c>
      <c r="BH127" s="749">
        <v>-0.13403921999999996</v>
      </c>
      <c r="BI127" s="749">
        <v>-0.14103221999999999</v>
      </c>
      <c r="BJ127" s="749">
        <v>-0.14699621999999998</v>
      </c>
      <c r="BK127" s="749">
        <v>-0.15193121999999998</v>
      </c>
      <c r="BL127" s="749">
        <v>-0.15583721999999997</v>
      </c>
      <c r="BM127" s="749">
        <v>-0.15871421999999996</v>
      </c>
      <c r="BN127" s="749">
        <v>-0.16056221999999995</v>
      </c>
      <c r="BO127" s="749">
        <v>-0.16138121999999994</v>
      </c>
      <c r="BP127" s="749">
        <v>-0.16117121999999995</v>
      </c>
      <c r="BQ127" s="749">
        <v>-0.15993221999999993</v>
      </c>
      <c r="BR127" s="749">
        <v>-0.15766421999999994</v>
      </c>
      <c r="BS127" s="749">
        <v>-0.15590651999999994</v>
      </c>
      <c r="BT127" s="749">
        <v>-0.15465911999999993</v>
      </c>
      <c r="BU127" s="749">
        <v>-0.15392201999999996</v>
      </c>
      <c r="BV127" s="749">
        <v>-0.15369521999999994</v>
      </c>
      <c r="BW127" s="749">
        <v>-0.15397871999999993</v>
      </c>
      <c r="BX127" s="749">
        <v>-0.15477251999999994</v>
      </c>
      <c r="BY127" s="749">
        <v>-0.15607661999999994</v>
      </c>
      <c r="BZ127" s="749">
        <v>-0.15789101999999997</v>
      </c>
      <c r="CA127" s="749">
        <v>-0.16021571999999998</v>
      </c>
      <c r="CB127" s="749">
        <v>-0.16305071999999998</v>
      </c>
      <c r="CC127" s="749">
        <v>-0.16639601999999998</v>
      </c>
      <c r="CD127" s="749">
        <v>-0.17025161999999999</v>
      </c>
      <c r="CE127" s="749">
        <v>-0.17420360999999998</v>
      </c>
      <c r="CF127" s="749">
        <v>-0.17825198999999997</v>
      </c>
      <c r="CG127" s="749">
        <v>-0.18239676000000002</v>
      </c>
      <c r="CH127" s="749">
        <v>-0.18663792000000004</v>
      </c>
      <c r="CI127" s="749">
        <v>-0.19097547000000004</v>
      </c>
      <c r="CJ127" s="749">
        <v>-0.19540941000000006</v>
      </c>
      <c r="CK127" s="749">
        <v>-0.19993974000000006</v>
      </c>
      <c r="CL127" s="749">
        <v>-0.20456646000000006</v>
      </c>
      <c r="CM127" s="749">
        <v>-0.20928957000000004</v>
      </c>
      <c r="CN127" s="749">
        <v>-0.21410907000000004</v>
      </c>
      <c r="CO127" s="749">
        <v>-0.21902496000000005</v>
      </c>
      <c r="CP127" s="749">
        <v>-0.22403724000000011</v>
      </c>
      <c r="CQ127" s="749">
        <v>-0.22899382800000012</v>
      </c>
      <c r="CR127" s="749">
        <v>-0.23389472400000014</v>
      </c>
      <c r="CS127" s="749">
        <v>-0.23873992800000013</v>
      </c>
      <c r="CT127" s="749">
        <v>-0.24352944000000015</v>
      </c>
      <c r="CU127" s="749">
        <v>-0.24826326000000012</v>
      </c>
      <c r="CV127" s="749">
        <v>-0.2529413880000001</v>
      </c>
      <c r="CW127" s="749">
        <v>-0.25756382400000016</v>
      </c>
      <c r="CX127" s="749">
        <v>-0.26213056800000012</v>
      </c>
      <c r="CY127" s="749">
        <v>-0.26664162000000013</v>
      </c>
      <c r="CZ127" s="749">
        <v>-0.2710969800000001</v>
      </c>
      <c r="DA127" s="749">
        <v>-0.27549664800000007</v>
      </c>
      <c r="DC127" s="12">
        <f t="shared" si="142"/>
        <v>-7.5701556000000003E-2</v>
      </c>
      <c r="DD127" s="12">
        <f t="shared" si="126"/>
        <v>-0.61654843694289618</v>
      </c>
      <c r="DE127" s="12">
        <f t="shared" si="127"/>
        <v>-1.0574024168040956</v>
      </c>
      <c r="DF127" s="12">
        <f t="shared" si="128"/>
        <v>-1.7745806399999997</v>
      </c>
      <c r="DG127" s="12">
        <f t="shared" si="129"/>
        <v>-1.8882284399999993</v>
      </c>
      <c r="DH127" s="12">
        <f t="shared" si="130"/>
        <v>-2.3250565800000005</v>
      </c>
      <c r="DI127" s="12">
        <f t="shared" si="133"/>
        <v>-3.0033294480000015</v>
      </c>
    </row>
    <row r="128" spans="2:116" s="698" customFormat="1" outlineLevel="2">
      <c r="B128" s="758"/>
      <c r="F128" s="718" t="s">
        <v>152</v>
      </c>
      <c r="G128" s="126"/>
      <c r="H128" s="609"/>
      <c r="I128" s="609" t="s">
        <v>736</v>
      </c>
      <c r="J128" s="703"/>
      <c r="K128" s="703"/>
      <c r="L128" s="703"/>
      <c r="M128" s="703"/>
      <c r="N128" s="714"/>
      <c r="O128" s="714"/>
      <c r="P128" s="714"/>
      <c r="Q128" s="714"/>
      <c r="R128" s="714"/>
      <c r="S128" s="714"/>
      <c r="T128" s="714"/>
      <c r="Y128" s="714"/>
      <c r="Z128" s="714"/>
      <c r="AA128" s="710"/>
      <c r="AB128" s="713"/>
      <c r="AC128" s="713"/>
      <c r="AD128" s="713"/>
      <c r="AE128" s="713"/>
      <c r="AF128" s="713"/>
      <c r="AG128" s="713"/>
      <c r="AH128" s="713"/>
      <c r="AI128" s="713"/>
      <c r="AJ128" s="713"/>
      <c r="AK128" s="713"/>
      <c r="AL128" s="713"/>
      <c r="AM128" s="713"/>
      <c r="AN128" s="721"/>
      <c r="AO128" s="860"/>
      <c r="AP128" s="721"/>
      <c r="AQ128" s="749"/>
      <c r="AR128" s="749"/>
      <c r="AS128" s="749"/>
      <c r="AT128" s="749"/>
      <c r="AU128" s="749"/>
      <c r="AV128" s="749"/>
      <c r="AW128" s="749"/>
      <c r="AX128" s="749"/>
      <c r="AY128" s="749"/>
      <c r="AZ128" s="749"/>
      <c r="BA128" s="749"/>
      <c r="BB128" s="749"/>
      <c r="BC128" s="749"/>
      <c r="BD128" s="749"/>
      <c r="BE128" s="749"/>
      <c r="BF128" s="749"/>
      <c r="BG128" s="749"/>
      <c r="BH128" s="749"/>
      <c r="BI128" s="749"/>
      <c r="BJ128" s="749"/>
      <c r="BK128" s="749"/>
      <c r="BL128" s="749"/>
      <c r="BM128" s="749"/>
      <c r="BN128" s="749"/>
      <c r="BO128" s="749"/>
      <c r="BP128" s="749"/>
      <c r="BQ128" s="749"/>
      <c r="BR128" s="749"/>
      <c r="BS128" s="749"/>
      <c r="BT128" s="749"/>
      <c r="BU128" s="749"/>
      <c r="BV128" s="749"/>
      <c r="BW128" s="749"/>
      <c r="BX128" s="749"/>
      <c r="BY128" s="749"/>
      <c r="BZ128" s="749"/>
      <c r="CA128" s="749"/>
      <c r="CB128" s="749"/>
      <c r="CC128" s="749"/>
      <c r="CD128" s="749"/>
      <c r="CE128" s="749"/>
      <c r="CF128" s="749"/>
      <c r="CG128" s="749"/>
      <c r="CH128" s="749"/>
      <c r="CI128" s="749"/>
      <c r="CJ128" s="749"/>
      <c r="CK128" s="749"/>
      <c r="CL128" s="749"/>
      <c r="CM128" s="749"/>
      <c r="CN128" s="749"/>
      <c r="CO128" s="749"/>
      <c r="CP128" s="749"/>
      <c r="CQ128" s="749"/>
      <c r="CR128" s="749"/>
      <c r="CS128" s="749"/>
      <c r="CT128" s="749"/>
      <c r="CU128" s="749"/>
      <c r="CV128" s="749"/>
      <c r="CW128" s="749"/>
      <c r="CX128" s="749"/>
      <c r="CY128" s="749"/>
      <c r="CZ128" s="749"/>
      <c r="DA128" s="749"/>
      <c r="DC128" s="12"/>
      <c r="DD128" s="12"/>
      <c r="DE128" s="12"/>
      <c r="DF128" s="12"/>
      <c r="DG128" s="12"/>
      <c r="DH128" s="12"/>
      <c r="DI128" s="12">
        <f t="shared" si="133"/>
        <v>0</v>
      </c>
    </row>
    <row r="129" spans="2:113" s="698" customFormat="1" outlineLevel="2">
      <c r="B129" s="758"/>
      <c r="F129" s="126" t="s">
        <v>144</v>
      </c>
      <c r="G129" s="718"/>
      <c r="H129" s="703"/>
      <c r="I129" s="609" t="s">
        <v>736</v>
      </c>
      <c r="J129" s="703"/>
      <c r="K129" s="703"/>
      <c r="L129" s="703"/>
      <c r="M129" s="703"/>
      <c r="N129" s="714"/>
      <c r="O129" s="714"/>
      <c r="P129" s="714"/>
      <c r="Q129" s="714"/>
      <c r="R129" s="714"/>
      <c r="S129" s="714"/>
      <c r="T129" s="714"/>
      <c r="Y129" s="714"/>
      <c r="Z129" s="714"/>
      <c r="AA129" s="710"/>
      <c r="AB129" s="713"/>
      <c r="AC129" s="713"/>
      <c r="AD129" s="713"/>
      <c r="AE129" s="713"/>
      <c r="AF129" s="713"/>
      <c r="AG129" s="713"/>
      <c r="AH129" s="713"/>
      <c r="AI129" s="713"/>
      <c r="AJ129" s="713"/>
      <c r="AK129" s="713"/>
      <c r="AL129" s="713"/>
      <c r="AM129" s="713"/>
      <c r="AN129" s="721"/>
      <c r="AO129" s="860"/>
      <c r="AP129" s="721"/>
      <c r="AQ129" s="749"/>
      <c r="AR129" s="749"/>
      <c r="AS129" s="749"/>
      <c r="AT129" s="751">
        <f>AT88/(AT57-AT183)*AT101</f>
        <v>-1.4414414414414416</v>
      </c>
      <c r="AU129" s="751">
        <f t="shared" ref="AU129:DA129" si="143">AU88/(AU57-AU183)*AU101</f>
        <v>-1.4880952380952379</v>
      </c>
      <c r="AV129" s="751">
        <f t="shared" si="143"/>
        <v>-1.4423076923076927</v>
      </c>
      <c r="AW129" s="751">
        <f t="shared" si="143"/>
        <v>-1.3751611516974647</v>
      </c>
      <c r="AX129" s="751">
        <f t="shared" si="143"/>
        <v>-1.3247026945657083</v>
      </c>
      <c r="AY129" s="751">
        <f t="shared" si="143"/>
        <v>-1.2853986744326169</v>
      </c>
      <c r="AZ129" s="751">
        <f t="shared" si="143"/>
        <v>-1.2539184952978055</v>
      </c>
      <c r="BA129" s="751">
        <f t="shared" si="143"/>
        <v>-1.2281375075387904</v>
      </c>
      <c r="BB129" s="751">
        <f t="shared" si="143"/>
        <v>-1.206636500754148</v>
      </c>
      <c r="BC129" s="751">
        <f t="shared" si="143"/>
        <v>-1.188431363446451</v>
      </c>
      <c r="BD129" s="751">
        <f t="shared" si="143"/>
        <v>-1.1728182131769576</v>
      </c>
      <c r="BE129" s="751">
        <f t="shared" si="143"/>
        <v>-1.1009174311926606</v>
      </c>
      <c r="BF129" s="751">
        <f t="shared" si="143"/>
        <v>-1.666145914700828</v>
      </c>
      <c r="BG129" s="751">
        <f t="shared" si="143"/>
        <v>-1.6815713829447456</v>
      </c>
      <c r="BH129" s="751">
        <f t="shared" si="143"/>
        <v>-1.6976972072513472</v>
      </c>
      <c r="BI129" s="751">
        <f t="shared" si="143"/>
        <v>-1.7145721925133686</v>
      </c>
      <c r="BJ129" s="751">
        <f t="shared" si="143"/>
        <v>-1.7322497861420014</v>
      </c>
      <c r="BK129" s="751">
        <f t="shared" si="143"/>
        <v>-1.7507886435331228</v>
      </c>
      <c r="BL129" s="751">
        <f t="shared" si="143"/>
        <v>-1.770253278246811</v>
      </c>
      <c r="BM129" s="751">
        <f t="shared" si="143"/>
        <v>-1.7907148120854826</v>
      </c>
      <c r="BN129" s="751">
        <f t="shared" si="143"/>
        <v>-1.8122518434486667</v>
      </c>
      <c r="BO129" s="751">
        <f t="shared" si="143"/>
        <v>-1.8349514563106792</v>
      </c>
      <c r="BP129" s="751">
        <f t="shared" si="143"/>
        <v>-1.8589103971263219</v>
      </c>
      <c r="BQ129" s="751">
        <f t="shared" si="143"/>
        <v>-1.8842364532019706</v>
      </c>
      <c r="BR129" s="751">
        <f t="shared" si="143"/>
        <v>-2.4868565503781412</v>
      </c>
      <c r="BS129" s="751">
        <f t="shared" si="143"/>
        <v>-2.5235016916384727</v>
      </c>
      <c r="BT129" s="751">
        <f t="shared" si="143"/>
        <v>-2.5594625329183627</v>
      </c>
      <c r="BU129" s="751">
        <f t="shared" si="143"/>
        <v>-2.5947580645161286</v>
      </c>
      <c r="BV129" s="751">
        <f t="shared" si="143"/>
        <v>-2.6294065804935371</v>
      </c>
      <c r="BW129" s="751">
        <f t="shared" si="143"/>
        <v>-2.6634257102934327</v>
      </c>
      <c r="BX129" s="751">
        <f t="shared" si="143"/>
        <v>-2.696832448649896</v>
      </c>
      <c r="BY129" s="751">
        <f t="shared" si="143"/>
        <v>-2.7296431838975295</v>
      </c>
      <c r="BZ129" s="751">
        <f t="shared" si="143"/>
        <v>-2.7618737247789618</v>
      </c>
      <c r="CA129" s="751">
        <f t="shared" si="143"/>
        <v>-2.7935393258426964</v>
      </c>
      <c r="CB129" s="751">
        <f t="shared" si="143"/>
        <v>-2.8246547115170419</v>
      </c>
      <c r="CC129" s="751">
        <f t="shared" si="143"/>
        <v>-2.8552340989399294</v>
      </c>
      <c r="CD129" s="751">
        <f t="shared" si="143"/>
        <v>-3.4333702774769064</v>
      </c>
      <c r="CE129" s="751">
        <f t="shared" si="143"/>
        <v>-3.440149376658665</v>
      </c>
      <c r="CF129" s="751">
        <f t="shared" si="143"/>
        <v>-3.4466381474937227</v>
      </c>
      <c r="CG129" s="751">
        <f t="shared" si="143"/>
        <v>-3.4528548498050906</v>
      </c>
      <c r="CH129" s="751">
        <f t="shared" si="143"/>
        <v>-3.4588162436212899</v>
      </c>
      <c r="CI129" s="751">
        <f t="shared" si="143"/>
        <v>-3.4645377400625272</v>
      </c>
      <c r="CJ129" s="751">
        <f t="shared" si="143"/>
        <v>-3.4700335343703501</v>
      </c>
      <c r="CK129" s="751">
        <f t="shared" si="143"/>
        <v>-3.4753167234985183</v>
      </c>
      <c r="CL129" s="751">
        <f t="shared" si="143"/>
        <v>-3.4803994103158109</v>
      </c>
      <c r="CM129" s="751">
        <f t="shared" si="143"/>
        <v>-3.4852927961659423</v>
      </c>
      <c r="CN129" s="751">
        <f t="shared" si="143"/>
        <v>-3.4900072632745904</v>
      </c>
      <c r="CO129" s="751">
        <f t="shared" si="143"/>
        <v>-3.494552448279447</v>
      </c>
      <c r="CP129" s="751">
        <f t="shared" si="143"/>
        <v>-3.8450998791324129</v>
      </c>
      <c r="CQ129" s="751">
        <f t="shared" si="143"/>
        <v>-3.8461574244435823</v>
      </c>
      <c r="CR129" s="751">
        <f t="shared" si="143"/>
        <v>-3.8471819513556631</v>
      </c>
      <c r="CS129" s="751">
        <f t="shared" si="143"/>
        <v>-3.8481749824375773</v>
      </c>
      <c r="CT129" s="751">
        <f t="shared" si="143"/>
        <v>-3.8491379480622783</v>
      </c>
      <c r="CU129" s="751">
        <f t="shared" si="143"/>
        <v>-3.8500721932811026</v>
      </c>
      <c r="CV129" s="751">
        <f t="shared" si="143"/>
        <v>-3.8509789840920794</v>
      </c>
      <c r="CW129" s="751">
        <f t="shared" si="143"/>
        <v>-3.8518595131636197</v>
      </c>
      <c r="CX129" s="751">
        <f t="shared" si="143"/>
        <v>-3.8527149050680212</v>
      </c>
      <c r="CY129" s="751">
        <f t="shared" si="143"/>
        <v>-3.8535462210730578</v>
      </c>
      <c r="CZ129" s="751">
        <f t="shared" si="143"/>
        <v>-3.8543544635345839</v>
      </c>
      <c r="DA129" s="751">
        <f t="shared" si="143"/>
        <v>-3.8551405799284062</v>
      </c>
      <c r="DC129" s="12">
        <f>SUM(V129:AG129)</f>
        <v>0</v>
      </c>
      <c r="DD129" s="12">
        <f>SUM(AH129:AS129)</f>
        <v>0</v>
      </c>
      <c r="DE129" s="12">
        <f>SUM(AT129:BE129)</f>
        <v>-15.507966403946977</v>
      </c>
      <c r="DF129" s="12">
        <f>SUM(BF129:BQ129)</f>
        <v>-21.194343367505347</v>
      </c>
      <c r="DG129" s="12">
        <f>SUM(BR129:CC129)</f>
        <v>-32.119188623864133</v>
      </c>
      <c r="DH129" s="12">
        <f>SUM(CD129:CO129)</f>
        <v>-41.591968811022866</v>
      </c>
      <c r="DI129" s="12">
        <f t="shared" si="133"/>
        <v>-46.204419045572394</v>
      </c>
    </row>
    <row r="130" spans="2:113" outlineLevel="2">
      <c r="B130" s="758"/>
      <c r="F130" s="698" t="s">
        <v>808</v>
      </c>
      <c r="H130" s="126"/>
      <c r="I130" s="609" t="s">
        <v>736</v>
      </c>
      <c r="O130" s="715"/>
      <c r="P130" s="715"/>
      <c r="Q130" s="715"/>
      <c r="R130" s="715"/>
      <c r="S130" s="715"/>
      <c r="T130" s="715"/>
      <c r="Y130" s="713"/>
      <c r="Z130" s="713"/>
      <c r="AA130" s="896">
        <v>-1.15615E-4</v>
      </c>
      <c r="AB130" s="896">
        <v>-0.64698800550000002</v>
      </c>
      <c r="AC130" s="896">
        <v>-0.87052677322727301</v>
      </c>
      <c r="AD130" s="896">
        <v>-1.37911870545455</v>
      </c>
      <c r="AE130" s="896">
        <v>-1.8886810614545499</v>
      </c>
      <c r="AF130" s="896">
        <v>-1.6736495101818201</v>
      </c>
      <c r="AG130" s="896">
        <v>0.37109941499999999</v>
      </c>
      <c r="AH130" s="896">
        <v>-1.4755175409999999</v>
      </c>
      <c r="AI130" s="896">
        <v>-1.3730420779999999</v>
      </c>
      <c r="AJ130" s="896">
        <v>-5.2904055159999999</v>
      </c>
      <c r="AK130" s="896">
        <v>-6.8097117960000002</v>
      </c>
      <c r="AL130" s="896">
        <v>-7.6049635139999996</v>
      </c>
      <c r="AM130" s="896">
        <v>-5.1319206620000006</v>
      </c>
      <c r="AN130" s="896">
        <v>-5.1473585479999997</v>
      </c>
      <c r="AO130" s="897">
        <v>-7.934999694</v>
      </c>
      <c r="AP130" s="896">
        <v>-12.273098654000002</v>
      </c>
      <c r="AQ130" s="714">
        <v>-15.850422203251643</v>
      </c>
      <c r="AR130" s="714">
        <v>-17.235146483499047</v>
      </c>
      <c r="AS130" s="714">
        <v>-18.625257345478932</v>
      </c>
      <c r="AT130" s="714">
        <v>-16.683813362646617</v>
      </c>
      <c r="AU130" s="714">
        <v>-14.403692711913324</v>
      </c>
      <c r="AV130" s="714">
        <v>-14.139563363584006</v>
      </c>
      <c r="AW130" s="714">
        <v>-13.40545776259683</v>
      </c>
      <c r="AX130" s="714">
        <v>-13.718198700621956</v>
      </c>
      <c r="AY130" s="714">
        <v>-14.146409292732939</v>
      </c>
      <c r="AZ130" s="714">
        <v>-12.649300049020969</v>
      </c>
      <c r="BA130" s="714">
        <v>-14.934518399991919</v>
      </c>
      <c r="BB130" s="714">
        <v>-17.701629351563042</v>
      </c>
      <c r="BC130" s="714">
        <v>-20.743990154757839</v>
      </c>
      <c r="BD130" s="714">
        <v>-23.691735280407084</v>
      </c>
      <c r="BE130" s="714">
        <v>-26.693822905716953</v>
      </c>
      <c r="BF130" s="714">
        <v>-30.618027614022296</v>
      </c>
      <c r="BG130" s="714">
        <v>-30.633706358013708</v>
      </c>
      <c r="BH130" s="714">
        <v>-31.61949293529727</v>
      </c>
      <c r="BI130" s="714">
        <v>-32.177735267438472</v>
      </c>
      <c r="BJ130" s="714">
        <v>-32.351617250974925</v>
      </c>
      <c r="BK130" s="714">
        <v>-32.297642306997361</v>
      </c>
      <c r="BL130" s="714">
        <v>-30.684858389834741</v>
      </c>
      <c r="BM130" s="714">
        <v>-29.14876279255305</v>
      </c>
      <c r="BN130" s="714">
        <v>-27.633202956113905</v>
      </c>
      <c r="BO130" s="714">
        <v>-26.23026948397715</v>
      </c>
      <c r="BP130" s="714">
        <v>-24.973429639491084</v>
      </c>
      <c r="BQ130" s="714">
        <v>-23.856995999483477</v>
      </c>
      <c r="BR130" s="714">
        <v>-23.449988189958169</v>
      </c>
      <c r="BS130" s="714">
        <v>-23.432252114241301</v>
      </c>
      <c r="BT130" s="714">
        <v>-23.763449027572278</v>
      </c>
      <c r="BU130" s="714">
        <v>-24.39418825929544</v>
      </c>
      <c r="BV130" s="714">
        <v>-25.277398562118265</v>
      </c>
      <c r="BW130" s="714">
        <v>-26.367930644546753</v>
      </c>
      <c r="BX130" s="714">
        <v>-27.621946389579527</v>
      </c>
      <c r="BY130" s="714">
        <v>-28.838520989273217</v>
      </c>
      <c r="BZ130" s="714">
        <v>-29.998239163134588</v>
      </c>
      <c r="CA130" s="714">
        <v>-31.101681885529008</v>
      </c>
      <c r="CB130" s="714">
        <v>-32.146226198894368</v>
      </c>
      <c r="CC130" s="714">
        <v>-33.127260524154806</v>
      </c>
      <c r="CD130" s="714">
        <v>-34.144079431006709</v>
      </c>
      <c r="CE130" s="714">
        <v>-35.128025850786898</v>
      </c>
      <c r="CF130" s="714">
        <v>-36.080023647267282</v>
      </c>
      <c r="CG130" s="714">
        <v>-37.00862069426779</v>
      </c>
      <c r="CH130" s="714">
        <v>-37.922285511053566</v>
      </c>
      <c r="CI130" s="714">
        <v>-38.829483946344652</v>
      </c>
      <c r="CJ130" s="714">
        <v>-39.738713348613487</v>
      </c>
      <c r="CK130" s="714">
        <v>-40.628686368971124</v>
      </c>
      <c r="CL130" s="714">
        <v>-41.512294570653289</v>
      </c>
      <c r="CM130" s="714">
        <v>-42.387472855263567</v>
      </c>
      <c r="CN130" s="714">
        <v>-43.252674955217486</v>
      </c>
      <c r="CO130" s="714">
        <v>-44.10638667094603</v>
      </c>
      <c r="CP130" s="714">
        <v>-44.886373420102942</v>
      </c>
      <c r="CQ130" s="714">
        <v>-45.965141042201481</v>
      </c>
      <c r="CR130" s="714">
        <v>-47.557371978583156</v>
      </c>
      <c r="CS130" s="714">
        <v>-49.675506687800194</v>
      </c>
      <c r="CT130" s="714">
        <v>-52.336713059541864</v>
      </c>
      <c r="CU130" s="714">
        <v>-55.561871721357484</v>
      </c>
      <c r="CV130" s="714">
        <v>-59.374799144211408</v>
      </c>
      <c r="CW130" s="714">
        <v>-63.818953914062284</v>
      </c>
      <c r="CX130" s="714">
        <v>-68.567760229775359</v>
      </c>
      <c r="CY130" s="714">
        <v>-73.657395463504145</v>
      </c>
      <c r="CZ130" s="714">
        <v>-79.11032807246022</v>
      </c>
      <c r="DA130" s="714">
        <v>-84.946673956413136</v>
      </c>
      <c r="DC130" s="12">
        <f t="shared" si="142"/>
        <v>-6.0879802558181932</v>
      </c>
      <c r="DD130" s="12">
        <f t="shared" si="126"/>
        <v>-104.75184403522962</v>
      </c>
      <c r="DE130" s="12">
        <f t="shared" si="127"/>
        <v>-202.91213133555348</v>
      </c>
      <c r="DF130" s="12">
        <f t="shared" si="128"/>
        <v>-352.22574099419751</v>
      </c>
      <c r="DG130" s="12">
        <f t="shared" si="129"/>
        <v>-329.5190819482977</v>
      </c>
      <c r="DH130" s="12">
        <f t="shared" si="130"/>
        <v>-470.73874785039192</v>
      </c>
      <c r="DI130" s="12">
        <f t="shared" si="133"/>
        <v>-725.45888869001374</v>
      </c>
    </row>
    <row r="131" spans="2:113" outlineLevel="2">
      <c r="B131" s="758"/>
      <c r="F131" s="698"/>
      <c r="G131" s="126" t="s">
        <v>824</v>
      </c>
      <c r="H131" s="126"/>
      <c r="I131" s="609" t="s">
        <v>736</v>
      </c>
      <c r="O131" s="715"/>
      <c r="P131" s="715"/>
      <c r="Q131" s="715"/>
      <c r="R131" s="715"/>
      <c r="S131" s="715"/>
      <c r="T131" s="715"/>
      <c r="V131" s="898"/>
      <c r="W131" s="898"/>
      <c r="X131" s="898"/>
      <c r="Y131" s="899"/>
      <c r="Z131" s="899"/>
      <c r="AA131" s="899">
        <v>0</v>
      </c>
      <c r="AB131" s="713">
        <v>0</v>
      </c>
      <c r="AC131" s="713">
        <v>0</v>
      </c>
      <c r="AD131" s="713">
        <v>0</v>
      </c>
      <c r="AE131" s="713">
        <v>0</v>
      </c>
      <c r="AF131" s="713">
        <v>-2.3732488759999999</v>
      </c>
      <c r="AG131" s="713">
        <v>-9.1288583419999991</v>
      </c>
      <c r="AH131" s="713">
        <v>-7.2834957090000003</v>
      </c>
      <c r="AI131" s="713">
        <v>-7.9595431510000001</v>
      </c>
      <c r="AJ131" s="896">
        <v>-2.5921175000000001E-2</v>
      </c>
      <c r="AK131" s="713">
        <v>-0.266455995</v>
      </c>
      <c r="AL131" s="713">
        <v>-0.91661643900000001</v>
      </c>
      <c r="AM131" s="713">
        <v>-10.011174184000001</v>
      </c>
      <c r="AN131" s="888">
        <v>-13.441583405999999</v>
      </c>
      <c r="AO131" s="888">
        <v>-13.522516945</v>
      </c>
      <c r="AP131" s="710">
        <v>-10.248435263312658</v>
      </c>
      <c r="AQ131" s="710">
        <v>-9.0067969492519442</v>
      </c>
      <c r="AR131" s="710">
        <v>-9.2026700664715495</v>
      </c>
      <c r="AS131" s="710">
        <v>-11.320645095615907</v>
      </c>
      <c r="AT131" s="710">
        <v>-14.155780515257687</v>
      </c>
      <c r="AU131" s="710">
        <v>-17.545916044403409</v>
      </c>
      <c r="AV131" s="710">
        <v>-20.840704075809988</v>
      </c>
      <c r="AW131" s="710">
        <v>-25.218929920849174</v>
      </c>
      <c r="AX131" s="710">
        <v>-28.123400199727964</v>
      </c>
      <c r="AY131" s="710">
        <v>-31.31695387534376</v>
      </c>
      <c r="AZ131" s="710">
        <v>-38.922908623734592</v>
      </c>
      <c r="BA131" s="710">
        <v>-39.670115324083532</v>
      </c>
      <c r="BB131" s="710">
        <v>-39.822189153660773</v>
      </c>
      <c r="BC131" s="710">
        <v>-39.464971628954288</v>
      </c>
      <c r="BD131" s="710">
        <v>-39.484388516592084</v>
      </c>
      <c r="BE131" s="710">
        <v>-39.820781882923534</v>
      </c>
      <c r="BF131" s="710">
        <v>-40.367260560775662</v>
      </c>
      <c r="BG131" s="710">
        <v>-41.107231821379479</v>
      </c>
      <c r="BH131" s="710">
        <v>-41.951520860304534</v>
      </c>
      <c r="BI131" s="710">
        <v>-42.829788556223178</v>
      </c>
      <c r="BJ131" s="710">
        <v>-43.731726361804881</v>
      </c>
      <c r="BK131" s="710">
        <v>-44.451352682858392</v>
      </c>
      <c r="BL131" s="710">
        <v>-47.734852540776537</v>
      </c>
      <c r="BM131" s="710">
        <v>-50.489751276552298</v>
      </c>
      <c r="BN131" s="710">
        <v>-52.851162131414441</v>
      </c>
      <c r="BO131" s="710">
        <v>-54.702531415393686</v>
      </c>
      <c r="BP131" s="710">
        <v>-56.038812965914254</v>
      </c>
      <c r="BQ131" s="710">
        <v>-56.940763224883447</v>
      </c>
      <c r="BR131" s="710">
        <v>-57.462983969437175</v>
      </c>
      <c r="BS131" s="710">
        <v>-57.659241245494215</v>
      </c>
      <c r="BT131" s="710">
        <v>-57.582374572160461</v>
      </c>
      <c r="BU131" s="710">
        <v>-57.278235328544909</v>
      </c>
      <c r="BV131" s="710">
        <v>-56.793191794255421</v>
      </c>
      <c r="BW131" s="710">
        <v>-56.173792266705348</v>
      </c>
      <c r="BX131" s="710">
        <v>-55.46719236035095</v>
      </c>
      <c r="BY131" s="710">
        <v>-55.037358969898413</v>
      </c>
      <c r="BZ131" s="710">
        <v>-54.89788781404328</v>
      </c>
      <c r="CA131" s="710">
        <v>-55.016941118333698</v>
      </c>
      <c r="CB131" s="710">
        <v>-55.366389404496282</v>
      </c>
      <c r="CC131" s="710">
        <v>-55.920266020869832</v>
      </c>
      <c r="CD131" s="710">
        <v>-56.654182497550991</v>
      </c>
      <c r="CE131" s="710">
        <v>-57.544916952370464</v>
      </c>
      <c r="CF131" s="710">
        <v>-58.570085553619869</v>
      </c>
      <c r="CG131" s="710">
        <v>-59.707807818354816</v>
      </c>
      <c r="CH131" s="710">
        <v>-60.935716601783938</v>
      </c>
      <c r="CI131" s="710">
        <v>-62.23087226871197</v>
      </c>
      <c r="CJ131" s="710">
        <v>-63.56977597213131</v>
      </c>
      <c r="CK131" s="710">
        <v>-64.988071628808271</v>
      </c>
      <c r="CL131" s="710">
        <v>-66.45467443024485</v>
      </c>
      <c r="CM131" s="710">
        <v>-67.966786235378578</v>
      </c>
      <c r="CN131" s="710">
        <v>-69.520856927589904</v>
      </c>
      <c r="CO131" s="710">
        <v>-71.113122236661198</v>
      </c>
      <c r="CP131" s="710">
        <v>-72.739640527646827</v>
      </c>
      <c r="CQ131" s="710">
        <v>-74.39634669983451</v>
      </c>
      <c r="CR131" s="710">
        <v>-76.079098057174363</v>
      </c>
      <c r="CS131" s="710">
        <v>-77.783709582321819</v>
      </c>
      <c r="CT131" s="710">
        <v>-79.505860833786301</v>
      </c>
      <c r="CU131" s="710">
        <v>-81.241157469956235</v>
      </c>
      <c r="CV131" s="710">
        <v>-82.985122823355567</v>
      </c>
      <c r="CW131" s="710">
        <v>-84.698700846927991</v>
      </c>
      <c r="CX131" s="710">
        <v>-87.085517963668352</v>
      </c>
      <c r="CY131" s="710">
        <v>-90.150385050072657</v>
      </c>
      <c r="CZ131" s="710">
        <v>-93.915630534377172</v>
      </c>
      <c r="DA131" s="710">
        <v>-98.408512209905695</v>
      </c>
      <c r="DC131" s="12">
        <f t="shared" si="142"/>
        <v>-11.502107217999999</v>
      </c>
      <c r="DD131" s="12">
        <f t="shared" si="126"/>
        <v>-93.205854378652063</v>
      </c>
      <c r="DE131" s="12">
        <f t="shared" si="127"/>
        <v>-374.38703976134082</v>
      </c>
      <c r="DF131" s="12">
        <f t="shared" si="128"/>
        <v>-573.19675439828075</v>
      </c>
      <c r="DG131" s="12">
        <f t="shared" si="129"/>
        <v>-674.65585486458997</v>
      </c>
      <c r="DH131" s="12">
        <f t="shared" si="130"/>
        <v>-759.256869123206</v>
      </c>
      <c r="DI131" s="12">
        <f t="shared" si="133"/>
        <v>-998.98968259902745</v>
      </c>
    </row>
    <row r="132" spans="2:113" outlineLevel="2">
      <c r="B132" s="758"/>
      <c r="F132" s="698"/>
      <c r="G132" s="126" t="s">
        <v>825</v>
      </c>
      <c r="H132" s="126"/>
      <c r="I132" s="609" t="s">
        <v>736</v>
      </c>
      <c r="O132" s="715"/>
      <c r="P132" s="715"/>
      <c r="Q132" s="715"/>
      <c r="R132" s="715"/>
      <c r="S132" s="715"/>
      <c r="T132" s="715"/>
      <c r="V132" s="898"/>
      <c r="W132" s="898"/>
      <c r="X132" s="898"/>
      <c r="Y132" s="899"/>
      <c r="Z132" s="899"/>
      <c r="AA132" s="899">
        <v>0</v>
      </c>
      <c r="AB132" s="713">
        <v>0</v>
      </c>
      <c r="AC132" s="713">
        <v>0</v>
      </c>
      <c r="AD132" s="713">
        <v>0</v>
      </c>
      <c r="AE132" s="713">
        <v>0</v>
      </c>
      <c r="AF132" s="713">
        <v>0</v>
      </c>
      <c r="AG132" s="713">
        <v>0</v>
      </c>
      <c r="AH132" s="896">
        <v>0</v>
      </c>
      <c r="AI132" s="896">
        <v>0</v>
      </c>
      <c r="AJ132" s="896">
        <v>0</v>
      </c>
      <c r="AK132" s="713">
        <v>-1.39776E-2</v>
      </c>
      <c r="AL132" s="713">
        <v>-1.6284992000000002E-2</v>
      </c>
      <c r="AM132" s="713">
        <v>-1.88352E-2</v>
      </c>
      <c r="AN132" s="888">
        <v>-2.23E-2</v>
      </c>
      <c r="AO132" s="888">
        <v>-2.5142399999999999E-2</v>
      </c>
      <c r="AP132" s="710">
        <v>0.21075548932765747</v>
      </c>
      <c r="AQ132" s="710">
        <v>0.15515751478825734</v>
      </c>
      <c r="AR132" s="710">
        <v>5.3721751692847874E-2</v>
      </c>
      <c r="AS132" s="710">
        <v>5.2742896703747988E-2</v>
      </c>
      <c r="AT132" s="710">
        <v>6.1273876404683847E-2</v>
      </c>
      <c r="AU132" s="710">
        <v>7.4197419798593955E-2</v>
      </c>
      <c r="AV132" s="710">
        <v>9.2128484274638822E-2</v>
      </c>
      <c r="AW132" s="710">
        <v>0.11159375536732341</v>
      </c>
      <c r="AX132" s="710">
        <v>0.13467144542939025</v>
      </c>
      <c r="AY132" s="710">
        <v>0.15539337246102036</v>
      </c>
      <c r="AZ132" s="710">
        <v>0.17512190820909268</v>
      </c>
      <c r="BA132" s="710">
        <v>0.20719768383776227</v>
      </c>
      <c r="BB132" s="710">
        <v>0.22778318277568133</v>
      </c>
      <c r="BC132" s="710">
        <v>0.2372973050352698</v>
      </c>
      <c r="BD132" s="710">
        <v>0.2372723628274116</v>
      </c>
      <c r="BE132" s="710">
        <v>0.23676963611893598</v>
      </c>
      <c r="BF132" s="710">
        <v>0.23746209991148248</v>
      </c>
      <c r="BG132" s="710">
        <v>0.23979162423722755</v>
      </c>
      <c r="BH132" s="710">
        <v>0.24343592992056529</v>
      </c>
      <c r="BI132" s="710">
        <v>0.24798804929429252</v>
      </c>
      <c r="BJ132" s="710">
        <v>0.25304264056978809</v>
      </c>
      <c r="BK132" s="710">
        <v>0.2583397924316273</v>
      </c>
      <c r="BL132" s="710">
        <v>0.26317101700615808</v>
      </c>
      <c r="BM132" s="710">
        <v>0.27535388499228475</v>
      </c>
      <c r="BN132" s="710">
        <v>0.29088191242351513</v>
      </c>
      <c r="BO132" s="710">
        <v>0.30672651512685434</v>
      </c>
      <c r="BP132" s="710">
        <v>0.31973041699490068</v>
      </c>
      <c r="BQ132" s="710">
        <v>0.32978050996774755</v>
      </c>
      <c r="BR132" s="710">
        <v>0.33699302970217104</v>
      </c>
      <c r="BS132" s="710">
        <v>0.34168778891273632</v>
      </c>
      <c r="BT132" s="710">
        <v>0.34421531482485079</v>
      </c>
      <c r="BU132" s="710">
        <v>0.34489566458751142</v>
      </c>
      <c r="BV132" s="710">
        <v>0.34402525187726951</v>
      </c>
      <c r="BW132" s="710">
        <v>0.34188718482141667</v>
      </c>
      <c r="BX132" s="710">
        <v>0.33875918905920344</v>
      </c>
      <c r="BY132" s="710">
        <v>0.33492168545524237</v>
      </c>
      <c r="BZ132" s="710">
        <v>0.33160691882432047</v>
      </c>
      <c r="CA132" s="710">
        <v>0.32962834642978578</v>
      </c>
      <c r="CB132" s="710">
        <v>0.32927971405536027</v>
      </c>
      <c r="CC132" s="710">
        <v>0.33042667656570757</v>
      </c>
      <c r="CD132" s="710">
        <v>0.33290356504960528</v>
      </c>
      <c r="CE132" s="710">
        <v>0.33655744759403206</v>
      </c>
      <c r="CF132" s="710">
        <v>0.34124419096963265</v>
      </c>
      <c r="CG132" s="710">
        <v>0.34682607257400377</v>
      </c>
      <c r="CH132" s="710">
        <v>0.35316971168612099</v>
      </c>
      <c r="CI132" s="710">
        <v>0.36014210514150591</v>
      </c>
      <c r="CJ132" s="710">
        <v>0.36760806273616708</v>
      </c>
      <c r="CK132" s="710">
        <v>0.37542909085328802</v>
      </c>
      <c r="CL132" s="710">
        <v>0.38364243946745091</v>
      </c>
      <c r="CM132" s="710">
        <v>0.39220254662950538</v>
      </c>
      <c r="CN132" s="710">
        <v>0.40107450071917583</v>
      </c>
      <c r="CO132" s="710">
        <v>0.41021114232228229</v>
      </c>
      <c r="CP132" s="710">
        <v>0.41959131552852114</v>
      </c>
      <c r="CQ132" s="710">
        <v>0.42919215709093805</v>
      </c>
      <c r="CR132" s="710">
        <v>0.43898986661588424</v>
      </c>
      <c r="CS132" s="710">
        <v>0.44895998825381866</v>
      </c>
      <c r="CT132" s="710">
        <v>0.45907766161735708</v>
      </c>
      <c r="CU132" s="710">
        <v>0.46931745844995021</v>
      </c>
      <c r="CV132" s="710">
        <v>0.47965341664905736</v>
      </c>
      <c r="CW132" s="710">
        <v>0.490059045029966</v>
      </c>
      <c r="CX132" s="710">
        <v>0.50040387658009422</v>
      </c>
      <c r="CY132" s="710">
        <v>0.51271645849976721</v>
      </c>
      <c r="CZ132" s="710">
        <v>0.52837539350468887</v>
      </c>
      <c r="DA132" s="710">
        <v>0.54815737227988848</v>
      </c>
      <c r="DC132" s="12">
        <f t="shared" si="142"/>
        <v>0</v>
      </c>
      <c r="DD132" s="12">
        <f t="shared" si="126"/>
        <v>0.37583746051251066</v>
      </c>
      <c r="DE132" s="12">
        <f t="shared" si="127"/>
        <v>1.9507004325398043</v>
      </c>
      <c r="DF132" s="12">
        <f t="shared" si="128"/>
        <v>3.2657043928764438</v>
      </c>
      <c r="DG132" s="12">
        <f t="shared" si="129"/>
        <v>4.0483267651155757</v>
      </c>
      <c r="DH132" s="12">
        <f t="shared" si="130"/>
        <v>4.4010108757427702</v>
      </c>
      <c r="DI132" s="12">
        <f t="shared" si="133"/>
        <v>5.7244940100999315</v>
      </c>
    </row>
    <row r="133" spans="2:113" outlineLevel="2">
      <c r="B133" s="758"/>
      <c r="E133" s="698" t="s">
        <v>820</v>
      </c>
      <c r="I133" s="609" t="s">
        <v>736</v>
      </c>
      <c r="O133" s="696"/>
      <c r="P133" s="696"/>
      <c r="Q133" s="696"/>
      <c r="R133" s="696"/>
      <c r="S133" s="696"/>
      <c r="T133" s="696"/>
      <c r="Y133" s="696"/>
      <c r="Z133" s="696"/>
      <c r="AA133" s="696">
        <f t="shared" ref="AA133:CL133" si="144">AA107+AA121+AA120</f>
        <v>1.15615E-4</v>
      </c>
      <c r="AB133" s="696">
        <f t="shared" si="144"/>
        <v>0.8412148346050462</v>
      </c>
      <c r="AC133" s="696">
        <f t="shared" si="144"/>
        <v>1.4139098497585012</v>
      </c>
      <c r="AD133" s="696">
        <f t="shared" si="144"/>
        <v>1.2112826930104044</v>
      </c>
      <c r="AE133" s="696">
        <f t="shared" si="144"/>
        <v>1.701360319184587</v>
      </c>
      <c r="AF133" s="696">
        <f t="shared" si="144"/>
        <v>2.8213610740448489</v>
      </c>
      <c r="AG133" s="696">
        <f t="shared" si="144"/>
        <v>7.6198572918331617</v>
      </c>
      <c r="AH133" s="696">
        <f t="shared" si="144"/>
        <v>6.8634017147301165</v>
      </c>
      <c r="AI133" s="696">
        <f t="shared" si="144"/>
        <v>-4.0569692357659495</v>
      </c>
      <c r="AJ133" s="696">
        <f t="shared" si="144"/>
        <v>2.564918303490316</v>
      </c>
      <c r="AK133" s="696">
        <f t="shared" si="144"/>
        <v>2.3495426080779431</v>
      </c>
      <c r="AL133" s="696">
        <f t="shared" si="144"/>
        <v>6.156498671875549</v>
      </c>
      <c r="AM133" s="696">
        <f t="shared" si="144"/>
        <v>7.4366021321259694</v>
      </c>
      <c r="AN133" s="872">
        <f t="shared" si="144"/>
        <v>8.5064041716925018</v>
      </c>
      <c r="AO133" s="872">
        <f t="shared" si="144"/>
        <v>12.03111891242712</v>
      </c>
      <c r="AP133" s="872">
        <f t="shared" si="144"/>
        <v>10.094512305866001</v>
      </c>
      <c r="AQ133" s="696">
        <f t="shared" si="144"/>
        <v>1.9503544656063738</v>
      </c>
      <c r="AR133" s="696">
        <f t="shared" si="144"/>
        <v>10.170666877877565</v>
      </c>
      <c r="AS133" s="696">
        <f t="shared" si="144"/>
        <v>11.11917551853416</v>
      </c>
      <c r="AT133" s="696">
        <f t="shared" si="144"/>
        <v>-20.1348463250396</v>
      </c>
      <c r="AU133" s="696">
        <f t="shared" si="144"/>
        <v>6.2905349536536193</v>
      </c>
      <c r="AV133" s="696">
        <f t="shared" si="144"/>
        <v>5.3107346455034907</v>
      </c>
      <c r="AW133" s="696">
        <f t="shared" si="144"/>
        <v>4.0183902036558017</v>
      </c>
      <c r="AX133" s="696">
        <f t="shared" si="144"/>
        <v>3.3264002977094407</v>
      </c>
      <c r="AY133" s="696">
        <f t="shared" si="144"/>
        <v>3.8409089924905118</v>
      </c>
      <c r="AZ133" s="696">
        <f t="shared" si="144"/>
        <v>5.2321642649258422</v>
      </c>
      <c r="BA133" s="696">
        <f t="shared" si="144"/>
        <v>3.3073716653659133</v>
      </c>
      <c r="BB133" s="696">
        <f t="shared" si="144"/>
        <v>5.3248421029930952</v>
      </c>
      <c r="BC133" s="696">
        <f t="shared" si="144"/>
        <v>7.7988586245831755</v>
      </c>
      <c r="BD133" s="696">
        <f t="shared" si="144"/>
        <v>10.570464423979239</v>
      </c>
      <c r="BE133" s="696">
        <f t="shared" si="144"/>
        <v>13.353021057192727</v>
      </c>
      <c r="BF133" s="696">
        <f t="shared" si="144"/>
        <v>16.415782683856342</v>
      </c>
      <c r="BG133" s="696">
        <f t="shared" si="144"/>
        <v>16.233806757073914</v>
      </c>
      <c r="BH133" s="696">
        <f t="shared" si="144"/>
        <v>17.082836676522057</v>
      </c>
      <c r="BI133" s="696">
        <f t="shared" si="144"/>
        <v>17.098629319041784</v>
      </c>
      <c r="BJ133" s="696">
        <f t="shared" si="144"/>
        <v>16.852909624026559</v>
      </c>
      <c r="BK133" s="696">
        <f t="shared" si="144"/>
        <v>16.34521845046735</v>
      </c>
      <c r="BL133" s="696">
        <f t="shared" si="144"/>
        <v>16.178419907380459</v>
      </c>
      <c r="BM133" s="696">
        <f t="shared" si="144"/>
        <v>14.392998247145265</v>
      </c>
      <c r="BN133" s="696">
        <f t="shared" si="144"/>
        <v>12.76185022063914</v>
      </c>
      <c r="BO133" s="696">
        <f t="shared" si="144"/>
        <v>11.214670703889531</v>
      </c>
      <c r="BP133" s="696">
        <f t="shared" si="144"/>
        <v>9.8382708300613686</v>
      </c>
      <c r="BQ133" s="696">
        <f t="shared" si="144"/>
        <v>8.6703355940745723</v>
      </c>
      <c r="BR133" s="696">
        <f t="shared" si="144"/>
        <v>7.5077803631108964</v>
      </c>
      <c r="BS133" s="696">
        <f t="shared" si="144"/>
        <v>7.2781512399224511</v>
      </c>
      <c r="BT133" s="696">
        <f t="shared" si="144"/>
        <v>7.4061189527429718</v>
      </c>
      <c r="BU133" s="696">
        <f t="shared" si="144"/>
        <v>7.838488075642644</v>
      </c>
      <c r="BV133" s="696">
        <f t="shared" si="144"/>
        <v>8.4702709402546219</v>
      </c>
      <c r="BW133" s="696">
        <f t="shared" si="144"/>
        <v>9.2599301748968657</v>
      </c>
      <c r="BX133" s="696">
        <f t="shared" si="144"/>
        <v>10.175062682443212</v>
      </c>
      <c r="BY133" s="696">
        <f t="shared" si="144"/>
        <v>11.232619443880139</v>
      </c>
      <c r="BZ133" s="696">
        <f t="shared" si="144"/>
        <v>12.220434244271232</v>
      </c>
      <c r="CA133" s="696">
        <f t="shared" si="144"/>
        <v>13.115497470559148</v>
      </c>
      <c r="CB133" s="696">
        <f t="shared" si="144"/>
        <v>13.920206330620658</v>
      </c>
      <c r="CC133" s="696">
        <f t="shared" si="144"/>
        <v>14.63461862537666</v>
      </c>
      <c r="CD133" s="696">
        <f t="shared" si="144"/>
        <v>14.78140510739847</v>
      </c>
      <c r="CE133" s="696">
        <f t="shared" si="144"/>
        <v>15.453855580319484</v>
      </c>
      <c r="CF133" s="696">
        <f t="shared" si="144"/>
        <v>16.078535520505156</v>
      </c>
      <c r="CG133" s="696">
        <f t="shared" si="144"/>
        <v>16.665689779199553</v>
      </c>
      <c r="CH133" s="696">
        <f t="shared" si="144"/>
        <v>17.215603051292064</v>
      </c>
      <c r="CI133" s="696">
        <f t="shared" si="144"/>
        <v>17.74028484128381</v>
      </c>
      <c r="CJ133" s="696">
        <f t="shared" si="144"/>
        <v>18.246713277661769</v>
      </c>
      <c r="CK133" s="696">
        <f t="shared" si="144"/>
        <v>18.751318946418223</v>
      </c>
      <c r="CL133" s="696">
        <f t="shared" si="144"/>
        <v>19.227310542431042</v>
      </c>
      <c r="CM133" s="696">
        <f t="shared" ref="CM133:DA133" si="145">CM107+CM121+CM120</f>
        <v>19.689446368804539</v>
      </c>
      <c r="CN133" s="696">
        <f t="shared" si="145"/>
        <v>20.13648989823281</v>
      </c>
      <c r="CO133" s="696">
        <f t="shared" si="145"/>
        <v>20.567553623142871</v>
      </c>
      <c r="CP133" s="696">
        <f t="shared" si="145"/>
        <v>20.593933676355007</v>
      </c>
      <c r="CQ133" s="696">
        <f t="shared" si="145"/>
        <v>20.991396974306326</v>
      </c>
      <c r="CR133" s="696">
        <f t="shared" si="145"/>
        <v>21.81580193526365</v>
      </c>
      <c r="CS133" s="696">
        <f t="shared" si="145"/>
        <v>23.106617641457305</v>
      </c>
      <c r="CT133" s="696">
        <f t="shared" si="145"/>
        <v>24.885471338796705</v>
      </c>
      <c r="CU133" s="696">
        <f t="shared" si="145"/>
        <v>27.046428137838177</v>
      </c>
      <c r="CV133" s="696">
        <f t="shared" si="145"/>
        <v>29.609888481502381</v>
      </c>
      <c r="CW133" s="696">
        <f t="shared" si="145"/>
        <v>32.5894485615203</v>
      </c>
      <c r="CX133" s="696">
        <f t="shared" si="145"/>
        <v>36.134106191048915</v>
      </c>
      <c r="CY133" s="696">
        <f t="shared" si="145"/>
        <v>39.873642341944901</v>
      </c>
      <c r="CZ133" s="696">
        <f t="shared" si="145"/>
        <v>43.831718025373547</v>
      </c>
      <c r="DA133" s="696">
        <f t="shared" si="145"/>
        <v>48.023031786799365</v>
      </c>
      <c r="DC133" s="14">
        <f>SUM(V133:AG133)</f>
        <v>15.609101677436549</v>
      </c>
      <c r="DD133" s="14">
        <f t="shared" si="126"/>
        <v>75.186226446537674</v>
      </c>
      <c r="DE133" s="14">
        <f t="shared" si="127"/>
        <v>48.238844907013252</v>
      </c>
      <c r="DF133" s="14">
        <f t="shared" si="128"/>
        <v>173.08572901417833</v>
      </c>
      <c r="DG133" s="14">
        <f t="shared" si="129"/>
        <v>123.0591785437215</v>
      </c>
      <c r="DH133" s="14">
        <f t="shared" si="130"/>
        <v>214.55420653668978</v>
      </c>
      <c r="DI133" s="14">
        <f t="shared" si="133"/>
        <v>368.50148509220662</v>
      </c>
    </row>
    <row r="134" spans="2:113" outlineLevel="2">
      <c r="B134" s="758"/>
      <c r="E134" s="229"/>
      <c r="F134" s="230" t="s">
        <v>423</v>
      </c>
      <c r="I134" s="609" t="s">
        <v>736</v>
      </c>
      <c r="O134" s="696"/>
      <c r="P134" s="696"/>
      <c r="Q134" s="696"/>
      <c r="R134" s="696"/>
      <c r="S134" s="696"/>
      <c r="T134" s="696"/>
      <c r="Y134" s="696"/>
      <c r="Z134" s="696"/>
      <c r="AA134" s="710"/>
      <c r="AB134" s="710"/>
      <c r="AC134" s="710"/>
      <c r="AD134" s="710"/>
      <c r="AE134" s="710"/>
      <c r="AF134" s="710"/>
      <c r="AG134" s="710"/>
      <c r="AH134" s="710">
        <v>17.749568959196381</v>
      </c>
      <c r="AI134" s="710">
        <v>24.736000650701133</v>
      </c>
      <c r="AJ134" s="710">
        <v>33.682158085176191</v>
      </c>
      <c r="AK134" s="710">
        <v>46.259236661994912</v>
      </c>
      <c r="AL134" s="710">
        <v>58.662876883970732</v>
      </c>
      <c r="AM134" s="710">
        <v>65.750406461386717</v>
      </c>
      <c r="AN134" s="710">
        <v>74.639110285931935</v>
      </c>
      <c r="AO134" s="710">
        <v>83.588696011771646</v>
      </c>
      <c r="AP134" s="710">
        <v>93.244618730909124</v>
      </c>
      <c r="AQ134" s="710">
        <v>98.784274152464462</v>
      </c>
      <c r="AR134" s="710">
        <v>109.82092418217256</v>
      </c>
      <c r="AS134" s="710">
        <v>123.15327300164542</v>
      </c>
      <c r="AT134" s="710">
        <v>78.57087824178754</v>
      </c>
      <c r="AU134" s="710">
        <v>92.658065157304875</v>
      </c>
      <c r="AV134" s="710">
        <v>106.54512791737395</v>
      </c>
      <c r="AW134" s="710">
        <v>124.82834017915248</v>
      </c>
      <c r="AX134" s="710">
        <v>139.38735948296016</v>
      </c>
      <c r="AY134" s="710">
        <v>151.13498159509396</v>
      </c>
      <c r="AZ134" s="710">
        <v>159.28104261746034</v>
      </c>
      <c r="BA134" s="710">
        <v>159.84008129532378</v>
      </c>
      <c r="BB134" s="710">
        <v>159.99596990703031</v>
      </c>
      <c r="BC134" s="710">
        <v>160.55560986978944</v>
      </c>
      <c r="BD134" s="710">
        <v>162.22007187763487</v>
      </c>
      <c r="BE134" s="710">
        <v>164.71452666272049</v>
      </c>
      <c r="BF134" s="710">
        <v>167.75356818495771</v>
      </c>
      <c r="BG134" s="710">
        <v>171.1494153861847</v>
      </c>
      <c r="BH134" s="710">
        <v>174.52162991872069</v>
      </c>
      <c r="BI134" s="710">
        <v>180.3833282964473</v>
      </c>
      <c r="BJ134" s="710">
        <v>188.1358547670622</v>
      </c>
      <c r="BK134" s="710">
        <v>197.34743289151871</v>
      </c>
      <c r="BL134" s="710">
        <v>207.67379033462555</v>
      </c>
      <c r="BM134" s="710">
        <v>216.03536812247296</v>
      </c>
      <c r="BN134" s="710">
        <v>222.52743714831624</v>
      </c>
      <c r="BO134" s="710">
        <v>227.16565131328997</v>
      </c>
      <c r="BP134" s="710">
        <v>230.13613495467993</v>
      </c>
      <c r="BQ134" s="710">
        <v>231.68273945218903</v>
      </c>
      <c r="BR134" s="710">
        <v>232.01425588034223</v>
      </c>
      <c r="BS134" s="710">
        <v>231.33117723305247</v>
      </c>
      <c r="BT134" s="710">
        <v>229.82675249793101</v>
      </c>
      <c r="BU134" s="710">
        <v>227.68856348454807</v>
      </c>
      <c r="BV134" s="710">
        <v>225.42873893145807</v>
      </c>
      <c r="BW134" s="710">
        <v>223.5227251742831</v>
      </c>
      <c r="BX134" s="710">
        <v>222.36472301401005</v>
      </c>
      <c r="BY134" s="710">
        <v>222.27150493230775</v>
      </c>
      <c r="BZ134" s="710">
        <v>223.16976277683324</v>
      </c>
      <c r="CA134" s="710">
        <v>224.94827663568614</v>
      </c>
      <c r="CB134" s="710">
        <v>227.50449291509915</v>
      </c>
      <c r="CC134" s="710">
        <v>230.74164034661686</v>
      </c>
      <c r="CD134" s="710">
        <v>234.56705834358081</v>
      </c>
      <c r="CE134" s="710">
        <v>238.89010705857731</v>
      </c>
      <c r="CF134" s="710">
        <v>243.62041490807039</v>
      </c>
      <c r="CG134" s="710">
        <v>248.66647573970198</v>
      </c>
      <c r="CH134" s="710">
        <v>253.9954986035271</v>
      </c>
      <c r="CI134" s="710">
        <v>259.56521482471106</v>
      </c>
      <c r="CJ134" s="710">
        <v>265.35369570202135</v>
      </c>
      <c r="CK134" s="710">
        <v>271.35889569801719</v>
      </c>
      <c r="CL134" s="710">
        <v>277.53949131313129</v>
      </c>
      <c r="CM134" s="710">
        <v>283.88129268821922</v>
      </c>
      <c r="CN134" s="710">
        <v>290.36883763762501</v>
      </c>
      <c r="CO134" s="710">
        <v>296.98606768750204</v>
      </c>
      <c r="CP134" s="710">
        <v>303.71650135643051</v>
      </c>
      <c r="CQ134" s="710">
        <v>310.54327479394141</v>
      </c>
      <c r="CR134" s="710">
        <v>317.44919183296236</v>
      </c>
      <c r="CS134" s="710">
        <v>324.41671924046324</v>
      </c>
      <c r="CT134" s="710">
        <v>331.39275034232122</v>
      </c>
      <c r="CU134" s="710">
        <v>339.04683683809122</v>
      </c>
      <c r="CV134" s="710">
        <v>348.05087399775528</v>
      </c>
      <c r="CW134" s="710">
        <v>359.10060856741012</v>
      </c>
      <c r="CX134" s="710">
        <v>372.95486595484311</v>
      </c>
      <c r="CY134" s="710">
        <v>389.70063884054031</v>
      </c>
      <c r="CZ134" s="710">
        <v>409.45528802782138</v>
      </c>
      <c r="DA134" s="710">
        <v>432.35185595224311</v>
      </c>
      <c r="DC134" s="11">
        <f t="shared" ref="DC134:DC139" si="146">AG134</f>
        <v>0</v>
      </c>
      <c r="DD134" s="11">
        <f t="shared" ref="DD134:DD139" si="147">AS134</f>
        <v>123.15327300164542</v>
      </c>
      <c r="DE134" s="11">
        <f t="shared" ref="DE134:DE139" si="148">BE134</f>
        <v>164.71452666272049</v>
      </c>
      <c r="DF134" s="11">
        <f t="shared" ref="DF134:DF139" si="149">BQ134</f>
        <v>231.68273945218903</v>
      </c>
      <c r="DG134" s="11">
        <f t="shared" ref="DG134:DG139" si="150">CC134</f>
        <v>230.74164034661686</v>
      </c>
      <c r="DH134" s="11">
        <f t="shared" ref="DH134:DH139" si="151">CO134</f>
        <v>296.98606768750204</v>
      </c>
      <c r="DI134" s="11">
        <f t="shared" ref="DI134:DI139" si="152">DA134</f>
        <v>432.35185595224311</v>
      </c>
    </row>
    <row r="135" spans="2:113" outlineLevel="2">
      <c r="B135" s="758"/>
      <c r="E135" s="229"/>
      <c r="F135" s="230" t="s">
        <v>810</v>
      </c>
      <c r="I135" s="609" t="s">
        <v>736</v>
      </c>
      <c r="O135" s="696"/>
      <c r="P135" s="696"/>
      <c r="Q135" s="696"/>
      <c r="R135" s="696"/>
      <c r="S135" s="696"/>
      <c r="T135" s="696"/>
      <c r="Y135" s="696"/>
      <c r="Z135" s="696"/>
      <c r="AA135" s="710"/>
      <c r="AB135" s="710"/>
      <c r="AC135" s="710"/>
      <c r="AD135" s="710"/>
      <c r="AE135" s="710"/>
      <c r="AF135" s="710"/>
      <c r="AG135" s="710"/>
      <c r="AH135" s="710">
        <v>54.767981645382882</v>
      </c>
      <c r="AI135" s="710">
        <v>69.49557771383364</v>
      </c>
      <c r="AJ135" s="710">
        <v>73.041412749386211</v>
      </c>
      <c r="AK135" s="710">
        <v>86.099644646674889</v>
      </c>
      <c r="AL135" s="710">
        <v>92.588482114270946</v>
      </c>
      <c r="AM135" s="710">
        <v>107.25520213493343</v>
      </c>
      <c r="AN135" s="710">
        <v>122.00834948639164</v>
      </c>
      <c r="AO135" s="710">
        <v>139.5968275735946</v>
      </c>
      <c r="AP135" s="710">
        <v>164.75243902505039</v>
      </c>
      <c r="AQ135" s="710">
        <v>183.97406335024007</v>
      </c>
      <c r="AR135" s="710">
        <v>208.37542168520355</v>
      </c>
      <c r="AS135" s="710">
        <v>235.40845888641633</v>
      </c>
      <c r="AT135" s="710">
        <v>211.07057271064218</v>
      </c>
      <c r="AU135" s="710">
        <v>238.78285966913111</v>
      </c>
      <c r="AV135" s="710">
        <v>262.23300384201389</v>
      </c>
      <c r="AW135" s="710">
        <v>281.30295392154017</v>
      </c>
      <c r="AX135" s="710">
        <v>296.12489885027514</v>
      </c>
      <c r="AY135" s="710">
        <v>308.59925665005738</v>
      </c>
      <c r="AZ135" s="710">
        <v>318.61871225235251</v>
      </c>
      <c r="BA135" s="710">
        <v>321.9932107435119</v>
      </c>
      <c r="BB135" s="710">
        <v>325.61927359901841</v>
      </c>
      <c r="BC135" s="710">
        <v>330.06078528597681</v>
      </c>
      <c r="BD135" s="710">
        <v>334.97049115127794</v>
      </c>
      <c r="BE135" s="710">
        <v>340.21082124177633</v>
      </c>
      <c r="BF135" s="710">
        <v>351.0544291974395</v>
      </c>
      <c r="BG135" s="710">
        <v>363.92634515774131</v>
      </c>
      <c r="BH135" s="710">
        <v>378.16002087994138</v>
      </c>
      <c r="BI135" s="710">
        <v>392.95032248952168</v>
      </c>
      <c r="BJ135" s="710">
        <v>407.70235162430413</v>
      </c>
      <c r="BK135" s="710">
        <v>422.00517132186377</v>
      </c>
      <c r="BL135" s="710">
        <v>435.69937232298992</v>
      </c>
      <c r="BM135" s="710">
        <v>445.95000831227208</v>
      </c>
      <c r="BN135" s="710">
        <v>453.06681743892068</v>
      </c>
      <c r="BO135" s="710">
        <v>457.26512060083309</v>
      </c>
      <c r="BP135" s="710">
        <v>458.92295120874132</v>
      </c>
      <c r="BQ135" s="710">
        <v>458.46962385686396</v>
      </c>
      <c r="BR135" s="710">
        <v>456.30125653706045</v>
      </c>
      <c r="BS135" s="710">
        <v>453.39114960974138</v>
      </c>
      <c r="BT135" s="710">
        <v>450.41022195304845</v>
      </c>
      <c r="BU135" s="710">
        <v>447.88519002314939</v>
      </c>
      <c r="BV135" s="710">
        <v>446.25532449673551</v>
      </c>
      <c r="BW135" s="710">
        <v>445.88352209711599</v>
      </c>
      <c r="BX135" s="710">
        <v>447.06064144146092</v>
      </c>
      <c r="BY135" s="710">
        <v>450.00628784181538</v>
      </c>
      <c r="BZ135" s="710">
        <v>454.55448407058475</v>
      </c>
      <c r="CA135" s="710">
        <v>460.50442492029345</v>
      </c>
      <c r="CB135" s="710">
        <v>467.66451224756645</v>
      </c>
      <c r="CC135" s="710">
        <v>475.84786441588687</v>
      </c>
      <c r="CD135" s="710">
        <v>484.86953280046862</v>
      </c>
      <c r="CE135" s="710">
        <v>494.6545056125687</v>
      </c>
      <c r="CF135" s="710">
        <v>505.06979762484502</v>
      </c>
      <c r="CG135" s="710">
        <v>516.02181379274452</v>
      </c>
      <c r="CH135" s="710">
        <v>527.43541794138616</v>
      </c>
      <c r="CI135" s="710">
        <v>539.25452126504604</v>
      </c>
      <c r="CJ135" s="710">
        <v>551.44201957437667</v>
      </c>
      <c r="CK135" s="710">
        <v>563.98004237892701</v>
      </c>
      <c r="CL135" s="710">
        <v>576.81097477922197</v>
      </c>
      <c r="CM135" s="710">
        <v>589.90404164140023</v>
      </c>
      <c r="CN135" s="710">
        <v>603.2268171287966</v>
      </c>
      <c r="CO135" s="710">
        <v>616.74594829146542</v>
      </c>
      <c r="CP135" s="710">
        <v>630.42728298888005</v>
      </c>
      <c r="CQ135" s="710">
        <v>644.17230775585449</v>
      </c>
      <c r="CR135" s="710">
        <v>659.21429214102977</v>
      </c>
      <c r="CS135" s="710">
        <v>676.28255027687169</v>
      </c>
      <c r="CT135" s="710">
        <v>696.11060287913722</v>
      </c>
      <c r="CU135" s="710">
        <v>719.44808315878879</v>
      </c>
      <c r="CV135" s="710">
        <v>747.07880599886948</v>
      </c>
      <c r="CW135" s="710">
        <v>779.8268021078427</v>
      </c>
      <c r="CX135" s="710">
        <v>818.59282768030073</v>
      </c>
      <c r="CY135" s="710">
        <v>863.61687007302635</v>
      </c>
      <c r="CZ135" s="710">
        <v>915.17800659491138</v>
      </c>
      <c r="DA135" s="710">
        <v>973.57697521622845</v>
      </c>
      <c r="DC135" s="11">
        <f t="shared" si="146"/>
        <v>0</v>
      </c>
      <c r="DD135" s="11">
        <f t="shared" si="147"/>
        <v>235.40845888641633</v>
      </c>
      <c r="DE135" s="11">
        <f t="shared" si="148"/>
        <v>340.21082124177633</v>
      </c>
      <c r="DF135" s="11">
        <f t="shared" si="149"/>
        <v>458.46962385686396</v>
      </c>
      <c r="DG135" s="11">
        <f t="shared" si="150"/>
        <v>475.84786441588687</v>
      </c>
      <c r="DH135" s="11">
        <f t="shared" si="151"/>
        <v>616.74594829146542</v>
      </c>
      <c r="DI135" s="11">
        <f t="shared" si="152"/>
        <v>973.57697521622845</v>
      </c>
    </row>
    <row r="136" spans="2:113" outlineLevel="2">
      <c r="B136" s="758"/>
      <c r="E136" s="230" t="s">
        <v>811</v>
      </c>
      <c r="F136" s="230"/>
      <c r="I136" s="609" t="s">
        <v>812</v>
      </c>
      <c r="O136" s="696"/>
      <c r="P136" s="696"/>
      <c r="Q136" s="696"/>
      <c r="R136" s="696"/>
      <c r="S136" s="696"/>
      <c r="T136" s="696"/>
      <c r="Y136" s="696"/>
      <c r="Z136" s="696"/>
      <c r="AA136" s="753"/>
      <c r="AB136" s="753"/>
      <c r="AC136" s="753"/>
      <c r="AD136" s="753"/>
      <c r="AE136" s="753"/>
      <c r="AF136" s="753"/>
      <c r="AG136" s="753"/>
      <c r="AH136" s="753">
        <f t="shared" ref="AH136:CS136" si="153">AH134/AH104</f>
        <v>4.8637212951847898E-2</v>
      </c>
      <c r="AI136" s="753">
        <f t="shared" si="153"/>
        <v>6.3753551239951953E-2</v>
      </c>
      <c r="AJ136" s="753">
        <f t="shared" si="153"/>
        <v>8.2877561272269626E-2</v>
      </c>
      <c r="AK136" s="753">
        <f t="shared" si="153"/>
        <v>9.9078890441686357E-2</v>
      </c>
      <c r="AL136" s="753">
        <f t="shared" si="153"/>
        <v>0.109838848786681</v>
      </c>
      <c r="AM136" s="753">
        <f t="shared" si="153"/>
        <v>0.10287734899907823</v>
      </c>
      <c r="AN136" s="753">
        <f t="shared" si="153"/>
        <v>0.10016066996342601</v>
      </c>
      <c r="AO136" s="753">
        <f t="shared" si="153"/>
        <v>9.9681267123673437E-2</v>
      </c>
      <c r="AP136" s="753">
        <f t="shared" si="153"/>
        <v>9.5662409748966823E-2</v>
      </c>
      <c r="AQ136" s="753">
        <f t="shared" si="153"/>
        <v>9.0858484047057486E-2</v>
      </c>
      <c r="AR136" s="753">
        <f t="shared" si="153"/>
        <v>8.9966096309590224E-2</v>
      </c>
      <c r="AS136" s="753">
        <f t="shared" si="153"/>
        <v>9.011182980415465E-2</v>
      </c>
      <c r="AT136" s="753">
        <f t="shared" si="153"/>
        <v>5.7284671561825921E-2</v>
      </c>
      <c r="AU136" s="753">
        <f t="shared" si="153"/>
        <v>6.5649209070918702E-2</v>
      </c>
      <c r="AV136" s="753">
        <f t="shared" si="153"/>
        <v>7.213462589317772E-2</v>
      </c>
      <c r="AW136" s="753">
        <f t="shared" si="153"/>
        <v>8.0340459698709121E-2</v>
      </c>
      <c r="AX136" s="753">
        <f t="shared" si="153"/>
        <v>8.4896728205544031E-2</v>
      </c>
      <c r="AY136" s="753">
        <f t="shared" si="153"/>
        <v>8.677344893994772E-2</v>
      </c>
      <c r="AZ136" s="753">
        <f t="shared" si="153"/>
        <v>8.5878561579666585E-2</v>
      </c>
      <c r="BA136" s="753">
        <f t="shared" si="153"/>
        <v>8.0909271073052999E-2</v>
      </c>
      <c r="BB136" s="753">
        <f t="shared" si="153"/>
        <v>7.5812234171678802E-2</v>
      </c>
      <c r="BC136" s="753">
        <f t="shared" si="153"/>
        <v>7.1633273688223129E-2</v>
      </c>
      <c r="BD136" s="753">
        <f t="shared" si="153"/>
        <v>6.7998370247414092E-2</v>
      </c>
      <c r="BE136" s="753">
        <f t="shared" si="153"/>
        <v>6.478792420904278E-2</v>
      </c>
      <c r="BF136" s="753">
        <f t="shared" si="153"/>
        <v>6.2587606966159476E-2</v>
      </c>
      <c r="BG136" s="753">
        <f t="shared" si="153"/>
        <v>6.1078740932767064E-2</v>
      </c>
      <c r="BH136" s="753">
        <f t="shared" si="153"/>
        <v>6.0143495424512042E-2</v>
      </c>
      <c r="BI136" s="753">
        <f t="shared" si="153"/>
        <v>6.0568084773191165E-2</v>
      </c>
      <c r="BJ136" s="753">
        <f t="shared" si="153"/>
        <v>6.1997884945084292E-2</v>
      </c>
      <c r="BK136" s="753">
        <f t="shared" si="153"/>
        <v>6.4220898529113377E-2</v>
      </c>
      <c r="BL136" s="753">
        <f t="shared" si="153"/>
        <v>6.7084698093621775E-2</v>
      </c>
      <c r="BM136" s="753">
        <f t="shared" si="153"/>
        <v>6.9634919129957354E-2</v>
      </c>
      <c r="BN136" s="753">
        <f t="shared" si="153"/>
        <v>7.1887725059671392E-2</v>
      </c>
      <c r="BO136" s="753">
        <f t="shared" si="153"/>
        <v>7.3819610457120544E-2</v>
      </c>
      <c r="BP136" s="753">
        <f t="shared" si="153"/>
        <v>7.544480638941839E-2</v>
      </c>
      <c r="BQ136" s="753">
        <f t="shared" si="153"/>
        <v>7.6783775713414923E-2</v>
      </c>
      <c r="BR136" s="753">
        <f t="shared" si="153"/>
        <v>7.7458355576597193E-2</v>
      </c>
      <c r="BS136" s="753">
        <f t="shared" si="153"/>
        <v>7.7471991953893177E-2</v>
      </c>
      <c r="BT136" s="753">
        <f t="shared" si="153"/>
        <v>7.6903486023567891E-2</v>
      </c>
      <c r="BU136" s="753">
        <f t="shared" si="153"/>
        <v>7.5842971838599227E-2</v>
      </c>
      <c r="BV136" s="753">
        <f t="shared" si="153"/>
        <v>7.4496602152797797E-2</v>
      </c>
      <c r="BW136" s="753">
        <f t="shared" si="153"/>
        <v>7.3058266567359434E-2</v>
      </c>
      <c r="BX136" s="753">
        <f t="shared" si="153"/>
        <v>7.1689333803551886E-2</v>
      </c>
      <c r="BY136" s="753">
        <f t="shared" si="153"/>
        <v>7.0517110154032517E-2</v>
      </c>
      <c r="BZ136" s="753">
        <f t="shared" si="153"/>
        <v>6.9543718270780749E-2</v>
      </c>
      <c r="CA136" s="753">
        <f t="shared" si="153"/>
        <v>6.8756739765745492E-2</v>
      </c>
      <c r="CB136" s="753">
        <f t="shared" si="153"/>
        <v>6.8144420619359408E-2</v>
      </c>
      <c r="CC136" s="753">
        <f t="shared" si="153"/>
        <v>6.7695654415159151E-2</v>
      </c>
      <c r="CD136" s="753">
        <f t="shared" si="153"/>
        <v>6.7346912657557462E-2</v>
      </c>
      <c r="CE136" s="753">
        <f t="shared" si="153"/>
        <v>6.709622436541611E-2</v>
      </c>
      <c r="CF136" s="753">
        <f t="shared" si="153"/>
        <v>6.6917945748870181E-2</v>
      </c>
      <c r="CG136" s="753">
        <f t="shared" si="153"/>
        <v>6.6787832646881123E-2</v>
      </c>
      <c r="CH136" s="753">
        <f t="shared" si="153"/>
        <v>6.6698749755603026E-2</v>
      </c>
      <c r="CI136" s="753">
        <f t="shared" si="153"/>
        <v>6.6641386832154051E-2</v>
      </c>
      <c r="CJ136" s="753">
        <f t="shared" si="153"/>
        <v>6.6612006628658946E-2</v>
      </c>
      <c r="CK136" s="753">
        <f t="shared" si="153"/>
        <v>6.6611736158980833E-2</v>
      </c>
      <c r="CL136" s="753">
        <f t="shared" si="153"/>
        <v>6.6632774866438246E-2</v>
      </c>
      <c r="CM136" s="753">
        <f t="shared" si="153"/>
        <v>6.6674000528406385E-2</v>
      </c>
      <c r="CN136" s="753">
        <f t="shared" si="153"/>
        <v>6.6734147678228786E-2</v>
      </c>
      <c r="CO136" s="753">
        <f t="shared" si="153"/>
        <v>6.6811982817688007E-2</v>
      </c>
      <c r="CP136" s="753">
        <f t="shared" si="153"/>
        <v>6.6929813921487127E-2</v>
      </c>
      <c r="CQ136" s="753">
        <f t="shared" si="153"/>
        <v>6.6616001733742061E-2</v>
      </c>
      <c r="CR136" s="753">
        <f t="shared" si="153"/>
        <v>6.5886451407083366E-2</v>
      </c>
      <c r="CS136" s="753">
        <f t="shared" si="153"/>
        <v>6.4768108723949669E-2</v>
      </c>
      <c r="CT136" s="753">
        <f t="shared" ref="CT136:DA136" si="154">CT134/CT104</f>
        <v>6.3291273908759174E-2</v>
      </c>
      <c r="CU136" s="753">
        <f t="shared" si="154"/>
        <v>6.1626654710517537E-2</v>
      </c>
      <c r="CV136" s="753">
        <f t="shared" si="154"/>
        <v>5.9924124656984983E-2</v>
      </c>
      <c r="CW136" s="753">
        <f t="shared" si="154"/>
        <v>5.8311970587933228E-2</v>
      </c>
      <c r="CX136" s="753">
        <f t="shared" si="154"/>
        <v>5.6899711940918647E-2</v>
      </c>
      <c r="CY136" s="753">
        <f t="shared" si="154"/>
        <v>5.5676529061169912E-2</v>
      </c>
      <c r="CZ136" s="753">
        <f t="shared" si="154"/>
        <v>5.4631699634023444E-2</v>
      </c>
      <c r="DA136" s="753">
        <f t="shared" si="154"/>
        <v>5.3753050445310521E-2</v>
      </c>
      <c r="DC136" s="729">
        <f t="shared" si="146"/>
        <v>0</v>
      </c>
      <c r="DD136" s="729">
        <f t="shared" si="147"/>
        <v>9.011182980415465E-2</v>
      </c>
      <c r="DE136" s="729">
        <f t="shared" si="148"/>
        <v>6.478792420904278E-2</v>
      </c>
      <c r="DF136" s="729">
        <f t="shared" si="149"/>
        <v>7.6783775713414923E-2</v>
      </c>
      <c r="DG136" s="729">
        <f t="shared" si="150"/>
        <v>6.7695654415159151E-2</v>
      </c>
      <c r="DH136" s="729">
        <f t="shared" si="151"/>
        <v>6.6811982817688007E-2</v>
      </c>
      <c r="DI136" s="729">
        <f t="shared" si="152"/>
        <v>5.3753050445310521E-2</v>
      </c>
    </row>
    <row r="137" spans="2:113" outlineLevel="2">
      <c r="B137" s="758"/>
      <c r="E137" s="230" t="s">
        <v>813</v>
      </c>
      <c r="F137" s="230"/>
      <c r="I137" s="609" t="s">
        <v>812</v>
      </c>
      <c r="O137" s="696"/>
      <c r="P137" s="696"/>
      <c r="Q137" s="696"/>
      <c r="R137" s="696"/>
      <c r="S137" s="696"/>
      <c r="T137" s="696"/>
      <c r="Y137" s="696"/>
      <c r="Z137" s="696"/>
      <c r="AA137" s="753"/>
      <c r="AB137" s="753"/>
      <c r="AC137" s="753"/>
      <c r="AD137" s="753"/>
      <c r="AE137" s="753"/>
      <c r="AF137" s="753"/>
      <c r="AG137" s="753"/>
      <c r="AH137" s="753">
        <f t="shared" ref="AH137:CS137" si="155">AH135/AH104</f>
        <v>0.15007474222911987</v>
      </c>
      <c r="AI137" s="753">
        <f t="shared" si="155"/>
        <v>0.17911504520450328</v>
      </c>
      <c r="AJ137" s="753">
        <f t="shared" si="155"/>
        <v>0.17972405881007331</v>
      </c>
      <c r="AK137" s="753">
        <f t="shared" si="155"/>
        <v>0.18440981465707021</v>
      </c>
      <c r="AL137" s="753">
        <f t="shared" si="155"/>
        <v>0.17336027188800493</v>
      </c>
      <c r="AM137" s="753">
        <f t="shared" si="155"/>
        <v>0.1678184433503426</v>
      </c>
      <c r="AN137" s="753">
        <f t="shared" si="155"/>
        <v>0.16372700557219977</v>
      </c>
      <c r="AO137" s="753">
        <f t="shared" si="155"/>
        <v>0.16647213466544822</v>
      </c>
      <c r="AP137" s="753">
        <f t="shared" si="155"/>
        <v>0.16902439565589267</v>
      </c>
      <c r="AQ137" s="753">
        <f t="shared" si="155"/>
        <v>0.1692132137771355</v>
      </c>
      <c r="AR137" s="753">
        <f t="shared" si="155"/>
        <v>0.17070265430279166</v>
      </c>
      <c r="AS137" s="753">
        <f t="shared" si="155"/>
        <v>0.17224947794402234</v>
      </c>
      <c r="AT137" s="753">
        <f t="shared" si="155"/>
        <v>0.15388791247677613</v>
      </c>
      <c r="AU137" s="753">
        <f t="shared" si="155"/>
        <v>0.16918015555750884</v>
      </c>
      <c r="AV137" s="753">
        <f t="shared" si="155"/>
        <v>0.17754054078997758</v>
      </c>
      <c r="AW137" s="753">
        <f t="shared" si="155"/>
        <v>0.18104869935966467</v>
      </c>
      <c r="AX137" s="753">
        <f t="shared" si="155"/>
        <v>0.18036093908256687</v>
      </c>
      <c r="AY137" s="753">
        <f t="shared" si="155"/>
        <v>0.17718083237387863</v>
      </c>
      <c r="AZ137" s="753">
        <f t="shared" si="155"/>
        <v>0.1717876543934567</v>
      </c>
      <c r="BA137" s="753">
        <f t="shared" si="155"/>
        <v>0.16298938139048391</v>
      </c>
      <c r="BB137" s="753">
        <f t="shared" si="155"/>
        <v>0.15429091517270785</v>
      </c>
      <c r="BC137" s="753">
        <f t="shared" si="155"/>
        <v>0.14725947343300533</v>
      </c>
      <c r="BD137" s="753">
        <f t="shared" si="155"/>
        <v>0.14041078403937662</v>
      </c>
      <c r="BE137" s="753">
        <f t="shared" si="155"/>
        <v>0.13381669090329862</v>
      </c>
      <c r="BF137" s="753">
        <f t="shared" si="155"/>
        <v>0.13097579309975582</v>
      </c>
      <c r="BG137" s="753">
        <f t="shared" si="155"/>
        <v>0.1298757749440301</v>
      </c>
      <c r="BH137" s="753">
        <f t="shared" si="155"/>
        <v>0.13032118423440434</v>
      </c>
      <c r="BI137" s="753">
        <f t="shared" si="155"/>
        <v>0.13194261725276585</v>
      </c>
      <c r="BJ137" s="753">
        <f t="shared" si="155"/>
        <v>0.13435335608483498</v>
      </c>
      <c r="BK137" s="753">
        <f t="shared" si="155"/>
        <v>0.13732913009879466</v>
      </c>
      <c r="BL137" s="753">
        <f t="shared" si="155"/>
        <v>0.14074361913832203</v>
      </c>
      <c r="BM137" s="753">
        <f t="shared" si="155"/>
        <v>0.14374355937507499</v>
      </c>
      <c r="BN137" s="753">
        <f t="shared" si="155"/>
        <v>0.14636371686607502</v>
      </c>
      <c r="BO137" s="753">
        <f t="shared" si="155"/>
        <v>0.14859259260031868</v>
      </c>
      <c r="BP137" s="753">
        <f t="shared" si="155"/>
        <v>0.15044726986669116</v>
      </c>
      <c r="BQ137" s="753">
        <f t="shared" si="155"/>
        <v>0.15194497808889981</v>
      </c>
      <c r="BR137" s="753">
        <f t="shared" si="155"/>
        <v>0.1523369537996149</v>
      </c>
      <c r="BS137" s="753">
        <f t="shared" si="155"/>
        <v>0.15183909023704914</v>
      </c>
      <c r="BT137" s="753">
        <f t="shared" si="155"/>
        <v>0.15071403060072477</v>
      </c>
      <c r="BU137" s="753">
        <f t="shared" si="155"/>
        <v>0.14919038239773805</v>
      </c>
      <c r="BV137" s="753">
        <f t="shared" si="155"/>
        <v>0.14747234769258513</v>
      </c>
      <c r="BW137" s="753">
        <f t="shared" si="155"/>
        <v>0.1457367575935053</v>
      </c>
      <c r="BX137" s="753">
        <f t="shared" si="155"/>
        <v>0.14413023397019517</v>
      </c>
      <c r="BY137" s="753">
        <f t="shared" si="155"/>
        <v>0.14276748150606536</v>
      </c>
      <c r="BZ137" s="753">
        <f t="shared" si="155"/>
        <v>0.14164736560004246</v>
      </c>
      <c r="CA137" s="753">
        <f t="shared" si="155"/>
        <v>0.14075583675841269</v>
      </c>
      <c r="CB137" s="753">
        <f t="shared" si="155"/>
        <v>0.14007955105853054</v>
      </c>
      <c r="CC137" s="753">
        <f t="shared" si="155"/>
        <v>0.13960563223568886</v>
      </c>
      <c r="CD137" s="753">
        <f t="shared" si="155"/>
        <v>0.1392116450895394</v>
      </c>
      <c r="CE137" s="753">
        <f t="shared" si="155"/>
        <v>0.13893187164844226</v>
      </c>
      <c r="CF137" s="753">
        <f t="shared" si="155"/>
        <v>0.13873317361193194</v>
      </c>
      <c r="CG137" s="753">
        <f t="shared" si="155"/>
        <v>0.13859519438320236</v>
      </c>
      <c r="CH137" s="753">
        <f t="shared" si="155"/>
        <v>0.13850356855507634</v>
      </c>
      <c r="CI137" s="753">
        <f t="shared" si="155"/>
        <v>0.1384494805164114</v>
      </c>
      <c r="CJ137" s="753">
        <f t="shared" si="155"/>
        <v>0.13842904793931476</v>
      </c>
      <c r="CK137" s="753">
        <f t="shared" si="155"/>
        <v>0.13844281642302697</v>
      </c>
      <c r="CL137" s="753">
        <f t="shared" si="155"/>
        <v>0.13848305205543274</v>
      </c>
      <c r="CM137" s="753">
        <f t="shared" si="155"/>
        <v>0.1385482713977369</v>
      </c>
      <c r="CN137" s="753">
        <f t="shared" si="155"/>
        <v>0.13863687241803668</v>
      </c>
      <c r="CO137" s="753">
        <f t="shared" si="155"/>
        <v>0.13874731572757257</v>
      </c>
      <c r="CP137" s="753">
        <f t="shared" si="155"/>
        <v>0.13892686289032641</v>
      </c>
      <c r="CQ137" s="753">
        <f t="shared" si="155"/>
        <v>0.13818423084114984</v>
      </c>
      <c r="CR137" s="753">
        <f t="shared" si="155"/>
        <v>0.13681965978624652</v>
      </c>
      <c r="CS137" s="753">
        <f t="shared" si="155"/>
        <v>0.13501628968751123</v>
      </c>
      <c r="CT137" s="753">
        <f t="shared" ref="CT137:DA137" si="156">CT135/CT104</f>
        <v>0.13294716553727964</v>
      </c>
      <c r="CU137" s="753">
        <f t="shared" si="156"/>
        <v>0.13077007004829602</v>
      </c>
      <c r="CV137" s="753">
        <f t="shared" si="156"/>
        <v>0.12862499951531936</v>
      </c>
      <c r="CW137" s="753">
        <f t="shared" si="156"/>
        <v>0.12663091195975612</v>
      </c>
      <c r="CX137" s="753">
        <f t="shared" si="156"/>
        <v>0.12488829170431238</v>
      </c>
      <c r="CY137" s="753">
        <f t="shared" si="156"/>
        <v>0.12338493954589685</v>
      </c>
      <c r="CZ137" s="753">
        <f t="shared" si="156"/>
        <v>0.12210791124172835</v>
      </c>
      <c r="DA137" s="753">
        <f t="shared" si="156"/>
        <v>0.12104199748588877</v>
      </c>
      <c r="DC137" s="729">
        <f t="shared" si="146"/>
        <v>0</v>
      </c>
      <c r="DD137" s="729">
        <f t="shared" si="147"/>
        <v>0.17224947794402234</v>
      </c>
      <c r="DE137" s="729">
        <f t="shared" si="148"/>
        <v>0.13381669090329862</v>
      </c>
      <c r="DF137" s="729">
        <f t="shared" si="149"/>
        <v>0.15194497808889981</v>
      </c>
      <c r="DG137" s="729">
        <f t="shared" si="150"/>
        <v>0.13960563223568886</v>
      </c>
      <c r="DH137" s="729">
        <f t="shared" si="151"/>
        <v>0.13874731572757257</v>
      </c>
      <c r="DI137" s="729">
        <f t="shared" si="152"/>
        <v>0.12104199748588877</v>
      </c>
    </row>
    <row r="138" spans="2:113" outlineLevel="2">
      <c r="B138" s="758"/>
      <c r="E138" s="230" t="s">
        <v>814</v>
      </c>
      <c r="F138" s="229"/>
      <c r="I138" s="609" t="s">
        <v>812</v>
      </c>
      <c r="O138" s="696"/>
      <c r="P138" s="696"/>
      <c r="Q138" s="696"/>
      <c r="R138" s="696"/>
      <c r="S138" s="696"/>
      <c r="T138" s="696"/>
      <c r="Y138" s="696"/>
      <c r="Z138" s="696"/>
      <c r="AA138" s="753"/>
      <c r="AB138" s="753"/>
      <c r="AC138" s="753"/>
      <c r="AD138" s="753"/>
      <c r="AE138" s="753"/>
      <c r="AF138" s="753"/>
      <c r="AG138" s="753"/>
      <c r="AH138" s="756">
        <f>AH120</f>
        <v>-2.2282908830000001</v>
      </c>
      <c r="AI138" s="756">
        <f>AH138+AI120</f>
        <v>-5.184094311</v>
      </c>
      <c r="AJ138" s="756">
        <f t="shared" ref="AJ138:CO138" si="157">AI138+AJ120</f>
        <v>-8.4593977510000009</v>
      </c>
      <c r="AK138" s="756">
        <f t="shared" si="157"/>
        <v>-13.534363473000001</v>
      </c>
      <c r="AL138" s="756">
        <f t="shared" si="157"/>
        <v>-18.978115462000002</v>
      </c>
      <c r="AM138" s="756">
        <f t="shared" si="157"/>
        <v>-25.287117172000002</v>
      </c>
      <c r="AN138" s="756">
        <f t="shared" si="157"/>
        <v>-37.247298684</v>
      </c>
      <c r="AO138" s="756">
        <f t="shared" si="157"/>
        <v>-47.496553222000003</v>
      </c>
      <c r="AP138" s="756">
        <f t="shared" si="157"/>
        <v>-59.300786743000003</v>
      </c>
      <c r="AQ138" s="756">
        <f t="shared" si="157"/>
        <v>-79.857049365108963</v>
      </c>
      <c r="AR138" s="756">
        <f t="shared" si="157"/>
        <v>-93.911161331251236</v>
      </c>
      <c r="AS138" s="756">
        <f t="shared" si="157"/>
        <v>-110.29980338423648</v>
      </c>
      <c r="AT138" s="756">
        <f>AT120</f>
        <v>-47.239751319003012</v>
      </c>
      <c r="AU138" s="756">
        <f t="shared" si="157"/>
        <v>-69.055485297677535</v>
      </c>
      <c r="AV138" s="756">
        <f t="shared" si="157"/>
        <v>-94.679864148890942</v>
      </c>
      <c r="AW138" s="756">
        <f t="shared" si="157"/>
        <v>-125.06916379552159</v>
      </c>
      <c r="AX138" s="756">
        <f t="shared" si="157"/>
        <v>-159.19656639207221</v>
      </c>
      <c r="AY138" s="756">
        <f t="shared" si="157"/>
        <v>-196.24539873467</v>
      </c>
      <c r="AZ138" s="756">
        <f t="shared" si="157"/>
        <v>-237.83993209289804</v>
      </c>
      <c r="BA138" s="756">
        <f t="shared" si="157"/>
        <v>-284.19162963413623</v>
      </c>
      <c r="BB138" s="756">
        <f t="shared" si="157"/>
        <v>-331.26343110674236</v>
      </c>
      <c r="BC138" s="756">
        <f t="shared" si="157"/>
        <v>-378.41691363129485</v>
      </c>
      <c r="BD138" s="756">
        <f t="shared" si="157"/>
        <v>-425.62226988221562</v>
      </c>
      <c r="BE138" s="756">
        <f t="shared" si="157"/>
        <v>-473.228678917445</v>
      </c>
      <c r="BF138" s="756">
        <f>BF120</f>
        <v>-48.319869756329304</v>
      </c>
      <c r="BG138" s="756">
        <f t="shared" si="157"/>
        <v>-97.374047951466608</v>
      </c>
      <c r="BH138" s="756">
        <f t="shared" si="157"/>
        <v>-147.19820821337444</v>
      </c>
      <c r="BI138" s="756">
        <f t="shared" si="157"/>
        <v>-198.26631425618666</v>
      </c>
      <c r="BJ138" s="756">
        <f t="shared" si="157"/>
        <v>-250.50341209822813</v>
      </c>
      <c r="BK138" s="756">
        <f t="shared" si="157"/>
        <v>-303.7857299816518</v>
      </c>
      <c r="BL138" s="756">
        <f t="shared" si="157"/>
        <v>-358.80250898962964</v>
      </c>
      <c r="BM138" s="756">
        <f t="shared" si="157"/>
        <v>-416.73763989451197</v>
      </c>
      <c r="BN138" s="756">
        <f t="shared" si="157"/>
        <v>-477.08500528552901</v>
      </c>
      <c r="BO138" s="756">
        <f t="shared" si="157"/>
        <v>-539.38727128957282</v>
      </c>
      <c r="BP138" s="756">
        <f t="shared" si="157"/>
        <v>-603.13177453079561</v>
      </c>
      <c r="BQ138" s="756">
        <f t="shared" si="157"/>
        <v>-667.84324097791819</v>
      </c>
      <c r="BR138" s="756">
        <f>BR120</f>
        <v>-65.404817546204129</v>
      </c>
      <c r="BS138" s="756">
        <f t="shared" si="157"/>
        <v>-131.18920076546598</v>
      </c>
      <c r="BT138" s="756">
        <f t="shared" si="157"/>
        <v>-197.06155309471254</v>
      </c>
      <c r="BU138" s="756">
        <f t="shared" si="157"/>
        <v>-262.7795950578066</v>
      </c>
      <c r="BV138" s="756">
        <f t="shared" si="157"/>
        <v>-328.20501717155486</v>
      </c>
      <c r="BW138" s="756">
        <f t="shared" si="157"/>
        <v>-393.24214559279523</v>
      </c>
      <c r="BX138" s="756">
        <f t="shared" si="157"/>
        <v>-457.83073235257336</v>
      </c>
      <c r="BY138" s="756">
        <f t="shared" si="157"/>
        <v>-522.05632377851202</v>
      </c>
      <c r="BZ138" s="756">
        <f t="shared" si="157"/>
        <v>-586.20956479781535</v>
      </c>
      <c r="CA138" s="756">
        <f t="shared" si="157"/>
        <v>-650.57202443884648</v>
      </c>
      <c r="CB138" s="756">
        <f t="shared" si="157"/>
        <v>-715.39181361604415</v>
      </c>
      <c r="CC138" s="756">
        <f t="shared" si="157"/>
        <v>-780.88652734018649</v>
      </c>
      <c r="CD138" s="756">
        <f>CD120</f>
        <v>-66.382285773632717</v>
      </c>
      <c r="CE138" s="756">
        <f t="shared" si="157"/>
        <v>-133.81821379221788</v>
      </c>
      <c r="CF138" s="756">
        <f t="shared" si="157"/>
        <v>-202.45490618913652</v>
      </c>
      <c r="CG138" s="756">
        <f t="shared" si="157"/>
        <v>-272.41602710018049</v>
      </c>
      <c r="CH138" s="756">
        <f t="shared" si="157"/>
        <v>-343.81117396141849</v>
      </c>
      <c r="CI138" s="756">
        <f t="shared" si="157"/>
        <v>-416.72357850998731</v>
      </c>
      <c r="CJ138" s="756">
        <f t="shared" si="157"/>
        <v>-491.21461385096381</v>
      </c>
      <c r="CK138" s="756">
        <f t="shared" si="157"/>
        <v>-567.34370446797311</v>
      </c>
      <c r="CL138" s="756">
        <f t="shared" si="157"/>
        <v>-645.17882355165693</v>
      </c>
      <c r="CM138" s="756">
        <f t="shared" si="157"/>
        <v>-724.76835711069907</v>
      </c>
      <c r="CN138" s="756">
        <f t="shared" si="157"/>
        <v>-806.15685582627987</v>
      </c>
      <c r="CO138" s="756">
        <f t="shared" si="157"/>
        <v>-889.38451694014248</v>
      </c>
      <c r="CP138" s="756">
        <f>CP120</f>
        <v>-85.088745789733821</v>
      </c>
      <c r="CQ138" s="756">
        <f t="shared" ref="CQ138:DA138" si="158">CP138+CQ120</f>
        <v>-172.34711267392896</v>
      </c>
      <c r="CR138" s="756">
        <f t="shared" si="158"/>
        <v>-261.88888533145126</v>
      </c>
      <c r="CS138" s="756">
        <f t="shared" si="158"/>
        <v>-353.79665773342458</v>
      </c>
      <c r="CT138" s="756">
        <f t="shared" si="158"/>
        <v>-448.14426748327639</v>
      </c>
      <c r="CU138" s="756">
        <f t="shared" si="158"/>
        <v>-545.12799744302083</v>
      </c>
      <c r="CV138" s="756">
        <f t="shared" si="158"/>
        <v>-644.94309453134429</v>
      </c>
      <c r="CW138" s="756">
        <f t="shared" si="158"/>
        <v>-747.77563731262069</v>
      </c>
      <c r="CX138" s="756">
        <f t="shared" si="158"/>
        <v>-854.03988650236738</v>
      </c>
      <c r="CY138" s="756">
        <f t="shared" si="158"/>
        <v>-964.55928048442638</v>
      </c>
      <c r="CZ138" s="756">
        <f t="shared" si="158"/>
        <v>-1080.177013911851</v>
      </c>
      <c r="DA138" s="756">
        <f t="shared" si="158"/>
        <v>-1201.7681789471621</v>
      </c>
      <c r="DB138" s="12"/>
      <c r="DC138" s="12">
        <f t="shared" si="146"/>
        <v>0</v>
      </c>
      <c r="DD138" s="12">
        <f t="shared" si="147"/>
        <v>-110.29980338423648</v>
      </c>
      <c r="DE138" s="12">
        <f t="shared" si="148"/>
        <v>-473.228678917445</v>
      </c>
      <c r="DF138" s="12">
        <f t="shared" si="149"/>
        <v>-667.84324097791819</v>
      </c>
      <c r="DG138" s="12">
        <f t="shared" si="150"/>
        <v>-780.88652734018649</v>
      </c>
      <c r="DH138" s="12">
        <f t="shared" si="151"/>
        <v>-889.38451694014248</v>
      </c>
      <c r="DI138" s="12">
        <f t="shared" si="152"/>
        <v>-1201.7681789471621</v>
      </c>
    </row>
    <row r="139" spans="2:113" outlineLevel="2">
      <c r="B139" s="758"/>
      <c r="E139" s="230" t="s">
        <v>815</v>
      </c>
      <c r="F139" s="229"/>
      <c r="I139" s="609" t="s">
        <v>812</v>
      </c>
      <c r="O139" s="696"/>
      <c r="P139" s="696"/>
      <c r="Q139" s="696"/>
      <c r="R139" s="696"/>
      <c r="S139" s="696"/>
      <c r="T139" s="696"/>
      <c r="Y139" s="696"/>
      <c r="Z139" s="696"/>
      <c r="AA139" s="753"/>
      <c r="AB139" s="753"/>
      <c r="AC139" s="753"/>
      <c r="AD139" s="753"/>
      <c r="AE139" s="753"/>
      <c r="AF139" s="753"/>
      <c r="AG139" s="753"/>
      <c r="AH139" s="753">
        <f>AH138/AVERAGE($AG104:AH104)</f>
        <v>-6.6991224748896945E-3</v>
      </c>
      <c r="AI139" s="753">
        <f>AI138/AVERAGE($AG104:AI104)</f>
        <v>-1.4766096517109006E-2</v>
      </c>
      <c r="AJ139" s="753">
        <f>AJ138/AVERAGE($AG104:AJ104)</f>
        <v>-2.3181968487782589E-2</v>
      </c>
      <c r="AK139" s="753">
        <f>AK138/AVERAGE($AG104:AK104)</f>
        <v>-3.5126011809578223E-2</v>
      </c>
      <c r="AL139" s="753">
        <f>AL138/AVERAGE($AG104:AL104)</f>
        <v>-4.6276317965176984E-2</v>
      </c>
      <c r="AM139" s="753">
        <f>AM138/AVERAGE($AG104:AM104)</f>
        <v>-5.7104729365003062E-2</v>
      </c>
      <c r="AN139" s="753">
        <f>AN138/AVERAGE($AG104:AN104)</f>
        <v>-7.7498962599519675E-2</v>
      </c>
      <c r="AO139" s="753">
        <f>AO138/AVERAGE($AG104:AO104)</f>
        <v>-9.1271390982199024E-2</v>
      </c>
      <c r="AP139" s="753">
        <f>AP138/AVERAGE($AG104:AP104)</f>
        <v>-0.10480467823514519</v>
      </c>
      <c r="AQ139" s="753">
        <f>AQ138/AVERAGE($AG104:AQ104)</f>
        <v>-0.13022516262496206</v>
      </c>
      <c r="AR139" s="753">
        <f>AR138/AVERAGE($AG104:AR104)</f>
        <v>-0.14146542326440981</v>
      </c>
      <c r="AS139" s="753">
        <f>AS138/AVERAGE($AG104:AS104)</f>
        <v>-0.1536403923015611</v>
      </c>
      <c r="AT139" s="753">
        <f>AT138/AVERAGE($AS104:AT104)</f>
        <v>-3.4503506866266125E-2</v>
      </c>
      <c r="AU139" s="753">
        <f>AU138/AVERAGE($AS104:AU104)</f>
        <v>-4.9923601116209998E-2</v>
      </c>
      <c r="AV139" s="753">
        <f>AV138/AVERAGE($AS104:AV104)</f>
        <v>-6.7307544759097102E-2</v>
      </c>
      <c r="AW139" s="753">
        <f>AW138/AVERAGE($AS104:AW104)</f>
        <v>-8.7090140633574661E-2</v>
      </c>
      <c r="AX139" s="753">
        <f>AX138/AVERAGE($AS104:AX104)</f>
        <v>-0.10826888075131684</v>
      </c>
      <c r="AY139" s="753">
        <f>AY138/AVERAGE($AS104:AY104)</f>
        <v>-0.1300375496317929</v>
      </c>
      <c r="AZ139" s="753">
        <f>AZ138/AVERAGE($AS104:AZ104)</f>
        <v>-0.15321365681438007</v>
      </c>
      <c r="BA139" s="753">
        <f>BA138/AVERAGE($AS104:BA104)</f>
        <v>-0.17769035216679405</v>
      </c>
      <c r="BB139" s="753">
        <f>BB138/AVERAGE($AS104:BB104)</f>
        <v>-0.20070849489646694</v>
      </c>
      <c r="BC139" s="753">
        <f>BC138/AVERAGE($AS104:BC104)</f>
        <v>-0.22205125853709889</v>
      </c>
      <c r="BD139" s="753">
        <f>BD138/AVERAGE($AS104:BD104)</f>
        <v>-0.24169687509180388</v>
      </c>
      <c r="BE139" s="753">
        <f>BE138/AVERAGE($AS104:BE104)</f>
        <v>-0.25986122096507597</v>
      </c>
      <c r="BF139" s="753">
        <f>BF138/AVERAGE($BE104:BF104)</f>
        <v>-1.8503914169638272E-2</v>
      </c>
      <c r="BG139" s="753">
        <f>BG138/AVERAGE($BE104:BG104)</f>
        <v>-3.6402530404504946E-2</v>
      </c>
      <c r="BH139" s="753">
        <f>BH138/AVERAGE($BE104:BH104)</f>
        <v>-5.3886535254830767E-2</v>
      </c>
      <c r="BI139" s="753">
        <f>BI138/AVERAGE($BE104:BI104)</f>
        <v>-7.129460434166332E-2</v>
      </c>
      <c r="BJ139" s="753">
        <f>BJ138/AVERAGE($BE104:BJ104)</f>
        <v>-8.8729924596260001E-2</v>
      </c>
      <c r="BK139" s="753">
        <f>BK138/AVERAGE($BE104:BK104)</f>
        <v>-0.10626007592340603</v>
      </c>
      <c r="BL139" s="753">
        <f>BL138/AVERAGE($BE104:BL104)</f>
        <v>-0.12421804022456874</v>
      </c>
      <c r="BM139" s="753">
        <f>BM138/AVERAGE($BE104:BM104)</f>
        <v>-0.14309780666515812</v>
      </c>
      <c r="BN139" s="753">
        <f>BN138/AVERAGE($BE104:BN104)</f>
        <v>-0.16279540968682732</v>
      </c>
      <c r="BO139" s="753">
        <f>BO138/AVERAGE($BE104:BO104)</f>
        <v>-0.18322082217056024</v>
      </c>
      <c r="BP139" s="753">
        <f>BP138/AVERAGE($BE104:BP104)</f>
        <v>-0.20425815158854596</v>
      </c>
      <c r="BQ139" s="753">
        <f>BQ138/AVERAGE($BE104:BQ104)</f>
        <v>-0.22579382136261625</v>
      </c>
      <c r="BR139" s="753">
        <f>BR138/AVERAGE($BQ104:BR104)</f>
        <v>-2.1755623040577109E-2</v>
      </c>
      <c r="BS139" s="753">
        <f>BS138/AVERAGE($BQ104:BS104)</f>
        <v>-4.3736152248182683E-2</v>
      </c>
      <c r="BT139" s="753">
        <f>BT138/AVERAGE($BQ104:BT104)</f>
        <v>-6.5757390939719162E-2</v>
      </c>
      <c r="BU139" s="753">
        <f>BU138/AVERAGE($BQ104:BU104)</f>
        <v>-8.7655766727347553E-2</v>
      </c>
      <c r="BV139" s="753">
        <f>BV138/AVERAGE($BQ104:BV104)</f>
        <v>-0.10930863750387074</v>
      </c>
      <c r="BW139" s="753">
        <f>BW138/AVERAGE($BQ104:BW104)</f>
        <v>-0.13061526892574654</v>
      </c>
      <c r="BX139" s="753">
        <f>BX138/AVERAGE($BQ104:BX104)</f>
        <v>-0.15149539062052098</v>
      </c>
      <c r="BY139" s="753">
        <f>BY138/AVERAGE($BQ104:BY104)</f>
        <v>-0.17192612705398427</v>
      </c>
      <c r="BZ139" s="753">
        <f>BZ138/AVERAGE($BQ104:BZ104)</f>
        <v>-0.19196260887203648</v>
      </c>
      <c r="CA139" s="753">
        <f>CA138/AVERAGE($BQ104:CA104)</f>
        <v>-0.21166607420398781</v>
      </c>
      <c r="CB139" s="753">
        <f>CB138/AVERAGE($BQ104:CB104)</f>
        <v>-0.23109512817804542</v>
      </c>
      <c r="CC139" s="753">
        <f>CC138/AVERAGE($BQ104:CC104)</f>
        <v>-0.25030618705037894</v>
      </c>
      <c r="CD139" s="753">
        <f>CD138/AVERAGE($CC104:CD104)</f>
        <v>-1.9265025994172964E-2</v>
      </c>
      <c r="CE139" s="753">
        <f>CE138/AVERAGE($CC104:CE104)</f>
        <v>-3.8409757364306615E-2</v>
      </c>
      <c r="CF139" s="753">
        <f>CF138/AVERAGE($CC104:CF104)</f>
        <v>-5.7464678721222635E-2</v>
      </c>
      <c r="CG139" s="753">
        <f>CG138/AVERAGE($CC104:CG104)</f>
        <v>-7.6453893807024165E-2</v>
      </c>
      <c r="CH139" s="753">
        <f>CH138/AVERAGE($CC104:CH104)</f>
        <v>-9.53979612816378E-2</v>
      </c>
      <c r="CI139" s="753">
        <f>CI138/AVERAGE($CC104:CI104)</f>
        <v>-0.11431060409352635</v>
      </c>
      <c r="CJ139" s="753">
        <f>CJ138/AVERAGE($CC104:CJ104)</f>
        <v>-0.13320020805897126</v>
      </c>
      <c r="CK139" s="753">
        <f>CK138/AVERAGE($CC104:CK104)</f>
        <v>-0.15207535786223764</v>
      </c>
      <c r="CL139" s="753">
        <f>CL138/AVERAGE($CC104:CL104)</f>
        <v>-0.17094777176285655</v>
      </c>
      <c r="CM139" s="753">
        <f>CM138/AVERAGE($CC104:CM104)</f>
        <v>-0.1898246498697308</v>
      </c>
      <c r="CN139" s="753">
        <f>CN138/AVERAGE($CC104:CN104)</f>
        <v>-0.20871301820675817</v>
      </c>
      <c r="CO139" s="753">
        <f>CO138/AVERAGE($CC104:CO104)</f>
        <v>-0.22761961994152646</v>
      </c>
      <c r="CP139" s="753">
        <f>CP138/AVERAGE($CO104:CP104)</f>
        <v>-1.89445256828795E-2</v>
      </c>
      <c r="CQ139" s="753">
        <f>CQ138/AVERAGE($CO104:CQ104)</f>
        <v>-3.7893395311022753E-2</v>
      </c>
      <c r="CR139" s="753">
        <f>CR138/AVERAGE($CO104:CR104)</f>
        <v>-5.6738853079477271E-2</v>
      </c>
      <c r="CS139" s="753">
        <f>CS138/AVERAGE($CO104:CS104)</f>
        <v>-7.5366802834675783E-2</v>
      </c>
      <c r="CT139" s="753">
        <f>CT138/AVERAGE($CO104:CT104)</f>
        <v>-9.3663746398565256E-2</v>
      </c>
      <c r="CU139" s="753">
        <f>CU138/AVERAGE($CO104:CU104)</f>
        <v>-0.11154566542861559</v>
      </c>
      <c r="CV139" s="753">
        <f>CV138/AVERAGE($CO104:CV104)</f>
        <v>-0.12893232500535243</v>
      </c>
      <c r="CW139" s="753">
        <f>CW138/AVERAGE($CO104:CW104)</f>
        <v>-0.14574714219897605</v>
      </c>
      <c r="CX139" s="753">
        <f>CX138/AVERAGE($CO104:CX104)</f>
        <v>-0.16196368902163619</v>
      </c>
      <c r="CY139" s="753">
        <f>CY138/AVERAGE($CO104:CY104)</f>
        <v>-0.17763611644054816</v>
      </c>
      <c r="CZ139" s="753">
        <f>CZ138/AVERAGE($CO104:CZ104)</f>
        <v>-0.19281836646221806</v>
      </c>
      <c r="DA139" s="753">
        <f>DA138/AVERAGE($CO104:DA104)</f>
        <v>-0.20756525627540229</v>
      </c>
      <c r="DC139" s="729">
        <f t="shared" si="146"/>
        <v>0</v>
      </c>
      <c r="DD139" s="729">
        <f t="shared" si="147"/>
        <v>-0.1536403923015611</v>
      </c>
      <c r="DE139" s="729">
        <f t="shared" si="148"/>
        <v>-0.25986122096507597</v>
      </c>
      <c r="DF139" s="729">
        <f t="shared" si="149"/>
        <v>-0.22579382136261625</v>
      </c>
      <c r="DG139" s="729">
        <f t="shared" si="150"/>
        <v>-0.25030618705037894</v>
      </c>
      <c r="DH139" s="729">
        <f t="shared" si="151"/>
        <v>-0.22761961994152646</v>
      </c>
      <c r="DI139" s="729">
        <f t="shared" si="152"/>
        <v>-0.20756525627540229</v>
      </c>
    </row>
    <row r="140" spans="2:113" outlineLevel="2">
      <c r="B140" s="758"/>
      <c r="E140" s="698"/>
      <c r="F140" s="698"/>
      <c r="O140" s="706"/>
      <c r="P140" s="706"/>
      <c r="Q140" s="706"/>
      <c r="R140" s="706"/>
      <c r="S140" s="706"/>
      <c r="T140" s="706"/>
      <c r="U140" s="706"/>
      <c r="Y140" s="706"/>
      <c r="Z140" s="706"/>
      <c r="AA140" s="706"/>
      <c r="AB140" s="706"/>
      <c r="AC140" s="706"/>
      <c r="AD140" s="706"/>
      <c r="AE140" s="706"/>
      <c r="AF140" s="706"/>
      <c r="AG140" s="706"/>
      <c r="AH140" s="706"/>
      <c r="AI140" s="706"/>
      <c r="AJ140" s="706"/>
      <c r="AK140" s="706"/>
      <c r="AL140" s="706"/>
      <c r="AM140" s="706"/>
      <c r="AN140" s="706"/>
      <c r="AO140" s="706"/>
      <c r="AP140" s="706"/>
      <c r="AQ140" s="706"/>
      <c r="AR140" s="706"/>
      <c r="AS140" s="706"/>
      <c r="AT140" s="706"/>
      <c r="AU140" s="706"/>
      <c r="AV140" s="706"/>
      <c r="AW140" s="706"/>
      <c r="AX140" s="706"/>
      <c r="AY140" s="706"/>
      <c r="AZ140" s="706"/>
      <c r="BA140" s="706"/>
      <c r="BB140" s="706"/>
      <c r="BC140" s="706"/>
      <c r="BD140" s="706"/>
      <c r="BE140" s="706"/>
      <c r="BF140" s="706"/>
      <c r="BG140" s="706"/>
      <c r="BH140" s="706"/>
      <c r="BI140" s="706"/>
      <c r="BJ140" s="706"/>
      <c r="BK140" s="706"/>
      <c r="BL140" s="706"/>
      <c r="BM140" s="706"/>
      <c r="BN140" s="706"/>
      <c r="BO140" s="706"/>
      <c r="BP140" s="706"/>
      <c r="BQ140" s="706"/>
      <c r="BR140" s="706"/>
      <c r="BS140" s="706"/>
      <c r="BT140" s="706"/>
      <c r="BU140" s="706"/>
      <c r="BV140" s="706"/>
      <c r="BW140" s="706"/>
      <c r="BX140" s="706"/>
      <c r="BY140" s="706"/>
      <c r="BZ140" s="706"/>
      <c r="CA140" s="706"/>
      <c r="CB140" s="706"/>
      <c r="CC140" s="706"/>
      <c r="CD140" s="706"/>
      <c r="CE140" s="706"/>
      <c r="CF140" s="706"/>
      <c r="CG140" s="706"/>
      <c r="CH140" s="706"/>
      <c r="CI140" s="706"/>
      <c r="CJ140" s="706"/>
      <c r="CK140" s="706"/>
      <c r="CL140" s="706"/>
      <c r="CM140" s="706"/>
      <c r="CN140" s="706"/>
      <c r="CO140" s="706"/>
      <c r="CP140" s="706"/>
      <c r="CQ140" s="706"/>
      <c r="CR140" s="706"/>
      <c r="CS140" s="706"/>
      <c r="CT140" s="706"/>
      <c r="CU140" s="706"/>
      <c r="CV140" s="706"/>
      <c r="CW140" s="706"/>
      <c r="CX140" s="706"/>
      <c r="CY140" s="706"/>
      <c r="CZ140" s="706"/>
      <c r="DA140" s="706"/>
      <c r="DI140" s="729"/>
    </row>
    <row r="141" spans="2:113" outlineLevel="1">
      <c r="B141" s="758"/>
      <c r="E141" s="735" t="s">
        <v>826</v>
      </c>
      <c r="F141" s="734"/>
      <c r="G141" s="734"/>
      <c r="H141" s="736"/>
      <c r="O141" s="706"/>
      <c r="P141" s="706"/>
      <c r="Q141" s="706"/>
      <c r="R141" s="706"/>
      <c r="S141" s="706"/>
      <c r="T141" s="706"/>
      <c r="U141" s="706"/>
      <c r="V141" s="706"/>
      <c r="W141" s="706"/>
      <c r="X141" s="706"/>
      <c r="Y141" s="706"/>
      <c r="Z141" s="706"/>
      <c r="AA141" s="706"/>
      <c r="AB141" s="706"/>
      <c r="AC141" s="706"/>
      <c r="AD141" s="706"/>
      <c r="AE141" s="706"/>
      <c r="AF141" s="706"/>
      <c r="AG141" s="706"/>
      <c r="AH141" s="706"/>
      <c r="AI141" s="706"/>
      <c r="AJ141" s="706"/>
      <c r="AK141" s="706"/>
      <c r="AL141" s="706"/>
      <c r="AM141" s="706"/>
      <c r="AN141" s="706"/>
      <c r="AO141" s="706"/>
      <c r="AP141" s="706"/>
      <c r="AQ141" s="706"/>
      <c r="AR141" s="706"/>
      <c r="AS141" s="706"/>
      <c r="AT141" s="706"/>
      <c r="AU141" s="706"/>
      <c r="AV141" s="706"/>
      <c r="AW141" s="706"/>
      <c r="AX141" s="706"/>
      <c r="AY141" s="706"/>
      <c r="AZ141" s="706"/>
      <c r="BA141" s="706"/>
      <c r="BB141" s="706"/>
      <c r="BC141" s="706"/>
      <c r="BD141" s="706"/>
      <c r="BE141" s="706"/>
      <c r="BF141" s="706"/>
      <c r="BG141" s="706"/>
      <c r="BH141" s="706"/>
      <c r="BI141" s="706"/>
      <c r="BJ141" s="706"/>
      <c r="BK141" s="706"/>
      <c r="BL141" s="706"/>
      <c r="BM141" s="706"/>
      <c r="BN141" s="706"/>
      <c r="BO141" s="706"/>
      <c r="BP141" s="706"/>
      <c r="BQ141" s="706"/>
      <c r="BR141" s="706"/>
      <c r="BS141" s="706"/>
      <c r="BT141" s="706"/>
      <c r="BU141" s="706"/>
      <c r="BV141" s="706"/>
      <c r="BW141" s="706"/>
      <c r="BX141" s="706"/>
      <c r="BY141" s="706"/>
      <c r="BZ141" s="706"/>
      <c r="CA141" s="706"/>
      <c r="CB141" s="706"/>
      <c r="CC141" s="706"/>
      <c r="CD141" s="706"/>
      <c r="CE141" s="706"/>
      <c r="CF141" s="706"/>
      <c r="CG141" s="706"/>
      <c r="CH141" s="706"/>
      <c r="CI141" s="706"/>
      <c r="CJ141" s="706"/>
      <c r="CK141" s="706"/>
      <c r="CL141" s="706"/>
      <c r="CM141" s="706"/>
      <c r="CN141" s="706"/>
      <c r="CO141" s="706"/>
      <c r="CP141" s="706"/>
      <c r="CQ141" s="706"/>
      <c r="CR141" s="706"/>
      <c r="CS141" s="706"/>
      <c r="CT141" s="706"/>
      <c r="CU141" s="706"/>
      <c r="CV141" s="706"/>
      <c r="CW141" s="706"/>
      <c r="CX141" s="706"/>
      <c r="CY141" s="706"/>
      <c r="CZ141" s="706"/>
      <c r="DA141" s="706"/>
      <c r="DB141" s="706"/>
      <c r="DI141" s="12"/>
    </row>
    <row r="142" spans="2:113" outlineLevel="2">
      <c r="B142" s="758"/>
      <c r="E142" s="14"/>
      <c r="F142" s="12" t="s">
        <v>822</v>
      </c>
      <c r="G142" s="12"/>
      <c r="H142" s="865"/>
      <c r="I142" s="848" t="s">
        <v>743</v>
      </c>
      <c r="AK142" s="721">
        <v>0.109</v>
      </c>
      <c r="AL142" s="721">
        <v>0.315</v>
      </c>
      <c r="AM142" s="721">
        <v>1.8779999999999999</v>
      </c>
      <c r="AN142" s="721">
        <v>4.2320000000000002</v>
      </c>
      <c r="AO142" s="721">
        <v>1.7909999999999999</v>
      </c>
      <c r="AP142" s="721">
        <v>8.9999999999999993E-3</v>
      </c>
      <c r="AQ142" s="721">
        <v>0.13500000000000001</v>
      </c>
      <c r="AR142" s="739">
        <v>0.83333333333333337</v>
      </c>
      <c r="AS142" s="738">
        <v>1.2249999999999999</v>
      </c>
      <c r="AT142" s="710">
        <v>2.5</v>
      </c>
      <c r="AU142" s="710">
        <v>1.8</v>
      </c>
      <c r="AV142" s="710">
        <v>2.8</v>
      </c>
      <c r="AW142" s="710">
        <f t="shared" ref="AW142:BD142" si="159">AV142+($BE142-$AS142)/12</f>
        <v>4.239583333333333</v>
      </c>
      <c r="AX142" s="710">
        <f t="shared" si="159"/>
        <v>5.6791666666666663</v>
      </c>
      <c r="AY142" s="710">
        <f t="shared" si="159"/>
        <v>7.1187499999999995</v>
      </c>
      <c r="AZ142" s="710">
        <f t="shared" si="159"/>
        <v>8.5583333333333336</v>
      </c>
      <c r="BA142" s="710">
        <f t="shared" si="159"/>
        <v>9.9979166666666668</v>
      </c>
      <c r="BB142" s="710">
        <f t="shared" si="159"/>
        <v>11.4375</v>
      </c>
      <c r="BC142" s="710">
        <f t="shared" si="159"/>
        <v>12.877083333333333</v>
      </c>
      <c r="BD142" s="710">
        <f t="shared" si="159"/>
        <v>14.316666666666666</v>
      </c>
      <c r="BE142" s="755">
        <v>18.5</v>
      </c>
      <c r="BF142" s="739">
        <f t="shared" ref="BF142:BP142" si="160">BE142+($BQ142-$BE142)/12</f>
        <v>17.791666666666668</v>
      </c>
      <c r="BG142" s="739">
        <f t="shared" si="160"/>
        <v>17.083333333333336</v>
      </c>
      <c r="BH142" s="739">
        <f t="shared" si="160"/>
        <v>16.375000000000004</v>
      </c>
      <c r="BI142" s="739">
        <f t="shared" si="160"/>
        <v>15.66666666666667</v>
      </c>
      <c r="BJ142" s="739">
        <f t="shared" si="160"/>
        <v>14.958333333333336</v>
      </c>
      <c r="BK142" s="739">
        <f t="shared" si="160"/>
        <v>14.250000000000002</v>
      </c>
      <c r="BL142" s="739">
        <f t="shared" si="160"/>
        <v>13.541666666666668</v>
      </c>
      <c r="BM142" s="739">
        <f t="shared" si="160"/>
        <v>12.833333333333334</v>
      </c>
      <c r="BN142" s="739">
        <f t="shared" si="160"/>
        <v>12.125</v>
      </c>
      <c r="BO142" s="739">
        <f t="shared" si="160"/>
        <v>11.416666666666666</v>
      </c>
      <c r="BP142" s="739">
        <f t="shared" si="160"/>
        <v>10.708333333333332</v>
      </c>
      <c r="BQ142" s="738">
        <v>10</v>
      </c>
      <c r="BR142" s="739">
        <f t="shared" ref="BR142:CB142" si="161">BQ142+($CC142-$BQ142)/12</f>
        <v>9.625</v>
      </c>
      <c r="BS142" s="739">
        <f t="shared" si="161"/>
        <v>9.25</v>
      </c>
      <c r="BT142" s="739">
        <f t="shared" si="161"/>
        <v>8.875</v>
      </c>
      <c r="BU142" s="739">
        <f t="shared" si="161"/>
        <v>8.5</v>
      </c>
      <c r="BV142" s="739">
        <f t="shared" si="161"/>
        <v>8.125</v>
      </c>
      <c r="BW142" s="739">
        <f t="shared" si="161"/>
        <v>7.75</v>
      </c>
      <c r="BX142" s="739">
        <f t="shared" si="161"/>
        <v>7.375</v>
      </c>
      <c r="BY142" s="739">
        <f t="shared" si="161"/>
        <v>7</v>
      </c>
      <c r="BZ142" s="739">
        <f t="shared" si="161"/>
        <v>6.625</v>
      </c>
      <c r="CA142" s="739">
        <f t="shared" si="161"/>
        <v>6.25</v>
      </c>
      <c r="CB142" s="739">
        <f t="shared" si="161"/>
        <v>5.875</v>
      </c>
      <c r="CC142" s="738">
        <v>5.5</v>
      </c>
      <c r="CD142" s="739">
        <f t="shared" ref="CD142:CN142" si="162">CC142+($CO142-$CC142)/12</f>
        <v>5.541666666666667</v>
      </c>
      <c r="CE142" s="739">
        <f t="shared" si="162"/>
        <v>5.5833333333333339</v>
      </c>
      <c r="CF142" s="739">
        <f t="shared" si="162"/>
        <v>5.6250000000000009</v>
      </c>
      <c r="CG142" s="739">
        <f t="shared" si="162"/>
        <v>5.6666666666666679</v>
      </c>
      <c r="CH142" s="739">
        <f t="shared" si="162"/>
        <v>5.7083333333333348</v>
      </c>
      <c r="CI142" s="739">
        <f t="shared" si="162"/>
        <v>5.7500000000000018</v>
      </c>
      <c r="CJ142" s="739">
        <f t="shared" si="162"/>
        <v>5.7916666666666687</v>
      </c>
      <c r="CK142" s="739">
        <f t="shared" si="162"/>
        <v>5.8333333333333357</v>
      </c>
      <c r="CL142" s="739">
        <f t="shared" si="162"/>
        <v>5.8750000000000027</v>
      </c>
      <c r="CM142" s="739">
        <f t="shared" si="162"/>
        <v>5.9166666666666696</v>
      </c>
      <c r="CN142" s="739">
        <f t="shared" si="162"/>
        <v>5.9583333333333366</v>
      </c>
      <c r="CO142" s="738">
        <v>6</v>
      </c>
      <c r="CP142" s="710">
        <f>CO142+($DA142-$CO142)/12</f>
        <v>6.083333333333333</v>
      </c>
      <c r="CQ142" s="710">
        <f t="shared" ref="CQ142:CZ142" si="163">CP142+($DA142-$CO142)/12</f>
        <v>6.1666666666666661</v>
      </c>
      <c r="CR142" s="710">
        <f t="shared" si="163"/>
        <v>6.2499999999999991</v>
      </c>
      <c r="CS142" s="710">
        <f t="shared" si="163"/>
        <v>6.3333333333333321</v>
      </c>
      <c r="CT142" s="710">
        <f t="shared" si="163"/>
        <v>6.4166666666666652</v>
      </c>
      <c r="CU142" s="710">
        <f t="shared" si="163"/>
        <v>6.4999999999999982</v>
      </c>
      <c r="CV142" s="710">
        <f t="shared" si="163"/>
        <v>6.5833333333333313</v>
      </c>
      <c r="CW142" s="710">
        <f t="shared" si="163"/>
        <v>6.6666666666666643</v>
      </c>
      <c r="CX142" s="710">
        <f t="shared" si="163"/>
        <v>6.7499999999999973</v>
      </c>
      <c r="CY142" s="710">
        <f t="shared" si="163"/>
        <v>6.8333333333333304</v>
      </c>
      <c r="CZ142" s="710">
        <f t="shared" si="163"/>
        <v>6.9166666666666634</v>
      </c>
      <c r="DA142" s="738">
        <v>7</v>
      </c>
      <c r="DC142" s="12">
        <f>SUM(V142:AG142)</f>
        <v>0</v>
      </c>
      <c r="DD142" s="12">
        <f>SUM(AH142:AS142)</f>
        <v>10.527333333333335</v>
      </c>
      <c r="DE142" s="12">
        <f>SUM(AT142:BE142)</f>
        <v>99.825000000000003</v>
      </c>
      <c r="DF142" s="12">
        <f>SUM(BF142:BQ142)</f>
        <v>166.75</v>
      </c>
      <c r="DG142" s="12">
        <f>SUM(BR142:CC142)</f>
        <v>90.75</v>
      </c>
      <c r="DH142" s="12">
        <f>SUM(CD142:CO142)</f>
        <v>69.250000000000028</v>
      </c>
      <c r="DI142" s="12">
        <f>SUM(CP142:DA142)</f>
        <v>78.499999999999972</v>
      </c>
    </row>
    <row r="143" spans="2:113" s="12" customFormat="1" outlineLevel="2">
      <c r="B143" s="758"/>
      <c r="F143" s="12" t="s">
        <v>823</v>
      </c>
      <c r="G143" s="126"/>
      <c r="H143" s="609"/>
      <c r="I143" s="848" t="s">
        <v>743</v>
      </c>
      <c r="J143" s="865"/>
      <c r="K143" s="865"/>
      <c r="L143" s="865"/>
      <c r="M143" s="865"/>
      <c r="AB143" s="758"/>
      <c r="AC143" s="758"/>
      <c r="AD143" s="758"/>
      <c r="AE143" s="758"/>
      <c r="AF143" s="758"/>
      <c r="AG143" s="756"/>
      <c r="AH143" s="756"/>
      <c r="AI143" s="756"/>
      <c r="AJ143" s="756"/>
      <c r="AK143" s="721">
        <v>0.108</v>
      </c>
      <c r="AL143" s="721">
        <v>0.41899999999999998</v>
      </c>
      <c r="AM143" s="721">
        <v>2.2839999999999998</v>
      </c>
      <c r="AN143" s="721">
        <v>6.44</v>
      </c>
      <c r="AO143" s="721">
        <v>8.0790000000000006</v>
      </c>
      <c r="AP143" s="721">
        <v>7.9779999999999998</v>
      </c>
      <c r="AQ143" s="721">
        <v>7.9820000000000002</v>
      </c>
      <c r="AR143" s="739">
        <f t="shared" ref="AR143:DA143" si="164">AQ143+AR142-AF142</f>
        <v>8.8153333333333332</v>
      </c>
      <c r="AS143" s="739">
        <f t="shared" si="164"/>
        <v>10.040333333333333</v>
      </c>
      <c r="AT143" s="710">
        <f t="shared" si="164"/>
        <v>12.540333333333333</v>
      </c>
      <c r="AU143" s="710">
        <f t="shared" si="164"/>
        <v>14.340333333333334</v>
      </c>
      <c r="AV143" s="710">
        <f t="shared" si="164"/>
        <v>17.140333333333334</v>
      </c>
      <c r="AW143" s="710">
        <f t="shared" si="164"/>
        <v>21.270916666666665</v>
      </c>
      <c r="AX143" s="710">
        <f t="shared" si="164"/>
        <v>26.635083333333331</v>
      </c>
      <c r="AY143" s="710">
        <f t="shared" si="164"/>
        <v>31.875833333333333</v>
      </c>
      <c r="AZ143" s="710">
        <f t="shared" si="164"/>
        <v>36.20216666666667</v>
      </c>
      <c r="BA143" s="710">
        <f t="shared" si="164"/>
        <v>44.409083333333342</v>
      </c>
      <c r="BB143" s="710">
        <f t="shared" si="164"/>
        <v>55.837583333333342</v>
      </c>
      <c r="BC143" s="710">
        <f t="shared" si="164"/>
        <v>68.579666666666668</v>
      </c>
      <c r="BD143" s="710">
        <f t="shared" si="164"/>
        <v>82.063000000000002</v>
      </c>
      <c r="BE143" s="710">
        <f t="shared" si="164"/>
        <v>99.338000000000008</v>
      </c>
      <c r="BF143" s="739">
        <f t="shared" si="164"/>
        <v>114.62966666666668</v>
      </c>
      <c r="BG143" s="739">
        <f t="shared" si="164"/>
        <v>129.91300000000001</v>
      </c>
      <c r="BH143" s="739">
        <f t="shared" si="164"/>
        <v>143.488</v>
      </c>
      <c r="BI143" s="739">
        <f t="shared" si="164"/>
        <v>154.91508333333331</v>
      </c>
      <c r="BJ143" s="739">
        <f t="shared" si="164"/>
        <v>164.19424999999998</v>
      </c>
      <c r="BK143" s="739">
        <f t="shared" si="164"/>
        <v>171.32549999999998</v>
      </c>
      <c r="BL143" s="739">
        <f t="shared" si="164"/>
        <v>176.3088333333333</v>
      </c>
      <c r="BM143" s="739">
        <f t="shared" si="164"/>
        <v>179.14424999999997</v>
      </c>
      <c r="BN143" s="739">
        <f t="shared" si="164"/>
        <v>179.83174999999997</v>
      </c>
      <c r="BO143" s="739">
        <f t="shared" si="164"/>
        <v>178.3713333333333</v>
      </c>
      <c r="BP143" s="739">
        <f t="shared" si="164"/>
        <v>174.76299999999998</v>
      </c>
      <c r="BQ143" s="739">
        <f t="shared" si="164"/>
        <v>166.26299999999998</v>
      </c>
      <c r="BR143" s="739">
        <f t="shared" si="164"/>
        <v>158.09633333333332</v>
      </c>
      <c r="BS143" s="739">
        <f t="shared" si="164"/>
        <v>150.26299999999998</v>
      </c>
      <c r="BT143" s="739">
        <f t="shared" si="164"/>
        <v>142.76299999999998</v>
      </c>
      <c r="BU143" s="739">
        <f t="shared" si="164"/>
        <v>135.59633333333332</v>
      </c>
      <c r="BV143" s="739">
        <f t="shared" si="164"/>
        <v>128.76299999999998</v>
      </c>
      <c r="BW143" s="739">
        <f t="shared" si="164"/>
        <v>122.26299999999998</v>
      </c>
      <c r="BX143" s="739">
        <f t="shared" si="164"/>
        <v>116.09633333333331</v>
      </c>
      <c r="BY143" s="739">
        <f t="shared" si="164"/>
        <v>110.26299999999998</v>
      </c>
      <c r="BZ143" s="739">
        <f t="shared" si="164"/>
        <v>104.76299999999998</v>
      </c>
      <c r="CA143" s="739">
        <f t="shared" si="164"/>
        <v>99.596333333333305</v>
      </c>
      <c r="CB143" s="739">
        <f t="shared" si="164"/>
        <v>94.762999999999977</v>
      </c>
      <c r="CC143" s="739">
        <f t="shared" si="164"/>
        <v>90.262999999999977</v>
      </c>
      <c r="CD143" s="739">
        <f t="shared" si="164"/>
        <v>86.179666666666648</v>
      </c>
      <c r="CE143" s="739">
        <f t="shared" si="164"/>
        <v>82.512999999999977</v>
      </c>
      <c r="CF143" s="739">
        <f t="shared" si="164"/>
        <v>79.262999999999977</v>
      </c>
      <c r="CG143" s="739">
        <f t="shared" si="164"/>
        <v>76.429666666666648</v>
      </c>
      <c r="CH143" s="739">
        <f t="shared" si="164"/>
        <v>74.012999999999977</v>
      </c>
      <c r="CI143" s="739">
        <f t="shared" si="164"/>
        <v>72.012999999999977</v>
      </c>
      <c r="CJ143" s="739">
        <f t="shared" si="164"/>
        <v>70.429666666666648</v>
      </c>
      <c r="CK143" s="739">
        <f t="shared" si="164"/>
        <v>69.262999999999977</v>
      </c>
      <c r="CL143" s="739">
        <f t="shared" si="164"/>
        <v>68.512999999999977</v>
      </c>
      <c r="CM143" s="739">
        <f t="shared" si="164"/>
        <v>68.179666666666648</v>
      </c>
      <c r="CN143" s="739">
        <f t="shared" si="164"/>
        <v>68.262999999999991</v>
      </c>
      <c r="CO143" s="739">
        <f t="shared" si="164"/>
        <v>68.762999999999991</v>
      </c>
      <c r="CP143" s="739">
        <f t="shared" si="164"/>
        <v>69.304666666666648</v>
      </c>
      <c r="CQ143" s="739">
        <f t="shared" si="164"/>
        <v>69.887999999999991</v>
      </c>
      <c r="CR143" s="739">
        <f t="shared" si="164"/>
        <v>70.512999999999991</v>
      </c>
      <c r="CS143" s="739">
        <f t="shared" si="164"/>
        <v>71.179666666666648</v>
      </c>
      <c r="CT143" s="739">
        <f t="shared" si="164"/>
        <v>71.887999999999991</v>
      </c>
      <c r="CU143" s="739">
        <f t="shared" si="164"/>
        <v>72.637999999999991</v>
      </c>
      <c r="CV143" s="739">
        <f t="shared" si="164"/>
        <v>73.429666666666648</v>
      </c>
      <c r="CW143" s="739">
        <f t="shared" si="164"/>
        <v>74.262999999999977</v>
      </c>
      <c r="CX143" s="739">
        <f t="shared" si="164"/>
        <v>75.137999999999977</v>
      </c>
      <c r="CY143" s="739">
        <f t="shared" si="164"/>
        <v>76.054666666666634</v>
      </c>
      <c r="CZ143" s="739">
        <f t="shared" si="164"/>
        <v>77.012999999999948</v>
      </c>
      <c r="DA143" s="739">
        <f t="shared" si="164"/>
        <v>78.012999999999948</v>
      </c>
      <c r="DC143" s="11">
        <f>AG143</f>
        <v>0</v>
      </c>
      <c r="DD143" s="11">
        <f>AS143</f>
        <v>10.040333333333333</v>
      </c>
      <c r="DE143" s="11">
        <f>BE143</f>
        <v>99.338000000000008</v>
      </c>
      <c r="DF143" s="11">
        <f>BQ143</f>
        <v>166.26299999999998</v>
      </c>
      <c r="DG143" s="11">
        <f>CC143</f>
        <v>90.262999999999977</v>
      </c>
      <c r="DH143" s="11">
        <f>CO143</f>
        <v>68.762999999999991</v>
      </c>
      <c r="DI143" s="11">
        <f>DA143</f>
        <v>78.012999999999948</v>
      </c>
    </row>
    <row r="144" spans="2:113" s="12" customFormat="1" outlineLevel="2">
      <c r="B144" s="758"/>
      <c r="E144" s="14"/>
      <c r="F144" s="12" t="s">
        <v>795</v>
      </c>
      <c r="H144" s="865"/>
      <c r="I144" s="609" t="s">
        <v>736</v>
      </c>
      <c r="J144" s="865"/>
      <c r="K144" s="865"/>
      <c r="L144" s="865"/>
      <c r="M144" s="865"/>
      <c r="AB144" s="700"/>
      <c r="AC144" s="700"/>
      <c r="AD144" s="700"/>
      <c r="AE144" s="700"/>
      <c r="AF144" s="700"/>
      <c r="AG144" s="756"/>
      <c r="AH144" s="756"/>
      <c r="AI144" s="756"/>
      <c r="AJ144" s="756"/>
      <c r="AK144" s="721">
        <v>1.67171</v>
      </c>
      <c r="AL144" s="721">
        <v>4.7815799999999999</v>
      </c>
      <c r="AM144" s="721">
        <v>22.588609999999999</v>
      </c>
      <c r="AN144" s="721">
        <v>49.310960000000001</v>
      </c>
      <c r="AO144" s="721">
        <v>27.76332</v>
      </c>
      <c r="AP144" s="721">
        <v>0.14829999999999999</v>
      </c>
      <c r="AQ144" s="721">
        <v>1.66984</v>
      </c>
      <c r="AR144" s="738">
        <v>10</v>
      </c>
      <c r="AS144" s="738">
        <v>14.7</v>
      </c>
      <c r="AT144" s="710">
        <v>30</v>
      </c>
      <c r="AU144" s="710">
        <v>21.6</v>
      </c>
      <c r="AV144" s="710">
        <v>33.6</v>
      </c>
      <c r="AW144" s="710">
        <v>50.875</v>
      </c>
      <c r="AX144" s="710">
        <v>68.150000000000006</v>
      </c>
      <c r="AY144" s="710">
        <v>85.424999999999997</v>
      </c>
      <c r="AZ144" s="710">
        <v>102.7</v>
      </c>
      <c r="BA144" s="710">
        <v>119.97499999999999</v>
      </c>
      <c r="BB144" s="710">
        <v>137.25</v>
      </c>
      <c r="BC144" s="710">
        <v>154.52500000000001</v>
      </c>
      <c r="BD144" s="710">
        <v>171.8</v>
      </c>
      <c r="BE144" s="710">
        <v>222</v>
      </c>
      <c r="BF144" s="739">
        <v>213.5</v>
      </c>
      <c r="BG144" s="739">
        <v>205.00000000000003</v>
      </c>
      <c r="BH144" s="739">
        <v>196.50000000000003</v>
      </c>
      <c r="BI144" s="739">
        <v>188.00000000000003</v>
      </c>
      <c r="BJ144" s="739">
        <v>179.50000000000003</v>
      </c>
      <c r="BK144" s="739">
        <v>171.00000000000003</v>
      </c>
      <c r="BL144" s="739">
        <v>162.5</v>
      </c>
      <c r="BM144" s="739">
        <v>154</v>
      </c>
      <c r="BN144" s="739">
        <v>145.5</v>
      </c>
      <c r="BO144" s="739">
        <v>137</v>
      </c>
      <c r="BP144" s="739">
        <v>128.49999999999997</v>
      </c>
      <c r="BQ144" s="739">
        <v>120</v>
      </c>
      <c r="BR144" s="739">
        <v>115.5</v>
      </c>
      <c r="BS144" s="739">
        <v>111</v>
      </c>
      <c r="BT144" s="739">
        <v>106.5</v>
      </c>
      <c r="BU144" s="739">
        <v>102</v>
      </c>
      <c r="BV144" s="739">
        <v>97.5</v>
      </c>
      <c r="BW144" s="739">
        <v>93</v>
      </c>
      <c r="BX144" s="739">
        <v>88.5</v>
      </c>
      <c r="BY144" s="739">
        <v>84</v>
      </c>
      <c r="BZ144" s="739">
        <v>79.5</v>
      </c>
      <c r="CA144" s="739">
        <v>75</v>
      </c>
      <c r="CB144" s="739">
        <v>70.5</v>
      </c>
      <c r="CC144" s="739">
        <v>66</v>
      </c>
      <c r="CD144" s="739">
        <v>66.5</v>
      </c>
      <c r="CE144" s="739">
        <v>67</v>
      </c>
      <c r="CF144" s="739">
        <v>67.500000000000014</v>
      </c>
      <c r="CG144" s="739">
        <v>68.000000000000014</v>
      </c>
      <c r="CH144" s="739">
        <v>68.500000000000014</v>
      </c>
      <c r="CI144" s="739">
        <v>69.000000000000014</v>
      </c>
      <c r="CJ144" s="739">
        <v>69.500000000000028</v>
      </c>
      <c r="CK144" s="739">
        <v>70.000000000000028</v>
      </c>
      <c r="CL144" s="739">
        <v>70.500000000000028</v>
      </c>
      <c r="CM144" s="739">
        <v>71.000000000000028</v>
      </c>
      <c r="CN144" s="739">
        <v>71.500000000000043</v>
      </c>
      <c r="CO144" s="739">
        <v>72</v>
      </c>
      <c r="CP144" s="739">
        <v>73</v>
      </c>
      <c r="CQ144" s="739">
        <v>74</v>
      </c>
      <c r="CR144" s="739">
        <v>74.999999999999986</v>
      </c>
      <c r="CS144" s="739">
        <v>75.999999999999986</v>
      </c>
      <c r="CT144" s="739">
        <v>76.999999999999986</v>
      </c>
      <c r="CU144" s="739">
        <v>77.999999999999986</v>
      </c>
      <c r="CV144" s="739">
        <v>78.999999999999972</v>
      </c>
      <c r="CW144" s="739">
        <v>79.999999999999972</v>
      </c>
      <c r="CX144" s="739">
        <v>80.999999999999972</v>
      </c>
      <c r="CY144" s="739">
        <v>81.999999999999972</v>
      </c>
      <c r="CZ144" s="739">
        <v>82.999999999999957</v>
      </c>
      <c r="DA144" s="739">
        <v>84</v>
      </c>
      <c r="DC144" s="12">
        <f>SUM(V144:AG144)</f>
        <v>0</v>
      </c>
      <c r="DD144" s="12">
        <f>SUM(AH144:AS144)</f>
        <v>132.63431999999997</v>
      </c>
      <c r="DE144" s="12">
        <f>SUM(AT144:BE144)</f>
        <v>1197.8999999999999</v>
      </c>
      <c r="DF144" s="12">
        <f>SUM(BF144:BQ144)</f>
        <v>2001</v>
      </c>
      <c r="DG144" s="12">
        <f>SUM(BR144:CC144)</f>
        <v>1089</v>
      </c>
      <c r="DH144" s="12">
        <f>SUM(CD144:CO144)</f>
        <v>831</v>
      </c>
      <c r="DI144" s="12">
        <f>SUM(CP144:DA144)</f>
        <v>942</v>
      </c>
    </row>
    <row r="145" spans="2:113" s="12" customFormat="1" outlineLevel="2">
      <c r="B145" s="900"/>
      <c r="E145" s="14"/>
      <c r="F145" s="12" t="s">
        <v>796</v>
      </c>
      <c r="H145" s="865"/>
      <c r="I145" s="609" t="s">
        <v>736</v>
      </c>
      <c r="J145" s="865"/>
      <c r="K145" s="865"/>
      <c r="L145" s="865"/>
      <c r="M145" s="865"/>
      <c r="AB145" s="700"/>
      <c r="AC145" s="700"/>
      <c r="AD145" s="700"/>
      <c r="AE145" s="700"/>
      <c r="AF145" s="700"/>
      <c r="AG145" s="756"/>
      <c r="AH145" s="756"/>
      <c r="AI145" s="756"/>
      <c r="AJ145" s="756"/>
      <c r="AK145" s="721">
        <v>1.6610100000000001</v>
      </c>
      <c r="AL145" s="721">
        <v>6.3276634349999998</v>
      </c>
      <c r="AM145" s="721">
        <f>28535340955/10^9</f>
        <v>28.535340954999999</v>
      </c>
      <c r="AN145" s="721">
        <v>75.904134260999996</v>
      </c>
      <c r="AO145" s="860">
        <v>98.9</v>
      </c>
      <c r="AP145" s="721">
        <v>93.653739748999996</v>
      </c>
      <c r="AQ145" s="721">
        <v>89.900913338000009</v>
      </c>
      <c r="AR145" s="739">
        <v>96.80597991810572</v>
      </c>
      <c r="AS145" s="739">
        <v>107.69656532682612</v>
      </c>
      <c r="AT145" s="710">
        <v>132.35757114712797</v>
      </c>
      <c r="AU145" s="710">
        <v>143.81449179784417</v>
      </c>
      <c r="AV145" s="710">
        <v>161.84598474281782</v>
      </c>
      <c r="AW145" s="710">
        <v>196.75348826287373</v>
      </c>
      <c r="AX145" s="710">
        <v>247.94431848978809</v>
      </c>
      <c r="AY145" s="710">
        <v>312.77324885272844</v>
      </c>
      <c r="AZ145" s="710">
        <v>389.428404387726</v>
      </c>
      <c r="BA145" s="710">
        <v>476.65885576495776</v>
      </c>
      <c r="BB145" s="710">
        <v>573.05894267245151</v>
      </c>
      <c r="BC145" s="710">
        <v>680.12213574180032</v>
      </c>
      <c r="BD145" s="710">
        <v>794.00425958584685</v>
      </c>
      <c r="BE145" s="710">
        <v>946.216318251281</v>
      </c>
      <c r="BF145" s="739">
        <v>1075.1435440077623</v>
      </c>
      <c r="BG145" s="739">
        <v>1181.4919424581562</v>
      </c>
      <c r="BH145" s="739">
        <v>1266.8721220860575</v>
      </c>
      <c r="BI145" s="739">
        <v>1331.6977842599306</v>
      </c>
      <c r="BJ145" s="739">
        <v>1378.7270679907049</v>
      </c>
      <c r="BK145" s="739">
        <v>1406.4260691006371</v>
      </c>
      <c r="BL145" s="739">
        <v>1416.3791019333144</v>
      </c>
      <c r="BM145" s="739">
        <v>1409.4889492995558</v>
      </c>
      <c r="BN145" s="739">
        <v>1387.9133791844354</v>
      </c>
      <c r="BO145" s="739">
        <v>1353.7986849357096</v>
      </c>
      <c r="BP145" s="739">
        <v>1309.284473253256</v>
      </c>
      <c r="BQ145" s="739">
        <v>1256.5375981463062</v>
      </c>
      <c r="BR145" s="739">
        <v>1201.7174101273361</v>
      </c>
      <c r="BS145" s="739">
        <v>1149.688716040461</v>
      </c>
      <c r="BT145" s="739">
        <v>1100.3729804265708</v>
      </c>
      <c r="BU145" s="739">
        <v>1053.6922983932845</v>
      </c>
      <c r="BV145" s="739">
        <v>1009.5588551000637</v>
      </c>
      <c r="BW145" s="739">
        <v>967.86751442462219</v>
      </c>
      <c r="BX145" s="739">
        <v>928.49055576792239</v>
      </c>
      <c r="BY145" s="739">
        <v>890.91401066609922</v>
      </c>
      <c r="BZ145" s="739">
        <v>854.89655001499398</v>
      </c>
      <c r="CA145" s="739">
        <v>820.11859059733024</v>
      </c>
      <c r="CB145" s="739">
        <v>786.25646174938254</v>
      </c>
      <c r="CC145" s="739">
        <v>752.98071937258283</v>
      </c>
      <c r="CD145" s="739">
        <v>724.95516025799759</v>
      </c>
      <c r="CE145" s="739">
        <v>701.48552365831574</v>
      </c>
      <c r="CF145" s="739">
        <v>682.23346805573237</v>
      </c>
      <c r="CG145" s="739">
        <v>666.87179681955513</v>
      </c>
      <c r="CH145" s="739">
        <v>655.08064607482834</v>
      </c>
      <c r="CI145" s="739">
        <v>646.5441126003758</v>
      </c>
      <c r="CJ145" s="739">
        <v>640.94769788699318</v>
      </c>
      <c r="CK145" s="739">
        <v>637.97624324357503</v>
      </c>
      <c r="CL145" s="739">
        <v>637.23094882819271</v>
      </c>
      <c r="CM145" s="739">
        <v>638.31056625152951</v>
      </c>
      <c r="CN145" s="739">
        <v>640.80435350998664</v>
      </c>
      <c r="CO145" s="739">
        <v>644.29095948852216</v>
      </c>
      <c r="CP145" s="739">
        <v>648.83764667444916</v>
      </c>
      <c r="CQ145" s="739">
        <v>653.96671345635195</v>
      </c>
      <c r="CR145" s="739">
        <v>659.62527611428823</v>
      </c>
      <c r="CS145" s="739">
        <v>665.76068484199061</v>
      </c>
      <c r="CT145" s="739">
        <v>672.32174476820398</v>
      </c>
      <c r="CU145" s="739">
        <v>679.25964421388335</v>
      </c>
      <c r="CV145" s="739">
        <v>686.52871858378171</v>
      </c>
      <c r="CW145" s="739">
        <v>694.08713899121517</v>
      </c>
      <c r="CX145" s="739">
        <v>701.88943744832818</v>
      </c>
      <c r="CY145" s="739">
        <v>709.89539659890829</v>
      </c>
      <c r="CZ145" s="739">
        <v>718.06354366904611</v>
      </c>
      <c r="DA145" s="739">
        <v>726.35124325930826</v>
      </c>
      <c r="DC145" s="11">
        <f>AG145</f>
        <v>0</v>
      </c>
      <c r="DD145" s="11">
        <f>AS145</f>
        <v>107.69656532682612</v>
      </c>
      <c r="DE145" s="11">
        <f>BE145</f>
        <v>946.216318251281</v>
      </c>
      <c r="DF145" s="11">
        <f>BQ145</f>
        <v>1256.5375981463062</v>
      </c>
      <c r="DG145" s="11">
        <f>CC145</f>
        <v>752.98071937258283</v>
      </c>
      <c r="DH145" s="11">
        <f>CO145</f>
        <v>644.29095948852216</v>
      </c>
      <c r="DI145" s="11">
        <f>DA145</f>
        <v>726.35124325930826</v>
      </c>
    </row>
    <row r="146" spans="2:113" s="12" customFormat="1" outlineLevel="2">
      <c r="B146" s="758"/>
      <c r="E146" s="14"/>
      <c r="F146" s="12" t="s">
        <v>215</v>
      </c>
      <c r="H146" s="865"/>
      <c r="I146" s="609" t="s">
        <v>736</v>
      </c>
      <c r="J146" s="865"/>
      <c r="K146" s="865"/>
      <c r="L146" s="865"/>
      <c r="M146" s="865"/>
      <c r="AA146" s="702"/>
      <c r="AB146" s="702"/>
      <c r="AC146" s="702"/>
      <c r="AD146" s="702"/>
      <c r="AE146" s="702"/>
      <c r="AF146" s="702"/>
      <c r="AG146" s="901"/>
      <c r="AH146" s="901"/>
      <c r="AI146" s="901"/>
      <c r="AJ146" s="901"/>
      <c r="AK146" s="45">
        <f>AK150+AK152</f>
        <v>0.117850767</v>
      </c>
      <c r="AL146" s="45">
        <f t="shared" ref="AL146:CW146" si="165">AL150+AL152</f>
        <v>0.42231178200000002</v>
      </c>
      <c r="AM146" s="45">
        <f t="shared" si="165"/>
        <v>1.7814268790000001</v>
      </c>
      <c r="AN146" s="45">
        <f t="shared" si="165"/>
        <v>4.7257894949999999</v>
      </c>
      <c r="AO146" s="45">
        <f t="shared" si="165"/>
        <v>4.7407588949999999</v>
      </c>
      <c r="AP146" s="45">
        <f t="shared" si="165"/>
        <v>2.7127098599999999</v>
      </c>
      <c r="AQ146" s="45">
        <f t="shared" si="165"/>
        <v>2.0486329832894223</v>
      </c>
      <c r="AR146" s="45">
        <f t="shared" si="165"/>
        <v>2.7094835280763911</v>
      </c>
      <c r="AS146" s="45">
        <f t="shared" si="165"/>
        <v>3.3243643774440415</v>
      </c>
      <c r="AT146" s="887">
        <f t="shared" si="165"/>
        <v>4.8809863420719246</v>
      </c>
      <c r="AU146" s="887">
        <f t="shared" si="165"/>
        <v>5.0520532796648157</v>
      </c>
      <c r="AV146" s="887">
        <f t="shared" si="165"/>
        <v>6.4967014280019413</v>
      </c>
      <c r="AW146" s="887">
        <f t="shared" si="165"/>
        <v>8.5606727326136998</v>
      </c>
      <c r="AX146" s="887">
        <f t="shared" si="165"/>
        <v>11.059335385977016</v>
      </c>
      <c r="AY146" s="887">
        <f t="shared" si="165"/>
        <v>14.002414219875266</v>
      </c>
      <c r="AZ146" s="887">
        <f t="shared" si="165"/>
        <v>17.338178065018568</v>
      </c>
      <c r="BA146" s="887">
        <f t="shared" si="165"/>
        <v>21.012955974981487</v>
      </c>
      <c r="BB146" s="887">
        <f t="shared" si="165"/>
        <v>24.986711558981398</v>
      </c>
      <c r="BC146" s="887">
        <f t="shared" si="165"/>
        <v>29.259761865788448</v>
      </c>
      <c r="BD146" s="887">
        <f t="shared" si="165"/>
        <v>33.779980940708896</v>
      </c>
      <c r="BE146" s="887">
        <f t="shared" si="165"/>
        <v>41.008775052274643</v>
      </c>
      <c r="BF146" s="45">
        <f t="shared" si="165"/>
        <v>45.417909125555084</v>
      </c>
      <c r="BG146" s="45">
        <f t="shared" si="165"/>
        <v>48.574986966790284</v>
      </c>
      <c r="BH146" s="45">
        <f t="shared" si="165"/>
        <v>50.940330350724103</v>
      </c>
      <c r="BI146" s="45">
        <f t="shared" si="165"/>
        <v>52.584610515554125</v>
      </c>
      <c r="BJ146" s="45">
        <f t="shared" si="165"/>
        <v>53.600122370607778</v>
      </c>
      <c r="BK146" s="45">
        <f t="shared" si="165"/>
        <v>54.012716388392661</v>
      </c>
      <c r="BL146" s="45">
        <f t="shared" si="165"/>
        <v>53.845904981192504</v>
      </c>
      <c r="BM146" s="45">
        <f t="shared" si="165"/>
        <v>53.186677844048475</v>
      </c>
      <c r="BN146" s="45">
        <f t="shared" si="165"/>
        <v>52.076663788691555</v>
      </c>
      <c r="BO146" s="45">
        <f t="shared" si="165"/>
        <v>50.578775986256005</v>
      </c>
      <c r="BP146" s="45">
        <f t="shared" si="165"/>
        <v>48.757162054265045</v>
      </c>
      <c r="BQ146" s="45">
        <f t="shared" si="165"/>
        <v>46.676656525175744</v>
      </c>
      <c r="BR146" s="45">
        <f t="shared" si="165"/>
        <v>44.676803300823494</v>
      </c>
      <c r="BS146" s="45">
        <f t="shared" si="165"/>
        <v>42.735850484895614</v>
      </c>
      <c r="BT146" s="45">
        <f t="shared" si="165"/>
        <v>40.910159192817623</v>
      </c>
      <c r="BU146" s="45">
        <f t="shared" si="165"/>
        <v>39.183854330768987</v>
      </c>
      <c r="BV146" s="45">
        <f t="shared" si="165"/>
        <v>37.54372460232743</v>
      </c>
      <c r="BW146" s="45">
        <f t="shared" si="165"/>
        <v>35.978162321582772</v>
      </c>
      <c r="BX146" s="45">
        <f t="shared" si="165"/>
        <v>34.476409077621092</v>
      </c>
      <c r="BY146" s="45">
        <f t="shared" si="165"/>
        <v>33.037483284022969</v>
      </c>
      <c r="BZ146" s="45">
        <f t="shared" si="165"/>
        <v>31.64623609196552</v>
      </c>
      <c r="CA146" s="45">
        <f t="shared" si="165"/>
        <v>30.293801494202974</v>
      </c>
      <c r="CB146" s="45">
        <f t="shared" si="165"/>
        <v>28.969863976943376</v>
      </c>
      <c r="CC146" s="45">
        <f t="shared" si="165"/>
        <v>27.663863793760033</v>
      </c>
      <c r="CD146" s="45">
        <f t="shared" si="165"/>
        <v>26.75719929763153</v>
      </c>
      <c r="CE146" s="45">
        <f t="shared" si="165"/>
        <v>26.021459456144409</v>
      </c>
      <c r="CF146" s="45">
        <f t="shared" si="165"/>
        <v>25.434546263584149</v>
      </c>
      <c r="CG146" s="45">
        <f t="shared" si="165"/>
        <v>24.981485233020074</v>
      </c>
      <c r="CH146" s="45">
        <f t="shared" si="165"/>
        <v>24.648432602253365</v>
      </c>
      <c r="CI146" s="45">
        <f t="shared" si="165"/>
        <v>24.422199607201172</v>
      </c>
      <c r="CJ146" s="45">
        <f t="shared" si="165"/>
        <v>24.289904243284905</v>
      </c>
      <c r="CK146" s="45">
        <f t="shared" si="165"/>
        <v>24.238699161753765</v>
      </c>
      <c r="CL146" s="45">
        <f t="shared" si="165"/>
        <v>24.257645156933542</v>
      </c>
      <c r="CM146" s="45">
        <f t="shared" si="165"/>
        <v>24.334029012859379</v>
      </c>
      <c r="CN146" s="45">
        <f t="shared" si="165"/>
        <v>24.454839621802577</v>
      </c>
      <c r="CO146" s="45">
        <f t="shared" si="165"/>
        <v>24.606670288997147</v>
      </c>
      <c r="CP146" s="45">
        <f t="shared" si="165"/>
        <v>24.814614547240449</v>
      </c>
      <c r="CQ146" s="45">
        <f t="shared" si="165"/>
        <v>25.043034536858496</v>
      </c>
      <c r="CR146" s="45">
        <f t="shared" si="165"/>
        <v>25.285209919124476</v>
      </c>
      <c r="CS146" s="45">
        <f t="shared" si="165"/>
        <v>25.540685820644292</v>
      </c>
      <c r="CT146" s="45">
        <f t="shared" si="165"/>
        <v>25.80868131955825</v>
      </c>
      <c r="CU146" s="45">
        <f t="shared" si="165"/>
        <v>26.088194702579376</v>
      </c>
      <c r="CV146" s="45">
        <f t="shared" si="165"/>
        <v>26.37806614545541</v>
      </c>
      <c r="CW146" s="45">
        <f t="shared" si="165"/>
        <v>26.677012839596337</v>
      </c>
      <c r="CX146" s="45">
        <f t="shared" ref="CX146:DA146" si="166">CX150+CX152</f>
        <v>26.983854712763954</v>
      </c>
      <c r="CY146" s="45">
        <f t="shared" si="166"/>
        <v>27.297170016770998</v>
      </c>
      <c r="CZ146" s="45">
        <f t="shared" si="166"/>
        <v>27.615617996911642</v>
      </c>
      <c r="DA146" s="45">
        <f t="shared" si="166"/>
        <v>27.937827147393289</v>
      </c>
      <c r="DB146" s="702"/>
      <c r="DC146" s="12">
        <f t="shared" ref="DC146:DC152" si="167">SUM(V146:AG146)</f>
        <v>0</v>
      </c>
      <c r="DD146" s="12">
        <f t="shared" ref="DD146:DD152" si="168">SUM(AH146:AS146)</f>
        <v>22.583328566809854</v>
      </c>
      <c r="DE146" s="12">
        <f t="shared" ref="DE146:DE152" si="169">SUM(AT146:BE146)</f>
        <v>217.43852684595811</v>
      </c>
      <c r="DF146" s="12">
        <f t="shared" ref="DF146:DF152" si="170">SUM(BF146:BQ146)</f>
        <v>610.25251689725337</v>
      </c>
      <c r="DG146" s="12">
        <f t="shared" ref="DG146:DG152" si="171">SUM(BR146:CC146)</f>
        <v>427.11621195173188</v>
      </c>
      <c r="DH146" s="12">
        <f t="shared" ref="DH146:DH152" si="172">SUM(CD146:CO146)</f>
        <v>298.44710994546602</v>
      </c>
      <c r="DI146" s="12">
        <f>SUM(CP146:DA146)</f>
        <v>315.46996970489698</v>
      </c>
    </row>
    <row r="147" spans="2:113" s="12" customFormat="1" outlineLevel="2">
      <c r="B147" s="758"/>
      <c r="E147" s="14"/>
      <c r="F147" s="12" t="s">
        <v>472</v>
      </c>
      <c r="H147" s="865"/>
      <c r="I147" s="609" t="s">
        <v>736</v>
      </c>
      <c r="J147" s="865"/>
      <c r="K147" s="865"/>
      <c r="L147" s="865"/>
      <c r="M147" s="865"/>
      <c r="AA147" s="702"/>
      <c r="AB147" s="702"/>
      <c r="AC147" s="702"/>
      <c r="AD147" s="702"/>
      <c r="AE147" s="702"/>
      <c r="AF147" s="702"/>
      <c r="AG147" s="702"/>
      <c r="AH147" s="702"/>
      <c r="AI147" s="702"/>
      <c r="AJ147" s="702"/>
      <c r="AK147" s="45">
        <f>AK151</f>
        <v>-2.8298860000000002E-3</v>
      </c>
      <c r="AL147" s="45">
        <f t="shared" ref="AL147:CW147" si="173">AL151</f>
        <v>-2.1063532999999999E-2</v>
      </c>
      <c r="AM147" s="45">
        <f t="shared" si="173"/>
        <v>-7.3427366999999993E-2</v>
      </c>
      <c r="AN147" s="45">
        <f t="shared" si="173"/>
        <v>-0.269815311</v>
      </c>
      <c r="AO147" s="45">
        <f t="shared" si="173"/>
        <v>-0.57284087699999997</v>
      </c>
      <c r="AP147" s="45">
        <f t="shared" si="173"/>
        <v>-0.58212738799999997</v>
      </c>
      <c r="AQ147" s="45">
        <f t="shared" si="173"/>
        <v>-0.56741101499999991</v>
      </c>
      <c r="AR147" s="45">
        <f t="shared" si="173"/>
        <v>-0.54456177199697509</v>
      </c>
      <c r="AS147" s="45">
        <f t="shared" si="173"/>
        <v>-0.59646575696438464</v>
      </c>
      <c r="AT147" s="887">
        <f t="shared" si="173"/>
        <v>-0.70015789804903283</v>
      </c>
      <c r="AU147" s="887">
        <f t="shared" si="173"/>
        <v>-0.80550185025616872</v>
      </c>
      <c r="AV147" s="887">
        <f t="shared" si="173"/>
        <v>-0.89150972324359756</v>
      </c>
      <c r="AW147" s="887">
        <f t="shared" si="173"/>
        <v>-1.0459151295999338</v>
      </c>
      <c r="AX147" s="887">
        <f t="shared" si="173"/>
        <v>-1.2970352696952636</v>
      </c>
      <c r="AY147" s="887">
        <f t="shared" si="173"/>
        <v>-1.6354262380823401</v>
      </c>
      <c r="AZ147" s="887">
        <f t="shared" si="173"/>
        <v>-2.0480881552846593</v>
      </c>
      <c r="BA147" s="887">
        <f t="shared" si="173"/>
        <v>-2.5260878421119943</v>
      </c>
      <c r="BB147" s="887">
        <f t="shared" si="173"/>
        <v>-3.0616769121091107</v>
      </c>
      <c r="BC147" s="887">
        <f t="shared" si="173"/>
        <v>-3.6551114787082342</v>
      </c>
      <c r="BD147" s="887">
        <f t="shared" si="173"/>
        <v>-4.2995353197056376</v>
      </c>
      <c r="BE147" s="887">
        <f t="shared" si="173"/>
        <v>-5.0756433520249571</v>
      </c>
      <c r="BF147" s="45">
        <f t="shared" si="173"/>
        <v>-5.8956329315888771</v>
      </c>
      <c r="BG147" s="45">
        <f t="shared" si="173"/>
        <v>-6.5818535021922635</v>
      </c>
      <c r="BH147" s="45">
        <f t="shared" si="173"/>
        <v>-7.1410618549206246</v>
      </c>
      <c r="BI147" s="45">
        <f t="shared" si="173"/>
        <v>-7.5791622268424659</v>
      </c>
      <c r="BJ147" s="45">
        <f t="shared" si="173"/>
        <v>-7.905405819064355</v>
      </c>
      <c r="BK147" s="45">
        <f t="shared" si="173"/>
        <v>-8.1233633165164143</v>
      </c>
      <c r="BL147" s="45">
        <f t="shared" si="173"/>
        <v>-8.2331817488490255</v>
      </c>
      <c r="BM147" s="45">
        <f t="shared" si="173"/>
        <v>-8.2421151494292051</v>
      </c>
      <c r="BN147" s="45">
        <f t="shared" si="173"/>
        <v>-8.1590901247449761</v>
      </c>
      <c r="BO147" s="45">
        <f t="shared" si="173"/>
        <v>-7.996660187017091</v>
      </c>
      <c r="BP147" s="45">
        <f t="shared" si="173"/>
        <v>-7.7673258780511505</v>
      </c>
      <c r="BQ147" s="45">
        <f t="shared" si="173"/>
        <v>-7.4836477082487249</v>
      </c>
      <c r="BR147" s="45">
        <f t="shared" si="173"/>
        <v>-7.169910440798124</v>
      </c>
      <c r="BS147" s="45">
        <f t="shared" si="173"/>
        <v>-6.8582678679894089</v>
      </c>
      <c r="BT147" s="45">
        <f t="shared" si="173"/>
        <v>-6.5626799480288431</v>
      </c>
      <c r="BU147" s="45">
        <f t="shared" si="173"/>
        <v>-6.2826903965579115</v>
      </c>
      <c r="BV147" s="45">
        <f t="shared" si="173"/>
        <v>-6.0178158643556001</v>
      </c>
      <c r="BW147" s="45">
        <f t="shared" si="173"/>
        <v>-5.7674935777803347</v>
      </c>
      <c r="BX147" s="45">
        <f t="shared" si="173"/>
        <v>-5.5310443713949224</v>
      </c>
      <c r="BY147" s="45">
        <f t="shared" si="173"/>
        <v>-5.3065966520992296</v>
      </c>
      <c r="BZ147" s="45">
        <f t="shared" si="173"/>
        <v>-5.0919474686531894</v>
      </c>
      <c r="CA147" s="45">
        <f t="shared" si="173"/>
        <v>-4.8854608267859456</v>
      </c>
      <c r="CB147" s="45">
        <f t="shared" si="173"/>
        <v>-4.6852605693445799</v>
      </c>
      <c r="CC147" s="45">
        <f t="shared" si="173"/>
        <v>-4.4894417782723997</v>
      </c>
      <c r="CD147" s="45">
        <f t="shared" si="173"/>
        <v>-4.3106463155891932</v>
      </c>
      <c r="CE147" s="45">
        <f t="shared" si="173"/>
        <v>-4.1604519947559142</v>
      </c>
      <c r="CF147" s="45">
        <f t="shared" si="173"/>
        <v>-4.0358470591659739</v>
      </c>
      <c r="CG147" s="45">
        <f t="shared" si="173"/>
        <v>-3.9348903558862554</v>
      </c>
      <c r="CH147" s="45">
        <f t="shared" si="173"/>
        <v>-3.8556946251086188</v>
      </c>
      <c r="CI147" s="45">
        <f t="shared" si="173"/>
        <v>-3.7964055461360129</v>
      </c>
      <c r="CJ147" s="45">
        <f t="shared" si="173"/>
        <v>-3.7551844472548268</v>
      </c>
      <c r="CK147" s="45">
        <f t="shared" si="173"/>
        <v>-3.7301948282974906</v>
      </c>
      <c r="CL147" s="45">
        <f t="shared" si="173"/>
        <v>-3.7193543102093227</v>
      </c>
      <c r="CM147" s="45">
        <f t="shared" si="173"/>
        <v>-3.7203294189825229</v>
      </c>
      <c r="CN147" s="45">
        <f t="shared" si="173"/>
        <v>-3.7307518493044225</v>
      </c>
      <c r="CO147" s="45">
        <f t="shared" si="173"/>
        <v>-3.7481946629123173</v>
      </c>
      <c r="CP147" s="45">
        <f t="shared" si="173"/>
        <v>-3.7716251013086666</v>
      </c>
      <c r="CQ147" s="45">
        <f t="shared" si="173"/>
        <v>-3.7998460503815035</v>
      </c>
      <c r="CR147" s="45">
        <f t="shared" si="173"/>
        <v>-3.8313099695810346</v>
      </c>
      <c r="CS147" s="45">
        <f t="shared" si="173"/>
        <v>-3.8657090527891467</v>
      </c>
      <c r="CT147" s="45">
        <f t="shared" si="173"/>
        <v>-3.9027404196964013</v>
      </c>
      <c r="CU147" s="45">
        <f t="shared" si="173"/>
        <v>-3.942112384531089</v>
      </c>
      <c r="CV147" s="45">
        <f t="shared" si="173"/>
        <v>-3.9835493914931899</v>
      </c>
      <c r="CW147" s="45">
        <f t="shared" si="173"/>
        <v>-4.0267962512604081</v>
      </c>
      <c r="CX147" s="45">
        <f t="shared" ref="CX147:DA147" si="174">CX151</f>
        <v>-4.0715983479486679</v>
      </c>
      <c r="CY147" s="45">
        <f t="shared" si="174"/>
        <v>-4.1177057659711069</v>
      </c>
      <c r="CZ147" s="45">
        <f t="shared" si="174"/>
        <v>-4.1648802424482012</v>
      </c>
      <c r="DA147" s="45">
        <f t="shared" si="174"/>
        <v>-4.2128764618743668</v>
      </c>
      <c r="DB147" s="702"/>
      <c r="DC147" s="12">
        <f t="shared" si="167"/>
        <v>0</v>
      </c>
      <c r="DD147" s="12">
        <f t="shared" si="168"/>
        <v>-3.2305429059613595</v>
      </c>
      <c r="DE147" s="12">
        <f t="shared" si="169"/>
        <v>-27.041689168870931</v>
      </c>
      <c r="DF147" s="12">
        <f t="shared" si="170"/>
        <v>-91.108500447465175</v>
      </c>
      <c r="DG147" s="12">
        <f t="shared" si="171"/>
        <v>-68.648609762060474</v>
      </c>
      <c r="DH147" s="12">
        <f t="shared" si="172"/>
        <v>-46.497945413602878</v>
      </c>
      <c r="DI147" s="12">
        <f t="shared" ref="DI147:DI174" si="175">SUM(CP147:DA147)</f>
        <v>-47.690749439283778</v>
      </c>
    </row>
    <row r="148" spans="2:113" s="12" customFormat="1" outlineLevel="2">
      <c r="B148" s="758"/>
      <c r="E148" s="14" t="s">
        <v>217</v>
      </c>
      <c r="H148" s="865"/>
      <c r="I148" s="609" t="s">
        <v>736</v>
      </c>
      <c r="J148" s="865"/>
      <c r="K148" s="865"/>
      <c r="L148" s="865"/>
      <c r="M148" s="865"/>
      <c r="AA148" s="708"/>
      <c r="AB148" s="708"/>
      <c r="AC148" s="708"/>
      <c r="AD148" s="708"/>
      <c r="AE148" s="708"/>
      <c r="AF148" s="708"/>
      <c r="AG148" s="708"/>
      <c r="AH148" s="708"/>
      <c r="AI148" s="708"/>
      <c r="AJ148" s="708"/>
      <c r="AK148" s="867">
        <f>AK149+AK152</f>
        <v>0.11502088100000001</v>
      </c>
      <c r="AL148" s="867">
        <f t="shared" ref="AL148:CW148" si="176">AL149+AL152</f>
        <v>0.401248249</v>
      </c>
      <c r="AM148" s="867">
        <f t="shared" si="176"/>
        <v>1.707999512</v>
      </c>
      <c r="AN148" s="705">
        <f t="shared" si="176"/>
        <v>4.4559741840000004</v>
      </c>
      <c r="AO148" s="705">
        <f t="shared" si="176"/>
        <v>4.1679180179999999</v>
      </c>
      <c r="AP148" s="705">
        <f t="shared" si="176"/>
        <v>2.1305824719999999</v>
      </c>
      <c r="AQ148" s="705">
        <f t="shared" si="176"/>
        <v>1.4812219682894225</v>
      </c>
      <c r="AR148" s="705">
        <f t="shared" si="176"/>
        <v>2.1649217560794165</v>
      </c>
      <c r="AS148" s="705">
        <f t="shared" si="176"/>
        <v>2.7278986204796567</v>
      </c>
      <c r="AT148" s="705">
        <f t="shared" si="176"/>
        <v>4.1808284440228922</v>
      </c>
      <c r="AU148" s="705">
        <f t="shared" si="176"/>
        <v>4.2465514294086475</v>
      </c>
      <c r="AV148" s="705">
        <f t="shared" si="176"/>
        <v>5.6051917047583437</v>
      </c>
      <c r="AW148" s="705">
        <f t="shared" si="176"/>
        <v>7.5147576030137664</v>
      </c>
      <c r="AX148" s="705">
        <f t="shared" si="176"/>
        <v>9.762300116281752</v>
      </c>
      <c r="AY148" s="705">
        <f t="shared" si="176"/>
        <v>12.366987981792926</v>
      </c>
      <c r="AZ148" s="705">
        <f t="shared" si="176"/>
        <v>15.290089909733906</v>
      </c>
      <c r="BA148" s="705">
        <f t="shared" si="176"/>
        <v>18.486868132869496</v>
      </c>
      <c r="BB148" s="705">
        <f t="shared" si="176"/>
        <v>21.925034646872287</v>
      </c>
      <c r="BC148" s="705">
        <f t="shared" si="176"/>
        <v>25.604650387080213</v>
      </c>
      <c r="BD148" s="705">
        <f t="shared" si="176"/>
        <v>29.480445621003259</v>
      </c>
      <c r="BE148" s="705">
        <f t="shared" si="176"/>
        <v>35.933131700249689</v>
      </c>
      <c r="BF148" s="705">
        <f t="shared" si="176"/>
        <v>39.522276193966206</v>
      </c>
      <c r="BG148" s="705">
        <f t="shared" si="176"/>
        <v>41.993133464598017</v>
      </c>
      <c r="BH148" s="705">
        <f t="shared" si="176"/>
        <v>43.799268495803481</v>
      </c>
      <c r="BI148" s="705">
        <f t="shared" si="176"/>
        <v>45.005448288711662</v>
      </c>
      <c r="BJ148" s="705">
        <f t="shared" si="176"/>
        <v>45.694716551543422</v>
      </c>
      <c r="BK148" s="705">
        <f t="shared" si="176"/>
        <v>45.889353071876251</v>
      </c>
      <c r="BL148" s="705">
        <f t="shared" si="176"/>
        <v>45.612723232343484</v>
      </c>
      <c r="BM148" s="705">
        <f t="shared" si="176"/>
        <v>44.944562694619265</v>
      </c>
      <c r="BN148" s="705">
        <f t="shared" si="176"/>
        <v>43.917573663946577</v>
      </c>
      <c r="BO148" s="705">
        <f t="shared" si="176"/>
        <v>42.582115799238906</v>
      </c>
      <c r="BP148" s="705">
        <f t="shared" si="176"/>
        <v>40.989836176213892</v>
      </c>
      <c r="BQ148" s="705">
        <f t="shared" si="176"/>
        <v>39.193008816927019</v>
      </c>
      <c r="BR148" s="705">
        <f t="shared" si="176"/>
        <v>37.506892860025374</v>
      </c>
      <c r="BS148" s="705">
        <f t="shared" si="176"/>
        <v>35.87758261690621</v>
      </c>
      <c r="BT148" s="705">
        <f t="shared" si="176"/>
        <v>34.347479244788779</v>
      </c>
      <c r="BU148" s="705">
        <f t="shared" si="176"/>
        <v>32.901163934211077</v>
      </c>
      <c r="BV148" s="705">
        <f t="shared" si="176"/>
        <v>31.525908737971829</v>
      </c>
      <c r="BW148" s="705">
        <f t="shared" si="176"/>
        <v>30.21066874380244</v>
      </c>
      <c r="BX148" s="705">
        <f t="shared" si="176"/>
        <v>28.945364706226169</v>
      </c>
      <c r="BY148" s="705">
        <f t="shared" si="176"/>
        <v>27.730886631923738</v>
      </c>
      <c r="BZ148" s="705">
        <f t="shared" si="176"/>
        <v>26.554288623312331</v>
      </c>
      <c r="CA148" s="705">
        <f t="shared" si="176"/>
        <v>25.408340667417029</v>
      </c>
      <c r="CB148" s="705">
        <f t="shared" si="176"/>
        <v>24.284603407598794</v>
      </c>
      <c r="CC148" s="705">
        <f t="shared" si="176"/>
        <v>23.174422015487632</v>
      </c>
      <c r="CD148" s="705">
        <f t="shared" si="176"/>
        <v>22.446552982042338</v>
      </c>
      <c r="CE148" s="705">
        <f t="shared" si="176"/>
        <v>21.861007461388496</v>
      </c>
      <c r="CF148" s="705">
        <f t="shared" si="176"/>
        <v>21.398699204418175</v>
      </c>
      <c r="CG148" s="705">
        <f t="shared" si="176"/>
        <v>21.046594877133817</v>
      </c>
      <c r="CH148" s="705">
        <f t="shared" si="176"/>
        <v>20.792737977144746</v>
      </c>
      <c r="CI148" s="705">
        <f t="shared" si="176"/>
        <v>20.625794061065161</v>
      </c>
      <c r="CJ148" s="705">
        <f t="shared" si="176"/>
        <v>20.534719796030078</v>
      </c>
      <c r="CK148" s="705">
        <f t="shared" si="176"/>
        <v>20.508504333456273</v>
      </c>
      <c r="CL148" s="705">
        <f t="shared" si="176"/>
        <v>20.53829084672422</v>
      </c>
      <c r="CM148" s="705">
        <f t="shared" si="176"/>
        <v>20.613699593876856</v>
      </c>
      <c r="CN148" s="705">
        <f t="shared" si="176"/>
        <v>20.724087772498155</v>
      </c>
      <c r="CO148" s="705">
        <f t="shared" si="176"/>
        <v>20.858475626084829</v>
      </c>
      <c r="CP148" s="705">
        <f t="shared" si="176"/>
        <v>21.042989445931784</v>
      </c>
      <c r="CQ148" s="705">
        <f t="shared" si="176"/>
        <v>21.243188486476992</v>
      </c>
      <c r="CR148" s="705">
        <f t="shared" si="176"/>
        <v>21.453899949543441</v>
      </c>
      <c r="CS148" s="705">
        <f t="shared" si="176"/>
        <v>21.674976767855149</v>
      </c>
      <c r="CT148" s="705">
        <f t="shared" si="176"/>
        <v>21.90594089986185</v>
      </c>
      <c r="CU148" s="705">
        <f t="shared" si="176"/>
        <v>22.146082318048286</v>
      </c>
      <c r="CV148" s="705">
        <f t="shared" si="176"/>
        <v>22.394516753962222</v>
      </c>
      <c r="CW148" s="705">
        <f t="shared" si="176"/>
        <v>22.65021658833593</v>
      </c>
      <c r="CX148" s="705">
        <f t="shared" ref="CX148:DA148" si="177">CX149+CX152</f>
        <v>22.912256364815285</v>
      </c>
      <c r="CY148" s="705">
        <f t="shared" si="177"/>
        <v>23.179464250799892</v>
      </c>
      <c r="CZ148" s="705">
        <f t="shared" si="177"/>
        <v>23.450737754463439</v>
      </c>
      <c r="DA148" s="705">
        <f t="shared" si="177"/>
        <v>23.724950685518923</v>
      </c>
      <c r="DB148" s="708"/>
      <c r="DC148" s="14">
        <f t="shared" si="167"/>
        <v>0</v>
      </c>
      <c r="DD148" s="14">
        <f t="shared" si="168"/>
        <v>19.352785660848497</v>
      </c>
      <c r="DE148" s="14">
        <f t="shared" si="169"/>
        <v>190.39683767708721</v>
      </c>
      <c r="DF148" s="14">
        <f t="shared" si="170"/>
        <v>519.14401644978818</v>
      </c>
      <c r="DG148" s="14">
        <f t="shared" si="171"/>
        <v>358.46760218967142</v>
      </c>
      <c r="DH148" s="14">
        <f t="shared" si="172"/>
        <v>251.94916453186315</v>
      </c>
      <c r="DI148" s="14">
        <f t="shared" si="175"/>
        <v>267.77922026561316</v>
      </c>
    </row>
    <row r="149" spans="2:113" s="14" customFormat="1" outlineLevel="2">
      <c r="B149" s="758"/>
      <c r="E149" s="14" t="s">
        <v>797</v>
      </c>
      <c r="H149" s="868"/>
      <c r="I149" s="609" t="s">
        <v>736</v>
      </c>
      <c r="J149" s="868"/>
      <c r="K149" s="868"/>
      <c r="L149" s="868"/>
      <c r="M149" s="868"/>
      <c r="AA149" s="708"/>
      <c r="AB149" s="708"/>
      <c r="AC149" s="708"/>
      <c r="AD149" s="708"/>
      <c r="AE149" s="708"/>
      <c r="AF149" s="708"/>
      <c r="AG149" s="708"/>
      <c r="AH149" s="708"/>
      <c r="AI149" s="708"/>
      <c r="AJ149" s="708"/>
      <c r="AK149" s="45">
        <f>AK150+AK151</f>
        <v>2.1619230999999999E-2</v>
      </c>
      <c r="AL149" s="45">
        <f t="shared" ref="AL149:CW149" si="178">AL150+AL151</f>
        <v>0.136465847</v>
      </c>
      <c r="AM149" s="45">
        <f t="shared" si="178"/>
        <v>0.44886657200000002</v>
      </c>
      <c r="AN149" s="887">
        <f t="shared" si="178"/>
        <v>1.6884404860000002</v>
      </c>
      <c r="AO149" s="887">
        <f t="shared" si="178"/>
        <v>2.5911591230000002</v>
      </c>
      <c r="AP149" s="887">
        <f t="shared" si="178"/>
        <v>2.0811489700000001</v>
      </c>
      <c r="AQ149" s="887">
        <f t="shared" si="178"/>
        <v>1.3884623562894225</v>
      </c>
      <c r="AR149" s="887">
        <f t="shared" si="178"/>
        <v>1.6094217560794162</v>
      </c>
      <c r="AS149" s="887">
        <f t="shared" si="178"/>
        <v>1.9113136204796564</v>
      </c>
      <c r="AT149" s="887">
        <f t="shared" si="178"/>
        <v>2.5143284440228921</v>
      </c>
      <c r="AU149" s="887">
        <f t="shared" si="178"/>
        <v>3.0466714294086472</v>
      </c>
      <c r="AV149" s="887">
        <f t="shared" si="178"/>
        <v>3.7387117047583436</v>
      </c>
      <c r="AW149" s="887">
        <f t="shared" si="178"/>
        <v>4.6886513530137659</v>
      </c>
      <c r="AX149" s="887">
        <f t="shared" si="178"/>
        <v>5.976567616281752</v>
      </c>
      <c r="AY149" s="887">
        <f t="shared" si="178"/>
        <v>7.6216292317929266</v>
      </c>
      <c r="AZ149" s="887">
        <f t="shared" si="178"/>
        <v>9.5851049097339054</v>
      </c>
      <c r="BA149" s="887">
        <f t="shared" si="178"/>
        <v>11.822256882869494</v>
      </c>
      <c r="BB149" s="887">
        <f t="shared" si="178"/>
        <v>14.300797146872288</v>
      </c>
      <c r="BC149" s="887">
        <f t="shared" si="178"/>
        <v>17.02078663708021</v>
      </c>
      <c r="BD149" s="887">
        <f t="shared" si="178"/>
        <v>19.936955621003257</v>
      </c>
      <c r="BE149" s="887">
        <f t="shared" si="178"/>
        <v>23.601031700249685</v>
      </c>
      <c r="BF149" s="887">
        <f t="shared" si="178"/>
        <v>27.662351193966209</v>
      </c>
      <c r="BG149" s="887">
        <f t="shared" si="178"/>
        <v>30.605383464598017</v>
      </c>
      <c r="BH149" s="887">
        <f t="shared" si="178"/>
        <v>32.883693495803477</v>
      </c>
      <c r="BI149" s="887">
        <f t="shared" si="178"/>
        <v>34.562048288711658</v>
      </c>
      <c r="BJ149" s="887">
        <f t="shared" si="178"/>
        <v>35.723491551543418</v>
      </c>
      <c r="BK149" s="887">
        <f t="shared" si="178"/>
        <v>36.390303071876247</v>
      </c>
      <c r="BL149" s="887">
        <f t="shared" si="178"/>
        <v>36.58584823234348</v>
      </c>
      <c r="BM149" s="887">
        <f t="shared" si="178"/>
        <v>36.389862694619268</v>
      </c>
      <c r="BN149" s="887">
        <f t="shared" si="178"/>
        <v>35.835048663946573</v>
      </c>
      <c r="BO149" s="887">
        <f t="shared" si="178"/>
        <v>34.971765799238909</v>
      </c>
      <c r="BP149" s="887">
        <f t="shared" si="178"/>
        <v>33.851661176213895</v>
      </c>
      <c r="BQ149" s="887">
        <f t="shared" si="178"/>
        <v>32.527008816927015</v>
      </c>
      <c r="BR149" s="887">
        <f t="shared" si="178"/>
        <v>31.090867860025373</v>
      </c>
      <c r="BS149" s="887">
        <f t="shared" si="178"/>
        <v>29.711532616906208</v>
      </c>
      <c r="BT149" s="887">
        <f t="shared" si="178"/>
        <v>28.43140424478878</v>
      </c>
      <c r="BU149" s="887">
        <f t="shared" si="178"/>
        <v>27.235063934211077</v>
      </c>
      <c r="BV149" s="887">
        <f t="shared" si="178"/>
        <v>26.109783737971828</v>
      </c>
      <c r="BW149" s="887">
        <f t="shared" si="178"/>
        <v>25.044518743802438</v>
      </c>
      <c r="BX149" s="887">
        <f t="shared" si="178"/>
        <v>24.02918970622617</v>
      </c>
      <c r="BY149" s="887">
        <f t="shared" si="178"/>
        <v>23.064686631923738</v>
      </c>
      <c r="BZ149" s="887">
        <f t="shared" si="178"/>
        <v>22.13806362331233</v>
      </c>
      <c r="CA149" s="887">
        <f t="shared" si="178"/>
        <v>21.242090667417028</v>
      </c>
      <c r="CB149" s="887">
        <f t="shared" si="178"/>
        <v>20.368328407598796</v>
      </c>
      <c r="CC149" s="887">
        <f t="shared" si="178"/>
        <v>19.508122015487633</v>
      </c>
      <c r="CD149" s="887">
        <f t="shared" si="178"/>
        <v>18.752477982042336</v>
      </c>
      <c r="CE149" s="887">
        <f t="shared" si="178"/>
        <v>18.139157461388496</v>
      </c>
      <c r="CF149" s="887">
        <f t="shared" si="178"/>
        <v>17.649074204418174</v>
      </c>
      <c r="CG149" s="887">
        <f t="shared" si="178"/>
        <v>17.269194877133817</v>
      </c>
      <c r="CH149" s="887">
        <f t="shared" si="178"/>
        <v>16.987562977144744</v>
      </c>
      <c r="CI149" s="887">
        <f t="shared" si="178"/>
        <v>16.792844061065161</v>
      </c>
      <c r="CJ149" s="887">
        <f t="shared" si="178"/>
        <v>16.673994796030076</v>
      </c>
      <c r="CK149" s="887">
        <f t="shared" si="178"/>
        <v>16.620004333456269</v>
      </c>
      <c r="CL149" s="887">
        <f t="shared" si="178"/>
        <v>16.622015846724217</v>
      </c>
      <c r="CM149" s="887">
        <f t="shared" si="178"/>
        <v>16.669649593876855</v>
      </c>
      <c r="CN149" s="887">
        <f t="shared" si="178"/>
        <v>16.752262772498153</v>
      </c>
      <c r="CO149" s="887">
        <f t="shared" si="178"/>
        <v>16.858875626084828</v>
      </c>
      <c r="CP149" s="887">
        <f t="shared" si="178"/>
        <v>16.987839445931783</v>
      </c>
      <c r="CQ149" s="887">
        <f t="shared" si="178"/>
        <v>17.132488486476991</v>
      </c>
      <c r="CR149" s="887">
        <f t="shared" si="178"/>
        <v>17.287649949543439</v>
      </c>
      <c r="CS149" s="887">
        <f t="shared" si="178"/>
        <v>17.453176767855147</v>
      </c>
      <c r="CT149" s="887">
        <f t="shared" si="178"/>
        <v>17.628590899861852</v>
      </c>
      <c r="CU149" s="887">
        <f t="shared" si="178"/>
        <v>17.813182318048288</v>
      </c>
      <c r="CV149" s="887">
        <f t="shared" si="178"/>
        <v>18.006066753962223</v>
      </c>
      <c r="CW149" s="887">
        <f t="shared" si="178"/>
        <v>18.206216588335931</v>
      </c>
      <c r="CX149" s="887">
        <f t="shared" ref="CX149:DA149" si="179">CX150+CX151</f>
        <v>18.412706364815286</v>
      </c>
      <c r="CY149" s="887">
        <f t="shared" si="179"/>
        <v>18.624364250799893</v>
      </c>
      <c r="CZ149" s="887">
        <f t="shared" si="179"/>
        <v>18.840087754463443</v>
      </c>
      <c r="DA149" s="887">
        <f t="shared" si="179"/>
        <v>19.058750685518923</v>
      </c>
      <c r="DB149" s="708"/>
      <c r="DC149" s="14">
        <f t="shared" si="167"/>
        <v>0</v>
      </c>
      <c r="DD149" s="14">
        <f t="shared" si="168"/>
        <v>11.876897961848496</v>
      </c>
      <c r="DE149" s="14">
        <f t="shared" si="169"/>
        <v>123.85349267708716</v>
      </c>
      <c r="DF149" s="14">
        <f t="shared" si="170"/>
        <v>407.98846644978818</v>
      </c>
      <c r="DG149" s="14">
        <f t="shared" si="171"/>
        <v>297.97365218967138</v>
      </c>
      <c r="DH149" s="14">
        <f t="shared" si="172"/>
        <v>205.7871145318631</v>
      </c>
      <c r="DI149" s="14">
        <f t="shared" si="175"/>
        <v>215.45112026561318</v>
      </c>
    </row>
    <row r="150" spans="2:113" outlineLevel="2">
      <c r="B150" s="758"/>
      <c r="F150" s="126" t="s">
        <v>737</v>
      </c>
      <c r="I150" s="609" t="s">
        <v>736</v>
      </c>
      <c r="O150" s="710"/>
      <c r="P150" s="710"/>
      <c r="Q150" s="710"/>
      <c r="R150" s="710"/>
      <c r="S150" s="710"/>
      <c r="T150" s="710"/>
      <c r="U150" s="710"/>
      <c r="V150" s="710"/>
      <c r="W150" s="710"/>
      <c r="AA150" s="713"/>
      <c r="AB150" s="713"/>
      <c r="AC150" s="713"/>
      <c r="AD150" s="713"/>
      <c r="AE150" s="713"/>
      <c r="AF150" s="712"/>
      <c r="AG150" s="710"/>
      <c r="AH150" s="710"/>
      <c r="AI150" s="710"/>
      <c r="AJ150" s="710"/>
      <c r="AK150" s="902">
        <v>2.4449116999999999E-2</v>
      </c>
      <c r="AL150" s="902">
        <v>0.15752938</v>
      </c>
      <c r="AM150" s="903">
        <v>0.52229393899999998</v>
      </c>
      <c r="AN150" s="903">
        <v>1.9582557970000001</v>
      </c>
      <c r="AO150" s="904">
        <f>3.164</f>
        <v>3.1640000000000001</v>
      </c>
      <c r="AP150" s="902">
        <v>2.6632763580000001</v>
      </c>
      <c r="AQ150" s="710">
        <v>1.9558733712894225</v>
      </c>
      <c r="AR150" s="710">
        <v>2.1539835280763913</v>
      </c>
      <c r="AS150" s="710">
        <v>2.5077793774440411</v>
      </c>
      <c r="AT150" s="710">
        <v>3.214486342071925</v>
      </c>
      <c r="AU150" s="710">
        <v>3.8521732796648158</v>
      </c>
      <c r="AV150" s="710">
        <v>4.6302214280019411</v>
      </c>
      <c r="AW150" s="710">
        <v>5.7345664826137002</v>
      </c>
      <c r="AX150" s="710">
        <v>7.2736028859770157</v>
      </c>
      <c r="AY150" s="710">
        <v>9.257055469875267</v>
      </c>
      <c r="AZ150" s="710">
        <v>11.633193065018565</v>
      </c>
      <c r="BA150" s="710">
        <v>14.348344724981489</v>
      </c>
      <c r="BB150" s="710">
        <v>17.362474058981398</v>
      </c>
      <c r="BC150" s="710">
        <v>20.675898115788446</v>
      </c>
      <c r="BD150" s="710">
        <v>24.236490940708894</v>
      </c>
      <c r="BE150" s="710">
        <v>28.676675052274643</v>
      </c>
      <c r="BF150" s="710">
        <v>33.557984125555087</v>
      </c>
      <c r="BG150" s="710">
        <v>37.18723696679028</v>
      </c>
      <c r="BH150" s="710">
        <v>40.024755350724099</v>
      </c>
      <c r="BI150" s="710">
        <v>42.141210515554121</v>
      </c>
      <c r="BJ150" s="710">
        <v>43.628897370607774</v>
      </c>
      <c r="BK150" s="710">
        <v>44.513666388392657</v>
      </c>
      <c r="BL150" s="710">
        <v>44.819029981192507</v>
      </c>
      <c r="BM150" s="710">
        <v>44.631977844048471</v>
      </c>
      <c r="BN150" s="710">
        <v>43.994138788691551</v>
      </c>
      <c r="BO150" s="710">
        <v>42.968425986256001</v>
      </c>
      <c r="BP150" s="710">
        <v>41.618987054265048</v>
      </c>
      <c r="BQ150" s="710">
        <v>40.01065652517574</v>
      </c>
      <c r="BR150" s="710">
        <v>38.260778300823496</v>
      </c>
      <c r="BS150" s="710">
        <v>36.569800484895616</v>
      </c>
      <c r="BT150" s="710">
        <v>34.994084192817624</v>
      </c>
      <c r="BU150" s="710">
        <v>33.517754330768987</v>
      </c>
      <c r="BV150" s="710">
        <v>32.127599602327429</v>
      </c>
      <c r="BW150" s="710">
        <v>30.812012321582774</v>
      </c>
      <c r="BX150" s="710">
        <v>29.560234077621093</v>
      </c>
      <c r="BY150" s="710">
        <v>28.371283284022969</v>
      </c>
      <c r="BZ150" s="710">
        <v>27.230011091965519</v>
      </c>
      <c r="CA150" s="710">
        <v>26.127551494202972</v>
      </c>
      <c r="CB150" s="710">
        <v>25.053588976943377</v>
      </c>
      <c r="CC150" s="710">
        <v>23.997563793760033</v>
      </c>
      <c r="CD150" s="710">
        <v>23.063124297631528</v>
      </c>
      <c r="CE150" s="710">
        <v>22.29960945614441</v>
      </c>
      <c r="CF150" s="710">
        <v>21.684921263584148</v>
      </c>
      <c r="CG150" s="710">
        <v>21.204085233020074</v>
      </c>
      <c r="CH150" s="710">
        <v>20.843257602253363</v>
      </c>
      <c r="CI150" s="710">
        <v>20.589249607201172</v>
      </c>
      <c r="CJ150" s="710">
        <v>20.429179243284903</v>
      </c>
      <c r="CK150" s="710">
        <v>20.350199161753761</v>
      </c>
      <c r="CL150" s="710">
        <v>20.341370156933539</v>
      </c>
      <c r="CM150" s="710">
        <v>20.389979012859378</v>
      </c>
      <c r="CN150" s="710">
        <v>20.483014621802575</v>
      </c>
      <c r="CO150" s="710">
        <v>20.607070288997146</v>
      </c>
      <c r="CP150" s="710">
        <v>20.759464547240448</v>
      </c>
      <c r="CQ150" s="710">
        <v>20.932334536858495</v>
      </c>
      <c r="CR150" s="710">
        <v>21.118959919124475</v>
      </c>
      <c r="CS150" s="710">
        <v>21.318885820644294</v>
      </c>
      <c r="CT150" s="710">
        <v>21.531331319558252</v>
      </c>
      <c r="CU150" s="710">
        <v>21.755294702579377</v>
      </c>
      <c r="CV150" s="710">
        <v>21.989616145455411</v>
      </c>
      <c r="CW150" s="710">
        <v>22.233012839596338</v>
      </c>
      <c r="CX150" s="710">
        <v>22.484304712763954</v>
      </c>
      <c r="CY150" s="710">
        <v>22.742070016770999</v>
      </c>
      <c r="CZ150" s="710">
        <v>23.004967996911645</v>
      </c>
      <c r="DA150" s="710">
        <v>23.271627147393289</v>
      </c>
      <c r="DB150" s="710"/>
      <c r="DC150" s="12">
        <f t="shared" si="167"/>
        <v>0</v>
      </c>
      <c r="DD150" s="12">
        <f t="shared" si="168"/>
        <v>15.107440867809856</v>
      </c>
      <c r="DE150" s="12">
        <f t="shared" si="169"/>
        <v>150.89518184595809</v>
      </c>
      <c r="DF150" s="12">
        <f t="shared" si="170"/>
        <v>499.09696689725342</v>
      </c>
      <c r="DG150" s="12">
        <f t="shared" si="171"/>
        <v>366.6222619517319</v>
      </c>
      <c r="DH150" s="12">
        <f t="shared" si="172"/>
        <v>252.28505994546597</v>
      </c>
      <c r="DI150" s="12">
        <f t="shared" si="175"/>
        <v>263.14186970489703</v>
      </c>
    </row>
    <row r="151" spans="2:113" outlineLevel="2">
      <c r="B151" s="758"/>
      <c r="F151" s="126" t="s">
        <v>798</v>
      </c>
      <c r="I151" s="609" t="s">
        <v>736</v>
      </c>
      <c r="O151" s="710"/>
      <c r="P151" s="710"/>
      <c r="Q151" s="710"/>
      <c r="R151" s="710"/>
      <c r="S151" s="710"/>
      <c r="T151" s="710"/>
      <c r="U151" s="710"/>
      <c r="V151" s="710"/>
      <c r="W151" s="710"/>
      <c r="AA151" s="713"/>
      <c r="AB151" s="713"/>
      <c r="AC151" s="713"/>
      <c r="AD151" s="713"/>
      <c r="AE151" s="713"/>
      <c r="AF151" s="712"/>
      <c r="AG151" s="710"/>
      <c r="AH151" s="710"/>
      <c r="AI151" s="710"/>
      <c r="AJ151" s="710"/>
      <c r="AK151" s="902">
        <v>-2.8298860000000002E-3</v>
      </c>
      <c r="AL151" s="902">
        <v>-2.1063532999999999E-2</v>
      </c>
      <c r="AM151" s="903">
        <v>-7.3427366999999993E-2</v>
      </c>
      <c r="AN151" s="903">
        <v>-0.269815311</v>
      </c>
      <c r="AO151" s="712">
        <v>-0.57284087699999997</v>
      </c>
      <c r="AP151" s="902">
        <v>-0.58212738799999997</v>
      </c>
      <c r="AQ151" s="721">
        <v>-0.56741101499999991</v>
      </c>
      <c r="AR151" s="710">
        <v>-0.54456177199697509</v>
      </c>
      <c r="AS151" s="710">
        <v>-0.59646575696438464</v>
      </c>
      <c r="AT151" s="710">
        <v>-0.70015789804903283</v>
      </c>
      <c r="AU151" s="710">
        <v>-0.80550185025616872</v>
      </c>
      <c r="AV151" s="710">
        <v>-0.89150972324359756</v>
      </c>
      <c r="AW151" s="710">
        <v>-1.0459151295999338</v>
      </c>
      <c r="AX151" s="710">
        <v>-1.2970352696952636</v>
      </c>
      <c r="AY151" s="710">
        <v>-1.6354262380823401</v>
      </c>
      <c r="AZ151" s="710">
        <v>-2.0480881552846593</v>
      </c>
      <c r="BA151" s="710">
        <v>-2.5260878421119943</v>
      </c>
      <c r="BB151" s="710">
        <v>-3.0616769121091107</v>
      </c>
      <c r="BC151" s="710">
        <v>-3.6551114787082342</v>
      </c>
      <c r="BD151" s="710">
        <v>-4.2995353197056376</v>
      </c>
      <c r="BE151" s="710">
        <v>-5.0756433520249571</v>
      </c>
      <c r="BF151" s="710">
        <v>-5.8956329315888771</v>
      </c>
      <c r="BG151" s="710">
        <v>-6.5818535021922635</v>
      </c>
      <c r="BH151" s="710">
        <v>-7.1410618549206246</v>
      </c>
      <c r="BI151" s="710">
        <v>-7.5791622268424659</v>
      </c>
      <c r="BJ151" s="710">
        <v>-7.905405819064355</v>
      </c>
      <c r="BK151" s="710">
        <v>-8.1233633165164143</v>
      </c>
      <c r="BL151" s="710">
        <v>-8.2331817488490255</v>
      </c>
      <c r="BM151" s="710">
        <v>-8.2421151494292051</v>
      </c>
      <c r="BN151" s="710">
        <v>-8.1590901247449761</v>
      </c>
      <c r="BO151" s="710">
        <v>-7.996660187017091</v>
      </c>
      <c r="BP151" s="710">
        <v>-7.7673258780511505</v>
      </c>
      <c r="BQ151" s="710">
        <v>-7.4836477082487249</v>
      </c>
      <c r="BR151" s="710">
        <v>-7.169910440798124</v>
      </c>
      <c r="BS151" s="710">
        <v>-6.8582678679894089</v>
      </c>
      <c r="BT151" s="710">
        <v>-6.5626799480288431</v>
      </c>
      <c r="BU151" s="710">
        <v>-6.2826903965579115</v>
      </c>
      <c r="BV151" s="710">
        <v>-6.0178158643556001</v>
      </c>
      <c r="BW151" s="710">
        <v>-5.7674935777803347</v>
      </c>
      <c r="BX151" s="710">
        <v>-5.5310443713949224</v>
      </c>
      <c r="BY151" s="710">
        <v>-5.3065966520992296</v>
      </c>
      <c r="BZ151" s="710">
        <v>-5.0919474686531894</v>
      </c>
      <c r="CA151" s="710">
        <v>-4.8854608267859456</v>
      </c>
      <c r="CB151" s="710">
        <v>-4.6852605693445799</v>
      </c>
      <c r="CC151" s="710">
        <v>-4.4894417782723997</v>
      </c>
      <c r="CD151" s="710">
        <v>-4.3106463155891932</v>
      </c>
      <c r="CE151" s="710">
        <v>-4.1604519947559142</v>
      </c>
      <c r="CF151" s="710">
        <v>-4.0358470591659739</v>
      </c>
      <c r="CG151" s="710">
        <v>-3.9348903558862554</v>
      </c>
      <c r="CH151" s="710">
        <v>-3.8556946251086188</v>
      </c>
      <c r="CI151" s="710">
        <v>-3.7964055461360129</v>
      </c>
      <c r="CJ151" s="710">
        <v>-3.7551844472548268</v>
      </c>
      <c r="CK151" s="710">
        <v>-3.7301948282974906</v>
      </c>
      <c r="CL151" s="710">
        <v>-3.7193543102093227</v>
      </c>
      <c r="CM151" s="710">
        <v>-3.7203294189825229</v>
      </c>
      <c r="CN151" s="710">
        <v>-3.7307518493044225</v>
      </c>
      <c r="CO151" s="710">
        <v>-3.7481946629123173</v>
      </c>
      <c r="CP151" s="710">
        <v>-3.7716251013086666</v>
      </c>
      <c r="CQ151" s="710">
        <v>-3.7998460503815035</v>
      </c>
      <c r="CR151" s="710">
        <v>-3.8313099695810346</v>
      </c>
      <c r="CS151" s="710">
        <v>-3.8657090527891467</v>
      </c>
      <c r="CT151" s="710">
        <v>-3.9027404196964013</v>
      </c>
      <c r="CU151" s="710">
        <v>-3.942112384531089</v>
      </c>
      <c r="CV151" s="710">
        <v>-3.9835493914931899</v>
      </c>
      <c r="CW151" s="710">
        <v>-4.0267962512604081</v>
      </c>
      <c r="CX151" s="710">
        <v>-4.0715983479486679</v>
      </c>
      <c r="CY151" s="710">
        <v>-4.1177057659711069</v>
      </c>
      <c r="CZ151" s="710">
        <v>-4.1648802424482012</v>
      </c>
      <c r="DA151" s="710">
        <v>-4.2128764618743668</v>
      </c>
      <c r="DB151" s="710"/>
      <c r="DC151" s="12">
        <f t="shared" si="167"/>
        <v>0</v>
      </c>
      <c r="DD151" s="12">
        <f t="shared" si="168"/>
        <v>-3.2305429059613595</v>
      </c>
      <c r="DE151" s="12">
        <f t="shared" si="169"/>
        <v>-27.041689168870931</v>
      </c>
      <c r="DF151" s="12">
        <f t="shared" si="170"/>
        <v>-91.108500447465175</v>
      </c>
      <c r="DG151" s="12">
        <f t="shared" si="171"/>
        <v>-68.648609762060474</v>
      </c>
      <c r="DH151" s="12">
        <f t="shared" si="172"/>
        <v>-46.497945413602878</v>
      </c>
      <c r="DI151" s="12">
        <f t="shared" si="175"/>
        <v>-47.690749439283778</v>
      </c>
    </row>
    <row r="152" spans="2:113" s="12" customFormat="1" outlineLevel="2">
      <c r="B152" s="758"/>
      <c r="E152" s="14" t="s">
        <v>593</v>
      </c>
      <c r="H152" s="865"/>
      <c r="I152" s="609" t="s">
        <v>736</v>
      </c>
      <c r="J152" s="865"/>
      <c r="K152" s="865"/>
      <c r="L152" s="865"/>
      <c r="M152" s="865"/>
      <c r="X152" s="14"/>
      <c r="AB152" s="702"/>
      <c r="AC152" s="702"/>
      <c r="AD152" s="702"/>
      <c r="AE152" s="702"/>
      <c r="AF152" s="702"/>
      <c r="AG152" s="702"/>
      <c r="AH152" s="702"/>
      <c r="AI152" s="702"/>
      <c r="AJ152" s="702"/>
      <c r="AK152" s="723">
        <f>SUM(AK153:AK159)</f>
        <v>9.3401650000000003E-2</v>
      </c>
      <c r="AL152" s="723">
        <f t="shared" ref="AL152:CW152" si="180">SUM(AL153:AL159)</f>
        <v>0.26478240200000003</v>
      </c>
      <c r="AM152" s="723">
        <f t="shared" si="180"/>
        <v>1.25913294</v>
      </c>
      <c r="AN152" s="723">
        <f t="shared" si="180"/>
        <v>2.7675336979999998</v>
      </c>
      <c r="AO152" s="723">
        <f t="shared" si="180"/>
        <v>1.576758895</v>
      </c>
      <c r="AP152" s="709">
        <f t="shared" si="180"/>
        <v>4.9433501999999997E-2</v>
      </c>
      <c r="AQ152" s="723">
        <f t="shared" si="180"/>
        <v>9.2759611999999991E-2</v>
      </c>
      <c r="AR152" s="723">
        <f t="shared" si="180"/>
        <v>0.5555000000000001</v>
      </c>
      <c r="AS152" s="723">
        <f t="shared" si="180"/>
        <v>0.81658500000000012</v>
      </c>
      <c r="AT152" s="696">
        <f t="shared" si="180"/>
        <v>1.6665000000000001</v>
      </c>
      <c r="AU152" s="696">
        <f t="shared" si="180"/>
        <v>1.1998800000000001</v>
      </c>
      <c r="AV152" s="696">
        <f t="shared" si="180"/>
        <v>1.8664800000000004</v>
      </c>
      <c r="AW152" s="696">
        <f t="shared" si="180"/>
        <v>2.82610625</v>
      </c>
      <c r="AX152" s="696">
        <f t="shared" si="180"/>
        <v>3.7857325000000004</v>
      </c>
      <c r="AY152" s="696">
        <f t="shared" si="180"/>
        <v>4.7453587499999994</v>
      </c>
      <c r="AZ152" s="696">
        <f t="shared" si="180"/>
        <v>5.7049850000000006</v>
      </c>
      <c r="BA152" s="696">
        <f t="shared" si="180"/>
        <v>6.6646112500000001</v>
      </c>
      <c r="BB152" s="696">
        <f t="shared" si="180"/>
        <v>7.6242375000000004</v>
      </c>
      <c r="BC152" s="696">
        <f t="shared" si="180"/>
        <v>8.5838637500000008</v>
      </c>
      <c r="BD152" s="696">
        <f t="shared" si="180"/>
        <v>9.543490000000002</v>
      </c>
      <c r="BE152" s="696">
        <f t="shared" si="180"/>
        <v>12.332100000000002</v>
      </c>
      <c r="BF152" s="723">
        <f t="shared" si="180"/>
        <v>11.859925</v>
      </c>
      <c r="BG152" s="723">
        <f t="shared" si="180"/>
        <v>11.387750000000002</v>
      </c>
      <c r="BH152" s="723">
        <f t="shared" si="180"/>
        <v>10.915575000000002</v>
      </c>
      <c r="BI152" s="723">
        <f t="shared" si="180"/>
        <v>10.443400000000002</v>
      </c>
      <c r="BJ152" s="723">
        <f t="shared" si="180"/>
        <v>9.971225000000004</v>
      </c>
      <c r="BK152" s="723">
        <f t="shared" si="180"/>
        <v>9.4990500000000022</v>
      </c>
      <c r="BL152" s="723">
        <f t="shared" si="180"/>
        <v>9.0268750000000004</v>
      </c>
      <c r="BM152" s="723">
        <f t="shared" si="180"/>
        <v>8.5547000000000004</v>
      </c>
      <c r="BN152" s="723">
        <f t="shared" si="180"/>
        <v>8.0825250000000022</v>
      </c>
      <c r="BO152" s="723">
        <f t="shared" si="180"/>
        <v>7.6103500000000004</v>
      </c>
      <c r="BP152" s="723">
        <f t="shared" si="180"/>
        <v>7.1381749999999986</v>
      </c>
      <c r="BQ152" s="723">
        <f t="shared" si="180"/>
        <v>6.6660000000000004</v>
      </c>
      <c r="BR152" s="723">
        <f t="shared" si="180"/>
        <v>6.4160250000000012</v>
      </c>
      <c r="BS152" s="723">
        <f t="shared" si="180"/>
        <v>6.1660500000000011</v>
      </c>
      <c r="BT152" s="723">
        <f t="shared" si="180"/>
        <v>5.9160750000000011</v>
      </c>
      <c r="BU152" s="723">
        <f t="shared" si="180"/>
        <v>5.6661000000000001</v>
      </c>
      <c r="BV152" s="723">
        <f t="shared" si="180"/>
        <v>5.416125000000001</v>
      </c>
      <c r="BW152" s="723">
        <f t="shared" si="180"/>
        <v>5.1661500000000009</v>
      </c>
      <c r="BX152" s="723">
        <f t="shared" si="180"/>
        <v>4.916175</v>
      </c>
      <c r="BY152" s="723">
        <f t="shared" si="180"/>
        <v>4.6662000000000008</v>
      </c>
      <c r="BZ152" s="723">
        <f t="shared" si="180"/>
        <v>4.4162249999999998</v>
      </c>
      <c r="CA152" s="723">
        <f t="shared" si="180"/>
        <v>4.1662500000000007</v>
      </c>
      <c r="CB152" s="723">
        <f t="shared" si="180"/>
        <v>3.9162750000000002</v>
      </c>
      <c r="CC152" s="723">
        <f t="shared" si="180"/>
        <v>3.6663000000000001</v>
      </c>
      <c r="CD152" s="723">
        <f t="shared" si="180"/>
        <v>3.6940750000000007</v>
      </c>
      <c r="CE152" s="723">
        <f t="shared" si="180"/>
        <v>3.7218500000000008</v>
      </c>
      <c r="CF152" s="723">
        <f t="shared" si="180"/>
        <v>3.7496250000000013</v>
      </c>
      <c r="CG152" s="723">
        <f t="shared" si="180"/>
        <v>3.7774000000000014</v>
      </c>
      <c r="CH152" s="723">
        <f t="shared" si="180"/>
        <v>3.8051750000000006</v>
      </c>
      <c r="CI152" s="723">
        <f t="shared" si="180"/>
        <v>3.8329500000000007</v>
      </c>
      <c r="CJ152" s="723">
        <f t="shared" si="180"/>
        <v>3.8607250000000022</v>
      </c>
      <c r="CK152" s="723">
        <f t="shared" si="180"/>
        <v>3.8885000000000023</v>
      </c>
      <c r="CL152" s="723">
        <f t="shared" si="180"/>
        <v>3.9162750000000019</v>
      </c>
      <c r="CM152" s="723">
        <f t="shared" si="180"/>
        <v>3.9440500000000021</v>
      </c>
      <c r="CN152" s="723">
        <f t="shared" si="180"/>
        <v>3.9718250000000026</v>
      </c>
      <c r="CO152" s="723">
        <f t="shared" si="180"/>
        <v>3.9996000000000005</v>
      </c>
      <c r="CP152" s="723">
        <f t="shared" si="180"/>
        <v>4.0551500000000003</v>
      </c>
      <c r="CQ152" s="723">
        <f t="shared" si="180"/>
        <v>4.1107000000000005</v>
      </c>
      <c r="CR152" s="723">
        <f t="shared" si="180"/>
        <v>4.1662499999999998</v>
      </c>
      <c r="CS152" s="723">
        <f t="shared" si="180"/>
        <v>4.2218</v>
      </c>
      <c r="CT152" s="723">
        <f t="shared" si="180"/>
        <v>4.2773499999999993</v>
      </c>
      <c r="CU152" s="723">
        <f t="shared" si="180"/>
        <v>4.3328999999999995</v>
      </c>
      <c r="CV152" s="723">
        <f t="shared" si="180"/>
        <v>4.3884499999999997</v>
      </c>
      <c r="CW152" s="723">
        <f t="shared" si="180"/>
        <v>4.4439999999999982</v>
      </c>
      <c r="CX152" s="723">
        <f t="shared" ref="CX152:DA152" si="181">SUM(CX153:CX159)</f>
        <v>4.4995499999999993</v>
      </c>
      <c r="CY152" s="723">
        <f t="shared" si="181"/>
        <v>4.5550999999999995</v>
      </c>
      <c r="CZ152" s="723">
        <f t="shared" si="181"/>
        <v>4.610649999999997</v>
      </c>
      <c r="DA152" s="723">
        <f t="shared" si="181"/>
        <v>4.6662000000000008</v>
      </c>
      <c r="DB152" s="702"/>
      <c r="DC152" s="14">
        <f t="shared" si="167"/>
        <v>0</v>
      </c>
      <c r="DD152" s="14">
        <f t="shared" si="168"/>
        <v>7.4758876990000012</v>
      </c>
      <c r="DE152" s="14">
        <f t="shared" si="169"/>
        <v>66.543345000000002</v>
      </c>
      <c r="DF152" s="14">
        <f t="shared" si="170"/>
        <v>111.15555000000002</v>
      </c>
      <c r="DG152" s="14">
        <f t="shared" si="171"/>
        <v>60.493950000000005</v>
      </c>
      <c r="DH152" s="14">
        <f t="shared" si="172"/>
        <v>46.162050000000015</v>
      </c>
      <c r="DI152" s="14">
        <f t="shared" si="175"/>
        <v>52.328099999999999</v>
      </c>
    </row>
    <row r="153" spans="2:113" outlineLevel="2">
      <c r="B153" s="758"/>
      <c r="F153" s="126" t="s">
        <v>540</v>
      </c>
      <c r="I153" s="609" t="s">
        <v>736</v>
      </c>
      <c r="O153" s="710"/>
      <c r="P153" s="710"/>
      <c r="Q153" s="710"/>
      <c r="R153" s="710"/>
      <c r="S153" s="710"/>
      <c r="T153" s="710"/>
      <c r="U153" s="710"/>
      <c r="V153" s="710"/>
      <c r="W153" s="710"/>
      <c r="AA153" s="710"/>
      <c r="AB153" s="713"/>
      <c r="AC153" s="713"/>
      <c r="AD153" s="713"/>
      <c r="AE153" s="712"/>
      <c r="AF153" s="712"/>
      <c r="AG153" s="710"/>
      <c r="AH153" s="710"/>
      <c r="AI153" s="710"/>
      <c r="AJ153" s="710"/>
      <c r="AK153" s="902">
        <v>9.3080650000000001E-2</v>
      </c>
      <c r="AL153" s="902">
        <v>0.26335890200000001</v>
      </c>
      <c r="AM153" s="902">
        <v>1.254041492</v>
      </c>
      <c r="AN153" s="712">
        <v>2.74075464</v>
      </c>
      <c r="AO153" s="888">
        <f>1.52</f>
        <v>1.52</v>
      </c>
      <c r="AP153" s="905">
        <v>5.3942419999999996E-3</v>
      </c>
      <c r="AQ153" s="710">
        <v>8.9419931999999994E-2</v>
      </c>
      <c r="AR153" s="710">
        <v>0.53550000000000009</v>
      </c>
      <c r="AS153" s="710">
        <v>0.78718500000000013</v>
      </c>
      <c r="AT153" s="710">
        <v>1.6065</v>
      </c>
      <c r="AU153" s="710">
        <v>1.1566800000000002</v>
      </c>
      <c r="AV153" s="710">
        <v>1.7992800000000004</v>
      </c>
      <c r="AW153" s="710">
        <v>2.72435625</v>
      </c>
      <c r="AX153" s="710">
        <v>3.6494325000000005</v>
      </c>
      <c r="AY153" s="710">
        <v>4.5745087499999997</v>
      </c>
      <c r="AZ153" s="710">
        <v>5.4995850000000006</v>
      </c>
      <c r="BA153" s="710">
        <v>6.4246612499999998</v>
      </c>
      <c r="BB153" s="710">
        <v>7.3497375000000007</v>
      </c>
      <c r="BC153" s="710">
        <v>8.2748137500000016</v>
      </c>
      <c r="BD153" s="710">
        <v>9.1998900000000017</v>
      </c>
      <c r="BE153" s="710">
        <v>11.888100000000001</v>
      </c>
      <c r="BF153" s="710">
        <v>11.432925000000001</v>
      </c>
      <c r="BG153" s="710">
        <v>10.977750000000002</v>
      </c>
      <c r="BH153" s="710">
        <v>10.522575000000002</v>
      </c>
      <c r="BI153" s="710">
        <v>10.067400000000003</v>
      </c>
      <c r="BJ153" s="710">
        <v>9.612225000000004</v>
      </c>
      <c r="BK153" s="710">
        <v>9.1570500000000017</v>
      </c>
      <c r="BL153" s="710">
        <v>8.7018750000000011</v>
      </c>
      <c r="BM153" s="710">
        <v>8.2467000000000006</v>
      </c>
      <c r="BN153" s="710">
        <v>7.7915250000000018</v>
      </c>
      <c r="BO153" s="710">
        <v>7.3363500000000004</v>
      </c>
      <c r="BP153" s="710">
        <v>6.8811749999999989</v>
      </c>
      <c r="BQ153" s="710">
        <v>6.4260000000000002</v>
      </c>
      <c r="BR153" s="710">
        <v>6.1850250000000013</v>
      </c>
      <c r="BS153" s="710">
        <v>5.9440500000000007</v>
      </c>
      <c r="BT153" s="710">
        <v>5.703075000000001</v>
      </c>
      <c r="BU153" s="710">
        <v>5.4621000000000004</v>
      </c>
      <c r="BV153" s="710">
        <v>5.2211250000000007</v>
      </c>
      <c r="BW153" s="710">
        <v>4.980150000000001</v>
      </c>
      <c r="BX153" s="710">
        <v>4.7391750000000004</v>
      </c>
      <c r="BY153" s="710">
        <v>4.4982000000000006</v>
      </c>
      <c r="BZ153" s="710">
        <v>4.257225</v>
      </c>
      <c r="CA153" s="710">
        <v>4.0162500000000003</v>
      </c>
      <c r="CB153" s="710">
        <v>3.7752750000000002</v>
      </c>
      <c r="CC153" s="710">
        <v>3.5343</v>
      </c>
      <c r="CD153" s="710">
        <v>3.5610750000000007</v>
      </c>
      <c r="CE153" s="710">
        <v>3.5878500000000009</v>
      </c>
      <c r="CF153" s="710">
        <v>3.6146250000000011</v>
      </c>
      <c r="CG153" s="710">
        <v>3.6414000000000013</v>
      </c>
      <c r="CH153" s="710">
        <v>3.6681750000000006</v>
      </c>
      <c r="CI153" s="710">
        <v>3.6949500000000008</v>
      </c>
      <c r="CJ153" s="710">
        <v>3.7217250000000019</v>
      </c>
      <c r="CK153" s="710">
        <v>3.7485000000000022</v>
      </c>
      <c r="CL153" s="710">
        <v>3.7752750000000019</v>
      </c>
      <c r="CM153" s="710">
        <v>3.8020500000000022</v>
      </c>
      <c r="CN153" s="710">
        <v>3.8288250000000024</v>
      </c>
      <c r="CO153" s="710">
        <v>3.8556000000000004</v>
      </c>
      <c r="CP153" s="710">
        <v>3.9091499999999999</v>
      </c>
      <c r="CQ153" s="710">
        <v>3.9627000000000008</v>
      </c>
      <c r="CR153" s="710">
        <v>4.0162499999999994</v>
      </c>
      <c r="CS153" s="710">
        <v>4.0697999999999999</v>
      </c>
      <c r="CT153" s="710">
        <v>4.1233499999999994</v>
      </c>
      <c r="CU153" s="710">
        <v>4.1768999999999998</v>
      </c>
      <c r="CV153" s="710">
        <v>4.2304499999999994</v>
      </c>
      <c r="CW153" s="710">
        <v>4.283999999999998</v>
      </c>
      <c r="CX153" s="710">
        <v>4.3375499999999994</v>
      </c>
      <c r="CY153" s="710">
        <v>4.3910999999999998</v>
      </c>
      <c r="CZ153" s="710">
        <v>4.4446499999999975</v>
      </c>
      <c r="DA153" s="710">
        <v>4.4982000000000006</v>
      </c>
      <c r="DB153" s="710"/>
      <c r="DC153" s="12">
        <f>SUM(V153:AG153)</f>
        <v>0</v>
      </c>
      <c r="DD153" s="12">
        <f>SUM(AH153:AS153)</f>
        <v>7.2887348580000006</v>
      </c>
      <c r="DE153" s="12">
        <f>SUM(AT153:BE153)</f>
        <v>64.147545000000008</v>
      </c>
      <c r="DF153" s="12">
        <f>SUM(BF153:BQ153)</f>
        <v>107.15355000000002</v>
      </c>
      <c r="DG153" s="12">
        <f>SUM(BR153:CC153)</f>
        <v>58.315950000000001</v>
      </c>
      <c r="DH153" s="12">
        <f>SUM(CD153:CO153)</f>
        <v>44.500050000000023</v>
      </c>
      <c r="DI153" s="12">
        <f t="shared" si="175"/>
        <v>50.444099999999992</v>
      </c>
    </row>
    <row r="154" spans="2:113" outlineLevel="2">
      <c r="B154" s="758"/>
      <c r="F154" s="126" t="s">
        <v>799</v>
      </c>
      <c r="I154" s="609" t="s">
        <v>736</v>
      </c>
      <c r="O154" s="710"/>
      <c r="P154" s="710"/>
      <c r="Q154" s="710"/>
      <c r="R154" s="710"/>
      <c r="S154" s="710"/>
      <c r="T154" s="710"/>
      <c r="U154" s="710"/>
      <c r="V154" s="710"/>
      <c r="W154" s="710"/>
      <c r="AA154" s="710"/>
      <c r="AB154" s="713"/>
      <c r="AC154" s="713"/>
      <c r="AD154" s="713"/>
      <c r="AE154" s="712"/>
      <c r="AF154" s="712"/>
      <c r="AG154" s="710"/>
      <c r="AH154" s="710"/>
      <c r="AI154" s="710"/>
      <c r="AJ154" s="710"/>
      <c r="AK154" s="902">
        <v>3.21E-4</v>
      </c>
      <c r="AL154" s="902">
        <v>1.4235000000000001E-3</v>
      </c>
      <c r="AM154" s="902">
        <v>5.0914480000000002E-3</v>
      </c>
      <c r="AN154" s="712">
        <v>2.6779058000000001E-2</v>
      </c>
      <c r="AO154" s="712">
        <v>5.6758894999999997E-2</v>
      </c>
      <c r="AP154" s="905">
        <v>4.4039259999999997E-2</v>
      </c>
      <c r="AQ154" s="710">
        <v>3.3396800000000007E-3</v>
      </c>
      <c r="AR154" s="710">
        <v>0.02</v>
      </c>
      <c r="AS154" s="710">
        <v>2.9399999999999999E-2</v>
      </c>
      <c r="AT154" s="710">
        <v>0.06</v>
      </c>
      <c r="AU154" s="710">
        <v>4.3200000000000002E-2</v>
      </c>
      <c r="AV154" s="710">
        <v>6.720000000000001E-2</v>
      </c>
      <c r="AW154" s="710">
        <v>0.10175000000000001</v>
      </c>
      <c r="AX154" s="710">
        <v>0.13630000000000003</v>
      </c>
      <c r="AY154" s="710">
        <v>0.17085</v>
      </c>
      <c r="AZ154" s="710">
        <v>0.20540000000000003</v>
      </c>
      <c r="BA154" s="710">
        <v>0.23995000000000002</v>
      </c>
      <c r="BB154" s="710">
        <v>0.27450000000000002</v>
      </c>
      <c r="BC154" s="710">
        <v>0.30904999999999999</v>
      </c>
      <c r="BD154" s="710">
        <v>0.34360000000000007</v>
      </c>
      <c r="BE154" s="710">
        <v>0.44400000000000006</v>
      </c>
      <c r="BF154" s="710">
        <v>0.42700000000000005</v>
      </c>
      <c r="BG154" s="710">
        <v>0.41000000000000009</v>
      </c>
      <c r="BH154" s="710">
        <v>0.39300000000000013</v>
      </c>
      <c r="BI154" s="710">
        <v>0.37600000000000011</v>
      </c>
      <c r="BJ154" s="710">
        <v>0.35900000000000004</v>
      </c>
      <c r="BK154" s="710">
        <v>0.34200000000000008</v>
      </c>
      <c r="BL154" s="710">
        <v>0.32500000000000001</v>
      </c>
      <c r="BM154" s="710">
        <v>0.308</v>
      </c>
      <c r="BN154" s="710">
        <v>0.29100000000000004</v>
      </c>
      <c r="BO154" s="710">
        <v>0.27400000000000002</v>
      </c>
      <c r="BP154" s="710">
        <v>0.25699999999999995</v>
      </c>
      <c r="BQ154" s="710">
        <v>0.24</v>
      </c>
      <c r="BR154" s="710">
        <v>0.23100000000000001</v>
      </c>
      <c r="BS154" s="710">
        <v>0.22200000000000003</v>
      </c>
      <c r="BT154" s="710">
        <v>0.21300000000000002</v>
      </c>
      <c r="BU154" s="710">
        <v>0.20400000000000001</v>
      </c>
      <c r="BV154" s="710">
        <v>0.19500000000000001</v>
      </c>
      <c r="BW154" s="710">
        <v>0.18600000000000003</v>
      </c>
      <c r="BX154" s="710">
        <v>0.17699999999999999</v>
      </c>
      <c r="BY154" s="710">
        <v>0.16800000000000001</v>
      </c>
      <c r="BZ154" s="710">
        <v>0.159</v>
      </c>
      <c r="CA154" s="710">
        <v>0.15</v>
      </c>
      <c r="CB154" s="710">
        <v>0.14100000000000001</v>
      </c>
      <c r="CC154" s="710">
        <v>0.13200000000000001</v>
      </c>
      <c r="CD154" s="710">
        <v>0.13300000000000001</v>
      </c>
      <c r="CE154" s="710">
        <v>0.13400000000000001</v>
      </c>
      <c r="CF154" s="710">
        <v>0.13500000000000004</v>
      </c>
      <c r="CG154" s="710">
        <v>0.13600000000000004</v>
      </c>
      <c r="CH154" s="710">
        <v>0.13700000000000004</v>
      </c>
      <c r="CI154" s="710">
        <v>0.13800000000000004</v>
      </c>
      <c r="CJ154" s="710">
        <v>0.13900000000000007</v>
      </c>
      <c r="CK154" s="710">
        <v>0.14000000000000007</v>
      </c>
      <c r="CL154" s="710">
        <v>0.14100000000000007</v>
      </c>
      <c r="CM154" s="710">
        <v>0.14200000000000007</v>
      </c>
      <c r="CN154" s="710">
        <v>0.1430000000000001</v>
      </c>
      <c r="CO154" s="710">
        <v>0.14400000000000002</v>
      </c>
      <c r="CP154" s="710">
        <v>0.14600000000000002</v>
      </c>
      <c r="CQ154" s="710">
        <v>0.14800000000000002</v>
      </c>
      <c r="CR154" s="710">
        <v>0.15</v>
      </c>
      <c r="CS154" s="710">
        <v>0.15199999999999997</v>
      </c>
      <c r="CT154" s="710">
        <v>0.154</v>
      </c>
      <c r="CU154" s="710">
        <v>0.15599999999999997</v>
      </c>
      <c r="CV154" s="710">
        <v>0.15799999999999995</v>
      </c>
      <c r="CW154" s="710">
        <v>0.15999999999999995</v>
      </c>
      <c r="CX154" s="710">
        <v>0.16199999999999995</v>
      </c>
      <c r="CY154" s="710">
        <v>0.16399999999999995</v>
      </c>
      <c r="CZ154" s="710">
        <v>0.1659999999999999</v>
      </c>
      <c r="DA154" s="710">
        <v>0.16800000000000001</v>
      </c>
      <c r="DB154" s="710"/>
      <c r="DC154" s="12">
        <f>SUM(V154:AG154)</f>
        <v>0</v>
      </c>
      <c r="DD154" s="12">
        <f>SUM(AH154:AS154)</f>
        <v>0.18715284100000001</v>
      </c>
      <c r="DE154" s="12">
        <f>SUM(AT154:BE154)</f>
        <v>2.3958000000000004</v>
      </c>
      <c r="DF154" s="12">
        <f>SUM(BF154:BQ154)</f>
        <v>4.0020000000000007</v>
      </c>
      <c r="DG154" s="12">
        <f>SUM(BR154:CC154)</f>
        <v>2.1780000000000004</v>
      </c>
      <c r="DH154" s="12">
        <f>SUM(CD154:CO154)</f>
        <v>1.6620000000000004</v>
      </c>
      <c r="DI154" s="12">
        <f t="shared" si="175"/>
        <v>1.8839999999999997</v>
      </c>
    </row>
    <row r="155" spans="2:113" outlineLevel="2">
      <c r="B155" s="758"/>
      <c r="F155" s="126" t="s">
        <v>800</v>
      </c>
      <c r="I155" s="609" t="s">
        <v>736</v>
      </c>
      <c r="O155" s="710"/>
      <c r="P155" s="710"/>
      <c r="Q155" s="710"/>
      <c r="R155" s="710"/>
      <c r="S155" s="710"/>
      <c r="T155" s="710"/>
      <c r="U155" s="710"/>
      <c r="V155" s="710"/>
      <c r="W155" s="710"/>
      <c r="AA155" s="710"/>
      <c r="AB155" s="713"/>
      <c r="AC155" s="713"/>
      <c r="AD155" s="713"/>
      <c r="AE155" s="712"/>
      <c r="AF155" s="712"/>
      <c r="AG155" s="710"/>
      <c r="AH155" s="710"/>
      <c r="AI155" s="710"/>
      <c r="AJ155" s="710"/>
      <c r="AK155" s="739"/>
      <c r="AL155" s="739"/>
      <c r="AM155" s="739"/>
      <c r="AN155" s="710"/>
      <c r="AO155" s="710"/>
      <c r="AP155" s="710"/>
      <c r="AQ155" s="710"/>
      <c r="AR155" s="710"/>
      <c r="AS155" s="710"/>
      <c r="AT155" s="710"/>
      <c r="AU155" s="710"/>
      <c r="AV155" s="710"/>
      <c r="AW155" s="710"/>
      <c r="AX155" s="710"/>
      <c r="AY155" s="710"/>
      <c r="AZ155" s="710"/>
      <c r="BA155" s="710"/>
      <c r="BB155" s="710"/>
      <c r="BC155" s="710"/>
      <c r="BD155" s="710"/>
      <c r="BE155" s="710"/>
      <c r="BF155" s="710"/>
      <c r="BG155" s="710"/>
      <c r="BH155" s="710"/>
      <c r="BI155" s="710"/>
      <c r="BJ155" s="710"/>
      <c r="BK155" s="710"/>
      <c r="BL155" s="710"/>
      <c r="BM155" s="710"/>
      <c r="BN155" s="710"/>
      <c r="BO155" s="710"/>
      <c r="BP155" s="710"/>
      <c r="BQ155" s="710"/>
      <c r="BR155" s="710"/>
      <c r="BS155" s="710"/>
      <c r="BT155" s="710"/>
      <c r="BU155" s="710"/>
      <c r="BV155" s="710"/>
      <c r="BW155" s="710"/>
      <c r="BX155" s="710"/>
      <c r="BY155" s="710"/>
      <c r="BZ155" s="710"/>
      <c r="CA155" s="710"/>
      <c r="CB155" s="710"/>
      <c r="CC155" s="710"/>
      <c r="CD155" s="710"/>
      <c r="CE155" s="710"/>
      <c r="CF155" s="710"/>
      <c r="CG155" s="710"/>
      <c r="CH155" s="710"/>
      <c r="CI155" s="710"/>
      <c r="CJ155" s="710"/>
      <c r="CK155" s="710"/>
      <c r="CL155" s="710"/>
      <c r="CM155" s="710"/>
      <c r="CN155" s="710"/>
      <c r="CO155" s="710"/>
      <c r="CP155" s="710"/>
      <c r="CQ155" s="710"/>
      <c r="CR155" s="710"/>
      <c r="CS155" s="710"/>
      <c r="CT155" s="710"/>
      <c r="CU155" s="710"/>
      <c r="CV155" s="710"/>
      <c r="CW155" s="710"/>
      <c r="CX155" s="710"/>
      <c r="CY155" s="710"/>
      <c r="CZ155" s="710"/>
      <c r="DA155" s="710"/>
      <c r="DB155" s="710"/>
      <c r="DC155" s="12">
        <f t="shared" ref="DC155:DC160" si="182">SUM(V155:AG155)</f>
        <v>0</v>
      </c>
      <c r="DD155" s="12">
        <f t="shared" ref="DD155:DD160" si="183">SUM(AH155:AS155)</f>
        <v>0</v>
      </c>
      <c r="DE155" s="12">
        <f t="shared" ref="DE155:DE160" si="184">SUM(AT155:BE155)</f>
        <v>0</v>
      </c>
      <c r="DF155" s="12">
        <f t="shared" ref="DF155:DF160" si="185">SUM(BF155:BQ155)</f>
        <v>0</v>
      </c>
      <c r="DG155" s="12">
        <f t="shared" ref="DG155:DG160" si="186">SUM(BR155:CC155)</f>
        <v>0</v>
      </c>
      <c r="DH155" s="12">
        <f t="shared" ref="DH155:DH160" si="187">SUM(CD155:CO155)</f>
        <v>0</v>
      </c>
      <c r="DI155" s="12">
        <f t="shared" si="175"/>
        <v>0</v>
      </c>
    </row>
    <row r="156" spans="2:113" outlineLevel="2">
      <c r="B156" s="758"/>
      <c r="F156" s="126" t="s">
        <v>223</v>
      </c>
      <c r="I156" s="609" t="s">
        <v>736</v>
      </c>
      <c r="O156" s="710"/>
      <c r="P156" s="710"/>
      <c r="Q156" s="710"/>
      <c r="R156" s="710"/>
      <c r="S156" s="710"/>
      <c r="T156" s="710"/>
      <c r="U156" s="710"/>
      <c r="V156" s="710"/>
      <c r="W156" s="710"/>
      <c r="AA156" s="710"/>
      <c r="AB156" s="713"/>
      <c r="AC156" s="713"/>
      <c r="AD156" s="713"/>
      <c r="AE156" s="712"/>
      <c r="AF156" s="712"/>
      <c r="AG156" s="710"/>
      <c r="AH156" s="710"/>
      <c r="AI156" s="710"/>
      <c r="AJ156" s="710"/>
      <c r="AK156" s="739"/>
      <c r="AL156" s="739"/>
      <c r="AM156" s="739"/>
      <c r="AN156" s="710"/>
      <c r="AO156" s="710"/>
      <c r="AP156" s="710"/>
      <c r="AQ156" s="710"/>
      <c r="AR156" s="710"/>
      <c r="AS156" s="710"/>
      <c r="AT156" s="710"/>
      <c r="AU156" s="710"/>
      <c r="AV156" s="710"/>
      <c r="AW156" s="710"/>
      <c r="AX156" s="710"/>
      <c r="AY156" s="710"/>
      <c r="AZ156" s="710"/>
      <c r="BA156" s="710"/>
      <c r="BB156" s="710"/>
      <c r="BC156" s="710"/>
      <c r="BD156" s="710"/>
      <c r="BE156" s="710"/>
      <c r="BF156" s="710"/>
      <c r="BG156" s="710"/>
      <c r="BH156" s="710"/>
      <c r="BI156" s="710"/>
      <c r="BJ156" s="710"/>
      <c r="BK156" s="710"/>
      <c r="BL156" s="710"/>
      <c r="BM156" s="710"/>
      <c r="BN156" s="710"/>
      <c r="BO156" s="710"/>
      <c r="BP156" s="710"/>
      <c r="BQ156" s="710"/>
      <c r="BR156" s="710"/>
      <c r="BS156" s="710"/>
      <c r="BT156" s="710"/>
      <c r="BU156" s="710"/>
      <c r="BV156" s="710"/>
      <c r="BW156" s="710"/>
      <c r="BX156" s="710"/>
      <c r="BY156" s="710"/>
      <c r="BZ156" s="710"/>
      <c r="CA156" s="710"/>
      <c r="CB156" s="710"/>
      <c r="CC156" s="710"/>
      <c r="CD156" s="710"/>
      <c r="CE156" s="710"/>
      <c r="CF156" s="710"/>
      <c r="CG156" s="710"/>
      <c r="CH156" s="710"/>
      <c r="CI156" s="710"/>
      <c r="CJ156" s="710"/>
      <c r="CK156" s="710"/>
      <c r="CL156" s="710"/>
      <c r="CM156" s="710"/>
      <c r="CN156" s="710"/>
      <c r="CO156" s="710"/>
      <c r="CP156" s="710"/>
      <c r="CQ156" s="710"/>
      <c r="CR156" s="710"/>
      <c r="CS156" s="710"/>
      <c r="CT156" s="710"/>
      <c r="CU156" s="710"/>
      <c r="CV156" s="710"/>
      <c r="CW156" s="710"/>
      <c r="CX156" s="710"/>
      <c r="CY156" s="710"/>
      <c r="CZ156" s="710"/>
      <c r="DA156" s="710"/>
      <c r="DB156" s="710"/>
      <c r="DC156" s="12">
        <f t="shared" si="182"/>
        <v>0</v>
      </c>
      <c r="DD156" s="12">
        <f t="shared" si="183"/>
        <v>0</v>
      </c>
      <c r="DE156" s="12">
        <f t="shared" si="184"/>
        <v>0</v>
      </c>
      <c r="DF156" s="12">
        <f t="shared" si="185"/>
        <v>0</v>
      </c>
      <c r="DG156" s="12">
        <f t="shared" si="186"/>
        <v>0</v>
      </c>
      <c r="DH156" s="12">
        <f t="shared" si="187"/>
        <v>0</v>
      </c>
      <c r="DI156" s="12">
        <f t="shared" si="175"/>
        <v>0</v>
      </c>
    </row>
    <row r="157" spans="2:113" outlineLevel="2">
      <c r="B157" s="758"/>
      <c r="F157" s="126" t="s">
        <v>221</v>
      </c>
      <c r="I157" s="609" t="s">
        <v>736</v>
      </c>
      <c r="O157" s="710"/>
      <c r="P157" s="710"/>
      <c r="Q157" s="710"/>
      <c r="R157" s="710"/>
      <c r="S157" s="710"/>
      <c r="T157" s="710"/>
      <c r="U157" s="710"/>
      <c r="V157" s="710"/>
      <c r="W157" s="710"/>
      <c r="AA157" s="710"/>
      <c r="AB157" s="713"/>
      <c r="AC157" s="713"/>
      <c r="AD157" s="713"/>
      <c r="AE157" s="712"/>
      <c r="AF157" s="712"/>
      <c r="AG157" s="710"/>
      <c r="AH157" s="710"/>
      <c r="AI157" s="710"/>
      <c r="AJ157" s="710"/>
      <c r="AK157" s="739"/>
      <c r="AL157" s="739"/>
      <c r="AM157" s="739"/>
      <c r="AN157" s="710"/>
      <c r="AO157" s="710"/>
      <c r="AP157" s="710"/>
      <c r="AQ157" s="710"/>
      <c r="AR157" s="710"/>
      <c r="AS157" s="710"/>
      <c r="AT157" s="710"/>
      <c r="AU157" s="710"/>
      <c r="AV157" s="710"/>
      <c r="AW157" s="710"/>
      <c r="AX157" s="710"/>
      <c r="AY157" s="710"/>
      <c r="AZ157" s="710"/>
      <c r="BA157" s="710"/>
      <c r="BB157" s="710"/>
      <c r="BC157" s="710"/>
      <c r="BD157" s="710"/>
      <c r="BE157" s="710"/>
      <c r="BF157" s="710"/>
      <c r="BG157" s="710"/>
      <c r="BH157" s="710"/>
      <c r="BI157" s="710"/>
      <c r="BJ157" s="710"/>
      <c r="BK157" s="710"/>
      <c r="BL157" s="710"/>
      <c r="BM157" s="710"/>
      <c r="BN157" s="710"/>
      <c r="BO157" s="710"/>
      <c r="BP157" s="710"/>
      <c r="BQ157" s="710"/>
      <c r="BR157" s="710"/>
      <c r="BS157" s="710"/>
      <c r="BT157" s="710"/>
      <c r="BU157" s="710"/>
      <c r="BV157" s="710"/>
      <c r="BW157" s="710"/>
      <c r="BX157" s="710"/>
      <c r="BY157" s="710"/>
      <c r="BZ157" s="710"/>
      <c r="CA157" s="710"/>
      <c r="CB157" s="710"/>
      <c r="CC157" s="710"/>
      <c r="CD157" s="710"/>
      <c r="CE157" s="710"/>
      <c r="CF157" s="710"/>
      <c r="CG157" s="710"/>
      <c r="CH157" s="710"/>
      <c r="CI157" s="710"/>
      <c r="CJ157" s="710"/>
      <c r="CK157" s="710"/>
      <c r="CL157" s="710"/>
      <c r="CM157" s="710"/>
      <c r="CN157" s="710"/>
      <c r="CO157" s="710"/>
      <c r="CP157" s="710"/>
      <c r="CQ157" s="710"/>
      <c r="CR157" s="710"/>
      <c r="CS157" s="710"/>
      <c r="CT157" s="710"/>
      <c r="CU157" s="710"/>
      <c r="CV157" s="710"/>
      <c r="CW157" s="710"/>
      <c r="CX157" s="710"/>
      <c r="CY157" s="710"/>
      <c r="CZ157" s="710"/>
      <c r="DA157" s="710"/>
      <c r="DB157" s="710"/>
      <c r="DC157" s="12">
        <f t="shared" si="182"/>
        <v>0</v>
      </c>
      <c r="DD157" s="12">
        <f t="shared" si="183"/>
        <v>0</v>
      </c>
      <c r="DE157" s="12">
        <f t="shared" si="184"/>
        <v>0</v>
      </c>
      <c r="DF157" s="12">
        <f t="shared" si="185"/>
        <v>0</v>
      </c>
      <c r="DG157" s="12">
        <f t="shared" si="186"/>
        <v>0</v>
      </c>
      <c r="DH157" s="12">
        <f t="shared" si="187"/>
        <v>0</v>
      </c>
      <c r="DI157" s="12">
        <f t="shared" si="175"/>
        <v>0</v>
      </c>
    </row>
    <row r="158" spans="2:113" outlineLevel="2">
      <c r="B158" s="758"/>
      <c r="F158" s="126" t="s">
        <v>801</v>
      </c>
      <c r="I158" s="609" t="s">
        <v>736</v>
      </c>
      <c r="O158" s="710"/>
      <c r="P158" s="710"/>
      <c r="Q158" s="710"/>
      <c r="R158" s="710"/>
      <c r="S158" s="710"/>
      <c r="T158" s="710"/>
      <c r="U158" s="710"/>
      <c r="V158" s="710"/>
      <c r="W158" s="710"/>
      <c r="AA158" s="710"/>
      <c r="AB158" s="713"/>
      <c r="AC158" s="713"/>
      <c r="AD158" s="713"/>
      <c r="AE158" s="712"/>
      <c r="AF158" s="712"/>
      <c r="AG158" s="710"/>
      <c r="AH158" s="710"/>
      <c r="AI158" s="710"/>
      <c r="AJ158" s="710"/>
      <c r="AK158" s="739"/>
      <c r="AL158" s="739"/>
      <c r="AM158" s="739"/>
      <c r="AN158" s="710"/>
      <c r="AO158" s="710">
        <v>0</v>
      </c>
      <c r="AP158" s="710">
        <v>0</v>
      </c>
      <c r="AQ158" s="710">
        <v>0</v>
      </c>
      <c r="AR158" s="710">
        <v>0</v>
      </c>
      <c r="AS158" s="710">
        <v>0</v>
      </c>
      <c r="AT158" s="710">
        <v>0</v>
      </c>
      <c r="AU158" s="710">
        <v>0</v>
      </c>
      <c r="AV158" s="710">
        <v>0</v>
      </c>
      <c r="AW158" s="710">
        <v>0</v>
      </c>
      <c r="AX158" s="710">
        <v>0</v>
      </c>
      <c r="AY158" s="710">
        <v>0</v>
      </c>
      <c r="AZ158" s="710">
        <v>0</v>
      </c>
      <c r="BA158" s="710">
        <v>0</v>
      </c>
      <c r="BB158" s="710">
        <v>0</v>
      </c>
      <c r="BC158" s="710">
        <v>0</v>
      </c>
      <c r="BD158" s="710">
        <v>0</v>
      </c>
      <c r="BE158" s="710">
        <v>0</v>
      </c>
      <c r="BF158" s="710">
        <v>0</v>
      </c>
      <c r="BG158" s="710">
        <v>0</v>
      </c>
      <c r="BH158" s="710">
        <v>0</v>
      </c>
      <c r="BI158" s="710">
        <v>0</v>
      </c>
      <c r="BJ158" s="710">
        <v>0</v>
      </c>
      <c r="BK158" s="710">
        <v>0</v>
      </c>
      <c r="BL158" s="710">
        <v>0</v>
      </c>
      <c r="BM158" s="710">
        <v>0</v>
      </c>
      <c r="BN158" s="710">
        <v>0</v>
      </c>
      <c r="BO158" s="710">
        <v>0</v>
      </c>
      <c r="BP158" s="710">
        <v>0</v>
      </c>
      <c r="BQ158" s="710">
        <v>0</v>
      </c>
      <c r="BR158" s="710">
        <v>0</v>
      </c>
      <c r="BS158" s="710">
        <v>0</v>
      </c>
      <c r="BT158" s="710">
        <v>0</v>
      </c>
      <c r="BU158" s="710">
        <v>0</v>
      </c>
      <c r="BV158" s="710">
        <v>0</v>
      </c>
      <c r="BW158" s="710">
        <v>0</v>
      </c>
      <c r="BX158" s="710">
        <v>0</v>
      </c>
      <c r="BY158" s="710">
        <v>0</v>
      </c>
      <c r="BZ158" s="710">
        <v>0</v>
      </c>
      <c r="CA158" s="710">
        <v>0</v>
      </c>
      <c r="CB158" s="710">
        <v>0</v>
      </c>
      <c r="CC158" s="710">
        <v>0</v>
      </c>
      <c r="CD158" s="710">
        <v>0</v>
      </c>
      <c r="CE158" s="710">
        <v>0</v>
      </c>
      <c r="CF158" s="710">
        <v>0</v>
      </c>
      <c r="CG158" s="710">
        <v>0</v>
      </c>
      <c r="CH158" s="710">
        <v>0</v>
      </c>
      <c r="CI158" s="710">
        <v>0</v>
      </c>
      <c r="CJ158" s="710">
        <v>0</v>
      </c>
      <c r="CK158" s="710">
        <v>0</v>
      </c>
      <c r="CL158" s="710">
        <v>0</v>
      </c>
      <c r="CM158" s="710">
        <v>0</v>
      </c>
      <c r="CN158" s="710">
        <v>0</v>
      </c>
      <c r="CO158" s="710">
        <v>0</v>
      </c>
      <c r="CP158" s="710">
        <v>0</v>
      </c>
      <c r="CQ158" s="710">
        <v>0</v>
      </c>
      <c r="CR158" s="710">
        <v>0</v>
      </c>
      <c r="CS158" s="710">
        <v>0</v>
      </c>
      <c r="CT158" s="710">
        <v>0</v>
      </c>
      <c r="CU158" s="710">
        <v>0</v>
      </c>
      <c r="CV158" s="710">
        <v>0</v>
      </c>
      <c r="CW158" s="710">
        <v>0</v>
      </c>
      <c r="CX158" s="710">
        <v>0</v>
      </c>
      <c r="CY158" s="710">
        <v>0</v>
      </c>
      <c r="CZ158" s="710">
        <v>0</v>
      </c>
      <c r="DA158" s="710">
        <v>0</v>
      </c>
      <c r="DB158" s="710"/>
      <c r="DC158" s="12">
        <f t="shared" si="182"/>
        <v>0</v>
      </c>
      <c r="DD158" s="12">
        <f t="shared" si="183"/>
        <v>0</v>
      </c>
      <c r="DE158" s="12">
        <f t="shared" si="184"/>
        <v>0</v>
      </c>
      <c r="DF158" s="12">
        <f t="shared" si="185"/>
        <v>0</v>
      </c>
      <c r="DG158" s="12">
        <f t="shared" si="186"/>
        <v>0</v>
      </c>
      <c r="DH158" s="12">
        <f t="shared" si="187"/>
        <v>0</v>
      </c>
      <c r="DI158" s="758">
        <f t="shared" si="175"/>
        <v>0</v>
      </c>
    </row>
    <row r="159" spans="2:113" outlineLevel="2">
      <c r="B159" s="758"/>
      <c r="F159" s="126" t="s">
        <v>802</v>
      </c>
      <c r="I159" s="609" t="s">
        <v>736</v>
      </c>
      <c r="O159" s="710"/>
      <c r="P159" s="710"/>
      <c r="Q159" s="710"/>
      <c r="R159" s="710"/>
      <c r="S159" s="710"/>
      <c r="T159" s="710"/>
      <c r="U159" s="710"/>
      <c r="V159" s="710"/>
      <c r="W159" s="710"/>
      <c r="AA159" s="710"/>
      <c r="AB159" s="713"/>
      <c r="AC159" s="713"/>
      <c r="AD159" s="713"/>
      <c r="AE159" s="712"/>
      <c r="AF159" s="712"/>
      <c r="AG159" s="710"/>
      <c r="AH159" s="710"/>
      <c r="AI159" s="710"/>
      <c r="AJ159" s="710"/>
      <c r="AK159" s="739"/>
      <c r="AL159" s="739"/>
      <c r="AM159" s="739"/>
      <c r="AN159" s="710"/>
      <c r="AO159" s="710"/>
      <c r="AP159" s="710"/>
      <c r="AQ159" s="710"/>
      <c r="AR159" s="710"/>
      <c r="AS159" s="710"/>
      <c r="AT159" s="710"/>
      <c r="AU159" s="710"/>
      <c r="AV159" s="710"/>
      <c r="AW159" s="710"/>
      <c r="AX159" s="710"/>
      <c r="AY159" s="710"/>
      <c r="AZ159" s="710"/>
      <c r="BA159" s="710"/>
      <c r="BB159" s="710"/>
      <c r="BC159" s="710"/>
      <c r="BD159" s="710"/>
      <c r="BE159" s="710"/>
      <c r="BF159" s="710"/>
      <c r="BG159" s="710"/>
      <c r="BH159" s="710"/>
      <c r="BI159" s="710"/>
      <c r="BJ159" s="710"/>
      <c r="BK159" s="710"/>
      <c r="BL159" s="710"/>
      <c r="BM159" s="710"/>
      <c r="BN159" s="710"/>
      <c r="BO159" s="710"/>
      <c r="BP159" s="710"/>
      <c r="BQ159" s="710"/>
      <c r="BR159" s="710"/>
      <c r="BS159" s="710"/>
      <c r="BT159" s="710"/>
      <c r="BU159" s="710"/>
      <c r="BV159" s="710"/>
      <c r="BW159" s="710"/>
      <c r="BX159" s="710"/>
      <c r="BY159" s="710"/>
      <c r="BZ159" s="710"/>
      <c r="CA159" s="710"/>
      <c r="CB159" s="710"/>
      <c r="CC159" s="710"/>
      <c r="CD159" s="710"/>
      <c r="CE159" s="710"/>
      <c r="CF159" s="710"/>
      <c r="CG159" s="710"/>
      <c r="CH159" s="710"/>
      <c r="CI159" s="710"/>
      <c r="CJ159" s="710"/>
      <c r="CK159" s="710"/>
      <c r="CL159" s="710"/>
      <c r="CM159" s="710"/>
      <c r="CN159" s="710"/>
      <c r="CO159" s="710"/>
      <c r="CP159" s="710"/>
      <c r="CQ159" s="710"/>
      <c r="CR159" s="710"/>
      <c r="CS159" s="710"/>
      <c r="CT159" s="710"/>
      <c r="CU159" s="710"/>
      <c r="CV159" s="710"/>
      <c r="CW159" s="710"/>
      <c r="CX159" s="710"/>
      <c r="CY159" s="710"/>
      <c r="CZ159" s="710"/>
      <c r="DA159" s="710"/>
      <c r="DB159" s="710"/>
      <c r="DC159" s="12">
        <f t="shared" si="182"/>
        <v>0</v>
      </c>
      <c r="DD159" s="12">
        <f t="shared" si="183"/>
        <v>0</v>
      </c>
      <c r="DE159" s="12">
        <f t="shared" si="184"/>
        <v>0</v>
      </c>
      <c r="DF159" s="12">
        <f t="shared" si="185"/>
        <v>0</v>
      </c>
      <c r="DG159" s="12">
        <f t="shared" si="186"/>
        <v>0</v>
      </c>
      <c r="DH159" s="12">
        <f t="shared" si="187"/>
        <v>0</v>
      </c>
      <c r="DI159" s="12">
        <f t="shared" si="175"/>
        <v>0</v>
      </c>
    </row>
    <row r="160" spans="2:113" outlineLevel="2">
      <c r="B160" s="758"/>
      <c r="F160" s="126" t="s">
        <v>222</v>
      </c>
      <c r="I160" s="609" t="s">
        <v>736</v>
      </c>
      <c r="O160" s="710"/>
      <c r="P160" s="710"/>
      <c r="Q160" s="710"/>
      <c r="R160" s="710"/>
      <c r="S160" s="710"/>
      <c r="T160" s="710"/>
      <c r="U160" s="710"/>
      <c r="V160" s="710"/>
      <c r="W160" s="710"/>
      <c r="AA160" s="710"/>
      <c r="AB160" s="713"/>
      <c r="AC160" s="713"/>
      <c r="AD160" s="713"/>
      <c r="AE160" s="712"/>
      <c r="AF160" s="712"/>
      <c r="AG160" s="710"/>
      <c r="AH160" s="710"/>
      <c r="AI160" s="710"/>
      <c r="AJ160" s="710"/>
      <c r="AK160" s="739"/>
      <c r="AL160" s="739"/>
      <c r="AM160" s="739"/>
      <c r="AN160" s="710"/>
      <c r="AO160" s="710"/>
      <c r="AP160" s="710"/>
      <c r="AQ160" s="710"/>
      <c r="AR160" s="710"/>
      <c r="AS160" s="710"/>
      <c r="AT160" s="710"/>
      <c r="AU160" s="710"/>
      <c r="AV160" s="710"/>
      <c r="AW160" s="710"/>
      <c r="AX160" s="710"/>
      <c r="AY160" s="710"/>
      <c r="AZ160" s="710"/>
      <c r="BA160" s="710"/>
      <c r="BB160" s="710"/>
      <c r="BC160" s="710"/>
      <c r="BD160" s="710"/>
      <c r="BE160" s="710"/>
      <c r="BF160" s="710"/>
      <c r="BG160" s="710"/>
      <c r="BH160" s="710"/>
      <c r="BI160" s="710"/>
      <c r="BJ160" s="710"/>
      <c r="BK160" s="710"/>
      <c r="BL160" s="710"/>
      <c r="BM160" s="710"/>
      <c r="BN160" s="710"/>
      <c r="BO160" s="710"/>
      <c r="BP160" s="710"/>
      <c r="BQ160" s="710"/>
      <c r="BR160" s="710"/>
      <c r="BS160" s="710"/>
      <c r="BT160" s="710"/>
      <c r="BU160" s="710"/>
      <c r="BV160" s="710"/>
      <c r="BW160" s="710"/>
      <c r="BX160" s="710"/>
      <c r="BY160" s="710"/>
      <c r="BZ160" s="710"/>
      <c r="CA160" s="710"/>
      <c r="CB160" s="710"/>
      <c r="CC160" s="710"/>
      <c r="CD160" s="710"/>
      <c r="CE160" s="710"/>
      <c r="CF160" s="710"/>
      <c r="CG160" s="710"/>
      <c r="CH160" s="710"/>
      <c r="CI160" s="710"/>
      <c r="CJ160" s="710"/>
      <c r="CK160" s="710"/>
      <c r="CL160" s="710"/>
      <c r="CM160" s="710"/>
      <c r="CN160" s="710"/>
      <c r="CO160" s="710"/>
      <c r="CP160" s="710"/>
      <c r="CQ160" s="710"/>
      <c r="CR160" s="710"/>
      <c r="CS160" s="710"/>
      <c r="CT160" s="710"/>
      <c r="CU160" s="710"/>
      <c r="CV160" s="710"/>
      <c r="CW160" s="710"/>
      <c r="CX160" s="710"/>
      <c r="CY160" s="710"/>
      <c r="CZ160" s="710"/>
      <c r="DA160" s="710"/>
      <c r="DB160" s="710"/>
      <c r="DC160" s="12">
        <f t="shared" si="182"/>
        <v>0</v>
      </c>
      <c r="DD160" s="12">
        <f t="shared" si="183"/>
        <v>0</v>
      </c>
      <c r="DE160" s="12">
        <f t="shared" si="184"/>
        <v>0</v>
      </c>
      <c r="DF160" s="12">
        <f t="shared" si="185"/>
        <v>0</v>
      </c>
      <c r="DG160" s="12">
        <f t="shared" si="186"/>
        <v>0</v>
      </c>
      <c r="DH160" s="12">
        <f t="shared" si="187"/>
        <v>0</v>
      </c>
      <c r="DI160" s="12">
        <f t="shared" si="175"/>
        <v>0</v>
      </c>
    </row>
    <row r="161" spans="2:113" outlineLevel="2">
      <c r="B161" s="758"/>
      <c r="E161" s="720" t="s">
        <v>621</v>
      </c>
      <c r="I161" s="609" t="s">
        <v>736</v>
      </c>
      <c r="N161" s="710"/>
      <c r="O161" s="710"/>
      <c r="P161" s="710"/>
      <c r="Q161" s="710"/>
      <c r="R161" s="710"/>
      <c r="S161" s="710"/>
      <c r="T161" s="710"/>
      <c r="U161" s="710"/>
      <c r="V161" s="710"/>
      <c r="W161" s="710"/>
      <c r="X161" s="698"/>
      <c r="AA161" s="710"/>
      <c r="AB161" s="712"/>
      <c r="AC161" s="712"/>
      <c r="AD161" s="712"/>
      <c r="AE161" s="712"/>
      <c r="AF161" s="712"/>
      <c r="AG161" s="710"/>
      <c r="AH161" s="710"/>
      <c r="AI161" s="710"/>
      <c r="AJ161" s="710"/>
      <c r="AK161" s="746">
        <v>0</v>
      </c>
      <c r="AL161" s="906">
        <v>-3.2950750000000001E-2</v>
      </c>
      <c r="AM161" s="906">
        <v>-0.101088418</v>
      </c>
      <c r="AN161" s="906">
        <v>-1.001124058</v>
      </c>
      <c r="AO161" s="907">
        <f>-1527042860/10^9</f>
        <v>-1.5270428599999999</v>
      </c>
      <c r="AP161" s="752">
        <v>-0.90317013099999999</v>
      </c>
      <c r="AQ161" s="714">
        <v>-0.91553078366444229</v>
      </c>
      <c r="AR161" s="714">
        <v>-1.5229981268899588</v>
      </c>
      <c r="AS161" s="714">
        <v>-1.1990144000735792</v>
      </c>
      <c r="AT161" s="714">
        <v>-2.3013343223869152</v>
      </c>
      <c r="AU161" s="714">
        <v>-5.3437370020422721</v>
      </c>
      <c r="AV161" s="714">
        <v>-7.0590409475376079</v>
      </c>
      <c r="AW161" s="714">
        <v>-5.1013971472108093</v>
      </c>
      <c r="AX161" s="714">
        <v>-3.5956566469544242</v>
      </c>
      <c r="AY161" s="714">
        <v>-3.3706678308984181</v>
      </c>
      <c r="AZ161" s="714">
        <v>-3.7243931029094539</v>
      </c>
      <c r="BA161" s="714">
        <v>-4.3293254284342479</v>
      </c>
      <c r="BB161" s="714">
        <v>-5.0707131326474979</v>
      </c>
      <c r="BC161" s="714">
        <v>-5.83731942803976</v>
      </c>
      <c r="BD161" s="714">
        <v>-6.8496015569285875</v>
      </c>
      <c r="BE161" s="714">
        <v>-8.4348605052088601</v>
      </c>
      <c r="BF161" s="714">
        <v>-9.8080228968970058</v>
      </c>
      <c r="BG161" s="714">
        <v>-11.272206065710208</v>
      </c>
      <c r="BH161" s="714">
        <v>-12.837278605292886</v>
      </c>
      <c r="BI161" s="714">
        <v>-14.630586752937262</v>
      </c>
      <c r="BJ161" s="714">
        <v>-16.380326082333767</v>
      </c>
      <c r="BK161" s="714">
        <v>-18.080841185635215</v>
      </c>
      <c r="BL161" s="714">
        <v>-19.980308779836239</v>
      </c>
      <c r="BM161" s="714">
        <v>-22.021569480517382</v>
      </c>
      <c r="BN161" s="714">
        <v>-23.473236174756629</v>
      </c>
      <c r="BO161" s="714">
        <v>-24.412707603601245</v>
      </c>
      <c r="BP161" s="714">
        <v>-24.91423389419359</v>
      </c>
      <c r="BQ161" s="714">
        <v>-25.043064036400754</v>
      </c>
      <c r="BR161" s="714">
        <v>-24.942819370670918</v>
      </c>
      <c r="BS161" s="714">
        <v>-24.558343492277594</v>
      </c>
      <c r="BT161" s="714">
        <v>-23.914284449178783</v>
      </c>
      <c r="BU161" s="714">
        <v>-23.13210891800718</v>
      </c>
      <c r="BV161" s="714">
        <v>-22.176099422845436</v>
      </c>
      <c r="BW161" s="714">
        <v>-21.102298799430262</v>
      </c>
      <c r="BX161" s="714">
        <v>-20.076024120891997</v>
      </c>
      <c r="BY161" s="714">
        <v>-19.218039469437006</v>
      </c>
      <c r="BZ161" s="714">
        <v>-18.371821190660647</v>
      </c>
      <c r="CA161" s="714">
        <v>-17.57888305308893</v>
      </c>
      <c r="CB161" s="714">
        <v>-16.831666031830082</v>
      </c>
      <c r="CC161" s="714">
        <v>-16.123942206830293</v>
      </c>
      <c r="CD161" s="714">
        <v>-15.495009829200171</v>
      </c>
      <c r="CE161" s="714">
        <v>-14.903365532933435</v>
      </c>
      <c r="CF161" s="714">
        <v>-14.342203910635407</v>
      </c>
      <c r="CG161" s="714">
        <v>-13.804948343197724</v>
      </c>
      <c r="CH161" s="714">
        <v>-13.302432190745094</v>
      </c>
      <c r="CI161" s="714">
        <v>-12.825123626576964</v>
      </c>
      <c r="CJ161" s="714">
        <v>-12.366290634713504</v>
      </c>
      <c r="CK161" s="714">
        <v>-11.949441323374913</v>
      </c>
      <c r="CL161" s="714">
        <v>-11.613497021285365</v>
      </c>
      <c r="CM161" s="714">
        <v>-11.346416573430588</v>
      </c>
      <c r="CN161" s="714">
        <v>-11.140586908635123</v>
      </c>
      <c r="CO161" s="714">
        <v>-10.98886856743502</v>
      </c>
      <c r="CP161" s="714">
        <v>-10.888894046748192</v>
      </c>
      <c r="CQ161" s="714">
        <v>-10.830297991576526</v>
      </c>
      <c r="CR161" s="714">
        <v>-10.809758299432632</v>
      </c>
      <c r="CS161" s="714">
        <v>-10.821370265423866</v>
      </c>
      <c r="CT161" s="714">
        <v>-10.860592747857254</v>
      </c>
      <c r="CU161" s="714">
        <v>-10.920533406530875</v>
      </c>
      <c r="CV161" s="714">
        <v>-10.995701387332565</v>
      </c>
      <c r="CW161" s="714">
        <v>-11.083255472030531</v>
      </c>
      <c r="CX161" s="714">
        <v>-11.181656594637206</v>
      </c>
      <c r="CY161" s="714">
        <v>-11.286475798952187</v>
      </c>
      <c r="CZ161" s="714">
        <v>-11.39739199410883</v>
      </c>
      <c r="DA161" s="714">
        <v>-11.513928598287338</v>
      </c>
      <c r="DB161" s="710"/>
      <c r="DC161" s="12">
        <f>SUM(V161:AG161)</f>
        <v>0</v>
      </c>
      <c r="DD161" s="12">
        <f>SUM(AH161:AS161)</f>
        <v>-7.20291952762798</v>
      </c>
      <c r="DE161" s="12">
        <f>SUM(AT161:BE161)</f>
        <v>-61.018047051198856</v>
      </c>
      <c r="DF161" s="12">
        <f>SUM(BF161:BQ161)</f>
        <v>-222.85438155811215</v>
      </c>
      <c r="DG161" s="12">
        <f>SUM(BR161:CC161)</f>
        <v>-248.02633052514912</v>
      </c>
      <c r="DH161" s="12">
        <f>SUM(CD161:CO161)</f>
        <v>-154.07818446216331</v>
      </c>
      <c r="DI161" s="12">
        <f t="shared" si="175"/>
        <v>-132.58985660291799</v>
      </c>
    </row>
    <row r="162" spans="2:113" s="856" customFormat="1" outlineLevel="2">
      <c r="B162" s="758"/>
      <c r="E162" s="856" t="s">
        <v>701</v>
      </c>
      <c r="H162" s="857"/>
      <c r="I162" s="609" t="s">
        <v>736</v>
      </c>
      <c r="J162" s="857"/>
      <c r="K162" s="857"/>
      <c r="L162" s="857"/>
      <c r="M162" s="857"/>
      <c r="O162" s="696"/>
      <c r="P162" s="696"/>
      <c r="Q162" s="696"/>
      <c r="R162" s="696"/>
      <c r="S162" s="696"/>
      <c r="T162" s="696"/>
      <c r="U162" s="696"/>
      <c r="V162" s="696"/>
      <c r="W162" s="696"/>
      <c r="X162" s="126"/>
      <c r="Z162" s="126"/>
      <c r="AA162" s="696"/>
      <c r="AB162" s="696"/>
      <c r="AC162" s="696"/>
      <c r="AD162" s="696"/>
      <c r="AE162" s="696"/>
      <c r="AF162" s="696"/>
      <c r="AG162" s="696"/>
      <c r="AH162" s="696"/>
      <c r="AI162" s="696"/>
      <c r="AJ162" s="696"/>
      <c r="AK162" s="707">
        <f t="shared" ref="AK162:CV162" si="188">SUM(AK163:AK171)</f>
        <v>-3.2300323166610058E-2</v>
      </c>
      <c r="AL162" s="707">
        <f t="shared" si="188"/>
        <v>-0.11270432325036941</v>
      </c>
      <c r="AM162" s="707">
        <f t="shared" si="188"/>
        <v>-0.5236279051031244</v>
      </c>
      <c r="AN162" s="747">
        <f t="shared" si="188"/>
        <v>-1.2414762787183589</v>
      </c>
      <c r="AO162" s="747">
        <f t="shared" si="188"/>
        <v>-1.2216151749926016</v>
      </c>
      <c r="AP162" s="747">
        <f t="shared" si="188"/>
        <v>-0.6983425252300921</v>
      </c>
      <c r="AQ162" s="747">
        <f t="shared" si="188"/>
        <v>0.73576802999985369</v>
      </c>
      <c r="AR162" s="747">
        <f t="shared" si="188"/>
        <v>1.7682761872047033</v>
      </c>
      <c r="AS162" s="747">
        <f t="shared" si="188"/>
        <v>0.65515593364971569</v>
      </c>
      <c r="AT162" s="747">
        <f t="shared" si="188"/>
        <v>-0.95079729343071462</v>
      </c>
      <c r="AU162" s="747">
        <f t="shared" si="188"/>
        <v>-1.0817473723233637</v>
      </c>
      <c r="AV162" s="747">
        <f t="shared" si="188"/>
        <v>-1.4979432220607658</v>
      </c>
      <c r="AW162" s="747">
        <f t="shared" si="188"/>
        <v>-2.1212106848103804</v>
      </c>
      <c r="AX162" s="747">
        <f t="shared" si="188"/>
        <v>-2.7509177787310799</v>
      </c>
      <c r="AY162" s="747">
        <f t="shared" si="188"/>
        <v>-3.5518671932234427</v>
      </c>
      <c r="AZ162" s="747">
        <f t="shared" si="188"/>
        <v>-4.2911046448311279</v>
      </c>
      <c r="BA162" s="747">
        <f t="shared" si="188"/>
        <v>-5.0619683280121635</v>
      </c>
      <c r="BB162" s="747">
        <f t="shared" si="188"/>
        <v>-5.8373997622407385</v>
      </c>
      <c r="BC162" s="747">
        <f t="shared" si="188"/>
        <v>-6.6308581781307865</v>
      </c>
      <c r="BD162" s="747">
        <f t="shared" si="188"/>
        <v>-7.4348009515466167</v>
      </c>
      <c r="BE162" s="747">
        <f t="shared" si="188"/>
        <v>-9.0831658850371682</v>
      </c>
      <c r="BF162" s="747">
        <f t="shared" si="188"/>
        <v>-9.9663481952790782</v>
      </c>
      <c r="BG162" s="747">
        <f t="shared" si="188"/>
        <v>-10.189892149659068</v>
      </c>
      <c r="BH162" s="747">
        <f t="shared" si="188"/>
        <v>-10.208726226131141</v>
      </c>
      <c r="BI162" s="747">
        <f t="shared" si="188"/>
        <v>-9.7934296235640481</v>
      </c>
      <c r="BJ162" s="747">
        <f t="shared" si="188"/>
        <v>-9.4530226293902828</v>
      </c>
      <c r="BK162" s="747">
        <f t="shared" si="188"/>
        <v>-9.129296407888738</v>
      </c>
      <c r="BL162" s="747">
        <f t="shared" si="188"/>
        <v>-8.7839426746982028</v>
      </c>
      <c r="BM162" s="747">
        <f t="shared" si="188"/>
        <v>-8.4298999844603077</v>
      </c>
      <c r="BN162" s="747">
        <f t="shared" si="188"/>
        <v>-8.0517684721196776</v>
      </c>
      <c r="BO162" s="747">
        <f t="shared" si="188"/>
        <v>-7.6701892139347425</v>
      </c>
      <c r="BP162" s="747">
        <f t="shared" si="188"/>
        <v>-7.2841407360675268</v>
      </c>
      <c r="BQ162" s="747">
        <f t="shared" si="188"/>
        <v>-6.893708468268021</v>
      </c>
      <c r="BR162" s="747">
        <f t="shared" si="188"/>
        <v>-6.7507977168605207</v>
      </c>
      <c r="BS162" s="747">
        <f t="shared" si="188"/>
        <v>-6.4836218062808495</v>
      </c>
      <c r="BT162" s="747">
        <f t="shared" si="188"/>
        <v>-6.2782315656922734</v>
      </c>
      <c r="BU162" s="747">
        <f t="shared" si="188"/>
        <v>-5.9928543617206618</v>
      </c>
      <c r="BV162" s="747">
        <f t="shared" si="188"/>
        <v>-5.7466206709984284</v>
      </c>
      <c r="BW162" s="747">
        <f t="shared" si="188"/>
        <v>-5.5047058130880036</v>
      </c>
      <c r="BX162" s="747">
        <f t="shared" si="188"/>
        <v>-5.2644434701291871</v>
      </c>
      <c r="BY162" s="747">
        <f t="shared" si="188"/>
        <v>-5.0290177412630124</v>
      </c>
      <c r="BZ162" s="747">
        <f t="shared" si="188"/>
        <v>-4.7959063842617908</v>
      </c>
      <c r="CA162" s="747">
        <f t="shared" si="188"/>
        <v>-4.5641992326991758</v>
      </c>
      <c r="CB162" s="747">
        <f t="shared" si="188"/>
        <v>-4.3325868078130618</v>
      </c>
      <c r="CC162" s="747">
        <f t="shared" si="188"/>
        <v>-4.099611631050224</v>
      </c>
      <c r="CD162" s="747">
        <f t="shared" si="188"/>
        <v>-4.0874624387699035</v>
      </c>
      <c r="CE162" s="747">
        <f t="shared" si="188"/>
        <v>-4.0362416112310227</v>
      </c>
      <c r="CF162" s="747">
        <f t="shared" si="188"/>
        <v>-4.0205260275407255</v>
      </c>
      <c r="CG162" s="747">
        <f t="shared" si="188"/>
        <v>-4.0377919081241584</v>
      </c>
      <c r="CH162" s="747">
        <f t="shared" si="188"/>
        <v>-4.0573126420285792</v>
      </c>
      <c r="CI162" s="747">
        <f t="shared" si="188"/>
        <v>-4.0831440033747448</v>
      </c>
      <c r="CJ162" s="747">
        <f t="shared" si="188"/>
        <v>-4.1150324572044994</v>
      </c>
      <c r="CK162" s="747">
        <f t="shared" si="188"/>
        <v>-4.1513399808573936</v>
      </c>
      <c r="CL162" s="747">
        <f t="shared" si="188"/>
        <v>-4.190078328134887</v>
      </c>
      <c r="CM162" s="747">
        <f t="shared" si="188"/>
        <v>-4.2317542568498432</v>
      </c>
      <c r="CN162" s="747">
        <f t="shared" si="188"/>
        <v>-4.2737804535099668</v>
      </c>
      <c r="CO162" s="747">
        <f t="shared" si="188"/>
        <v>-4.3144799726703011</v>
      </c>
      <c r="CP162" s="747">
        <f t="shared" si="188"/>
        <v>-4.4079903463503758</v>
      </c>
      <c r="CQ162" s="747">
        <f t="shared" si="188"/>
        <v>-4.459265921289254</v>
      </c>
      <c r="CR162" s="747">
        <f t="shared" si="188"/>
        <v>-4.5090488144392982</v>
      </c>
      <c r="CS162" s="747">
        <f t="shared" si="188"/>
        <v>-4.5590955391852539</v>
      </c>
      <c r="CT162" s="747">
        <f t="shared" si="188"/>
        <v>-4.6082597326851396</v>
      </c>
      <c r="CU162" s="747">
        <f t="shared" si="188"/>
        <v>-4.6588230025254997</v>
      </c>
      <c r="CV162" s="747">
        <f t="shared" si="188"/>
        <v>-4.7103375746121223</v>
      </c>
      <c r="CW162" s="747">
        <f t="shared" ref="CW162:DA162" si="189">SUM(CW163:CW171)</f>
        <v>-4.7624829017960799</v>
      </c>
      <c r="CX162" s="747">
        <f t="shared" si="189"/>
        <v>-4.8151106454724664</v>
      </c>
      <c r="CY162" s="747">
        <f t="shared" si="189"/>
        <v>-4.8680152071314371</v>
      </c>
      <c r="CZ162" s="747">
        <f t="shared" si="189"/>
        <v>-4.9210230178058962</v>
      </c>
      <c r="DA162" s="747">
        <f t="shared" si="189"/>
        <v>-4.9739612151516335</v>
      </c>
      <c r="DB162" s="696"/>
      <c r="DC162" s="14">
        <f t="shared" ref="DC162:DC174" si="190">SUM(V162:AG162)</f>
        <v>0</v>
      </c>
      <c r="DD162" s="14">
        <f t="shared" ref="DD162:DD174" si="191">SUM(AH162:AS162)</f>
        <v>-0.67086637960688389</v>
      </c>
      <c r="DE162" s="14">
        <f t="shared" ref="DE162:DE174" si="192">SUM(AT162:BE162)</f>
        <v>-50.293781294378356</v>
      </c>
      <c r="DF162" s="14">
        <f t="shared" ref="DF162:DF174" si="193">SUM(BF162:BQ162)</f>
        <v>-105.85436478146084</v>
      </c>
      <c r="DG162" s="14">
        <f t="shared" ref="DG162:DG174" si="194">SUM(BR162:CC162)</f>
        <v>-64.842597201857188</v>
      </c>
      <c r="DH162" s="14">
        <f t="shared" ref="DH162:DH174" si="195">SUM(CD162:CO162)</f>
        <v>-49.598944080296015</v>
      </c>
      <c r="DI162" s="14">
        <f t="shared" si="175"/>
        <v>-56.253413918444451</v>
      </c>
    </row>
    <row r="163" spans="2:113" outlineLevel="2">
      <c r="B163" s="758"/>
      <c r="F163" s="126" t="s">
        <v>100</v>
      </c>
      <c r="I163" s="609" t="s">
        <v>736</v>
      </c>
      <c r="O163" s="710"/>
      <c r="P163" s="710"/>
      <c r="Q163" s="710"/>
      <c r="R163" s="710"/>
      <c r="S163" s="710"/>
      <c r="T163" s="710"/>
      <c r="U163" s="710"/>
      <c r="V163" s="710"/>
      <c r="W163" s="710"/>
      <c r="X163" s="856"/>
      <c r="Y163" s="856"/>
      <c r="Z163" s="856"/>
      <c r="AA163" s="710"/>
      <c r="AB163" s="879"/>
      <c r="AC163" s="879"/>
      <c r="AD163" s="879"/>
      <c r="AE163" s="879"/>
      <c r="AF163" s="879"/>
      <c r="AG163" s="710"/>
      <c r="AH163" s="710"/>
      <c r="AI163" s="710"/>
      <c r="AJ163" s="710"/>
      <c r="AK163" s="860">
        <v>-4.5559579115895567E-3</v>
      </c>
      <c r="AL163" s="860">
        <v>-1.0648614125884283E-2</v>
      </c>
      <c r="AM163" s="860">
        <v>-4.7280075165886511E-2</v>
      </c>
      <c r="AN163" s="860">
        <v>-9.5448746163529594E-2</v>
      </c>
      <c r="AO163" s="860">
        <v>-7.6897825957751881E-2</v>
      </c>
      <c r="AP163" s="860">
        <v>-1.8382290124157089E-3</v>
      </c>
      <c r="AQ163" s="739">
        <v>-0.02</v>
      </c>
      <c r="AR163" s="739">
        <v>-0.02</v>
      </c>
      <c r="AS163" s="739">
        <v>-0.02</v>
      </c>
      <c r="AT163" s="710">
        <v>-0.02</v>
      </c>
      <c r="AU163" s="710">
        <v>-0.02</v>
      </c>
      <c r="AV163" s="710">
        <v>-0.02</v>
      </c>
      <c r="AW163" s="710">
        <v>-0.02</v>
      </c>
      <c r="AX163" s="710">
        <v>-0.02</v>
      </c>
      <c r="AY163" s="710">
        <v>-0.02</v>
      </c>
      <c r="AZ163" s="710">
        <v>-1.9E-2</v>
      </c>
      <c r="BA163" s="710">
        <v>-1.9E-2</v>
      </c>
      <c r="BB163" s="710">
        <v>-1.9E-2</v>
      </c>
      <c r="BC163" s="710">
        <v>-1.9E-2</v>
      </c>
      <c r="BD163" s="710">
        <v>-1.8000000000000002E-2</v>
      </c>
      <c r="BE163" s="710">
        <v>-1.8000000000000002E-2</v>
      </c>
      <c r="BF163" s="739">
        <v>-1.8000000000000002E-2</v>
      </c>
      <c r="BG163" s="739">
        <v>-1.8000000000000002E-2</v>
      </c>
      <c r="BH163" s="739">
        <v>-1.8000000000000002E-2</v>
      </c>
      <c r="BI163" s="739">
        <v>-1.8000000000000002E-2</v>
      </c>
      <c r="BJ163" s="739">
        <v>-1.8000000000000002E-2</v>
      </c>
      <c r="BK163" s="739">
        <v>-1.8000000000000002E-2</v>
      </c>
      <c r="BL163" s="739">
        <v>-1.8000000000000002E-2</v>
      </c>
      <c r="BM163" s="739">
        <v>-1.8000000000000002E-2</v>
      </c>
      <c r="BN163" s="739">
        <v>-1.8000000000000002E-2</v>
      </c>
      <c r="BO163" s="739">
        <v>-1.8000000000000002E-2</v>
      </c>
      <c r="BP163" s="739">
        <v>-1.8000000000000002E-2</v>
      </c>
      <c r="BQ163" s="739">
        <v>-1.7000000000000001E-2</v>
      </c>
      <c r="BR163" s="739">
        <v>-1.7000000000000001E-2</v>
      </c>
      <c r="BS163" s="739">
        <v>-1.7000000000000001E-2</v>
      </c>
      <c r="BT163" s="739">
        <v>-1.7000000000000001E-2</v>
      </c>
      <c r="BU163" s="739">
        <v>-1.7000000000000001E-2</v>
      </c>
      <c r="BV163" s="739">
        <v>-1.7000000000000001E-2</v>
      </c>
      <c r="BW163" s="739">
        <v>-1.7000000000000001E-2</v>
      </c>
      <c r="BX163" s="739">
        <v>-1.7000000000000001E-2</v>
      </c>
      <c r="BY163" s="739">
        <v>-1.7000000000000001E-2</v>
      </c>
      <c r="BZ163" s="739">
        <v>-1.7000000000000001E-2</v>
      </c>
      <c r="CA163" s="739">
        <v>-1.7000000000000001E-2</v>
      </c>
      <c r="CB163" s="739">
        <v>-1.7000000000000001E-2</v>
      </c>
      <c r="CC163" s="739">
        <v>-1.7000000000000001E-2</v>
      </c>
      <c r="CD163" s="739">
        <v>-1.7000000000000001E-2</v>
      </c>
      <c r="CE163" s="739">
        <v>-1.7000000000000001E-2</v>
      </c>
      <c r="CF163" s="739">
        <v>-1.7000000000000001E-2</v>
      </c>
      <c r="CG163" s="739">
        <v>-1.7000000000000001E-2</v>
      </c>
      <c r="CH163" s="739">
        <v>-1.7000000000000001E-2</v>
      </c>
      <c r="CI163" s="739">
        <v>-1.7000000000000001E-2</v>
      </c>
      <c r="CJ163" s="739">
        <v>-1.7000000000000001E-2</v>
      </c>
      <c r="CK163" s="739">
        <v>-1.7000000000000001E-2</v>
      </c>
      <c r="CL163" s="739">
        <v>-1.6E-2</v>
      </c>
      <c r="CM163" s="739">
        <v>-1.6E-2</v>
      </c>
      <c r="CN163" s="739">
        <v>-1.6E-2</v>
      </c>
      <c r="CO163" s="739">
        <v>-1.6E-2</v>
      </c>
      <c r="CP163" s="739">
        <v>-1.6E-2</v>
      </c>
      <c r="CQ163" s="739">
        <v>-1.6E-2</v>
      </c>
      <c r="CR163" s="739">
        <v>-1.6E-2</v>
      </c>
      <c r="CS163" s="739">
        <v>-1.6E-2</v>
      </c>
      <c r="CT163" s="739">
        <v>-1.6E-2</v>
      </c>
      <c r="CU163" s="739">
        <v>-1.6E-2</v>
      </c>
      <c r="CV163" s="739">
        <v>-1.6E-2</v>
      </c>
      <c r="CW163" s="739">
        <v>-1.6E-2</v>
      </c>
      <c r="CX163" s="739">
        <v>-1.6E-2</v>
      </c>
      <c r="CY163" s="739">
        <v>-1.6E-2</v>
      </c>
      <c r="CZ163" s="739">
        <v>-1.6E-2</v>
      </c>
      <c r="DA163" s="739">
        <v>-1.6E-2</v>
      </c>
      <c r="DB163" s="710"/>
      <c r="DC163" s="12">
        <f t="shared" si="190"/>
        <v>0</v>
      </c>
      <c r="DD163" s="12">
        <f t="shared" si="191"/>
        <v>-0.29666944833705755</v>
      </c>
      <c r="DE163" s="12">
        <f t="shared" si="192"/>
        <v>-0.23199999999999998</v>
      </c>
      <c r="DF163" s="12">
        <f t="shared" si="193"/>
        <v>-0.21500000000000008</v>
      </c>
      <c r="DG163" s="12">
        <f t="shared" si="194"/>
        <v>-0.20400000000000007</v>
      </c>
      <c r="DH163" s="12">
        <f t="shared" si="195"/>
        <v>-0.20000000000000007</v>
      </c>
      <c r="DI163" s="12">
        <f t="shared" si="175"/>
        <v>-0.19200000000000006</v>
      </c>
    </row>
    <row r="164" spans="2:113" outlineLevel="2">
      <c r="B164" s="758"/>
      <c r="F164" s="126" t="s">
        <v>107</v>
      </c>
      <c r="I164" s="609" t="s">
        <v>736</v>
      </c>
      <c r="O164" s="710"/>
      <c r="P164" s="710"/>
      <c r="Q164" s="710"/>
      <c r="R164" s="710"/>
      <c r="S164" s="710"/>
      <c r="T164" s="710"/>
      <c r="U164" s="710"/>
      <c r="V164" s="710"/>
      <c r="W164" s="710"/>
      <c r="AA164" s="710"/>
      <c r="AB164" s="879"/>
      <c r="AC164" s="879"/>
      <c r="AD164" s="879"/>
      <c r="AE164" s="879"/>
      <c r="AF164" s="879"/>
      <c r="AG164" s="710"/>
      <c r="AH164" s="710"/>
      <c r="AI164" s="710"/>
      <c r="AJ164" s="710"/>
      <c r="AK164" s="860">
        <v>0</v>
      </c>
      <c r="AL164" s="860">
        <v>-1.129585820040982E-3</v>
      </c>
      <c r="AM164" s="860">
        <v>-6.2881522038088821E-3</v>
      </c>
      <c r="AN164" s="860">
        <v>-2.9721917426767164E-2</v>
      </c>
      <c r="AO164" s="860">
        <v>-4.0957216354952607E-2</v>
      </c>
      <c r="AP164" s="860">
        <v>-4.8374057192851337E-2</v>
      </c>
      <c r="AQ164" s="710">
        <v>-1.9945000000000001E-2</v>
      </c>
      <c r="AR164" s="710">
        <v>-1.9955000000000001E-2</v>
      </c>
      <c r="AS164" s="710">
        <v>-2.2038333333333333E-2</v>
      </c>
      <c r="AT164" s="710">
        <v>-2.5100833333333333E-2</v>
      </c>
      <c r="AU164" s="710">
        <v>-3.1350833333333335E-2</v>
      </c>
      <c r="AV164" s="710">
        <v>-3.5850833333333332E-2</v>
      </c>
      <c r="AW164" s="710">
        <v>-4.2850833333333331E-2</v>
      </c>
      <c r="AX164" s="710">
        <v>-5.3177291666666661E-2</v>
      </c>
      <c r="AY164" s="710">
        <v>-6.6587708333333329E-2</v>
      </c>
      <c r="AZ164" s="710">
        <v>-7.9689583333333328E-2</v>
      </c>
      <c r="BA164" s="710">
        <v>-9.0505416666666672E-2</v>
      </c>
      <c r="BB164" s="710">
        <v>-0.11102270833333336</v>
      </c>
      <c r="BC164" s="710">
        <v>-0.13959395833333335</v>
      </c>
      <c r="BD164" s="710">
        <v>-0.17144916666666665</v>
      </c>
      <c r="BE164" s="710">
        <v>-0.20515749999999999</v>
      </c>
      <c r="BF164" s="710">
        <v>-0.24834500000000004</v>
      </c>
      <c r="BG164" s="710">
        <v>-0.28657416666666669</v>
      </c>
      <c r="BH164" s="710">
        <v>-0.32478250000000003</v>
      </c>
      <c r="BI164" s="710">
        <v>-0.35872000000000004</v>
      </c>
      <c r="BJ164" s="710">
        <v>-0.38728770833333326</v>
      </c>
      <c r="BK164" s="710">
        <v>-0.41048562499999997</v>
      </c>
      <c r="BL164" s="710">
        <v>-0.42831374999999994</v>
      </c>
      <c r="BM164" s="710">
        <v>-0.44077208333333323</v>
      </c>
      <c r="BN164" s="710">
        <v>-0.4478606249999999</v>
      </c>
      <c r="BO164" s="710">
        <v>-0.44957937499999989</v>
      </c>
      <c r="BP164" s="710">
        <v>-0.4459283333333332</v>
      </c>
      <c r="BQ164" s="710">
        <v>-0.43690749999999989</v>
      </c>
      <c r="BR164" s="710">
        <v>-0.4156574999999999</v>
      </c>
      <c r="BS164" s="710">
        <v>-0.39524083333333326</v>
      </c>
      <c r="BT164" s="710">
        <v>-0.37565749999999992</v>
      </c>
      <c r="BU164" s="710">
        <v>-0.35690749999999993</v>
      </c>
      <c r="BV164" s="710">
        <v>-0.3389908333333333</v>
      </c>
      <c r="BW164" s="710">
        <v>-0.3219074999999999</v>
      </c>
      <c r="BX164" s="710">
        <v>-0.30565749999999992</v>
      </c>
      <c r="BY164" s="710">
        <v>-0.29024083333333328</v>
      </c>
      <c r="BZ164" s="710">
        <v>-0.27565749999999989</v>
      </c>
      <c r="CA164" s="710">
        <v>-0.2619074999999999</v>
      </c>
      <c r="CB164" s="710">
        <v>-0.24899083333333324</v>
      </c>
      <c r="CC164" s="710">
        <v>-0.23690749999999994</v>
      </c>
      <c r="CD164" s="710">
        <v>-0.22565749999999996</v>
      </c>
      <c r="CE164" s="710">
        <v>-0.21544916666666664</v>
      </c>
      <c r="CF164" s="710">
        <v>-0.20628249999999995</v>
      </c>
      <c r="CG164" s="710">
        <v>-0.19815749999999993</v>
      </c>
      <c r="CH164" s="710">
        <v>-0.19107416666666663</v>
      </c>
      <c r="CI164" s="710">
        <v>-0.18503249999999993</v>
      </c>
      <c r="CJ164" s="710">
        <v>-0.18003249999999993</v>
      </c>
      <c r="CK164" s="710">
        <v>-0.17607416666666661</v>
      </c>
      <c r="CL164" s="710">
        <v>-0.17315749999999994</v>
      </c>
      <c r="CM164" s="710">
        <v>-0.17128249999999995</v>
      </c>
      <c r="CN164" s="710">
        <v>-0.17044916666666662</v>
      </c>
      <c r="CO164" s="710">
        <v>-0.17065749999999996</v>
      </c>
      <c r="CP164" s="710">
        <v>-0.17190749999999996</v>
      </c>
      <c r="CQ164" s="710">
        <v>-0.17326166666666662</v>
      </c>
      <c r="CR164" s="710">
        <v>-0.17471999999999996</v>
      </c>
      <c r="CS164" s="710">
        <v>-0.17628249999999998</v>
      </c>
      <c r="CT164" s="710">
        <v>-0.17794916666666663</v>
      </c>
      <c r="CU164" s="710">
        <v>-0.17971999999999996</v>
      </c>
      <c r="CV164" s="710">
        <v>-0.18159499999999998</v>
      </c>
      <c r="CW164" s="710">
        <v>-0.18357416666666662</v>
      </c>
      <c r="CX164" s="710">
        <v>-0.18565749999999995</v>
      </c>
      <c r="CY164" s="710">
        <v>-0.18784499999999993</v>
      </c>
      <c r="CZ164" s="710">
        <v>-0.19013666666666659</v>
      </c>
      <c r="DA164" s="710">
        <v>-0.19253249999999986</v>
      </c>
      <c r="DB164" s="710"/>
      <c r="DC164" s="12">
        <f t="shared" si="190"/>
        <v>0</v>
      </c>
      <c r="DD164" s="12">
        <f t="shared" si="191"/>
        <v>-0.18840926233175428</v>
      </c>
      <c r="DE164" s="12">
        <f t="shared" si="192"/>
        <v>-1.0523366666666667</v>
      </c>
      <c r="DF164" s="12">
        <f t="shared" si="193"/>
        <v>-4.6655566666666664</v>
      </c>
      <c r="DG164" s="12">
        <f t="shared" si="194"/>
        <v>-3.8237233333333323</v>
      </c>
      <c r="DH164" s="12">
        <f t="shared" si="195"/>
        <v>-2.2633066666666659</v>
      </c>
      <c r="DI164" s="12">
        <f t="shared" si="175"/>
        <v>-2.1751816666666661</v>
      </c>
    </row>
    <row r="165" spans="2:113" outlineLevel="2">
      <c r="B165" s="758"/>
      <c r="F165" s="126" t="s">
        <v>806</v>
      </c>
      <c r="I165" s="609" t="s">
        <v>736</v>
      </c>
      <c r="O165" s="710"/>
      <c r="P165" s="710"/>
      <c r="Q165" s="710"/>
      <c r="R165" s="710"/>
      <c r="S165" s="710"/>
      <c r="T165" s="710"/>
      <c r="U165" s="710"/>
      <c r="V165" s="710"/>
      <c r="W165" s="710"/>
      <c r="AA165" s="710"/>
      <c r="AB165" s="879"/>
      <c r="AC165" s="879"/>
      <c r="AD165" s="879"/>
      <c r="AE165" s="879"/>
      <c r="AF165" s="879"/>
      <c r="AG165" s="710"/>
      <c r="AH165" s="710"/>
      <c r="AI165" s="710"/>
      <c r="AJ165" s="710"/>
      <c r="AK165" s="721">
        <v>-9.9876700000000001E-4</v>
      </c>
      <c r="AL165" s="721">
        <v>-2.6239499999999999E-3</v>
      </c>
      <c r="AM165" s="721">
        <v>-1.7208114E-2</v>
      </c>
      <c r="AN165" s="721">
        <v>-3.0876143000000002E-2</v>
      </c>
      <c r="AO165" s="860">
        <f>-1319971/10^9</f>
        <v>-1.3199710000000001E-3</v>
      </c>
      <c r="AP165" s="721">
        <v>-8.2160000000000006E-6</v>
      </c>
      <c r="AQ165" s="739">
        <v>-1.1245500000000002E-3</v>
      </c>
      <c r="AR165" s="739">
        <v>-6.9416666666666672E-3</v>
      </c>
      <c r="AS165" s="739">
        <v>-1.0204249999999998E-2</v>
      </c>
      <c r="AT165" s="710">
        <v>-2.0825E-2</v>
      </c>
      <c r="AU165" s="710">
        <v>-1.4994E-2</v>
      </c>
      <c r="AV165" s="710">
        <v>-2.3324000000000001E-2</v>
      </c>
      <c r="AW165" s="710">
        <v>-3.5315729166666664E-2</v>
      </c>
      <c r="AX165" s="710">
        <v>-4.730745833333333E-2</v>
      </c>
      <c r="AY165" s="710">
        <v>-5.9299187499999996E-2</v>
      </c>
      <c r="AZ165" s="710">
        <v>-7.1290916666666676E-2</v>
      </c>
      <c r="BA165" s="710">
        <v>-8.3282645833333335E-2</v>
      </c>
      <c r="BB165" s="710">
        <v>-9.5274374999999994E-2</v>
      </c>
      <c r="BC165" s="710">
        <v>-0.10726610416666667</v>
      </c>
      <c r="BD165" s="710">
        <v>-0.11925783333333333</v>
      </c>
      <c r="BE165" s="710">
        <v>-0.15410499999999999</v>
      </c>
      <c r="BF165" s="739">
        <v>-0.14820458333333333</v>
      </c>
      <c r="BG165" s="739">
        <v>-0.14230416666666668</v>
      </c>
      <c r="BH165" s="739">
        <v>-0.13640375000000002</v>
      </c>
      <c r="BI165" s="739">
        <v>-0.13050333333333336</v>
      </c>
      <c r="BJ165" s="739">
        <v>-0.12460291666666669</v>
      </c>
      <c r="BK165" s="739">
        <v>-0.11870250000000002</v>
      </c>
      <c r="BL165" s="739">
        <v>-0.11280208333333334</v>
      </c>
      <c r="BM165" s="739">
        <v>-0.10690166666666667</v>
      </c>
      <c r="BN165" s="739">
        <v>-0.10100125</v>
      </c>
      <c r="BO165" s="739">
        <v>-9.5100833333333329E-2</v>
      </c>
      <c r="BP165" s="739">
        <v>-8.9200416666666657E-2</v>
      </c>
      <c r="BQ165" s="739">
        <v>-8.3299999999999999E-2</v>
      </c>
      <c r="BR165" s="739">
        <v>-8.0176250000000004E-2</v>
      </c>
      <c r="BS165" s="739">
        <v>-7.7052499999999996E-2</v>
      </c>
      <c r="BT165" s="739">
        <v>-7.3928750000000001E-2</v>
      </c>
      <c r="BU165" s="739">
        <v>-7.0805000000000007E-2</v>
      </c>
      <c r="BV165" s="739">
        <v>-6.7681249999999998E-2</v>
      </c>
      <c r="BW165" s="739">
        <v>-6.4557500000000004E-2</v>
      </c>
      <c r="BX165" s="739">
        <v>-6.1433750000000002E-2</v>
      </c>
      <c r="BY165" s="739">
        <v>-5.8310000000000001E-2</v>
      </c>
      <c r="BZ165" s="739">
        <v>-5.5186249999999999E-2</v>
      </c>
      <c r="CA165" s="739">
        <v>-5.2062499999999998E-2</v>
      </c>
      <c r="CB165" s="739">
        <v>-4.8938750000000003E-2</v>
      </c>
      <c r="CC165" s="739">
        <v>-4.5815000000000002E-2</v>
      </c>
      <c r="CD165" s="739">
        <v>-4.6162083333333333E-2</v>
      </c>
      <c r="CE165" s="739">
        <v>-4.6509166666666671E-2</v>
      </c>
      <c r="CF165" s="739">
        <v>-4.6856250000000009E-2</v>
      </c>
      <c r="CG165" s="739">
        <v>-4.720333333333334E-2</v>
      </c>
      <c r="CH165" s="739">
        <v>-4.7550416666666678E-2</v>
      </c>
      <c r="CI165" s="739">
        <v>-4.7897500000000016E-2</v>
      </c>
      <c r="CJ165" s="739">
        <v>-4.8244583333333348E-2</v>
      </c>
      <c r="CK165" s="739">
        <v>-4.8591666666666686E-2</v>
      </c>
      <c r="CL165" s="739">
        <v>-4.8938750000000024E-2</v>
      </c>
      <c r="CM165" s="739">
        <v>-4.9285833333333355E-2</v>
      </c>
      <c r="CN165" s="739">
        <v>-4.9632916666666693E-2</v>
      </c>
      <c r="CO165" s="739">
        <v>-4.9979999999999997E-2</v>
      </c>
      <c r="CP165" s="739">
        <v>-5.0674166666666666E-2</v>
      </c>
      <c r="CQ165" s="739">
        <v>-5.1368333333333328E-2</v>
      </c>
      <c r="CR165" s="739">
        <v>-5.2062499999999991E-2</v>
      </c>
      <c r="CS165" s="739">
        <v>-5.275666666666666E-2</v>
      </c>
      <c r="CT165" s="739">
        <v>-5.3450833333333322E-2</v>
      </c>
      <c r="CU165" s="739">
        <v>-5.4144999999999985E-2</v>
      </c>
      <c r="CV165" s="739">
        <v>-5.4839166666666647E-2</v>
      </c>
      <c r="CW165" s="739">
        <v>-5.5533333333333317E-2</v>
      </c>
      <c r="CX165" s="739">
        <v>-5.6227499999999979E-2</v>
      </c>
      <c r="CY165" s="739">
        <v>-5.6921666666666641E-2</v>
      </c>
      <c r="CZ165" s="739">
        <v>-5.7615833333333304E-2</v>
      </c>
      <c r="DA165" s="739">
        <v>-5.8310000000000001E-2</v>
      </c>
      <c r="DB165" s="710"/>
      <c r="DC165" s="12">
        <f t="shared" si="190"/>
        <v>0</v>
      </c>
      <c r="DD165" s="12">
        <f t="shared" si="191"/>
        <v>-7.1305627666666677E-2</v>
      </c>
      <c r="DE165" s="12">
        <f t="shared" si="192"/>
        <v>-0.83154225000000004</v>
      </c>
      <c r="DF165" s="12">
        <f t="shared" si="193"/>
        <v>-1.3890275000000001</v>
      </c>
      <c r="DG165" s="12">
        <f t="shared" si="194"/>
        <v>-0.75594750000000011</v>
      </c>
      <c r="DH165" s="12">
        <f t="shared" si="195"/>
        <v>-0.57685250000000032</v>
      </c>
      <c r="DI165" s="12">
        <f t="shared" si="175"/>
        <v>-0.65390499999999985</v>
      </c>
    </row>
    <row r="166" spans="2:113" s="698" customFormat="1" outlineLevel="2">
      <c r="B166" s="758"/>
      <c r="F166" s="126" t="s">
        <v>807</v>
      </c>
      <c r="H166" s="703"/>
      <c r="I166" s="609" t="s">
        <v>736</v>
      </c>
      <c r="J166" s="703"/>
      <c r="K166" s="703"/>
      <c r="L166" s="703"/>
      <c r="M166" s="703"/>
      <c r="N166" s="714"/>
      <c r="O166" s="714"/>
      <c r="P166" s="714"/>
      <c r="Q166" s="714"/>
      <c r="R166" s="714"/>
      <c r="S166" s="714"/>
      <c r="T166" s="714"/>
      <c r="U166" s="714"/>
      <c r="V166" s="714"/>
      <c r="W166" s="714"/>
      <c r="X166" s="126"/>
      <c r="Y166" s="126"/>
      <c r="Z166" s="126"/>
      <c r="AA166" s="896"/>
      <c r="AB166" s="896"/>
      <c r="AC166" s="896"/>
      <c r="AD166" s="896"/>
      <c r="AE166" s="896"/>
      <c r="AF166" s="896"/>
      <c r="AG166" s="710"/>
      <c r="AH166" s="710"/>
      <c r="AI166" s="710"/>
      <c r="AJ166" s="710"/>
      <c r="AK166" s="721"/>
      <c r="AL166" s="721"/>
      <c r="AM166" s="721"/>
      <c r="AN166" s="710"/>
      <c r="AO166" s="710"/>
      <c r="AP166" s="710"/>
      <c r="AQ166" s="710"/>
      <c r="AR166" s="710"/>
      <c r="AS166" s="710"/>
      <c r="AT166" s="710"/>
      <c r="AU166" s="710"/>
      <c r="AV166" s="710"/>
      <c r="AW166" s="710"/>
      <c r="AX166" s="710"/>
      <c r="AY166" s="710"/>
      <c r="AZ166" s="710"/>
      <c r="BA166" s="710"/>
      <c r="BB166" s="710"/>
      <c r="BC166" s="710"/>
      <c r="BD166" s="710"/>
      <c r="BE166" s="710"/>
      <c r="BF166" s="710"/>
      <c r="BG166" s="710"/>
      <c r="BH166" s="710"/>
      <c r="BI166" s="710"/>
      <c r="BJ166" s="710"/>
      <c r="BK166" s="710"/>
      <c r="BL166" s="710"/>
      <c r="BM166" s="710"/>
      <c r="BN166" s="710"/>
      <c r="BO166" s="710"/>
      <c r="BP166" s="710"/>
      <c r="BQ166" s="710"/>
      <c r="BR166" s="710"/>
      <c r="BS166" s="710"/>
      <c r="BT166" s="710"/>
      <c r="BU166" s="710"/>
      <c r="BV166" s="710"/>
      <c r="BW166" s="710"/>
      <c r="BX166" s="710"/>
      <c r="BY166" s="710"/>
      <c r="BZ166" s="710"/>
      <c r="CA166" s="710"/>
      <c r="CB166" s="710"/>
      <c r="CC166" s="710"/>
      <c r="CD166" s="710"/>
      <c r="CE166" s="710"/>
      <c r="CF166" s="710"/>
      <c r="CG166" s="710"/>
      <c r="CH166" s="710"/>
      <c r="CI166" s="710"/>
      <c r="CJ166" s="710"/>
      <c r="CK166" s="710"/>
      <c r="CL166" s="710"/>
      <c r="CM166" s="710"/>
      <c r="CN166" s="710"/>
      <c r="CO166" s="710"/>
      <c r="CP166" s="710"/>
      <c r="CQ166" s="710"/>
      <c r="CR166" s="710"/>
      <c r="CS166" s="710"/>
      <c r="CT166" s="710"/>
      <c r="CU166" s="710"/>
      <c r="CV166" s="710"/>
      <c r="CW166" s="710"/>
      <c r="CX166" s="710"/>
      <c r="CY166" s="710"/>
      <c r="CZ166" s="710"/>
      <c r="DA166" s="710"/>
      <c r="DB166" s="710"/>
      <c r="DC166" s="12">
        <f t="shared" si="190"/>
        <v>0</v>
      </c>
      <c r="DD166" s="12">
        <f t="shared" si="191"/>
        <v>0</v>
      </c>
      <c r="DE166" s="12">
        <f t="shared" si="192"/>
        <v>0</v>
      </c>
      <c r="DF166" s="12">
        <f t="shared" si="193"/>
        <v>0</v>
      </c>
      <c r="DG166" s="12">
        <f t="shared" si="194"/>
        <v>0</v>
      </c>
      <c r="DH166" s="12">
        <f t="shared" si="195"/>
        <v>0</v>
      </c>
      <c r="DI166" s="12">
        <f t="shared" si="175"/>
        <v>0</v>
      </c>
    </row>
    <row r="167" spans="2:113" s="698" customFormat="1" outlineLevel="2">
      <c r="B167" s="758"/>
      <c r="F167" s="126" t="s">
        <v>703</v>
      </c>
      <c r="H167" s="703"/>
      <c r="I167" s="609" t="s">
        <v>736</v>
      </c>
      <c r="J167" s="703"/>
      <c r="K167" s="703"/>
      <c r="L167" s="703"/>
      <c r="M167" s="703"/>
      <c r="N167" s="714"/>
      <c r="O167" s="714"/>
      <c r="P167" s="714"/>
      <c r="Q167" s="714"/>
      <c r="R167" s="714"/>
      <c r="S167" s="714"/>
      <c r="T167" s="714"/>
      <c r="U167" s="714"/>
      <c r="V167" s="714"/>
      <c r="W167" s="714"/>
      <c r="Y167" s="126"/>
      <c r="AA167" s="896"/>
      <c r="AB167" s="896"/>
      <c r="AC167" s="896"/>
      <c r="AD167" s="896"/>
      <c r="AE167" s="896"/>
      <c r="AF167" s="896"/>
      <c r="AG167" s="710"/>
      <c r="AH167" s="710"/>
      <c r="AI167" s="710"/>
      <c r="AJ167" s="710"/>
      <c r="AK167" s="721">
        <v>-5.3118659902450763E-4</v>
      </c>
      <c r="AL167" s="721">
        <v>-1.2751791463155658E-3</v>
      </c>
      <c r="AM167" s="721">
        <v>-6.0678713875086344E-3</v>
      </c>
      <c r="AN167" s="710"/>
      <c r="AO167" s="710"/>
      <c r="AP167" s="710"/>
      <c r="AQ167" s="710"/>
      <c r="AR167" s="710"/>
      <c r="AS167" s="710"/>
      <c r="AT167" s="710"/>
      <c r="AU167" s="710"/>
      <c r="AV167" s="710"/>
      <c r="AW167" s="710"/>
      <c r="AX167" s="710"/>
      <c r="AY167" s="710"/>
      <c r="AZ167" s="710"/>
      <c r="BA167" s="710"/>
      <c r="BB167" s="710"/>
      <c r="BC167" s="710"/>
      <c r="BD167" s="710"/>
      <c r="BE167" s="710"/>
      <c r="BF167" s="710"/>
      <c r="BG167" s="710"/>
      <c r="BH167" s="710"/>
      <c r="BI167" s="710"/>
      <c r="BJ167" s="710"/>
      <c r="BK167" s="710"/>
      <c r="BL167" s="710"/>
      <c r="BM167" s="710"/>
      <c r="BN167" s="710"/>
      <c r="BO167" s="710"/>
      <c r="BP167" s="710"/>
      <c r="BQ167" s="710"/>
      <c r="BR167" s="710"/>
      <c r="BS167" s="710"/>
      <c r="BT167" s="710"/>
      <c r="BU167" s="710"/>
      <c r="BV167" s="710"/>
      <c r="BW167" s="710"/>
      <c r="BX167" s="710"/>
      <c r="BY167" s="710"/>
      <c r="BZ167" s="710"/>
      <c r="CA167" s="710"/>
      <c r="CB167" s="710"/>
      <c r="CC167" s="710"/>
      <c r="CD167" s="710"/>
      <c r="CE167" s="710"/>
      <c r="CF167" s="710"/>
      <c r="CG167" s="710"/>
      <c r="CH167" s="710"/>
      <c r="CI167" s="710"/>
      <c r="CJ167" s="710"/>
      <c r="CK167" s="710"/>
      <c r="CL167" s="710"/>
      <c r="CM167" s="710"/>
      <c r="CN167" s="710"/>
      <c r="CO167" s="710"/>
      <c r="CP167" s="710"/>
      <c r="CQ167" s="710"/>
      <c r="CR167" s="710"/>
      <c r="CS167" s="710"/>
      <c r="CT167" s="710"/>
      <c r="CU167" s="710"/>
      <c r="CV167" s="710"/>
      <c r="CW167" s="710"/>
      <c r="CX167" s="710"/>
      <c r="CY167" s="710"/>
      <c r="CZ167" s="710"/>
      <c r="DA167" s="710"/>
      <c r="DB167" s="710"/>
      <c r="DC167" s="12">
        <f t="shared" si="190"/>
        <v>0</v>
      </c>
      <c r="DD167" s="12">
        <f t="shared" si="191"/>
        <v>-7.8742371328487069E-3</v>
      </c>
      <c r="DE167" s="12">
        <f t="shared" si="192"/>
        <v>0</v>
      </c>
      <c r="DF167" s="12">
        <f t="shared" si="193"/>
        <v>0</v>
      </c>
      <c r="DG167" s="12">
        <f t="shared" si="194"/>
        <v>0</v>
      </c>
      <c r="DH167" s="12">
        <f t="shared" si="195"/>
        <v>0</v>
      </c>
      <c r="DI167" s="12">
        <f t="shared" si="175"/>
        <v>0</v>
      </c>
    </row>
    <row r="168" spans="2:113" s="698" customFormat="1" outlineLevel="2">
      <c r="B168" s="758"/>
      <c r="F168" s="126" t="s">
        <v>163</v>
      </c>
      <c r="H168" s="703"/>
      <c r="I168" s="609" t="s">
        <v>736</v>
      </c>
      <c r="J168" s="703"/>
      <c r="K168" s="703"/>
      <c r="L168" s="703"/>
      <c r="M168" s="703"/>
      <c r="N168" s="714"/>
      <c r="O168" s="714"/>
      <c r="P168" s="714"/>
      <c r="Q168" s="714"/>
      <c r="R168" s="714"/>
      <c r="S168" s="714"/>
      <c r="T168" s="714"/>
      <c r="U168" s="714"/>
      <c r="V168" s="714"/>
      <c r="W168" s="714"/>
      <c r="Y168" s="126"/>
      <c r="AA168" s="896"/>
      <c r="AB168" s="896"/>
      <c r="AC168" s="896"/>
      <c r="AD168" s="896"/>
      <c r="AE168" s="896"/>
      <c r="AF168" s="896"/>
      <c r="AG168" s="710"/>
      <c r="AH168" s="710"/>
      <c r="AI168" s="710"/>
      <c r="AJ168" s="710"/>
      <c r="AK168" s="721">
        <v>-1.7398565599599568E-4</v>
      </c>
      <c r="AL168" s="721">
        <v>-7.6905151581285799E-3</v>
      </c>
      <c r="AM168" s="721">
        <v>-3.5432674345920394E-2</v>
      </c>
      <c r="AN168" s="721">
        <v>-7.9062973128062014E-2</v>
      </c>
      <c r="AO168" s="860">
        <f>-68678632.6798973/10^9</f>
        <v>-6.8678632679897295E-2</v>
      </c>
      <c r="AP168" s="713">
        <v>-4.6362000248250388E-3</v>
      </c>
      <c r="AQ168" s="749">
        <v>-3.9262999999999998E-3</v>
      </c>
      <c r="AR168" s="749">
        <v>-9.7937000000000007E-3</v>
      </c>
      <c r="AS168" s="749">
        <v>-1.3375366666666666E-2</v>
      </c>
      <c r="AT168" s="710">
        <v>-2.4514116666666669E-2</v>
      </c>
      <c r="AU168" s="710">
        <v>-1.9509116666666666E-2</v>
      </c>
      <c r="AV168" s="710">
        <v>-2.8539116666666666E-2</v>
      </c>
      <c r="AW168" s="710">
        <v>-4.1611616666666663E-2</v>
      </c>
      <c r="AX168" s="710">
        <v>-5.5149820833333328E-2</v>
      </c>
      <c r="AY168" s="710">
        <v>-6.9119779166666659E-2</v>
      </c>
      <c r="AZ168" s="710">
        <v>-8.3046541666666668E-2</v>
      </c>
      <c r="BA168" s="710">
        <v>-9.6653258333333339E-2</v>
      </c>
      <c r="BB168" s="710">
        <v>-0.11161817916666666</v>
      </c>
      <c r="BC168" s="710">
        <v>-0.12771065416666666</v>
      </c>
      <c r="BD168" s="710">
        <v>-0.14426288333333334</v>
      </c>
      <c r="BE168" s="710">
        <v>-0.18412205000000001</v>
      </c>
      <c r="BF168" s="749">
        <v>-0.1842183</v>
      </c>
      <c r="BG168" s="749">
        <v>-0.18362038333333336</v>
      </c>
      <c r="BH168" s="749">
        <v>-0.18301955000000003</v>
      </c>
      <c r="BI168" s="749">
        <v>-0.18182080000000003</v>
      </c>
      <c r="BJ168" s="749">
        <v>-0.17987027916666667</v>
      </c>
      <c r="BK168" s="749">
        <v>-0.17716798750000001</v>
      </c>
      <c r="BL168" s="749">
        <v>-0.17371392499999999</v>
      </c>
      <c r="BM168" s="749">
        <v>-0.16950809166666667</v>
      </c>
      <c r="BN168" s="749">
        <v>-0.16455048749999998</v>
      </c>
      <c r="BO168" s="749">
        <v>-0.15884111249999999</v>
      </c>
      <c r="BP168" s="749">
        <v>-0.15237996666666664</v>
      </c>
      <c r="BQ168" s="749">
        <v>-0.14516704999999999</v>
      </c>
      <c r="BR168" s="749">
        <v>-0.13904205</v>
      </c>
      <c r="BS168" s="749">
        <v>-0.13303371666666666</v>
      </c>
      <c r="BT168" s="749">
        <v>-0.12714205000000001</v>
      </c>
      <c r="BU168" s="749">
        <v>-0.12136704999999999</v>
      </c>
      <c r="BV168" s="749">
        <v>-0.11570871666666666</v>
      </c>
      <c r="BW168" s="749">
        <v>-0.11016704999999999</v>
      </c>
      <c r="BX168" s="749">
        <v>-0.10474204999999999</v>
      </c>
      <c r="BY168" s="749">
        <v>-9.9433716666666658E-2</v>
      </c>
      <c r="BZ168" s="749">
        <v>-9.4242049999999994E-2</v>
      </c>
      <c r="CA168" s="749">
        <v>-8.9167049999999984E-2</v>
      </c>
      <c r="CB168" s="749">
        <v>-8.4208716666666655E-2</v>
      </c>
      <c r="CC168" s="749">
        <v>-7.9367049999999995E-2</v>
      </c>
      <c r="CD168" s="749">
        <v>-7.8142049999999991E-2</v>
      </c>
      <c r="CE168" s="749">
        <v>-7.7062883333333332E-2</v>
      </c>
      <c r="CF168" s="749">
        <v>-7.6129550000000004E-2</v>
      </c>
      <c r="CG168" s="749">
        <v>-7.5342049999999994E-2</v>
      </c>
      <c r="CH168" s="749">
        <v>-7.4700383333333342E-2</v>
      </c>
      <c r="CI168" s="749">
        <v>-7.4204550000000008E-2</v>
      </c>
      <c r="CJ168" s="749">
        <v>-7.3854550000000005E-2</v>
      </c>
      <c r="CK168" s="749">
        <v>-7.3650383333333347E-2</v>
      </c>
      <c r="CL168" s="749">
        <v>-7.3592050000000006E-2</v>
      </c>
      <c r="CM168" s="749">
        <v>-7.367955000000001E-2</v>
      </c>
      <c r="CN168" s="749">
        <v>-7.391288333333336E-2</v>
      </c>
      <c r="CO168" s="749">
        <v>-7.4292049999999998E-2</v>
      </c>
      <c r="CP168" s="749">
        <v>-7.5167049999999999E-2</v>
      </c>
      <c r="CQ168" s="749">
        <v>-7.6056633333333318E-2</v>
      </c>
      <c r="CR168" s="749">
        <v>-7.6960799999999982E-2</v>
      </c>
      <c r="CS168" s="749">
        <v>-7.7879549999999992E-2</v>
      </c>
      <c r="CT168" s="749">
        <v>-7.8812883333333306E-2</v>
      </c>
      <c r="CU168" s="749">
        <v>-7.9760799999999993E-2</v>
      </c>
      <c r="CV168" s="749">
        <v>-8.0723299999999984E-2</v>
      </c>
      <c r="CW168" s="749">
        <v>-8.1700383333333307E-2</v>
      </c>
      <c r="CX168" s="749">
        <v>-8.2692049999999975E-2</v>
      </c>
      <c r="CY168" s="749">
        <v>-8.3698299999999975E-2</v>
      </c>
      <c r="CZ168" s="749">
        <v>-8.4719133333333294E-2</v>
      </c>
      <c r="DA168" s="749">
        <v>-8.5754549999999985E-2</v>
      </c>
      <c r="DB168" s="710"/>
      <c r="DC168" s="12">
        <f t="shared" si="190"/>
        <v>0</v>
      </c>
      <c r="DD168" s="12">
        <f t="shared" si="191"/>
        <v>-0.22277034765949597</v>
      </c>
      <c r="DE168" s="12">
        <f t="shared" si="192"/>
        <v>-0.98585713333333336</v>
      </c>
      <c r="DF168" s="12">
        <f t="shared" si="193"/>
        <v>-2.0538779333333332</v>
      </c>
      <c r="DG168" s="12">
        <f t="shared" si="194"/>
        <v>-1.2976212666666669</v>
      </c>
      <c r="DH168" s="12">
        <f t="shared" si="195"/>
        <v>-0.89856293333333337</v>
      </c>
      <c r="DI168" s="12">
        <f t="shared" si="175"/>
        <v>-0.96392543333333314</v>
      </c>
    </row>
    <row r="169" spans="2:113" s="698" customFormat="1" outlineLevel="2">
      <c r="B169" s="758"/>
      <c r="F169" s="718" t="s">
        <v>152</v>
      </c>
      <c r="G169" s="126"/>
      <c r="H169" s="609"/>
      <c r="I169" s="609" t="s">
        <v>736</v>
      </c>
      <c r="J169" s="703"/>
      <c r="K169" s="703"/>
      <c r="L169" s="703"/>
      <c r="M169" s="703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Y169" s="126"/>
      <c r="AA169" s="896"/>
      <c r="AB169" s="896"/>
      <c r="AC169" s="896"/>
      <c r="AD169" s="896"/>
      <c r="AE169" s="896"/>
      <c r="AF169" s="896"/>
      <c r="AG169" s="710"/>
      <c r="AH169" s="710"/>
      <c r="AI169" s="710"/>
      <c r="AJ169" s="710"/>
      <c r="AK169" s="721"/>
      <c r="AL169" s="721"/>
      <c r="AM169" s="721"/>
      <c r="AN169" s="721"/>
      <c r="AO169" s="860"/>
      <c r="AP169" s="713"/>
      <c r="AQ169" s="749"/>
      <c r="AR169" s="749"/>
      <c r="AS169" s="749"/>
      <c r="AT169" s="750">
        <f>AT142/(AT142+AT183)*AT87</f>
        <v>-3.8513513513513523E-2</v>
      </c>
      <c r="AU169" s="750">
        <f t="shared" ref="AU169:DA169" si="196">AU142/(AU142+AU183)*AU87</f>
        <v>-4.0078125000000006E-2</v>
      </c>
      <c r="AV169" s="750">
        <f t="shared" si="196"/>
        <v>-4.483146067415731E-2</v>
      </c>
      <c r="AW169" s="750">
        <f t="shared" si="196"/>
        <v>-6.0597116288789055E-2</v>
      </c>
      <c r="AX169" s="750">
        <f t="shared" si="196"/>
        <v>-7.3307227778826201E-2</v>
      </c>
      <c r="AY169" s="750">
        <f t="shared" si="196"/>
        <v>-8.3771612903225809E-2</v>
      </c>
      <c r="AZ169" s="750">
        <f t="shared" si="196"/>
        <v>-2.7598798608915589E-2</v>
      </c>
      <c r="BA169" s="750">
        <f t="shared" si="196"/>
        <v>-2.9820527816360853E-2</v>
      </c>
      <c r="BB169" s="750">
        <f t="shared" si="196"/>
        <v>-3.1731946144430853E-2</v>
      </c>
      <c r="BC169" s="750">
        <f t="shared" si="196"/>
        <v>-3.3393821903006424E-2</v>
      </c>
      <c r="BD169" s="750">
        <f t="shared" si="196"/>
        <v>-3.485202863961815E-2</v>
      </c>
      <c r="BE169" s="750">
        <f t="shared" si="196"/>
        <v>-3.9510050251256285E-2</v>
      </c>
      <c r="BF169" s="751">
        <f t="shared" si="196"/>
        <v>-3.9640672782874628E-2</v>
      </c>
      <c r="BG169" s="751">
        <f t="shared" si="196"/>
        <v>-3.9783105022831056E-2</v>
      </c>
      <c r="BH169" s="751">
        <f t="shared" si="196"/>
        <v>-3.9939024390243924E-2</v>
      </c>
      <c r="BI169" s="751">
        <f t="shared" si="196"/>
        <v>-4.0110441767068288E-2</v>
      </c>
      <c r="BJ169" s="751">
        <f t="shared" si="196"/>
        <v>-4.029978869519283E-2</v>
      </c>
      <c r="BK169" s="751">
        <f t="shared" si="196"/>
        <v>-4.051003344481606E-2</v>
      </c>
      <c r="BL169" s="751">
        <f t="shared" si="196"/>
        <v>-4.0744837758112107E-2</v>
      </c>
      <c r="BM169" s="751">
        <f t="shared" si="196"/>
        <v>-4.1008771929824571E-2</v>
      </c>
      <c r="BN169" s="751">
        <f t="shared" si="196"/>
        <v>-4.1307615230460934E-2</v>
      </c>
      <c r="BO169" s="751">
        <f t="shared" si="196"/>
        <v>-4.1648783977110165E-2</v>
      </c>
      <c r="BP169" s="751">
        <f t="shared" si="196"/>
        <v>-4.2041955350269444E-2</v>
      </c>
      <c r="BQ169" s="751">
        <f t="shared" si="196"/>
        <v>-4.2500000000000003E-2</v>
      </c>
      <c r="BR169" s="751">
        <f t="shared" si="196"/>
        <v>-3.8727810650887574E-2</v>
      </c>
      <c r="BS169" s="751">
        <f t="shared" si="196"/>
        <v>-3.5337078651685394E-2</v>
      </c>
      <c r="BT169" s="751">
        <f t="shared" si="196"/>
        <v>-3.2272727272727279E-2</v>
      </c>
      <c r="BU169" s="751">
        <f t="shared" si="196"/>
        <v>-2.948979591836735E-2</v>
      </c>
      <c r="BV169" s="751">
        <f t="shared" si="196"/>
        <v>-2.6951219512195125E-2</v>
      </c>
      <c r="BW169" s="751">
        <f t="shared" si="196"/>
        <v>-2.4626168224299066E-2</v>
      </c>
      <c r="BX169" s="751">
        <f t="shared" si="196"/>
        <v>-2.2488789237668162E-2</v>
      </c>
      <c r="BY169" s="751">
        <f t="shared" si="196"/>
        <v>-2.0517241379310346E-2</v>
      </c>
      <c r="BZ169" s="751">
        <f t="shared" si="196"/>
        <v>-1.8692946058091287E-2</v>
      </c>
      <c r="CA169" s="751">
        <f t="shared" si="196"/>
        <v>-1.7000000000000001E-2</v>
      </c>
      <c r="CB169" s="751">
        <f t="shared" si="196"/>
        <v>-1.5424710424710426E-2</v>
      </c>
      <c r="CC169" s="751">
        <f t="shared" si="196"/>
        <v>-1.3955223880597016E-2</v>
      </c>
      <c r="CD169" s="751">
        <f t="shared" si="196"/>
        <v>-1.390528905289053E-2</v>
      </c>
      <c r="CE169" s="751">
        <f t="shared" si="196"/>
        <v>-1.3856447688564481E-2</v>
      </c>
      <c r="CF169" s="751">
        <f t="shared" si="196"/>
        <v>-1.3808664259927802E-2</v>
      </c>
      <c r="CG169" s="751">
        <f t="shared" si="196"/>
        <v>-1.3761904761904765E-2</v>
      </c>
      <c r="CH169" s="751">
        <f t="shared" si="196"/>
        <v>-1.3716136631330984E-2</v>
      </c>
      <c r="CI169" s="751">
        <f t="shared" si="196"/>
        <v>-1.3671328671328678E-2</v>
      </c>
      <c r="CJ169" s="751">
        <f t="shared" si="196"/>
        <v>-1.3627450980392164E-2</v>
      </c>
      <c r="CK169" s="751">
        <f t="shared" si="196"/>
        <v>-1.3584474885844758E-2</v>
      </c>
      <c r="CL169" s="751">
        <f t="shared" si="196"/>
        <v>-1.3542372881355942E-2</v>
      </c>
      <c r="CM169" s="751">
        <f t="shared" si="196"/>
        <v>-1.3501118568232674E-2</v>
      </c>
      <c r="CN169" s="751">
        <f t="shared" si="196"/>
        <v>-1.3460686600221494E-2</v>
      </c>
      <c r="CO169" s="751">
        <f t="shared" si="196"/>
        <v>-1.3421052631578948E-2</v>
      </c>
      <c r="CP169" s="751">
        <f t="shared" si="196"/>
        <v>-1.351851851851852E-2</v>
      </c>
      <c r="CQ169" s="751">
        <f t="shared" si="196"/>
        <v>-1.3614718614718618E-2</v>
      </c>
      <c r="CR169" s="751">
        <f t="shared" si="196"/>
        <v>-1.3709677419354839E-2</v>
      </c>
      <c r="CS169" s="751">
        <f t="shared" si="196"/>
        <v>-1.3803418803418807E-2</v>
      </c>
      <c r="CT169" s="751">
        <f t="shared" si="196"/>
        <v>-1.3895966029723993E-2</v>
      </c>
      <c r="CU169" s="751">
        <f t="shared" si="196"/>
        <v>-1.3987341772151902E-2</v>
      </c>
      <c r="CV169" s="751">
        <f t="shared" si="196"/>
        <v>-1.4077568134171912E-2</v>
      </c>
      <c r="CW169" s="751">
        <f t="shared" si="196"/>
        <v>-1.4166666666666669E-2</v>
      </c>
      <c r="CX169" s="751">
        <f t="shared" si="196"/>
        <v>-1.4254658385093169E-2</v>
      </c>
      <c r="CY169" s="751">
        <f t="shared" si="196"/>
        <v>-1.4341563786008234E-2</v>
      </c>
      <c r="CZ169" s="751">
        <f t="shared" si="196"/>
        <v>-1.4427402862985689E-2</v>
      </c>
      <c r="DA169" s="751">
        <f t="shared" si="196"/>
        <v>-1.4512195121951222E-2</v>
      </c>
      <c r="DB169" s="710"/>
      <c r="DC169" s="12">
        <f>SUM(V169:AG169)</f>
        <v>0</v>
      </c>
      <c r="DD169" s="12">
        <f>SUM(AH169:AS169)</f>
        <v>0</v>
      </c>
      <c r="DE169" s="12">
        <f>SUM(AT169:BE169)</f>
        <v>-0.53800622952210009</v>
      </c>
      <c r="DF169" s="12">
        <f>SUM(BF169:BQ169)</f>
        <v>-0.48953503034880397</v>
      </c>
      <c r="DG169" s="12">
        <f>SUM(BR169:CC169)</f>
        <v>-0.29548371121053901</v>
      </c>
      <c r="DH169" s="12">
        <f>SUM(CD169:CO169)</f>
        <v>-0.16385692761357321</v>
      </c>
      <c r="DI169" s="12">
        <f t="shared" si="175"/>
        <v>-0.1683096961147636</v>
      </c>
    </row>
    <row r="170" spans="2:113" s="698" customFormat="1" outlineLevel="2">
      <c r="B170" s="758"/>
      <c r="F170" s="126" t="s">
        <v>144</v>
      </c>
      <c r="G170" s="718"/>
      <c r="H170" s="703"/>
      <c r="I170" s="609" t="s">
        <v>736</v>
      </c>
      <c r="J170" s="703"/>
      <c r="K170" s="703"/>
      <c r="L170" s="703"/>
      <c r="M170" s="703"/>
      <c r="N170" s="714"/>
      <c r="O170" s="714"/>
      <c r="P170" s="714"/>
      <c r="Q170" s="714"/>
      <c r="R170" s="714"/>
      <c r="S170" s="714"/>
      <c r="T170" s="714"/>
      <c r="U170" s="714"/>
      <c r="V170" s="714"/>
      <c r="W170" s="714"/>
      <c r="Y170" s="126"/>
      <c r="AA170" s="896"/>
      <c r="AB170" s="896"/>
      <c r="AC170" s="896"/>
      <c r="AD170" s="896"/>
      <c r="AE170" s="896"/>
      <c r="AF170" s="896"/>
      <c r="AG170" s="710"/>
      <c r="AH170" s="710"/>
      <c r="AI170" s="710"/>
      <c r="AJ170" s="710"/>
      <c r="AK170" s="721"/>
      <c r="AL170" s="721"/>
      <c r="AM170" s="721"/>
      <c r="AN170" s="721"/>
      <c r="AO170" s="860"/>
      <c r="AP170" s="713"/>
      <c r="AQ170" s="749"/>
      <c r="AR170" s="749"/>
      <c r="AS170" s="749"/>
      <c r="AT170" s="750">
        <f>AT88/(AT57-AT183)*AT142</f>
        <v>-0.22522522522522526</v>
      </c>
      <c r="AU170" s="750">
        <f t="shared" ref="AU170:DA170" si="197">AU88/(AU57-AU183)*AU142</f>
        <v>-0.17857142857142858</v>
      </c>
      <c r="AV170" s="750">
        <f t="shared" si="197"/>
        <v>-0.22435897435897439</v>
      </c>
      <c r="AW170" s="750">
        <f t="shared" si="197"/>
        <v>-0.29150551496920213</v>
      </c>
      <c r="AX170" s="750">
        <f t="shared" si="197"/>
        <v>-0.34196397210095841</v>
      </c>
      <c r="AY170" s="750">
        <f t="shared" si="197"/>
        <v>-0.38126799223404961</v>
      </c>
      <c r="AZ170" s="750">
        <f t="shared" si="197"/>
        <v>-0.41274817136886105</v>
      </c>
      <c r="BA170" s="750">
        <f t="shared" si="197"/>
        <v>-0.43852915912787616</v>
      </c>
      <c r="BB170" s="750">
        <f t="shared" si="197"/>
        <v>-0.46003016591251888</v>
      </c>
      <c r="BC170" s="750">
        <f t="shared" si="197"/>
        <v>-0.47823530322021568</v>
      </c>
      <c r="BD170" s="750">
        <f t="shared" si="197"/>
        <v>-0.49384845348970907</v>
      </c>
      <c r="BE170" s="750">
        <f t="shared" si="197"/>
        <v>-0.56574923547400613</v>
      </c>
      <c r="BF170" s="751">
        <f t="shared" si="197"/>
        <v>-0.83385408529917215</v>
      </c>
      <c r="BG170" s="751">
        <f t="shared" si="197"/>
        <v>-0.81842861705525394</v>
      </c>
      <c r="BH170" s="751">
        <f t="shared" si="197"/>
        <v>-0.8023027927486529</v>
      </c>
      <c r="BI170" s="751">
        <f t="shared" si="197"/>
        <v>-0.78542780748663121</v>
      </c>
      <c r="BJ170" s="751">
        <f t="shared" si="197"/>
        <v>-0.76775021385799858</v>
      </c>
      <c r="BK170" s="751">
        <f t="shared" si="197"/>
        <v>-0.74921135646687731</v>
      </c>
      <c r="BL170" s="751">
        <f t="shared" si="197"/>
        <v>-0.72974672175318867</v>
      </c>
      <c r="BM170" s="751">
        <f t="shared" si="197"/>
        <v>-0.70928518791451778</v>
      </c>
      <c r="BN170" s="751">
        <f t="shared" si="197"/>
        <v>-0.68774815655133337</v>
      </c>
      <c r="BO170" s="751">
        <f t="shared" si="197"/>
        <v>-0.66504854368932065</v>
      </c>
      <c r="BP170" s="751">
        <f t="shared" si="197"/>
        <v>-0.64108960287367811</v>
      </c>
      <c r="BQ170" s="751">
        <f t="shared" si="197"/>
        <v>-0.61576354679802958</v>
      </c>
      <c r="BR170" s="751">
        <f t="shared" si="197"/>
        <v>-0.76314344962185909</v>
      </c>
      <c r="BS170" s="751">
        <f t="shared" si="197"/>
        <v>-0.7264983083615274</v>
      </c>
      <c r="BT170" s="751">
        <f t="shared" si="197"/>
        <v>-0.69053746708163766</v>
      </c>
      <c r="BU170" s="751">
        <f t="shared" si="197"/>
        <v>-0.655241935483871</v>
      </c>
      <c r="BV170" s="751">
        <f t="shared" si="197"/>
        <v>-0.62059341950646307</v>
      </c>
      <c r="BW170" s="751">
        <f t="shared" si="197"/>
        <v>-0.58657428970656733</v>
      </c>
      <c r="BX170" s="751">
        <f t="shared" si="197"/>
        <v>-0.55316755135010387</v>
      </c>
      <c r="BY170" s="751">
        <f t="shared" si="197"/>
        <v>-0.52035681610247031</v>
      </c>
      <c r="BZ170" s="751">
        <f t="shared" si="197"/>
        <v>-0.48812627522103835</v>
      </c>
      <c r="CA170" s="751">
        <f t="shared" si="197"/>
        <v>-0.45646067415730335</v>
      </c>
      <c r="CB170" s="751">
        <f t="shared" si="197"/>
        <v>-0.42534528848295838</v>
      </c>
      <c r="CC170" s="751">
        <f t="shared" si="197"/>
        <v>-0.39476590106007065</v>
      </c>
      <c r="CD170" s="751">
        <f t="shared" si="197"/>
        <v>-0.46662972252309304</v>
      </c>
      <c r="CE170" s="751">
        <f t="shared" si="197"/>
        <v>-0.45985062334133481</v>
      </c>
      <c r="CF170" s="751">
        <f t="shared" si="197"/>
        <v>-0.45336185250627731</v>
      </c>
      <c r="CG170" s="751">
        <f t="shared" si="197"/>
        <v>-0.44714515019490941</v>
      </c>
      <c r="CH170" s="751">
        <f t="shared" si="197"/>
        <v>-0.44118375637870949</v>
      </c>
      <c r="CI170" s="751">
        <f t="shared" si="197"/>
        <v>-0.43546225993747201</v>
      </c>
      <c r="CJ170" s="751">
        <f t="shared" si="197"/>
        <v>-0.4299664656296498</v>
      </c>
      <c r="CK170" s="751">
        <f t="shared" si="197"/>
        <v>-0.42468327650148086</v>
      </c>
      <c r="CL170" s="751">
        <f t="shared" si="197"/>
        <v>-0.41960058968418934</v>
      </c>
      <c r="CM170" s="751">
        <f t="shared" si="197"/>
        <v>-0.41470720383405718</v>
      </c>
      <c r="CN170" s="751">
        <f t="shared" si="197"/>
        <v>-0.40999273672541009</v>
      </c>
      <c r="CO170" s="751">
        <f t="shared" si="197"/>
        <v>-0.40544755172055302</v>
      </c>
      <c r="CP170" s="751">
        <f t="shared" si="197"/>
        <v>-0.44490012086758718</v>
      </c>
      <c r="CQ170" s="751">
        <f t="shared" si="197"/>
        <v>-0.44384257555641798</v>
      </c>
      <c r="CR170" s="751">
        <f t="shared" si="197"/>
        <v>-0.44281804864433671</v>
      </c>
      <c r="CS170" s="751">
        <f t="shared" si="197"/>
        <v>-0.44182501756242237</v>
      </c>
      <c r="CT170" s="751">
        <f t="shared" si="197"/>
        <v>-0.4408620519377216</v>
      </c>
      <c r="CU170" s="751">
        <f t="shared" si="197"/>
        <v>-0.43992780671889731</v>
      </c>
      <c r="CV170" s="751">
        <f t="shared" si="197"/>
        <v>-0.43902101590792153</v>
      </c>
      <c r="CW170" s="751">
        <f t="shared" si="197"/>
        <v>-0.43814048683638052</v>
      </c>
      <c r="CX170" s="751">
        <f t="shared" si="197"/>
        <v>-0.43728509493197765</v>
      </c>
      <c r="CY170" s="751">
        <f t="shared" si="197"/>
        <v>-0.43645377892694248</v>
      </c>
      <c r="CZ170" s="751">
        <f t="shared" si="197"/>
        <v>-0.43564553646541676</v>
      </c>
      <c r="DA170" s="751">
        <f t="shared" si="197"/>
        <v>-0.43485942007159317</v>
      </c>
      <c r="DB170" s="710"/>
      <c r="DC170" s="12">
        <f>SUM(V170:AG170)</f>
        <v>0</v>
      </c>
      <c r="DD170" s="12">
        <f>SUM(AH170:AS170)</f>
        <v>0</v>
      </c>
      <c r="DE170" s="12">
        <f>SUM(AT170:BE170)</f>
        <v>-4.4920335960530258</v>
      </c>
      <c r="DF170" s="12">
        <f>SUM(BF170:BQ170)</f>
        <v>-8.8056566324946548</v>
      </c>
      <c r="DG170" s="12">
        <f>SUM(BR170:CC170)</f>
        <v>-6.8808113761358696</v>
      </c>
      <c r="DH170" s="12">
        <f>SUM(CD170:CO170)</f>
        <v>-5.2080311889771371</v>
      </c>
      <c r="DI170" s="12">
        <f t="shared" si="175"/>
        <v>-5.2755809544276149</v>
      </c>
    </row>
    <row r="171" spans="2:113" outlineLevel="2">
      <c r="B171" s="758"/>
      <c r="F171" s="698" t="s">
        <v>808</v>
      </c>
      <c r="H171" s="126"/>
      <c r="I171" s="609" t="s">
        <v>736</v>
      </c>
      <c r="O171" s="715"/>
      <c r="P171" s="715"/>
      <c r="Q171" s="715"/>
      <c r="R171" s="715"/>
      <c r="S171" s="715"/>
      <c r="T171" s="715"/>
      <c r="U171" s="715"/>
      <c r="V171" s="715"/>
      <c r="W171" s="715"/>
      <c r="X171" s="698"/>
      <c r="Z171" s="698"/>
      <c r="AA171" s="713"/>
      <c r="AB171" s="713"/>
      <c r="AC171" s="713"/>
      <c r="AD171" s="713"/>
      <c r="AE171" s="713"/>
      <c r="AF171" s="713"/>
      <c r="AG171" s="710"/>
      <c r="AH171" s="710"/>
      <c r="AI171" s="710"/>
      <c r="AJ171" s="710"/>
      <c r="AK171" s="908">
        <f>-26040426/10^9</f>
        <v>-2.6040425999999998E-2</v>
      </c>
      <c r="AL171" s="909">
        <f>-89336479/10^9</f>
        <v>-8.9336478999999996E-2</v>
      </c>
      <c r="AM171" s="909">
        <f>-411351018/10^9</f>
        <v>-0.41135101800000001</v>
      </c>
      <c r="AN171" s="909">
        <f>-1006366499/10^9</f>
        <v>-1.0063664990000001</v>
      </c>
      <c r="AO171" s="909">
        <f>-1033761529/10^9</f>
        <v>-1.033761529</v>
      </c>
      <c r="AP171" s="896">
        <v>-0.64348582300000001</v>
      </c>
      <c r="AQ171" s="714">
        <v>0.78076387999985375</v>
      </c>
      <c r="AR171" s="714">
        <v>1.82496655387137</v>
      </c>
      <c r="AS171" s="714">
        <v>0.72077388364971573</v>
      </c>
      <c r="AT171" s="714">
        <v>-0.59661860469197581</v>
      </c>
      <c r="AU171" s="714">
        <v>-0.7772438687519353</v>
      </c>
      <c r="AV171" s="714">
        <v>-1.1210388370276341</v>
      </c>
      <c r="AW171" s="714">
        <v>-1.6293298743857225</v>
      </c>
      <c r="AX171" s="714">
        <v>-2.1600120080179619</v>
      </c>
      <c r="AY171" s="714">
        <v>-2.8718209130861672</v>
      </c>
      <c r="AZ171" s="714">
        <v>-3.5977306331866847</v>
      </c>
      <c r="BA171" s="714">
        <v>-4.3041773202345928</v>
      </c>
      <c r="BB171" s="714">
        <v>-5.0087223876837887</v>
      </c>
      <c r="BC171" s="714">
        <v>-5.7256583363408975</v>
      </c>
      <c r="BD171" s="714">
        <v>-6.4531305860839563</v>
      </c>
      <c r="BE171" s="714">
        <v>-7.9165220493119053</v>
      </c>
      <c r="BF171" s="714">
        <v>-8.4940855538636981</v>
      </c>
      <c r="BG171" s="714">
        <v>-8.7011817109143159</v>
      </c>
      <c r="BH171" s="714">
        <v>-8.7042786089922437</v>
      </c>
      <c r="BI171" s="714">
        <v>-8.2788472409770151</v>
      </c>
      <c r="BJ171" s="714">
        <v>-7.9352117226704255</v>
      </c>
      <c r="BK171" s="714">
        <v>-7.6152189054770441</v>
      </c>
      <c r="BL171" s="714">
        <v>-7.2806213568535689</v>
      </c>
      <c r="BM171" s="714">
        <v>-6.9444241829492981</v>
      </c>
      <c r="BN171" s="714">
        <v>-6.5913003378378834</v>
      </c>
      <c r="BO171" s="714">
        <v>-6.2419705654349791</v>
      </c>
      <c r="BP171" s="714">
        <v>-5.8955004611769128</v>
      </c>
      <c r="BQ171" s="714">
        <v>-5.5530703714699916</v>
      </c>
      <c r="BR171" s="714">
        <v>-5.297050656587774</v>
      </c>
      <c r="BS171" s="714">
        <v>-5.0994593692676373</v>
      </c>
      <c r="BT171" s="714">
        <v>-4.9616930713379084</v>
      </c>
      <c r="BU171" s="714">
        <v>-4.7420430803184237</v>
      </c>
      <c r="BV171" s="714">
        <v>-4.5596952319797701</v>
      </c>
      <c r="BW171" s="714">
        <v>-4.3798733051571377</v>
      </c>
      <c r="BX171" s="714">
        <v>-4.1999538295414149</v>
      </c>
      <c r="BY171" s="714">
        <v>-4.023159133781232</v>
      </c>
      <c r="BZ171" s="714">
        <v>-3.8470013629826614</v>
      </c>
      <c r="CA171" s="714">
        <v>-3.6706015085418722</v>
      </c>
      <c r="CB171" s="714">
        <v>-3.4926785089053927</v>
      </c>
      <c r="CC171" s="714">
        <v>-3.3118009561095567</v>
      </c>
      <c r="CD171" s="714">
        <v>-3.2399657938605868</v>
      </c>
      <c r="CE171" s="714">
        <v>-3.2065133235344567</v>
      </c>
      <c r="CF171" s="714">
        <v>-3.2070872107745201</v>
      </c>
      <c r="CG171" s="714">
        <v>-3.2391819698340112</v>
      </c>
      <c r="CH171" s="714">
        <v>-3.2720877823518717</v>
      </c>
      <c r="CI171" s="714">
        <v>-3.3098758647659445</v>
      </c>
      <c r="CJ171" s="714">
        <v>-3.3523069072611245</v>
      </c>
      <c r="CK171" s="714">
        <v>-3.3977560128034012</v>
      </c>
      <c r="CL171" s="714">
        <v>-3.4452470655693417</v>
      </c>
      <c r="CM171" s="714">
        <v>-3.4932980511142202</v>
      </c>
      <c r="CN171" s="714">
        <v>-3.5403320635176687</v>
      </c>
      <c r="CO171" s="714">
        <v>-3.584681818318169</v>
      </c>
      <c r="CP171" s="714">
        <v>-3.6358229902976031</v>
      </c>
      <c r="CQ171" s="714">
        <v>-3.6851219937847843</v>
      </c>
      <c r="CR171" s="714">
        <v>-3.732777788375607</v>
      </c>
      <c r="CS171" s="714">
        <v>-3.7805483861527458</v>
      </c>
      <c r="CT171" s="714">
        <v>-3.8272888313843612</v>
      </c>
      <c r="CU171" s="714">
        <v>-3.8752820540344506</v>
      </c>
      <c r="CV171" s="714">
        <v>-3.9240815239033617</v>
      </c>
      <c r="CW171" s="714">
        <v>-3.9733678649596991</v>
      </c>
      <c r="CX171" s="714">
        <v>-4.0229938421553957</v>
      </c>
      <c r="CY171" s="714">
        <v>-4.0727548977518202</v>
      </c>
      <c r="CZ171" s="714">
        <v>-4.1224784451441607</v>
      </c>
      <c r="DA171" s="714">
        <v>-4.1719925499580892</v>
      </c>
      <c r="DB171" s="715"/>
      <c r="DC171" s="12">
        <f t="shared" si="190"/>
        <v>0</v>
      </c>
      <c r="DD171" s="12">
        <f t="shared" si="191"/>
        <v>0.11616254352093969</v>
      </c>
      <c r="DE171" s="12">
        <f t="shared" si="192"/>
        <v>-42.162005418803226</v>
      </c>
      <c r="DF171" s="12">
        <f t="shared" si="193"/>
        <v>-88.235711018617366</v>
      </c>
      <c r="DG171" s="12">
        <f t="shared" si="194"/>
        <v>-51.585010014510779</v>
      </c>
      <c r="DH171" s="12">
        <f t="shared" si="195"/>
        <v>-40.288333863705311</v>
      </c>
      <c r="DI171" s="12">
        <f t="shared" si="175"/>
        <v>-46.824511167902081</v>
      </c>
    </row>
    <row r="172" spans="2:113" outlineLevel="2">
      <c r="B172" s="758"/>
      <c r="F172" s="698"/>
      <c r="G172" s="126" t="s">
        <v>827</v>
      </c>
      <c r="H172" s="698"/>
      <c r="I172" s="609" t="s">
        <v>736</v>
      </c>
      <c r="O172" s="715"/>
      <c r="P172" s="715"/>
      <c r="Q172" s="715"/>
      <c r="R172" s="715"/>
      <c r="S172" s="715"/>
      <c r="T172" s="715"/>
      <c r="U172" s="715"/>
      <c r="V172" s="715"/>
      <c r="W172" s="715"/>
      <c r="X172" s="698"/>
      <c r="Z172" s="698"/>
      <c r="AA172" s="713"/>
      <c r="AB172" s="713"/>
      <c r="AC172" s="713"/>
      <c r="AD172" s="713"/>
      <c r="AE172" s="713"/>
      <c r="AF172" s="713"/>
      <c r="AG172" s="710"/>
      <c r="AH172" s="710"/>
      <c r="AI172" s="710"/>
      <c r="AJ172" s="710"/>
      <c r="AK172" s="739"/>
      <c r="AL172" s="739"/>
      <c r="AM172" s="739"/>
      <c r="AN172" s="860">
        <f>-269815311/10^9</f>
        <v>-0.269815311</v>
      </c>
      <c r="AO172" s="860">
        <f>-111279948/10^9</f>
        <v>-0.111279948</v>
      </c>
      <c r="AP172" s="710">
        <v>-0.48458181853654447</v>
      </c>
      <c r="AQ172" s="710">
        <v>-4.0837682349556017</v>
      </c>
      <c r="AR172" s="710">
        <v>-8.680749516739704</v>
      </c>
      <c r="AS172" s="710">
        <v>-6.1823227548923496</v>
      </c>
      <c r="AT172" s="710">
        <v>-3.2009657654588284</v>
      </c>
      <c r="AU172" s="710">
        <v>-2.2540396340849025</v>
      </c>
      <c r="AV172" s="710">
        <v>-2.2378430041870332</v>
      </c>
      <c r="AW172" s="710">
        <v>-2.4088741056805469</v>
      </c>
      <c r="AX172" s="710">
        <v>-2.9038504353116799</v>
      </c>
      <c r="AY172" s="710">
        <v>-3.1930359831258288</v>
      </c>
      <c r="AZ172" s="710">
        <v>-3.7476313336799012</v>
      </c>
      <c r="BA172" s="710">
        <v>-4.6580601513628395</v>
      </c>
      <c r="BB172" s="710">
        <v>-5.863742779744868</v>
      </c>
      <c r="BC172" s="710">
        <v>-7.3151095840630376</v>
      </c>
      <c r="BD172" s="710">
        <v>-8.9653897175515649</v>
      </c>
      <c r="BE172" s="710">
        <v>-10.77044377224799</v>
      </c>
      <c r="BF172" s="710">
        <v>-12.689144595601835</v>
      </c>
      <c r="BG172" s="710">
        <v>-14.742778857528311</v>
      </c>
      <c r="BH172" s="710">
        <v>-16.830295858384265</v>
      </c>
      <c r="BI172" s="710">
        <v>-19.755745453215511</v>
      </c>
      <c r="BJ172" s="710">
        <v>-21.976948668257485</v>
      </c>
      <c r="BK172" s="710">
        <v>-23.591993465839895</v>
      </c>
      <c r="BL172" s="710">
        <v>-24.692147412820486</v>
      </c>
      <c r="BM172" s="710">
        <v>-25.327336532033119</v>
      </c>
      <c r="BN172" s="710">
        <v>-25.590452824600543</v>
      </c>
      <c r="BO172" s="710">
        <v>-25.474322674190542</v>
      </c>
      <c r="BP172" s="710">
        <v>-25.037170616816923</v>
      </c>
      <c r="BQ172" s="710">
        <v>-24.332835827380652</v>
      </c>
      <c r="BR172" s="710">
        <v>-23.410013598560926</v>
      </c>
      <c r="BS172" s="710">
        <v>-22.315363691435625</v>
      </c>
      <c r="BT172" s="710">
        <v>-21.093489321407901</v>
      </c>
      <c r="BU172" s="710">
        <v>-20.207893964738371</v>
      </c>
      <c r="BV172" s="710">
        <v>-19.296921047309798</v>
      </c>
      <c r="BW172" s="710">
        <v>-18.450138393089521</v>
      </c>
      <c r="BX172" s="710">
        <v>-17.65889389419268</v>
      </c>
      <c r="BY172" s="710">
        <v>-16.916501803094604</v>
      </c>
      <c r="BZ172" s="710">
        <v>-16.21725115225161</v>
      </c>
      <c r="CA172" s="710">
        <v>-15.55597000197522</v>
      </c>
      <c r="CB172" s="710">
        <v>-14.927715013296325</v>
      </c>
      <c r="CC172" s="710">
        <v>-14.327875646540978</v>
      </c>
      <c r="CD172" s="710">
        <v>-13.751201742759481</v>
      </c>
      <c r="CE172" s="710">
        <v>-13.192504294643932</v>
      </c>
      <c r="CF172" s="710">
        <v>-12.646463009725021</v>
      </c>
      <c r="CG172" s="710">
        <v>-12.107630638585258</v>
      </c>
      <c r="CH172" s="710">
        <v>-11.665632601934664</v>
      </c>
      <c r="CI172" s="710">
        <v>-11.304281150775147</v>
      </c>
      <c r="CJ172" s="710">
        <v>-11.015745020657576</v>
      </c>
      <c r="CK172" s="710">
        <v>-10.792918111295577</v>
      </c>
      <c r="CL172" s="710">
        <v>-10.629134298552218</v>
      </c>
      <c r="CM172" s="710">
        <v>-10.517967501692976</v>
      </c>
      <c r="CN172" s="710">
        <v>-10.453088687710071</v>
      </c>
      <c r="CO172" s="710">
        <v>-10.428153638038122</v>
      </c>
      <c r="CP172" s="710">
        <v>-10.436783833023876</v>
      </c>
      <c r="CQ172" s="710">
        <v>-10.472393804208476</v>
      </c>
      <c r="CR172" s="710">
        <v>-10.528201974531678</v>
      </c>
      <c r="CS172" s="710">
        <v>-10.597226732655225</v>
      </c>
      <c r="CT172" s="710">
        <v>-10.681803224033418</v>
      </c>
      <c r="CU172" s="710">
        <v>-10.7735309966396</v>
      </c>
      <c r="CV172" s="710">
        <v>-10.872279252363139</v>
      </c>
      <c r="CW172" s="710">
        <v>-10.977693858555353</v>
      </c>
      <c r="CX172" s="710">
        <v>-11.08929884317585</v>
      </c>
      <c r="CY172" s="710">
        <v>-11.206540699579728</v>
      </c>
      <c r="CZ172" s="710">
        <v>-11.328815455217116</v>
      </c>
      <c r="DA172" s="710">
        <v>-11.455484729328109</v>
      </c>
      <c r="DB172" s="715"/>
      <c r="DC172" s="12">
        <f t="shared" si="190"/>
        <v>0</v>
      </c>
      <c r="DD172" s="12">
        <f t="shared" si="191"/>
        <v>-19.812517584124201</v>
      </c>
      <c r="DE172" s="12">
        <f t="shared" si="192"/>
        <v>-57.518986266499027</v>
      </c>
      <c r="DF172" s="12">
        <f t="shared" si="193"/>
        <v>-260.04117278666956</v>
      </c>
      <c r="DG172" s="12">
        <f t="shared" si="194"/>
        <v>-220.37802752789355</v>
      </c>
      <c r="DH172" s="12">
        <f t="shared" si="195"/>
        <v>-138.50472069637004</v>
      </c>
      <c r="DI172" s="12">
        <f t="shared" si="175"/>
        <v>-130.42005340331158</v>
      </c>
    </row>
    <row r="173" spans="2:113" outlineLevel="2">
      <c r="B173" s="758"/>
      <c r="F173" s="698"/>
      <c r="G173" s="126" t="s">
        <v>828</v>
      </c>
      <c r="H173" s="698"/>
      <c r="I173" s="609" t="s">
        <v>736</v>
      </c>
      <c r="O173" s="715"/>
      <c r="P173" s="715"/>
      <c r="Q173" s="715"/>
      <c r="R173" s="715"/>
      <c r="S173" s="715"/>
      <c r="T173" s="715"/>
      <c r="U173" s="715"/>
      <c r="V173" s="715"/>
      <c r="W173" s="715"/>
      <c r="X173" s="698"/>
      <c r="Z173" s="698"/>
      <c r="AA173" s="713"/>
      <c r="AB173" s="713"/>
      <c r="AC173" s="713"/>
      <c r="AD173" s="713"/>
      <c r="AE173" s="713"/>
      <c r="AF173" s="713"/>
      <c r="AG173" s="710"/>
      <c r="AH173" s="710"/>
      <c r="AI173" s="710"/>
      <c r="AJ173" s="710"/>
      <c r="AK173" s="739"/>
      <c r="AL173" s="739"/>
      <c r="AM173" s="739"/>
      <c r="AN173" s="710">
        <v>0</v>
      </c>
      <c r="AO173" s="710">
        <v>0</v>
      </c>
      <c r="AP173" s="710">
        <v>0</v>
      </c>
      <c r="AQ173" s="710">
        <v>0</v>
      </c>
      <c r="AR173" s="710">
        <v>0.43260591442238727</v>
      </c>
      <c r="AS173" s="710">
        <v>1.0518445222469737</v>
      </c>
      <c r="AT173" s="710">
        <v>1.0088660037425221</v>
      </c>
      <c r="AU173" s="710">
        <v>0.59830110051603924</v>
      </c>
      <c r="AV173" s="710">
        <v>0.36944742285413668</v>
      </c>
      <c r="AW173" s="710">
        <v>0.32521608395252244</v>
      </c>
      <c r="AX173" s="710">
        <v>0.34159034575646885</v>
      </c>
      <c r="AY173" s="710">
        <v>0.39878437828679481</v>
      </c>
      <c r="AZ173" s="710">
        <v>0.4499768679016114</v>
      </c>
      <c r="BA173" s="710">
        <v>0.51844975260865311</v>
      </c>
      <c r="BB173" s="710">
        <v>0.63444942515187819</v>
      </c>
      <c r="BC173" s="710">
        <v>0.79598698478581653</v>
      </c>
      <c r="BD173" s="710">
        <v>0.99537938349482502</v>
      </c>
      <c r="BE173" s="710">
        <v>1.2257189030379863</v>
      </c>
      <c r="BF173" s="710">
        <v>1.4804869145146213</v>
      </c>
      <c r="BG173" s="710">
        <v>1.7535844293113456</v>
      </c>
      <c r="BH173" s="710">
        <v>2.0452893925549276</v>
      </c>
      <c r="BI173" s="710">
        <v>2.3464546344272321</v>
      </c>
      <c r="BJ173" s="710">
        <v>2.7329378589488158</v>
      </c>
      <c r="BK173" s="710">
        <v>3.0867034122204586</v>
      </c>
      <c r="BL173" s="710">
        <v>3.348162036655566</v>
      </c>
      <c r="BM173" s="710">
        <v>3.5308544472448489</v>
      </c>
      <c r="BN173" s="710">
        <v>3.6438802867802451</v>
      </c>
      <c r="BO173" s="710">
        <v>3.6987754264015678</v>
      </c>
      <c r="BP173" s="710">
        <v>3.6990026445260753</v>
      </c>
      <c r="BQ173" s="710">
        <v>3.6500615820202711</v>
      </c>
      <c r="BR173" s="710">
        <v>3.5599562604948005</v>
      </c>
      <c r="BS173" s="710">
        <v>3.4359789720882077</v>
      </c>
      <c r="BT173" s="710">
        <v>3.2849869810788164</v>
      </c>
      <c r="BU173" s="710">
        <v>3.1135402982553728</v>
      </c>
      <c r="BV173" s="710">
        <v>2.969996415937203</v>
      </c>
      <c r="BW173" s="710">
        <v>2.8390473331442081</v>
      </c>
      <c r="BX173" s="710">
        <v>2.7133752864378948</v>
      </c>
      <c r="BY173" s="710">
        <v>2.5961456171083057</v>
      </c>
      <c r="BZ173" s="710">
        <v>2.4863004055481497</v>
      </c>
      <c r="CA173" s="710">
        <v>2.3829676963644317</v>
      </c>
      <c r="CB173" s="710">
        <v>2.2853733020488392</v>
      </c>
      <c r="CC173" s="710">
        <v>2.1927901514185351</v>
      </c>
      <c r="CD173" s="710">
        <v>2.1045347402524328</v>
      </c>
      <c r="CE173" s="710">
        <v>2.0198745783702918</v>
      </c>
      <c r="CF173" s="710">
        <v>1.9380545078885802</v>
      </c>
      <c r="CG173" s="710">
        <v>1.8583089942314786</v>
      </c>
      <c r="CH173" s="710">
        <v>1.7798538992961568</v>
      </c>
      <c r="CI173" s="710">
        <v>1.7114066389298017</v>
      </c>
      <c r="CJ173" s="710">
        <v>1.6553815821645799</v>
      </c>
      <c r="CK173" s="710">
        <v>1.6102671538506428</v>
      </c>
      <c r="CL173" s="710">
        <v>1.5750003370591372</v>
      </c>
      <c r="CM173" s="710">
        <v>1.5485947448635216</v>
      </c>
      <c r="CN173" s="710">
        <v>1.5301077936041452</v>
      </c>
      <c r="CO173" s="710">
        <v>1.5186174063471896</v>
      </c>
      <c r="CP173" s="710">
        <v>1.5132043547507692</v>
      </c>
      <c r="CQ173" s="710">
        <v>1.5129452970140989</v>
      </c>
      <c r="CR173" s="710">
        <v>1.5168946529069274</v>
      </c>
      <c r="CS173" s="710">
        <v>1.5240779186425613</v>
      </c>
      <c r="CT173" s="710">
        <v>1.5334917621194393</v>
      </c>
      <c r="CU173" s="710">
        <v>1.5450555253728169</v>
      </c>
      <c r="CV173" s="710">
        <v>1.5580342447454569</v>
      </c>
      <c r="CW173" s="710">
        <v>1.5720368200850885</v>
      </c>
      <c r="CX173" s="710">
        <v>1.5870219522118845</v>
      </c>
      <c r="CY173" s="710">
        <v>1.6029261079525696</v>
      </c>
      <c r="CZ173" s="710">
        <v>1.6196725179008808</v>
      </c>
      <c r="DA173" s="710">
        <v>1.637175877002818</v>
      </c>
      <c r="DB173" s="715"/>
      <c r="DC173" s="12">
        <f t="shared" si="190"/>
        <v>0</v>
      </c>
      <c r="DD173" s="12">
        <f t="shared" si="191"/>
        <v>1.4844504366693609</v>
      </c>
      <c r="DE173" s="12">
        <f t="shared" si="192"/>
        <v>7.6621666520892546</v>
      </c>
      <c r="DF173" s="12">
        <f t="shared" si="193"/>
        <v>35.016193065605975</v>
      </c>
      <c r="DG173" s="12">
        <f t="shared" si="194"/>
        <v>33.860458719924765</v>
      </c>
      <c r="DH173" s="12">
        <f t="shared" si="195"/>
        <v>20.850002376857958</v>
      </c>
      <c r="DI173" s="12">
        <f t="shared" si="175"/>
        <v>18.722537030705311</v>
      </c>
    </row>
    <row r="174" spans="2:113" outlineLevel="2">
      <c r="B174" s="758"/>
      <c r="E174" s="698" t="s">
        <v>820</v>
      </c>
      <c r="F174" s="698"/>
      <c r="I174" s="609" t="s">
        <v>736</v>
      </c>
      <c r="O174" s="696"/>
      <c r="P174" s="696"/>
      <c r="Q174" s="696"/>
      <c r="R174" s="696"/>
      <c r="S174" s="696"/>
      <c r="T174" s="696"/>
      <c r="U174" s="696"/>
      <c r="V174" s="696"/>
      <c r="W174" s="696"/>
      <c r="AA174" s="696"/>
      <c r="AB174" s="696"/>
      <c r="AC174" s="696"/>
      <c r="AD174" s="696"/>
      <c r="AE174" s="696"/>
      <c r="AF174" s="696"/>
      <c r="AG174" s="696"/>
      <c r="AH174" s="696"/>
      <c r="AI174" s="696"/>
      <c r="AJ174" s="696"/>
      <c r="AK174" s="709">
        <f t="shared" ref="AK174:CV174" si="198">AK148+AK161+AK162</f>
        <v>8.2720557833389941E-2</v>
      </c>
      <c r="AL174" s="709">
        <f t="shared" si="198"/>
        <v>0.25559317574963059</v>
      </c>
      <c r="AM174" s="709">
        <f t="shared" si="198"/>
        <v>1.0832831888968757</v>
      </c>
      <c r="AN174" s="709">
        <f t="shared" si="198"/>
        <v>2.2133738472816411</v>
      </c>
      <c r="AO174" s="910">
        <f t="shared" si="198"/>
        <v>1.4192599830073984</v>
      </c>
      <c r="AP174" s="910">
        <f t="shared" si="198"/>
        <v>0.52906981576990786</v>
      </c>
      <c r="AQ174" s="910">
        <f t="shared" si="198"/>
        <v>1.3014592146248338</v>
      </c>
      <c r="AR174" s="910">
        <f t="shared" si="198"/>
        <v>2.4101998163941607</v>
      </c>
      <c r="AS174" s="910">
        <f t="shared" si="198"/>
        <v>2.1840401540557934</v>
      </c>
      <c r="AT174" s="910">
        <f t="shared" si="198"/>
        <v>0.92869682820526245</v>
      </c>
      <c r="AU174" s="910">
        <f t="shared" si="198"/>
        <v>-2.1789329449569883</v>
      </c>
      <c r="AV174" s="910">
        <f t="shared" si="198"/>
        <v>-2.9517924648400298</v>
      </c>
      <c r="AW174" s="910">
        <f t="shared" si="198"/>
        <v>0.29214977099257666</v>
      </c>
      <c r="AX174" s="910">
        <f t="shared" si="198"/>
        <v>3.4157256905962479</v>
      </c>
      <c r="AY174" s="910">
        <f t="shared" si="198"/>
        <v>5.4444529576710661</v>
      </c>
      <c r="AZ174" s="910">
        <f t="shared" si="198"/>
        <v>7.2745921619933238</v>
      </c>
      <c r="BA174" s="910">
        <f t="shared" si="198"/>
        <v>9.0955743764230839</v>
      </c>
      <c r="BB174" s="910">
        <f t="shared" si="198"/>
        <v>11.01692175198405</v>
      </c>
      <c r="BC174" s="910">
        <f t="shared" si="198"/>
        <v>13.136472780909667</v>
      </c>
      <c r="BD174" s="910">
        <f t="shared" si="198"/>
        <v>15.196043112528056</v>
      </c>
      <c r="BE174" s="910">
        <f t="shared" si="198"/>
        <v>18.415105310003661</v>
      </c>
      <c r="BF174" s="910">
        <f t="shared" si="198"/>
        <v>19.747905101790121</v>
      </c>
      <c r="BG174" s="910">
        <f t="shared" si="198"/>
        <v>20.531035249228744</v>
      </c>
      <c r="BH174" s="910">
        <f t="shared" si="198"/>
        <v>20.753263664379453</v>
      </c>
      <c r="BI174" s="910">
        <f t="shared" si="198"/>
        <v>20.581431912210352</v>
      </c>
      <c r="BJ174" s="910">
        <f t="shared" si="198"/>
        <v>19.861367839819373</v>
      </c>
      <c r="BK174" s="910">
        <f t="shared" si="198"/>
        <v>18.679215478352297</v>
      </c>
      <c r="BL174" s="910">
        <f t="shared" si="198"/>
        <v>16.848471777809042</v>
      </c>
      <c r="BM174" s="910">
        <f t="shared" si="198"/>
        <v>14.493093229641575</v>
      </c>
      <c r="BN174" s="910">
        <f t="shared" si="198"/>
        <v>12.39256901707027</v>
      </c>
      <c r="BO174" s="910">
        <f t="shared" si="198"/>
        <v>10.499218981702919</v>
      </c>
      <c r="BP174" s="910">
        <f t="shared" si="198"/>
        <v>8.7914615459527745</v>
      </c>
      <c r="BQ174" s="910">
        <f t="shared" si="198"/>
        <v>7.2562363122582445</v>
      </c>
      <c r="BR174" s="910">
        <f t="shared" si="198"/>
        <v>5.8132757724939355</v>
      </c>
      <c r="BS174" s="910">
        <f t="shared" si="198"/>
        <v>4.8356173183477669</v>
      </c>
      <c r="BT174" s="910">
        <f t="shared" si="198"/>
        <v>4.1549632299177226</v>
      </c>
      <c r="BU174" s="910">
        <f t="shared" si="198"/>
        <v>3.7762006544832349</v>
      </c>
      <c r="BV174" s="910">
        <f t="shared" si="198"/>
        <v>3.6031886441279646</v>
      </c>
      <c r="BW174" s="910">
        <f t="shared" si="198"/>
        <v>3.6036641312841748</v>
      </c>
      <c r="BX174" s="910">
        <f t="shared" si="198"/>
        <v>3.6048971152049845</v>
      </c>
      <c r="BY174" s="910">
        <f t="shared" si="198"/>
        <v>3.48382942122372</v>
      </c>
      <c r="BZ174" s="910">
        <f t="shared" si="198"/>
        <v>3.3865610483898934</v>
      </c>
      <c r="CA174" s="910">
        <f t="shared" si="198"/>
        <v>3.2652583816289233</v>
      </c>
      <c r="CB174" s="910">
        <f t="shared" si="198"/>
        <v>3.1203505679556507</v>
      </c>
      <c r="CC174" s="910">
        <f t="shared" si="198"/>
        <v>2.9508681776071155</v>
      </c>
      <c r="CD174" s="910">
        <f t="shared" si="198"/>
        <v>2.8640807140722631</v>
      </c>
      <c r="CE174" s="910">
        <f t="shared" si="198"/>
        <v>2.9214003172240384</v>
      </c>
      <c r="CF174" s="910">
        <f t="shared" si="198"/>
        <v>3.0359692662420432</v>
      </c>
      <c r="CG174" s="910">
        <f t="shared" si="198"/>
        <v>3.2038546258119345</v>
      </c>
      <c r="CH174" s="910">
        <f t="shared" si="198"/>
        <v>3.4329931443710731</v>
      </c>
      <c r="CI174" s="910">
        <f t="shared" si="198"/>
        <v>3.7175264311134519</v>
      </c>
      <c r="CJ174" s="910">
        <f t="shared" si="198"/>
        <v>4.0533967041120746</v>
      </c>
      <c r="CK174" s="910">
        <f t="shared" si="198"/>
        <v>4.4077230292239662</v>
      </c>
      <c r="CL174" s="910">
        <f t="shared" si="198"/>
        <v>4.7347154973039673</v>
      </c>
      <c r="CM174" s="910">
        <f t="shared" si="198"/>
        <v>5.0355287635964245</v>
      </c>
      <c r="CN174" s="910">
        <f t="shared" si="198"/>
        <v>5.3097204103530649</v>
      </c>
      <c r="CO174" s="910">
        <f t="shared" si="198"/>
        <v>5.5551270859795077</v>
      </c>
      <c r="CP174" s="910">
        <f t="shared" si="198"/>
        <v>5.7461050528332169</v>
      </c>
      <c r="CQ174" s="910">
        <f t="shared" si="198"/>
        <v>5.9536245736112123</v>
      </c>
      <c r="CR174" s="910">
        <f t="shared" si="198"/>
        <v>6.1350928356715109</v>
      </c>
      <c r="CS174" s="910">
        <f t="shared" si="198"/>
        <v>6.2945109632460294</v>
      </c>
      <c r="CT174" s="910">
        <f t="shared" si="198"/>
        <v>6.4370884193194566</v>
      </c>
      <c r="CU174" s="910">
        <f t="shared" si="198"/>
        <v>6.566725908991911</v>
      </c>
      <c r="CV174" s="910">
        <f t="shared" si="198"/>
        <v>6.6884777920175349</v>
      </c>
      <c r="CW174" s="910">
        <f t="shared" ref="CW174:DA174" si="199">CW148+CW161+CW162</f>
        <v>6.8044782145093183</v>
      </c>
      <c r="CX174" s="910">
        <f t="shared" si="199"/>
        <v>6.9154891247056129</v>
      </c>
      <c r="CY174" s="910">
        <f t="shared" si="199"/>
        <v>7.0249732447162678</v>
      </c>
      <c r="CZ174" s="910">
        <f t="shared" si="199"/>
        <v>7.1323227425487135</v>
      </c>
      <c r="DA174" s="910">
        <f t="shared" si="199"/>
        <v>7.2370608720799519</v>
      </c>
      <c r="DB174" s="696"/>
      <c r="DC174" s="14">
        <f t="shared" si="190"/>
        <v>0</v>
      </c>
      <c r="DD174" s="14">
        <f t="shared" si="191"/>
        <v>11.478999753613632</v>
      </c>
      <c r="DE174" s="14">
        <f t="shared" si="192"/>
        <v>79.08500933150998</v>
      </c>
      <c r="DF174" s="14">
        <f t="shared" si="193"/>
        <v>190.43527011021513</v>
      </c>
      <c r="DG174" s="14">
        <f t="shared" si="194"/>
        <v>45.59867446266508</v>
      </c>
      <c r="DH174" s="14">
        <f t="shared" si="195"/>
        <v>48.272035989403811</v>
      </c>
      <c r="DI174" s="14">
        <f t="shared" si="175"/>
        <v>78.935949744250735</v>
      </c>
    </row>
    <row r="175" spans="2:113" outlineLevel="2">
      <c r="B175" s="758"/>
      <c r="E175" s="229"/>
      <c r="F175" s="230" t="s">
        <v>423</v>
      </c>
      <c r="I175" s="609" t="s">
        <v>736</v>
      </c>
      <c r="O175" s="696"/>
      <c r="P175" s="696"/>
      <c r="Q175" s="696"/>
      <c r="R175" s="696"/>
      <c r="S175" s="696"/>
      <c r="T175" s="696"/>
      <c r="U175" s="696"/>
      <c r="V175" s="696"/>
      <c r="W175" s="696"/>
      <c r="AA175" s="696"/>
      <c r="AB175" s="696"/>
      <c r="AC175" s="696"/>
      <c r="AD175" s="696"/>
      <c r="AE175" s="696"/>
      <c r="AF175" s="696"/>
      <c r="AG175" s="696"/>
      <c r="AH175" s="696"/>
      <c r="AI175" s="696"/>
      <c r="AJ175" s="696"/>
      <c r="AK175" s="710">
        <v>0</v>
      </c>
      <c r="AL175" s="710">
        <v>0</v>
      </c>
      <c r="AM175" s="710">
        <v>0</v>
      </c>
      <c r="AN175" s="710">
        <v>0</v>
      </c>
      <c r="AO175" s="710">
        <v>0.1113304077873</v>
      </c>
      <c r="AP175" s="710">
        <v>0.59591222632384444</v>
      </c>
      <c r="AQ175" s="710">
        <v>4.679680461279446</v>
      </c>
      <c r="AR175" s="710">
        <v>12.927824063596763</v>
      </c>
      <c r="AS175" s="710">
        <v>18.05830229624214</v>
      </c>
      <c r="AT175" s="710">
        <v>19.67871892256143</v>
      </c>
      <c r="AU175" s="710">
        <v>17.842835615243253</v>
      </c>
      <c r="AV175" s="710">
        <v>12.289190359763701</v>
      </c>
      <c r="AW175" s="710">
        <v>9.0869624260587667</v>
      </c>
      <c r="AX175" s="710">
        <v>8.912396786146676</v>
      </c>
      <c r="AY175" s="710">
        <v>9.7794445038431217</v>
      </c>
      <c r="AZ175" s="710">
        <v>11.163743201041502</v>
      </c>
      <c r="BA175" s="710">
        <v>13.24376623943882</v>
      </c>
      <c r="BB175" s="710">
        <v>15.990267471840323</v>
      </c>
      <c r="BC175" s="710">
        <v>19.779344305544964</v>
      </c>
      <c r="BD175" s="710">
        <v>24.54512984930539</v>
      </c>
      <c r="BE175" s="710">
        <v>30.107213289100155</v>
      </c>
      <c r="BF175" s="710">
        <v>36.302370893505511</v>
      </c>
      <c r="BG175" s="710">
        <v>43.037146627348591</v>
      </c>
      <c r="BH175" s="710">
        <v>50.156744884671348</v>
      </c>
      <c r="BI175" s="710">
        <v>58.357306278187622</v>
      </c>
      <c r="BJ175" s="710">
        <v>66.752098458256697</v>
      </c>
      <c r="BK175" s="710">
        <v>74.652312588689426</v>
      </c>
      <c r="BL175" s="710">
        <v>81.606395005935795</v>
      </c>
      <c r="BM175" s="710">
        <v>86.511714728224817</v>
      </c>
      <c r="BN175" s="710">
        <v>89.667996154684985</v>
      </c>
      <c r="BO175" s="710">
        <v>91.272388989180854</v>
      </c>
      <c r="BP175" s="710">
        <v>91.498770923510193</v>
      </c>
      <c r="BQ175" s="710">
        <v>90.526672433982256</v>
      </c>
      <c r="BR175" s="710">
        <v>88.4968926070149</v>
      </c>
      <c r="BS175" s="710">
        <v>85.595731439929381</v>
      </c>
      <c r="BT175" s="710">
        <v>81.997452902880013</v>
      </c>
      <c r="BU175" s="710">
        <v>78.287231936952537</v>
      </c>
      <c r="BV175" s="710">
        <v>74.598594941555547</v>
      </c>
      <c r="BW175" s="710">
        <v>71.130050045323401</v>
      </c>
      <c r="BX175" s="710">
        <v>68.04063528327444</v>
      </c>
      <c r="BY175" s="710">
        <v>65.083242129409442</v>
      </c>
      <c r="BZ175" s="710">
        <v>62.315325380663033</v>
      </c>
      <c r="CA175" s="710">
        <v>59.713459360182291</v>
      </c>
      <c r="CB175" s="710">
        <v>57.257446791895035</v>
      </c>
      <c r="CC175" s="710">
        <v>54.928923245371607</v>
      </c>
      <c r="CD175" s="710">
        <v>52.709840512703529</v>
      </c>
      <c r="CE175" s="710">
        <v>50.582115877288366</v>
      </c>
      <c r="CF175" s="710">
        <v>48.527328042756452</v>
      </c>
      <c r="CG175" s="710">
        <v>46.526316009317704</v>
      </c>
      <c r="CH175" s="710">
        <v>44.654817221896849</v>
      </c>
      <c r="CI175" s="710">
        <v>42.968100561821636</v>
      </c>
      <c r="CJ175" s="710">
        <v>41.515738126999743</v>
      </c>
      <c r="CK175" s="710">
        <v>40.346364888454282</v>
      </c>
      <c r="CL175" s="710">
        <v>39.426382975293215</v>
      </c>
      <c r="CM175" s="710">
        <v>38.730595348209917</v>
      </c>
      <c r="CN175" s="710">
        <v>38.235114249653613</v>
      </c>
      <c r="CO175" s="710">
        <v>37.916705496186829</v>
      </c>
      <c r="CP175" s="710">
        <v>37.752375149197796</v>
      </c>
      <c r="CQ175" s="710">
        <v>37.718961442444673</v>
      </c>
      <c r="CR175" s="710">
        <v>37.792877936077318</v>
      </c>
      <c r="CS175" s="710">
        <v>37.949955389567393</v>
      </c>
      <c r="CT175" s="710">
        <v>38.174816674245946</v>
      </c>
      <c r="CU175" s="710">
        <v>38.449395442914479</v>
      </c>
      <c r="CV175" s="710">
        <v>38.762027762307568</v>
      </c>
      <c r="CW175" s="710">
        <v>39.107055944357612</v>
      </c>
      <c r="CX175" s="710">
        <v>39.476391078773005</v>
      </c>
      <c r="CY175" s="710">
        <v>39.868636668273311</v>
      </c>
      <c r="CZ175" s="710">
        <v>40.281980844819053</v>
      </c>
      <c r="DA175" s="710">
        <v>40.714361448079529</v>
      </c>
      <c r="DB175" s="696"/>
      <c r="DC175" s="11">
        <f>AG175</f>
        <v>0</v>
      </c>
      <c r="DD175" s="11">
        <f>AS175</f>
        <v>18.05830229624214</v>
      </c>
      <c r="DE175" s="11">
        <f>BE175</f>
        <v>30.107213289100155</v>
      </c>
      <c r="DF175" s="11">
        <f>BQ175</f>
        <v>90.526672433982256</v>
      </c>
      <c r="DG175" s="11">
        <f>CC175</f>
        <v>54.928923245371607</v>
      </c>
      <c r="DH175" s="11">
        <f>CO175</f>
        <v>37.916705496186829</v>
      </c>
      <c r="DI175" s="11">
        <f t="shared" ref="DI175:DI180" si="200">DA175</f>
        <v>40.714361448079529</v>
      </c>
    </row>
    <row r="176" spans="2:113" outlineLevel="2">
      <c r="B176" s="758"/>
      <c r="E176" s="229"/>
      <c r="F176" s="230" t="s">
        <v>810</v>
      </c>
      <c r="I176" s="609" t="s">
        <v>736</v>
      </c>
      <c r="O176" s="696"/>
      <c r="P176" s="696"/>
      <c r="Q176" s="696"/>
      <c r="R176" s="696"/>
      <c r="S176" s="696"/>
      <c r="T176" s="696"/>
      <c r="U176" s="696"/>
      <c r="V176" s="696"/>
      <c r="W176" s="696"/>
      <c r="AA176" s="696"/>
      <c r="AB176" s="696"/>
      <c r="AC176" s="696"/>
      <c r="AD176" s="696"/>
      <c r="AE176" s="696"/>
      <c r="AF176" s="696"/>
      <c r="AG176" s="696"/>
      <c r="AH176" s="696"/>
      <c r="AI176" s="696"/>
      <c r="AJ176" s="696"/>
      <c r="AK176" s="710">
        <v>0</v>
      </c>
      <c r="AL176" s="710">
        <v>0.160951869</v>
      </c>
      <c r="AM176" s="710">
        <v>0.91670293830689997</v>
      </c>
      <c r="AN176" s="710">
        <v>5.7900947487989134</v>
      </c>
      <c r="AO176" s="710">
        <v>16.480502289279354</v>
      </c>
      <c r="AP176" s="710">
        <v>27.138230405168105</v>
      </c>
      <c r="AQ176" s="710">
        <v>30.708696056358662</v>
      </c>
      <c r="AR176" s="710">
        <v>29.643824930499697</v>
      </c>
      <c r="AS176" s="710">
        <v>29.840259390156863</v>
      </c>
      <c r="AT176" s="710">
        <v>30.682135737055155</v>
      </c>
      <c r="AU176" s="710">
        <v>30.118580135480229</v>
      </c>
      <c r="AV176" s="710">
        <v>26.101586971160994</v>
      </c>
      <c r="AW176" s="710">
        <v>25.072073278248943</v>
      </c>
      <c r="AX176" s="710">
        <v>27.965972911124059</v>
      </c>
      <c r="AY176" s="710">
        <v>33.357298353758246</v>
      </c>
      <c r="AZ176" s="710">
        <v>40.634842391477704</v>
      </c>
      <c r="BA176" s="710">
        <v>49.734653598793479</v>
      </c>
      <c r="BB176" s="710">
        <v>60.407658105473494</v>
      </c>
      <c r="BC176" s="710">
        <v>72.823616318159026</v>
      </c>
      <c r="BD176" s="710">
        <v>86.84897141844084</v>
      </c>
      <c r="BE176" s="710">
        <v>102.07394024748486</v>
      </c>
      <c r="BF176" s="710">
        <v>119.9009186126239</v>
      </c>
      <c r="BG176" s="710">
        <v>138.06012176643165</v>
      </c>
      <c r="BH176" s="710">
        <v>155.28085200110164</v>
      </c>
      <c r="BI176" s="710">
        <v>170.78090731418052</v>
      </c>
      <c r="BJ176" s="710">
        <v>184.02805657144538</v>
      </c>
      <c r="BK176" s="710">
        <v>194.7094364294525</v>
      </c>
      <c r="BL176" s="710">
        <v>202.55376498356077</v>
      </c>
      <c r="BM176" s="710">
        <v>206.67946697723033</v>
      </c>
      <c r="BN176" s="710">
        <v>207.57655908892701</v>
      </c>
      <c r="BO176" s="710">
        <v>205.69216676889698</v>
      </c>
      <c r="BP176" s="710">
        <v>201.4331433473788</v>
      </c>
      <c r="BQ176" s="710">
        <v>195.19862941004732</v>
      </c>
      <c r="BR176" s="710">
        <v>188.22365764257762</v>
      </c>
      <c r="BS176" s="710">
        <v>180.66884245382664</v>
      </c>
      <c r="BT176" s="710">
        <v>172.91006581561084</v>
      </c>
      <c r="BU176" s="710">
        <v>165.2205650374753</v>
      </c>
      <c r="BV176" s="710">
        <v>157.81247105323541</v>
      </c>
      <c r="BW176" s="710">
        <v>150.85228322844469</v>
      </c>
      <c r="BX176" s="710">
        <v>144.47191011160285</v>
      </c>
      <c r="BY176" s="710">
        <v>138.39953343180414</v>
      </c>
      <c r="BZ176" s="710">
        <v>132.66956772720616</v>
      </c>
      <c r="CA176" s="710">
        <v>127.23496167695563</v>
      </c>
      <c r="CB176" s="710">
        <v>122.05147174281629</v>
      </c>
      <c r="CC176" s="710">
        <v>117.0757488586512</v>
      </c>
      <c r="CD176" s="710">
        <v>112.26437234126104</v>
      </c>
      <c r="CE176" s="710">
        <v>107.77327834449498</v>
      </c>
      <c r="CF176" s="710">
        <v>103.67543125648997</v>
      </c>
      <c r="CG176" s="710">
        <v>100.01685399940926</v>
      </c>
      <c r="CH176" s="710">
        <v>96.827794260111034</v>
      </c>
      <c r="CI176" s="710">
        <v>94.129853057677437</v>
      </c>
      <c r="CJ176" s="710">
        <v>91.940939078691031</v>
      </c>
      <c r="CK176" s="710">
        <v>90.279098388631581</v>
      </c>
      <c r="CL176" s="710">
        <v>89.080537429879854</v>
      </c>
      <c r="CM176" s="710">
        <v>88.289883257386819</v>
      </c>
      <c r="CN176" s="710">
        <v>87.852569133322817</v>
      </c>
      <c r="CO176" s="710">
        <v>87.713925210411574</v>
      </c>
      <c r="CP176" s="710">
        <v>87.818569781937583</v>
      </c>
      <c r="CQ176" s="710">
        <v>88.130001447969505</v>
      </c>
      <c r="CR176" s="710">
        <v>88.602206137232599</v>
      </c>
      <c r="CS176" s="710">
        <v>89.201133447276575</v>
      </c>
      <c r="CT176" s="710">
        <v>89.900587038379825</v>
      </c>
      <c r="CU176" s="710">
        <v>90.680825958645471</v>
      </c>
      <c r="CV176" s="710">
        <v>91.527906860193752</v>
      </c>
      <c r="CW176" s="710">
        <v>92.43352925759585</v>
      </c>
      <c r="CX176" s="710">
        <v>93.386723725295568</v>
      </c>
      <c r="CY176" s="710">
        <v>94.38306447234433</v>
      </c>
      <c r="CZ176" s="710">
        <v>95.417590972159587</v>
      </c>
      <c r="DA176" s="710">
        <v>96.48500564289472</v>
      </c>
      <c r="DB176" s="696"/>
      <c r="DC176" s="11">
        <f>AG176</f>
        <v>0</v>
      </c>
      <c r="DD176" s="11">
        <f>AS176</f>
        <v>29.840259390156863</v>
      </c>
      <c r="DE176" s="11">
        <f>BE176</f>
        <v>102.07394024748486</v>
      </c>
      <c r="DF176" s="11">
        <f>BQ176</f>
        <v>195.19862941004732</v>
      </c>
      <c r="DG176" s="11">
        <f>CC176</f>
        <v>117.0757488586512</v>
      </c>
      <c r="DH176" s="11">
        <f>CO176</f>
        <v>87.713925210411574</v>
      </c>
      <c r="DI176" s="11">
        <f t="shared" si="200"/>
        <v>96.48500564289472</v>
      </c>
    </row>
    <row r="177" spans="2:113" outlineLevel="2">
      <c r="B177" s="758"/>
      <c r="E177" s="230" t="s">
        <v>811</v>
      </c>
      <c r="F177" s="230"/>
      <c r="I177" s="609" t="s">
        <v>812</v>
      </c>
      <c r="O177" s="696"/>
      <c r="P177" s="696"/>
      <c r="Q177" s="696"/>
      <c r="R177" s="696"/>
      <c r="S177" s="696"/>
      <c r="T177" s="696"/>
      <c r="U177" s="696"/>
      <c r="V177" s="696"/>
      <c r="W177" s="696"/>
      <c r="AA177" s="696"/>
      <c r="AB177" s="696"/>
      <c r="AC177" s="696"/>
      <c r="AD177" s="696"/>
      <c r="AE177" s="696"/>
      <c r="AF177" s="696"/>
      <c r="AG177" s="696"/>
      <c r="AH177" s="696"/>
      <c r="AI177" s="696"/>
      <c r="AJ177" s="696"/>
      <c r="AK177" s="753">
        <f t="shared" ref="AK177:CV177" si="201">AK175/AK145</f>
        <v>0</v>
      </c>
      <c r="AL177" s="753">
        <f t="shared" si="201"/>
        <v>0</v>
      </c>
      <c r="AM177" s="753">
        <f t="shared" si="201"/>
        <v>0</v>
      </c>
      <c r="AN177" s="753">
        <f t="shared" si="201"/>
        <v>0</v>
      </c>
      <c r="AO177" s="753">
        <f t="shared" si="201"/>
        <v>1.1256866308119312E-3</v>
      </c>
      <c r="AP177" s="753">
        <f t="shared" si="201"/>
        <v>6.362930385064601E-3</v>
      </c>
      <c r="AQ177" s="753">
        <f t="shared" si="201"/>
        <v>5.2053758827624752E-2</v>
      </c>
      <c r="AR177" s="753">
        <f t="shared" si="201"/>
        <v>0.13354365168900953</v>
      </c>
      <c r="AS177" s="753">
        <f t="shared" si="201"/>
        <v>0.16767760644400051</v>
      </c>
      <c r="AT177" s="753">
        <f t="shared" si="201"/>
        <v>0.14867845301185431</v>
      </c>
      <c r="AU177" s="753">
        <f t="shared" si="201"/>
        <v>0.12406841196730303</v>
      </c>
      <c r="AV177" s="753">
        <f t="shared" si="201"/>
        <v>7.5931388593247467E-2</v>
      </c>
      <c r="AW177" s="753">
        <f t="shared" si="201"/>
        <v>4.6184504815071303E-2</v>
      </c>
      <c r="AX177" s="753">
        <f t="shared" si="201"/>
        <v>3.5945154300898993E-2</v>
      </c>
      <c r="AY177" s="753">
        <f t="shared" si="201"/>
        <v>3.1266882764797589E-2</v>
      </c>
      <c r="AZ177" s="753">
        <f t="shared" si="201"/>
        <v>2.8666997772269744E-2</v>
      </c>
      <c r="BA177" s="753">
        <f t="shared" si="201"/>
        <v>2.7784580270065033E-2</v>
      </c>
      <c r="BB177" s="753">
        <f t="shared" si="201"/>
        <v>2.7903355625635923E-2</v>
      </c>
      <c r="BC177" s="753">
        <f t="shared" si="201"/>
        <v>2.9082047570723295E-2</v>
      </c>
      <c r="BD177" s="753">
        <f t="shared" si="201"/>
        <v>3.0913095934911164E-2</v>
      </c>
      <c r="BE177" s="753">
        <f t="shared" si="201"/>
        <v>3.181853103605508E-2</v>
      </c>
      <c r="BF177" s="753">
        <f t="shared" si="201"/>
        <v>3.3765138707137522E-2</v>
      </c>
      <c r="BG177" s="753">
        <f t="shared" si="201"/>
        <v>3.6426102524074383E-2</v>
      </c>
      <c r="BH177" s="753">
        <f t="shared" si="201"/>
        <v>3.9591008445337188E-2</v>
      </c>
      <c r="BI177" s="753">
        <f t="shared" si="201"/>
        <v>4.3821734156161224E-2</v>
      </c>
      <c r="BJ177" s="753">
        <f t="shared" si="201"/>
        <v>4.8415745224715298E-2</v>
      </c>
      <c r="BK177" s="753">
        <f t="shared" si="201"/>
        <v>5.3079443156530161E-2</v>
      </c>
      <c r="BL177" s="753">
        <f t="shared" si="201"/>
        <v>5.761620945589041E-2</v>
      </c>
      <c r="BM177" s="753">
        <f t="shared" si="201"/>
        <v>6.1378072365318462E-2</v>
      </c>
      <c r="BN177" s="753">
        <f t="shared" si="201"/>
        <v>6.4606334587952188E-2</v>
      </c>
      <c r="BO177" s="753">
        <f t="shared" si="201"/>
        <v>6.7419469382565753E-2</v>
      </c>
      <c r="BP177" s="753">
        <f t="shared" si="201"/>
        <v>6.9884561218508778E-2</v>
      </c>
      <c r="BQ177" s="753">
        <f t="shared" si="201"/>
        <v>7.2044539349662734E-2</v>
      </c>
      <c r="BR177" s="753">
        <f t="shared" si="201"/>
        <v>7.364201588594578E-2</v>
      </c>
      <c r="BS177" s="753">
        <f t="shared" si="201"/>
        <v>7.445122340134111E-2</v>
      </c>
      <c r="BT177" s="753">
        <f t="shared" si="201"/>
        <v>7.4517871995632659E-2</v>
      </c>
      <c r="BU177" s="753">
        <f t="shared" si="201"/>
        <v>7.4298001471898661E-2</v>
      </c>
      <c r="BV177" s="753">
        <f t="shared" si="201"/>
        <v>7.3892269444916725E-2</v>
      </c>
      <c r="BW177" s="753">
        <f t="shared" si="201"/>
        <v>7.349151509399382E-2</v>
      </c>
      <c r="BX177" s="753">
        <f t="shared" si="201"/>
        <v>7.3280912617361402E-2</v>
      </c>
      <c r="BY177" s="753">
        <f t="shared" si="201"/>
        <v>7.3052215309476864E-2</v>
      </c>
      <c r="BZ177" s="753">
        <f t="shared" si="201"/>
        <v>7.2892241031467589E-2</v>
      </c>
      <c r="CA177" s="753">
        <f t="shared" si="201"/>
        <v>7.2810761815178732E-2</v>
      </c>
      <c r="CB177" s="753">
        <f t="shared" si="201"/>
        <v>7.2822863248080641E-2</v>
      </c>
      <c r="CC177" s="753">
        <f t="shared" si="201"/>
        <v>7.2948645074392929E-2</v>
      </c>
      <c r="CD177" s="753">
        <f t="shared" si="201"/>
        <v>7.2707725114950716E-2</v>
      </c>
      <c r="CE177" s="753">
        <f t="shared" si="201"/>
        <v>7.2107141446765249E-2</v>
      </c>
      <c r="CF177" s="753">
        <f t="shared" si="201"/>
        <v>7.113009008639283E-2</v>
      </c>
      <c r="CG177" s="753">
        <f t="shared" si="201"/>
        <v>6.9768006731145332E-2</v>
      </c>
      <c r="CH177" s="753">
        <f t="shared" si="201"/>
        <v>6.8166900502195621E-2</v>
      </c>
      <c r="CI177" s="753">
        <f t="shared" si="201"/>
        <v>6.6458111247824331E-2</v>
      </c>
      <c r="CJ177" s="753">
        <f t="shared" si="201"/>
        <v>6.477242724151179E-2</v>
      </c>
      <c r="CK177" s="753">
        <f t="shared" si="201"/>
        <v>6.3241171306515742E-2</v>
      </c>
      <c r="CL177" s="753">
        <f t="shared" si="201"/>
        <v>6.1871418906747383E-2</v>
      </c>
      <c r="CM177" s="753">
        <f t="shared" si="201"/>
        <v>6.0676726026415065E-2</v>
      </c>
      <c r="CN177" s="753">
        <f t="shared" si="201"/>
        <v>5.9667375916255753E-2</v>
      </c>
      <c r="CO177" s="753">
        <f t="shared" si="201"/>
        <v>5.8850283304126207E-2</v>
      </c>
      <c r="CP177" s="753">
        <f t="shared" si="201"/>
        <v>5.8184624986995941E-2</v>
      </c>
      <c r="CQ177" s="753">
        <f t="shared" si="201"/>
        <v>5.7677188557643873E-2</v>
      </c>
      <c r="CR177" s="753">
        <f t="shared" si="201"/>
        <v>5.7294465971205799E-2</v>
      </c>
      <c r="CS177" s="753">
        <f t="shared" si="201"/>
        <v>5.7002397788890623E-2</v>
      </c>
      <c r="CT177" s="753">
        <f t="shared" si="201"/>
        <v>5.6780577114023671E-2</v>
      </c>
      <c r="CU177" s="753">
        <f t="shared" si="201"/>
        <v>5.660485761289779E-2</v>
      </c>
      <c r="CV177" s="753">
        <f t="shared" si="201"/>
        <v>5.6460897720737049E-2</v>
      </c>
      <c r="CW177" s="753">
        <f t="shared" ref="CW177:DA177" si="202">CW175/CW145</f>
        <v>5.6343150229228749E-2</v>
      </c>
      <c r="CX177" s="753">
        <f t="shared" si="202"/>
        <v>5.6243033407493308E-2</v>
      </c>
      <c r="CY177" s="753">
        <f t="shared" si="202"/>
        <v>5.6161283562737536E-2</v>
      </c>
      <c r="CZ177" s="753">
        <f t="shared" si="202"/>
        <v>5.6098072656624004E-2</v>
      </c>
      <c r="DA177" s="753">
        <f t="shared" si="202"/>
        <v>5.6053268753812065E-2</v>
      </c>
      <c r="DB177" s="696"/>
      <c r="DC177" s="729">
        <f>AG177</f>
        <v>0</v>
      </c>
      <c r="DD177" s="729">
        <f>AS177</f>
        <v>0.16767760644400051</v>
      </c>
      <c r="DE177" s="729">
        <f>BE177</f>
        <v>3.181853103605508E-2</v>
      </c>
      <c r="DF177" s="729">
        <f>BQ177</f>
        <v>7.2044539349662734E-2</v>
      </c>
      <c r="DG177" s="729">
        <f>CC177</f>
        <v>7.2948645074392929E-2</v>
      </c>
      <c r="DH177" s="729">
        <f>CO177</f>
        <v>5.8850283304126207E-2</v>
      </c>
      <c r="DI177" s="729">
        <f t="shared" si="200"/>
        <v>5.6053268753812065E-2</v>
      </c>
    </row>
    <row r="178" spans="2:113" outlineLevel="2">
      <c r="B178" s="758"/>
      <c r="E178" s="230" t="s">
        <v>813</v>
      </c>
      <c r="F178" s="230"/>
      <c r="I178" s="609" t="s">
        <v>812</v>
      </c>
      <c r="O178" s="696"/>
      <c r="P178" s="696"/>
      <c r="Q178" s="696"/>
      <c r="R178" s="696"/>
      <c r="S178" s="696"/>
      <c r="T178" s="696"/>
      <c r="U178" s="696"/>
      <c r="V178" s="696"/>
      <c r="W178" s="696"/>
      <c r="AA178" s="696"/>
      <c r="AB178" s="696"/>
      <c r="AC178" s="696"/>
      <c r="AD178" s="696"/>
      <c r="AE178" s="696"/>
      <c r="AF178" s="696"/>
      <c r="AG178" s="696"/>
      <c r="AH178" s="696"/>
      <c r="AI178" s="696"/>
      <c r="AJ178" s="696"/>
      <c r="AK178" s="753">
        <f t="shared" ref="AK178:CV178" si="203">AK176/AK145</f>
        <v>0</v>
      </c>
      <c r="AL178" s="753">
        <f t="shared" si="203"/>
        <v>2.543622470653735E-2</v>
      </c>
      <c r="AM178" s="753">
        <f t="shared" si="203"/>
        <v>3.2125179080654161E-2</v>
      </c>
      <c r="AN178" s="753">
        <f t="shared" si="203"/>
        <v>7.6281678266553909E-2</v>
      </c>
      <c r="AO178" s="753">
        <f t="shared" si="203"/>
        <v>0.16663804134761731</v>
      </c>
      <c r="AP178" s="753">
        <f t="shared" si="203"/>
        <v>0.28977198858156522</v>
      </c>
      <c r="AQ178" s="753">
        <f t="shared" si="203"/>
        <v>0.34158380505994784</v>
      </c>
      <c r="AR178" s="753">
        <f t="shared" si="203"/>
        <v>0.30621894386666276</v>
      </c>
      <c r="AS178" s="753">
        <f t="shared" si="203"/>
        <v>0.27707716861350973</v>
      </c>
      <c r="AT178" s="753">
        <f t="shared" si="203"/>
        <v>0.23181247186040499</v>
      </c>
      <c r="AU178" s="753">
        <f t="shared" si="203"/>
        <v>0.20942660060863016</v>
      </c>
      <c r="AV178" s="753">
        <f t="shared" si="203"/>
        <v>0.16127423249108006</v>
      </c>
      <c r="AW178" s="753">
        <f t="shared" si="203"/>
        <v>0.12742886288628968</v>
      </c>
      <c r="AX178" s="753">
        <f t="shared" si="203"/>
        <v>0.11279134396570524</v>
      </c>
      <c r="AY178" s="753">
        <f t="shared" si="203"/>
        <v>0.10665010027588635</v>
      </c>
      <c r="AZ178" s="753">
        <f t="shared" si="203"/>
        <v>0.10434483446415609</v>
      </c>
      <c r="BA178" s="753">
        <f t="shared" si="203"/>
        <v>0.10434014389384978</v>
      </c>
      <c r="BB178" s="753">
        <f t="shared" si="203"/>
        <v>0.10541264363446336</v>
      </c>
      <c r="BC178" s="753">
        <f t="shared" si="203"/>
        <v>0.10707432164184931</v>
      </c>
      <c r="BD178" s="753">
        <f t="shared" si="203"/>
        <v>0.10938098929562584</v>
      </c>
      <c r="BE178" s="753">
        <f t="shared" si="203"/>
        <v>0.10787590351023485</v>
      </c>
      <c r="BF178" s="753">
        <f t="shared" si="203"/>
        <v>0.11152084694260903</v>
      </c>
      <c r="BG178" s="753">
        <f t="shared" si="203"/>
        <v>0.11685235997394133</v>
      </c>
      <c r="BH178" s="753">
        <f t="shared" si="203"/>
        <v>0.12257026521778143</v>
      </c>
      <c r="BI178" s="753">
        <f t="shared" si="203"/>
        <v>0.12824299126478553</v>
      </c>
      <c r="BJ178" s="753">
        <f t="shared" si="203"/>
        <v>0.13347678510413205</v>
      </c>
      <c r="BK178" s="753">
        <f t="shared" si="203"/>
        <v>0.13844271000605296</v>
      </c>
      <c r="BL178" s="753">
        <f t="shared" si="203"/>
        <v>0.1430081570019503</v>
      </c>
      <c r="BM178" s="753">
        <f t="shared" si="203"/>
        <v>0.14663432947093308</v>
      </c>
      <c r="BN178" s="753">
        <f t="shared" si="203"/>
        <v>0.14956016866910166</v>
      </c>
      <c r="BO178" s="753">
        <f t="shared" si="203"/>
        <v>0.15193704134722591</v>
      </c>
      <c r="BP178" s="753">
        <f t="shared" si="203"/>
        <v>0.15384979159408044</v>
      </c>
      <c r="BQ178" s="753">
        <f t="shared" si="203"/>
        <v>0.15534642950438732</v>
      </c>
      <c r="BR178" s="753">
        <f t="shared" si="203"/>
        <v>0.15662888467483643</v>
      </c>
      <c r="BS178" s="753">
        <f t="shared" si="203"/>
        <v>0.1571458777781623</v>
      </c>
      <c r="BT178" s="753">
        <f t="shared" si="203"/>
        <v>0.15713768775800047</v>
      </c>
      <c r="BU178" s="753">
        <f t="shared" si="203"/>
        <v>0.1568015304747038</v>
      </c>
      <c r="BV178" s="753">
        <f t="shared" si="203"/>
        <v>0.15631824757516849</v>
      </c>
      <c r="BW178" s="753">
        <f t="shared" si="203"/>
        <v>0.15586046745057183</v>
      </c>
      <c r="BX178" s="753">
        <f t="shared" si="203"/>
        <v>0.1555986856453431</v>
      </c>
      <c r="BY178" s="753">
        <f t="shared" si="203"/>
        <v>0.15534555723097068</v>
      </c>
      <c r="BZ178" s="753">
        <f t="shared" si="203"/>
        <v>0.15518786188209471</v>
      </c>
      <c r="CA178" s="753">
        <f t="shared" si="203"/>
        <v>0.15514215033740977</v>
      </c>
      <c r="CB178" s="753">
        <f t="shared" si="203"/>
        <v>0.15523112073541206</v>
      </c>
      <c r="CC178" s="753">
        <f t="shared" si="203"/>
        <v>0.15548306330632733</v>
      </c>
      <c r="CD178" s="753">
        <f t="shared" si="203"/>
        <v>0.15485698770846504</v>
      </c>
      <c r="CE178" s="753">
        <f t="shared" si="203"/>
        <v>0.15363578393242783</v>
      </c>
      <c r="CF178" s="753">
        <f t="shared" si="203"/>
        <v>0.15196473950764991</v>
      </c>
      <c r="CG178" s="753">
        <f t="shared" si="203"/>
        <v>0.14997913313534869</v>
      </c>
      <c r="CH178" s="753">
        <f t="shared" si="203"/>
        <v>0.14781049454031744</v>
      </c>
      <c r="CI178" s="753">
        <f t="shared" si="203"/>
        <v>0.14558922001329616</v>
      </c>
      <c r="CJ178" s="753">
        <f t="shared" si="203"/>
        <v>0.14344530666354205</v>
      </c>
      <c r="CK178" s="753">
        <f t="shared" si="203"/>
        <v>0.14150855826486258</v>
      </c>
      <c r="CL178" s="753">
        <f t="shared" si="203"/>
        <v>0.13979317481941284</v>
      </c>
      <c r="CM178" s="753">
        <f t="shared" si="203"/>
        <v>0.13831806635423255</v>
      </c>
      <c r="CN178" s="753">
        <f t="shared" si="203"/>
        <v>0.13709733501670673</v>
      </c>
      <c r="CO178" s="753">
        <f t="shared" si="203"/>
        <v>0.13614023900016273</v>
      </c>
      <c r="CP178" s="753">
        <f t="shared" si="203"/>
        <v>0.13534752527391508</v>
      </c>
      <c r="CQ178" s="753">
        <f t="shared" si="203"/>
        <v>0.13476221286888421</v>
      </c>
      <c r="CR178" s="753">
        <f t="shared" si="203"/>
        <v>0.13432203001554047</v>
      </c>
      <c r="CS178" s="753">
        <f t="shared" si="203"/>
        <v>0.13398378047578352</v>
      </c>
      <c r="CT178" s="753">
        <f t="shared" si="203"/>
        <v>0.13371661371650981</v>
      </c>
      <c r="CU178" s="753">
        <f t="shared" si="203"/>
        <v>0.13349950454305534</v>
      </c>
      <c r="CV178" s="753">
        <f t="shared" si="203"/>
        <v>0.13331985157008983</v>
      </c>
      <c r="CW178" s="753">
        <f t="shared" ref="CW178:DA178" si="204">CW176/CW145</f>
        <v>0.13317280218149347</v>
      </c>
      <c r="CX178" s="753">
        <f t="shared" si="204"/>
        <v>0.13305047596213546</v>
      </c>
      <c r="CY178" s="753">
        <f t="shared" si="204"/>
        <v>0.13295348149112013</v>
      </c>
      <c r="CZ178" s="753">
        <f t="shared" si="204"/>
        <v>0.13288182057622652</v>
      </c>
      <c r="DA178" s="753">
        <f t="shared" si="204"/>
        <v>0.13283519032740124</v>
      </c>
      <c r="DB178" s="696"/>
      <c r="DC178" s="729">
        <f>AG178</f>
        <v>0</v>
      </c>
      <c r="DD178" s="729">
        <f>AS178</f>
        <v>0.27707716861350973</v>
      </c>
      <c r="DE178" s="729">
        <f>BE178</f>
        <v>0.10787590351023485</v>
      </c>
      <c r="DF178" s="729">
        <f>BQ178</f>
        <v>0.15534642950438732</v>
      </c>
      <c r="DG178" s="729">
        <f>CC178</f>
        <v>0.15548306330632733</v>
      </c>
      <c r="DH178" s="729">
        <f>CO178</f>
        <v>0.13614023900016273</v>
      </c>
      <c r="DI178" s="729">
        <f t="shared" si="200"/>
        <v>0.13283519032740124</v>
      </c>
    </row>
    <row r="179" spans="2:113" outlineLevel="2">
      <c r="B179" s="758"/>
      <c r="E179" s="230" t="s">
        <v>814</v>
      </c>
      <c r="F179" s="229"/>
      <c r="I179" s="609" t="s">
        <v>812</v>
      </c>
      <c r="O179" s="696"/>
      <c r="P179" s="696"/>
      <c r="Q179" s="696"/>
      <c r="R179" s="696"/>
      <c r="S179" s="696"/>
      <c r="T179" s="696"/>
      <c r="U179" s="696"/>
      <c r="V179" s="696"/>
      <c r="W179" s="696"/>
      <c r="AA179" s="696"/>
      <c r="AB179" s="696"/>
      <c r="AC179" s="696"/>
      <c r="AD179" s="696"/>
      <c r="AE179" s="696"/>
      <c r="AF179" s="696"/>
      <c r="AG179" s="696"/>
      <c r="AH179" s="696"/>
      <c r="AI179" s="696"/>
      <c r="AJ179" s="696"/>
      <c r="AK179" s="756">
        <f t="shared" ref="AK179:AS179" si="205">AJ179+AK161</f>
        <v>0</v>
      </c>
      <c r="AL179" s="756">
        <f t="shared" si="205"/>
        <v>-3.2950750000000001E-2</v>
      </c>
      <c r="AM179" s="756">
        <f t="shared" si="205"/>
        <v>-0.13403916799999999</v>
      </c>
      <c r="AN179" s="756">
        <f t="shared" si="205"/>
        <v>-1.135163226</v>
      </c>
      <c r="AO179" s="756">
        <f t="shared" si="205"/>
        <v>-2.6622060859999999</v>
      </c>
      <c r="AP179" s="756">
        <f t="shared" si="205"/>
        <v>-3.5653762169999998</v>
      </c>
      <c r="AQ179" s="756">
        <f t="shared" si="205"/>
        <v>-4.480907000664442</v>
      </c>
      <c r="AR179" s="756">
        <f t="shared" si="205"/>
        <v>-6.0039051275544004</v>
      </c>
      <c r="AS179" s="756">
        <f t="shared" si="205"/>
        <v>-7.20291952762798</v>
      </c>
      <c r="AT179" s="756">
        <f>AT161</f>
        <v>-2.3013343223869152</v>
      </c>
      <c r="AU179" s="756">
        <f t="shared" ref="AU179:BE179" si="206">AT179+AU161</f>
        <v>-7.6450713244291872</v>
      </c>
      <c r="AV179" s="756">
        <f t="shared" si="206"/>
        <v>-14.704112271966796</v>
      </c>
      <c r="AW179" s="756">
        <f t="shared" si="206"/>
        <v>-19.805509419177604</v>
      </c>
      <c r="AX179" s="756">
        <f t="shared" si="206"/>
        <v>-23.401166066132028</v>
      </c>
      <c r="AY179" s="756">
        <f t="shared" si="206"/>
        <v>-26.771833897030447</v>
      </c>
      <c r="AZ179" s="756">
        <f t="shared" si="206"/>
        <v>-30.4962269999399</v>
      </c>
      <c r="BA179" s="756">
        <f t="shared" si="206"/>
        <v>-34.825552428374145</v>
      </c>
      <c r="BB179" s="756">
        <f t="shared" si="206"/>
        <v>-39.896265561021643</v>
      </c>
      <c r="BC179" s="756">
        <f t="shared" si="206"/>
        <v>-45.733584989061406</v>
      </c>
      <c r="BD179" s="756">
        <f t="shared" si="206"/>
        <v>-52.583186545989996</v>
      </c>
      <c r="BE179" s="756">
        <f t="shared" si="206"/>
        <v>-61.018047051198856</v>
      </c>
      <c r="BF179" s="756">
        <f>BF161</f>
        <v>-9.8080228968970058</v>
      </c>
      <c r="BG179" s="756">
        <f t="shared" ref="BG179:BQ179" si="207">BF179+BG161</f>
        <v>-21.080228962607215</v>
      </c>
      <c r="BH179" s="756">
        <f t="shared" si="207"/>
        <v>-33.917507567900103</v>
      </c>
      <c r="BI179" s="756">
        <f t="shared" si="207"/>
        <v>-48.548094320837365</v>
      </c>
      <c r="BJ179" s="756">
        <f t="shared" si="207"/>
        <v>-64.928420403171131</v>
      </c>
      <c r="BK179" s="756">
        <f t="shared" si="207"/>
        <v>-83.009261588806339</v>
      </c>
      <c r="BL179" s="756">
        <f t="shared" si="207"/>
        <v>-102.98957036864257</v>
      </c>
      <c r="BM179" s="756">
        <f t="shared" si="207"/>
        <v>-125.01113984915996</v>
      </c>
      <c r="BN179" s="756">
        <f t="shared" si="207"/>
        <v>-148.48437602391658</v>
      </c>
      <c r="BO179" s="756">
        <f t="shared" si="207"/>
        <v>-172.89708362751782</v>
      </c>
      <c r="BP179" s="756">
        <f t="shared" si="207"/>
        <v>-197.8113175217114</v>
      </c>
      <c r="BQ179" s="756">
        <f t="shared" si="207"/>
        <v>-222.85438155811215</v>
      </c>
      <c r="BR179" s="756">
        <f>BR161</f>
        <v>-24.942819370670918</v>
      </c>
      <c r="BS179" s="756">
        <f t="shared" ref="BS179:CC179" si="208">BR179+BS161</f>
        <v>-49.501162862948512</v>
      </c>
      <c r="BT179" s="756">
        <f t="shared" si="208"/>
        <v>-73.415447312127299</v>
      </c>
      <c r="BU179" s="756">
        <f t="shared" si="208"/>
        <v>-96.547556230134475</v>
      </c>
      <c r="BV179" s="756">
        <f t="shared" si="208"/>
        <v>-118.72365565297991</v>
      </c>
      <c r="BW179" s="756">
        <f t="shared" si="208"/>
        <v>-139.82595445241017</v>
      </c>
      <c r="BX179" s="756">
        <f t="shared" si="208"/>
        <v>-159.90197857330216</v>
      </c>
      <c r="BY179" s="756">
        <f t="shared" si="208"/>
        <v>-179.12001804273916</v>
      </c>
      <c r="BZ179" s="756">
        <f t="shared" si="208"/>
        <v>-197.49183923339982</v>
      </c>
      <c r="CA179" s="756">
        <f t="shared" si="208"/>
        <v>-215.07072228648875</v>
      </c>
      <c r="CB179" s="756">
        <f t="shared" si="208"/>
        <v>-231.90238831831883</v>
      </c>
      <c r="CC179" s="756">
        <f t="shared" si="208"/>
        <v>-248.02633052514912</v>
      </c>
      <c r="CD179" s="756">
        <f>CD161</f>
        <v>-15.495009829200171</v>
      </c>
      <c r="CE179" s="756">
        <f t="shared" ref="CE179:CO179" si="209">CD179+CE161</f>
        <v>-30.398375362133606</v>
      </c>
      <c r="CF179" s="756">
        <f t="shared" si="209"/>
        <v>-44.740579272769011</v>
      </c>
      <c r="CG179" s="756">
        <f t="shared" si="209"/>
        <v>-58.545527615966733</v>
      </c>
      <c r="CH179" s="756">
        <f t="shared" si="209"/>
        <v>-71.847959806711827</v>
      </c>
      <c r="CI179" s="756">
        <f t="shared" si="209"/>
        <v>-84.673083433288795</v>
      </c>
      <c r="CJ179" s="756">
        <f t="shared" si="209"/>
        <v>-97.039374068002303</v>
      </c>
      <c r="CK179" s="756">
        <f t="shared" si="209"/>
        <v>-108.98881539137722</v>
      </c>
      <c r="CL179" s="756">
        <f t="shared" si="209"/>
        <v>-120.60231241266258</v>
      </c>
      <c r="CM179" s="756">
        <f t="shared" si="209"/>
        <v>-131.94872898609316</v>
      </c>
      <c r="CN179" s="756">
        <f t="shared" si="209"/>
        <v>-143.08931589472829</v>
      </c>
      <c r="CO179" s="756">
        <f t="shared" si="209"/>
        <v>-154.07818446216331</v>
      </c>
      <c r="CP179" s="756">
        <f>CP161</f>
        <v>-10.888894046748192</v>
      </c>
      <c r="CQ179" s="756">
        <f t="shared" ref="CQ179:DA179" si="210">CP179+CQ161</f>
        <v>-21.719192038324717</v>
      </c>
      <c r="CR179" s="756">
        <f t="shared" si="210"/>
        <v>-32.528950337757351</v>
      </c>
      <c r="CS179" s="756">
        <f t="shared" si="210"/>
        <v>-43.350320603181217</v>
      </c>
      <c r="CT179" s="756">
        <f t="shared" si="210"/>
        <v>-54.210913351038471</v>
      </c>
      <c r="CU179" s="756">
        <f t="shared" si="210"/>
        <v>-65.13144675756935</v>
      </c>
      <c r="CV179" s="756">
        <f t="shared" si="210"/>
        <v>-76.127148144901909</v>
      </c>
      <c r="CW179" s="756">
        <f t="shared" si="210"/>
        <v>-87.210403616932439</v>
      </c>
      <c r="CX179" s="756">
        <f t="shared" si="210"/>
        <v>-98.392060211569643</v>
      </c>
      <c r="CY179" s="756">
        <f t="shared" si="210"/>
        <v>-109.67853601052182</v>
      </c>
      <c r="CZ179" s="756">
        <f t="shared" si="210"/>
        <v>-121.07592800463065</v>
      </c>
      <c r="DA179" s="756">
        <f t="shared" si="210"/>
        <v>-132.58985660291799</v>
      </c>
      <c r="DB179" s="696"/>
      <c r="DC179" s="729"/>
      <c r="DD179" s="729"/>
      <c r="DE179" s="729"/>
      <c r="DF179" s="729"/>
      <c r="DG179" s="729"/>
      <c r="DH179" s="729"/>
      <c r="DI179" s="12">
        <f t="shared" si="200"/>
        <v>-132.58985660291799</v>
      </c>
    </row>
    <row r="180" spans="2:113" outlineLevel="2">
      <c r="B180" s="758"/>
      <c r="E180" s="230" t="s">
        <v>815</v>
      </c>
      <c r="F180" s="229"/>
      <c r="I180" s="609" t="s">
        <v>812</v>
      </c>
      <c r="O180" s="696"/>
      <c r="P180" s="696"/>
      <c r="Q180" s="696"/>
      <c r="R180" s="696"/>
      <c r="S180" s="696"/>
      <c r="T180" s="696"/>
      <c r="U180" s="696"/>
      <c r="V180" s="696"/>
      <c r="W180" s="696"/>
      <c r="AA180" s="696"/>
      <c r="AB180" s="696"/>
      <c r="AC180" s="696"/>
      <c r="AD180" s="696"/>
      <c r="AE180" s="696"/>
      <c r="AF180" s="696"/>
      <c r="AG180" s="696"/>
      <c r="AH180" s="696"/>
      <c r="AI180" s="696"/>
      <c r="AJ180" s="696"/>
      <c r="AK180" s="753">
        <f>AK179/AVERAGE($AJ145:AK145)</f>
        <v>0</v>
      </c>
      <c r="AL180" s="753">
        <f>AL179/AVERAGE($AJ145:AL145)</f>
        <v>-8.2493671241175223E-3</v>
      </c>
      <c r="AM180" s="753">
        <f>AM179/AVERAGE($AJ145:AM145)</f>
        <v>-1.1009674339360044E-2</v>
      </c>
      <c r="AN180" s="753">
        <f>AN179/AVERAGE($AJ145:AN145)</f>
        <v>-4.0387153559693641E-2</v>
      </c>
      <c r="AO180" s="753">
        <f>AO179/AVERAGE($AJ145:AO145)</f>
        <v>-6.2987493691541468E-2</v>
      </c>
      <c r="AP180" s="753">
        <f>AP179/AVERAGE($AJ145:AP145)</f>
        <v>-7.0142713766474268E-2</v>
      </c>
      <c r="AQ180" s="753">
        <f>AQ179/AVERAGE($AJ145:AQ145)</f>
        <v>-7.9432046335262504E-2</v>
      </c>
      <c r="AR180" s="753">
        <f>AR179/AVERAGE($AJ145:AR145)</f>
        <v>-9.7686265809556236E-2</v>
      </c>
      <c r="AS180" s="753">
        <f>AS179/AVERAGE($AJ145:AS145)</f>
        <v>-0.10815458882163467</v>
      </c>
      <c r="AT180" s="753">
        <f>AT179/AVERAGE($AS145:AT145)</f>
        <v>-1.9173461088320885E-2</v>
      </c>
      <c r="AU180" s="753">
        <f>AU179/AVERAGE($AS145:AU145)</f>
        <v>-5.9747560191473315E-2</v>
      </c>
      <c r="AV180" s="753">
        <f>AV179/AVERAGE($AS145:AV145)</f>
        <v>-0.10777876876515287</v>
      </c>
      <c r="AW180" s="753">
        <f>AW179/AVERAGE($AS145:AW145)</f>
        <v>-0.13337616380488446</v>
      </c>
      <c r="AX180" s="753">
        <f>AX179/AVERAGE($AS145:AX145)</f>
        <v>-0.14176619112852432</v>
      </c>
      <c r="AY180" s="753">
        <f>AY179/AVERAGE($AS145:AY145)</f>
        <v>-0.14380363580706135</v>
      </c>
      <c r="AZ180" s="753">
        <f>AZ179/AVERAGE($AS145:AZ145)</f>
        <v>-0.14413788700574315</v>
      </c>
      <c r="BA180" s="753">
        <f>BA179/AVERAGE($AS145:BA145)</f>
        <v>-0.14448618599260196</v>
      </c>
      <c r="BB180" s="753">
        <f>BB179/AVERAGE($AS145:BB145)</f>
        <v>-0.14548299560839548</v>
      </c>
      <c r="BC180" s="753">
        <f>BC179/AVERAGE($AS145:BC145)</f>
        <v>-0.14699085329510952</v>
      </c>
      <c r="BD180" s="753">
        <f>BD179/AVERAGE($AS145:BD145)</f>
        <v>-0.14965124723855885</v>
      </c>
      <c r="BE180" s="753">
        <f>BE179/AVERAGE($AS145:BE145)</f>
        <v>-0.15364799748692407</v>
      </c>
      <c r="BF180" s="753">
        <f>BF179/AVERAGE($BE145:BF145)</f>
        <v>-9.7043807785276767E-3</v>
      </c>
      <c r="BG180" s="753">
        <f>BG179/AVERAGE($BE145:BG145)</f>
        <v>-1.9745118020971179E-2</v>
      </c>
      <c r="BH180" s="753">
        <f>BH179/AVERAGE($BE145:BH145)</f>
        <v>-3.0353111846133974E-2</v>
      </c>
      <c r="BI180" s="753">
        <f>BI179/AVERAGE($BE145:BI145)</f>
        <v>-4.1841549139805839E-2</v>
      </c>
      <c r="BJ180" s="753">
        <f>BJ179/AVERAGE($BE145:BJ145)</f>
        <v>-5.4256608659070067E-2</v>
      </c>
      <c r="BK180" s="753">
        <f>BK179/AVERAGE($BE145:BK145)</f>
        <v>-6.7671317306053608E-2</v>
      </c>
      <c r="BL180" s="753">
        <f>BL179/AVERAGE($BE145:BL145)</f>
        <v>-8.2367325398104527E-2</v>
      </c>
      <c r="BM180" s="753">
        <f>BM179/AVERAGE($BE145:BM145)</f>
        <v>-9.8585400913842283E-2</v>
      </c>
      <c r="BN180" s="753">
        <f>BN179/AVERAGE($BE145:BN145)</f>
        <v>-0.11600018998883936</v>
      </c>
      <c r="BO180" s="753">
        <f>BO179/AVERAGE($BE145:BO145)</f>
        <v>-0.13436817138191012</v>
      </c>
      <c r="BP180" s="753">
        <f>BP179/AVERAGE($BE145:BP145)</f>
        <v>-0.15350632826339536</v>
      </c>
      <c r="BQ180" s="753">
        <f>BQ179/AVERAGE($BE145:BQ145)</f>
        <v>-0.17327218537483796</v>
      </c>
      <c r="BR180" s="753">
        <f>BR179/AVERAGE($BQ145:BR145)</f>
        <v>-2.0293109776424293E-2</v>
      </c>
      <c r="BS180" s="753">
        <f>BS179/AVERAGE($BQ145:BS145)</f>
        <v>-4.1160145483443517E-2</v>
      </c>
      <c r="BT180" s="753">
        <f>BT179/AVERAGE($BQ145:BT145)</f>
        <v>-6.2370865781570979E-2</v>
      </c>
      <c r="BU180" s="753">
        <f>BU179/AVERAGE($BQ145:BU145)</f>
        <v>-8.377942153302971E-2</v>
      </c>
      <c r="BV180" s="753">
        <f>BV179/AVERAGE($BQ145:BV145)</f>
        <v>-0.1051960120360742</v>
      </c>
      <c r="BW180" s="753">
        <f>BW179/AVERAGE($BQ145:BW145)</f>
        <v>-0.12646680720723441</v>
      </c>
      <c r="BX180" s="753">
        <f>BX179/AVERAGE($BQ145:BX145)</f>
        <v>-0.14758038302925658</v>
      </c>
      <c r="BY180" s="753">
        <f>BY179/AVERAGE($BQ145:BY145)</f>
        <v>-0.16864809669965791</v>
      </c>
      <c r="BZ180" s="753">
        <f>BZ179/AVERAGE($BQ145:BZ145)</f>
        <v>-0.18964551238642166</v>
      </c>
      <c r="CA180" s="753">
        <f>CA179/AVERAGE($BQ145:CA145)</f>
        <v>-0.21059359662075175</v>
      </c>
      <c r="CB180" s="753">
        <f>CB179/AVERAGE($BQ145:CB145)</f>
        <v>-0.23151437906566358</v>
      </c>
      <c r="CC180" s="753">
        <f>CC179/AVERAGE($BQ145:CC145)</f>
        <v>-0.25243239702538467</v>
      </c>
      <c r="CD180" s="753">
        <f>CD179/AVERAGE($CC145:CD145)</f>
        <v>-2.0968446659638911E-2</v>
      </c>
      <c r="CE180" s="753">
        <f>CE179/AVERAGE($CC145:CE145)</f>
        <v>-4.1843732446043308E-2</v>
      </c>
      <c r="CF180" s="753">
        <f>CF179/AVERAGE($CC145:CF145)</f>
        <v>-6.2538050581545351E-2</v>
      </c>
      <c r="CG180" s="753">
        <f>CG179/AVERAGE($CC145:CG145)</f>
        <v>-8.2960302020937696E-2</v>
      </c>
      <c r="CH180" s="753">
        <f>CH179/AVERAGE($CC145:CH145)</f>
        <v>-0.10304211807189766</v>
      </c>
      <c r="CI180" s="753">
        <f>CI179/AVERAGE($CC145:CI145)</f>
        <v>-0.12271076652784416</v>
      </c>
      <c r="CJ180" s="753">
        <f>CJ179/AVERAGE($CC145:CJ145)</f>
        <v>-0.14189379041507372</v>
      </c>
      <c r="CK180" s="753">
        <f>CK179/AVERAGE($CC145:CK145)</f>
        <v>-0.16056428828252406</v>
      </c>
      <c r="CL180" s="753">
        <f>CL179/AVERAGE($CC145:CL145)</f>
        <v>-0.17876791647062565</v>
      </c>
      <c r="CM180" s="753">
        <f>CM179/AVERAGE($CC145:CM145)</f>
        <v>-0.19654858766994213</v>
      </c>
      <c r="CN180" s="753">
        <f>CN179/AVERAGE($CC145:CN145)</f>
        <v>-0.2139541016133395</v>
      </c>
      <c r="CO180" s="753">
        <f>CO179/AVERAGE($CC145:CO145)</f>
        <v>-0.23103608893973832</v>
      </c>
      <c r="CP180" s="753">
        <f>CP179/AVERAGE($CO145:CP145)</f>
        <v>-1.6841161806880452E-2</v>
      </c>
      <c r="CQ180" s="753">
        <f>CQ179/AVERAGE($CO145:CQ145)</f>
        <v>-3.346398887534336E-2</v>
      </c>
      <c r="CR180" s="753">
        <f>CR179/AVERAGE($CO145:CR145)</f>
        <v>-4.9915515135756545E-2</v>
      </c>
      <c r="CS180" s="753">
        <f>CS179/AVERAGE($CO145:CS145)</f>
        <v>-6.6234634954972546E-2</v>
      </c>
      <c r="CT180" s="753">
        <f>CT179/AVERAGE($CO145:CT145)</f>
        <v>-8.2454175282397679E-2</v>
      </c>
      <c r="CU180" s="753">
        <f>CU179/AVERAGE($CO145:CU145)</f>
        <v>-9.8597307148217378E-2</v>
      </c>
      <c r="CV180" s="753">
        <f>CV179/AVERAGE($CO145:CV145)</f>
        <v>-0.11467972974142733</v>
      </c>
      <c r="CW180" s="753">
        <f>CW179/AVERAGE($CO145:CW145)</f>
        <v>-0.13071368084166016</v>
      </c>
      <c r="CX180" s="753">
        <f>CX179/AVERAGE($CO145:CX145)</f>
        <v>-0.14671000239049478</v>
      </c>
      <c r="CY180" s="753">
        <f>CY179/AVERAGE($CO145:CY145)</f>
        <v>-0.16267374857276953</v>
      </c>
      <c r="CZ180" s="753">
        <f>CZ179/AVERAGE($CO145:CZ145)</f>
        <v>-0.17861040390554139</v>
      </c>
      <c r="DA180" s="753">
        <f>DA179/AVERAGE($CO145:DA145)</f>
        <v>-0.19452565615135137</v>
      </c>
      <c r="DB180" s="696"/>
      <c r="DC180" s="729">
        <f>AG180</f>
        <v>0</v>
      </c>
      <c r="DD180" s="729">
        <f>AS180</f>
        <v>-0.10815458882163467</v>
      </c>
      <c r="DE180" s="729">
        <f>BE180</f>
        <v>-0.15364799748692407</v>
      </c>
      <c r="DF180" s="729">
        <f>BQ180</f>
        <v>-0.17327218537483796</v>
      </c>
      <c r="DG180" s="729">
        <f>CC180</f>
        <v>-0.25243239702538467</v>
      </c>
      <c r="DH180" s="729">
        <f>CO180</f>
        <v>-0.23103608893973832</v>
      </c>
      <c r="DI180" s="729">
        <f t="shared" si="200"/>
        <v>-0.19452565615135137</v>
      </c>
    </row>
    <row r="181" spans="2:113" outlineLevel="2">
      <c r="B181" s="704"/>
      <c r="E181" s="698"/>
      <c r="F181" s="698"/>
      <c r="O181" s="696"/>
      <c r="P181" s="696"/>
      <c r="Q181" s="696"/>
      <c r="R181" s="696"/>
      <c r="S181" s="696"/>
      <c r="T181" s="696"/>
      <c r="U181" s="696"/>
      <c r="V181" s="696"/>
      <c r="W181" s="696"/>
      <c r="AA181" s="696"/>
      <c r="AB181" s="696"/>
      <c r="AC181" s="696"/>
      <c r="AD181" s="696"/>
      <c r="AE181" s="696"/>
      <c r="AF181" s="696"/>
      <c r="AG181" s="696"/>
      <c r="AH181" s="696"/>
      <c r="AI181" s="696"/>
      <c r="AJ181" s="696"/>
      <c r="AK181" s="696"/>
      <c r="AL181" s="696"/>
      <c r="AM181" s="696"/>
      <c r="AN181" s="696"/>
      <c r="AO181" s="696"/>
      <c r="AP181" s="696"/>
      <c r="AQ181" s="696"/>
      <c r="AR181" s="696"/>
      <c r="AS181" s="696"/>
      <c r="AT181" s="696"/>
      <c r="AU181" s="696"/>
      <c r="AV181" s="696"/>
      <c r="AW181" s="696"/>
      <c r="AX181" s="696"/>
      <c r="AY181" s="696"/>
      <c r="AZ181" s="696"/>
      <c r="BA181" s="696"/>
      <c r="BB181" s="696"/>
      <c r="BC181" s="696"/>
      <c r="BD181" s="696"/>
      <c r="BE181" s="696"/>
      <c r="BF181" s="696"/>
      <c r="BG181" s="696"/>
      <c r="BH181" s="696"/>
      <c r="BI181" s="696"/>
      <c r="BJ181" s="696"/>
      <c r="BK181" s="696"/>
      <c r="BL181" s="696"/>
      <c r="BM181" s="696"/>
      <c r="BN181" s="696"/>
      <c r="BO181" s="696"/>
      <c r="BP181" s="696"/>
      <c r="BQ181" s="696"/>
      <c r="BR181" s="696"/>
      <c r="BS181" s="696"/>
      <c r="BT181" s="696"/>
      <c r="BU181" s="696"/>
      <c r="BV181" s="696"/>
      <c r="BW181" s="696"/>
      <c r="BX181" s="696"/>
      <c r="BY181" s="696"/>
      <c r="BZ181" s="696"/>
      <c r="CA181" s="696"/>
      <c r="CB181" s="696"/>
      <c r="CC181" s="696"/>
      <c r="CD181" s="696"/>
      <c r="CE181" s="696"/>
      <c r="CF181" s="696"/>
      <c r="CG181" s="696"/>
      <c r="CH181" s="696"/>
      <c r="CI181" s="696"/>
      <c r="CJ181" s="696"/>
      <c r="CK181" s="696"/>
      <c r="CL181" s="696"/>
      <c r="CM181" s="696"/>
      <c r="CN181" s="696"/>
      <c r="CO181" s="696"/>
      <c r="CP181" s="696"/>
      <c r="CQ181" s="696"/>
      <c r="CR181" s="696"/>
      <c r="CS181" s="696"/>
      <c r="CT181" s="696"/>
      <c r="CU181" s="696"/>
      <c r="CV181" s="696"/>
      <c r="CW181" s="696"/>
      <c r="CX181" s="696"/>
      <c r="CY181" s="696"/>
      <c r="CZ181" s="696"/>
      <c r="DA181" s="696"/>
      <c r="DB181" s="696"/>
      <c r="DC181" s="14"/>
      <c r="DD181" s="14"/>
      <c r="DE181" s="14"/>
      <c r="DF181" s="14"/>
      <c r="DG181" s="14"/>
      <c r="DH181" s="14"/>
    </row>
    <row r="182" spans="2:113" outlineLevel="1">
      <c r="E182" s="735" t="s">
        <v>829</v>
      </c>
      <c r="F182" s="734"/>
      <c r="G182" s="734"/>
      <c r="H182" s="736"/>
    </row>
    <row r="183" spans="2:113" s="12" customFormat="1" outlineLevel="2">
      <c r="B183" s="758"/>
      <c r="E183" s="14"/>
      <c r="F183" s="12" t="s">
        <v>822</v>
      </c>
      <c r="H183" s="865"/>
      <c r="I183" s="848" t="s">
        <v>743</v>
      </c>
      <c r="J183" s="865"/>
      <c r="K183" s="865"/>
      <c r="L183" s="865"/>
      <c r="M183" s="865"/>
      <c r="AB183" s="758"/>
      <c r="AC183" s="758"/>
      <c r="AD183" s="758"/>
      <c r="AE183" s="758"/>
      <c r="AF183" s="758"/>
      <c r="AG183" s="756"/>
      <c r="AH183" s="756"/>
      <c r="AI183" s="756"/>
      <c r="AJ183" s="756"/>
      <c r="AK183" s="756"/>
      <c r="AL183" s="756"/>
      <c r="AM183" s="721">
        <v>5.5339999999999998</v>
      </c>
      <c r="AN183" s="721">
        <v>9.1980000000000004</v>
      </c>
      <c r="AO183" s="721">
        <v>7.3879999999999999</v>
      </c>
      <c r="AP183" s="721">
        <v>7.8840000000000003</v>
      </c>
      <c r="AQ183" s="721">
        <v>10.577</v>
      </c>
      <c r="AR183" s="739">
        <v>13.299999999999999</v>
      </c>
      <c r="AS183" s="739">
        <v>15.428571428571429</v>
      </c>
      <c r="AT183" s="756">
        <v>16</v>
      </c>
      <c r="AU183" s="756">
        <v>11</v>
      </c>
      <c r="AV183" s="756">
        <v>15</v>
      </c>
      <c r="AW183" s="756">
        <f>AV183+0.7</f>
        <v>15.7</v>
      </c>
      <c r="AX183" s="756">
        <f t="shared" ref="AX183:BE183" si="211">AW183+0.7</f>
        <v>16.399999999999999</v>
      </c>
      <c r="AY183" s="756">
        <f t="shared" si="211"/>
        <v>17.099999999999998</v>
      </c>
      <c r="AZ183" s="756">
        <f t="shared" si="211"/>
        <v>17.799999999999997</v>
      </c>
      <c r="BA183" s="756">
        <f t="shared" si="211"/>
        <v>18.499999999999996</v>
      </c>
      <c r="BB183" s="756">
        <f t="shared" si="211"/>
        <v>19.199999999999996</v>
      </c>
      <c r="BC183" s="756">
        <f t="shared" si="211"/>
        <v>19.899999999999995</v>
      </c>
      <c r="BD183" s="756">
        <f t="shared" si="211"/>
        <v>20.599999999999994</v>
      </c>
      <c r="BE183" s="756">
        <f t="shared" si="211"/>
        <v>21.299999999999994</v>
      </c>
      <c r="BF183" s="739">
        <f t="shared" ref="BF183:BP183" si="212">BE183+($BQ183-$BE183)/12</f>
        <v>20.358333333333327</v>
      </c>
      <c r="BG183" s="739">
        <f t="shared" si="212"/>
        <v>19.416666666666661</v>
      </c>
      <c r="BH183" s="739">
        <f t="shared" si="212"/>
        <v>18.474999999999994</v>
      </c>
      <c r="BI183" s="739">
        <f t="shared" si="212"/>
        <v>17.533333333333328</v>
      </c>
      <c r="BJ183" s="739">
        <f t="shared" si="212"/>
        <v>16.591666666666661</v>
      </c>
      <c r="BK183" s="739">
        <f t="shared" si="212"/>
        <v>15.649999999999995</v>
      </c>
      <c r="BL183" s="739">
        <f t="shared" si="212"/>
        <v>14.708333333333329</v>
      </c>
      <c r="BM183" s="739">
        <f t="shared" si="212"/>
        <v>13.766666666666662</v>
      </c>
      <c r="BN183" s="739">
        <f t="shared" si="212"/>
        <v>12.824999999999996</v>
      </c>
      <c r="BO183" s="739">
        <f t="shared" si="212"/>
        <v>11.883333333333329</v>
      </c>
      <c r="BP183" s="739">
        <f t="shared" si="212"/>
        <v>10.941666666666663</v>
      </c>
      <c r="BQ183" s="738">
        <v>10</v>
      </c>
      <c r="BR183" s="739">
        <f t="shared" ref="BR183:CB183" si="213">BQ183+($CC183-$BQ183)/12</f>
        <v>11.5</v>
      </c>
      <c r="BS183" s="739">
        <f t="shared" si="213"/>
        <v>13</v>
      </c>
      <c r="BT183" s="739">
        <f t="shared" si="213"/>
        <v>14.5</v>
      </c>
      <c r="BU183" s="739">
        <f t="shared" si="213"/>
        <v>16</v>
      </c>
      <c r="BV183" s="739">
        <f t="shared" si="213"/>
        <v>17.5</v>
      </c>
      <c r="BW183" s="739">
        <f t="shared" si="213"/>
        <v>19</v>
      </c>
      <c r="BX183" s="739">
        <f t="shared" si="213"/>
        <v>20.5</v>
      </c>
      <c r="BY183" s="739">
        <f t="shared" si="213"/>
        <v>22</v>
      </c>
      <c r="BZ183" s="739">
        <f t="shared" si="213"/>
        <v>23.5</v>
      </c>
      <c r="CA183" s="739">
        <f t="shared" si="213"/>
        <v>25</v>
      </c>
      <c r="CB183" s="739">
        <f t="shared" si="213"/>
        <v>26.5</v>
      </c>
      <c r="CC183" s="738">
        <v>28</v>
      </c>
      <c r="CD183" s="739">
        <f t="shared" ref="CD183:CN183" si="214">CC183+($CO183-$CC183)/12</f>
        <v>28.333333333333332</v>
      </c>
      <c r="CE183" s="739">
        <f t="shared" si="214"/>
        <v>28.666666666666664</v>
      </c>
      <c r="CF183" s="739">
        <f t="shared" si="214"/>
        <v>28.999999999999996</v>
      </c>
      <c r="CG183" s="739">
        <f t="shared" si="214"/>
        <v>29.333333333333329</v>
      </c>
      <c r="CH183" s="739">
        <f t="shared" si="214"/>
        <v>29.666666666666661</v>
      </c>
      <c r="CI183" s="739">
        <f t="shared" si="214"/>
        <v>29.999999999999993</v>
      </c>
      <c r="CJ183" s="739">
        <f t="shared" si="214"/>
        <v>30.333333333333325</v>
      </c>
      <c r="CK183" s="739">
        <f t="shared" si="214"/>
        <v>30.666666666666657</v>
      </c>
      <c r="CL183" s="739">
        <f t="shared" si="214"/>
        <v>30.999999999999989</v>
      </c>
      <c r="CM183" s="739">
        <f t="shared" si="214"/>
        <v>31.333333333333321</v>
      </c>
      <c r="CN183" s="739">
        <f t="shared" si="214"/>
        <v>31.666666666666654</v>
      </c>
      <c r="CO183" s="738">
        <v>32</v>
      </c>
      <c r="CP183" s="710">
        <f>CO183+($DA183-$CO183)/12</f>
        <v>32.166666666666664</v>
      </c>
      <c r="CQ183" s="710">
        <f t="shared" ref="CQ183:CZ183" si="215">CP183+($DA183-$CO183)/12</f>
        <v>32.333333333333329</v>
      </c>
      <c r="CR183" s="710">
        <f t="shared" si="215"/>
        <v>32.499999999999993</v>
      </c>
      <c r="CS183" s="710">
        <f t="shared" si="215"/>
        <v>32.666666666666657</v>
      </c>
      <c r="CT183" s="710">
        <f t="shared" si="215"/>
        <v>32.833333333333321</v>
      </c>
      <c r="CU183" s="710">
        <f t="shared" si="215"/>
        <v>32.999999999999986</v>
      </c>
      <c r="CV183" s="710">
        <f t="shared" si="215"/>
        <v>33.16666666666665</v>
      </c>
      <c r="CW183" s="710">
        <f t="shared" si="215"/>
        <v>33.333333333333314</v>
      </c>
      <c r="CX183" s="710">
        <f t="shared" si="215"/>
        <v>33.499999999999979</v>
      </c>
      <c r="CY183" s="710">
        <f t="shared" si="215"/>
        <v>33.666666666666643</v>
      </c>
      <c r="CZ183" s="710">
        <f t="shared" si="215"/>
        <v>33.833333333333307</v>
      </c>
      <c r="DA183" s="738">
        <v>34</v>
      </c>
      <c r="DC183" s="12">
        <f>SUM(V183:AG183)</f>
        <v>0</v>
      </c>
      <c r="DD183" s="12">
        <f>SUM(AH183:AS183)</f>
        <v>69.309571428571417</v>
      </c>
      <c r="DE183" s="12">
        <f>SUM(AT183:BE183)</f>
        <v>208.49999999999997</v>
      </c>
      <c r="DF183" s="12">
        <f>SUM(BF183:BQ183)</f>
        <v>182.14999999999992</v>
      </c>
      <c r="DG183" s="12">
        <f>SUM(BR183:CC183)</f>
        <v>237</v>
      </c>
      <c r="DH183" s="12">
        <f>SUM(CD183:CO183)</f>
        <v>361.99999999999989</v>
      </c>
      <c r="DI183" s="12">
        <f>SUM(CP183:DA183)</f>
        <v>396.99999999999983</v>
      </c>
    </row>
    <row r="184" spans="2:113" s="12" customFormat="1" outlineLevel="2">
      <c r="B184" s="758"/>
      <c r="E184" s="14"/>
      <c r="F184" s="12" t="s">
        <v>823</v>
      </c>
      <c r="G184" s="126"/>
      <c r="H184" s="609"/>
      <c r="I184" s="848" t="s">
        <v>743</v>
      </c>
      <c r="J184" s="865"/>
      <c r="K184" s="865"/>
      <c r="L184" s="865"/>
      <c r="M184" s="865"/>
      <c r="AB184" s="758"/>
      <c r="AC184" s="758"/>
      <c r="AD184" s="758"/>
      <c r="AE184" s="758"/>
      <c r="AF184" s="758"/>
      <c r="AG184" s="756"/>
      <c r="AH184" s="756"/>
      <c r="AI184" s="756"/>
      <c r="AJ184" s="11"/>
      <c r="AK184" s="11"/>
      <c r="AL184" s="11"/>
      <c r="AM184" s="721">
        <v>5.4329999999999998</v>
      </c>
      <c r="AN184" s="721">
        <v>14.093999999999999</v>
      </c>
      <c r="AO184" s="721">
        <v>20.556000000000001</v>
      </c>
      <c r="AP184" s="721">
        <v>27.23</v>
      </c>
      <c r="AQ184" s="721">
        <v>35.97</v>
      </c>
      <c r="AR184" s="741">
        <f t="shared" ref="AR184:DA184" si="216">AQ184+AR183-AF183</f>
        <v>49.269999999999996</v>
      </c>
      <c r="AS184" s="741">
        <f t="shared" si="216"/>
        <v>64.698571428571427</v>
      </c>
      <c r="AT184" s="12">
        <f t="shared" si="216"/>
        <v>80.698571428571427</v>
      </c>
      <c r="AU184" s="12">
        <f t="shared" si="216"/>
        <v>91.698571428571427</v>
      </c>
      <c r="AV184" s="12">
        <f t="shared" si="216"/>
        <v>106.69857142857143</v>
      </c>
      <c r="AW184" s="12">
        <f t="shared" si="216"/>
        <v>122.39857142857143</v>
      </c>
      <c r="AX184" s="12">
        <f t="shared" si="216"/>
        <v>138.79857142857142</v>
      </c>
      <c r="AY184" s="12">
        <f t="shared" si="216"/>
        <v>150.36457142857142</v>
      </c>
      <c r="AZ184" s="12">
        <f t="shared" si="216"/>
        <v>158.96657142857143</v>
      </c>
      <c r="BA184" s="12">
        <f t="shared" si="216"/>
        <v>170.07857142857142</v>
      </c>
      <c r="BB184" s="12">
        <f t="shared" si="216"/>
        <v>181.3945714285714</v>
      </c>
      <c r="BC184" s="12">
        <f t="shared" si="216"/>
        <v>190.7175714285714</v>
      </c>
      <c r="BD184" s="12">
        <f t="shared" si="216"/>
        <v>198.01757142857139</v>
      </c>
      <c r="BE184" s="12">
        <f t="shared" si="216"/>
        <v>203.88899999999995</v>
      </c>
      <c r="BF184" s="741">
        <f t="shared" si="216"/>
        <v>208.24733333333327</v>
      </c>
      <c r="BG184" s="741">
        <f t="shared" si="216"/>
        <v>216.66399999999993</v>
      </c>
      <c r="BH184" s="741">
        <f t="shared" si="216"/>
        <v>220.13899999999992</v>
      </c>
      <c r="BI184" s="741">
        <f t="shared" si="216"/>
        <v>221.97233333333327</v>
      </c>
      <c r="BJ184" s="741">
        <f t="shared" si="216"/>
        <v>222.16399999999993</v>
      </c>
      <c r="BK184" s="741">
        <f t="shared" si="216"/>
        <v>220.71399999999994</v>
      </c>
      <c r="BL184" s="741">
        <f t="shared" si="216"/>
        <v>217.62233333333324</v>
      </c>
      <c r="BM184" s="741">
        <f t="shared" si="216"/>
        <v>212.8889999999999</v>
      </c>
      <c r="BN184" s="741">
        <f t="shared" si="216"/>
        <v>206.5139999999999</v>
      </c>
      <c r="BO184" s="741">
        <f t="shared" si="216"/>
        <v>198.49733333333322</v>
      </c>
      <c r="BP184" s="741">
        <f t="shared" si="216"/>
        <v>188.83899999999988</v>
      </c>
      <c r="BQ184" s="741">
        <f t="shared" si="216"/>
        <v>177.5389999999999</v>
      </c>
      <c r="BR184" s="741">
        <f t="shared" si="216"/>
        <v>168.68066666666658</v>
      </c>
      <c r="BS184" s="741">
        <f t="shared" si="216"/>
        <v>162.26399999999992</v>
      </c>
      <c r="BT184" s="741">
        <f t="shared" si="216"/>
        <v>158.28899999999993</v>
      </c>
      <c r="BU184" s="741">
        <f t="shared" si="216"/>
        <v>156.7556666666666</v>
      </c>
      <c r="BV184" s="741">
        <f t="shared" si="216"/>
        <v>157.66399999999993</v>
      </c>
      <c r="BW184" s="741">
        <f t="shared" si="216"/>
        <v>161.01399999999992</v>
      </c>
      <c r="BX184" s="741">
        <f t="shared" si="216"/>
        <v>166.80566666666658</v>
      </c>
      <c r="BY184" s="741">
        <f t="shared" si="216"/>
        <v>175.03899999999993</v>
      </c>
      <c r="BZ184" s="741">
        <f t="shared" si="216"/>
        <v>185.71399999999994</v>
      </c>
      <c r="CA184" s="741">
        <f t="shared" si="216"/>
        <v>198.83066666666662</v>
      </c>
      <c r="CB184" s="741">
        <f t="shared" si="216"/>
        <v>214.38899999999995</v>
      </c>
      <c r="CC184" s="741">
        <f t="shared" si="216"/>
        <v>232.38899999999995</v>
      </c>
      <c r="CD184" s="741">
        <f t="shared" si="216"/>
        <v>249.22233333333327</v>
      </c>
      <c r="CE184" s="741">
        <f t="shared" si="216"/>
        <v>264.88899999999995</v>
      </c>
      <c r="CF184" s="741">
        <f t="shared" si="216"/>
        <v>279.38899999999995</v>
      </c>
      <c r="CG184" s="741">
        <f t="shared" si="216"/>
        <v>292.72233333333327</v>
      </c>
      <c r="CH184" s="741">
        <f t="shared" si="216"/>
        <v>304.88899999999995</v>
      </c>
      <c r="CI184" s="741">
        <f t="shared" si="216"/>
        <v>315.88899999999995</v>
      </c>
      <c r="CJ184" s="741">
        <f t="shared" si="216"/>
        <v>325.72233333333327</v>
      </c>
      <c r="CK184" s="741">
        <f t="shared" si="216"/>
        <v>334.3889999999999</v>
      </c>
      <c r="CL184" s="741">
        <f t="shared" si="216"/>
        <v>341.8889999999999</v>
      </c>
      <c r="CM184" s="741">
        <f t="shared" si="216"/>
        <v>348.22233333333321</v>
      </c>
      <c r="CN184" s="741">
        <f t="shared" si="216"/>
        <v>353.38899999999984</v>
      </c>
      <c r="CO184" s="741">
        <f t="shared" si="216"/>
        <v>357.38899999999984</v>
      </c>
      <c r="CP184" s="741">
        <f t="shared" si="216"/>
        <v>361.22233333333321</v>
      </c>
      <c r="CQ184" s="741">
        <f t="shared" si="216"/>
        <v>364.88899999999984</v>
      </c>
      <c r="CR184" s="741">
        <f t="shared" si="216"/>
        <v>368.38899999999984</v>
      </c>
      <c r="CS184" s="741">
        <f t="shared" si="216"/>
        <v>371.72233333333321</v>
      </c>
      <c r="CT184" s="741">
        <f t="shared" si="216"/>
        <v>374.88899999999984</v>
      </c>
      <c r="CU184" s="741">
        <f t="shared" si="216"/>
        <v>377.88899999999984</v>
      </c>
      <c r="CV184" s="741">
        <f t="shared" si="216"/>
        <v>380.72233333333315</v>
      </c>
      <c r="CW184" s="741">
        <f t="shared" si="216"/>
        <v>383.38899999999978</v>
      </c>
      <c r="CX184" s="741">
        <f t="shared" si="216"/>
        <v>385.88899999999978</v>
      </c>
      <c r="CY184" s="741">
        <f t="shared" si="216"/>
        <v>388.2223333333331</v>
      </c>
      <c r="CZ184" s="741">
        <f t="shared" si="216"/>
        <v>390.38899999999978</v>
      </c>
      <c r="DA184" s="741">
        <f t="shared" si="216"/>
        <v>392.38899999999978</v>
      </c>
      <c r="DC184" s="11">
        <f>AG184</f>
        <v>0</v>
      </c>
      <c r="DD184" s="11">
        <f>AS184</f>
        <v>64.698571428571427</v>
      </c>
      <c r="DE184" s="11">
        <f>BE184</f>
        <v>203.88899999999995</v>
      </c>
      <c r="DF184" s="11">
        <f>BQ184</f>
        <v>177.5389999999999</v>
      </c>
      <c r="DG184" s="11">
        <f>CC184</f>
        <v>232.38899999999995</v>
      </c>
      <c r="DH184" s="11">
        <f>CO184</f>
        <v>357.38899999999984</v>
      </c>
      <c r="DI184" s="11">
        <f>DA184</f>
        <v>392.38899999999978</v>
      </c>
    </row>
    <row r="185" spans="2:113" s="12" customFormat="1" outlineLevel="2">
      <c r="B185" s="758"/>
      <c r="E185" s="14"/>
      <c r="F185" s="12" t="s">
        <v>795</v>
      </c>
      <c r="H185" s="865"/>
      <c r="I185" s="609" t="s">
        <v>736</v>
      </c>
      <c r="J185" s="865"/>
      <c r="K185" s="865"/>
      <c r="L185" s="865"/>
      <c r="M185" s="865"/>
      <c r="AB185" s="700"/>
      <c r="AC185" s="700"/>
      <c r="AD185" s="700"/>
      <c r="AE185" s="700"/>
      <c r="AF185" s="700"/>
      <c r="AG185" s="756"/>
      <c r="AH185" s="756"/>
      <c r="AI185" s="756"/>
      <c r="AJ185" s="756"/>
      <c r="AK185" s="756"/>
      <c r="AL185" s="756"/>
      <c r="AM185" s="721">
        <v>68.081339884000002</v>
      </c>
      <c r="AN185" s="721">
        <v>115.79019</v>
      </c>
      <c r="AO185" s="721">
        <v>68.357209999999995</v>
      </c>
      <c r="AP185" s="721">
        <v>76.705839999999995</v>
      </c>
      <c r="AQ185" s="721">
        <v>111.56516000000001</v>
      </c>
      <c r="AR185" s="738">
        <v>133</v>
      </c>
      <c r="AS185" s="738">
        <v>162</v>
      </c>
      <c r="AT185" s="756">
        <v>174</v>
      </c>
      <c r="AU185" s="756">
        <v>123.75</v>
      </c>
      <c r="AV185" s="756">
        <v>174.375</v>
      </c>
      <c r="AW185" s="756">
        <v>188.4</v>
      </c>
      <c r="AX185" s="756">
        <v>202.94999999999996</v>
      </c>
      <c r="AY185" s="756">
        <v>218.02499999999998</v>
      </c>
      <c r="AZ185" s="756">
        <v>233.62499999999997</v>
      </c>
      <c r="BA185" s="756">
        <v>249.74999999999994</v>
      </c>
      <c r="BB185" s="756">
        <v>266.39999999999992</v>
      </c>
      <c r="BC185" s="756">
        <v>283.57499999999993</v>
      </c>
      <c r="BD185" s="756">
        <v>301.27499999999992</v>
      </c>
      <c r="BE185" s="756">
        <v>319.49999999999989</v>
      </c>
      <c r="BF185" s="739">
        <v>305.37499999999989</v>
      </c>
      <c r="BG185" s="739">
        <v>291.24999999999989</v>
      </c>
      <c r="BH185" s="739">
        <v>277.12499999999994</v>
      </c>
      <c r="BI185" s="739">
        <v>262.99999999999994</v>
      </c>
      <c r="BJ185" s="739">
        <v>248.87499999999991</v>
      </c>
      <c r="BK185" s="739">
        <v>234.74999999999991</v>
      </c>
      <c r="BL185" s="739">
        <v>220.62499999999994</v>
      </c>
      <c r="BM185" s="739">
        <v>206.49999999999994</v>
      </c>
      <c r="BN185" s="739">
        <v>192.37499999999994</v>
      </c>
      <c r="BO185" s="739">
        <v>178.24999999999994</v>
      </c>
      <c r="BP185" s="739">
        <v>164.12499999999994</v>
      </c>
      <c r="BQ185" s="739">
        <v>150</v>
      </c>
      <c r="BR185" s="739">
        <v>172.5</v>
      </c>
      <c r="BS185" s="739">
        <v>195</v>
      </c>
      <c r="BT185" s="739">
        <v>217.5</v>
      </c>
      <c r="BU185" s="739">
        <v>240</v>
      </c>
      <c r="BV185" s="739">
        <v>262.5</v>
      </c>
      <c r="BW185" s="739">
        <v>285</v>
      </c>
      <c r="BX185" s="739">
        <v>307.5</v>
      </c>
      <c r="BY185" s="739">
        <v>330</v>
      </c>
      <c r="BZ185" s="739">
        <v>352.5</v>
      </c>
      <c r="CA185" s="739">
        <v>375</v>
      </c>
      <c r="CB185" s="739">
        <v>397.5</v>
      </c>
      <c r="CC185" s="739">
        <v>420</v>
      </c>
      <c r="CD185" s="739">
        <v>425</v>
      </c>
      <c r="CE185" s="739">
        <v>429.99999999999994</v>
      </c>
      <c r="CF185" s="739">
        <v>434.99999999999994</v>
      </c>
      <c r="CG185" s="739">
        <v>439.99999999999994</v>
      </c>
      <c r="CH185" s="739">
        <v>444.99999999999989</v>
      </c>
      <c r="CI185" s="739">
        <v>449.99999999999989</v>
      </c>
      <c r="CJ185" s="739">
        <v>454.99999999999989</v>
      </c>
      <c r="CK185" s="739">
        <v>459.99999999999989</v>
      </c>
      <c r="CL185" s="739">
        <v>464.99999999999983</v>
      </c>
      <c r="CM185" s="739">
        <v>469.99999999999983</v>
      </c>
      <c r="CN185" s="739">
        <v>474.99999999999983</v>
      </c>
      <c r="CO185" s="739">
        <v>480</v>
      </c>
      <c r="CP185" s="739">
        <v>482.49999999999994</v>
      </c>
      <c r="CQ185" s="739">
        <v>484.99999999999994</v>
      </c>
      <c r="CR185" s="739">
        <v>487.49999999999989</v>
      </c>
      <c r="CS185" s="739">
        <v>489.99999999999989</v>
      </c>
      <c r="CT185" s="739">
        <v>492.49999999999983</v>
      </c>
      <c r="CU185" s="739">
        <v>494.99999999999977</v>
      </c>
      <c r="CV185" s="739">
        <v>497.49999999999977</v>
      </c>
      <c r="CW185" s="739">
        <v>499.99999999999972</v>
      </c>
      <c r="CX185" s="739">
        <v>502.49999999999972</v>
      </c>
      <c r="CY185" s="739">
        <v>504.99999999999966</v>
      </c>
      <c r="CZ185" s="739">
        <v>507.4999999999996</v>
      </c>
      <c r="DA185" s="739">
        <v>510</v>
      </c>
      <c r="DC185" s="12">
        <f>SUM(V185:AG185)</f>
        <v>0</v>
      </c>
      <c r="DD185" s="12">
        <f>SUM(AH185:AS185)</f>
        <v>735.49973988399995</v>
      </c>
      <c r="DE185" s="12">
        <f>SUM(AT185:BE185)</f>
        <v>2735.625</v>
      </c>
      <c r="DF185" s="12">
        <f>SUM(BF185:BQ185)</f>
        <v>2732.2499999999995</v>
      </c>
      <c r="DG185" s="12">
        <f>SUM(BR185:CC185)</f>
        <v>3555</v>
      </c>
      <c r="DH185" s="12">
        <f>SUM(CD185:CO185)</f>
        <v>5430</v>
      </c>
      <c r="DI185" s="12">
        <f>SUM(CP185:DA185)</f>
        <v>5954.9999999999982</v>
      </c>
    </row>
    <row r="186" spans="2:113" s="12" customFormat="1" outlineLevel="2">
      <c r="B186" s="758"/>
      <c r="E186" s="14"/>
      <c r="F186" s="12" t="s">
        <v>796</v>
      </c>
      <c r="H186" s="865"/>
      <c r="I186" s="609" t="s">
        <v>736</v>
      </c>
      <c r="J186" s="865"/>
      <c r="K186" s="865"/>
      <c r="L186" s="865"/>
      <c r="M186" s="865"/>
      <c r="AB186" s="700"/>
      <c r="AC186" s="700"/>
      <c r="AD186" s="700"/>
      <c r="AE186" s="700"/>
      <c r="AF186" s="700"/>
      <c r="AG186" s="756"/>
      <c r="AH186" s="756"/>
      <c r="AI186" s="756"/>
      <c r="AJ186" s="756"/>
      <c r="AK186" s="756"/>
      <c r="AL186" s="756"/>
      <c r="AM186" s="721">
        <v>67.077249883999997</v>
      </c>
      <c r="AN186" s="721">
        <v>172.33059046700001</v>
      </c>
      <c r="AO186" s="721">
        <v>220.015716277</v>
      </c>
      <c r="AP186" s="721">
        <v>270.34963628200001</v>
      </c>
      <c r="AQ186" s="721">
        <v>344.92503133600002</v>
      </c>
      <c r="AR186" s="739">
        <v>449.12577837717151</v>
      </c>
      <c r="AS186" s="739">
        <v>573.50902464535363</v>
      </c>
      <c r="AT186" s="756">
        <v>699.04650538226929</v>
      </c>
      <c r="AU186" s="756">
        <v>758.52570149060205</v>
      </c>
      <c r="AV186" s="756">
        <v>858.51881361328856</v>
      </c>
      <c r="AW186" s="756">
        <v>959.0773246524293</v>
      </c>
      <c r="AX186" s="756">
        <v>1061.3800571507231</v>
      </c>
      <c r="AY186" s="756">
        <v>1161.376332541648</v>
      </c>
      <c r="AZ186" s="756">
        <v>1265.2144407046517</v>
      </c>
      <c r="BA186" s="756">
        <v>1375.9530568548191</v>
      </c>
      <c r="BB186" s="756">
        <v>1488.653957942236</v>
      </c>
      <c r="BC186" s="756">
        <v>1606.5719624782532</v>
      </c>
      <c r="BD186" s="756">
        <v>1730.9420044197275</v>
      </c>
      <c r="BE186" s="756">
        <v>1863.0851904230935</v>
      </c>
      <c r="BF186" s="739">
        <v>1973.4289414723814</v>
      </c>
      <c r="BG186" s="739">
        <v>2064.0800626491095</v>
      </c>
      <c r="BH186" s="739">
        <v>2131.1248590933233</v>
      </c>
      <c r="BI186" s="739">
        <v>2179.6540048301999</v>
      </c>
      <c r="BJ186" s="739">
        <v>2194.4212157756938</v>
      </c>
      <c r="BK186" s="739">
        <v>2191.8535263869126</v>
      </c>
      <c r="BL186" s="739">
        <v>2173.6570235845211</v>
      </c>
      <c r="BM186" s="739">
        <v>2140.6866484872862</v>
      </c>
      <c r="BN186" s="739">
        <v>2095.3333412794368</v>
      </c>
      <c r="BO186" s="739">
        <v>2040.0078751627741</v>
      </c>
      <c r="BP186" s="739">
        <v>1955.181928506644</v>
      </c>
      <c r="BQ186" s="739">
        <v>1862.5748949977678</v>
      </c>
      <c r="BR186" s="739">
        <v>1801.5796544444124</v>
      </c>
      <c r="BS186" s="739">
        <v>1772.4061528217621</v>
      </c>
      <c r="BT186" s="739">
        <v>1750.5910133754451</v>
      </c>
      <c r="BU186" s="739">
        <v>1758.4565779970246</v>
      </c>
      <c r="BV186" s="739">
        <v>1794.0502151526737</v>
      </c>
      <c r="BW186" s="739">
        <v>1855.5591023658162</v>
      </c>
      <c r="BX186" s="739">
        <v>1941.7599505685184</v>
      </c>
      <c r="BY186" s="739">
        <v>2050.8197294443007</v>
      </c>
      <c r="BZ186" s="739">
        <v>2180.1186725399884</v>
      </c>
      <c r="CA186" s="739">
        <v>2326.9506399287779</v>
      </c>
      <c r="CB186" s="739">
        <v>2489.1096432535892</v>
      </c>
      <c r="CC186" s="739">
        <v>2663.7645012516664</v>
      </c>
      <c r="CD186" s="739">
        <v>2830.5307722193115</v>
      </c>
      <c r="CE186" s="739">
        <v>2987.4397525436675</v>
      </c>
      <c r="CF186" s="739">
        <v>3132.4230514493597</v>
      </c>
      <c r="CG186" s="739">
        <v>3263.352004435038</v>
      </c>
      <c r="CH186" s="739">
        <v>3380.9045931161531</v>
      </c>
      <c r="CI186" s="739">
        <v>3485.7699316476483</v>
      </c>
      <c r="CJ186" s="739">
        <v>3578.6597905470544</v>
      </c>
      <c r="CK186" s="739">
        <v>3660.3148523610812</v>
      </c>
      <c r="CL186" s="739">
        <v>3731.941665272685</v>
      </c>
      <c r="CM186" s="739">
        <v>3794.7904866666299</v>
      </c>
      <c r="CN186" s="739">
        <v>3850.1693577716992</v>
      </c>
      <c r="CO186" s="739">
        <v>3899.4531617590646</v>
      </c>
      <c r="CP186" s="739">
        <v>3941.5230627058841</v>
      </c>
      <c r="CQ186" s="739">
        <v>3998.1414143843485</v>
      </c>
      <c r="CR186" s="739">
        <v>4071.4233677114244</v>
      </c>
      <c r="CS186" s="739">
        <v>4163.6736419413473</v>
      </c>
      <c r="CT186" s="739">
        <v>4276.0271982798431</v>
      </c>
      <c r="CU186" s="739">
        <v>4409.7439729873322</v>
      </c>
      <c r="CV186" s="739">
        <v>4566.190391385725</v>
      </c>
      <c r="CW186" s="739">
        <v>4746.8225087420005</v>
      </c>
      <c r="CX186" s="739">
        <v>4953.2310651655571</v>
      </c>
      <c r="CY186" s="739">
        <v>5186.5646357233281</v>
      </c>
      <c r="CZ186" s="739">
        <v>5447.9997154794173</v>
      </c>
      <c r="DA186" s="739">
        <v>5738.7288663999452</v>
      </c>
      <c r="DC186" s="11">
        <f>AG186</f>
        <v>0</v>
      </c>
      <c r="DD186" s="11">
        <f>AS186</f>
        <v>573.50902464535363</v>
      </c>
      <c r="DE186" s="11">
        <f>BE186</f>
        <v>1863.0851904230935</v>
      </c>
      <c r="DF186" s="11">
        <f>BQ186</f>
        <v>1862.5748949977678</v>
      </c>
      <c r="DG186" s="11">
        <f>CC186</f>
        <v>2663.7645012516664</v>
      </c>
      <c r="DH186" s="11">
        <f>CO186</f>
        <v>3899.4531617590646</v>
      </c>
      <c r="DI186" s="11">
        <f>DA186</f>
        <v>5738.7288663999452</v>
      </c>
    </row>
    <row r="187" spans="2:113" s="12" customFormat="1" outlineLevel="2">
      <c r="B187" s="758"/>
      <c r="E187" s="14"/>
      <c r="F187" s="12" t="s">
        <v>215</v>
      </c>
      <c r="H187" s="865"/>
      <c r="I187" s="609" t="s">
        <v>736</v>
      </c>
      <c r="J187" s="865"/>
      <c r="K187" s="865"/>
      <c r="L187" s="865"/>
      <c r="M187" s="865"/>
      <c r="AA187" s="702"/>
      <c r="AB187" s="702"/>
      <c r="AC187" s="702"/>
      <c r="AD187" s="702"/>
      <c r="AE187" s="702"/>
      <c r="AF187" s="702"/>
      <c r="AG187" s="901"/>
      <c r="AH187" s="901"/>
      <c r="AI187" s="901"/>
      <c r="AJ187" s="887"/>
      <c r="AK187" s="887"/>
      <c r="AL187" s="887"/>
      <c r="AM187" s="45">
        <f t="shared" ref="AM187:CX187" si="217">AM191+AM193</f>
        <v>2.9525063120000001</v>
      </c>
      <c r="AN187" s="45">
        <f t="shared" si="217"/>
        <v>10.042728317</v>
      </c>
      <c r="AO187" s="45">
        <f t="shared" si="217"/>
        <v>11.210172575000001</v>
      </c>
      <c r="AP187" s="45">
        <f t="shared" si="217"/>
        <v>12.428042303</v>
      </c>
      <c r="AQ187" s="45">
        <f t="shared" si="217"/>
        <v>15.6416198509901</v>
      </c>
      <c r="AR187" s="45">
        <f t="shared" si="217"/>
        <v>19.538537805181779</v>
      </c>
      <c r="AS187" s="45">
        <f t="shared" si="217"/>
        <v>24.594223164865646</v>
      </c>
      <c r="AT187" s="758">
        <f t="shared" si="217"/>
        <v>29.4574938305324</v>
      </c>
      <c r="AU187" s="758">
        <f t="shared" si="217"/>
        <v>30.136363440917819</v>
      </c>
      <c r="AV187" s="758">
        <f t="shared" si="217"/>
        <v>34.758203477798958</v>
      </c>
      <c r="AW187" s="758">
        <f t="shared" si="217"/>
        <v>38.540909490546724</v>
      </c>
      <c r="AX187" s="758">
        <f t="shared" si="217"/>
        <v>42.316813386454896</v>
      </c>
      <c r="AY187" s="758">
        <f t="shared" si="217"/>
        <v>46.175979405751995</v>
      </c>
      <c r="AZ187" s="758">
        <f t="shared" si="217"/>
        <v>50.161477181821326</v>
      </c>
      <c r="BA187" s="758">
        <f t="shared" si="217"/>
        <v>54.467037075687124</v>
      </c>
      <c r="BB187" s="758">
        <f t="shared" si="217"/>
        <v>59.007633177353313</v>
      </c>
      <c r="BC187" s="758">
        <f t="shared" si="217"/>
        <v>63.679654948680145</v>
      </c>
      <c r="BD187" s="758">
        <f t="shared" si="217"/>
        <v>68.627735568598837</v>
      </c>
      <c r="BE187" s="758">
        <f t="shared" si="217"/>
        <v>73.894161399804048</v>
      </c>
      <c r="BF187" s="45">
        <f t="shared" si="217"/>
        <v>77.402027333697077</v>
      </c>
      <c r="BG187" s="45">
        <f t="shared" si="217"/>
        <v>80.062837733987067</v>
      </c>
      <c r="BH187" s="45">
        <f t="shared" si="217"/>
        <v>81.847655233163223</v>
      </c>
      <c r="BI187" s="45">
        <f t="shared" si="217"/>
        <v>82.851773071376954</v>
      </c>
      <c r="BJ187" s="45">
        <f t="shared" si="217"/>
        <v>82.809854801417856</v>
      </c>
      <c r="BK187" s="45">
        <f t="shared" si="217"/>
        <v>81.910912184506657</v>
      </c>
      <c r="BL187" s="45">
        <f t="shared" si="217"/>
        <v>80.480130078845519</v>
      </c>
      <c r="BM187" s="45">
        <f t="shared" si="217"/>
        <v>78.626168598511597</v>
      </c>
      <c r="BN187" s="45">
        <f t="shared" si="217"/>
        <v>76.401694223048935</v>
      </c>
      <c r="BO187" s="45">
        <f t="shared" si="217"/>
        <v>73.88764310891932</v>
      </c>
      <c r="BP187" s="45">
        <f t="shared" si="217"/>
        <v>70.611819668615567</v>
      </c>
      <c r="BQ187" s="45">
        <f t="shared" si="217"/>
        <v>66.825518616459149</v>
      </c>
      <c r="BR187" s="45">
        <f t="shared" si="217"/>
        <v>65.281797953263492</v>
      </c>
      <c r="BS187" s="45">
        <f t="shared" si="217"/>
        <v>65.04827505724262</v>
      </c>
      <c r="BT187" s="45">
        <f t="shared" si="217"/>
        <v>65.454907582751261</v>
      </c>
      <c r="BU187" s="45">
        <f t="shared" si="217"/>
        <v>66.65675889868541</v>
      </c>
      <c r="BV187" s="45">
        <f t="shared" si="217"/>
        <v>68.901211945017195</v>
      </c>
      <c r="BW187" s="45">
        <f t="shared" si="217"/>
        <v>72.074942507872791</v>
      </c>
      <c r="BX187" s="45">
        <f t="shared" si="217"/>
        <v>76.062830981127448</v>
      </c>
      <c r="BY187" s="45">
        <f t="shared" si="217"/>
        <v>80.783733130175989</v>
      </c>
      <c r="BZ187" s="45">
        <f t="shared" si="217"/>
        <v>86.167679684949348</v>
      </c>
      <c r="CA187" s="45">
        <f t="shared" si="217"/>
        <v>92.129461778957761</v>
      </c>
      <c r="CB187" s="45">
        <f t="shared" si="217"/>
        <v>98.566166197365604</v>
      </c>
      <c r="CC187" s="45">
        <f t="shared" si="217"/>
        <v>105.39671910664192</v>
      </c>
      <c r="CD187" s="45">
        <f t="shared" si="217"/>
        <v>111.41180464308138</v>
      </c>
      <c r="CE187" s="45">
        <f t="shared" si="217"/>
        <v>116.97296833470179</v>
      </c>
      <c r="CF187" s="45">
        <f t="shared" si="217"/>
        <v>122.03832634722164</v>
      </c>
      <c r="CG187" s="45">
        <f t="shared" si="217"/>
        <v>126.56086115216608</v>
      </c>
      <c r="CH187" s="45">
        <f t="shared" si="217"/>
        <v>130.55732993922857</v>
      </c>
      <c r="CI187" s="45">
        <f t="shared" si="217"/>
        <v>134.0862227834896</v>
      </c>
      <c r="CJ187" s="45">
        <f t="shared" si="217"/>
        <v>137.20237940254711</v>
      </c>
      <c r="CK187" s="45">
        <f t="shared" si="217"/>
        <v>139.95741665367791</v>
      </c>
      <c r="CL187" s="45">
        <f t="shared" si="217"/>
        <v>142.38959199098531</v>
      </c>
      <c r="CM187" s="45">
        <f t="shared" si="217"/>
        <v>144.54374936496421</v>
      </c>
      <c r="CN187" s="45">
        <f t="shared" si="217"/>
        <v>146.464043172365</v>
      </c>
      <c r="CO187" s="45">
        <f t="shared" si="217"/>
        <v>148.19424474023856</v>
      </c>
      <c r="CP187" s="45">
        <f t="shared" si="217"/>
        <v>149.61861820451307</v>
      </c>
      <c r="CQ187" s="45">
        <f t="shared" si="217"/>
        <v>151.3397542899809</v>
      </c>
      <c r="CR187" s="45">
        <f t="shared" si="217"/>
        <v>153.72253593002992</v>
      </c>
      <c r="CS187" s="45">
        <f t="shared" si="217"/>
        <v>156.8215697308959</v>
      </c>
      <c r="CT187" s="45">
        <f t="shared" si="217"/>
        <v>160.66691489248743</v>
      </c>
      <c r="CU187" s="45">
        <f t="shared" si="217"/>
        <v>165.27534078996823</v>
      </c>
      <c r="CV187" s="45">
        <f t="shared" si="217"/>
        <v>170.66988012794715</v>
      </c>
      <c r="CW187" s="45">
        <f t="shared" si="217"/>
        <v>176.87815532026866</v>
      </c>
      <c r="CX187" s="45">
        <f t="shared" si="217"/>
        <v>183.93006929148692</v>
      </c>
      <c r="CY187" s="45">
        <f t="shared" ref="CY187:DA187" si="218">CY191+CY193</f>
        <v>191.87171794186546</v>
      </c>
      <c r="CZ187" s="45">
        <f t="shared" si="218"/>
        <v>200.74258418185596</v>
      </c>
      <c r="DA187" s="45">
        <f t="shared" si="218"/>
        <v>210.58363621841838</v>
      </c>
      <c r="DB187" s="702"/>
      <c r="DC187" s="12">
        <f t="shared" ref="DC187:DC215" si="219">SUM(V187:AG187)</f>
        <v>0</v>
      </c>
      <c r="DD187" s="12">
        <f>SUM(AH187:AS187)</f>
        <v>96.407830328037534</v>
      </c>
      <c r="DE187" s="12">
        <f t="shared" ref="DE187:DE215" si="220">SUM(AT187:BE187)</f>
        <v>591.22346238394766</v>
      </c>
      <c r="DF187" s="12">
        <f t="shared" ref="DF187:DF215" si="221">SUM(BF187:BQ187)</f>
        <v>933.71803465254891</v>
      </c>
      <c r="DG187" s="12">
        <f t="shared" ref="DG187:DG215" si="222">SUM(BR187:CC187)</f>
        <v>942.52448482405089</v>
      </c>
      <c r="DH187" s="12">
        <f t="shared" ref="DH187:DH215" si="223">SUM(CD187:CO187)</f>
        <v>1600.3789385246673</v>
      </c>
      <c r="DI187" s="12">
        <f>SUM(CP187:DA187)</f>
        <v>2072.1207769197181</v>
      </c>
    </row>
    <row r="188" spans="2:113" s="12" customFormat="1" outlineLevel="2">
      <c r="B188" s="758"/>
      <c r="E188" s="14"/>
      <c r="F188" s="12" t="s">
        <v>472</v>
      </c>
      <c r="H188" s="865"/>
      <c r="I188" s="609" t="s">
        <v>736</v>
      </c>
      <c r="J188" s="865"/>
      <c r="K188" s="865"/>
      <c r="L188" s="865"/>
      <c r="M188" s="865"/>
      <c r="AA188" s="702"/>
      <c r="AB188" s="702"/>
      <c r="AC188" s="702"/>
      <c r="AD188" s="702"/>
      <c r="AE188" s="702"/>
      <c r="AF188" s="702"/>
      <c r="AG188" s="702"/>
      <c r="AH188" s="702"/>
      <c r="AI188" s="702"/>
      <c r="AJ188" s="887"/>
      <c r="AK188" s="887"/>
      <c r="AL188" s="887"/>
      <c r="AM188" s="45">
        <f t="shared" ref="AM188:CX188" si="224">AM192</f>
        <v>-2.9454277000000001E-2</v>
      </c>
      <c r="AN188" s="45">
        <f t="shared" si="224"/>
        <v>-0.66474965200000002</v>
      </c>
      <c r="AO188" s="45">
        <f t="shared" si="224"/>
        <v>-1.169225886</v>
      </c>
      <c r="AP188" s="45">
        <f t="shared" si="224"/>
        <v>-1.3259063959999999</v>
      </c>
      <c r="AQ188" s="45">
        <f t="shared" si="224"/>
        <v>-1.686058348</v>
      </c>
      <c r="AR188" s="45">
        <f t="shared" si="224"/>
        <v>-2.315981528330084</v>
      </c>
      <c r="AS188" s="45">
        <f t="shared" si="224"/>
        <v>-2.9826848421490322</v>
      </c>
      <c r="AT188" s="887">
        <f t="shared" si="224"/>
        <v>-3.7116202959139</v>
      </c>
      <c r="AU188" s="887">
        <f t="shared" si="224"/>
        <v>-4.2512522700458755</v>
      </c>
      <c r="AV188" s="887">
        <f t="shared" si="224"/>
        <v>-4.7163798357196818</v>
      </c>
      <c r="AW188" s="887">
        <f t="shared" si="224"/>
        <v>-5.3013220699416772</v>
      </c>
      <c r="AX188" s="887">
        <f t="shared" si="224"/>
        <v>-5.8930006969258626</v>
      </c>
      <c r="AY188" s="887">
        <f t="shared" si="224"/>
        <v>-6.4830394699360836</v>
      </c>
      <c r="AZ188" s="887">
        <f t="shared" si="224"/>
        <v>-7.0775564219683744</v>
      </c>
      <c r="BA188" s="887">
        <f t="shared" si="224"/>
        <v>-7.7034052012151228</v>
      </c>
      <c r="BB188" s="887">
        <f t="shared" si="224"/>
        <v>-8.3551037931580776</v>
      </c>
      <c r="BC188" s="887">
        <f t="shared" si="224"/>
        <v>-9.0277422678930943</v>
      </c>
      <c r="BD188" s="887">
        <f t="shared" si="224"/>
        <v>-9.7344157367857793</v>
      </c>
      <c r="BE188" s="887">
        <f t="shared" si="224"/>
        <v>-10.482579318291561</v>
      </c>
      <c r="BF188" s="45">
        <f t="shared" si="224"/>
        <v>-11.189832884695136</v>
      </c>
      <c r="BG188" s="45">
        <f t="shared" si="224"/>
        <v>-11.776067928687683</v>
      </c>
      <c r="BH188" s="45">
        <f t="shared" si="224"/>
        <v>-12.236014355082098</v>
      </c>
      <c r="BI188" s="45">
        <f t="shared" si="224"/>
        <v>-12.573105019776945</v>
      </c>
      <c r="BJ188" s="45">
        <f t="shared" si="224"/>
        <v>-12.757719393433858</v>
      </c>
      <c r="BK188" s="45">
        <f t="shared" si="224"/>
        <v>-12.793301331307603</v>
      </c>
      <c r="BL188" s="45">
        <f t="shared" si="224"/>
        <v>-12.73273910408335</v>
      </c>
      <c r="BM188" s="45">
        <f t="shared" si="224"/>
        <v>-12.583502376876105</v>
      </c>
      <c r="BN188" s="45">
        <f t="shared" si="224"/>
        <v>-12.355058303486276</v>
      </c>
      <c r="BO188" s="45">
        <f t="shared" si="224"/>
        <v>-12.061411881289784</v>
      </c>
      <c r="BP188" s="45">
        <f t="shared" si="224"/>
        <v>-11.652636927369137</v>
      </c>
      <c r="BQ188" s="45">
        <f t="shared" si="224"/>
        <v>-11.135124068554534</v>
      </c>
      <c r="BR188" s="45">
        <f t="shared" si="224"/>
        <v>-10.687117435873027</v>
      </c>
      <c r="BS188" s="45">
        <f t="shared" si="224"/>
        <v>-10.424125271193011</v>
      </c>
      <c r="BT188" s="45">
        <f t="shared" si="224"/>
        <v>-10.275408401408521</v>
      </c>
      <c r="BU188" s="45">
        <f t="shared" si="224"/>
        <v>-10.234722141503036</v>
      </c>
      <c r="BV188" s="45">
        <f t="shared" si="224"/>
        <v>-10.36147814668662</v>
      </c>
      <c r="BW188" s="45">
        <f t="shared" si="224"/>
        <v>-10.644693842762262</v>
      </c>
      <c r="BX188" s="45">
        <f t="shared" si="224"/>
        <v>-11.07551390439181</v>
      </c>
      <c r="BY188" s="45">
        <f t="shared" si="224"/>
        <v>-11.645024066704059</v>
      </c>
      <c r="BZ188" s="45">
        <f t="shared" si="224"/>
        <v>-12.340237005787513</v>
      </c>
      <c r="CA188" s="45">
        <f t="shared" si="224"/>
        <v>-13.145618828033902</v>
      </c>
      <c r="CB188" s="45">
        <f t="shared" si="224"/>
        <v>-14.046842492615239</v>
      </c>
      <c r="CC188" s="45">
        <f t="shared" si="224"/>
        <v>-15.029216254806997</v>
      </c>
      <c r="CD188" s="45">
        <f t="shared" si="224"/>
        <v>-16.025027880957023</v>
      </c>
      <c r="CE188" s="45">
        <f t="shared" si="224"/>
        <v>-16.969080697225358</v>
      </c>
      <c r="CF188" s="45">
        <f t="shared" si="224"/>
        <v>-17.849599844979664</v>
      </c>
      <c r="CG188" s="45">
        <f t="shared" si="224"/>
        <v>-18.654343912996165</v>
      </c>
      <c r="CH188" s="45">
        <f t="shared" si="224"/>
        <v>-19.379081742857643</v>
      </c>
      <c r="CI188" s="45">
        <f t="shared" si="224"/>
        <v>-20.027800697227754</v>
      </c>
      <c r="CJ188" s="45">
        <f t="shared" si="224"/>
        <v>-20.60458668973455</v>
      </c>
      <c r="CK188" s="45">
        <f t="shared" si="224"/>
        <v>-21.113676041815395</v>
      </c>
      <c r="CL188" s="45">
        <f t="shared" si="224"/>
        <v>-21.560748176431819</v>
      </c>
      <c r="CM188" s="45">
        <f t="shared" si="224"/>
        <v>-21.952968776489673</v>
      </c>
      <c r="CN188" s="45">
        <f t="shared" si="224"/>
        <v>-22.297799546278465</v>
      </c>
      <c r="CO188" s="45">
        <f t="shared" si="224"/>
        <v>-22.603065681964726</v>
      </c>
      <c r="CP188" s="45">
        <f t="shared" si="224"/>
        <v>-22.869513988022771</v>
      </c>
      <c r="CQ188" s="45">
        <f t="shared" si="224"/>
        <v>-23.157354724846513</v>
      </c>
      <c r="CR188" s="45">
        <f t="shared" si="224"/>
        <v>-23.536230614446009</v>
      </c>
      <c r="CS188" s="45">
        <f t="shared" si="224"/>
        <v>-24.019032944820584</v>
      </c>
      <c r="CT188" s="45">
        <f t="shared" si="224"/>
        <v>-24.615794117311808</v>
      </c>
      <c r="CU188" s="45">
        <f t="shared" si="224"/>
        <v>-25.333499249529265</v>
      </c>
      <c r="CV188" s="45">
        <f t="shared" si="224"/>
        <v>-26.179808562754754</v>
      </c>
      <c r="CW188" s="45">
        <f t="shared" si="224"/>
        <v>-27.162954292039203</v>
      </c>
      <c r="CX188" s="45">
        <f t="shared" si="224"/>
        <v>-28.291822923897044</v>
      </c>
      <c r="CY188" s="45">
        <f t="shared" ref="CY188:DA188" si="225">CY192</f>
        <v>-29.574404127592583</v>
      </c>
      <c r="CZ188" s="45">
        <f t="shared" si="225"/>
        <v>-31.017479357674677</v>
      </c>
      <c r="DA188" s="45">
        <f t="shared" si="225"/>
        <v>-32.627958363814813</v>
      </c>
      <c r="DB188" s="702"/>
      <c r="DC188" s="12">
        <f t="shared" si="219"/>
        <v>0</v>
      </c>
      <c r="DD188" s="12">
        <f t="shared" ref="DD188:DD215" si="226">SUM(AH188:AS188)</f>
        <v>-10.174060929479117</v>
      </c>
      <c r="DE188" s="12">
        <f t="shared" si="220"/>
        <v>-82.737417377795097</v>
      </c>
      <c r="DF188" s="12">
        <f t="shared" si="221"/>
        <v>-145.84651357464253</v>
      </c>
      <c r="DG188" s="12">
        <f t="shared" si="222"/>
        <v>-139.90999779176599</v>
      </c>
      <c r="DH188" s="12">
        <f t="shared" si="223"/>
        <v>-239.03777968895827</v>
      </c>
      <c r="DI188" s="12">
        <f t="shared" ref="DI188:DI215" si="227">SUM(CP188:DA188)</f>
        <v>-318.38585326674996</v>
      </c>
    </row>
    <row r="189" spans="2:113" s="12" customFormat="1" outlineLevel="2">
      <c r="B189" s="758"/>
      <c r="E189" s="14" t="s">
        <v>217</v>
      </c>
      <c r="H189" s="865"/>
      <c r="I189" s="609" t="s">
        <v>736</v>
      </c>
      <c r="J189" s="865"/>
      <c r="K189" s="865"/>
      <c r="L189" s="865"/>
      <c r="M189" s="865"/>
      <c r="AA189" s="708"/>
      <c r="AB189" s="708"/>
      <c r="AC189" s="708"/>
      <c r="AD189" s="708"/>
      <c r="AE189" s="708"/>
      <c r="AF189" s="708"/>
      <c r="AG189" s="708"/>
      <c r="AH189" s="708"/>
      <c r="AI189" s="708"/>
      <c r="AJ189" s="705"/>
      <c r="AK189" s="705"/>
      <c r="AL189" s="705"/>
      <c r="AM189" s="705">
        <f t="shared" ref="AM189:CX189" si="228">AM190+AM193</f>
        <v>2.923052035</v>
      </c>
      <c r="AN189" s="705">
        <f t="shared" si="228"/>
        <v>9.3779786650000005</v>
      </c>
      <c r="AO189" s="705">
        <f t="shared" si="228"/>
        <v>10.040946689000002</v>
      </c>
      <c r="AP189" s="705">
        <f t="shared" si="228"/>
        <v>11.102135906999999</v>
      </c>
      <c r="AQ189" s="705">
        <f t="shared" si="228"/>
        <v>13.955561502990101</v>
      </c>
      <c r="AR189" s="705">
        <f t="shared" si="228"/>
        <v>17.222556276851694</v>
      </c>
      <c r="AS189" s="705">
        <f t="shared" si="228"/>
        <v>21.611538322716612</v>
      </c>
      <c r="AT189" s="705">
        <f t="shared" si="228"/>
        <v>25.7458735346185</v>
      </c>
      <c r="AU189" s="705">
        <f t="shared" si="228"/>
        <v>25.885111170871944</v>
      </c>
      <c r="AV189" s="705">
        <f t="shared" si="228"/>
        <v>30.041823642079279</v>
      </c>
      <c r="AW189" s="705">
        <f t="shared" si="228"/>
        <v>33.239587420605048</v>
      </c>
      <c r="AX189" s="705">
        <f t="shared" si="228"/>
        <v>36.423812689529036</v>
      </c>
      <c r="AY189" s="705">
        <f t="shared" si="228"/>
        <v>39.692939935815915</v>
      </c>
      <c r="AZ189" s="705">
        <f t="shared" si="228"/>
        <v>43.083920759852958</v>
      </c>
      <c r="BA189" s="705">
        <f t="shared" si="228"/>
        <v>46.763631874471997</v>
      </c>
      <c r="BB189" s="705">
        <f t="shared" si="228"/>
        <v>50.652529384195233</v>
      </c>
      <c r="BC189" s="705">
        <f t="shared" si="228"/>
        <v>54.651912680787049</v>
      </c>
      <c r="BD189" s="705">
        <f t="shared" si="228"/>
        <v>58.893319831813066</v>
      </c>
      <c r="BE189" s="705">
        <f t="shared" si="228"/>
        <v>63.411582081512485</v>
      </c>
      <c r="BF189" s="705">
        <f t="shared" si="228"/>
        <v>66.212194449001942</v>
      </c>
      <c r="BG189" s="705">
        <f t="shared" si="228"/>
        <v>68.2867698052994</v>
      </c>
      <c r="BH189" s="705">
        <f t="shared" si="228"/>
        <v>69.611640878081133</v>
      </c>
      <c r="BI189" s="705">
        <f t="shared" si="228"/>
        <v>70.278668051600008</v>
      </c>
      <c r="BJ189" s="705">
        <f t="shared" si="228"/>
        <v>70.052135407983997</v>
      </c>
      <c r="BK189" s="705">
        <f t="shared" si="228"/>
        <v>69.117610853199054</v>
      </c>
      <c r="BL189" s="705">
        <f t="shared" si="228"/>
        <v>67.747390974762169</v>
      </c>
      <c r="BM189" s="705">
        <f t="shared" si="228"/>
        <v>66.0426662216355</v>
      </c>
      <c r="BN189" s="705">
        <f t="shared" si="228"/>
        <v>64.046635919562661</v>
      </c>
      <c r="BO189" s="705">
        <f t="shared" si="228"/>
        <v>61.826231227629542</v>
      </c>
      <c r="BP189" s="705">
        <f t="shared" si="228"/>
        <v>58.959182741246423</v>
      </c>
      <c r="BQ189" s="705">
        <f t="shared" si="228"/>
        <v>55.690394547904617</v>
      </c>
      <c r="BR189" s="705">
        <f t="shared" si="228"/>
        <v>54.594680517390465</v>
      </c>
      <c r="BS189" s="705">
        <f t="shared" si="228"/>
        <v>54.624149786049614</v>
      </c>
      <c r="BT189" s="705">
        <f t="shared" si="228"/>
        <v>55.179499181342742</v>
      </c>
      <c r="BU189" s="705">
        <f t="shared" si="228"/>
        <v>56.422036757182369</v>
      </c>
      <c r="BV189" s="705">
        <f t="shared" si="228"/>
        <v>58.539733798330573</v>
      </c>
      <c r="BW189" s="705">
        <f t="shared" si="228"/>
        <v>61.430248665110526</v>
      </c>
      <c r="BX189" s="705">
        <f t="shared" si="228"/>
        <v>64.987317076735636</v>
      </c>
      <c r="BY189" s="705">
        <f t="shared" si="228"/>
        <v>69.138709063471936</v>
      </c>
      <c r="BZ189" s="705">
        <f t="shared" si="228"/>
        <v>73.827442679161834</v>
      </c>
      <c r="CA189" s="705">
        <f t="shared" si="228"/>
        <v>78.983842950923858</v>
      </c>
      <c r="CB189" s="705">
        <f t="shared" si="228"/>
        <v>84.519323704750363</v>
      </c>
      <c r="CC189" s="705">
        <f t="shared" si="228"/>
        <v>90.367502851834928</v>
      </c>
      <c r="CD189" s="705">
        <f t="shared" si="228"/>
        <v>95.386776762124356</v>
      </c>
      <c r="CE189" s="705">
        <f t="shared" si="228"/>
        <v>100.00388763747645</v>
      </c>
      <c r="CF189" s="705">
        <f t="shared" si="228"/>
        <v>104.18872650224196</v>
      </c>
      <c r="CG189" s="705">
        <f t="shared" si="228"/>
        <v>107.90651723916992</v>
      </c>
      <c r="CH189" s="705">
        <f t="shared" si="228"/>
        <v>111.17824819637093</v>
      </c>
      <c r="CI189" s="705">
        <f t="shared" si="228"/>
        <v>114.05842208626187</v>
      </c>
      <c r="CJ189" s="705">
        <f t="shared" si="228"/>
        <v>116.59779271281258</v>
      </c>
      <c r="CK189" s="705">
        <f t="shared" si="228"/>
        <v>118.84374061186253</v>
      </c>
      <c r="CL189" s="705">
        <f t="shared" si="228"/>
        <v>120.82884381455349</v>
      </c>
      <c r="CM189" s="705">
        <f t="shared" si="228"/>
        <v>122.59078058847453</v>
      </c>
      <c r="CN189" s="705">
        <f t="shared" si="228"/>
        <v>124.16624362608654</v>
      </c>
      <c r="CO189" s="705">
        <f t="shared" si="228"/>
        <v>125.59117905827384</v>
      </c>
      <c r="CP189" s="705">
        <f t="shared" si="228"/>
        <v>126.7491042164903</v>
      </c>
      <c r="CQ189" s="705">
        <f t="shared" si="228"/>
        <v>128.18239956513438</v>
      </c>
      <c r="CR189" s="705">
        <f t="shared" si="228"/>
        <v>130.18630531558392</v>
      </c>
      <c r="CS189" s="705">
        <f t="shared" si="228"/>
        <v>132.80253678607534</v>
      </c>
      <c r="CT189" s="705">
        <f t="shared" si="228"/>
        <v>136.0511207751756</v>
      </c>
      <c r="CU189" s="705">
        <f t="shared" si="228"/>
        <v>139.94184154043896</v>
      </c>
      <c r="CV189" s="705">
        <f t="shared" si="228"/>
        <v>144.49007156519241</v>
      </c>
      <c r="CW189" s="705">
        <f t="shared" si="228"/>
        <v>149.71520102822944</v>
      </c>
      <c r="CX189" s="705">
        <f t="shared" si="228"/>
        <v>155.63824636758989</v>
      </c>
      <c r="CY189" s="705">
        <f t="shared" ref="CY189:DA189" si="229">CY190+CY193</f>
        <v>162.29731381427288</v>
      </c>
      <c r="CZ189" s="705">
        <f t="shared" si="229"/>
        <v>169.72510482418127</v>
      </c>
      <c r="DA189" s="705">
        <f t="shared" si="229"/>
        <v>177.95567785460358</v>
      </c>
      <c r="DB189" s="708"/>
      <c r="DC189" s="14">
        <f t="shared" si="219"/>
        <v>0</v>
      </c>
      <c r="DD189" s="14">
        <f t="shared" si="226"/>
        <v>86.233769398558408</v>
      </c>
      <c r="DE189" s="14">
        <f t="shared" si="220"/>
        <v>508.48604500615255</v>
      </c>
      <c r="DF189" s="14">
        <f t="shared" si="221"/>
        <v>787.87152107790644</v>
      </c>
      <c r="DG189" s="14">
        <f t="shared" si="222"/>
        <v>802.61448703228496</v>
      </c>
      <c r="DH189" s="14">
        <f t="shared" si="223"/>
        <v>1361.3411588357089</v>
      </c>
      <c r="DI189" s="14">
        <f t="shared" si="227"/>
        <v>1753.7349236529681</v>
      </c>
    </row>
    <row r="190" spans="2:113" s="14" customFormat="1" outlineLevel="2">
      <c r="B190" s="758"/>
      <c r="E190" s="14" t="s">
        <v>797</v>
      </c>
      <c r="H190" s="868"/>
      <c r="I190" s="609" t="s">
        <v>736</v>
      </c>
      <c r="J190" s="868"/>
      <c r="K190" s="868"/>
      <c r="L190" s="868"/>
      <c r="M190" s="868"/>
      <c r="AA190" s="708"/>
      <c r="AB190" s="708"/>
      <c r="AC190" s="708"/>
      <c r="AD190" s="708"/>
      <c r="AE190" s="708"/>
      <c r="AF190" s="708"/>
      <c r="AG190" s="708"/>
      <c r="AH190" s="708"/>
      <c r="AI190" s="708"/>
      <c r="AJ190" s="887"/>
      <c r="AK190" s="887"/>
      <c r="AL190" s="887"/>
      <c r="AM190" s="887">
        <f>AM191+AM192</f>
        <v>0.33238160900000002</v>
      </c>
      <c r="AN190" s="887">
        <f t="shared" ref="AN190:CY190" si="230">AN191+AN192</f>
        <v>4.7753484119999996</v>
      </c>
      <c r="AO190" s="887">
        <f t="shared" si="230"/>
        <v>6.3469329460000008</v>
      </c>
      <c r="AP190" s="887">
        <f t="shared" si="230"/>
        <v>7.4542154819999995</v>
      </c>
      <c r="AQ190" s="887">
        <f t="shared" si="230"/>
        <v>9.465063812990099</v>
      </c>
      <c r="AR190" s="887">
        <f t="shared" si="230"/>
        <v>11.869306276851695</v>
      </c>
      <c r="AS190" s="887">
        <f t="shared" si="230"/>
        <v>15.091038322716612</v>
      </c>
      <c r="AT190" s="887">
        <f t="shared" si="230"/>
        <v>18.742373534618501</v>
      </c>
      <c r="AU190" s="887">
        <f t="shared" si="230"/>
        <v>20.904173670871945</v>
      </c>
      <c r="AV190" s="887">
        <f t="shared" si="230"/>
        <v>23.023229892079279</v>
      </c>
      <c r="AW190" s="887">
        <f t="shared" si="230"/>
        <v>25.65648742060505</v>
      </c>
      <c r="AX190" s="887">
        <f t="shared" si="230"/>
        <v>28.255075189529034</v>
      </c>
      <c r="AY190" s="887">
        <f t="shared" si="230"/>
        <v>30.917433685815912</v>
      </c>
      <c r="AZ190" s="887">
        <f t="shared" si="230"/>
        <v>33.680514509852955</v>
      </c>
      <c r="BA190" s="887">
        <f t="shared" si="230"/>
        <v>36.711194374472001</v>
      </c>
      <c r="BB190" s="887">
        <f t="shared" si="230"/>
        <v>39.929929384195233</v>
      </c>
      <c r="BC190" s="887">
        <f t="shared" si="230"/>
        <v>43.238018930787049</v>
      </c>
      <c r="BD190" s="887">
        <f t="shared" si="230"/>
        <v>46.767001081813071</v>
      </c>
      <c r="BE190" s="887">
        <f t="shared" si="230"/>
        <v>50.55170708151249</v>
      </c>
      <c r="BF190" s="887">
        <f t="shared" si="230"/>
        <v>53.920850699001946</v>
      </c>
      <c r="BG190" s="887">
        <f t="shared" si="230"/>
        <v>56.563957305299397</v>
      </c>
      <c r="BH190" s="887">
        <f t="shared" si="230"/>
        <v>58.457359628081129</v>
      </c>
      <c r="BI190" s="887">
        <f t="shared" si="230"/>
        <v>59.692918051600003</v>
      </c>
      <c r="BJ190" s="887">
        <f t="shared" si="230"/>
        <v>60.034916657983999</v>
      </c>
      <c r="BK190" s="887">
        <f t="shared" si="230"/>
        <v>59.668923353199062</v>
      </c>
      <c r="BL190" s="887">
        <f t="shared" si="230"/>
        <v>58.86723472476217</v>
      </c>
      <c r="BM190" s="887">
        <f t="shared" si="230"/>
        <v>57.7310412216355</v>
      </c>
      <c r="BN190" s="887">
        <f t="shared" si="230"/>
        <v>56.303542169562661</v>
      </c>
      <c r="BO190" s="887">
        <f t="shared" si="230"/>
        <v>54.651668727629541</v>
      </c>
      <c r="BP190" s="887">
        <f t="shared" si="230"/>
        <v>52.353151491246429</v>
      </c>
      <c r="BQ190" s="887">
        <f t="shared" si="230"/>
        <v>49.652894547904616</v>
      </c>
      <c r="BR190" s="887">
        <f t="shared" si="230"/>
        <v>47.651555517390463</v>
      </c>
      <c r="BS190" s="887">
        <f t="shared" si="230"/>
        <v>46.775399786049611</v>
      </c>
      <c r="BT190" s="887">
        <f t="shared" si="230"/>
        <v>46.425124181342738</v>
      </c>
      <c r="BU190" s="887">
        <f t="shared" si="230"/>
        <v>46.762036757182372</v>
      </c>
      <c r="BV190" s="887">
        <f t="shared" si="230"/>
        <v>47.974108798330569</v>
      </c>
      <c r="BW190" s="887">
        <f t="shared" si="230"/>
        <v>49.958998665110528</v>
      </c>
      <c r="BX190" s="887">
        <f t="shared" si="230"/>
        <v>52.610442076735637</v>
      </c>
      <c r="BY190" s="887">
        <f t="shared" si="230"/>
        <v>55.85620906347193</v>
      </c>
      <c r="BZ190" s="887">
        <f t="shared" si="230"/>
        <v>59.639317679161834</v>
      </c>
      <c r="CA190" s="887">
        <f t="shared" si="230"/>
        <v>63.890092950923858</v>
      </c>
      <c r="CB190" s="887">
        <f t="shared" si="230"/>
        <v>68.519948704750362</v>
      </c>
      <c r="CC190" s="887">
        <f t="shared" si="230"/>
        <v>73.462502851834927</v>
      </c>
      <c r="CD190" s="887">
        <f t="shared" si="230"/>
        <v>78.280526762124353</v>
      </c>
      <c r="CE190" s="887">
        <f t="shared" si="230"/>
        <v>82.696387637476448</v>
      </c>
      <c r="CF190" s="887">
        <f t="shared" si="230"/>
        <v>86.679976502241971</v>
      </c>
      <c r="CG190" s="887">
        <f t="shared" si="230"/>
        <v>90.196517239169921</v>
      </c>
      <c r="CH190" s="887">
        <f t="shared" si="230"/>
        <v>93.266998196370935</v>
      </c>
      <c r="CI190" s="887">
        <f t="shared" si="230"/>
        <v>95.945922086261874</v>
      </c>
      <c r="CJ190" s="887">
        <f t="shared" si="230"/>
        <v>98.284042712812578</v>
      </c>
      <c r="CK190" s="887">
        <f t="shared" si="230"/>
        <v>100.32874061186253</v>
      </c>
      <c r="CL190" s="887">
        <f t="shared" si="230"/>
        <v>102.11259381455349</v>
      </c>
      <c r="CM190" s="887">
        <f t="shared" si="230"/>
        <v>103.67328058847454</v>
      </c>
      <c r="CN190" s="887">
        <f t="shared" si="230"/>
        <v>105.04749362608655</v>
      </c>
      <c r="CO190" s="887">
        <f t="shared" si="230"/>
        <v>106.27117905827384</v>
      </c>
      <c r="CP190" s="887">
        <f t="shared" si="230"/>
        <v>107.32847921649029</v>
      </c>
      <c r="CQ190" s="887">
        <f t="shared" si="230"/>
        <v>108.66114956513438</v>
      </c>
      <c r="CR190" s="887">
        <f t="shared" si="230"/>
        <v>110.56443031558392</v>
      </c>
      <c r="CS190" s="887">
        <f t="shared" si="230"/>
        <v>113.08003678607533</v>
      </c>
      <c r="CT190" s="887">
        <f t="shared" si="230"/>
        <v>116.22799577517561</v>
      </c>
      <c r="CU190" s="887">
        <f t="shared" si="230"/>
        <v>120.01809154043897</v>
      </c>
      <c r="CV190" s="887">
        <f t="shared" si="230"/>
        <v>124.4656965651924</v>
      </c>
      <c r="CW190" s="887">
        <f t="shared" si="230"/>
        <v>129.59020102822944</v>
      </c>
      <c r="CX190" s="887">
        <f t="shared" si="230"/>
        <v>135.41262136758991</v>
      </c>
      <c r="CY190" s="887">
        <f t="shared" si="230"/>
        <v>141.9710638142729</v>
      </c>
      <c r="CZ190" s="887">
        <f t="shared" ref="CZ190:DA190" si="231">CZ191+CZ192</f>
        <v>149.29822982418128</v>
      </c>
      <c r="DA190" s="887">
        <f t="shared" si="231"/>
        <v>157.42817785460358</v>
      </c>
      <c r="DB190" s="708"/>
      <c r="DC190" s="14">
        <f t="shared" si="219"/>
        <v>0</v>
      </c>
      <c r="DD190" s="14">
        <f t="shared" si="226"/>
        <v>55.334286861558411</v>
      </c>
      <c r="DE190" s="14">
        <f t="shared" si="220"/>
        <v>398.37713875615259</v>
      </c>
      <c r="DF190" s="14">
        <f t="shared" si="221"/>
        <v>677.89845857790635</v>
      </c>
      <c r="DG190" s="14">
        <f t="shared" si="222"/>
        <v>659.52573703228472</v>
      </c>
      <c r="DH190" s="14">
        <f t="shared" si="223"/>
        <v>1142.783658835709</v>
      </c>
      <c r="DI190" s="14">
        <f t="shared" si="227"/>
        <v>1514.046173652968</v>
      </c>
    </row>
    <row r="191" spans="2:113" ht="15" outlineLevel="2">
      <c r="B191" s="758"/>
      <c r="F191" s="126" t="s">
        <v>737</v>
      </c>
      <c r="I191" s="609" t="s">
        <v>736</v>
      </c>
      <c r="O191" s="710"/>
      <c r="P191" s="710"/>
      <c r="Q191" s="710"/>
      <c r="R191" s="710"/>
      <c r="S191" s="710"/>
      <c r="T191" s="710"/>
      <c r="U191" s="710"/>
      <c r="V191" s="710"/>
      <c r="W191" s="710"/>
      <c r="X191" s="710"/>
      <c r="Y191" s="710"/>
      <c r="Z191" s="710"/>
      <c r="AA191" s="713"/>
      <c r="AB191" s="713"/>
      <c r="AC191" s="713"/>
      <c r="AD191" s="713"/>
      <c r="AE191" s="713"/>
      <c r="AF191" s="712"/>
      <c r="AG191" s="710"/>
      <c r="AH191" s="710"/>
      <c r="AI191" s="710"/>
      <c r="AJ191" s="716"/>
      <c r="AK191" s="716"/>
      <c r="AL191" s="716"/>
      <c r="AM191" s="903">
        <v>0.361835886</v>
      </c>
      <c r="AN191" s="903">
        <v>5.4400980639999998</v>
      </c>
      <c r="AO191" s="911">
        <v>7.5161588320000003</v>
      </c>
      <c r="AP191" s="902">
        <v>8.7801218779999992</v>
      </c>
      <c r="AQ191" s="710">
        <v>11.151122160990099</v>
      </c>
      <c r="AR191" s="710">
        <v>14.18528780518178</v>
      </c>
      <c r="AS191" s="710">
        <v>18.073723164865644</v>
      </c>
      <c r="AT191" s="710">
        <v>22.453993830532401</v>
      </c>
      <c r="AU191" s="710">
        <v>25.155425940917819</v>
      </c>
      <c r="AV191" s="710">
        <v>27.73960972779896</v>
      </c>
      <c r="AW191" s="710">
        <v>30.957809490546726</v>
      </c>
      <c r="AX191" s="710">
        <v>34.148075886454897</v>
      </c>
      <c r="AY191" s="710">
        <v>37.400473155751996</v>
      </c>
      <c r="AZ191" s="710">
        <v>40.758070931821329</v>
      </c>
      <c r="BA191" s="710">
        <v>44.414599575687127</v>
      </c>
      <c r="BB191" s="710">
        <v>48.285033177353313</v>
      </c>
      <c r="BC191" s="710">
        <v>52.265761198680146</v>
      </c>
      <c r="BD191" s="710">
        <v>56.501416818598848</v>
      </c>
      <c r="BE191" s="710">
        <v>61.034286399804053</v>
      </c>
      <c r="BF191" s="710">
        <v>65.110683583697082</v>
      </c>
      <c r="BG191" s="710">
        <v>68.340025233987078</v>
      </c>
      <c r="BH191" s="710">
        <v>70.693373983163227</v>
      </c>
      <c r="BI191" s="710">
        <v>72.266023071376949</v>
      </c>
      <c r="BJ191" s="710">
        <v>72.792636051417858</v>
      </c>
      <c r="BK191" s="710">
        <v>72.462224684506666</v>
      </c>
      <c r="BL191" s="710">
        <v>71.599973828845521</v>
      </c>
      <c r="BM191" s="710">
        <v>70.314543598511605</v>
      </c>
      <c r="BN191" s="710">
        <v>68.658600473048935</v>
      </c>
      <c r="BO191" s="710">
        <v>66.713080608919327</v>
      </c>
      <c r="BP191" s="710">
        <v>64.005788418615566</v>
      </c>
      <c r="BQ191" s="710">
        <v>60.788018616459148</v>
      </c>
      <c r="BR191" s="710">
        <v>58.33867295326349</v>
      </c>
      <c r="BS191" s="710">
        <v>57.199525057242624</v>
      </c>
      <c r="BT191" s="710">
        <v>56.700532582751258</v>
      </c>
      <c r="BU191" s="710">
        <v>56.996758898685407</v>
      </c>
      <c r="BV191" s="710">
        <v>58.335586945017191</v>
      </c>
      <c r="BW191" s="710">
        <v>60.603692507872786</v>
      </c>
      <c r="BX191" s="710">
        <v>63.685955981127449</v>
      </c>
      <c r="BY191" s="710">
        <v>67.50123313017599</v>
      </c>
      <c r="BZ191" s="710">
        <v>71.979554684949349</v>
      </c>
      <c r="CA191" s="710">
        <v>77.035711778957761</v>
      </c>
      <c r="CB191" s="710">
        <v>82.566791197365603</v>
      </c>
      <c r="CC191" s="710">
        <v>88.491719106641924</v>
      </c>
      <c r="CD191" s="710">
        <v>94.305554643081379</v>
      </c>
      <c r="CE191" s="710">
        <v>99.665468334701799</v>
      </c>
      <c r="CF191" s="710">
        <v>104.52957634722164</v>
      </c>
      <c r="CG191" s="710">
        <v>108.85086115216609</v>
      </c>
      <c r="CH191" s="710">
        <v>112.64607993922857</v>
      </c>
      <c r="CI191" s="710">
        <v>115.97372278348962</v>
      </c>
      <c r="CJ191" s="710">
        <v>118.88862940254712</v>
      </c>
      <c r="CK191" s="710">
        <v>121.44241665367792</v>
      </c>
      <c r="CL191" s="710">
        <v>123.67334199098531</v>
      </c>
      <c r="CM191" s="710">
        <v>125.62624936496421</v>
      </c>
      <c r="CN191" s="710">
        <v>127.34529317236502</v>
      </c>
      <c r="CO191" s="710">
        <v>128.87424474023857</v>
      </c>
      <c r="CP191" s="710">
        <v>130.19799320451307</v>
      </c>
      <c r="CQ191" s="710">
        <v>131.81850428998089</v>
      </c>
      <c r="CR191" s="710">
        <v>134.10066093002993</v>
      </c>
      <c r="CS191" s="710">
        <v>137.09906973089591</v>
      </c>
      <c r="CT191" s="710">
        <v>140.84378989248742</v>
      </c>
      <c r="CU191" s="710">
        <v>145.35159078996824</v>
      </c>
      <c r="CV191" s="710">
        <v>150.64550512794716</v>
      </c>
      <c r="CW191" s="710">
        <v>156.75315532026866</v>
      </c>
      <c r="CX191" s="710">
        <v>163.70444429148694</v>
      </c>
      <c r="CY191" s="710">
        <v>171.54546794186547</v>
      </c>
      <c r="CZ191" s="710">
        <v>180.31570918185596</v>
      </c>
      <c r="DA191" s="710">
        <v>190.05613621841837</v>
      </c>
      <c r="DB191" s="710"/>
      <c r="DC191" s="12">
        <f t="shared" si="219"/>
        <v>0</v>
      </c>
      <c r="DD191" s="12">
        <f t="shared" si="226"/>
        <v>65.508347791037522</v>
      </c>
      <c r="DE191" s="12">
        <f t="shared" si="220"/>
        <v>481.11455613394753</v>
      </c>
      <c r="DF191" s="12">
        <f t="shared" si="221"/>
        <v>823.74497215254894</v>
      </c>
      <c r="DG191" s="12">
        <f t="shared" si="222"/>
        <v>799.43573482405088</v>
      </c>
      <c r="DH191" s="12">
        <f t="shared" si="223"/>
        <v>1381.8214385246672</v>
      </c>
      <c r="DI191" s="12">
        <f t="shared" si="227"/>
        <v>1832.4320269197178</v>
      </c>
    </row>
    <row r="192" spans="2:113" outlineLevel="2">
      <c r="B192" s="758"/>
      <c r="F192" s="126" t="s">
        <v>798</v>
      </c>
      <c r="I192" s="609" t="s">
        <v>736</v>
      </c>
      <c r="O192" s="710"/>
      <c r="P192" s="710"/>
      <c r="Q192" s="710"/>
      <c r="R192" s="710"/>
      <c r="S192" s="710"/>
      <c r="T192" s="710"/>
      <c r="U192" s="710"/>
      <c r="V192" s="710"/>
      <c r="W192" s="710"/>
      <c r="X192" s="710"/>
      <c r="Y192" s="710"/>
      <c r="Z192" s="710"/>
      <c r="AA192" s="713"/>
      <c r="AB192" s="713"/>
      <c r="AC192" s="713"/>
      <c r="AD192" s="713"/>
      <c r="AE192" s="713"/>
      <c r="AF192" s="712"/>
      <c r="AG192" s="710"/>
      <c r="AH192" s="710"/>
      <c r="AI192" s="710"/>
      <c r="AJ192" s="716"/>
      <c r="AK192" s="716"/>
      <c r="AL192" s="716"/>
      <c r="AM192" s="903">
        <v>-2.9454277000000001E-2</v>
      </c>
      <c r="AN192" s="903">
        <v>-0.66474965200000002</v>
      </c>
      <c r="AO192" s="902">
        <v>-1.169225886</v>
      </c>
      <c r="AP192" s="902">
        <v>-1.3259063959999999</v>
      </c>
      <c r="AQ192" s="721">
        <v>-1.686058348</v>
      </c>
      <c r="AR192" s="710">
        <v>-2.315981528330084</v>
      </c>
      <c r="AS192" s="710">
        <v>-2.9826848421490322</v>
      </c>
      <c r="AT192" s="710">
        <v>-3.7116202959139</v>
      </c>
      <c r="AU192" s="710">
        <v>-4.2512522700458755</v>
      </c>
      <c r="AV192" s="710">
        <v>-4.7163798357196818</v>
      </c>
      <c r="AW192" s="710">
        <v>-5.3013220699416772</v>
      </c>
      <c r="AX192" s="710">
        <v>-5.8930006969258626</v>
      </c>
      <c r="AY192" s="710">
        <v>-6.4830394699360836</v>
      </c>
      <c r="AZ192" s="710">
        <v>-7.0775564219683744</v>
      </c>
      <c r="BA192" s="710">
        <v>-7.7034052012151228</v>
      </c>
      <c r="BB192" s="710">
        <v>-8.3551037931580776</v>
      </c>
      <c r="BC192" s="710">
        <v>-9.0277422678930943</v>
      </c>
      <c r="BD192" s="710">
        <v>-9.7344157367857793</v>
      </c>
      <c r="BE192" s="710">
        <v>-10.482579318291561</v>
      </c>
      <c r="BF192" s="710">
        <v>-11.189832884695136</v>
      </c>
      <c r="BG192" s="710">
        <v>-11.776067928687683</v>
      </c>
      <c r="BH192" s="710">
        <v>-12.236014355082098</v>
      </c>
      <c r="BI192" s="710">
        <v>-12.573105019776945</v>
      </c>
      <c r="BJ192" s="710">
        <v>-12.757719393433858</v>
      </c>
      <c r="BK192" s="710">
        <v>-12.793301331307603</v>
      </c>
      <c r="BL192" s="710">
        <v>-12.73273910408335</v>
      </c>
      <c r="BM192" s="710">
        <v>-12.583502376876105</v>
      </c>
      <c r="BN192" s="710">
        <v>-12.355058303486276</v>
      </c>
      <c r="BO192" s="710">
        <v>-12.061411881289784</v>
      </c>
      <c r="BP192" s="710">
        <v>-11.652636927369137</v>
      </c>
      <c r="BQ192" s="710">
        <v>-11.135124068554534</v>
      </c>
      <c r="BR192" s="710">
        <v>-10.687117435873027</v>
      </c>
      <c r="BS192" s="710">
        <v>-10.424125271193011</v>
      </c>
      <c r="BT192" s="710">
        <v>-10.275408401408521</v>
      </c>
      <c r="BU192" s="710">
        <v>-10.234722141503036</v>
      </c>
      <c r="BV192" s="710">
        <v>-10.36147814668662</v>
      </c>
      <c r="BW192" s="710">
        <v>-10.644693842762262</v>
      </c>
      <c r="BX192" s="710">
        <v>-11.07551390439181</v>
      </c>
      <c r="BY192" s="710">
        <v>-11.645024066704059</v>
      </c>
      <c r="BZ192" s="710">
        <v>-12.340237005787513</v>
      </c>
      <c r="CA192" s="710">
        <v>-13.145618828033902</v>
      </c>
      <c r="CB192" s="710">
        <v>-14.046842492615239</v>
      </c>
      <c r="CC192" s="710">
        <v>-15.029216254806997</v>
      </c>
      <c r="CD192" s="710">
        <v>-16.025027880957023</v>
      </c>
      <c r="CE192" s="710">
        <v>-16.969080697225358</v>
      </c>
      <c r="CF192" s="710">
        <v>-17.849599844979664</v>
      </c>
      <c r="CG192" s="710">
        <v>-18.654343912996165</v>
      </c>
      <c r="CH192" s="710">
        <v>-19.379081742857643</v>
      </c>
      <c r="CI192" s="710">
        <v>-20.027800697227754</v>
      </c>
      <c r="CJ192" s="710">
        <v>-20.60458668973455</v>
      </c>
      <c r="CK192" s="710">
        <v>-21.113676041815395</v>
      </c>
      <c r="CL192" s="710">
        <v>-21.560748176431819</v>
      </c>
      <c r="CM192" s="710">
        <v>-21.952968776489673</v>
      </c>
      <c r="CN192" s="710">
        <v>-22.297799546278465</v>
      </c>
      <c r="CO192" s="710">
        <v>-22.603065681964726</v>
      </c>
      <c r="CP192" s="710">
        <v>-22.869513988022771</v>
      </c>
      <c r="CQ192" s="710">
        <v>-23.157354724846513</v>
      </c>
      <c r="CR192" s="710">
        <v>-23.536230614446009</v>
      </c>
      <c r="CS192" s="710">
        <v>-24.019032944820584</v>
      </c>
      <c r="CT192" s="710">
        <v>-24.615794117311808</v>
      </c>
      <c r="CU192" s="710">
        <v>-25.333499249529265</v>
      </c>
      <c r="CV192" s="710">
        <v>-26.179808562754754</v>
      </c>
      <c r="CW192" s="710">
        <v>-27.162954292039203</v>
      </c>
      <c r="CX192" s="710">
        <v>-28.291822923897044</v>
      </c>
      <c r="CY192" s="710">
        <v>-29.574404127592583</v>
      </c>
      <c r="CZ192" s="710">
        <v>-31.017479357674677</v>
      </c>
      <c r="DA192" s="710">
        <v>-32.627958363814813</v>
      </c>
      <c r="DB192" s="710"/>
      <c r="DC192" s="12">
        <f t="shared" si="219"/>
        <v>0</v>
      </c>
      <c r="DD192" s="12">
        <f t="shared" si="226"/>
        <v>-10.174060929479117</v>
      </c>
      <c r="DE192" s="12">
        <f t="shared" si="220"/>
        <v>-82.737417377795097</v>
      </c>
      <c r="DF192" s="12">
        <f t="shared" si="221"/>
        <v>-145.84651357464253</v>
      </c>
      <c r="DG192" s="12">
        <f t="shared" si="222"/>
        <v>-139.90999779176599</v>
      </c>
      <c r="DH192" s="12">
        <f t="shared" si="223"/>
        <v>-239.03777968895827</v>
      </c>
      <c r="DI192" s="12">
        <f t="shared" si="227"/>
        <v>-318.38585326674996</v>
      </c>
    </row>
    <row r="193" spans="2:113" s="12" customFormat="1" outlineLevel="2">
      <c r="B193" s="758"/>
      <c r="E193" s="14" t="s">
        <v>593</v>
      </c>
      <c r="H193" s="865"/>
      <c r="I193" s="609" t="s">
        <v>736</v>
      </c>
      <c r="J193" s="865"/>
      <c r="K193" s="865"/>
      <c r="L193" s="865"/>
      <c r="M193" s="865"/>
      <c r="W193" s="14"/>
      <c r="AB193" s="702"/>
      <c r="AC193" s="702"/>
      <c r="AD193" s="702"/>
      <c r="AE193" s="702"/>
      <c r="AF193" s="702"/>
      <c r="AG193" s="702"/>
      <c r="AH193" s="702"/>
      <c r="AI193" s="702"/>
      <c r="AJ193" s="723"/>
      <c r="AK193" s="723"/>
      <c r="AL193" s="723"/>
      <c r="AM193" s="723">
        <f>SUM(AM194:AM200)</f>
        <v>2.590670426</v>
      </c>
      <c r="AN193" s="723">
        <f t="shared" ref="AN193:CY193" si="232">SUM(AN194:AN200)</f>
        <v>4.6026302530000001</v>
      </c>
      <c r="AO193" s="723">
        <f t="shared" si="232"/>
        <v>3.6940137430000002</v>
      </c>
      <c r="AP193" s="723">
        <f t="shared" si="232"/>
        <v>3.6479204250000001</v>
      </c>
      <c r="AQ193" s="723">
        <f t="shared" si="232"/>
        <v>4.4904976900000007</v>
      </c>
      <c r="AR193" s="723">
        <f t="shared" si="232"/>
        <v>5.3532500000000001</v>
      </c>
      <c r="AS193" s="723">
        <f t="shared" si="232"/>
        <v>6.5205000000000002</v>
      </c>
      <c r="AT193" s="696">
        <f t="shared" si="232"/>
        <v>7.0034999999999998</v>
      </c>
      <c r="AU193" s="696">
        <f t="shared" si="232"/>
        <v>4.9809374999999996</v>
      </c>
      <c r="AV193" s="696">
        <f t="shared" si="232"/>
        <v>7.01859375</v>
      </c>
      <c r="AW193" s="696">
        <f t="shared" si="232"/>
        <v>7.5831</v>
      </c>
      <c r="AX193" s="696">
        <f t="shared" si="232"/>
        <v>8.1687375000000007</v>
      </c>
      <c r="AY193" s="696">
        <f t="shared" si="232"/>
        <v>8.7755062499999994</v>
      </c>
      <c r="AZ193" s="696">
        <f t="shared" si="232"/>
        <v>9.4034062499999997</v>
      </c>
      <c r="BA193" s="696">
        <f t="shared" si="232"/>
        <v>10.052437499999998</v>
      </c>
      <c r="BB193" s="696">
        <f t="shared" si="232"/>
        <v>10.722599999999998</v>
      </c>
      <c r="BC193" s="696">
        <f t="shared" si="232"/>
        <v>11.413893749999998</v>
      </c>
      <c r="BD193" s="696">
        <f t="shared" si="232"/>
        <v>12.126318749999996</v>
      </c>
      <c r="BE193" s="696">
        <f t="shared" si="232"/>
        <v>12.859874999999995</v>
      </c>
      <c r="BF193" s="723">
        <f t="shared" si="232"/>
        <v>12.291343749999996</v>
      </c>
      <c r="BG193" s="723">
        <f t="shared" si="232"/>
        <v>11.722812499999996</v>
      </c>
      <c r="BH193" s="723">
        <f t="shared" si="232"/>
        <v>11.154281249999999</v>
      </c>
      <c r="BI193" s="723">
        <f t="shared" si="232"/>
        <v>10.585749999999999</v>
      </c>
      <c r="BJ193" s="723">
        <f t="shared" si="232"/>
        <v>10.017218749999996</v>
      </c>
      <c r="BK193" s="723">
        <f t="shared" si="232"/>
        <v>9.4486874999999966</v>
      </c>
      <c r="BL193" s="723">
        <f t="shared" si="232"/>
        <v>8.8801562499999989</v>
      </c>
      <c r="BM193" s="723">
        <f t="shared" si="232"/>
        <v>8.3116249999999976</v>
      </c>
      <c r="BN193" s="723">
        <f t="shared" si="232"/>
        <v>7.7430937499999981</v>
      </c>
      <c r="BO193" s="723">
        <f t="shared" si="232"/>
        <v>7.1745624999999977</v>
      </c>
      <c r="BP193" s="723">
        <f t="shared" si="232"/>
        <v>6.6060312499999974</v>
      </c>
      <c r="BQ193" s="723">
        <f t="shared" si="232"/>
        <v>6.0374999999999996</v>
      </c>
      <c r="BR193" s="723">
        <f t="shared" si="232"/>
        <v>6.9431249999999993</v>
      </c>
      <c r="BS193" s="723">
        <f t="shared" si="232"/>
        <v>7.8487499999999999</v>
      </c>
      <c r="BT193" s="723">
        <f t="shared" si="232"/>
        <v>8.7543750000000014</v>
      </c>
      <c r="BU193" s="723">
        <f t="shared" si="232"/>
        <v>9.66</v>
      </c>
      <c r="BV193" s="723">
        <f t="shared" si="232"/>
        <v>10.565625000000001</v>
      </c>
      <c r="BW193" s="723">
        <f t="shared" si="232"/>
        <v>11.471250000000001</v>
      </c>
      <c r="BX193" s="723">
        <f t="shared" si="232"/>
        <v>12.376875</v>
      </c>
      <c r="BY193" s="723">
        <f t="shared" si="232"/>
        <v>13.282500000000001</v>
      </c>
      <c r="BZ193" s="723">
        <f t="shared" si="232"/>
        <v>14.188125000000001</v>
      </c>
      <c r="CA193" s="723">
        <f t="shared" si="232"/>
        <v>15.09375</v>
      </c>
      <c r="CB193" s="723">
        <f t="shared" si="232"/>
        <v>15.999374999999999</v>
      </c>
      <c r="CC193" s="723">
        <f t="shared" si="232"/>
        <v>16.905000000000001</v>
      </c>
      <c r="CD193" s="723">
        <f t="shared" si="232"/>
        <v>17.106249999999999</v>
      </c>
      <c r="CE193" s="723">
        <f t="shared" si="232"/>
        <v>17.307499999999997</v>
      </c>
      <c r="CF193" s="723">
        <f t="shared" si="232"/>
        <v>17.508749999999999</v>
      </c>
      <c r="CG193" s="723">
        <f t="shared" si="232"/>
        <v>17.709999999999997</v>
      </c>
      <c r="CH193" s="723">
        <f t="shared" si="232"/>
        <v>17.911249999999995</v>
      </c>
      <c r="CI193" s="723">
        <f t="shared" si="232"/>
        <v>18.112499999999994</v>
      </c>
      <c r="CJ193" s="723">
        <f t="shared" si="232"/>
        <v>18.313749999999995</v>
      </c>
      <c r="CK193" s="723">
        <f t="shared" si="232"/>
        <v>18.514999999999993</v>
      </c>
      <c r="CL193" s="723">
        <f t="shared" si="232"/>
        <v>18.716249999999995</v>
      </c>
      <c r="CM193" s="723">
        <f t="shared" si="232"/>
        <v>18.917499999999993</v>
      </c>
      <c r="CN193" s="723">
        <f t="shared" si="232"/>
        <v>19.118749999999991</v>
      </c>
      <c r="CO193" s="723">
        <f t="shared" si="232"/>
        <v>19.32</v>
      </c>
      <c r="CP193" s="723">
        <f t="shared" si="232"/>
        <v>19.420624999999998</v>
      </c>
      <c r="CQ193" s="723">
        <f t="shared" si="232"/>
        <v>19.521249999999998</v>
      </c>
      <c r="CR193" s="723">
        <f t="shared" si="232"/>
        <v>19.621874999999999</v>
      </c>
      <c r="CS193" s="723">
        <f t="shared" si="232"/>
        <v>19.722499999999997</v>
      </c>
      <c r="CT193" s="723">
        <f t="shared" si="232"/>
        <v>19.823124999999994</v>
      </c>
      <c r="CU193" s="723">
        <f t="shared" si="232"/>
        <v>19.923749999999991</v>
      </c>
      <c r="CV193" s="723">
        <f t="shared" si="232"/>
        <v>20.024374999999996</v>
      </c>
      <c r="CW193" s="723">
        <f t="shared" si="232"/>
        <v>20.124999999999989</v>
      </c>
      <c r="CX193" s="723">
        <f t="shared" si="232"/>
        <v>20.22562499999999</v>
      </c>
      <c r="CY193" s="723">
        <f t="shared" si="232"/>
        <v>20.326249999999987</v>
      </c>
      <c r="CZ193" s="723">
        <f t="shared" ref="CZ193:DA193" si="233">SUM(CZ194:CZ200)</f>
        <v>20.426874999999988</v>
      </c>
      <c r="DA193" s="723">
        <f t="shared" si="233"/>
        <v>20.5275</v>
      </c>
      <c r="DB193" s="702"/>
      <c r="DC193" s="14">
        <f t="shared" si="219"/>
        <v>0</v>
      </c>
      <c r="DD193" s="14">
        <f t="shared" si="226"/>
        <v>30.899482536999997</v>
      </c>
      <c r="DE193" s="14">
        <f t="shared" si="220"/>
        <v>110.10890624999999</v>
      </c>
      <c r="DF193" s="14">
        <f t="shared" si="221"/>
        <v>109.97306249999995</v>
      </c>
      <c r="DG193" s="14">
        <f t="shared" si="222"/>
        <v>143.08875</v>
      </c>
      <c r="DH193" s="14">
        <f t="shared" si="223"/>
        <v>218.55749999999995</v>
      </c>
      <c r="DI193" s="14">
        <f t="shared" si="227"/>
        <v>239.68874999999994</v>
      </c>
    </row>
    <row r="194" spans="2:113" outlineLevel="2">
      <c r="B194" s="758"/>
      <c r="F194" s="126" t="s">
        <v>540</v>
      </c>
      <c r="I194" s="609" t="s">
        <v>736</v>
      </c>
      <c r="O194" s="710"/>
      <c r="P194" s="710"/>
      <c r="Q194" s="710"/>
      <c r="R194" s="710"/>
      <c r="S194" s="710"/>
      <c r="T194" s="710"/>
      <c r="U194" s="710"/>
      <c r="V194" s="710"/>
      <c r="Z194" s="710"/>
      <c r="AA194" s="710"/>
      <c r="AB194" s="713"/>
      <c r="AC194" s="713"/>
      <c r="AD194" s="713"/>
      <c r="AE194" s="712"/>
      <c r="AF194" s="712"/>
      <c r="AG194" s="710"/>
      <c r="AH194" s="710"/>
      <c r="AI194" s="710"/>
      <c r="AJ194" s="716"/>
      <c r="AK194" s="716"/>
      <c r="AL194" s="716"/>
      <c r="AM194" s="712">
        <v>2.5605477259999998</v>
      </c>
      <c r="AN194" s="712">
        <v>4.4123104949999998</v>
      </c>
      <c r="AO194" s="912">
        <v>3.4225269460000001</v>
      </c>
      <c r="AP194" s="712">
        <v>3.315181522</v>
      </c>
      <c r="AQ194" s="710">
        <v>4.2673673700000005</v>
      </c>
      <c r="AR194" s="710">
        <v>5.08725</v>
      </c>
      <c r="AS194" s="710">
        <v>6.1965000000000003</v>
      </c>
      <c r="AT194" s="710">
        <v>6.6555</v>
      </c>
      <c r="AU194" s="710">
        <v>4.7334375</v>
      </c>
      <c r="AV194" s="710">
        <v>6.6698437500000001</v>
      </c>
      <c r="AW194" s="710">
        <v>7.2062999999999997</v>
      </c>
      <c r="AX194" s="710">
        <v>7.7628374999999998</v>
      </c>
      <c r="AY194" s="710">
        <v>8.3394562499999996</v>
      </c>
      <c r="AZ194" s="710">
        <v>8.9361562499999998</v>
      </c>
      <c r="BA194" s="710">
        <v>9.5529374999999987</v>
      </c>
      <c r="BB194" s="710">
        <v>10.189799999999998</v>
      </c>
      <c r="BC194" s="710">
        <v>10.846743749999998</v>
      </c>
      <c r="BD194" s="710">
        <v>11.523768749999997</v>
      </c>
      <c r="BE194" s="710">
        <v>12.220874999999996</v>
      </c>
      <c r="BF194" s="710">
        <v>11.680593749999996</v>
      </c>
      <c r="BG194" s="710">
        <v>11.140312499999997</v>
      </c>
      <c r="BH194" s="710">
        <v>10.600031249999999</v>
      </c>
      <c r="BI194" s="710">
        <v>10.059749999999999</v>
      </c>
      <c r="BJ194" s="710">
        <v>9.5194687499999961</v>
      </c>
      <c r="BK194" s="710">
        <v>8.9791874999999965</v>
      </c>
      <c r="BL194" s="710">
        <v>8.4389062499999987</v>
      </c>
      <c r="BM194" s="710">
        <v>7.8986249999999982</v>
      </c>
      <c r="BN194" s="710">
        <v>7.3583437499999977</v>
      </c>
      <c r="BO194" s="710">
        <v>6.8180624999999981</v>
      </c>
      <c r="BP194" s="710">
        <v>6.2777812499999976</v>
      </c>
      <c r="BQ194" s="710">
        <v>5.7374999999999998</v>
      </c>
      <c r="BR194" s="710">
        <v>6.5981249999999996</v>
      </c>
      <c r="BS194" s="710">
        <v>7.4587500000000002</v>
      </c>
      <c r="BT194" s="710">
        <v>8.3193750000000009</v>
      </c>
      <c r="BU194" s="710">
        <v>9.18</v>
      </c>
      <c r="BV194" s="710">
        <v>10.040625</v>
      </c>
      <c r="BW194" s="710">
        <v>10.901250000000001</v>
      </c>
      <c r="BX194" s="710">
        <v>11.761875</v>
      </c>
      <c r="BY194" s="710">
        <v>12.6225</v>
      </c>
      <c r="BZ194" s="710">
        <v>13.483125000000001</v>
      </c>
      <c r="CA194" s="710">
        <v>14.34375</v>
      </c>
      <c r="CB194" s="710">
        <v>15.204374999999999</v>
      </c>
      <c r="CC194" s="710">
        <v>16.065000000000001</v>
      </c>
      <c r="CD194" s="710">
        <v>16.256249999999998</v>
      </c>
      <c r="CE194" s="710">
        <v>16.447499999999998</v>
      </c>
      <c r="CF194" s="710">
        <v>16.638749999999998</v>
      </c>
      <c r="CG194" s="710">
        <v>16.829999999999998</v>
      </c>
      <c r="CH194" s="710">
        <v>17.021249999999995</v>
      </c>
      <c r="CI194" s="710">
        <v>17.212499999999995</v>
      </c>
      <c r="CJ194" s="710">
        <v>17.403749999999995</v>
      </c>
      <c r="CK194" s="710">
        <v>17.594999999999995</v>
      </c>
      <c r="CL194" s="710">
        <v>17.786249999999995</v>
      </c>
      <c r="CM194" s="710">
        <v>17.977499999999992</v>
      </c>
      <c r="CN194" s="710">
        <v>18.168749999999992</v>
      </c>
      <c r="CO194" s="710">
        <v>18.36</v>
      </c>
      <c r="CP194" s="710">
        <v>18.455624999999998</v>
      </c>
      <c r="CQ194" s="710">
        <v>18.55125</v>
      </c>
      <c r="CR194" s="710">
        <v>18.646874999999998</v>
      </c>
      <c r="CS194" s="710">
        <v>18.742499999999996</v>
      </c>
      <c r="CT194" s="710">
        <v>18.838124999999994</v>
      </c>
      <c r="CU194" s="710">
        <v>18.933749999999993</v>
      </c>
      <c r="CV194" s="710">
        <v>19.029374999999995</v>
      </c>
      <c r="CW194" s="710">
        <v>19.124999999999989</v>
      </c>
      <c r="CX194" s="710">
        <v>19.220624999999991</v>
      </c>
      <c r="CY194" s="710">
        <v>19.316249999999989</v>
      </c>
      <c r="CZ194" s="710">
        <v>19.411874999999988</v>
      </c>
      <c r="DA194" s="710">
        <v>19.5075</v>
      </c>
      <c r="DB194" s="710"/>
      <c r="DC194" s="12">
        <f>SUM(V194:AG194)</f>
        <v>0</v>
      </c>
      <c r="DD194" s="12">
        <f>SUM(AH194:AS194)</f>
        <v>29.261684059</v>
      </c>
      <c r="DE194" s="12">
        <f>SUM(AT194:BE194)</f>
        <v>104.63765624999999</v>
      </c>
      <c r="DF194" s="12">
        <f>SUM(BF194:BQ194)</f>
        <v>104.50856249999998</v>
      </c>
      <c r="DG194" s="12">
        <f>SUM(BR194:CC194)</f>
        <v>135.97875000000002</v>
      </c>
      <c r="DH194" s="12">
        <f>SUM(CD194:CO194)</f>
        <v>207.69749999999993</v>
      </c>
      <c r="DI194" s="12">
        <f t="shared" si="227"/>
        <v>227.77874999999992</v>
      </c>
    </row>
    <row r="195" spans="2:113" outlineLevel="2">
      <c r="B195" s="758"/>
      <c r="F195" s="126" t="s">
        <v>799</v>
      </c>
      <c r="I195" s="609" t="s">
        <v>736</v>
      </c>
      <c r="O195" s="710"/>
      <c r="P195" s="710"/>
      <c r="Q195" s="710"/>
      <c r="R195" s="710"/>
      <c r="S195" s="710"/>
      <c r="T195" s="710"/>
      <c r="U195" s="710"/>
      <c r="V195" s="710"/>
      <c r="Z195" s="710"/>
      <c r="AA195" s="710"/>
      <c r="AB195" s="713"/>
      <c r="AC195" s="713"/>
      <c r="AD195" s="713"/>
      <c r="AE195" s="712"/>
      <c r="AF195" s="712"/>
      <c r="AG195" s="710"/>
      <c r="AH195" s="710"/>
      <c r="AI195" s="710"/>
      <c r="AJ195" s="716"/>
      <c r="AK195" s="716"/>
      <c r="AL195" s="716"/>
      <c r="AM195" s="712">
        <v>3.0122699999999999E-2</v>
      </c>
      <c r="AN195" s="712">
        <v>0.19031975800000001</v>
      </c>
      <c r="AO195" s="712">
        <v>0.271486797</v>
      </c>
      <c r="AP195" s="712">
        <v>0.33273890299999997</v>
      </c>
      <c r="AQ195" s="710">
        <v>0.22313032000000005</v>
      </c>
      <c r="AR195" s="710">
        <v>0.26600000000000001</v>
      </c>
      <c r="AS195" s="710">
        <v>0.32400000000000001</v>
      </c>
      <c r="AT195" s="710">
        <v>0.34800000000000003</v>
      </c>
      <c r="AU195" s="710">
        <v>0.2475</v>
      </c>
      <c r="AV195" s="710">
        <v>0.34875</v>
      </c>
      <c r="AW195" s="710">
        <v>0.37680000000000002</v>
      </c>
      <c r="AX195" s="710">
        <v>0.40589999999999998</v>
      </c>
      <c r="AY195" s="710">
        <v>0.43604999999999999</v>
      </c>
      <c r="AZ195" s="710">
        <v>0.46724999999999994</v>
      </c>
      <c r="BA195" s="710">
        <v>0.49949999999999989</v>
      </c>
      <c r="BB195" s="710">
        <v>0.53279999999999983</v>
      </c>
      <c r="BC195" s="710">
        <v>0.56714999999999993</v>
      </c>
      <c r="BD195" s="710">
        <v>0.60254999999999992</v>
      </c>
      <c r="BE195" s="710">
        <v>0.63899999999999979</v>
      </c>
      <c r="BF195" s="710">
        <v>0.61074999999999979</v>
      </c>
      <c r="BG195" s="710">
        <v>0.5824999999999998</v>
      </c>
      <c r="BH195" s="710">
        <v>0.55424999999999991</v>
      </c>
      <c r="BI195" s="710">
        <v>0.52599999999999991</v>
      </c>
      <c r="BJ195" s="710">
        <v>0.49774999999999986</v>
      </c>
      <c r="BK195" s="710">
        <v>0.46949999999999992</v>
      </c>
      <c r="BL195" s="710">
        <v>0.44124999999999992</v>
      </c>
      <c r="BM195" s="710">
        <v>0.41299999999999992</v>
      </c>
      <c r="BN195" s="710">
        <v>0.38474999999999993</v>
      </c>
      <c r="BO195" s="710">
        <v>0.35649999999999993</v>
      </c>
      <c r="BP195" s="710">
        <v>0.32824999999999988</v>
      </c>
      <c r="BQ195" s="710">
        <v>0.3</v>
      </c>
      <c r="BR195" s="710">
        <v>0.34500000000000003</v>
      </c>
      <c r="BS195" s="710">
        <v>0.39</v>
      </c>
      <c r="BT195" s="710">
        <v>0.435</v>
      </c>
      <c r="BU195" s="710">
        <v>0.48</v>
      </c>
      <c r="BV195" s="710">
        <v>0.52500000000000002</v>
      </c>
      <c r="BW195" s="710">
        <v>0.57000000000000006</v>
      </c>
      <c r="BX195" s="710">
        <v>0.61499999999999999</v>
      </c>
      <c r="BY195" s="710">
        <v>0.66</v>
      </c>
      <c r="BZ195" s="710">
        <v>0.70499999999999996</v>
      </c>
      <c r="CA195" s="710">
        <v>0.75</v>
      </c>
      <c r="CB195" s="710">
        <v>0.79500000000000004</v>
      </c>
      <c r="CC195" s="710">
        <v>0.84</v>
      </c>
      <c r="CD195" s="710">
        <v>0.85</v>
      </c>
      <c r="CE195" s="710">
        <v>0.86</v>
      </c>
      <c r="CF195" s="710">
        <v>0.87</v>
      </c>
      <c r="CG195" s="710">
        <v>0.88</v>
      </c>
      <c r="CH195" s="710">
        <v>0.8899999999999999</v>
      </c>
      <c r="CI195" s="710">
        <v>0.89999999999999991</v>
      </c>
      <c r="CJ195" s="710">
        <v>0.90999999999999992</v>
      </c>
      <c r="CK195" s="710">
        <v>0.91999999999999993</v>
      </c>
      <c r="CL195" s="710">
        <v>0.92999999999999972</v>
      </c>
      <c r="CM195" s="710">
        <v>0.93999999999999972</v>
      </c>
      <c r="CN195" s="710">
        <v>0.94999999999999973</v>
      </c>
      <c r="CO195" s="710">
        <v>0.96</v>
      </c>
      <c r="CP195" s="710">
        <v>0.96499999999999997</v>
      </c>
      <c r="CQ195" s="710">
        <v>0.97</v>
      </c>
      <c r="CR195" s="710">
        <v>0.97499999999999987</v>
      </c>
      <c r="CS195" s="710">
        <v>0.97999999999999987</v>
      </c>
      <c r="CT195" s="710">
        <v>0.98499999999999976</v>
      </c>
      <c r="CU195" s="710">
        <v>0.98999999999999955</v>
      </c>
      <c r="CV195" s="710">
        <v>0.99499999999999955</v>
      </c>
      <c r="CW195" s="710">
        <v>0.99999999999999944</v>
      </c>
      <c r="CX195" s="710">
        <v>1.0049999999999994</v>
      </c>
      <c r="CY195" s="710">
        <v>1.0099999999999993</v>
      </c>
      <c r="CZ195" s="710">
        <v>1.0149999999999992</v>
      </c>
      <c r="DA195" s="710">
        <v>1.02</v>
      </c>
      <c r="DB195" s="710"/>
      <c r="DC195" s="12">
        <f t="shared" si="219"/>
        <v>0</v>
      </c>
      <c r="DD195" s="12">
        <f t="shared" si="226"/>
        <v>1.6377984780000001</v>
      </c>
      <c r="DE195" s="12">
        <f t="shared" si="220"/>
        <v>5.4712499999999995</v>
      </c>
      <c r="DF195" s="12">
        <f t="shared" si="221"/>
        <v>5.4644999999999984</v>
      </c>
      <c r="DG195" s="12">
        <f t="shared" si="222"/>
        <v>7.11</v>
      </c>
      <c r="DH195" s="12">
        <f t="shared" si="223"/>
        <v>10.86</v>
      </c>
      <c r="DI195" s="12">
        <f t="shared" si="227"/>
        <v>11.909999999999995</v>
      </c>
    </row>
    <row r="196" spans="2:113" outlineLevel="2">
      <c r="B196" s="758"/>
      <c r="F196" s="126" t="s">
        <v>800</v>
      </c>
      <c r="I196" s="609" t="s">
        <v>736</v>
      </c>
      <c r="O196" s="710"/>
      <c r="P196" s="710"/>
      <c r="Q196" s="710"/>
      <c r="R196" s="710"/>
      <c r="S196" s="710"/>
      <c r="T196" s="710"/>
      <c r="U196" s="710"/>
      <c r="V196" s="710"/>
      <c r="Z196" s="710"/>
      <c r="AA196" s="710"/>
      <c r="AB196" s="713"/>
      <c r="AC196" s="713"/>
      <c r="AD196" s="713"/>
      <c r="AE196" s="712"/>
      <c r="AF196" s="712"/>
      <c r="AG196" s="710"/>
      <c r="AH196" s="710"/>
      <c r="AI196" s="710"/>
      <c r="AJ196" s="710"/>
      <c r="AK196" s="710"/>
      <c r="AL196" s="710"/>
      <c r="AM196" s="710"/>
      <c r="AN196" s="710"/>
      <c r="AO196" s="710"/>
      <c r="AP196" s="710"/>
      <c r="AQ196" s="710"/>
      <c r="AR196" s="710"/>
      <c r="AS196" s="710"/>
      <c r="AT196" s="710"/>
      <c r="AU196" s="710"/>
      <c r="AV196" s="710"/>
      <c r="AW196" s="710"/>
      <c r="AX196" s="710"/>
      <c r="AY196" s="710"/>
      <c r="AZ196" s="710"/>
      <c r="BA196" s="710"/>
      <c r="BB196" s="710"/>
      <c r="BC196" s="710"/>
      <c r="BD196" s="710"/>
      <c r="BE196" s="710"/>
      <c r="BF196" s="710"/>
      <c r="BG196" s="710"/>
      <c r="BH196" s="710"/>
      <c r="BI196" s="710"/>
      <c r="BJ196" s="710"/>
      <c r="BK196" s="710"/>
      <c r="BL196" s="710"/>
      <c r="BM196" s="710"/>
      <c r="BN196" s="710"/>
      <c r="BO196" s="710"/>
      <c r="BP196" s="710"/>
      <c r="BQ196" s="710"/>
      <c r="BR196" s="710"/>
      <c r="BS196" s="710"/>
      <c r="BT196" s="710"/>
      <c r="BU196" s="710"/>
      <c r="BV196" s="710"/>
      <c r="BW196" s="710"/>
      <c r="BX196" s="710"/>
      <c r="BY196" s="710"/>
      <c r="BZ196" s="710"/>
      <c r="CA196" s="710"/>
      <c r="CB196" s="710"/>
      <c r="CC196" s="710"/>
      <c r="CD196" s="710"/>
      <c r="CE196" s="710"/>
      <c r="CF196" s="710"/>
      <c r="CG196" s="710"/>
      <c r="CH196" s="710"/>
      <c r="CI196" s="710"/>
      <c r="CJ196" s="710"/>
      <c r="CK196" s="710"/>
      <c r="CL196" s="710"/>
      <c r="CM196" s="710"/>
      <c r="CN196" s="710"/>
      <c r="CO196" s="710"/>
      <c r="CP196" s="710"/>
      <c r="CQ196" s="710"/>
      <c r="CR196" s="710"/>
      <c r="CS196" s="710"/>
      <c r="CT196" s="710"/>
      <c r="CU196" s="710"/>
      <c r="CV196" s="710"/>
      <c r="CW196" s="710"/>
      <c r="CX196" s="710"/>
      <c r="CY196" s="710"/>
      <c r="CZ196" s="710"/>
      <c r="DA196" s="710"/>
      <c r="DB196" s="710"/>
      <c r="DC196" s="12">
        <f t="shared" si="219"/>
        <v>0</v>
      </c>
      <c r="DD196" s="12">
        <f t="shared" si="226"/>
        <v>0</v>
      </c>
      <c r="DE196" s="12">
        <f t="shared" si="220"/>
        <v>0</v>
      </c>
      <c r="DF196" s="12">
        <f t="shared" si="221"/>
        <v>0</v>
      </c>
      <c r="DG196" s="12">
        <f t="shared" si="222"/>
        <v>0</v>
      </c>
      <c r="DH196" s="12">
        <f t="shared" si="223"/>
        <v>0</v>
      </c>
      <c r="DI196" s="12">
        <f t="shared" si="227"/>
        <v>0</v>
      </c>
    </row>
    <row r="197" spans="2:113" outlineLevel="2">
      <c r="B197" s="758"/>
      <c r="F197" s="126" t="s">
        <v>223</v>
      </c>
      <c r="I197" s="609" t="s">
        <v>736</v>
      </c>
      <c r="O197" s="710"/>
      <c r="P197" s="710"/>
      <c r="Q197" s="710"/>
      <c r="R197" s="710"/>
      <c r="S197" s="710"/>
      <c r="T197" s="710"/>
      <c r="U197" s="710"/>
      <c r="V197" s="710"/>
      <c r="Z197" s="710"/>
      <c r="AA197" s="710"/>
      <c r="AB197" s="713"/>
      <c r="AC197" s="713"/>
      <c r="AD197" s="713"/>
      <c r="AE197" s="712"/>
      <c r="AF197" s="712"/>
      <c r="AG197" s="710"/>
      <c r="AH197" s="710"/>
      <c r="AI197" s="710"/>
      <c r="AJ197" s="710"/>
      <c r="AK197" s="710"/>
      <c r="AL197" s="710"/>
      <c r="AM197" s="710"/>
      <c r="AN197" s="710"/>
      <c r="AO197" s="710"/>
      <c r="AP197" s="710"/>
      <c r="AQ197" s="710"/>
      <c r="AR197" s="710"/>
      <c r="AS197" s="710"/>
      <c r="AT197" s="710"/>
      <c r="AU197" s="710"/>
      <c r="AV197" s="710"/>
      <c r="AW197" s="710"/>
      <c r="AX197" s="710"/>
      <c r="AY197" s="710"/>
      <c r="AZ197" s="710"/>
      <c r="BA197" s="710"/>
      <c r="BB197" s="710"/>
      <c r="BC197" s="710"/>
      <c r="BD197" s="710"/>
      <c r="BE197" s="710"/>
      <c r="BF197" s="710"/>
      <c r="BG197" s="710"/>
      <c r="BH197" s="710"/>
      <c r="BI197" s="710"/>
      <c r="BJ197" s="710"/>
      <c r="BK197" s="710"/>
      <c r="BL197" s="710"/>
      <c r="BM197" s="710"/>
      <c r="BN197" s="710"/>
      <c r="BO197" s="710"/>
      <c r="BP197" s="710"/>
      <c r="BQ197" s="710"/>
      <c r="BR197" s="710"/>
      <c r="BS197" s="710"/>
      <c r="BT197" s="710"/>
      <c r="BU197" s="710"/>
      <c r="BV197" s="710"/>
      <c r="BW197" s="710"/>
      <c r="BX197" s="710"/>
      <c r="BY197" s="710"/>
      <c r="BZ197" s="710"/>
      <c r="CA197" s="710"/>
      <c r="CB197" s="710"/>
      <c r="CC197" s="710"/>
      <c r="CD197" s="710"/>
      <c r="CE197" s="710"/>
      <c r="CF197" s="710"/>
      <c r="CG197" s="710"/>
      <c r="CH197" s="710"/>
      <c r="CI197" s="710"/>
      <c r="CJ197" s="710"/>
      <c r="CK197" s="710"/>
      <c r="CL197" s="710"/>
      <c r="CM197" s="710"/>
      <c r="CN197" s="710"/>
      <c r="CO197" s="710"/>
      <c r="CP197" s="710"/>
      <c r="CQ197" s="710"/>
      <c r="CR197" s="710"/>
      <c r="CS197" s="710"/>
      <c r="CT197" s="710"/>
      <c r="CU197" s="710"/>
      <c r="CV197" s="710"/>
      <c r="CW197" s="710"/>
      <c r="CX197" s="710"/>
      <c r="CY197" s="710"/>
      <c r="CZ197" s="710"/>
      <c r="DA197" s="710"/>
      <c r="DB197" s="710"/>
      <c r="DC197" s="12">
        <f t="shared" si="219"/>
        <v>0</v>
      </c>
      <c r="DD197" s="12">
        <f t="shared" si="226"/>
        <v>0</v>
      </c>
      <c r="DE197" s="12">
        <f t="shared" si="220"/>
        <v>0</v>
      </c>
      <c r="DF197" s="12">
        <f t="shared" si="221"/>
        <v>0</v>
      </c>
      <c r="DG197" s="12">
        <f t="shared" si="222"/>
        <v>0</v>
      </c>
      <c r="DH197" s="12">
        <f t="shared" si="223"/>
        <v>0</v>
      </c>
      <c r="DI197" s="12">
        <f t="shared" si="227"/>
        <v>0</v>
      </c>
    </row>
    <row r="198" spans="2:113" outlineLevel="2">
      <c r="B198" s="758"/>
      <c r="F198" s="126" t="s">
        <v>221</v>
      </c>
      <c r="I198" s="609" t="s">
        <v>736</v>
      </c>
      <c r="O198" s="710"/>
      <c r="P198" s="710"/>
      <c r="Q198" s="710"/>
      <c r="R198" s="710"/>
      <c r="S198" s="710"/>
      <c r="T198" s="710"/>
      <c r="U198" s="710"/>
      <c r="V198" s="710"/>
      <c r="Z198" s="710"/>
      <c r="AA198" s="710"/>
      <c r="AB198" s="713"/>
      <c r="AC198" s="713"/>
      <c r="AD198" s="713"/>
      <c r="AE198" s="712"/>
      <c r="AF198" s="712"/>
      <c r="AG198" s="710"/>
      <c r="AH198" s="710"/>
      <c r="AI198" s="710"/>
      <c r="AJ198" s="710"/>
      <c r="AK198" s="710"/>
      <c r="AL198" s="710"/>
      <c r="AM198" s="710"/>
      <c r="AN198" s="710"/>
      <c r="AO198" s="710"/>
      <c r="AP198" s="710"/>
      <c r="AQ198" s="913"/>
      <c r="AR198" s="710"/>
      <c r="AS198" s="710"/>
      <c r="AT198" s="710"/>
      <c r="AU198" s="710"/>
      <c r="AV198" s="710"/>
      <c r="AW198" s="710"/>
      <c r="AX198" s="710"/>
      <c r="AY198" s="710"/>
      <c r="AZ198" s="710"/>
      <c r="BA198" s="710"/>
      <c r="BB198" s="710"/>
      <c r="BC198" s="710"/>
      <c r="BD198" s="710"/>
      <c r="BE198" s="710"/>
      <c r="BF198" s="710"/>
      <c r="BG198" s="710"/>
      <c r="BH198" s="710"/>
      <c r="BI198" s="710"/>
      <c r="BJ198" s="710"/>
      <c r="BK198" s="710"/>
      <c r="BL198" s="710"/>
      <c r="BM198" s="710"/>
      <c r="BN198" s="710"/>
      <c r="BO198" s="710"/>
      <c r="BP198" s="710"/>
      <c r="BQ198" s="710"/>
      <c r="BR198" s="710"/>
      <c r="BS198" s="710"/>
      <c r="BT198" s="710"/>
      <c r="BU198" s="710"/>
      <c r="BV198" s="710"/>
      <c r="BW198" s="710"/>
      <c r="BX198" s="710"/>
      <c r="BY198" s="710"/>
      <c r="BZ198" s="710"/>
      <c r="CA198" s="710"/>
      <c r="CB198" s="710"/>
      <c r="CC198" s="710"/>
      <c r="CD198" s="710"/>
      <c r="CE198" s="710"/>
      <c r="CF198" s="710"/>
      <c r="CG198" s="710"/>
      <c r="CH198" s="710"/>
      <c r="CI198" s="710"/>
      <c r="CJ198" s="710"/>
      <c r="CK198" s="710"/>
      <c r="CL198" s="710"/>
      <c r="CM198" s="710"/>
      <c r="CN198" s="710"/>
      <c r="CO198" s="710"/>
      <c r="CP198" s="710"/>
      <c r="CQ198" s="710"/>
      <c r="CR198" s="710"/>
      <c r="CS198" s="710"/>
      <c r="CT198" s="710"/>
      <c r="CU198" s="710"/>
      <c r="CV198" s="710"/>
      <c r="CW198" s="710"/>
      <c r="CX198" s="710"/>
      <c r="CY198" s="710"/>
      <c r="CZ198" s="710"/>
      <c r="DA198" s="710"/>
      <c r="DB198" s="710"/>
      <c r="DC198" s="12">
        <f t="shared" si="219"/>
        <v>0</v>
      </c>
      <c r="DD198" s="12">
        <f t="shared" si="226"/>
        <v>0</v>
      </c>
      <c r="DE198" s="12">
        <f t="shared" si="220"/>
        <v>0</v>
      </c>
      <c r="DF198" s="12">
        <f t="shared" si="221"/>
        <v>0</v>
      </c>
      <c r="DG198" s="12">
        <f t="shared" si="222"/>
        <v>0</v>
      </c>
      <c r="DH198" s="12">
        <f t="shared" si="223"/>
        <v>0</v>
      </c>
      <c r="DI198" s="12">
        <f t="shared" si="227"/>
        <v>0</v>
      </c>
    </row>
    <row r="199" spans="2:113" outlineLevel="2">
      <c r="B199" s="758"/>
      <c r="F199" s="126" t="s">
        <v>801</v>
      </c>
      <c r="I199" s="609" t="s">
        <v>736</v>
      </c>
      <c r="O199" s="710"/>
      <c r="P199" s="710"/>
      <c r="Q199" s="710"/>
      <c r="R199" s="710"/>
      <c r="S199" s="710"/>
      <c r="T199" s="710"/>
      <c r="U199" s="710"/>
      <c r="V199" s="710"/>
      <c r="Z199" s="710"/>
      <c r="AA199" s="710"/>
      <c r="AB199" s="713"/>
      <c r="AC199" s="713"/>
      <c r="AD199" s="713"/>
      <c r="AE199" s="712"/>
      <c r="AF199" s="712"/>
      <c r="AG199" s="710"/>
      <c r="AH199" s="710"/>
      <c r="AI199" s="710"/>
      <c r="AJ199" s="710"/>
      <c r="AK199" s="710"/>
      <c r="AL199" s="710"/>
      <c r="AM199" s="710"/>
      <c r="AN199" s="710"/>
      <c r="AO199" s="710">
        <v>0</v>
      </c>
      <c r="AP199" s="710">
        <v>0</v>
      </c>
      <c r="AQ199" s="710">
        <v>0</v>
      </c>
      <c r="AR199" s="710">
        <v>0</v>
      </c>
      <c r="AS199" s="710">
        <v>0</v>
      </c>
      <c r="AT199" s="710">
        <v>0</v>
      </c>
      <c r="AU199" s="710">
        <v>0</v>
      </c>
      <c r="AV199" s="710">
        <v>0</v>
      </c>
      <c r="AW199" s="710">
        <v>0</v>
      </c>
      <c r="AX199" s="710">
        <v>0</v>
      </c>
      <c r="AY199" s="710">
        <v>0</v>
      </c>
      <c r="AZ199" s="710">
        <v>0</v>
      </c>
      <c r="BA199" s="710">
        <v>0</v>
      </c>
      <c r="BB199" s="710">
        <v>0</v>
      </c>
      <c r="BC199" s="710">
        <v>0</v>
      </c>
      <c r="BD199" s="710">
        <v>0</v>
      </c>
      <c r="BE199" s="710">
        <v>0</v>
      </c>
      <c r="BF199" s="710">
        <v>0</v>
      </c>
      <c r="BG199" s="710">
        <v>0</v>
      </c>
      <c r="BH199" s="710">
        <v>0</v>
      </c>
      <c r="BI199" s="710">
        <v>0</v>
      </c>
      <c r="BJ199" s="710">
        <v>0</v>
      </c>
      <c r="BK199" s="710">
        <v>0</v>
      </c>
      <c r="BL199" s="710">
        <v>0</v>
      </c>
      <c r="BM199" s="710">
        <v>0</v>
      </c>
      <c r="BN199" s="710">
        <v>0</v>
      </c>
      <c r="BO199" s="710">
        <v>0</v>
      </c>
      <c r="BP199" s="710">
        <v>0</v>
      </c>
      <c r="BQ199" s="710">
        <v>0</v>
      </c>
      <c r="BR199" s="710">
        <v>0</v>
      </c>
      <c r="BS199" s="710">
        <v>0</v>
      </c>
      <c r="BT199" s="710">
        <v>0</v>
      </c>
      <c r="BU199" s="710">
        <v>0</v>
      </c>
      <c r="BV199" s="710">
        <v>0</v>
      </c>
      <c r="BW199" s="710">
        <v>0</v>
      </c>
      <c r="BX199" s="710">
        <v>0</v>
      </c>
      <c r="BY199" s="710">
        <v>0</v>
      </c>
      <c r="BZ199" s="710">
        <v>0</v>
      </c>
      <c r="CA199" s="710">
        <v>0</v>
      </c>
      <c r="CB199" s="710">
        <v>0</v>
      </c>
      <c r="CC199" s="710">
        <v>0</v>
      </c>
      <c r="CD199" s="710">
        <v>0</v>
      </c>
      <c r="CE199" s="710">
        <v>0</v>
      </c>
      <c r="CF199" s="710">
        <v>0</v>
      </c>
      <c r="CG199" s="710">
        <v>0</v>
      </c>
      <c r="CH199" s="710">
        <v>0</v>
      </c>
      <c r="CI199" s="710">
        <v>0</v>
      </c>
      <c r="CJ199" s="710">
        <v>0</v>
      </c>
      <c r="CK199" s="710">
        <v>0</v>
      </c>
      <c r="CL199" s="710">
        <v>0</v>
      </c>
      <c r="CM199" s="710">
        <v>0</v>
      </c>
      <c r="CN199" s="710">
        <v>0</v>
      </c>
      <c r="CO199" s="710">
        <v>0</v>
      </c>
      <c r="CP199" s="710">
        <v>0</v>
      </c>
      <c r="CQ199" s="710">
        <v>0</v>
      </c>
      <c r="CR199" s="710">
        <v>0</v>
      </c>
      <c r="CS199" s="710">
        <v>0</v>
      </c>
      <c r="CT199" s="710">
        <v>0</v>
      </c>
      <c r="CU199" s="710">
        <v>0</v>
      </c>
      <c r="CV199" s="710">
        <v>0</v>
      </c>
      <c r="CW199" s="710">
        <v>0</v>
      </c>
      <c r="CX199" s="710">
        <v>0</v>
      </c>
      <c r="CY199" s="710">
        <v>0</v>
      </c>
      <c r="CZ199" s="710">
        <v>0</v>
      </c>
      <c r="DA199" s="710">
        <v>0</v>
      </c>
      <c r="DB199" s="710"/>
      <c r="DC199" s="12">
        <f t="shared" si="219"/>
        <v>0</v>
      </c>
      <c r="DD199" s="12">
        <f t="shared" si="226"/>
        <v>0</v>
      </c>
      <c r="DE199" s="12">
        <f t="shared" si="220"/>
        <v>0</v>
      </c>
      <c r="DF199" s="12">
        <f t="shared" si="221"/>
        <v>0</v>
      </c>
      <c r="DG199" s="12">
        <f t="shared" si="222"/>
        <v>0</v>
      </c>
      <c r="DH199" s="12">
        <f t="shared" si="223"/>
        <v>0</v>
      </c>
      <c r="DI199" s="758">
        <f t="shared" si="227"/>
        <v>0</v>
      </c>
    </row>
    <row r="200" spans="2:113" outlineLevel="2">
      <c r="B200" s="758"/>
      <c r="F200" s="126" t="s">
        <v>802</v>
      </c>
      <c r="I200" s="609" t="s">
        <v>736</v>
      </c>
      <c r="O200" s="710"/>
      <c r="P200" s="710"/>
      <c r="Q200" s="710"/>
      <c r="R200" s="710"/>
      <c r="S200" s="710"/>
      <c r="T200" s="710"/>
      <c r="U200" s="710"/>
      <c r="V200" s="710"/>
      <c r="Z200" s="710"/>
      <c r="AA200" s="710"/>
      <c r="AB200" s="713"/>
      <c r="AC200" s="713"/>
      <c r="AD200" s="713"/>
      <c r="AE200" s="712"/>
      <c r="AF200" s="712"/>
      <c r="AG200" s="710"/>
      <c r="AH200" s="710"/>
      <c r="AI200" s="710"/>
      <c r="AJ200" s="710"/>
      <c r="AK200" s="710"/>
      <c r="AL200" s="710"/>
      <c r="AM200" s="710"/>
      <c r="AN200" s="710"/>
      <c r="AO200" s="710"/>
      <c r="AP200" s="710"/>
      <c r="AQ200" s="710"/>
      <c r="AR200" s="710"/>
      <c r="AS200" s="710"/>
      <c r="AT200" s="710"/>
      <c r="AU200" s="710"/>
      <c r="AV200" s="710"/>
      <c r="AW200" s="710"/>
      <c r="AX200" s="710"/>
      <c r="AY200" s="710"/>
      <c r="AZ200" s="710"/>
      <c r="BA200" s="710"/>
      <c r="BB200" s="710"/>
      <c r="BC200" s="710"/>
      <c r="BD200" s="710"/>
      <c r="BE200" s="710"/>
      <c r="BF200" s="710"/>
      <c r="BG200" s="710"/>
      <c r="BH200" s="710"/>
      <c r="BI200" s="710"/>
      <c r="BJ200" s="710"/>
      <c r="BK200" s="710"/>
      <c r="BL200" s="710"/>
      <c r="BM200" s="710"/>
      <c r="BN200" s="710"/>
      <c r="BO200" s="710"/>
      <c r="BP200" s="710"/>
      <c r="BQ200" s="710"/>
      <c r="BR200" s="710"/>
      <c r="BS200" s="710"/>
      <c r="BT200" s="710"/>
      <c r="BU200" s="710"/>
      <c r="BV200" s="710"/>
      <c r="BW200" s="710"/>
      <c r="BX200" s="710"/>
      <c r="BY200" s="710"/>
      <c r="BZ200" s="710"/>
      <c r="CA200" s="710"/>
      <c r="CB200" s="710"/>
      <c r="CC200" s="710"/>
      <c r="CD200" s="710"/>
      <c r="CE200" s="710"/>
      <c r="CF200" s="710"/>
      <c r="CG200" s="710"/>
      <c r="CH200" s="710"/>
      <c r="CI200" s="710"/>
      <c r="CJ200" s="710"/>
      <c r="CK200" s="710"/>
      <c r="CL200" s="710"/>
      <c r="CM200" s="710"/>
      <c r="CN200" s="710"/>
      <c r="CO200" s="710"/>
      <c r="CP200" s="710"/>
      <c r="CQ200" s="710"/>
      <c r="CR200" s="710"/>
      <c r="CS200" s="710"/>
      <c r="CT200" s="710"/>
      <c r="CU200" s="710"/>
      <c r="CV200" s="710"/>
      <c r="CW200" s="710"/>
      <c r="CX200" s="710"/>
      <c r="CY200" s="710"/>
      <c r="CZ200" s="710"/>
      <c r="DA200" s="710"/>
      <c r="DB200" s="710"/>
      <c r="DC200" s="12">
        <f t="shared" si="219"/>
        <v>0</v>
      </c>
      <c r="DD200" s="12">
        <f t="shared" si="226"/>
        <v>0</v>
      </c>
      <c r="DE200" s="12">
        <f t="shared" si="220"/>
        <v>0</v>
      </c>
      <c r="DF200" s="12">
        <f t="shared" si="221"/>
        <v>0</v>
      </c>
      <c r="DG200" s="12">
        <f t="shared" si="222"/>
        <v>0</v>
      </c>
      <c r="DH200" s="12">
        <f t="shared" si="223"/>
        <v>0</v>
      </c>
      <c r="DI200" s="12">
        <f t="shared" si="227"/>
        <v>0</v>
      </c>
    </row>
    <row r="201" spans="2:113" outlineLevel="2">
      <c r="B201" s="758"/>
      <c r="F201" s="126" t="s">
        <v>222</v>
      </c>
      <c r="I201" s="609" t="s">
        <v>736</v>
      </c>
      <c r="O201" s="710"/>
      <c r="P201" s="710"/>
      <c r="Q201" s="710"/>
      <c r="R201" s="710"/>
      <c r="S201" s="710"/>
      <c r="T201" s="710"/>
      <c r="U201" s="710"/>
      <c r="V201" s="710"/>
      <c r="Z201" s="710"/>
      <c r="AA201" s="710"/>
      <c r="AB201" s="713"/>
      <c r="AC201" s="713"/>
      <c r="AD201" s="713"/>
      <c r="AE201" s="712"/>
      <c r="AF201" s="712"/>
      <c r="AG201" s="710"/>
      <c r="AH201" s="710"/>
      <c r="AI201" s="710"/>
      <c r="AJ201" s="710"/>
      <c r="AK201" s="710"/>
      <c r="AL201" s="710"/>
      <c r="AM201" s="710"/>
      <c r="AN201" s="710"/>
      <c r="AO201" s="710"/>
      <c r="AP201" s="710"/>
      <c r="AQ201" s="710"/>
      <c r="AR201" s="710"/>
      <c r="AS201" s="710"/>
      <c r="AT201" s="710"/>
      <c r="AU201" s="710"/>
      <c r="AV201" s="710"/>
      <c r="AW201" s="710"/>
      <c r="AX201" s="710"/>
      <c r="AY201" s="710"/>
      <c r="AZ201" s="710"/>
      <c r="BA201" s="710"/>
      <c r="BB201" s="710"/>
      <c r="BC201" s="710"/>
      <c r="BD201" s="710"/>
      <c r="BE201" s="710"/>
      <c r="BF201" s="710"/>
      <c r="BG201" s="710"/>
      <c r="BH201" s="710"/>
      <c r="BI201" s="710"/>
      <c r="BJ201" s="710"/>
      <c r="BK201" s="710"/>
      <c r="BL201" s="710"/>
      <c r="BM201" s="710"/>
      <c r="BN201" s="710"/>
      <c r="BO201" s="710"/>
      <c r="BP201" s="710"/>
      <c r="BQ201" s="710"/>
      <c r="BR201" s="710"/>
      <c r="BS201" s="710"/>
      <c r="BT201" s="710"/>
      <c r="BU201" s="710"/>
      <c r="BV201" s="710"/>
      <c r="BW201" s="710"/>
      <c r="BX201" s="710"/>
      <c r="BY201" s="710"/>
      <c r="BZ201" s="710"/>
      <c r="CA201" s="710"/>
      <c r="CB201" s="710"/>
      <c r="CC201" s="710"/>
      <c r="CD201" s="710"/>
      <c r="CE201" s="710"/>
      <c r="CF201" s="710"/>
      <c r="CG201" s="710"/>
      <c r="CH201" s="710"/>
      <c r="CI201" s="710"/>
      <c r="CJ201" s="710"/>
      <c r="CK201" s="710"/>
      <c r="CL201" s="710"/>
      <c r="CM201" s="710"/>
      <c r="CN201" s="710"/>
      <c r="CO201" s="710"/>
      <c r="CP201" s="710"/>
      <c r="CQ201" s="710"/>
      <c r="CR201" s="710"/>
      <c r="CS201" s="710"/>
      <c r="CT201" s="710"/>
      <c r="CU201" s="710"/>
      <c r="CV201" s="710"/>
      <c r="CW201" s="710"/>
      <c r="CX201" s="710"/>
      <c r="CY201" s="710"/>
      <c r="CZ201" s="710"/>
      <c r="DA201" s="710"/>
      <c r="DB201" s="710"/>
      <c r="DC201" s="12">
        <f t="shared" si="219"/>
        <v>0</v>
      </c>
      <c r="DD201" s="12">
        <f t="shared" si="226"/>
        <v>0</v>
      </c>
      <c r="DE201" s="12">
        <f t="shared" si="220"/>
        <v>0</v>
      </c>
      <c r="DF201" s="12">
        <f t="shared" si="221"/>
        <v>0</v>
      </c>
      <c r="DG201" s="12">
        <f t="shared" si="222"/>
        <v>0</v>
      </c>
      <c r="DH201" s="12">
        <f t="shared" si="223"/>
        <v>0</v>
      </c>
      <c r="DI201" s="12">
        <f t="shared" si="227"/>
        <v>0</v>
      </c>
    </row>
    <row r="202" spans="2:113" outlineLevel="2">
      <c r="B202" s="758"/>
      <c r="E202" s="720" t="s">
        <v>621</v>
      </c>
      <c r="I202" s="609" t="s">
        <v>736</v>
      </c>
      <c r="O202" s="696"/>
      <c r="P202" s="696"/>
      <c r="Q202" s="696"/>
      <c r="R202" s="696"/>
      <c r="S202" s="696"/>
      <c r="T202" s="696"/>
      <c r="U202" s="696"/>
      <c r="V202" s="696"/>
      <c r="W202" s="696"/>
      <c r="X202" s="696"/>
      <c r="Y202" s="696"/>
      <c r="Z202" s="696"/>
      <c r="AA202" s="696"/>
      <c r="AB202" s="696"/>
      <c r="AC202" s="696"/>
      <c r="AD202" s="696"/>
      <c r="AE202" s="696"/>
      <c r="AF202" s="696"/>
      <c r="AG202" s="696"/>
      <c r="AH202" s="696"/>
      <c r="AI202" s="696"/>
      <c r="AJ202" s="710"/>
      <c r="AK202" s="710"/>
      <c r="AL202" s="710"/>
      <c r="AM202" s="714">
        <v>0</v>
      </c>
      <c r="AN202" s="896">
        <v>-1.411652508</v>
      </c>
      <c r="AO202" s="896">
        <v>-0.92024489099999995</v>
      </c>
      <c r="AP202" s="896">
        <v>-0.91349567499999995</v>
      </c>
      <c r="AQ202" s="714">
        <v>-1.8537234283196731</v>
      </c>
      <c r="AR202" s="714">
        <v>-2.7921934279898282</v>
      </c>
      <c r="AS202" s="714">
        <v>-3.3108708016038322</v>
      </c>
      <c r="AT202" s="714">
        <v>-4.8747250085977818</v>
      </c>
      <c r="AU202" s="714">
        <v>-8.1009741656796397</v>
      </c>
      <c r="AV202" s="714">
        <v>-10.189629996789511</v>
      </c>
      <c r="AW202" s="714">
        <v>-11.583129171931388</v>
      </c>
      <c r="AX202" s="714">
        <v>-13.690168808821513</v>
      </c>
      <c r="AY202" s="714">
        <v>-17.07126957653529</v>
      </c>
      <c r="AZ202" s="714">
        <v>-20.371636861313824</v>
      </c>
      <c r="BA202" s="714">
        <v>-23.846349989791499</v>
      </c>
      <c r="BB202" s="714">
        <v>-26.381871216258599</v>
      </c>
      <c r="BC202" s="714">
        <v>-28.091210194220455</v>
      </c>
      <c r="BD202" s="714">
        <v>-30.498012624508352</v>
      </c>
      <c r="BE202" s="714">
        <v>-32.821482599389341</v>
      </c>
      <c r="BF202" s="714">
        <v>-34.866746796494752</v>
      </c>
      <c r="BG202" s="714">
        <v>-36.783686128371926</v>
      </c>
      <c r="BH202" s="714">
        <v>-38.697901111094737</v>
      </c>
      <c r="BI202" s="714">
        <v>-40.834558642783207</v>
      </c>
      <c r="BJ202" s="714">
        <v>-42.669349909601181</v>
      </c>
      <c r="BK202" s="714">
        <v>-44.498345494788353</v>
      </c>
      <c r="BL202" s="714">
        <v>-46.580109899396355</v>
      </c>
      <c r="BM202" s="714">
        <v>-48.912222123420655</v>
      </c>
      <c r="BN202" s="714">
        <v>-50.573681803384154</v>
      </c>
      <c r="BO202" s="714">
        <v>-51.67665121891455</v>
      </c>
      <c r="BP202" s="714">
        <v>-52.051067470108848</v>
      </c>
      <c r="BQ202" s="714">
        <v>-51.977524915728807</v>
      </c>
      <c r="BR202" s="714">
        <v>-51.638709612367613</v>
      </c>
      <c r="BS202" s="714">
        <v>-51.03299953034621</v>
      </c>
      <c r="BT202" s="714">
        <v>-49.882859075565868</v>
      </c>
      <c r="BU202" s="714">
        <v>-48.707492738850874</v>
      </c>
      <c r="BV202" s="714">
        <v>-47.542778757917453</v>
      </c>
      <c r="BW202" s="714">
        <v>-46.219272978127641</v>
      </c>
      <c r="BX202" s="714">
        <v>-44.589272008516787</v>
      </c>
      <c r="BY202" s="714">
        <v>-43.412686312448052</v>
      </c>
      <c r="BZ202" s="714">
        <v>-43.087909211915338</v>
      </c>
      <c r="CA202" s="714">
        <v>-43.361676513819212</v>
      </c>
      <c r="CB202" s="714">
        <v>-44.050685503809689</v>
      </c>
      <c r="CC202" s="714">
        <v>-45.423395655089394</v>
      </c>
      <c r="CD202" s="714">
        <v>-47.249836831628123</v>
      </c>
      <c r="CE202" s="714">
        <v>-49.578968222712454</v>
      </c>
      <c r="CF202" s="714">
        <v>-52.359530987719992</v>
      </c>
      <c r="CG202" s="714">
        <v>-55.530636635364779</v>
      </c>
      <c r="CH202" s="714">
        <v>-58.979378947402218</v>
      </c>
      <c r="CI202" s="714">
        <v>-62.658479518331873</v>
      </c>
      <c r="CJ202" s="714">
        <v>-66.512393493680364</v>
      </c>
      <c r="CK202" s="714">
        <v>-70.33601832683172</v>
      </c>
      <c r="CL202" s="714">
        <v>-73.853758146841798</v>
      </c>
      <c r="CM202" s="714">
        <v>-77.051480769708874</v>
      </c>
      <c r="CN202" s="714">
        <v>-79.908724594084561</v>
      </c>
      <c r="CO202" s="714">
        <v>-82.426654139954536</v>
      </c>
      <c r="CP202" s="714">
        <v>-84.621917655237212</v>
      </c>
      <c r="CQ202" s="714">
        <v>-86.721749050172718</v>
      </c>
      <c r="CR202" s="714">
        <v>-88.639578719075232</v>
      </c>
      <c r="CS202" s="714">
        <v>-90.395824533577112</v>
      </c>
      <c r="CT202" s="714">
        <v>-92.001057759850156</v>
      </c>
      <c r="CU202" s="714">
        <v>-93.574535637988191</v>
      </c>
      <c r="CV202" s="714">
        <v>-95.144850393231707</v>
      </c>
      <c r="CW202" s="714">
        <v>-96.725235341428913</v>
      </c>
      <c r="CX202" s="714">
        <v>-98.483718345579646</v>
      </c>
      <c r="CY202" s="714">
        <v>-100.73509612216705</v>
      </c>
      <c r="CZ202" s="714">
        <v>-103.51365925291859</v>
      </c>
      <c r="DA202" s="714">
        <v>-106.85029239586031</v>
      </c>
      <c r="DB202" s="696"/>
      <c r="DC202" s="12">
        <f>SUM(V202:AG202)</f>
        <v>0</v>
      </c>
      <c r="DD202" s="12">
        <f>SUM(AH202:AS202)</f>
        <v>-11.202180731913332</v>
      </c>
      <c r="DE202" s="12">
        <f>SUM(AT202:BE202)</f>
        <v>-227.52046021383717</v>
      </c>
      <c r="DF202" s="12">
        <f>SUM(BF202:BQ202)</f>
        <v>-540.12184551408757</v>
      </c>
      <c r="DG202" s="12">
        <f>SUM(BR202:CC202)</f>
        <v>-558.94973789877406</v>
      </c>
      <c r="DH202" s="12">
        <f>SUM(CD202:CO202)</f>
        <v>-776.44586061426128</v>
      </c>
      <c r="DI202" s="12">
        <f t="shared" si="227"/>
        <v>-1137.4075152070868</v>
      </c>
    </row>
    <row r="203" spans="2:113" s="856" customFormat="1" outlineLevel="2">
      <c r="B203" s="758"/>
      <c r="E203" s="856" t="s">
        <v>701</v>
      </c>
      <c r="H203" s="857"/>
      <c r="I203" s="609" t="s">
        <v>736</v>
      </c>
      <c r="J203" s="857"/>
      <c r="K203" s="857"/>
      <c r="L203" s="857"/>
      <c r="M203" s="857"/>
      <c r="O203" s="696"/>
      <c r="P203" s="696"/>
      <c r="Q203" s="696"/>
      <c r="R203" s="696"/>
      <c r="S203" s="696"/>
      <c r="T203" s="696"/>
      <c r="U203" s="696"/>
      <c r="V203" s="696"/>
      <c r="W203" s="126"/>
      <c r="X203" s="126"/>
      <c r="Y203" s="126"/>
      <c r="Z203" s="696"/>
      <c r="AA203" s="696"/>
      <c r="AB203" s="696"/>
      <c r="AC203" s="696"/>
      <c r="AD203" s="696"/>
      <c r="AE203" s="696"/>
      <c r="AF203" s="696"/>
      <c r="AG203" s="696"/>
      <c r="AH203" s="696"/>
      <c r="AI203" s="696"/>
      <c r="AJ203" s="706"/>
      <c r="AK203" s="706"/>
      <c r="AL203" s="706"/>
      <c r="AM203" s="706">
        <f t="shared" ref="AM203:CX203" si="234">SUM(AM204:AM209)</f>
        <v>-0.36373588724305167</v>
      </c>
      <c r="AN203" s="706">
        <f t="shared" si="234"/>
        <v>-0.89846410967325563</v>
      </c>
      <c r="AO203" s="914">
        <f t="shared" si="234"/>
        <v>-1.1125240607942761</v>
      </c>
      <c r="AP203" s="706">
        <f t="shared" si="234"/>
        <v>-1.7488154318606568</v>
      </c>
      <c r="AQ203" s="706">
        <f t="shared" si="234"/>
        <v>-4.4022474999999996</v>
      </c>
      <c r="AR203" s="706">
        <f t="shared" si="234"/>
        <v>-5.1089344999999993</v>
      </c>
      <c r="AS203" s="706">
        <f t="shared" si="234"/>
        <v>-5.5118604090909091</v>
      </c>
      <c r="AT203" s="706">
        <f>SUM(AT204:AT209)</f>
        <v>-5.5118837857142857</v>
      </c>
      <c r="AU203" s="706">
        <f t="shared" si="234"/>
        <v>-4.0737337857142855</v>
      </c>
      <c r="AV203" s="706">
        <f t="shared" si="234"/>
        <v>-5.4110837857142853</v>
      </c>
      <c r="AW203" s="706">
        <f t="shared" si="234"/>
        <v>-5.7477587857142858</v>
      </c>
      <c r="AX203" s="706">
        <f t="shared" si="234"/>
        <v>-6.0899287857142843</v>
      </c>
      <c r="AY203" s="706">
        <f t="shared" si="234"/>
        <v>-6.4375937857142844</v>
      </c>
      <c r="AZ203" s="706">
        <f t="shared" si="234"/>
        <v>-6.4580618857142857</v>
      </c>
      <c r="BA203" s="706">
        <f t="shared" si="234"/>
        <v>-6.7331375857142852</v>
      </c>
      <c r="BB203" s="706">
        <f t="shared" si="234"/>
        <v>-7.0279167857142841</v>
      </c>
      <c r="BC203" s="706">
        <f t="shared" si="234"/>
        <v>-7.3242973857142841</v>
      </c>
      <c r="BD203" s="706">
        <f t="shared" si="234"/>
        <v>-7.6050329357142843</v>
      </c>
      <c r="BE203" s="706">
        <f t="shared" si="234"/>
        <v>-7.5237629357142835</v>
      </c>
      <c r="BF203" s="706">
        <f t="shared" si="234"/>
        <v>-7.3059515666666641</v>
      </c>
      <c r="BG203" s="706">
        <f t="shared" si="234"/>
        <v>-7.0762623999999983</v>
      </c>
      <c r="BH203" s="706">
        <f t="shared" si="234"/>
        <v>-6.8784311499999982</v>
      </c>
      <c r="BI203" s="706">
        <f t="shared" si="234"/>
        <v>-6.6418078166666641</v>
      </c>
      <c r="BJ203" s="706">
        <f t="shared" si="234"/>
        <v>-6.3922973999999977</v>
      </c>
      <c r="BK203" s="706">
        <f t="shared" si="234"/>
        <v>-6.1298998999999981</v>
      </c>
      <c r="BL203" s="706">
        <f t="shared" si="234"/>
        <v>-5.8546153166666652</v>
      </c>
      <c r="BM203" s="706">
        <f t="shared" si="234"/>
        <v>-5.5664436499999983</v>
      </c>
      <c r="BN203" s="706">
        <f t="shared" si="234"/>
        <v>-5.2653848999999981</v>
      </c>
      <c r="BO203" s="706">
        <f t="shared" si="234"/>
        <v>-4.9514390666666648</v>
      </c>
      <c r="BP203" s="706">
        <f t="shared" si="234"/>
        <v>-4.6246061499999973</v>
      </c>
      <c r="BQ203" s="706">
        <f t="shared" si="234"/>
        <v>-4.2848861499999993</v>
      </c>
      <c r="BR203" s="706">
        <f t="shared" si="234"/>
        <v>-4.6165561499999983</v>
      </c>
      <c r="BS203" s="706">
        <f t="shared" si="234"/>
        <v>-4.9673932333333317</v>
      </c>
      <c r="BT203" s="706">
        <f t="shared" si="234"/>
        <v>-5.3373973999999986</v>
      </c>
      <c r="BU203" s="706">
        <f t="shared" si="234"/>
        <v>-5.726568649999999</v>
      </c>
      <c r="BV203" s="706">
        <f t="shared" si="234"/>
        <v>-6.134906983333333</v>
      </c>
      <c r="BW203" s="706">
        <f t="shared" si="234"/>
        <v>-6.5624123999999995</v>
      </c>
      <c r="BX203" s="706">
        <f t="shared" si="234"/>
        <v>-7.0090848999999986</v>
      </c>
      <c r="BY203" s="706">
        <f t="shared" si="234"/>
        <v>-7.474924483333333</v>
      </c>
      <c r="BZ203" s="706">
        <f t="shared" si="234"/>
        <v>-7.9599311499999992</v>
      </c>
      <c r="CA203" s="706">
        <f t="shared" si="234"/>
        <v>-8.4641048999999988</v>
      </c>
      <c r="CB203" s="706">
        <f t="shared" si="234"/>
        <v>-8.9874457333333329</v>
      </c>
      <c r="CC203" s="706">
        <f t="shared" si="234"/>
        <v>-9.5299536500000013</v>
      </c>
      <c r="CD203" s="706">
        <f t="shared" si="234"/>
        <v>-9.7646703166666668</v>
      </c>
      <c r="CE203" s="706">
        <f t="shared" si="234"/>
        <v>-9.9902286499999988</v>
      </c>
      <c r="CF203" s="706">
        <f t="shared" si="234"/>
        <v>-10.206628649999997</v>
      </c>
      <c r="CG203" s="706">
        <f t="shared" si="234"/>
        <v>-10.413870316666666</v>
      </c>
      <c r="CH203" s="706">
        <f t="shared" si="234"/>
        <v>-10.611953649999997</v>
      </c>
      <c r="CI203" s="706">
        <f t="shared" si="234"/>
        <v>-10.800878649999998</v>
      </c>
      <c r="CJ203" s="706">
        <f t="shared" si="234"/>
        <v>-10.980645316666665</v>
      </c>
      <c r="CK203" s="706">
        <f t="shared" si="234"/>
        <v>-11.151253649999996</v>
      </c>
      <c r="CL203" s="706">
        <f t="shared" si="234"/>
        <v>-11.312703649999996</v>
      </c>
      <c r="CM203" s="706">
        <f t="shared" si="234"/>
        <v>-11.464995316666663</v>
      </c>
      <c r="CN203" s="706">
        <f t="shared" si="234"/>
        <v>-11.608128649999996</v>
      </c>
      <c r="CO203" s="706">
        <f t="shared" si="234"/>
        <v>-11.742103649999999</v>
      </c>
      <c r="CP203" s="706">
        <f t="shared" si="234"/>
        <v>-11.820211983333332</v>
      </c>
      <c r="CQ203" s="706">
        <f t="shared" si="234"/>
        <v>-11.89701198333333</v>
      </c>
      <c r="CR203" s="706">
        <f t="shared" si="234"/>
        <v>-11.972503649999997</v>
      </c>
      <c r="CS203" s="706">
        <f t="shared" si="234"/>
        <v>-12.046686983333329</v>
      </c>
      <c r="CT203" s="706">
        <f t="shared" si="234"/>
        <v>-12.119561983333329</v>
      </c>
      <c r="CU203" s="706">
        <f t="shared" si="234"/>
        <v>-12.191128649999994</v>
      </c>
      <c r="CV203" s="706">
        <f t="shared" si="234"/>
        <v>-12.261386983333326</v>
      </c>
      <c r="CW203" s="706">
        <f t="shared" si="234"/>
        <v>-12.330336983333327</v>
      </c>
      <c r="CX203" s="706">
        <f t="shared" si="234"/>
        <v>-12.397978649999992</v>
      </c>
      <c r="CY203" s="706">
        <f t="shared" ref="CY203:DA203" si="235">SUM(CY204:CY209)</f>
        <v>-12.464311983333324</v>
      </c>
      <c r="CZ203" s="706">
        <f t="shared" si="235"/>
        <v>-12.529336983333325</v>
      </c>
      <c r="DA203" s="706">
        <f t="shared" si="235"/>
        <v>-12.593053649999996</v>
      </c>
      <c r="DB203" s="696"/>
      <c r="DC203" s="14">
        <f t="shared" si="219"/>
        <v>0</v>
      </c>
      <c r="DD203" s="14">
        <f t="shared" si="226"/>
        <v>-19.146581898662149</v>
      </c>
      <c r="DE203" s="14">
        <f t="shared" si="220"/>
        <v>-75.944192228571424</v>
      </c>
      <c r="DF203" s="14">
        <f t="shared" si="221"/>
        <v>-70.972025466666651</v>
      </c>
      <c r="DG203" s="14">
        <f t="shared" si="222"/>
        <v>-82.770679633333316</v>
      </c>
      <c r="DH203" s="14">
        <f t="shared" si="223"/>
        <v>-130.04806046666664</v>
      </c>
      <c r="DI203" s="14">
        <f t="shared" si="227"/>
        <v>-146.6235104666666</v>
      </c>
    </row>
    <row r="204" spans="2:113" ht="15" outlineLevel="2">
      <c r="B204" s="758"/>
      <c r="F204" s="126" t="s">
        <v>100</v>
      </c>
      <c r="I204" s="609" t="s">
        <v>736</v>
      </c>
      <c r="O204" s="710"/>
      <c r="P204" s="710"/>
      <c r="Q204" s="710"/>
      <c r="R204" s="710"/>
      <c r="S204" s="710"/>
      <c r="T204" s="710"/>
      <c r="U204" s="710"/>
      <c r="V204" s="710"/>
      <c r="Z204" s="710"/>
      <c r="AA204" s="710"/>
      <c r="AB204" s="879"/>
      <c r="AC204" s="879"/>
      <c r="AD204" s="879"/>
      <c r="AE204" s="879"/>
      <c r="AF204" s="879"/>
      <c r="AG204" s="710"/>
      <c r="AH204" s="710"/>
      <c r="AI204" s="710"/>
      <c r="AJ204" s="892"/>
      <c r="AK204" s="892"/>
      <c r="AL204" s="892"/>
      <c r="AM204" s="915">
        <v>-0.27957666776118389</v>
      </c>
      <c r="AN204" s="915">
        <v>-0.7181424862313105</v>
      </c>
      <c r="AO204" s="915">
        <v>-0.99382141968941651</v>
      </c>
      <c r="AP204" s="915">
        <v>-1.4505636061863643</v>
      </c>
      <c r="AQ204" s="739">
        <v>-2.0730919999999999</v>
      </c>
      <c r="AR204" s="739">
        <v>-2.1931699999999998</v>
      </c>
      <c r="AS204" s="739">
        <v>-2.1319480519480516</v>
      </c>
      <c r="AT204" s="710">
        <v>-1.9</v>
      </c>
      <c r="AU204" s="710">
        <v>-1.3062499999999999</v>
      </c>
      <c r="AV204" s="710">
        <v>-1.78125</v>
      </c>
      <c r="AW204" s="710">
        <v>-1.8643749999999999</v>
      </c>
      <c r="AX204" s="710">
        <v>-1.9474999999999998</v>
      </c>
      <c r="AY204" s="710">
        <v>-2.0306249999999997</v>
      </c>
      <c r="AZ204" s="710">
        <v>-2.0024999999999999</v>
      </c>
      <c r="BA204" s="710">
        <v>-2.0812499999999998</v>
      </c>
      <c r="BB204" s="710">
        <v>-2.1599999999999997</v>
      </c>
      <c r="BC204" s="710">
        <v>-2.2387499999999996</v>
      </c>
      <c r="BD204" s="710">
        <v>-2.3174999999999994</v>
      </c>
      <c r="BE204" s="710">
        <v>-2.2631249999999992</v>
      </c>
      <c r="BF204" s="739">
        <v>-2.1630729166666658</v>
      </c>
      <c r="BG204" s="739">
        <v>-2.0630208333333329</v>
      </c>
      <c r="BH204" s="739">
        <v>-1.9629687499999993</v>
      </c>
      <c r="BI204" s="739">
        <v>-1.8629166666666661</v>
      </c>
      <c r="BJ204" s="739">
        <v>-1.7628645833333327</v>
      </c>
      <c r="BK204" s="739">
        <v>-1.6628124999999994</v>
      </c>
      <c r="BL204" s="739">
        <v>-1.5627604166666662</v>
      </c>
      <c r="BM204" s="739">
        <v>-1.4627083333333331</v>
      </c>
      <c r="BN204" s="739">
        <v>-1.3626562499999995</v>
      </c>
      <c r="BO204" s="739">
        <v>-1.2626041666666663</v>
      </c>
      <c r="BP204" s="739">
        <v>-1.1625520833333329</v>
      </c>
      <c r="BQ204" s="739">
        <v>-1.0625</v>
      </c>
      <c r="BR204" s="739">
        <v>-1.221875</v>
      </c>
      <c r="BS204" s="739">
        <v>-1.3812499999999999</v>
      </c>
      <c r="BT204" s="739">
        <v>-1.5406249999999999</v>
      </c>
      <c r="BU204" s="739">
        <v>-1.7</v>
      </c>
      <c r="BV204" s="739">
        <v>-1.859375</v>
      </c>
      <c r="BW204" s="739">
        <v>-2.0187499999999998</v>
      </c>
      <c r="BX204" s="739">
        <v>-2.1781250000000001</v>
      </c>
      <c r="BY204" s="739">
        <v>-2.3374999999999999</v>
      </c>
      <c r="BZ204" s="739">
        <v>-2.4968749999999997</v>
      </c>
      <c r="CA204" s="739">
        <v>-2.65625</v>
      </c>
      <c r="CB204" s="739">
        <v>-2.8156249999999998</v>
      </c>
      <c r="CC204" s="739">
        <v>-2.9750000000000001</v>
      </c>
      <c r="CD204" s="739">
        <v>-3.010416666666667</v>
      </c>
      <c r="CE204" s="739">
        <v>-3.0458333333333329</v>
      </c>
      <c r="CF204" s="739">
        <v>-3.0812499999999994</v>
      </c>
      <c r="CG204" s="739">
        <v>-3.1166666666666663</v>
      </c>
      <c r="CH204" s="739">
        <v>-3.1520833333333327</v>
      </c>
      <c r="CI204" s="739">
        <v>-3.1874999999999991</v>
      </c>
      <c r="CJ204" s="739">
        <v>-3.222916666666666</v>
      </c>
      <c r="CK204" s="739">
        <v>-3.2583333333333324</v>
      </c>
      <c r="CL204" s="739">
        <v>-3.2937499999999988</v>
      </c>
      <c r="CM204" s="739">
        <v>-3.3291666666666657</v>
      </c>
      <c r="CN204" s="739">
        <v>-3.3645833333333321</v>
      </c>
      <c r="CO204" s="739">
        <v>-3.4</v>
      </c>
      <c r="CP204" s="739">
        <v>-3.4177083333333331</v>
      </c>
      <c r="CQ204" s="739">
        <v>-3.4354166666666659</v>
      </c>
      <c r="CR204" s="739">
        <v>-3.4531249999999991</v>
      </c>
      <c r="CS204" s="739">
        <v>-3.4708333333333323</v>
      </c>
      <c r="CT204" s="739">
        <v>-3.4885416666666651</v>
      </c>
      <c r="CU204" s="739">
        <v>-3.5062499999999983</v>
      </c>
      <c r="CV204" s="739">
        <v>-3.5239583333333315</v>
      </c>
      <c r="CW204" s="739">
        <v>-3.5416666666666647</v>
      </c>
      <c r="CX204" s="739">
        <v>-3.5593749999999975</v>
      </c>
      <c r="CY204" s="739">
        <v>-3.5770833333333307</v>
      </c>
      <c r="CZ204" s="739">
        <v>-3.5947916666666639</v>
      </c>
      <c r="DA204" s="739">
        <v>-3.6124999999999998</v>
      </c>
      <c r="DB204" s="710"/>
      <c r="DC204" s="12">
        <f t="shared" si="219"/>
        <v>0</v>
      </c>
      <c r="DD204" s="12">
        <f t="shared" si="226"/>
        <v>-9.8403142318163255</v>
      </c>
      <c r="DE204" s="12">
        <f t="shared" si="220"/>
        <v>-23.893124999999994</v>
      </c>
      <c r="DF204" s="12">
        <f t="shared" si="221"/>
        <v>-19.353437499999991</v>
      </c>
      <c r="DG204" s="12">
        <f t="shared" si="222"/>
        <v>-25.181250000000002</v>
      </c>
      <c r="DH204" s="12">
        <f t="shared" si="223"/>
        <v>-38.462499999999999</v>
      </c>
      <c r="DI204" s="12">
        <f t="shared" si="227"/>
        <v>-42.181249999999977</v>
      </c>
    </row>
    <row r="205" spans="2:113" ht="15" outlineLevel="2">
      <c r="B205" s="758"/>
      <c r="F205" s="126" t="s">
        <v>107</v>
      </c>
      <c r="I205" s="609" t="s">
        <v>736</v>
      </c>
      <c r="O205" s="710"/>
      <c r="P205" s="710"/>
      <c r="Q205" s="710"/>
      <c r="R205" s="710"/>
      <c r="S205" s="710"/>
      <c r="T205" s="710"/>
      <c r="U205" s="710"/>
      <c r="V205" s="710"/>
      <c r="W205" s="698"/>
      <c r="Y205" s="698"/>
      <c r="Z205" s="710"/>
      <c r="AA205" s="710"/>
      <c r="AB205" s="879"/>
      <c r="AC205" s="879"/>
      <c r="AD205" s="879"/>
      <c r="AE205" s="879"/>
      <c r="AF205" s="879"/>
      <c r="AG205" s="710"/>
      <c r="AH205" s="710"/>
      <c r="AI205" s="710"/>
      <c r="AJ205" s="710"/>
      <c r="AK205" s="710"/>
      <c r="AL205" s="710"/>
      <c r="AM205" s="915">
        <v>0</v>
      </c>
      <c r="AN205" s="915">
        <v>-7.1931812648366913E-2</v>
      </c>
      <c r="AO205" s="915">
        <v>-0.10657488993502418</v>
      </c>
      <c r="AP205" s="915">
        <v>-0.16610053005096456</v>
      </c>
      <c r="AQ205" s="710">
        <v>-0.20422499999999999</v>
      </c>
      <c r="AR205" s="710">
        <v>-0.26977499999999999</v>
      </c>
      <c r="AS205" s="710">
        <v>-0.36952499999999999</v>
      </c>
      <c r="AT205" s="710">
        <v>-0.48523928571428571</v>
      </c>
      <c r="AU205" s="710">
        <v>-0.60523928571428565</v>
      </c>
      <c r="AV205" s="710">
        <v>-0.68773928571428566</v>
      </c>
      <c r="AW205" s="710">
        <v>-0.8002392857142856</v>
      </c>
      <c r="AX205" s="710">
        <v>-0.91798928571428573</v>
      </c>
      <c r="AY205" s="710">
        <v>-1.0409892857142857</v>
      </c>
      <c r="AZ205" s="710">
        <v>-1.1277342857142858</v>
      </c>
      <c r="BA205" s="710">
        <v>-1.1922492857142857</v>
      </c>
      <c r="BB205" s="710">
        <v>-1.2755892857142859</v>
      </c>
      <c r="BC205" s="710">
        <v>-1.3604592857142854</v>
      </c>
      <c r="BD205" s="710">
        <v>-1.4303817857142855</v>
      </c>
      <c r="BE205" s="710">
        <v>-1.4851317857142854</v>
      </c>
      <c r="BF205" s="710">
        <v>-1.5291674999999996</v>
      </c>
      <c r="BG205" s="710">
        <v>-1.5618549999999995</v>
      </c>
      <c r="BH205" s="710">
        <v>-1.6249799999999996</v>
      </c>
      <c r="BI205" s="710">
        <v>-1.6510424999999993</v>
      </c>
      <c r="BJ205" s="710">
        <v>-1.6647924999999995</v>
      </c>
      <c r="BK205" s="710">
        <v>-1.6662299999999997</v>
      </c>
      <c r="BL205" s="710">
        <v>-1.6553549999999995</v>
      </c>
      <c r="BM205" s="710">
        <v>-1.6321674999999993</v>
      </c>
      <c r="BN205" s="710">
        <v>-1.596667499999999</v>
      </c>
      <c r="BO205" s="710">
        <v>-1.5488549999999992</v>
      </c>
      <c r="BP205" s="710">
        <v>-1.488729999999999</v>
      </c>
      <c r="BQ205" s="710">
        <v>-1.4162924999999991</v>
      </c>
      <c r="BR205" s="710">
        <v>-1.3315424999999994</v>
      </c>
      <c r="BS205" s="710">
        <v>-1.2651049999999993</v>
      </c>
      <c r="BT205" s="710">
        <v>-1.2169799999999993</v>
      </c>
      <c r="BU205" s="710">
        <v>-1.1871674999999995</v>
      </c>
      <c r="BV205" s="710">
        <v>-1.1756674999999996</v>
      </c>
      <c r="BW205" s="710">
        <v>-1.1824799999999995</v>
      </c>
      <c r="BX205" s="710">
        <v>-1.2076049999999994</v>
      </c>
      <c r="BY205" s="710">
        <v>-1.2510424999999994</v>
      </c>
      <c r="BZ205" s="710">
        <v>-1.3127924999999996</v>
      </c>
      <c r="CA205" s="710">
        <v>-1.3928549999999995</v>
      </c>
      <c r="CB205" s="710">
        <v>-1.4912299999999996</v>
      </c>
      <c r="CC205" s="710">
        <v>-1.6079174999999997</v>
      </c>
      <c r="CD205" s="710">
        <v>-1.7429174999999995</v>
      </c>
      <c r="CE205" s="710">
        <v>-1.8691674999999996</v>
      </c>
      <c r="CF205" s="710">
        <v>-1.9866674999999996</v>
      </c>
      <c r="CG205" s="710">
        <v>-2.0954174999999995</v>
      </c>
      <c r="CH205" s="710">
        <v>-2.1954174999999996</v>
      </c>
      <c r="CI205" s="710">
        <v>-2.2866674999999996</v>
      </c>
      <c r="CJ205" s="710">
        <v>-2.3691674999999996</v>
      </c>
      <c r="CK205" s="710">
        <v>-2.4429174999999996</v>
      </c>
      <c r="CL205" s="710">
        <v>-2.5079174999999991</v>
      </c>
      <c r="CM205" s="710">
        <v>-2.564167499999999</v>
      </c>
      <c r="CN205" s="710">
        <v>-2.6116674999999989</v>
      </c>
      <c r="CO205" s="710">
        <v>-2.6504174999999988</v>
      </c>
      <c r="CP205" s="710">
        <v>-2.6804174999999986</v>
      </c>
      <c r="CQ205" s="710">
        <v>-2.7091674999999991</v>
      </c>
      <c r="CR205" s="710">
        <v>-2.7366674999999985</v>
      </c>
      <c r="CS205" s="710">
        <v>-2.7629174999999986</v>
      </c>
      <c r="CT205" s="710">
        <v>-2.7879174999999989</v>
      </c>
      <c r="CU205" s="710">
        <v>-2.8116674999999987</v>
      </c>
      <c r="CV205" s="710">
        <v>-2.8341674999999986</v>
      </c>
      <c r="CW205" s="710">
        <v>-2.8554174999999988</v>
      </c>
      <c r="CX205" s="710">
        <v>-2.8754174999999984</v>
      </c>
      <c r="CY205" s="710">
        <v>-2.8941674999999982</v>
      </c>
      <c r="CZ205" s="710">
        <v>-2.9116674999999983</v>
      </c>
      <c r="DA205" s="710">
        <v>-2.9279174999999982</v>
      </c>
      <c r="DB205" s="710"/>
      <c r="DC205" s="12">
        <f t="shared" si="219"/>
        <v>0</v>
      </c>
      <c r="DD205" s="12">
        <f t="shared" si="226"/>
        <v>-1.1881322326343557</v>
      </c>
      <c r="DE205" s="12">
        <f t="shared" si="220"/>
        <v>-12.408981428571426</v>
      </c>
      <c r="DF205" s="12">
        <f t="shared" si="221"/>
        <v>-19.036134999999994</v>
      </c>
      <c r="DG205" s="12">
        <f t="shared" si="222"/>
        <v>-15.622384999999991</v>
      </c>
      <c r="DH205" s="12">
        <f t="shared" si="223"/>
        <v>-27.322509999999994</v>
      </c>
      <c r="DI205" s="12">
        <f t="shared" si="227"/>
        <v>-33.787509999999983</v>
      </c>
    </row>
    <row r="206" spans="2:113" ht="15" outlineLevel="2">
      <c r="B206" s="758"/>
      <c r="F206" s="126" t="s">
        <v>806</v>
      </c>
      <c r="I206" s="609" t="s">
        <v>736</v>
      </c>
      <c r="O206" s="710"/>
      <c r="P206" s="710"/>
      <c r="Q206" s="710"/>
      <c r="R206" s="710"/>
      <c r="S206" s="710"/>
      <c r="T206" s="710"/>
      <c r="U206" s="710"/>
      <c r="V206" s="710"/>
      <c r="W206" s="698"/>
      <c r="Y206" s="698"/>
      <c r="Z206" s="710"/>
      <c r="AA206" s="710"/>
      <c r="AB206" s="879"/>
      <c r="AC206" s="879"/>
      <c r="AD206" s="879"/>
      <c r="AE206" s="879"/>
      <c r="AF206" s="879"/>
      <c r="AG206" s="710"/>
      <c r="AH206" s="710"/>
      <c r="AI206" s="710"/>
      <c r="AJ206" s="710"/>
      <c r="AK206" s="710"/>
      <c r="AL206" s="710"/>
      <c r="AM206" s="713">
        <v>-5.0708042000000002E-2</v>
      </c>
      <c r="AN206" s="713">
        <v>-7.5651042000000002E-2</v>
      </c>
      <c r="AO206" s="911">
        <v>-5.4786510000000002E-3</v>
      </c>
      <c r="AP206" s="721">
        <v>-5.7758810000000001E-3</v>
      </c>
      <c r="AQ206" s="710">
        <v>-4.2307999999999998E-2</v>
      </c>
      <c r="AR206" s="710">
        <v>-5.319999999999999E-2</v>
      </c>
      <c r="AS206" s="710">
        <v>-6.1714285714285715E-2</v>
      </c>
      <c r="AT206" s="710">
        <v>-6.4000000000000001E-2</v>
      </c>
      <c r="AU206" s="710">
        <v>-4.3999999999999997E-2</v>
      </c>
      <c r="AV206" s="710">
        <v>-0.06</v>
      </c>
      <c r="AW206" s="710">
        <v>-6.2799999999999995E-2</v>
      </c>
      <c r="AX206" s="710">
        <v>-6.5600000000000006E-2</v>
      </c>
      <c r="AY206" s="710">
        <v>-6.8399999999999989E-2</v>
      </c>
      <c r="AZ206" s="710">
        <v>-7.1199999999999986E-2</v>
      </c>
      <c r="BA206" s="710">
        <v>-7.3999999999999982E-2</v>
      </c>
      <c r="BB206" s="710">
        <v>-7.6799999999999979E-2</v>
      </c>
      <c r="BC206" s="710">
        <v>-7.959999999999999E-2</v>
      </c>
      <c r="BD206" s="710">
        <v>-8.2399999999999973E-2</v>
      </c>
      <c r="BE206" s="710">
        <v>-8.519999999999997E-2</v>
      </c>
      <c r="BF206" s="710">
        <v>-8.1433333333333316E-2</v>
      </c>
      <c r="BG206" s="710">
        <v>-7.7666666666666648E-2</v>
      </c>
      <c r="BH206" s="710">
        <v>-7.3899999999999966E-2</v>
      </c>
      <c r="BI206" s="710">
        <v>-7.0133333333333311E-2</v>
      </c>
      <c r="BJ206" s="710">
        <v>-6.6366666666666643E-2</v>
      </c>
      <c r="BK206" s="710">
        <v>-6.2599999999999975E-2</v>
      </c>
      <c r="BL206" s="710">
        <v>-5.8833333333333314E-2</v>
      </c>
      <c r="BM206" s="710">
        <v>-5.5066666666666653E-2</v>
      </c>
      <c r="BN206" s="710">
        <v>-5.1299999999999985E-2</v>
      </c>
      <c r="BO206" s="710">
        <v>-4.7533333333333316E-2</v>
      </c>
      <c r="BP206" s="710">
        <v>-4.3766666666666648E-2</v>
      </c>
      <c r="BQ206" s="710">
        <v>-0.04</v>
      </c>
      <c r="BR206" s="710">
        <v>-4.5999999999999999E-2</v>
      </c>
      <c r="BS206" s="710">
        <v>-5.1999999999999998E-2</v>
      </c>
      <c r="BT206" s="710">
        <v>-5.8000000000000003E-2</v>
      </c>
      <c r="BU206" s="710">
        <v>-6.4000000000000001E-2</v>
      </c>
      <c r="BV206" s="710">
        <v>-7.0000000000000007E-2</v>
      </c>
      <c r="BW206" s="710">
        <v>-7.5999999999999998E-2</v>
      </c>
      <c r="BX206" s="710">
        <v>-8.2000000000000003E-2</v>
      </c>
      <c r="BY206" s="710">
        <v>-8.7999999999999995E-2</v>
      </c>
      <c r="BZ206" s="710">
        <v>-9.4E-2</v>
      </c>
      <c r="CA206" s="710">
        <v>-0.1</v>
      </c>
      <c r="CB206" s="710">
        <v>-0.106</v>
      </c>
      <c r="CC206" s="710">
        <v>-0.112</v>
      </c>
      <c r="CD206" s="710">
        <v>-0.11333333333333333</v>
      </c>
      <c r="CE206" s="710">
        <v>-0.11466666666666665</v>
      </c>
      <c r="CF206" s="710">
        <v>-0.11599999999999999</v>
      </c>
      <c r="CG206" s="710">
        <v>-0.11733333333333332</v>
      </c>
      <c r="CH206" s="710">
        <v>-0.11866666666666664</v>
      </c>
      <c r="CI206" s="710">
        <v>-0.11999999999999997</v>
      </c>
      <c r="CJ206" s="710">
        <v>-0.12133333333333329</v>
      </c>
      <c r="CK206" s="710">
        <v>-0.12266666666666663</v>
      </c>
      <c r="CL206" s="710">
        <v>-0.12399999999999996</v>
      </c>
      <c r="CM206" s="710">
        <v>-0.1253333333333333</v>
      </c>
      <c r="CN206" s="710">
        <v>-0.12666666666666662</v>
      </c>
      <c r="CO206" s="710">
        <v>-0.128</v>
      </c>
      <c r="CP206" s="710">
        <v>-0.12866666666666665</v>
      </c>
      <c r="CQ206" s="710">
        <v>-0.1293333333333333</v>
      </c>
      <c r="CR206" s="710">
        <v>-0.12999999999999998</v>
      </c>
      <c r="CS206" s="710">
        <v>-0.13066666666666663</v>
      </c>
      <c r="CT206" s="710">
        <v>-0.13133333333333327</v>
      </c>
      <c r="CU206" s="710">
        <v>-0.13199999999999995</v>
      </c>
      <c r="CV206" s="710">
        <v>-0.1326666666666666</v>
      </c>
      <c r="CW206" s="710">
        <v>-0.13333333333333325</v>
      </c>
      <c r="CX206" s="710">
        <v>-0.13399999999999992</v>
      </c>
      <c r="CY206" s="710">
        <v>-0.13466666666666657</v>
      </c>
      <c r="CZ206" s="710">
        <v>-0.13533333333333322</v>
      </c>
      <c r="DA206" s="710">
        <v>-0.13600000000000001</v>
      </c>
      <c r="DB206" s="710"/>
      <c r="DC206" s="12">
        <f t="shared" si="219"/>
        <v>0</v>
      </c>
      <c r="DD206" s="12">
        <f t="shared" si="226"/>
        <v>-0.2948359017142857</v>
      </c>
      <c r="DE206" s="12">
        <f t="shared" si="220"/>
        <v>-0.83399999999999985</v>
      </c>
      <c r="DF206" s="12">
        <f t="shared" si="221"/>
        <v>-0.7285999999999998</v>
      </c>
      <c r="DG206" s="12">
        <f t="shared" si="222"/>
        <v>-0.94799999999999995</v>
      </c>
      <c r="DH206" s="12">
        <f t="shared" si="223"/>
        <v>-1.4479999999999995</v>
      </c>
      <c r="DI206" s="12">
        <f t="shared" si="227"/>
        <v>-1.5879999999999992</v>
      </c>
    </row>
    <row r="207" spans="2:113" s="698" customFormat="1" outlineLevel="2">
      <c r="B207" s="758"/>
      <c r="F207" s="126" t="s">
        <v>807</v>
      </c>
      <c r="H207" s="703"/>
      <c r="I207" s="609" t="s">
        <v>736</v>
      </c>
      <c r="J207" s="703"/>
      <c r="K207" s="703"/>
      <c r="L207" s="703"/>
      <c r="M207" s="703"/>
      <c r="N207" s="714"/>
      <c r="O207" s="714"/>
      <c r="P207" s="714"/>
      <c r="Q207" s="714"/>
      <c r="R207" s="714"/>
      <c r="S207" s="714"/>
      <c r="T207" s="714"/>
      <c r="U207" s="714"/>
      <c r="V207" s="714"/>
      <c r="X207" s="126"/>
      <c r="Z207" s="714"/>
      <c r="AA207" s="714"/>
      <c r="AB207" s="714"/>
      <c r="AC207" s="714"/>
      <c r="AD207" s="714"/>
      <c r="AE207" s="714"/>
      <c r="AF207" s="714"/>
      <c r="AG207" s="714"/>
      <c r="AH207" s="714"/>
      <c r="AI207" s="714"/>
      <c r="AJ207" s="710"/>
      <c r="AK207" s="710"/>
      <c r="AL207" s="710"/>
      <c r="AM207" s="713">
        <v>-2.8000000000000001E-2</v>
      </c>
      <c r="AN207" s="748">
        <v>-0.03</v>
      </c>
      <c r="AO207" s="748">
        <v>0</v>
      </c>
      <c r="AP207" s="748">
        <v>-0.1196188</v>
      </c>
      <c r="AQ207" s="749">
        <v>-2.0730919999999999</v>
      </c>
      <c r="AR207" s="749">
        <v>-2.5802</v>
      </c>
      <c r="AS207" s="749">
        <v>-2.9314285714285715</v>
      </c>
      <c r="AT207" s="710">
        <v>-3.04</v>
      </c>
      <c r="AU207" s="710">
        <v>-2.09</v>
      </c>
      <c r="AV207" s="710">
        <v>-2.8499999999999996</v>
      </c>
      <c r="AW207" s="710">
        <v>-2.9830000000000001</v>
      </c>
      <c r="AX207" s="710">
        <v>-3.1159999999999992</v>
      </c>
      <c r="AY207" s="710">
        <v>-3.2489999999999992</v>
      </c>
      <c r="AZ207" s="710">
        <v>-3.2039999999999997</v>
      </c>
      <c r="BA207" s="710">
        <v>-3.3299999999999996</v>
      </c>
      <c r="BB207" s="710">
        <v>-3.4559999999999991</v>
      </c>
      <c r="BC207" s="710">
        <v>-3.5819999999999994</v>
      </c>
      <c r="BD207" s="710">
        <v>-3.7079999999999993</v>
      </c>
      <c r="BE207" s="710">
        <v>-3.6209999999999991</v>
      </c>
      <c r="BF207" s="749">
        <v>-3.4609166666666655</v>
      </c>
      <c r="BG207" s="749">
        <v>-3.300833333333332</v>
      </c>
      <c r="BH207" s="749">
        <v>-3.1407499999999988</v>
      </c>
      <c r="BI207" s="749">
        <v>-2.9806666666666657</v>
      </c>
      <c r="BJ207" s="749">
        <v>-2.8205833333333321</v>
      </c>
      <c r="BK207" s="749">
        <v>-2.660499999999999</v>
      </c>
      <c r="BL207" s="749">
        <v>-2.5004166666666658</v>
      </c>
      <c r="BM207" s="749">
        <v>-2.3403333333333327</v>
      </c>
      <c r="BN207" s="749">
        <v>-2.1802499999999991</v>
      </c>
      <c r="BO207" s="749">
        <v>-2.020166666666666</v>
      </c>
      <c r="BP207" s="749">
        <v>-1.8600833333333326</v>
      </c>
      <c r="BQ207" s="749">
        <v>-1.7</v>
      </c>
      <c r="BR207" s="749">
        <v>-1.9549999999999998</v>
      </c>
      <c r="BS207" s="749">
        <v>-2.21</v>
      </c>
      <c r="BT207" s="749">
        <v>-2.4649999999999999</v>
      </c>
      <c r="BU207" s="749">
        <v>-2.72</v>
      </c>
      <c r="BV207" s="749">
        <v>-2.9750000000000001</v>
      </c>
      <c r="BW207" s="749">
        <v>-3.23</v>
      </c>
      <c r="BX207" s="749">
        <v>-3.4849999999999994</v>
      </c>
      <c r="BY207" s="749">
        <v>-3.74</v>
      </c>
      <c r="BZ207" s="749">
        <v>-3.9950000000000001</v>
      </c>
      <c r="CA207" s="749">
        <v>-4.25</v>
      </c>
      <c r="CB207" s="749">
        <v>-4.5049999999999999</v>
      </c>
      <c r="CC207" s="749">
        <v>-4.76</v>
      </c>
      <c r="CD207" s="749">
        <v>-4.8166666666666664</v>
      </c>
      <c r="CE207" s="749">
        <v>-4.8733333333333331</v>
      </c>
      <c r="CF207" s="749">
        <v>-4.9299999999999988</v>
      </c>
      <c r="CG207" s="749">
        <v>-4.9866666666666664</v>
      </c>
      <c r="CH207" s="749">
        <v>-5.0433333333333321</v>
      </c>
      <c r="CI207" s="749">
        <v>-5.0999999999999988</v>
      </c>
      <c r="CJ207" s="749">
        <v>-5.1566666666666654</v>
      </c>
      <c r="CK207" s="749">
        <v>-5.2133333333333312</v>
      </c>
      <c r="CL207" s="749">
        <v>-5.2699999999999987</v>
      </c>
      <c r="CM207" s="749">
        <v>-5.3266666666666644</v>
      </c>
      <c r="CN207" s="749">
        <v>-5.3833333333333311</v>
      </c>
      <c r="CO207" s="749">
        <v>-5.44</v>
      </c>
      <c r="CP207" s="749">
        <v>-5.4683333333333328</v>
      </c>
      <c r="CQ207" s="749">
        <v>-5.4966666666666661</v>
      </c>
      <c r="CR207" s="749">
        <v>-5.5249999999999986</v>
      </c>
      <c r="CS207" s="749">
        <v>-5.5533333333333319</v>
      </c>
      <c r="CT207" s="749">
        <v>-5.5816666666666652</v>
      </c>
      <c r="CU207" s="749">
        <v>-5.6099999999999977</v>
      </c>
      <c r="CV207" s="749">
        <v>-5.6383333333333301</v>
      </c>
      <c r="CW207" s="749">
        <v>-5.6666666666666634</v>
      </c>
      <c r="CX207" s="749">
        <v>-5.6949999999999958</v>
      </c>
      <c r="CY207" s="749">
        <v>-5.7233333333333283</v>
      </c>
      <c r="CZ207" s="749">
        <v>-5.7516666666666616</v>
      </c>
      <c r="DA207" s="749">
        <v>-5.7799999999999994</v>
      </c>
      <c r="DB207" s="714"/>
      <c r="DC207" s="12">
        <f t="shared" si="219"/>
        <v>0</v>
      </c>
      <c r="DD207" s="12">
        <f t="shared" si="226"/>
        <v>-7.7623393714285713</v>
      </c>
      <c r="DE207" s="12">
        <f t="shared" si="220"/>
        <v>-38.228999999999999</v>
      </c>
      <c r="DF207" s="12">
        <f t="shared" si="221"/>
        <v>-30.965499999999988</v>
      </c>
      <c r="DG207" s="12">
        <f t="shared" si="222"/>
        <v>-40.29</v>
      </c>
      <c r="DH207" s="12">
        <f t="shared" si="223"/>
        <v>-61.539999999999985</v>
      </c>
      <c r="DI207" s="12">
        <f t="shared" si="227"/>
        <v>-67.489999999999966</v>
      </c>
    </row>
    <row r="208" spans="2:113" s="698" customFormat="1" outlineLevel="2">
      <c r="B208" s="758"/>
      <c r="F208" s="126" t="s">
        <v>703</v>
      </c>
      <c r="H208" s="703"/>
      <c r="I208" s="609" t="s">
        <v>736</v>
      </c>
      <c r="J208" s="703"/>
      <c r="K208" s="703"/>
      <c r="L208" s="703"/>
      <c r="M208" s="703"/>
      <c r="N208" s="714"/>
      <c r="O208" s="714"/>
      <c r="P208" s="714"/>
      <c r="Q208" s="714"/>
      <c r="R208" s="714"/>
      <c r="S208" s="714"/>
      <c r="T208" s="714"/>
      <c r="U208" s="714"/>
      <c r="V208" s="714"/>
      <c r="W208" s="126"/>
      <c r="X208" s="126"/>
      <c r="Y208" s="126"/>
      <c r="Z208" s="714"/>
      <c r="AA208" s="714"/>
      <c r="AB208" s="714"/>
      <c r="AC208" s="714"/>
      <c r="AD208" s="714"/>
      <c r="AE208" s="714"/>
      <c r="AF208" s="714"/>
      <c r="AG208" s="714"/>
      <c r="AH208" s="714"/>
      <c r="AI208" s="714"/>
      <c r="AJ208" s="710"/>
      <c r="AK208" s="710"/>
      <c r="AL208" s="710"/>
      <c r="AM208" s="713">
        <v>-5.3927610000000003E-3</v>
      </c>
      <c r="AN208" s="713"/>
      <c r="AO208" s="721"/>
      <c r="AP208" s="710"/>
      <c r="AQ208" s="710"/>
      <c r="AR208" s="710"/>
      <c r="AS208" s="710"/>
      <c r="AT208" s="710"/>
      <c r="AU208" s="710"/>
      <c r="AV208" s="710"/>
      <c r="AW208" s="710"/>
      <c r="AX208" s="710"/>
      <c r="AY208" s="710"/>
      <c r="AZ208" s="710"/>
      <c r="BA208" s="710"/>
      <c r="BB208" s="710"/>
      <c r="BC208" s="710"/>
      <c r="BD208" s="710"/>
      <c r="BE208" s="710"/>
      <c r="BF208" s="710"/>
      <c r="BG208" s="710"/>
      <c r="BH208" s="710"/>
      <c r="BI208" s="710"/>
      <c r="BJ208" s="710"/>
      <c r="BK208" s="710"/>
      <c r="BL208" s="710"/>
      <c r="BM208" s="710"/>
      <c r="BN208" s="710"/>
      <c r="BO208" s="710"/>
      <c r="BP208" s="710"/>
      <c r="BQ208" s="710"/>
      <c r="BR208" s="710"/>
      <c r="BS208" s="710"/>
      <c r="BT208" s="710"/>
      <c r="BU208" s="710"/>
      <c r="BV208" s="710"/>
      <c r="BW208" s="710"/>
      <c r="BX208" s="710"/>
      <c r="BY208" s="710"/>
      <c r="BZ208" s="710"/>
      <c r="CA208" s="710"/>
      <c r="CB208" s="710"/>
      <c r="CC208" s="710"/>
      <c r="CD208" s="710"/>
      <c r="CE208" s="710"/>
      <c r="CF208" s="710"/>
      <c r="CG208" s="710"/>
      <c r="CH208" s="710"/>
      <c r="CI208" s="710"/>
      <c r="CJ208" s="710"/>
      <c r="CK208" s="710"/>
      <c r="CL208" s="710"/>
      <c r="CM208" s="710"/>
      <c r="CN208" s="710"/>
      <c r="CO208" s="710"/>
      <c r="CP208" s="710"/>
      <c r="CQ208" s="710"/>
      <c r="CR208" s="710"/>
      <c r="CS208" s="710"/>
      <c r="CT208" s="710"/>
      <c r="CU208" s="710"/>
      <c r="CV208" s="710"/>
      <c r="CW208" s="710"/>
      <c r="CX208" s="710"/>
      <c r="CY208" s="710"/>
      <c r="CZ208" s="710"/>
      <c r="DA208" s="710"/>
      <c r="DB208" s="714"/>
      <c r="DC208" s="12">
        <f t="shared" si="219"/>
        <v>0</v>
      </c>
      <c r="DD208" s="12">
        <f t="shared" si="226"/>
        <v>-5.3927610000000003E-3</v>
      </c>
      <c r="DE208" s="12">
        <f t="shared" si="220"/>
        <v>0</v>
      </c>
      <c r="DF208" s="12">
        <f t="shared" si="221"/>
        <v>0</v>
      </c>
      <c r="DG208" s="12">
        <f t="shared" si="222"/>
        <v>0</v>
      </c>
      <c r="DH208" s="12">
        <f t="shared" si="223"/>
        <v>0</v>
      </c>
      <c r="DI208" s="12">
        <f t="shared" si="227"/>
        <v>0</v>
      </c>
    </row>
    <row r="209" spans="2:113" s="698" customFormat="1" outlineLevel="2">
      <c r="B209" s="758"/>
      <c r="F209" s="126" t="s">
        <v>163</v>
      </c>
      <c r="H209" s="703"/>
      <c r="I209" s="609" t="s">
        <v>736</v>
      </c>
      <c r="J209" s="703"/>
      <c r="K209" s="703"/>
      <c r="L209" s="703"/>
      <c r="M209" s="703"/>
      <c r="N209" s="714"/>
      <c r="O209" s="714"/>
      <c r="P209" s="714"/>
      <c r="Q209" s="714"/>
      <c r="R209" s="714"/>
      <c r="S209" s="714"/>
      <c r="T209" s="714"/>
      <c r="U209" s="714"/>
      <c r="V209" s="714"/>
      <c r="X209" s="126"/>
      <c r="Y209" s="126"/>
      <c r="Z209" s="714"/>
      <c r="AA209" s="714"/>
      <c r="AB209" s="714"/>
      <c r="AC209" s="714"/>
      <c r="AD209" s="714"/>
      <c r="AE209" s="714"/>
      <c r="AF209" s="714"/>
      <c r="AG209" s="714"/>
      <c r="AH209" s="714"/>
      <c r="AI209" s="714"/>
      <c r="AJ209" s="710"/>
      <c r="AK209" s="710"/>
      <c r="AL209" s="710"/>
      <c r="AM209" s="713">
        <v>-5.8416481867709706E-5</v>
      </c>
      <c r="AN209" s="713">
        <v>-2.7387687935780981E-3</v>
      </c>
      <c r="AO209" s="713">
        <v>-6.6491001698355369E-3</v>
      </c>
      <c r="AP209" s="713">
        <v>-6.7566146233280283E-3</v>
      </c>
      <c r="AQ209" s="749">
        <v>-9.5305000000000008E-3</v>
      </c>
      <c r="AR209" s="749">
        <v>-1.25895E-2</v>
      </c>
      <c r="AS209" s="749">
        <v>-1.7244499999999999E-2</v>
      </c>
      <c r="AT209" s="710">
        <v>-2.2644500000000001E-2</v>
      </c>
      <c r="AU209" s="710">
        <v>-2.8244499999999999E-2</v>
      </c>
      <c r="AV209" s="710">
        <v>-3.2094499999999998E-2</v>
      </c>
      <c r="AW209" s="710">
        <v>-3.7344500000000003E-2</v>
      </c>
      <c r="AX209" s="710">
        <v>-4.2839500000000003E-2</v>
      </c>
      <c r="AY209" s="710">
        <v>-4.8579499999999998E-2</v>
      </c>
      <c r="AZ209" s="710">
        <v>-5.2627599999999997E-2</v>
      </c>
      <c r="BA209" s="710">
        <v>-5.5638300000000002E-2</v>
      </c>
      <c r="BB209" s="710">
        <v>-5.9527499999999997E-2</v>
      </c>
      <c r="BC209" s="710">
        <v>-6.3488099999999992E-2</v>
      </c>
      <c r="BD209" s="710">
        <v>-6.6751149999999995E-2</v>
      </c>
      <c r="BE209" s="710">
        <v>-6.9306149999999983E-2</v>
      </c>
      <c r="BF209" s="749">
        <v>-7.1361149999999984E-2</v>
      </c>
      <c r="BG209" s="749">
        <v>-7.2886566666666652E-2</v>
      </c>
      <c r="BH209" s="749">
        <v>-7.583239999999998E-2</v>
      </c>
      <c r="BI209" s="749">
        <v>-7.7048649999999982E-2</v>
      </c>
      <c r="BJ209" s="749">
        <v>-7.7690316666666634E-2</v>
      </c>
      <c r="BK209" s="749">
        <v>-7.7757399999999977E-2</v>
      </c>
      <c r="BL209" s="749">
        <v>-7.7249899999999982E-2</v>
      </c>
      <c r="BM209" s="749">
        <v>-7.6167816666666638E-2</v>
      </c>
      <c r="BN209" s="749">
        <v>-7.451114999999997E-2</v>
      </c>
      <c r="BO209" s="749">
        <v>-7.2279899999999966E-2</v>
      </c>
      <c r="BP209" s="749">
        <v>-6.9474066666666626E-2</v>
      </c>
      <c r="BQ209" s="749">
        <v>-6.6093649999999962E-2</v>
      </c>
      <c r="BR209" s="749">
        <v>-6.2138649999999962E-2</v>
      </c>
      <c r="BS209" s="749">
        <v>-5.9038233333333301E-2</v>
      </c>
      <c r="BT209" s="749">
        <v>-5.6792399999999972E-2</v>
      </c>
      <c r="BU209" s="749">
        <v>-5.5401149999999975E-2</v>
      </c>
      <c r="BV209" s="749">
        <v>-5.4864483333333311E-2</v>
      </c>
      <c r="BW209" s="749">
        <v>-5.5182399999999972E-2</v>
      </c>
      <c r="BX209" s="749">
        <v>-5.6354899999999972E-2</v>
      </c>
      <c r="BY209" s="749">
        <v>-5.8381983333333304E-2</v>
      </c>
      <c r="BZ209" s="749">
        <v>-6.1263649999999975E-2</v>
      </c>
      <c r="CA209" s="749">
        <v>-6.4999899999999985E-2</v>
      </c>
      <c r="CB209" s="749">
        <v>-6.9590733333333321E-2</v>
      </c>
      <c r="CC209" s="749">
        <v>-7.5036149999999982E-2</v>
      </c>
      <c r="CD209" s="749">
        <v>-8.1336149999999982E-2</v>
      </c>
      <c r="CE209" s="749">
        <v>-8.7227816666666638E-2</v>
      </c>
      <c r="CF209" s="749">
        <v>-9.2711149999999978E-2</v>
      </c>
      <c r="CG209" s="749">
        <v>-9.7786149999999974E-2</v>
      </c>
      <c r="CH209" s="749">
        <v>-0.10245281666666664</v>
      </c>
      <c r="CI209" s="749">
        <v>-0.10671114999999998</v>
      </c>
      <c r="CJ209" s="749">
        <v>-0.11056114999999998</v>
      </c>
      <c r="CK209" s="749">
        <v>-0.11400281666666663</v>
      </c>
      <c r="CL209" s="749">
        <v>-0.11703614999999996</v>
      </c>
      <c r="CM209" s="749">
        <v>-0.11966114999999997</v>
      </c>
      <c r="CN209" s="749">
        <v>-0.12187781666666662</v>
      </c>
      <c r="CO209" s="749">
        <v>-0.12368614999999995</v>
      </c>
      <c r="CP209" s="749">
        <v>-0.12508614999999995</v>
      </c>
      <c r="CQ209" s="749">
        <v>-0.12642781666666661</v>
      </c>
      <c r="CR209" s="749">
        <v>-0.12771114999999994</v>
      </c>
      <c r="CS209" s="749">
        <v>-0.12893614999999994</v>
      </c>
      <c r="CT209" s="749">
        <v>-0.13010281666666662</v>
      </c>
      <c r="CU209" s="749">
        <v>-0.13121114999999994</v>
      </c>
      <c r="CV209" s="749">
        <v>-0.13226114999999994</v>
      </c>
      <c r="CW209" s="749">
        <v>-0.13325281666666658</v>
      </c>
      <c r="CX209" s="749">
        <v>-0.13418614999999995</v>
      </c>
      <c r="CY209" s="749">
        <v>-0.13506114999999994</v>
      </c>
      <c r="CZ209" s="749">
        <v>-0.1358778166666666</v>
      </c>
      <c r="DA209" s="749">
        <v>-0.13663614999999993</v>
      </c>
      <c r="DB209" s="714"/>
      <c r="DC209" s="12">
        <f t="shared" si="219"/>
        <v>0</v>
      </c>
      <c r="DD209" s="12">
        <f t="shared" si="226"/>
        <v>-5.5567400068609371E-2</v>
      </c>
      <c r="DE209" s="12">
        <f t="shared" si="220"/>
        <v>-0.57908579999999998</v>
      </c>
      <c r="DF209" s="12">
        <f t="shared" si="221"/>
        <v>-0.88835296666666641</v>
      </c>
      <c r="DG209" s="12">
        <f t="shared" si="222"/>
        <v>-0.72904463333333303</v>
      </c>
      <c r="DH209" s="12">
        <f t="shared" si="223"/>
        <v>-1.2750504666666662</v>
      </c>
      <c r="DI209" s="12">
        <f t="shared" si="227"/>
        <v>-1.5767504666666659</v>
      </c>
    </row>
    <row r="210" spans="2:113" s="698" customFormat="1" outlineLevel="2">
      <c r="B210" s="758"/>
      <c r="F210" s="718" t="s">
        <v>152</v>
      </c>
      <c r="G210" s="126"/>
      <c r="H210" s="609"/>
      <c r="I210" s="609" t="s">
        <v>736</v>
      </c>
      <c r="J210" s="703"/>
      <c r="K210" s="703"/>
      <c r="L210" s="703"/>
      <c r="M210" s="703"/>
      <c r="N210" s="714"/>
      <c r="O210" s="714"/>
      <c r="P210" s="714"/>
      <c r="Q210" s="714"/>
      <c r="R210" s="714"/>
      <c r="S210" s="714"/>
      <c r="T210" s="714"/>
      <c r="U210" s="714"/>
      <c r="V210" s="714"/>
      <c r="X210" s="126"/>
      <c r="Y210" s="126"/>
      <c r="Z210" s="714"/>
      <c r="AA210" s="714"/>
      <c r="AB210" s="714"/>
      <c r="AC210" s="714"/>
      <c r="AD210" s="714"/>
      <c r="AE210" s="714"/>
      <c r="AF210" s="714"/>
      <c r="AG210" s="714"/>
      <c r="AH210" s="714"/>
      <c r="AI210" s="714"/>
      <c r="AJ210" s="710"/>
      <c r="AK210" s="710"/>
      <c r="AL210" s="710"/>
      <c r="AM210" s="713"/>
      <c r="AN210" s="713"/>
      <c r="AO210" s="713"/>
      <c r="AP210" s="713"/>
      <c r="AQ210" s="749"/>
      <c r="AR210" s="749"/>
      <c r="AS210" s="749"/>
      <c r="AT210" s="750">
        <f>AT183/(AT142+AT183)*AT87</f>
        <v>-0.24648648648648652</v>
      </c>
      <c r="AU210" s="750">
        <f t="shared" ref="AU210:DA210" si="236">AU183/(AU142+AU183)*AU87</f>
        <v>-0.24492187500000004</v>
      </c>
      <c r="AV210" s="750">
        <f t="shared" si="236"/>
        <v>-0.2401685393258427</v>
      </c>
      <c r="AW210" s="750">
        <f t="shared" si="236"/>
        <v>-0.22440288371121098</v>
      </c>
      <c r="AX210" s="750">
        <f t="shared" si="236"/>
        <v>-0.21169277222117383</v>
      </c>
      <c r="AY210" s="750">
        <f t="shared" si="236"/>
        <v>-0.20122838709677424</v>
      </c>
      <c r="AZ210" s="750">
        <f t="shared" si="236"/>
        <v>-5.7401201391084414E-2</v>
      </c>
      <c r="BA210" s="750">
        <f t="shared" si="236"/>
        <v>-5.5179472183639153E-2</v>
      </c>
      <c r="BB210" s="750">
        <f t="shared" si="236"/>
        <v>-5.3268053855569153E-2</v>
      </c>
      <c r="BC210" s="750">
        <f t="shared" si="236"/>
        <v>-5.1606178096993575E-2</v>
      </c>
      <c r="BD210" s="750">
        <f t="shared" si="236"/>
        <v>-5.014797136038187E-2</v>
      </c>
      <c r="BE210" s="750">
        <f t="shared" si="236"/>
        <v>-4.5489949748743715E-2</v>
      </c>
      <c r="BF210" s="751">
        <f t="shared" si="236"/>
        <v>-4.5359327217125385E-2</v>
      </c>
      <c r="BG210" s="751">
        <f t="shared" si="236"/>
        <v>-4.5216894977168937E-2</v>
      </c>
      <c r="BH210" s="751">
        <f t="shared" si="236"/>
        <v>-4.5060975609756096E-2</v>
      </c>
      <c r="BI210" s="751">
        <f t="shared" si="236"/>
        <v>-4.4889558232931726E-2</v>
      </c>
      <c r="BJ210" s="751">
        <f t="shared" si="236"/>
        <v>-4.4700211304807176E-2</v>
      </c>
      <c r="BK210" s="751">
        <f t="shared" si="236"/>
        <v>-4.4489966555183939E-2</v>
      </c>
      <c r="BL210" s="751">
        <f t="shared" si="236"/>
        <v>-4.4255162241887892E-2</v>
      </c>
      <c r="BM210" s="751">
        <f t="shared" si="236"/>
        <v>-4.3991228070175435E-2</v>
      </c>
      <c r="BN210" s="751">
        <f t="shared" si="236"/>
        <v>-4.3692384769539072E-2</v>
      </c>
      <c r="BO210" s="751">
        <f t="shared" si="236"/>
        <v>-4.3351216022889841E-2</v>
      </c>
      <c r="BP210" s="751">
        <f t="shared" si="236"/>
        <v>-4.2958044649730555E-2</v>
      </c>
      <c r="BQ210" s="751">
        <f t="shared" si="236"/>
        <v>-4.2500000000000003E-2</v>
      </c>
      <c r="BR210" s="751">
        <f t="shared" si="236"/>
        <v>-4.6272189349112432E-2</v>
      </c>
      <c r="BS210" s="751">
        <f t="shared" si="236"/>
        <v>-4.9662921348314612E-2</v>
      </c>
      <c r="BT210" s="751">
        <f t="shared" si="236"/>
        <v>-5.2727272727272734E-2</v>
      </c>
      <c r="BU210" s="751">
        <f t="shared" si="236"/>
        <v>-5.5510204081632653E-2</v>
      </c>
      <c r="BV210" s="751">
        <f t="shared" si="236"/>
        <v>-5.8048780487804888E-2</v>
      </c>
      <c r="BW210" s="751">
        <f t="shared" si="236"/>
        <v>-6.0373831775700937E-2</v>
      </c>
      <c r="BX210" s="751">
        <f t="shared" si="236"/>
        <v>-6.2511210762331848E-2</v>
      </c>
      <c r="BY210" s="751">
        <f t="shared" si="236"/>
        <v>-6.4482758620689654E-2</v>
      </c>
      <c r="BZ210" s="751">
        <f t="shared" si="236"/>
        <v>-6.6307053941908722E-2</v>
      </c>
      <c r="CA210" s="751">
        <f t="shared" si="236"/>
        <v>-6.8000000000000005E-2</v>
      </c>
      <c r="CB210" s="751">
        <f t="shared" si="236"/>
        <v>-6.9575289575289578E-2</v>
      </c>
      <c r="CC210" s="751">
        <f t="shared" si="236"/>
        <v>-7.1044776119402991E-2</v>
      </c>
      <c r="CD210" s="751">
        <f t="shared" si="236"/>
        <v>-7.109471094710948E-2</v>
      </c>
      <c r="CE210" s="751">
        <f t="shared" si="236"/>
        <v>-7.1143552311435529E-2</v>
      </c>
      <c r="CF210" s="751">
        <f t="shared" si="236"/>
        <v>-7.1191335740072206E-2</v>
      </c>
      <c r="CG210" s="751">
        <f t="shared" si="236"/>
        <v>-7.1238095238095239E-2</v>
      </c>
      <c r="CH210" s="751">
        <f t="shared" si="236"/>
        <v>-7.1283863368669029E-2</v>
      </c>
      <c r="CI210" s="751">
        <f t="shared" si="236"/>
        <v>-7.1328671328671336E-2</v>
      </c>
      <c r="CJ210" s="751">
        <f t="shared" si="236"/>
        <v>-7.137254901960785E-2</v>
      </c>
      <c r="CK210" s="751">
        <f t="shared" si="236"/>
        <v>-7.1415525114155248E-2</v>
      </c>
      <c r="CL210" s="751">
        <f t="shared" si="236"/>
        <v>-7.1457627118644063E-2</v>
      </c>
      <c r="CM210" s="751">
        <f t="shared" si="236"/>
        <v>-7.149888143176733E-2</v>
      </c>
      <c r="CN210" s="751">
        <f t="shared" si="236"/>
        <v>-7.1539313399778509E-2</v>
      </c>
      <c r="CO210" s="751">
        <f t="shared" si="236"/>
        <v>-7.1578947368421048E-2</v>
      </c>
      <c r="CP210" s="751">
        <f t="shared" si="236"/>
        <v>-7.1481481481481479E-2</v>
      </c>
      <c r="CQ210" s="751">
        <f t="shared" si="236"/>
        <v>-7.1385281385281385E-2</v>
      </c>
      <c r="CR210" s="751">
        <f t="shared" si="236"/>
        <v>-7.129032258064516E-2</v>
      </c>
      <c r="CS210" s="751">
        <f t="shared" si="236"/>
        <v>-7.1196581196581205E-2</v>
      </c>
      <c r="CT210" s="751">
        <f t="shared" si="236"/>
        <v>-7.1104033970276023E-2</v>
      </c>
      <c r="CU210" s="751">
        <f t="shared" si="236"/>
        <v>-7.1012658227848094E-2</v>
      </c>
      <c r="CV210" s="751">
        <f t="shared" si="236"/>
        <v>-7.0922431865828098E-2</v>
      </c>
      <c r="CW210" s="751">
        <f t="shared" si="236"/>
        <v>-7.0833333333333331E-2</v>
      </c>
      <c r="CX210" s="751">
        <f t="shared" si="236"/>
        <v>-7.0745341614906823E-2</v>
      </c>
      <c r="CY210" s="751">
        <f t="shared" si="236"/>
        <v>-7.0658436213991774E-2</v>
      </c>
      <c r="CZ210" s="751">
        <f t="shared" si="236"/>
        <v>-7.0572597137014317E-2</v>
      </c>
      <c r="DA210" s="751">
        <f t="shared" si="236"/>
        <v>-7.0487804878048788E-2</v>
      </c>
      <c r="DB210" s="714"/>
      <c r="DC210" s="12">
        <f>SUM(V210:AG210)</f>
        <v>0</v>
      </c>
      <c r="DD210" s="12">
        <f>SUM(AH210:AS210)</f>
        <v>0</v>
      </c>
      <c r="DE210" s="12">
        <f>SUM(AT210:BE210)</f>
        <v>-1.6819937704779004</v>
      </c>
      <c r="DF210" s="12">
        <f>SUM(BF210:BQ210)</f>
        <v>-0.53046496965119605</v>
      </c>
      <c r="DG210" s="12">
        <f>SUM(BR210:CC210)</f>
        <v>-0.72451628878946095</v>
      </c>
      <c r="DH210" s="12">
        <f>SUM(CD210:CO210)</f>
        <v>-0.85614307238642684</v>
      </c>
      <c r="DI210" s="12">
        <f t="shared" si="227"/>
        <v>-0.85169030388523659</v>
      </c>
    </row>
    <row r="211" spans="2:113" s="698" customFormat="1" outlineLevel="2">
      <c r="B211" s="758"/>
      <c r="F211" s="126" t="s">
        <v>144</v>
      </c>
      <c r="G211" s="718"/>
      <c r="H211" s="703"/>
      <c r="I211" s="609" t="s">
        <v>736</v>
      </c>
      <c r="J211" s="703"/>
      <c r="K211" s="703"/>
      <c r="L211" s="703"/>
      <c r="M211" s="703"/>
      <c r="N211" s="714"/>
      <c r="O211" s="714"/>
      <c r="P211" s="714"/>
      <c r="Q211" s="714"/>
      <c r="R211" s="714"/>
      <c r="S211" s="714"/>
      <c r="T211" s="714"/>
      <c r="U211" s="714"/>
      <c r="V211" s="714"/>
      <c r="X211" s="126"/>
      <c r="Y211" s="126"/>
      <c r="Z211" s="714"/>
      <c r="AA211" s="714"/>
      <c r="AB211" s="714"/>
      <c r="AC211" s="714"/>
      <c r="AD211" s="714"/>
      <c r="AE211" s="714"/>
      <c r="AF211" s="714"/>
      <c r="AG211" s="714"/>
      <c r="AH211" s="714"/>
      <c r="AI211" s="714"/>
      <c r="AJ211" s="710"/>
      <c r="AK211" s="710"/>
      <c r="AL211" s="710"/>
      <c r="AM211" s="713"/>
      <c r="AN211" s="713"/>
      <c r="AO211" s="713"/>
      <c r="AP211" s="713"/>
      <c r="AQ211" s="749"/>
      <c r="AR211" s="749"/>
      <c r="AS211" s="749"/>
      <c r="AT211" s="710"/>
      <c r="AU211" s="710"/>
      <c r="AV211" s="710"/>
      <c r="AW211" s="710"/>
      <c r="AX211" s="710"/>
      <c r="AY211" s="710"/>
      <c r="AZ211" s="710"/>
      <c r="BA211" s="710"/>
      <c r="BB211" s="710"/>
      <c r="BC211" s="710"/>
      <c r="BD211" s="710"/>
      <c r="BE211" s="710"/>
      <c r="BF211" s="749"/>
      <c r="BG211" s="749"/>
      <c r="BH211" s="749"/>
      <c r="BI211" s="749"/>
      <c r="BJ211" s="749"/>
      <c r="BK211" s="749"/>
      <c r="BL211" s="749"/>
      <c r="BM211" s="749"/>
      <c r="BN211" s="749"/>
      <c r="BO211" s="749"/>
      <c r="BP211" s="749"/>
      <c r="BQ211" s="749"/>
      <c r="BR211" s="749"/>
      <c r="BS211" s="749"/>
      <c r="BT211" s="749"/>
      <c r="BU211" s="749"/>
      <c r="BV211" s="749"/>
      <c r="BW211" s="749"/>
      <c r="BX211" s="749"/>
      <c r="BY211" s="749"/>
      <c r="BZ211" s="749"/>
      <c r="CA211" s="749"/>
      <c r="CB211" s="749"/>
      <c r="CC211" s="749"/>
      <c r="CD211" s="749"/>
      <c r="CE211" s="749"/>
      <c r="CF211" s="749"/>
      <c r="CG211" s="749"/>
      <c r="CH211" s="749"/>
      <c r="CI211" s="749"/>
      <c r="CJ211" s="749"/>
      <c r="CK211" s="749"/>
      <c r="CL211" s="749"/>
      <c r="CM211" s="749"/>
      <c r="CN211" s="749"/>
      <c r="CO211" s="749"/>
      <c r="CP211" s="749"/>
      <c r="CQ211" s="749"/>
      <c r="CR211" s="749"/>
      <c r="CS211" s="749"/>
      <c r="CT211" s="749"/>
      <c r="CU211" s="749"/>
      <c r="CV211" s="749"/>
      <c r="CW211" s="749"/>
      <c r="CX211" s="749"/>
      <c r="CY211" s="749"/>
      <c r="CZ211" s="749"/>
      <c r="DA211" s="749"/>
      <c r="DB211" s="714"/>
      <c r="DC211" s="12">
        <f>SUM(V211:AG211)</f>
        <v>0</v>
      </c>
      <c r="DD211" s="12">
        <f>SUM(AH211:AS211)</f>
        <v>0</v>
      </c>
      <c r="DE211" s="12">
        <f>SUM(AT211:BE211)</f>
        <v>0</v>
      </c>
      <c r="DF211" s="12">
        <f>SUM(BF211:BQ211)</f>
        <v>0</v>
      </c>
      <c r="DG211" s="12">
        <f>SUM(BR211:CC211)</f>
        <v>0</v>
      </c>
      <c r="DH211" s="12">
        <f>SUM(CD211:CO211)</f>
        <v>0</v>
      </c>
      <c r="DI211" s="12">
        <f t="shared" si="227"/>
        <v>0</v>
      </c>
    </row>
    <row r="212" spans="2:113" s="698" customFormat="1" outlineLevel="2">
      <c r="B212" s="758"/>
      <c r="F212" s="698" t="s">
        <v>808</v>
      </c>
      <c r="H212" s="703"/>
      <c r="I212" s="703" t="s">
        <v>736</v>
      </c>
      <c r="J212" s="703"/>
      <c r="K212" s="703"/>
      <c r="L212" s="703"/>
      <c r="M212" s="703"/>
      <c r="N212" s="714"/>
      <c r="O212" s="714"/>
      <c r="P212" s="714"/>
      <c r="Q212" s="714"/>
      <c r="R212" s="714"/>
      <c r="S212" s="714"/>
      <c r="T212" s="714"/>
      <c r="U212" s="714"/>
      <c r="V212" s="714"/>
      <c r="Z212" s="714"/>
      <c r="AA212" s="896"/>
      <c r="AB212" s="896"/>
      <c r="AC212" s="896"/>
      <c r="AD212" s="896"/>
      <c r="AE212" s="896"/>
      <c r="AF212" s="896"/>
      <c r="AG212" s="714"/>
      <c r="AH212" s="714"/>
      <c r="AI212" s="714"/>
      <c r="AJ212" s="714"/>
      <c r="AK212" s="714"/>
      <c r="AL212" s="714"/>
      <c r="AM212" s="714"/>
      <c r="AN212" s="714"/>
      <c r="AO212" s="714"/>
      <c r="AP212" s="714"/>
      <c r="AQ212" s="714">
        <v>-0.48338423259086061</v>
      </c>
      <c r="AR212" s="714">
        <v>-0.56919109400528145</v>
      </c>
      <c r="AS212" s="714">
        <v>-0.73989487756939887</v>
      </c>
      <c r="AT212" s="714">
        <v>-0.93439977955143494</v>
      </c>
      <c r="AU212" s="714">
        <v>-0.74772714142318719</v>
      </c>
      <c r="AV212" s="714">
        <v>-0.8135720550869231</v>
      </c>
      <c r="AW212" s="714">
        <v>-0.80733998827518416</v>
      </c>
      <c r="AX212" s="714">
        <v>-0.81283287460560705</v>
      </c>
      <c r="AY212" s="714">
        <v>-0.93559487299322752</v>
      </c>
      <c r="AZ212" s="714">
        <v>-0.995543879876019</v>
      </c>
      <c r="BA212" s="714">
        <v>-1.079293426511051</v>
      </c>
      <c r="BB212" s="714">
        <v>-1.178756183686672</v>
      </c>
      <c r="BC212" s="714">
        <v>-1.2898200117299037</v>
      </c>
      <c r="BD212" s="714">
        <v>-1.4111100230791784</v>
      </c>
      <c r="BE212" s="714">
        <v>-1.5402403528182753</v>
      </c>
      <c r="BF212" s="714">
        <v>-1.5859549762881722</v>
      </c>
      <c r="BG212" s="714">
        <v>-1.5962951120236999</v>
      </c>
      <c r="BH212" s="714">
        <v>-1.5672060675806188</v>
      </c>
      <c r="BI212" s="714">
        <v>-1.4562391829805923</v>
      </c>
      <c r="BJ212" s="714">
        <v>-1.3340423706695597</v>
      </c>
      <c r="BK212" s="714">
        <v>-1.2025542527868325</v>
      </c>
      <c r="BL212" s="714">
        <v>-1.079494697729811</v>
      </c>
      <c r="BM212" s="714">
        <v>-0.96170078352864585</v>
      </c>
      <c r="BN212" s="714">
        <v>-0.87059253875874276</v>
      </c>
      <c r="BO212" s="714">
        <v>-0.7859499869078157</v>
      </c>
      <c r="BP212" s="714">
        <v>-0.68471528779402646</v>
      </c>
      <c r="BQ212" s="714">
        <v>-0.57638337959727792</v>
      </c>
      <c r="BR212" s="714">
        <v>-0.5871084637656051</v>
      </c>
      <c r="BS212" s="714">
        <v>-0.66185338651341896</v>
      </c>
      <c r="BT212" s="714">
        <v>-0.79592382231215064</v>
      </c>
      <c r="BU212" s="714">
        <v>-0.96024759362385348</v>
      </c>
      <c r="BV212" s="714">
        <v>-1.1259910832378173</v>
      </c>
      <c r="BW212" s="714">
        <v>-1.2911414652560436</v>
      </c>
      <c r="BX212" s="714">
        <v>-1.4827941461805338</v>
      </c>
      <c r="BY212" s="714">
        <v>-1.6682869820429822</v>
      </c>
      <c r="BZ212" s="714">
        <v>-1.8495779442312708</v>
      </c>
      <c r="CA212" s="714">
        <v>-2.0263084121977211</v>
      </c>
      <c r="CB212" s="714">
        <v>-2.1969915310713364</v>
      </c>
      <c r="CC212" s="714">
        <v>-2.3610455568165341</v>
      </c>
      <c r="CD212" s="714">
        <v>-2.4640760141097697</v>
      </c>
      <c r="CE212" s="714">
        <v>-2.5301984622606524</v>
      </c>
      <c r="CF212" s="714">
        <v>-2.5607762885076752</v>
      </c>
      <c r="CG212" s="714">
        <v>-2.5569645452758412</v>
      </c>
      <c r="CH212" s="714">
        <v>-2.5449073939872275</v>
      </c>
      <c r="CI212" s="714">
        <v>-2.5276083599723473</v>
      </c>
      <c r="CJ212" s="714">
        <v>-2.5090796261912383</v>
      </c>
      <c r="CK212" s="714">
        <v>-2.4932897046165765</v>
      </c>
      <c r="CL212" s="714">
        <v>-2.4799740057982969</v>
      </c>
      <c r="CM212" s="714">
        <v>-2.4693997694715444</v>
      </c>
      <c r="CN212" s="714">
        <v>-2.4618734293570572</v>
      </c>
      <c r="CO212" s="714">
        <v>-2.4577416756954324</v>
      </c>
      <c r="CP212" s="714">
        <v>-2.4497934704156088</v>
      </c>
      <c r="CQ212" s="714">
        <v>-2.4637625316922462</v>
      </c>
      <c r="CR212" s="714">
        <v>-2.5130238349542888</v>
      </c>
      <c r="CS212" s="714">
        <v>-2.598266881126559</v>
      </c>
      <c r="CT212" s="714">
        <v>-2.7222380022626318</v>
      </c>
      <c r="CU212" s="714">
        <v>-2.858035477438658</v>
      </c>
      <c r="CV212" s="714">
        <v>-3.005802817744776</v>
      </c>
      <c r="CW212" s="714">
        <v>-3.164560462626957</v>
      </c>
      <c r="CX212" s="714">
        <v>-3.3348947201541979</v>
      </c>
      <c r="CY212" s="714">
        <v>-3.5179693954219555</v>
      </c>
      <c r="CZ212" s="714">
        <v>-3.7145140050820964</v>
      </c>
      <c r="DA212" s="714">
        <v>-3.9252060874685406</v>
      </c>
      <c r="DB212" s="714"/>
      <c r="DC212" s="14">
        <f t="shared" si="219"/>
        <v>0</v>
      </c>
      <c r="DD212" s="14">
        <f t="shared" si="226"/>
        <v>-1.7924702041655411</v>
      </c>
      <c r="DE212" s="14">
        <f t="shared" si="220"/>
        <v>-12.546230589636663</v>
      </c>
      <c r="DF212" s="14">
        <f t="shared" si="221"/>
        <v>-13.701128636645795</v>
      </c>
      <c r="DG212" s="14">
        <f t="shared" si="222"/>
        <v>-17.007270387249267</v>
      </c>
      <c r="DH212" s="14">
        <f t="shared" si="223"/>
        <v>-30.055889275243658</v>
      </c>
      <c r="DI212" s="12">
        <f t="shared" si="227"/>
        <v>-36.268067686388513</v>
      </c>
    </row>
    <row r="213" spans="2:113" s="698" customFormat="1" outlineLevel="2">
      <c r="B213" s="758"/>
      <c r="G213" s="126" t="s">
        <v>827</v>
      </c>
      <c r="H213" s="703"/>
      <c r="I213" s="609" t="s">
        <v>736</v>
      </c>
      <c r="J213" s="703"/>
      <c r="K213" s="703"/>
      <c r="L213" s="703"/>
      <c r="M213" s="703"/>
      <c r="N213" s="714"/>
      <c r="O213" s="714"/>
      <c r="P213" s="714"/>
      <c r="Q213" s="714"/>
      <c r="R213" s="714"/>
      <c r="S213" s="714"/>
      <c r="T213" s="714"/>
      <c r="U213" s="714"/>
      <c r="V213" s="714"/>
      <c r="Z213" s="714"/>
      <c r="AA213" s="896"/>
      <c r="AB213" s="896"/>
      <c r="AC213" s="896"/>
      <c r="AD213" s="896"/>
      <c r="AE213" s="896"/>
      <c r="AF213" s="896"/>
      <c r="AG213" s="714"/>
      <c r="AH213" s="714"/>
      <c r="AI213" s="714"/>
      <c r="AJ213" s="714"/>
      <c r="AK213" s="714"/>
      <c r="AL213" s="714"/>
      <c r="AM213" s="714"/>
      <c r="AN213" s="714"/>
      <c r="AO213" s="714"/>
      <c r="AP213" s="714"/>
      <c r="AQ213" s="710">
        <v>-4.2878768511728884</v>
      </c>
      <c r="AR213" s="710">
        <v>-5.9673707022812525</v>
      </c>
      <c r="AS213" s="710">
        <v>-6.9926618923970736</v>
      </c>
      <c r="AT213" s="710">
        <v>-7.2676578003617154</v>
      </c>
      <c r="AU213" s="710">
        <v>-11.148598076419054</v>
      </c>
      <c r="AV213" s="710">
        <v>-14.104840482633394</v>
      </c>
      <c r="AW213" s="710">
        <v>-17.515932869580364</v>
      </c>
      <c r="AX213" s="710">
        <v>-20.692633183504306</v>
      </c>
      <c r="AY213" s="710">
        <v>-21.6018214714565</v>
      </c>
      <c r="AZ213" s="710">
        <v>-23.821097806476292</v>
      </c>
      <c r="BA213" s="710">
        <v>-25.892396278445275</v>
      </c>
      <c r="BB213" s="710">
        <v>-27.854177598815145</v>
      </c>
      <c r="BC213" s="710">
        <v>-29.691137774153443</v>
      </c>
      <c r="BD213" s="710">
        <v>-31.561853503454113</v>
      </c>
      <c r="BE213" s="710">
        <v>-33.553630630250602</v>
      </c>
      <c r="BF213" s="710">
        <v>-35.499703842146047</v>
      </c>
      <c r="BG213" s="710">
        <v>-37.425858680089782</v>
      </c>
      <c r="BH213" s="710">
        <v>-39.390295286871464</v>
      </c>
      <c r="BI213" s="710">
        <v>-42.335593250594322</v>
      </c>
      <c r="BJ213" s="710">
        <v>-44.641355792110673</v>
      </c>
      <c r="BK213" s="710">
        <v>-46.40576647122576</v>
      </c>
      <c r="BL213" s="710">
        <v>-47.549670014302677</v>
      </c>
      <c r="BM213" s="710">
        <v>-48.235140651491662</v>
      </c>
      <c r="BN213" s="710">
        <v>-48.081839363932588</v>
      </c>
      <c r="BO213" s="710">
        <v>-47.549686670391218</v>
      </c>
      <c r="BP213" s="710">
        <v>-46.691367585477671</v>
      </c>
      <c r="BQ213" s="710">
        <v>-45.563467983523438</v>
      </c>
      <c r="BR213" s="710">
        <v>-44.219415281584062</v>
      </c>
      <c r="BS213" s="710">
        <v>-42.713664514228782</v>
      </c>
      <c r="BT213" s="710">
        <v>-40.542432670526566</v>
      </c>
      <c r="BU213" s="710">
        <v>-38.433357864821133</v>
      </c>
      <c r="BV213" s="710">
        <v>-37.172912869518832</v>
      </c>
      <c r="BW213" s="710">
        <v>-36.722606746075151</v>
      </c>
      <c r="BX213" s="710">
        <v>-36.433112355507191</v>
      </c>
      <c r="BY213" s="710">
        <v>-36.865962793277518</v>
      </c>
      <c r="BZ213" s="710">
        <v>-37.941862678334708</v>
      </c>
      <c r="CA213" s="710">
        <v>-39.595930587319451</v>
      </c>
      <c r="CB213" s="710">
        <v>-41.767371000943271</v>
      </c>
      <c r="CC213" s="710">
        <v>-44.399612845532538</v>
      </c>
      <c r="CD213" s="710">
        <v>-47.437244865294964</v>
      </c>
      <c r="CE213" s="710">
        <v>-50.823035738222281</v>
      </c>
      <c r="CF213" s="710">
        <v>-54.49789180423511</v>
      </c>
      <c r="CG213" s="710">
        <v>-58.40216308778011</v>
      </c>
      <c r="CH213" s="710">
        <v>-62.032165209259752</v>
      </c>
      <c r="CI213" s="710">
        <v>-65.367219843092641</v>
      </c>
      <c r="CJ213" s="710">
        <v>-68.377216784280606</v>
      </c>
      <c r="CK213" s="710">
        <v>-71.029263023059485</v>
      </c>
      <c r="CL213" s="710">
        <v>-73.360241589279369</v>
      </c>
      <c r="CM213" s="710">
        <v>-75.403592446721959</v>
      </c>
      <c r="CN213" s="710">
        <v>-77.190882812347084</v>
      </c>
      <c r="CO213" s="710">
        <v>-78.752072028735512</v>
      </c>
      <c r="CP213" s="710">
        <v>-80.115796969040247</v>
      </c>
      <c r="CQ213" s="710">
        <v>-81.310622840360637</v>
      </c>
      <c r="CR213" s="710">
        <v>-82.365147301708916</v>
      </c>
      <c r="CS213" s="710">
        <v>-83.308153582595438</v>
      </c>
      <c r="CT213" s="710">
        <v>-84.105605337400831</v>
      </c>
      <c r="CU213" s="710">
        <v>-85.304300151787857</v>
      </c>
      <c r="CV213" s="710">
        <v>-86.933144214850486</v>
      </c>
      <c r="CW213" s="710">
        <v>-89.031986102135889</v>
      </c>
      <c r="CX213" s="710">
        <v>-91.611311547570068</v>
      </c>
      <c r="CY213" s="710">
        <v>-94.686265252260753</v>
      </c>
      <c r="CZ213" s="710">
        <v>-98.275412680107124</v>
      </c>
      <c r="DA213" s="710">
        <v>-102.39981848563598</v>
      </c>
      <c r="DB213" s="714"/>
      <c r="DC213" s="12">
        <f t="shared" si="219"/>
        <v>0</v>
      </c>
      <c r="DD213" s="12">
        <f t="shared" si="226"/>
        <v>-17.247909445851214</v>
      </c>
      <c r="DE213" s="12">
        <f t="shared" si="220"/>
        <v>-264.70577747555018</v>
      </c>
      <c r="DF213" s="12">
        <f t="shared" si="221"/>
        <v>-529.3697455921573</v>
      </c>
      <c r="DG213" s="12">
        <f t="shared" si="222"/>
        <v>-476.8082422076692</v>
      </c>
      <c r="DH213" s="12">
        <f t="shared" si="223"/>
        <v>-782.67298923230885</v>
      </c>
      <c r="DI213" s="12">
        <f t="shared" si="227"/>
        <v>-1059.4475644654542</v>
      </c>
    </row>
    <row r="214" spans="2:113" s="698" customFormat="1" outlineLevel="2">
      <c r="B214" s="758"/>
      <c r="G214" s="126" t="s">
        <v>828</v>
      </c>
      <c r="H214" s="703"/>
      <c r="I214" s="609" t="s">
        <v>736</v>
      </c>
      <c r="J214" s="703"/>
      <c r="K214" s="703"/>
      <c r="L214" s="703"/>
      <c r="M214" s="703"/>
      <c r="N214" s="714"/>
      <c r="O214" s="714"/>
      <c r="P214" s="714"/>
      <c r="Q214" s="714"/>
      <c r="R214" s="714"/>
      <c r="S214" s="714"/>
      <c r="T214" s="714"/>
      <c r="U214" s="714"/>
      <c r="V214" s="714"/>
      <c r="Z214" s="714"/>
      <c r="AA214" s="896"/>
      <c r="AB214" s="896"/>
      <c r="AC214" s="896"/>
      <c r="AD214" s="896"/>
      <c r="AE214" s="896"/>
      <c r="AF214" s="896"/>
      <c r="AG214" s="714"/>
      <c r="AH214" s="714"/>
      <c r="AI214" s="714"/>
      <c r="AJ214" s="714"/>
      <c r="AK214" s="714"/>
      <c r="AL214" s="714"/>
      <c r="AM214" s="714"/>
      <c r="AN214" s="714"/>
      <c r="AO214" s="714"/>
      <c r="AP214" s="714"/>
      <c r="AQ214" s="710">
        <v>0</v>
      </c>
      <c r="AR214" s="710">
        <v>0.12863630553518668</v>
      </c>
      <c r="AS214" s="710">
        <v>0.17902112106843759</v>
      </c>
      <c r="AT214" s="710">
        <v>0.20977985677191313</v>
      </c>
      <c r="AU214" s="710">
        <v>0.21802973401085168</v>
      </c>
      <c r="AV214" s="710">
        <v>0.33445794229257331</v>
      </c>
      <c r="AW214" s="710">
        <v>0.42314521447899978</v>
      </c>
      <c r="AX214" s="710">
        <v>0.52547798608740948</v>
      </c>
      <c r="AY214" s="710">
        <v>0.62077899550513393</v>
      </c>
      <c r="AZ214" s="710">
        <v>0.64805464414371272</v>
      </c>
      <c r="BA214" s="710">
        <v>0.71463293419429874</v>
      </c>
      <c r="BB214" s="710">
        <v>0.77677188835335187</v>
      </c>
      <c r="BC214" s="710">
        <v>0.83562532796446476</v>
      </c>
      <c r="BD214" s="710">
        <v>0.89073413322461192</v>
      </c>
      <c r="BE214" s="710">
        <v>0.94685560510362166</v>
      </c>
      <c r="BF214" s="710">
        <v>1.0066089189075456</v>
      </c>
      <c r="BG214" s="710">
        <v>1.0649911152643767</v>
      </c>
      <c r="BH214" s="710">
        <v>1.1227757604027033</v>
      </c>
      <c r="BI214" s="710">
        <v>1.1817088586061573</v>
      </c>
      <c r="BJ214" s="710">
        <v>1.2700677975178678</v>
      </c>
      <c r="BK214" s="710">
        <v>1.3392406737633564</v>
      </c>
      <c r="BL214" s="710">
        <v>1.3921729941367289</v>
      </c>
      <c r="BM214" s="710">
        <v>1.4264901004290778</v>
      </c>
      <c r="BN214" s="710">
        <v>1.447054219544782</v>
      </c>
      <c r="BO214" s="710">
        <v>1.4424551809179889</v>
      </c>
      <c r="BP214" s="710">
        <v>1.4264906001117765</v>
      </c>
      <c r="BQ214" s="710">
        <v>1.4007410275643792</v>
      </c>
      <c r="BR214" s="710">
        <v>1.3669040395056982</v>
      </c>
      <c r="BS214" s="710">
        <v>1.3265824584475467</v>
      </c>
      <c r="BT214" s="710">
        <v>1.2814099354268365</v>
      </c>
      <c r="BU214" s="710">
        <v>1.2162729801158321</v>
      </c>
      <c r="BV214" s="710">
        <v>1.1530007359446017</v>
      </c>
      <c r="BW214" s="710">
        <v>1.1151873860854948</v>
      </c>
      <c r="BX214" s="710">
        <v>1.1016782023822316</v>
      </c>
      <c r="BY214" s="710">
        <v>1.0929933706652264</v>
      </c>
      <c r="BZ214" s="710">
        <v>1.1059788837982865</v>
      </c>
      <c r="CA214" s="710">
        <v>1.138255880350016</v>
      </c>
      <c r="CB214" s="710">
        <v>1.1878779176196304</v>
      </c>
      <c r="CC214" s="710">
        <v>1.2530211300282872</v>
      </c>
      <c r="CD214" s="710">
        <v>1.3319883853660031</v>
      </c>
      <c r="CE214" s="710">
        <v>1.4231173459588717</v>
      </c>
      <c r="CF214" s="710">
        <v>1.524691072146652</v>
      </c>
      <c r="CG214" s="710">
        <v>1.6349367541270112</v>
      </c>
      <c r="CH214" s="710">
        <v>1.7520648926333706</v>
      </c>
      <c r="CI214" s="710">
        <v>1.8609649562777122</v>
      </c>
      <c r="CJ214" s="710">
        <v>1.96101659529279</v>
      </c>
      <c r="CK214" s="710">
        <v>2.0513165035284828</v>
      </c>
      <c r="CL214" s="710">
        <v>2.1308778906918064</v>
      </c>
      <c r="CM214" s="710">
        <v>2.2008072476783127</v>
      </c>
      <c r="CN214" s="710">
        <v>2.2621077734016808</v>
      </c>
      <c r="CO214" s="710">
        <v>2.315726484370316</v>
      </c>
      <c r="CP214" s="710">
        <v>2.3625621608621259</v>
      </c>
      <c r="CQ214" s="710">
        <v>2.403473909071181</v>
      </c>
      <c r="CR214" s="710">
        <v>2.4393186852107647</v>
      </c>
      <c r="CS214" s="710">
        <v>2.4709544190512815</v>
      </c>
      <c r="CT214" s="710">
        <v>2.4992446074778627</v>
      </c>
      <c r="CU214" s="710">
        <v>2.5231681601220544</v>
      </c>
      <c r="CV214" s="710">
        <v>2.559129004553597</v>
      </c>
      <c r="CW214" s="710">
        <v>2.6079943264455778</v>
      </c>
      <c r="CX214" s="710">
        <v>2.6709595830641319</v>
      </c>
      <c r="CY214" s="710">
        <v>2.7483393464269739</v>
      </c>
      <c r="CZ214" s="710">
        <v>2.8405879575677773</v>
      </c>
      <c r="DA214" s="710">
        <v>2.9482623804032073</v>
      </c>
      <c r="DB214" s="714"/>
      <c r="DC214" s="12">
        <f t="shared" si="219"/>
        <v>0</v>
      </c>
      <c r="DD214" s="12">
        <f t="shared" si="226"/>
        <v>0.30765742660362427</v>
      </c>
      <c r="DE214" s="12">
        <f t="shared" si="220"/>
        <v>7.144344262130943</v>
      </c>
      <c r="DF214" s="12">
        <f t="shared" si="221"/>
        <v>15.52079724716674</v>
      </c>
      <c r="DG214" s="12">
        <f t="shared" si="222"/>
        <v>14.339162920369688</v>
      </c>
      <c r="DH214" s="12">
        <f t="shared" si="223"/>
        <v>22.44961590147301</v>
      </c>
      <c r="DI214" s="12">
        <f t="shared" si="227"/>
        <v>31.073994540256535</v>
      </c>
    </row>
    <row r="215" spans="2:113" outlineLevel="2">
      <c r="B215" s="758"/>
      <c r="E215" s="698" t="s">
        <v>820</v>
      </c>
      <c r="F215" s="698"/>
      <c r="I215" s="609" t="s">
        <v>736</v>
      </c>
      <c r="N215" s="710"/>
      <c r="O215" s="710"/>
      <c r="P215" s="710"/>
      <c r="Q215" s="710"/>
      <c r="R215" s="710"/>
      <c r="S215" s="710"/>
      <c r="T215" s="710"/>
      <c r="U215" s="710"/>
      <c r="V215" s="710"/>
      <c r="W215" s="710"/>
      <c r="X215" s="710"/>
      <c r="Y215" s="710"/>
      <c r="Z215" s="710"/>
      <c r="AA215" s="710"/>
      <c r="AB215" s="712"/>
      <c r="AC215" s="712"/>
      <c r="AD215" s="712"/>
      <c r="AE215" s="712"/>
      <c r="AF215" s="712"/>
      <c r="AG215" s="710"/>
      <c r="AH215" s="710"/>
      <c r="AI215" s="710"/>
      <c r="AJ215" s="696"/>
      <c r="AK215" s="696"/>
      <c r="AL215" s="696"/>
      <c r="AM215" s="855">
        <f t="shared" ref="AM215:CX215" si="237">AM189+AM202+AM203</f>
        <v>2.5593161477569484</v>
      </c>
      <c r="AN215" s="855">
        <f t="shared" si="237"/>
        <v>7.0678620473267451</v>
      </c>
      <c r="AO215" s="855">
        <f t="shared" si="237"/>
        <v>8.0081777372057257</v>
      </c>
      <c r="AP215" s="855">
        <f t="shared" si="237"/>
        <v>8.439824800139343</v>
      </c>
      <c r="AQ215" s="916">
        <f t="shared" si="237"/>
        <v>7.6995905746704274</v>
      </c>
      <c r="AR215" s="916">
        <f t="shared" si="237"/>
        <v>9.3214283488618683</v>
      </c>
      <c r="AS215" s="916">
        <f t="shared" si="237"/>
        <v>12.788807112021869</v>
      </c>
      <c r="AT215" s="916">
        <f t="shared" si="237"/>
        <v>15.359264740306433</v>
      </c>
      <c r="AU215" s="916">
        <f t="shared" si="237"/>
        <v>13.710403219478021</v>
      </c>
      <c r="AV215" s="916">
        <f t="shared" si="237"/>
        <v>14.44110985957548</v>
      </c>
      <c r="AW215" s="916">
        <f t="shared" si="237"/>
        <v>15.908699462959373</v>
      </c>
      <c r="AX215" s="916">
        <f t="shared" si="237"/>
        <v>16.64371509499324</v>
      </c>
      <c r="AY215" s="916">
        <f t="shared" si="237"/>
        <v>16.18407657356634</v>
      </c>
      <c r="AZ215" s="916">
        <f t="shared" si="237"/>
        <v>16.254222012824847</v>
      </c>
      <c r="BA215" s="916">
        <f t="shared" si="237"/>
        <v>16.184144298966213</v>
      </c>
      <c r="BB215" s="916">
        <f t="shared" si="237"/>
        <v>17.242741382222349</v>
      </c>
      <c r="BC215" s="916">
        <f t="shared" si="237"/>
        <v>19.236405100852309</v>
      </c>
      <c r="BD215" s="916">
        <f t="shared" si="237"/>
        <v>20.79027427159043</v>
      </c>
      <c r="BE215" s="916">
        <f t="shared" si="237"/>
        <v>23.066336546408859</v>
      </c>
      <c r="BF215" s="916">
        <f t="shared" si="237"/>
        <v>24.039496085840526</v>
      </c>
      <c r="BG215" s="916">
        <f t="shared" si="237"/>
        <v>24.426821276927477</v>
      </c>
      <c r="BH215" s="916">
        <f t="shared" si="237"/>
        <v>24.035308616986399</v>
      </c>
      <c r="BI215" s="916">
        <f t="shared" si="237"/>
        <v>22.802301592150137</v>
      </c>
      <c r="BJ215" s="916">
        <f t="shared" si="237"/>
        <v>20.990488098382819</v>
      </c>
      <c r="BK215" s="916">
        <f t="shared" si="237"/>
        <v>18.489365458410703</v>
      </c>
      <c r="BL215" s="916">
        <f t="shared" si="237"/>
        <v>15.312665758699149</v>
      </c>
      <c r="BM215" s="916">
        <f t="shared" si="237"/>
        <v>11.564000448214847</v>
      </c>
      <c r="BN215" s="916">
        <f t="shared" si="237"/>
        <v>8.2075692161785092</v>
      </c>
      <c r="BO215" s="916">
        <f t="shared" si="237"/>
        <v>5.1981409420483269</v>
      </c>
      <c r="BP215" s="916">
        <f t="shared" si="237"/>
        <v>2.2835091211375778</v>
      </c>
      <c r="BQ215" s="916">
        <f t="shared" si="237"/>
        <v>-0.57201651782418939</v>
      </c>
      <c r="BR215" s="916">
        <f t="shared" si="237"/>
        <v>-1.6605852449771463</v>
      </c>
      <c r="BS215" s="916">
        <f t="shared" si="237"/>
        <v>-1.3762429776299276</v>
      </c>
      <c r="BT215" s="916">
        <f t="shared" si="237"/>
        <v>-4.0757294223125129E-2</v>
      </c>
      <c r="BU215" s="916">
        <f t="shared" si="237"/>
        <v>1.9879753683314956</v>
      </c>
      <c r="BV215" s="916">
        <f t="shared" si="237"/>
        <v>4.8620480570797868</v>
      </c>
      <c r="BW215" s="916">
        <f t="shared" si="237"/>
        <v>8.6485632869828848</v>
      </c>
      <c r="BX215" s="916">
        <f t="shared" si="237"/>
        <v>13.388960168218851</v>
      </c>
      <c r="BY215" s="916">
        <f t="shared" si="237"/>
        <v>18.251098267690551</v>
      </c>
      <c r="BZ215" s="916">
        <f t="shared" si="237"/>
        <v>22.779602317246496</v>
      </c>
      <c r="CA215" s="916">
        <f t="shared" si="237"/>
        <v>27.158061537104647</v>
      </c>
      <c r="CB215" s="916">
        <f t="shared" si="237"/>
        <v>31.481192467607343</v>
      </c>
      <c r="CC215" s="916">
        <f t="shared" si="237"/>
        <v>35.414153546745531</v>
      </c>
      <c r="CD215" s="916">
        <f t="shared" si="237"/>
        <v>38.372269613829566</v>
      </c>
      <c r="CE215" s="916">
        <f t="shared" si="237"/>
        <v>40.434690764763999</v>
      </c>
      <c r="CF215" s="916">
        <f t="shared" si="237"/>
        <v>41.622566864521971</v>
      </c>
      <c r="CG215" s="916">
        <f t="shared" si="237"/>
        <v>41.962010287138469</v>
      </c>
      <c r="CH215" s="916">
        <f t="shared" si="237"/>
        <v>41.586915598968716</v>
      </c>
      <c r="CI215" s="916">
        <f t="shared" si="237"/>
        <v>40.599063917929996</v>
      </c>
      <c r="CJ215" s="916">
        <f t="shared" si="237"/>
        <v>39.104753902465546</v>
      </c>
      <c r="CK215" s="916">
        <f t="shared" si="237"/>
        <v>37.356468635030815</v>
      </c>
      <c r="CL215" s="916">
        <f t="shared" si="237"/>
        <v>35.6623820177117</v>
      </c>
      <c r="CM215" s="916">
        <f t="shared" si="237"/>
        <v>34.074304502098997</v>
      </c>
      <c r="CN215" s="916">
        <f t="shared" si="237"/>
        <v>32.649390382001982</v>
      </c>
      <c r="CO215" s="916">
        <f t="shared" si="237"/>
        <v>31.422421268319304</v>
      </c>
      <c r="CP215" s="916">
        <f t="shared" si="237"/>
        <v>30.306974577919753</v>
      </c>
      <c r="CQ215" s="916">
        <f t="shared" si="237"/>
        <v>29.563638531628328</v>
      </c>
      <c r="CR215" s="916">
        <f t="shared" si="237"/>
        <v>29.574222946508694</v>
      </c>
      <c r="CS215" s="916">
        <f t="shared" si="237"/>
        <v>30.360025269164893</v>
      </c>
      <c r="CT215" s="916">
        <f t="shared" si="237"/>
        <v>31.930501031992122</v>
      </c>
      <c r="CU215" s="916">
        <f t="shared" si="237"/>
        <v>34.176177252450771</v>
      </c>
      <c r="CV215" s="916">
        <f t="shared" si="237"/>
        <v>37.083834188627378</v>
      </c>
      <c r="CW215" s="916">
        <f t="shared" si="237"/>
        <v>40.659628703467206</v>
      </c>
      <c r="CX215" s="916">
        <f t="shared" si="237"/>
        <v>44.756549372010248</v>
      </c>
      <c r="CY215" s="916">
        <f t="shared" ref="CY215:DA215" si="238">CY189+CY202+CY203</f>
        <v>49.097905708772508</v>
      </c>
      <c r="CZ215" s="916">
        <f t="shared" si="238"/>
        <v>53.682108587929363</v>
      </c>
      <c r="DA215" s="916">
        <f t="shared" si="238"/>
        <v>58.512331808743276</v>
      </c>
      <c r="DB215" s="710"/>
      <c r="DC215" s="14">
        <f t="shared" si="219"/>
        <v>0</v>
      </c>
      <c r="DD215" s="14">
        <f t="shared" si="226"/>
        <v>55.885006767982929</v>
      </c>
      <c r="DE215" s="14">
        <f t="shared" si="220"/>
        <v>205.02139256374389</v>
      </c>
      <c r="DF215" s="14">
        <f t="shared" si="221"/>
        <v>176.7776500971523</v>
      </c>
      <c r="DG215" s="14">
        <f t="shared" si="222"/>
        <v>160.89406950017738</v>
      </c>
      <c r="DH215" s="14">
        <f t="shared" si="223"/>
        <v>454.84723775478108</v>
      </c>
      <c r="DI215" s="14">
        <f t="shared" si="227"/>
        <v>469.70389797921445</v>
      </c>
    </row>
    <row r="216" spans="2:113" outlineLevel="2">
      <c r="E216" s="229"/>
      <c r="F216" s="230" t="s">
        <v>423</v>
      </c>
      <c r="I216" s="609" t="s">
        <v>736</v>
      </c>
      <c r="O216" s="696"/>
      <c r="P216" s="696"/>
      <c r="Q216" s="696"/>
      <c r="R216" s="696"/>
      <c r="S216" s="696"/>
      <c r="T216" s="696"/>
      <c r="U216" s="696"/>
      <c r="V216" s="696"/>
      <c r="W216" s="696"/>
      <c r="X216" s="696"/>
      <c r="Y216" s="696"/>
      <c r="Z216" s="696"/>
      <c r="AA216" s="696"/>
      <c r="AB216" s="696"/>
      <c r="AC216" s="696"/>
      <c r="AD216" s="696"/>
      <c r="AE216" s="696"/>
      <c r="AF216" s="696"/>
      <c r="AG216" s="696"/>
      <c r="AH216" s="696"/>
      <c r="AI216" s="696"/>
      <c r="AJ216" s="696"/>
      <c r="AK216" s="696"/>
      <c r="AL216" s="696"/>
      <c r="AM216" s="710">
        <v>0</v>
      </c>
      <c r="AN216" s="710">
        <v>0</v>
      </c>
      <c r="AO216" s="710">
        <v>0</v>
      </c>
      <c r="AP216" s="710">
        <v>0</v>
      </c>
      <c r="AQ216" s="710">
        <v>4.2878768511728884</v>
      </c>
      <c r="AR216" s="710">
        <v>10.126611247918955</v>
      </c>
      <c r="AS216" s="710">
        <v>16.940252019247591</v>
      </c>
      <c r="AT216" s="710">
        <v>23.998129962837393</v>
      </c>
      <c r="AU216" s="710">
        <v>30.769457759607896</v>
      </c>
      <c r="AV216" s="710">
        <v>38.751490718735901</v>
      </c>
      <c r="AW216" s="710">
        <v>49.061396338212106</v>
      </c>
      <c r="AX216" s="710">
        <v>62.178923469278132</v>
      </c>
      <c r="AY216" s="710">
        <v>72.345825811103026</v>
      </c>
      <c r="AZ216" s="710">
        <v>81.837173705281231</v>
      </c>
      <c r="BA216" s="710">
        <v>90.024482166039263</v>
      </c>
      <c r="BB216" s="710">
        <v>97.030033688501874</v>
      </c>
      <c r="BC216" s="710">
        <v>104.93177930737806</v>
      </c>
      <c r="BD216" s="710">
        <v>112.49643380532555</v>
      </c>
      <c r="BE216" s="710">
        <v>119.98758444038062</v>
      </c>
      <c r="BF216" s="710">
        <v>127.46212709276844</v>
      </c>
      <c r="BG216" s="710">
        <v>135.02259101666502</v>
      </c>
      <c r="BH216" s="710">
        <v>142.6751126447833</v>
      </c>
      <c r="BI216" s="710">
        <v>151.28197532542839</v>
      </c>
      <c r="BJ216" s="710">
        <v>160.21855059313958</v>
      </c>
      <c r="BK216" s="710">
        <v>168.98199347091492</v>
      </c>
      <c r="BL216" s="710">
        <v>176.9309040628155</v>
      </c>
      <c r="BM216" s="710">
        <v>182.67402916080161</v>
      </c>
      <c r="BN216" s="710">
        <v>186.00669918684207</v>
      </c>
      <c r="BO216" s="710">
        <v>187.10033719922635</v>
      </c>
      <c r="BP216" s="710">
        <v>186.24203427071868</v>
      </c>
      <c r="BQ216" s="710">
        <v>183.61667479473087</v>
      </c>
      <c r="BR216" s="710">
        <v>179.82980185379463</v>
      </c>
      <c r="BS216" s="710">
        <v>175.09368783929636</v>
      </c>
      <c r="BT216" s="710">
        <v>169.06408401648275</v>
      </c>
      <c r="BU216" s="710">
        <v>162.08460495717034</v>
      </c>
      <c r="BV216" s="710">
        <v>155.21168426760801</v>
      </c>
      <c r="BW216" s="710">
        <v>149.38684904879568</v>
      </c>
      <c r="BX216" s="710">
        <v>145.39212351150985</v>
      </c>
      <c r="BY216" s="710">
        <v>143.88473580524564</v>
      </c>
      <c r="BZ216" s="710">
        <v>144.66289411634875</v>
      </c>
      <c r="CA216" s="710">
        <v>147.49964027962528</v>
      </c>
      <c r="CB216" s="710">
        <v>152.73901437810699</v>
      </c>
      <c r="CC216" s="710">
        <v>160.12562218413203</v>
      </c>
      <c r="CD216" s="710">
        <v>169.42727186607635</v>
      </c>
      <c r="CE216" s="710">
        <v>180.41913758863993</v>
      </c>
      <c r="CF216" s="710">
        <v>192.87798844981339</v>
      </c>
      <c r="CG216" s="710">
        <v>206.57759032329989</v>
      </c>
      <c r="CH216" s="710">
        <v>220.84356312059009</v>
      </c>
      <c r="CI216" s="710">
        <v>235.05147334132937</v>
      </c>
      <c r="CJ216" s="710">
        <v>248.60471848020913</v>
      </c>
      <c r="CK216" s="710">
        <v>260.93256680459348</v>
      </c>
      <c r="CL216" s="710">
        <v>271.99073025019908</v>
      </c>
      <c r="CM216" s="710">
        <v>281.78731220144283</v>
      </c>
      <c r="CN216" s="710">
        <v>290.39018695963603</v>
      </c>
      <c r="CO216" s="710">
        <v>297.92814737163349</v>
      </c>
      <c r="CP216" s="710">
        <v>304.52194783821062</v>
      </c>
      <c r="CQ216" s="710">
        <v>310.28761209617977</v>
      </c>
      <c r="CR216" s="710">
        <v>315.33828438470118</v>
      </c>
      <c r="CS216" s="710">
        <v>319.78597368037191</v>
      </c>
      <c r="CT216" s="710">
        <v>323.68001135032586</v>
      </c>
      <c r="CU216" s="710">
        <v>327.58983918684186</v>
      </c>
      <c r="CV216" s="710">
        <v>332.06966151448108</v>
      </c>
      <c r="CW216" s="710">
        <v>337.68474431505388</v>
      </c>
      <c r="CX216" s="710">
        <v>345.04265910228105</v>
      </c>
      <c r="CY216" s="710">
        <v>354.2354138608805</v>
      </c>
      <c r="CZ216" s="710">
        <v>365.34508869501479</v>
      </c>
      <c r="DA216" s="710">
        <v>378.43561828117572</v>
      </c>
      <c r="DB216" s="696"/>
      <c r="DC216" s="11">
        <f>AG216</f>
        <v>0</v>
      </c>
      <c r="DD216" s="11">
        <f>AS216</f>
        <v>16.940252019247591</v>
      </c>
      <c r="DE216" s="11">
        <f>BE216</f>
        <v>119.98758444038062</v>
      </c>
      <c r="DF216" s="11">
        <f>BQ216</f>
        <v>183.61667479473087</v>
      </c>
      <c r="DG216" s="11">
        <f>CC216</f>
        <v>160.12562218413203</v>
      </c>
      <c r="DH216" s="11">
        <f>CO216</f>
        <v>297.92814737163349</v>
      </c>
      <c r="DI216" s="11">
        <f t="shared" ref="DI216:DI221" si="239">DA216</f>
        <v>378.43561828117572</v>
      </c>
    </row>
    <row r="217" spans="2:113" outlineLevel="2">
      <c r="E217" s="229"/>
      <c r="F217" s="230" t="s">
        <v>810</v>
      </c>
      <c r="I217" s="609" t="s">
        <v>736</v>
      </c>
      <c r="O217" s="696"/>
      <c r="P217" s="696"/>
      <c r="Q217" s="696"/>
      <c r="R217" s="696"/>
      <c r="S217" s="696"/>
      <c r="T217" s="696"/>
      <c r="U217" s="696"/>
      <c r="V217" s="696"/>
      <c r="W217" s="696"/>
      <c r="X217" s="696"/>
      <c r="Y217" s="696"/>
      <c r="Z217" s="696"/>
      <c r="AA217" s="696"/>
      <c r="AB217" s="696"/>
      <c r="AC217" s="696"/>
      <c r="AD217" s="696"/>
      <c r="AE217" s="696"/>
      <c r="AF217" s="696"/>
      <c r="AG217" s="696"/>
      <c r="AH217" s="696"/>
      <c r="AI217" s="696"/>
      <c r="AJ217" s="696"/>
      <c r="AK217" s="696"/>
      <c r="AL217" s="696"/>
      <c r="AM217" s="710">
        <v>0</v>
      </c>
      <c r="AN217" s="710">
        <v>7.3650820372631989</v>
      </c>
      <c r="AO217" s="710">
        <v>13.49633823717571</v>
      </c>
      <c r="AP217" s="710">
        <v>22.951589369754497</v>
      </c>
      <c r="AQ217" s="710">
        <v>29.797040030130393</v>
      </c>
      <c r="AR217" s="710">
        <v>43.187281916880266</v>
      </c>
      <c r="AS217" s="710">
        <v>59.270052689397609</v>
      </c>
      <c r="AT217" s="710">
        <v>79.088179710747809</v>
      </c>
      <c r="AU217" s="710">
        <v>97.779359007192809</v>
      </c>
      <c r="AV217" s="710">
        <v>114.31106342657992</v>
      </c>
      <c r="AW217" s="710">
        <v>132.48517774466436</v>
      </c>
      <c r="AX217" s="710">
        <v>152.29744507038185</v>
      </c>
      <c r="AY217" s="710">
        <v>170.20080805888074</v>
      </c>
      <c r="AZ217" s="710">
        <v>186.95392181527754</v>
      </c>
      <c r="BA217" s="710">
        <v>202.20284077082533</v>
      </c>
      <c r="BB217" s="710">
        <v>216.36764303156565</v>
      </c>
      <c r="BC217" s="710">
        <v>231.52596666490626</v>
      </c>
      <c r="BD217" s="710">
        <v>246.39246188400966</v>
      </c>
      <c r="BE217" s="710">
        <v>261.17587002480712</v>
      </c>
      <c r="BF217" s="710">
        <v>277.51673092919754</v>
      </c>
      <c r="BG217" s="710">
        <v>294.05831311131675</v>
      </c>
      <c r="BH217" s="710">
        <v>310.15890376049117</v>
      </c>
      <c r="BI217" s="710">
        <v>324.95860080372569</v>
      </c>
      <c r="BJ217" s="710">
        <v>338.10496826606192</v>
      </c>
      <c r="BK217" s="710">
        <v>348.58938307042109</v>
      </c>
      <c r="BL217" s="710">
        <v>356.24763181649331</v>
      </c>
      <c r="BM217" s="710">
        <v>359.88110701084781</v>
      </c>
      <c r="BN217" s="710">
        <v>359.91721272727415</v>
      </c>
      <c r="BO217" s="710">
        <v>356.73009946973383</v>
      </c>
      <c r="BP217" s="710">
        <v>350.81181886965931</v>
      </c>
      <c r="BQ217" s="710">
        <v>341.66639223476272</v>
      </c>
      <c r="BR217" s="710">
        <v>330.55025715439115</v>
      </c>
      <c r="BS217" s="710">
        <v>319.19654672460518</v>
      </c>
      <c r="BT217" s="710">
        <v>308.83745755798554</v>
      </c>
      <c r="BU217" s="710">
        <v>299.57399812850366</v>
      </c>
      <c r="BV217" s="710">
        <v>292.59146254742205</v>
      </c>
      <c r="BW217" s="710">
        <v>288.64455597406874</v>
      </c>
      <c r="BX217" s="710">
        <v>288.91582706462953</v>
      </c>
      <c r="BY217" s="710">
        <v>293.81091086366985</v>
      </c>
      <c r="BZ217" s="710">
        <v>302.90280925170339</v>
      </c>
      <c r="CA217" s="710">
        <v>315.75017541661782</v>
      </c>
      <c r="CB217" s="710">
        <v>332.48551170491021</v>
      </c>
      <c r="CC217" s="710">
        <v>352.63814241588813</v>
      </c>
      <c r="CD217" s="710">
        <v>375.75573425889394</v>
      </c>
      <c r="CE217" s="710">
        <v>400.68787905365332</v>
      </c>
      <c r="CF217" s="710">
        <v>426.55772559733731</v>
      </c>
      <c r="CG217" s="710">
        <v>452.53827182484821</v>
      </c>
      <c r="CH217" s="710">
        <v>477.84794138368869</v>
      </c>
      <c r="CI217" s="710">
        <v>501.85254159137708</v>
      </c>
      <c r="CJ217" s="710">
        <v>524.01464561839998</v>
      </c>
      <c r="CK217" s="710">
        <v>543.88936645939873</v>
      </c>
      <c r="CL217" s="710">
        <v>561.55001631976552</v>
      </c>
      <c r="CM217" s="710">
        <v>577.11645261990896</v>
      </c>
      <c r="CN217" s="710">
        <v>590.76503241717137</v>
      </c>
      <c r="CO217" s="710">
        <v>602.73161120127043</v>
      </c>
      <c r="CP217" s="710">
        <v>613.24426027609206</v>
      </c>
      <c r="CQ217" s="710">
        <v>622.42712266342016</v>
      </c>
      <c r="CR217" s="710">
        <v>631.25145576640978</v>
      </c>
      <c r="CS217" s="710">
        <v>640.44506647099092</v>
      </c>
      <c r="CT217" s="710">
        <v>650.72796806337715</v>
      </c>
      <c r="CU217" s="710">
        <v>662.76078136640785</v>
      </c>
      <c r="CV217" s="710">
        <v>677.17524773289063</v>
      </c>
      <c r="CW217" s="710">
        <v>694.59383895031124</v>
      </c>
      <c r="CX217" s="710">
        <v>715.69398281334475</v>
      </c>
      <c r="CY217" s="710">
        <v>740.64710273030175</v>
      </c>
      <c r="CZ217" s="710">
        <v>769.62211093705685</v>
      </c>
      <c r="DA217" s="710">
        <v>802.77489977724372</v>
      </c>
      <c r="DB217" s="696"/>
      <c r="DC217" s="11">
        <f>AG217</f>
        <v>0</v>
      </c>
      <c r="DD217" s="11">
        <f>AS217</f>
        <v>59.270052689397609</v>
      </c>
      <c r="DE217" s="11">
        <f>BE217</f>
        <v>261.17587002480712</v>
      </c>
      <c r="DF217" s="11">
        <f>BQ217</f>
        <v>341.66639223476272</v>
      </c>
      <c r="DG217" s="11">
        <f>CC217</f>
        <v>352.63814241588813</v>
      </c>
      <c r="DH217" s="11">
        <f>CO217</f>
        <v>602.73161120127043</v>
      </c>
      <c r="DI217" s="11">
        <f t="shared" si="239"/>
        <v>802.77489977724372</v>
      </c>
    </row>
    <row r="218" spans="2:113" outlineLevel="2">
      <c r="E218" s="230" t="s">
        <v>811</v>
      </c>
      <c r="F218" s="230"/>
      <c r="I218" s="609" t="s">
        <v>812</v>
      </c>
      <c r="O218" s="696"/>
      <c r="P218" s="696"/>
      <c r="Q218" s="696"/>
      <c r="R218" s="696"/>
      <c r="S218" s="696"/>
      <c r="T218" s="696"/>
      <c r="U218" s="696"/>
      <c r="V218" s="696"/>
      <c r="W218" s="696"/>
      <c r="X218" s="696"/>
      <c r="Y218" s="696"/>
      <c r="Z218" s="696"/>
      <c r="AA218" s="696"/>
      <c r="AB218" s="696"/>
      <c r="AC218" s="696"/>
      <c r="AD218" s="696"/>
      <c r="AE218" s="696"/>
      <c r="AF218" s="696"/>
      <c r="AG218" s="696"/>
      <c r="AH218" s="696"/>
      <c r="AI218" s="696"/>
      <c r="AJ218" s="696"/>
      <c r="AK218" s="696"/>
      <c r="AL218" s="696"/>
      <c r="AM218" s="753">
        <f t="shared" ref="AM218:CX218" si="240">AM216/AM186</f>
        <v>0</v>
      </c>
      <c r="AN218" s="753">
        <f t="shared" si="240"/>
        <v>0</v>
      </c>
      <c r="AO218" s="753">
        <f t="shared" si="240"/>
        <v>0</v>
      </c>
      <c r="AP218" s="753">
        <f t="shared" si="240"/>
        <v>0</v>
      </c>
      <c r="AQ218" s="753">
        <f t="shared" si="240"/>
        <v>1.2431329888018365E-2</v>
      </c>
      <c r="AR218" s="753">
        <f t="shared" si="240"/>
        <v>2.2547383685054757E-2</v>
      </c>
      <c r="AS218" s="753">
        <f t="shared" si="240"/>
        <v>2.9537899651575841E-2</v>
      </c>
      <c r="AT218" s="753">
        <f t="shared" si="240"/>
        <v>3.432980463826818E-2</v>
      </c>
      <c r="AU218" s="753">
        <f t="shared" si="240"/>
        <v>4.0564818962814171E-2</v>
      </c>
      <c r="AV218" s="753">
        <f t="shared" si="240"/>
        <v>4.5137613881332056E-2</v>
      </c>
      <c r="AW218" s="753">
        <f t="shared" si="240"/>
        <v>5.1154787082461795E-2</v>
      </c>
      <c r="AX218" s="753">
        <f t="shared" si="240"/>
        <v>5.8583090053715134E-2</v>
      </c>
      <c r="AY218" s="753">
        <f t="shared" si="240"/>
        <v>6.2293180758019831E-2</v>
      </c>
      <c r="AZ218" s="753">
        <f t="shared" si="240"/>
        <v>6.4682453086531824E-2</v>
      </c>
      <c r="BA218" s="753">
        <f t="shared" si="240"/>
        <v>6.5427001101199644E-2</v>
      </c>
      <c r="BB218" s="753">
        <f t="shared" si="240"/>
        <v>6.5179710281781225E-2</v>
      </c>
      <c r="BC218" s="753">
        <f t="shared" si="240"/>
        <v>6.5314085990591561E-2</v>
      </c>
      <c r="BD218" s="753">
        <f t="shared" si="240"/>
        <v>6.4991451774860765E-2</v>
      </c>
      <c r="BE218" s="753">
        <f t="shared" si="240"/>
        <v>6.4402629067719805E-2</v>
      </c>
      <c r="BF218" s="753">
        <f t="shared" si="240"/>
        <v>6.4589164785263845E-2</v>
      </c>
      <c r="BG218" s="753">
        <f t="shared" si="240"/>
        <v>6.5415384538607721E-2</v>
      </c>
      <c r="BH218" s="753">
        <f t="shared" si="240"/>
        <v>6.6948265389520034E-2</v>
      </c>
      <c r="BI218" s="753">
        <f t="shared" si="240"/>
        <v>6.9406417252546287E-2</v>
      </c>
      <c r="BJ218" s="753">
        <f t="shared" si="240"/>
        <v>7.3011757925656409E-2</v>
      </c>
      <c r="BK218" s="753">
        <f t="shared" si="240"/>
        <v>7.709547715511246E-2</v>
      </c>
      <c r="BL218" s="753">
        <f t="shared" si="240"/>
        <v>8.1397802018941964E-2</v>
      </c>
      <c r="BM218" s="753">
        <f t="shared" si="240"/>
        <v>8.533431517867783E-2</v>
      </c>
      <c r="BN218" s="753">
        <f t="shared" si="240"/>
        <v>8.8771889189365946E-2</v>
      </c>
      <c r="BO218" s="753">
        <f t="shared" si="240"/>
        <v>9.1715497512134578E-2</v>
      </c>
      <c r="BP218" s="753">
        <f t="shared" si="240"/>
        <v>9.5255603356036139E-2</v>
      </c>
      <c r="BQ218" s="753">
        <f t="shared" si="240"/>
        <v>9.8582169923937965E-2</v>
      </c>
      <c r="BR218" s="753">
        <f t="shared" si="240"/>
        <v>9.9817846749192002E-2</v>
      </c>
      <c r="BS218" s="753">
        <f t="shared" si="240"/>
        <v>9.8788693302908126E-2</v>
      </c>
      <c r="BT218" s="753">
        <f t="shared" si="240"/>
        <v>9.6575432368122174E-2</v>
      </c>
      <c r="BU218" s="753">
        <f t="shared" si="240"/>
        <v>9.2174357322939021E-2</v>
      </c>
      <c r="BV218" s="753">
        <f t="shared" si="240"/>
        <v>8.6514682229448914E-2</v>
      </c>
      <c r="BW218" s="753">
        <f t="shared" si="240"/>
        <v>8.0507728834036701E-2</v>
      </c>
      <c r="BX218" s="753">
        <f t="shared" si="240"/>
        <v>7.4876466305189376E-2</v>
      </c>
      <c r="BY218" s="753">
        <f t="shared" si="240"/>
        <v>7.0159621413547299E-2</v>
      </c>
      <c r="BZ218" s="753">
        <f t="shared" si="240"/>
        <v>6.6355513550006212E-2</v>
      </c>
      <c r="CA218" s="753">
        <f t="shared" si="240"/>
        <v>6.3387524319871213E-2</v>
      </c>
      <c r="CB218" s="753">
        <f t="shared" si="240"/>
        <v>6.1362911349480485E-2</v>
      </c>
      <c r="CC218" s="753">
        <f t="shared" si="240"/>
        <v>6.0112529508104487E-2</v>
      </c>
      <c r="CD218" s="753">
        <f t="shared" si="240"/>
        <v>5.9857067631607086E-2</v>
      </c>
      <c r="CE218" s="753">
        <f t="shared" si="240"/>
        <v>6.0392561033246389E-2</v>
      </c>
      <c r="CF218" s="753">
        <f t="shared" si="240"/>
        <v>6.1574693226883741E-2</v>
      </c>
      <c r="CG218" s="753">
        <f t="shared" si="240"/>
        <v>6.3302270194129207E-2</v>
      </c>
      <c r="CH218" s="753">
        <f t="shared" si="240"/>
        <v>6.5320850393190272E-2</v>
      </c>
      <c r="CI218" s="753">
        <f t="shared" si="240"/>
        <v>6.7431723249223627E-2</v>
      </c>
      <c r="CJ218" s="753">
        <f t="shared" si="240"/>
        <v>6.9468665095489837E-2</v>
      </c>
      <c r="CK218" s="753">
        <f t="shared" si="240"/>
        <v>7.128691856556528E-2</v>
      </c>
      <c r="CL218" s="753">
        <f t="shared" si="240"/>
        <v>7.2881827918477207E-2</v>
      </c>
      <c r="CM218" s="753">
        <f t="shared" si="240"/>
        <v>7.4256355704361093E-2</v>
      </c>
      <c r="CN218" s="753">
        <f t="shared" si="240"/>
        <v>7.5422704815172215E-2</v>
      </c>
      <c r="CO218" s="753">
        <f t="shared" si="240"/>
        <v>7.6402545437226507E-2</v>
      </c>
      <c r="CP218" s="753">
        <f t="shared" si="240"/>
        <v>7.7259968543518839E-2</v>
      </c>
      <c r="CQ218" s="753">
        <f t="shared" si="240"/>
        <v>7.7607963285100362E-2</v>
      </c>
      <c r="CR218" s="753">
        <f t="shared" si="240"/>
        <v>7.7451607436726744E-2</v>
      </c>
      <c r="CS218" s="753">
        <f t="shared" si="240"/>
        <v>7.6803803847428603E-2</v>
      </c>
      <c r="CT218" s="753">
        <f t="shared" si="240"/>
        <v>7.5696434176222169E-2</v>
      </c>
      <c r="CU218" s="753">
        <f t="shared" si="240"/>
        <v>7.4287723095388628E-2</v>
      </c>
      <c r="CV218" s="753">
        <f t="shared" si="240"/>
        <v>7.2723568894749097E-2</v>
      </c>
      <c r="CW218" s="753">
        <f t="shared" si="240"/>
        <v>7.1139113310673768E-2</v>
      </c>
      <c r="CX218" s="753">
        <f t="shared" si="240"/>
        <v>6.9660117721713502E-2</v>
      </c>
      <c r="CY218" s="753">
        <f t="shared" ref="CY218:DA218" si="241">CY216/CY186</f>
        <v>6.8298659853002708E-2</v>
      </c>
      <c r="CZ218" s="753">
        <f t="shared" si="241"/>
        <v>6.7060408916130951E-2</v>
      </c>
      <c r="DA218" s="753">
        <f t="shared" si="241"/>
        <v>6.5944153677812326E-2</v>
      </c>
      <c r="DB218" s="696"/>
      <c r="DC218" s="729">
        <f>AG218</f>
        <v>0</v>
      </c>
      <c r="DD218" s="729">
        <f>AS218</f>
        <v>2.9537899651575841E-2</v>
      </c>
      <c r="DE218" s="729">
        <f>BE218</f>
        <v>6.4402629067719805E-2</v>
      </c>
      <c r="DF218" s="729">
        <f>BQ218</f>
        <v>9.8582169923937965E-2</v>
      </c>
      <c r="DG218" s="729">
        <f>CC218</f>
        <v>6.0112529508104487E-2</v>
      </c>
      <c r="DH218" s="729">
        <f>CO218</f>
        <v>7.6402545437226507E-2</v>
      </c>
      <c r="DI218" s="729">
        <f t="shared" si="239"/>
        <v>6.5944153677812326E-2</v>
      </c>
    </row>
    <row r="219" spans="2:113" outlineLevel="2">
      <c r="E219" s="230" t="s">
        <v>813</v>
      </c>
      <c r="F219" s="230"/>
      <c r="I219" s="609" t="s">
        <v>812</v>
      </c>
      <c r="O219" s="696"/>
      <c r="P219" s="696"/>
      <c r="Q219" s="696"/>
      <c r="R219" s="696"/>
      <c r="S219" s="696"/>
      <c r="T219" s="696"/>
      <c r="U219" s="696"/>
      <c r="V219" s="696"/>
      <c r="W219" s="696"/>
      <c r="X219" s="696"/>
      <c r="Y219" s="696"/>
      <c r="Z219" s="696"/>
      <c r="AA219" s="696"/>
      <c r="AB219" s="696"/>
      <c r="AC219" s="696"/>
      <c r="AD219" s="696"/>
      <c r="AE219" s="696"/>
      <c r="AF219" s="696"/>
      <c r="AG219" s="696"/>
      <c r="AH219" s="696"/>
      <c r="AI219" s="696"/>
      <c r="AJ219" s="696"/>
      <c r="AK219" s="696"/>
      <c r="AL219" s="696"/>
      <c r="AM219" s="753">
        <f t="shared" ref="AM219:CX219" si="242">AM217/AM186</f>
        <v>0</v>
      </c>
      <c r="AN219" s="753">
        <f t="shared" si="242"/>
        <v>4.2738100167268651E-2</v>
      </c>
      <c r="AO219" s="753">
        <f t="shared" si="242"/>
        <v>6.1342609816945108E-2</v>
      </c>
      <c r="AP219" s="753">
        <f t="shared" si="242"/>
        <v>8.4895950611946963E-2</v>
      </c>
      <c r="AQ219" s="753">
        <f t="shared" si="242"/>
        <v>8.6387003908406867E-2</v>
      </c>
      <c r="AR219" s="753">
        <f t="shared" si="242"/>
        <v>9.6158546216004559E-2</v>
      </c>
      <c r="AS219" s="753">
        <f t="shared" si="242"/>
        <v>0.10334632959969377</v>
      </c>
      <c r="AT219" s="753">
        <f t="shared" si="242"/>
        <v>0.11313722206149779</v>
      </c>
      <c r="AU219" s="753">
        <f t="shared" si="242"/>
        <v>0.12890711391195261</v>
      </c>
      <c r="AV219" s="753">
        <f t="shared" si="242"/>
        <v>0.13314916529956236</v>
      </c>
      <c r="AW219" s="753">
        <f t="shared" si="242"/>
        <v>0.13813816085442029</v>
      </c>
      <c r="AX219" s="753">
        <f t="shared" si="242"/>
        <v>0.1434900194744799</v>
      </c>
      <c r="AY219" s="753">
        <f t="shared" si="242"/>
        <v>0.1465509527703219</v>
      </c>
      <c r="AZ219" s="753">
        <f t="shared" si="242"/>
        <v>0.14776461270166577</v>
      </c>
      <c r="BA219" s="753">
        <f t="shared" si="242"/>
        <v>0.14695475239033562</v>
      </c>
      <c r="BB219" s="753">
        <f t="shared" si="242"/>
        <v>0.14534448511502987</v>
      </c>
      <c r="BC219" s="753">
        <f t="shared" si="242"/>
        <v>0.14411179335394397</v>
      </c>
      <c r="BD219" s="753">
        <f t="shared" si="242"/>
        <v>0.1423458794430314</v>
      </c>
      <c r="BE219" s="753">
        <f t="shared" si="242"/>
        <v>0.14018460957520462</v>
      </c>
      <c r="BF219" s="753">
        <f t="shared" si="242"/>
        <v>0.14062666513958261</v>
      </c>
      <c r="BG219" s="753">
        <f t="shared" si="242"/>
        <v>0.14246458673405937</v>
      </c>
      <c r="BH219" s="753">
        <f t="shared" si="242"/>
        <v>0.1455376499584575</v>
      </c>
      <c r="BI219" s="753">
        <f t="shared" si="242"/>
        <v>0.14908724049028171</v>
      </c>
      <c r="BJ219" s="753">
        <f t="shared" si="242"/>
        <v>0.15407478101078559</v>
      </c>
      <c r="BK219" s="753">
        <f t="shared" si="242"/>
        <v>0.15903863048962108</v>
      </c>
      <c r="BL219" s="753">
        <f t="shared" si="242"/>
        <v>0.16389321220006212</v>
      </c>
      <c r="BM219" s="753">
        <f t="shared" si="242"/>
        <v>0.16811479964391676</v>
      </c>
      <c r="BN219" s="753">
        <f t="shared" si="242"/>
        <v>0.17177086129288821</v>
      </c>
      <c r="BO219" s="753">
        <f t="shared" si="242"/>
        <v>0.17486702076641247</v>
      </c>
      <c r="BP219" s="753">
        <f t="shared" si="242"/>
        <v>0.17942668851159402</v>
      </c>
      <c r="BQ219" s="753">
        <f t="shared" si="242"/>
        <v>0.1834376664006159</v>
      </c>
      <c r="BR219" s="753">
        <f t="shared" si="242"/>
        <v>0.18347801405224531</v>
      </c>
      <c r="BS219" s="753">
        <f t="shared" si="242"/>
        <v>0.18009221318512567</v>
      </c>
      <c r="BT219" s="753">
        <f t="shared" si="242"/>
        <v>0.17641896662230261</v>
      </c>
      <c r="BU219" s="753">
        <f t="shared" si="242"/>
        <v>0.17036189683440142</v>
      </c>
      <c r="BV219" s="753">
        <f t="shared" si="242"/>
        <v>0.16308989574325963</v>
      </c>
      <c r="BW219" s="753">
        <f t="shared" si="242"/>
        <v>0.15555664899385327</v>
      </c>
      <c r="BX219" s="753">
        <f t="shared" si="242"/>
        <v>0.14879070246558504</v>
      </c>
      <c r="BY219" s="753">
        <f t="shared" si="242"/>
        <v>0.1432651084077888</v>
      </c>
      <c r="BZ219" s="753">
        <f t="shared" si="242"/>
        <v>0.13893867937877014</v>
      </c>
      <c r="CA219" s="753">
        <f t="shared" si="242"/>
        <v>0.13569268294676079</v>
      </c>
      <c r="CB219" s="753">
        <f t="shared" si="242"/>
        <v>0.13357608115257974</v>
      </c>
      <c r="CC219" s="753">
        <f t="shared" si="242"/>
        <v>0.13238337782870382</v>
      </c>
      <c r="CD219" s="753">
        <f t="shared" si="242"/>
        <v>0.13275098011539305</v>
      </c>
      <c r="CE219" s="753">
        <f t="shared" si="242"/>
        <v>0.1341241706087917</v>
      </c>
      <c r="CF219" s="753">
        <f t="shared" si="242"/>
        <v>0.13617500528862816</v>
      </c>
      <c r="CG219" s="753">
        <f t="shared" si="242"/>
        <v>0.13867283431570634</v>
      </c>
      <c r="CH219" s="753">
        <f t="shared" si="242"/>
        <v>0.14133730432873884</v>
      </c>
      <c r="CI219" s="753">
        <f t="shared" si="242"/>
        <v>0.14397179143551858</v>
      </c>
      <c r="CJ219" s="753">
        <f t="shared" si="242"/>
        <v>0.14642762271020351</v>
      </c>
      <c r="CK219" s="753">
        <f t="shared" si="242"/>
        <v>0.14859086947358194</v>
      </c>
      <c r="CL219" s="753">
        <f t="shared" si="242"/>
        <v>0.15047127385329434</v>
      </c>
      <c r="CM219" s="753">
        <f t="shared" si="242"/>
        <v>0.15208124260026065</v>
      </c>
      <c r="CN219" s="753">
        <f t="shared" si="242"/>
        <v>0.15343871334508749</v>
      </c>
      <c r="CO219" s="753">
        <f t="shared" si="242"/>
        <v>0.15456823975015382</v>
      </c>
      <c r="CP219" s="753">
        <f t="shared" si="242"/>
        <v>0.15558560752276696</v>
      </c>
      <c r="CQ219" s="753">
        <f t="shared" si="242"/>
        <v>0.1556791164074581</v>
      </c>
      <c r="CR219" s="753">
        <f t="shared" si="242"/>
        <v>0.15504441536897712</v>
      </c>
      <c r="CS219" s="753">
        <f t="shared" si="242"/>
        <v>0.15381730691370377</v>
      </c>
      <c r="CT219" s="753">
        <f t="shared" si="242"/>
        <v>0.1521805025761182</v>
      </c>
      <c r="CU219" s="753">
        <f t="shared" si="242"/>
        <v>0.15029461697238353</v>
      </c>
      <c r="CV219" s="753">
        <f t="shared" si="242"/>
        <v>0.14830201758787917</v>
      </c>
      <c r="CW219" s="753">
        <f t="shared" si="242"/>
        <v>0.14632816745751717</v>
      </c>
      <c r="CX219" s="753">
        <f t="shared" si="242"/>
        <v>0.14449032831247968</v>
      </c>
      <c r="CY219" s="753">
        <f t="shared" ref="CY219:DA219" si="243">CY217/CY186</f>
        <v>0.14280109373919134</v>
      </c>
      <c r="CZ219" s="753">
        <f t="shared" si="243"/>
        <v>0.14126691467151281</v>
      </c>
      <c r="DA219" s="753">
        <f t="shared" si="243"/>
        <v>0.13988723260258251</v>
      </c>
      <c r="DB219" s="696"/>
      <c r="DC219" s="729">
        <f>AG219</f>
        <v>0</v>
      </c>
      <c r="DD219" s="729">
        <f>AS219</f>
        <v>0.10334632959969377</v>
      </c>
      <c r="DE219" s="729">
        <f>BE219</f>
        <v>0.14018460957520462</v>
      </c>
      <c r="DF219" s="729">
        <f>BQ219</f>
        <v>0.1834376664006159</v>
      </c>
      <c r="DG219" s="729">
        <f>CC219</f>
        <v>0.13238337782870382</v>
      </c>
      <c r="DH219" s="729">
        <f>CO219</f>
        <v>0.15456823975015382</v>
      </c>
      <c r="DI219" s="729">
        <f t="shared" si="239"/>
        <v>0.13988723260258251</v>
      </c>
    </row>
    <row r="220" spans="2:113" outlineLevel="2">
      <c r="E220" s="230" t="s">
        <v>814</v>
      </c>
      <c r="F220" s="229"/>
      <c r="I220" s="609" t="s">
        <v>812</v>
      </c>
      <c r="O220" s="696"/>
      <c r="P220" s="696"/>
      <c r="Q220" s="696"/>
      <c r="R220" s="696"/>
      <c r="S220" s="696"/>
      <c r="T220" s="696"/>
      <c r="U220" s="696"/>
      <c r="V220" s="696"/>
      <c r="W220" s="696"/>
      <c r="X220" s="696"/>
      <c r="Y220" s="696"/>
      <c r="Z220" s="696"/>
      <c r="AA220" s="696"/>
      <c r="AB220" s="696"/>
      <c r="AC220" s="696"/>
      <c r="AD220" s="696"/>
      <c r="AE220" s="696"/>
      <c r="AF220" s="696"/>
      <c r="AG220" s="696"/>
      <c r="AH220" s="696"/>
      <c r="AI220" s="696"/>
      <c r="AJ220" s="696"/>
      <c r="AK220" s="756"/>
      <c r="AL220" s="756"/>
      <c r="AM220" s="756">
        <f t="shared" ref="AM220:AS220" si="244">AL220+AM202</f>
        <v>0</v>
      </c>
      <c r="AN220" s="756">
        <f t="shared" si="244"/>
        <v>-1.411652508</v>
      </c>
      <c r="AO220" s="756">
        <f t="shared" si="244"/>
        <v>-2.3318973989999998</v>
      </c>
      <c r="AP220" s="756">
        <f t="shared" si="244"/>
        <v>-3.2453930739999999</v>
      </c>
      <c r="AQ220" s="756">
        <f t="shared" si="244"/>
        <v>-5.0991165023196725</v>
      </c>
      <c r="AR220" s="756">
        <f t="shared" si="244"/>
        <v>-7.8913099303095002</v>
      </c>
      <c r="AS220" s="756">
        <f t="shared" si="244"/>
        <v>-11.202180731913332</v>
      </c>
      <c r="AT220" s="756">
        <f>AT202</f>
        <v>-4.8747250085977818</v>
      </c>
      <c r="AU220" s="756">
        <f t="shared" ref="AU220:BE220" si="245">AT220+AU202</f>
        <v>-12.975699174277421</v>
      </c>
      <c r="AV220" s="756">
        <f t="shared" si="245"/>
        <v>-23.165329171066933</v>
      </c>
      <c r="AW220" s="756">
        <f t="shared" si="245"/>
        <v>-34.748458342998319</v>
      </c>
      <c r="AX220" s="756">
        <f t="shared" si="245"/>
        <v>-48.43862715181983</v>
      </c>
      <c r="AY220" s="756">
        <f t="shared" si="245"/>
        <v>-65.509896728355116</v>
      </c>
      <c r="AZ220" s="756">
        <f t="shared" si="245"/>
        <v>-85.881533589668948</v>
      </c>
      <c r="BA220" s="756">
        <f t="shared" si="245"/>
        <v>-109.72788357946044</v>
      </c>
      <c r="BB220" s="756">
        <f t="shared" si="245"/>
        <v>-136.10975479571903</v>
      </c>
      <c r="BC220" s="756">
        <f t="shared" si="245"/>
        <v>-164.20096498993948</v>
      </c>
      <c r="BD220" s="756">
        <f t="shared" si="245"/>
        <v>-194.69897761444784</v>
      </c>
      <c r="BE220" s="756">
        <f t="shared" si="245"/>
        <v>-227.52046021383717</v>
      </c>
      <c r="BF220" s="756">
        <f>BF202</f>
        <v>-34.866746796494752</v>
      </c>
      <c r="BG220" s="756">
        <f t="shared" ref="BG220:BQ220" si="246">BF220+BG202</f>
        <v>-71.650432924866678</v>
      </c>
      <c r="BH220" s="756">
        <f t="shared" si="246"/>
        <v>-110.34833403596141</v>
      </c>
      <c r="BI220" s="756">
        <f t="shared" si="246"/>
        <v>-151.18289267874462</v>
      </c>
      <c r="BJ220" s="756">
        <f t="shared" si="246"/>
        <v>-193.8522425883458</v>
      </c>
      <c r="BK220" s="756">
        <f t="shared" si="246"/>
        <v>-238.35058808313414</v>
      </c>
      <c r="BL220" s="756">
        <f t="shared" si="246"/>
        <v>-284.93069798253049</v>
      </c>
      <c r="BM220" s="756">
        <f t="shared" si="246"/>
        <v>-333.84292010595112</v>
      </c>
      <c r="BN220" s="756">
        <f t="shared" si="246"/>
        <v>-384.41660190933527</v>
      </c>
      <c r="BO220" s="756">
        <f t="shared" si="246"/>
        <v>-436.09325312824984</v>
      </c>
      <c r="BP220" s="756">
        <f t="shared" si="246"/>
        <v>-488.14432059835872</v>
      </c>
      <c r="BQ220" s="756">
        <f t="shared" si="246"/>
        <v>-540.12184551408757</v>
      </c>
      <c r="BR220" s="756">
        <f>BR202</f>
        <v>-51.638709612367613</v>
      </c>
      <c r="BS220" s="756">
        <f t="shared" ref="BS220:CC220" si="247">BR220+BS202</f>
        <v>-102.67170914271382</v>
      </c>
      <c r="BT220" s="756">
        <f t="shared" si="247"/>
        <v>-152.55456821827968</v>
      </c>
      <c r="BU220" s="756">
        <f t="shared" si="247"/>
        <v>-201.26206095713056</v>
      </c>
      <c r="BV220" s="756">
        <f t="shared" si="247"/>
        <v>-248.80483971504802</v>
      </c>
      <c r="BW220" s="756">
        <f t="shared" si="247"/>
        <v>-295.02411269317565</v>
      </c>
      <c r="BX220" s="756">
        <f t="shared" si="247"/>
        <v>-339.61338470169244</v>
      </c>
      <c r="BY220" s="756">
        <f t="shared" si="247"/>
        <v>-383.02607101414048</v>
      </c>
      <c r="BZ220" s="756">
        <f t="shared" si="247"/>
        <v>-426.11398022605584</v>
      </c>
      <c r="CA220" s="756">
        <f t="shared" si="247"/>
        <v>-469.47565673987503</v>
      </c>
      <c r="CB220" s="756">
        <f t="shared" si="247"/>
        <v>-513.52634224368467</v>
      </c>
      <c r="CC220" s="756">
        <f t="shared" si="247"/>
        <v>-558.94973789877406</v>
      </c>
      <c r="CD220" s="756">
        <f>CD202</f>
        <v>-47.249836831628123</v>
      </c>
      <c r="CE220" s="756">
        <f t="shared" ref="CE220:CO220" si="248">CD220+CE202</f>
        <v>-96.828805054340577</v>
      </c>
      <c r="CF220" s="756">
        <f t="shared" si="248"/>
        <v>-149.18833604206057</v>
      </c>
      <c r="CG220" s="756">
        <f t="shared" si="248"/>
        <v>-204.71897267742534</v>
      </c>
      <c r="CH220" s="756">
        <f t="shared" si="248"/>
        <v>-263.69835162482758</v>
      </c>
      <c r="CI220" s="756">
        <f t="shared" si="248"/>
        <v>-326.35683114315947</v>
      </c>
      <c r="CJ220" s="756">
        <f t="shared" si="248"/>
        <v>-392.86922463683982</v>
      </c>
      <c r="CK220" s="756">
        <f t="shared" si="248"/>
        <v>-463.20524296367154</v>
      </c>
      <c r="CL220" s="756">
        <f t="shared" si="248"/>
        <v>-537.05900111051335</v>
      </c>
      <c r="CM220" s="756">
        <f t="shared" si="248"/>
        <v>-614.11048188022221</v>
      </c>
      <c r="CN220" s="756">
        <f t="shared" si="248"/>
        <v>-694.01920647430677</v>
      </c>
      <c r="CO220" s="756">
        <f t="shared" si="248"/>
        <v>-776.44586061426128</v>
      </c>
      <c r="CP220" s="756">
        <f>CP202</f>
        <v>-84.621917655237212</v>
      </c>
      <c r="CQ220" s="756">
        <f t="shared" ref="CQ220:DA220" si="249">CP220+CQ202</f>
        <v>-171.34366670540993</v>
      </c>
      <c r="CR220" s="756">
        <f t="shared" si="249"/>
        <v>-259.98324542448518</v>
      </c>
      <c r="CS220" s="756">
        <f t="shared" si="249"/>
        <v>-350.3790699580623</v>
      </c>
      <c r="CT220" s="756">
        <f t="shared" si="249"/>
        <v>-442.38012771791244</v>
      </c>
      <c r="CU220" s="756">
        <f t="shared" si="249"/>
        <v>-535.95466335590061</v>
      </c>
      <c r="CV220" s="756">
        <f t="shared" si="249"/>
        <v>-631.09951374913226</v>
      </c>
      <c r="CW220" s="756">
        <f t="shared" si="249"/>
        <v>-727.82474909056123</v>
      </c>
      <c r="CX220" s="756">
        <f t="shared" si="249"/>
        <v>-826.30846743614086</v>
      </c>
      <c r="CY220" s="756">
        <f t="shared" si="249"/>
        <v>-927.04356355830794</v>
      </c>
      <c r="CZ220" s="756">
        <f t="shared" si="249"/>
        <v>-1030.5572228112264</v>
      </c>
      <c r="DA220" s="756">
        <f t="shared" si="249"/>
        <v>-1137.4075152070868</v>
      </c>
      <c r="DB220" s="696"/>
      <c r="DC220" s="729"/>
      <c r="DD220" s="729"/>
      <c r="DE220" s="729"/>
      <c r="DF220" s="729"/>
      <c r="DG220" s="729"/>
      <c r="DH220" s="729"/>
      <c r="DI220" s="12">
        <f t="shared" si="239"/>
        <v>-1137.4075152070868</v>
      </c>
    </row>
    <row r="221" spans="2:113" outlineLevel="2">
      <c r="E221" s="230" t="s">
        <v>815</v>
      </c>
      <c r="F221" s="229"/>
      <c r="I221" s="609" t="s">
        <v>812</v>
      </c>
      <c r="O221" s="696"/>
      <c r="P221" s="696"/>
      <c r="Q221" s="696"/>
      <c r="R221" s="696"/>
      <c r="S221" s="696"/>
      <c r="T221" s="696"/>
      <c r="U221" s="696"/>
      <c r="V221" s="696"/>
      <c r="W221" s="696"/>
      <c r="X221" s="696"/>
      <c r="Y221" s="696"/>
      <c r="Z221" s="696"/>
      <c r="AA221" s="696"/>
      <c r="AB221" s="696"/>
      <c r="AC221" s="696"/>
      <c r="AD221" s="696"/>
      <c r="AE221" s="696"/>
      <c r="AF221" s="696"/>
      <c r="AG221" s="696"/>
      <c r="AH221" s="696"/>
      <c r="AI221" s="696"/>
      <c r="AJ221" s="696"/>
      <c r="AK221" s="753"/>
      <c r="AL221" s="753"/>
      <c r="AM221" s="753">
        <f>AM220/AVERAGE($AL186:AM186)</f>
        <v>0</v>
      </c>
      <c r="AN221" s="753">
        <f>AN220/AVERAGE($AL186:AN186)</f>
        <v>-1.17928678186174E-2</v>
      </c>
      <c r="AO221" s="753">
        <f>AO220/AVERAGE($AL186:AO186)</f>
        <v>-1.5227108179532212E-2</v>
      </c>
      <c r="AP221" s="753">
        <f>AP220/AVERAGE($AL186:AP186)</f>
        <v>-1.7788502540406363E-2</v>
      </c>
      <c r="AQ221" s="753">
        <f>AQ220/AVERAGE($AL186:AQ186)</f>
        <v>-2.372348063521354E-2</v>
      </c>
      <c r="AR221" s="753">
        <f>AR220/AVERAGE($AL186:AR186)</f>
        <v>-3.1071737615597669E-2</v>
      </c>
      <c r="AS221" s="753">
        <f>AS220/AVERAGE($AL186:AS186)</f>
        <v>-3.7388084821950253E-2</v>
      </c>
      <c r="AT221" s="753">
        <f>AT220/AVERAGE($AS186:AT186)</f>
        <v>-7.6613159796523273E-3</v>
      </c>
      <c r="AU221" s="753">
        <f>AU220/AVERAGE($AS186:AU186)</f>
        <v>-1.9165701951632148E-2</v>
      </c>
      <c r="AV221" s="753">
        <f>AV220/AVERAGE($AS186:AV186)</f>
        <v>-3.2067177199967989E-2</v>
      </c>
      <c r="AW221" s="753">
        <f>AW220/AVERAGE($AS186:AW186)</f>
        <v>-4.514337654775806E-2</v>
      </c>
      <c r="AX221" s="753">
        <f>AX220/AVERAGE($AS186:AX186)</f>
        <v>-5.9191112779379357E-2</v>
      </c>
      <c r="AY221" s="753">
        <f>AY220/AVERAGE($AS186:AY186)</f>
        <v>-7.5528992864782471E-2</v>
      </c>
      <c r="AZ221" s="753">
        <f>AZ220/AVERAGE($AS186:AZ186)</f>
        <v>-9.364661490793641E-2</v>
      </c>
      <c r="BA221" s="753">
        <f>BA220/AVERAGE($AS186:BA186)</f>
        <v>-0.11334742898025502</v>
      </c>
      <c r="BB221" s="753">
        <f>BB220/AVERAGE($AS186:BB186)</f>
        <v>-0.13342451681424017</v>
      </c>
      <c r="BC221" s="753">
        <f>BC220/AVERAGE($AS186:BC186)</f>
        <v>-0.15296722993522344</v>
      </c>
      <c r="BD221" s="753">
        <f>BD220/AVERAGE($AS186:BD186)</f>
        <v>-0.1725701723684776</v>
      </c>
      <c r="BE221" s="753">
        <f>BE220/AVERAGE($AS186:BE186)</f>
        <v>-0.19203960193907263</v>
      </c>
      <c r="BF221" s="753">
        <f>BF220/AVERAGE($BE186:BF186)</f>
        <v>-1.8176263971830295E-2</v>
      </c>
      <c r="BG221" s="753">
        <f>BG220/AVERAGE($BE186:BG186)</f>
        <v>-3.6428754746993787E-2</v>
      </c>
      <c r="BH221" s="753">
        <f>BH220/AVERAGE($BE186:BH186)</f>
        <v>-5.495627190095996E-2</v>
      </c>
      <c r="BI221" s="753">
        <f>BI220/AVERAGE($BE186:BI186)</f>
        <v>-7.4026720898895851E-2</v>
      </c>
      <c r="BJ221" s="753">
        <f>BJ220/AVERAGE($BE186:BJ186)</f>
        <v>-9.3755662057435879E-2</v>
      </c>
      <c r="BK221" s="753">
        <f>BK220/AVERAGE($BE186:BK186)</f>
        <v>-0.11429609340964171</v>
      </c>
      <c r="BL221" s="753">
        <f>BL220/AVERAGE($BE186:BL186)</f>
        <v>-0.13591343117018945</v>
      </c>
      <c r="BM221" s="753">
        <f>BM220/AVERAGE($BE186:BM186)</f>
        <v>-0.15887201965432171</v>
      </c>
      <c r="BN221" s="753">
        <f>BN220/AVERAGE($BE186:BN186)</f>
        <v>-0.18299169709294777</v>
      </c>
      <c r="BO221" s="753">
        <f>BO220/AVERAGE($BE186:BO186)</f>
        <v>-0.20813800230645088</v>
      </c>
      <c r="BP221" s="753">
        <f>BP220/AVERAGE($BE186:BP186)</f>
        <v>-0.23428570832810708</v>
      </c>
      <c r="BQ221" s="753">
        <f>BQ220/AVERAGE($BE186:BQ186)</f>
        <v>-0.26136462297574325</v>
      </c>
      <c r="BR221" s="753">
        <f>BR220/AVERAGE($BQ186:BR186)</f>
        <v>-2.8185879670511678E-2</v>
      </c>
      <c r="BS221" s="753">
        <f>BS220/AVERAGE($BQ186:BS186)</f>
        <v>-5.6656247266746236E-2</v>
      </c>
      <c r="BT221" s="753">
        <f>BT220/AVERAGE($BQ186:BT186)</f>
        <v>-8.4904047808712788E-2</v>
      </c>
      <c r="BU221" s="753">
        <f>BU220/AVERAGE($BQ186:BU186)</f>
        <v>-0.11249210470142161</v>
      </c>
      <c r="BV221" s="753">
        <f>BV220/AVERAGE($BQ186:BV186)</f>
        <v>-0.13900153688020819</v>
      </c>
      <c r="BW221" s="753">
        <f>BW220/AVERAGE($BQ186:BW186)</f>
        <v>-0.16396451832822811</v>
      </c>
      <c r="BX221" s="753">
        <f>BX220/AVERAGE($BQ186:BX186)</f>
        <v>-0.18689628336273212</v>
      </c>
      <c r="BY221" s="753">
        <f>BY220/AVERAGE($BQ186:BY186)</f>
        <v>-0.20781750455575954</v>
      </c>
      <c r="BZ221" s="753">
        <f>BZ220/AVERAGE($BQ186:BZ186)</f>
        <v>-0.22704384495862506</v>
      </c>
      <c r="CA221" s="753">
        <f>CA220/AVERAGE($BQ186:CA186)</f>
        <v>-0.24480990191463811</v>
      </c>
      <c r="CB221" s="753">
        <f>CB220/AVERAGE($BQ186:CB186)</f>
        <v>-0.26129249972157748</v>
      </c>
      <c r="CC221" s="753">
        <f>CC220/AVERAGE($BQ186:CC186)</f>
        <v>-0.27683702999080012</v>
      </c>
      <c r="CD221" s="753">
        <f>CD220/AVERAGE($CC186:CD186)</f>
        <v>-1.7199598667284006E-2</v>
      </c>
      <c r="CE221" s="753">
        <f>CE220/AVERAGE($CC186:CE186)</f>
        <v>-3.4248466177269156E-2</v>
      </c>
      <c r="CF221" s="753">
        <f>CF220/AVERAGE($CC186:CF186)</f>
        <v>-5.1381541407308419E-2</v>
      </c>
      <c r="CG221" s="753">
        <f>CG220/AVERAGE($CC186:CG186)</f>
        <v>-6.8801490152071848E-2</v>
      </c>
      <c r="CH221" s="753">
        <f>CH220/AVERAGE($CC186:CH186)</f>
        <v>-8.6655393576641315E-2</v>
      </c>
      <c r="CI221" s="753">
        <f>CI220/AVERAGE($CC186:CI186)</f>
        <v>-0.10506247345334355</v>
      </c>
      <c r="CJ221" s="753">
        <f>CJ220/AVERAGE($CC186:CJ186)</f>
        <v>-0.1241153540176953</v>
      </c>
      <c r="CK221" s="753">
        <f>CK220/AVERAGE($CC186:CK186)</f>
        <v>-0.1438368795746362</v>
      </c>
      <c r="CL221" s="753">
        <f>CL220/AVERAGE($CC186:CL186)</f>
        <v>-0.16416241616018862</v>
      </c>
      <c r="CM221" s="753">
        <f>CM220/AVERAGE($CC186:CM186)</f>
        <v>-0.1850242507268319</v>
      </c>
      <c r="CN221" s="753">
        <f>CN220/AVERAGE($CC186:CN186)</f>
        <v>-0.20634831367978942</v>
      </c>
      <c r="CO221" s="753">
        <f>CO220/AVERAGE($CC186:CO186)</f>
        <v>-0.22805935478624376</v>
      </c>
      <c r="CP221" s="753">
        <f>CP220/AVERAGE($CO186:CP186)</f>
        <v>-2.1584536219152132E-2</v>
      </c>
      <c r="CQ221" s="753">
        <f>CQ220/AVERAGE($CO186:CQ186)</f>
        <v>-4.3418016088417805E-2</v>
      </c>
      <c r="CR221" s="753">
        <f>CR220/AVERAGE($CO186:CR186)</f>
        <v>-6.5361258380159645E-2</v>
      </c>
      <c r="CS221" s="753">
        <f>CS220/AVERAGE($CO186:CS186)</f>
        <v>-8.7270928425637689E-2</v>
      </c>
      <c r="CT221" s="753">
        <f>CT220/AVERAGE($CO186:CT186)</f>
        <v>-0.10900428763742485</v>
      </c>
      <c r="CU221" s="753">
        <f>CU220/AVERAGE($CO186:CU186)</f>
        <v>-0.13044800046154564</v>
      </c>
      <c r="CV221" s="753">
        <f>CV220/AVERAGE($CO186:CV186)</f>
        <v>-0.15149641164962455</v>
      </c>
      <c r="CW221" s="753">
        <f>CW220/AVERAGE($CO186:CW186)</f>
        <v>-0.17204903637894425</v>
      </c>
      <c r="CX221" s="753">
        <f>CX220/AVERAGE($CO186:CX186)</f>
        <v>-0.19204761178563953</v>
      </c>
      <c r="CY221" s="753">
        <f>CY220/AVERAGE($CO186:CY186)</f>
        <v>-0.21150981438953839</v>
      </c>
      <c r="CZ221" s="753">
        <f>CZ220/AVERAGE($CO186:CZ186)</f>
        <v>-0.23046037377551612</v>
      </c>
      <c r="DA221" s="753">
        <f>DA220/AVERAGE($CO186:DA186)</f>
        <v>-0.24892956963692583</v>
      </c>
      <c r="DB221" s="696"/>
      <c r="DC221" s="729">
        <f>AG221</f>
        <v>0</v>
      </c>
      <c r="DD221" s="729">
        <f>AS221</f>
        <v>-3.7388084821950253E-2</v>
      </c>
      <c r="DE221" s="729">
        <f>BE221</f>
        <v>-0.19203960193907263</v>
      </c>
      <c r="DF221" s="729">
        <f>BQ221</f>
        <v>-0.26136462297574325</v>
      </c>
      <c r="DG221" s="729">
        <f>CC221</f>
        <v>-0.27683702999080012</v>
      </c>
      <c r="DH221" s="729">
        <f>CO221</f>
        <v>-0.22805935478624376</v>
      </c>
      <c r="DI221" s="729">
        <f t="shared" si="239"/>
        <v>-0.24892956963692583</v>
      </c>
    </row>
    <row r="222" spans="2:113" outlineLevel="2">
      <c r="E222" s="698"/>
      <c r="H222" s="126"/>
      <c r="I222" s="126"/>
      <c r="O222" s="696"/>
      <c r="P222" s="696"/>
      <c r="Q222" s="696"/>
      <c r="R222" s="696"/>
      <c r="S222" s="696"/>
      <c r="T222" s="696"/>
      <c r="U222" s="696"/>
      <c r="V222" s="696"/>
      <c r="W222" s="696"/>
      <c r="X222" s="696"/>
      <c r="Y222" s="696"/>
      <c r="Z222" s="696"/>
      <c r="AA222" s="696"/>
      <c r="AB222" s="696"/>
      <c r="AC222" s="696"/>
      <c r="AD222" s="696"/>
      <c r="AE222" s="696"/>
      <c r="AF222" s="696"/>
      <c r="AG222" s="696"/>
      <c r="AH222" s="696"/>
      <c r="AI222" s="696"/>
      <c r="AJ222" s="696"/>
      <c r="AK222" s="696"/>
      <c r="AL222" s="696"/>
      <c r="AM222" s="917"/>
      <c r="AN222" s="917"/>
      <c r="AO222" s="917"/>
      <c r="AP222" s="917"/>
      <c r="AQ222" s="696"/>
      <c r="AR222" s="696"/>
      <c r="AS222" s="696"/>
      <c r="AT222" s="696"/>
      <c r="AU222" s="696"/>
      <c r="AV222" s="696"/>
      <c r="AW222" s="696"/>
      <c r="AX222" s="696"/>
      <c r="AY222" s="696"/>
      <c r="AZ222" s="696"/>
      <c r="BA222" s="696"/>
      <c r="BB222" s="696"/>
      <c r="BC222" s="696"/>
      <c r="BD222" s="696"/>
      <c r="BE222" s="696"/>
      <c r="BF222" s="696"/>
      <c r="BG222" s="696"/>
      <c r="BH222" s="696"/>
      <c r="BI222" s="696"/>
      <c r="BJ222" s="696"/>
      <c r="BK222" s="696"/>
      <c r="BL222" s="696"/>
      <c r="BM222" s="696"/>
      <c r="BN222" s="696"/>
      <c r="BO222" s="696"/>
      <c r="BP222" s="696"/>
      <c r="BQ222" s="696"/>
      <c r="BR222" s="696"/>
      <c r="BS222" s="696"/>
      <c r="BT222" s="696"/>
      <c r="BU222" s="696"/>
      <c r="BV222" s="696"/>
      <c r="BW222" s="696"/>
      <c r="BX222" s="696"/>
      <c r="BY222" s="696"/>
      <c r="BZ222" s="696"/>
      <c r="CA222" s="696"/>
      <c r="CB222" s="696"/>
      <c r="CC222" s="696"/>
      <c r="CD222" s="696"/>
      <c r="CE222" s="696"/>
      <c r="CF222" s="696"/>
      <c r="CG222" s="696"/>
      <c r="CH222" s="696"/>
      <c r="CI222" s="696"/>
      <c r="CJ222" s="696"/>
      <c r="CK222" s="696"/>
      <c r="CL222" s="696"/>
      <c r="CM222" s="696"/>
      <c r="CN222" s="696"/>
      <c r="CO222" s="696"/>
      <c r="CP222" s="696"/>
      <c r="CQ222" s="696"/>
      <c r="CR222" s="696"/>
      <c r="CS222" s="696"/>
      <c r="CT222" s="696"/>
      <c r="CU222" s="696"/>
      <c r="CV222" s="696"/>
      <c r="CW222" s="696"/>
      <c r="CX222" s="696"/>
      <c r="CY222" s="696"/>
      <c r="CZ222" s="696"/>
      <c r="DA222" s="696"/>
      <c r="DB222" s="696"/>
    </row>
    <row r="223" spans="2:113" outlineLevel="1">
      <c r="H223" s="126"/>
      <c r="I223" s="126"/>
      <c r="O223" s="696"/>
      <c r="P223" s="696"/>
      <c r="Q223" s="696"/>
      <c r="R223" s="696"/>
      <c r="S223" s="696"/>
      <c r="T223" s="696"/>
      <c r="U223" s="696"/>
      <c r="V223" s="696"/>
      <c r="W223" s="696"/>
      <c r="X223" s="696"/>
      <c r="Y223" s="696"/>
      <c r="Z223" s="696"/>
      <c r="AA223" s="696"/>
      <c r="AB223" s="696"/>
      <c r="AC223" s="696"/>
      <c r="AD223" s="696"/>
      <c r="AE223" s="696"/>
      <c r="AF223" s="696"/>
      <c r="AG223" s="696"/>
      <c r="AH223" s="696"/>
      <c r="AI223" s="696"/>
      <c r="AJ223" s="696"/>
      <c r="AK223" s="696"/>
      <c r="AL223" s="696"/>
      <c r="AM223" s="696"/>
      <c r="AN223" s="696"/>
      <c r="AO223" s="696"/>
      <c r="AP223" s="696"/>
      <c r="AQ223" s="696"/>
      <c r="AR223" s="696"/>
      <c r="AS223" s="696"/>
      <c r="AT223" s="696"/>
      <c r="AU223" s="696"/>
      <c r="AV223" s="696"/>
      <c r="AW223" s="696"/>
      <c r="AX223" s="696"/>
      <c r="AY223" s="696"/>
      <c r="AZ223" s="696"/>
      <c r="BA223" s="696"/>
      <c r="BB223" s="696"/>
      <c r="BC223" s="696"/>
      <c r="BD223" s="696"/>
      <c r="BE223" s="696"/>
      <c r="BF223" s="696"/>
      <c r="BG223" s="696"/>
      <c r="BH223" s="696"/>
      <c r="BI223" s="696"/>
      <c r="BJ223" s="696"/>
      <c r="BK223" s="696"/>
      <c r="BL223" s="696"/>
      <c r="BM223" s="696"/>
      <c r="BN223" s="696"/>
      <c r="BO223" s="696"/>
      <c r="BP223" s="696"/>
      <c r="BQ223" s="696"/>
      <c r="BR223" s="696"/>
      <c r="BS223" s="696"/>
      <c r="BT223" s="696"/>
      <c r="BU223" s="696"/>
      <c r="BV223" s="696"/>
      <c r="BW223" s="696"/>
      <c r="BX223" s="696"/>
      <c r="BY223" s="696"/>
      <c r="BZ223" s="696"/>
      <c r="CA223" s="696"/>
      <c r="CB223" s="696"/>
      <c r="CC223" s="696"/>
      <c r="CD223" s="696"/>
      <c r="CE223" s="696"/>
      <c r="CF223" s="696"/>
      <c r="CG223" s="696"/>
      <c r="CH223" s="696"/>
      <c r="CI223" s="696"/>
      <c r="CJ223" s="696"/>
      <c r="CK223" s="696"/>
      <c r="CL223" s="696"/>
      <c r="CM223" s="696"/>
      <c r="CN223" s="696"/>
      <c r="CO223" s="696"/>
      <c r="CP223" s="696"/>
      <c r="CQ223" s="696"/>
      <c r="CR223" s="696"/>
      <c r="CS223" s="696"/>
      <c r="CT223" s="696"/>
      <c r="CU223" s="696"/>
      <c r="CV223" s="696"/>
      <c r="CW223" s="696"/>
      <c r="CX223" s="696"/>
      <c r="CY223" s="696"/>
      <c r="CZ223" s="696"/>
      <c r="DA223" s="696"/>
      <c r="DB223" s="696"/>
    </row>
    <row r="224" spans="2:113" outlineLevel="1">
      <c r="F224" s="698"/>
      <c r="O224" s="696"/>
      <c r="P224" s="696"/>
      <c r="Q224" s="696"/>
      <c r="R224" s="696"/>
      <c r="S224" s="696"/>
      <c r="T224" s="696"/>
      <c r="U224" s="696"/>
      <c r="V224" s="696"/>
      <c r="W224" s="696"/>
      <c r="X224" s="696"/>
      <c r="Y224" s="696"/>
      <c r="Z224" s="696"/>
      <c r="AA224" s="696"/>
      <c r="AB224" s="696"/>
      <c r="AC224" s="696"/>
      <c r="AD224" s="696"/>
      <c r="AE224" s="696"/>
      <c r="AF224" s="696"/>
      <c r="AG224" s="696"/>
      <c r="AH224" s="696"/>
      <c r="AI224" s="696"/>
      <c r="AJ224" s="696"/>
      <c r="AK224" s="696"/>
      <c r="AL224" s="696"/>
      <c r="AM224" s="696"/>
      <c r="AN224" s="696"/>
      <c r="AO224" s="696"/>
      <c r="AP224" s="696"/>
      <c r="AQ224" s="696"/>
      <c r="AR224" s="696"/>
      <c r="AS224" s="696"/>
      <c r="AT224" s="696"/>
      <c r="AU224" s="696"/>
      <c r="AV224" s="696"/>
      <c r="AW224" s="696"/>
      <c r="AX224" s="696"/>
      <c r="AY224" s="696"/>
      <c r="AZ224" s="696"/>
      <c r="BA224" s="696"/>
      <c r="BB224" s="696"/>
      <c r="BC224" s="696"/>
      <c r="BD224" s="696"/>
      <c r="BE224" s="696"/>
      <c r="BF224" s="696"/>
      <c r="BG224" s="696"/>
      <c r="BH224" s="696"/>
      <c r="BI224" s="696"/>
      <c r="BJ224" s="696"/>
      <c r="BK224" s="696"/>
      <c r="BL224" s="696"/>
      <c r="BM224" s="696"/>
      <c r="BN224" s="696"/>
      <c r="BO224" s="696"/>
      <c r="BP224" s="696"/>
      <c r="BQ224" s="696"/>
      <c r="BR224" s="696"/>
      <c r="BS224" s="696"/>
      <c r="BT224" s="696"/>
      <c r="BU224" s="696"/>
      <c r="BV224" s="696"/>
      <c r="BW224" s="696"/>
      <c r="BX224" s="696"/>
      <c r="BY224" s="696"/>
      <c r="BZ224" s="696"/>
      <c r="CA224" s="696"/>
      <c r="CB224" s="696"/>
      <c r="CC224" s="696"/>
      <c r="CD224" s="696"/>
      <c r="CE224" s="696"/>
      <c r="CF224" s="696"/>
      <c r="CG224" s="696"/>
      <c r="CH224" s="696"/>
      <c r="CI224" s="696"/>
      <c r="CJ224" s="696"/>
      <c r="CK224" s="696"/>
      <c r="CL224" s="696"/>
      <c r="CM224" s="696"/>
      <c r="CN224" s="696"/>
      <c r="CO224" s="696"/>
      <c r="CP224" s="696"/>
      <c r="CQ224" s="696"/>
      <c r="CR224" s="696"/>
      <c r="CS224" s="696"/>
      <c r="CT224" s="696"/>
      <c r="CU224" s="696"/>
      <c r="CV224" s="696"/>
      <c r="CW224" s="696"/>
      <c r="CX224" s="696"/>
      <c r="CY224" s="696"/>
      <c r="CZ224" s="696"/>
      <c r="DA224" s="696"/>
      <c r="DB224" s="696"/>
    </row>
    <row r="225" spans="2:119">
      <c r="C225" s="694"/>
      <c r="D225" s="693" t="s">
        <v>722</v>
      </c>
      <c r="E225" s="694"/>
      <c r="F225" s="694"/>
      <c r="G225" s="694"/>
      <c r="H225" s="695"/>
      <c r="I225" s="695"/>
      <c r="AS225" s="873"/>
    </row>
    <row r="226" spans="2:119" outlineLevel="1">
      <c r="C226" s="698" t="s">
        <v>816</v>
      </c>
      <c r="D226" s="698"/>
      <c r="AS226" s="873"/>
    </row>
    <row r="227" spans="2:119" outlineLevel="1">
      <c r="E227" s="698"/>
      <c r="F227" s="698" t="s">
        <v>793</v>
      </c>
      <c r="I227" s="699" t="s">
        <v>743</v>
      </c>
      <c r="Q227" s="12"/>
      <c r="R227" s="12"/>
      <c r="S227" s="12"/>
      <c r="T227" s="12"/>
      <c r="U227" s="12"/>
      <c r="V227" s="12"/>
      <c r="W227" s="12"/>
      <c r="X227" s="12"/>
      <c r="Y227" s="12"/>
      <c r="Z227" s="701">
        <f>Z269+Z310</f>
        <v>3.7610000000000001</v>
      </c>
      <c r="AA227" s="701">
        <f t="shared" ref="AA227:CL227" si="250">AA269+AA310</f>
        <v>6.83</v>
      </c>
      <c r="AB227" s="701">
        <f t="shared" si="250"/>
        <v>7.524</v>
      </c>
      <c r="AC227" s="701">
        <f t="shared" si="250"/>
        <v>6.6740000000000004</v>
      </c>
      <c r="AD227" s="701">
        <f t="shared" si="250"/>
        <v>7.1950000000000003</v>
      </c>
      <c r="AE227" s="701">
        <f t="shared" si="250"/>
        <v>10.071999999999999</v>
      </c>
      <c r="AF227" s="701">
        <f t="shared" si="250"/>
        <v>10.762</v>
      </c>
      <c r="AG227" s="701">
        <f t="shared" si="250"/>
        <v>10.855</v>
      </c>
      <c r="AH227" s="701">
        <f t="shared" si="250"/>
        <v>12.484</v>
      </c>
      <c r="AI227" s="701">
        <f t="shared" si="250"/>
        <v>12.388</v>
      </c>
      <c r="AJ227" s="701">
        <f t="shared" si="250"/>
        <v>16.786999999999999</v>
      </c>
      <c r="AK227" s="701">
        <f t="shared" si="250"/>
        <v>18.884</v>
      </c>
      <c r="AL227" s="701">
        <f t="shared" si="250"/>
        <v>22.111000000000001</v>
      </c>
      <c r="AM227" s="701">
        <f t="shared" si="250"/>
        <v>26.387</v>
      </c>
      <c r="AN227" s="701">
        <f t="shared" si="250"/>
        <v>32.427</v>
      </c>
      <c r="AO227" s="701">
        <f t="shared" si="250"/>
        <v>34.109000000000002</v>
      </c>
      <c r="AP227" s="701">
        <f t="shared" si="250"/>
        <v>33.14</v>
      </c>
      <c r="AQ227" s="701">
        <f t="shared" si="250"/>
        <v>35.618000000000002</v>
      </c>
      <c r="AR227" s="701">
        <f t="shared" si="250"/>
        <v>31.333333333333332</v>
      </c>
      <c r="AS227" s="701">
        <f t="shared" si="250"/>
        <v>33.555555555555557</v>
      </c>
      <c r="AT227" s="701">
        <f t="shared" si="250"/>
        <v>34.531481481481478</v>
      </c>
      <c r="AU227" s="701">
        <f t="shared" si="250"/>
        <v>35.507407407407406</v>
      </c>
      <c r="AV227" s="701">
        <f t="shared" si="250"/>
        <v>36.483333333333327</v>
      </c>
      <c r="AW227" s="701">
        <f t="shared" si="250"/>
        <v>37.459259259259248</v>
      </c>
      <c r="AX227" s="701">
        <f t="shared" si="250"/>
        <v>38.435185185185176</v>
      </c>
      <c r="AY227" s="701">
        <f t="shared" si="250"/>
        <v>39.411111111111097</v>
      </c>
      <c r="AZ227" s="701">
        <f t="shared" si="250"/>
        <v>40.387037037037018</v>
      </c>
      <c r="BA227" s="701">
        <f t="shared" si="250"/>
        <v>41.362962962962946</v>
      </c>
      <c r="BB227" s="701">
        <f t="shared" si="250"/>
        <v>42.338888888888867</v>
      </c>
      <c r="BC227" s="701">
        <f t="shared" si="250"/>
        <v>43.314814814814788</v>
      </c>
      <c r="BD227" s="701">
        <f t="shared" si="250"/>
        <v>44.290740740740716</v>
      </c>
      <c r="BE227" s="701">
        <f t="shared" si="250"/>
        <v>45.266666666666666</v>
      </c>
      <c r="BF227" s="701">
        <f t="shared" si="250"/>
        <v>45.266666666666666</v>
      </c>
      <c r="BG227" s="701">
        <f t="shared" si="250"/>
        <v>45.266666666666666</v>
      </c>
      <c r="BH227" s="701">
        <f t="shared" si="250"/>
        <v>45.266666666666666</v>
      </c>
      <c r="BI227" s="701">
        <f t="shared" si="250"/>
        <v>45.266666666666666</v>
      </c>
      <c r="BJ227" s="701">
        <f t="shared" si="250"/>
        <v>45.266666666666666</v>
      </c>
      <c r="BK227" s="701">
        <f t="shared" si="250"/>
        <v>45.266666666666666</v>
      </c>
      <c r="BL227" s="701">
        <f t="shared" si="250"/>
        <v>45.266666666666666</v>
      </c>
      <c r="BM227" s="701">
        <f t="shared" si="250"/>
        <v>45.266666666666666</v>
      </c>
      <c r="BN227" s="701">
        <f t="shared" si="250"/>
        <v>45.266666666666666</v>
      </c>
      <c r="BO227" s="701">
        <f t="shared" si="250"/>
        <v>45.266666666666666</v>
      </c>
      <c r="BP227" s="701">
        <f t="shared" si="250"/>
        <v>45.266666666666666</v>
      </c>
      <c r="BQ227" s="701">
        <f t="shared" si="250"/>
        <v>45.266666666666666</v>
      </c>
      <c r="BR227" s="701">
        <f t="shared" si="250"/>
        <v>46.771111111111111</v>
      </c>
      <c r="BS227" s="701">
        <f t="shared" si="250"/>
        <v>48.275555555555549</v>
      </c>
      <c r="BT227" s="701">
        <f t="shared" si="250"/>
        <v>49.779999999999994</v>
      </c>
      <c r="BU227" s="701">
        <f t="shared" si="250"/>
        <v>51.284444444444432</v>
      </c>
      <c r="BV227" s="701">
        <f t="shared" si="250"/>
        <v>52.788888888888877</v>
      </c>
      <c r="BW227" s="701">
        <f t="shared" si="250"/>
        <v>54.293333333333322</v>
      </c>
      <c r="BX227" s="701">
        <f t="shared" si="250"/>
        <v>55.797777777777767</v>
      </c>
      <c r="BY227" s="701">
        <f t="shared" si="250"/>
        <v>57.302222222222213</v>
      </c>
      <c r="BZ227" s="701">
        <f t="shared" si="250"/>
        <v>58.806666666666651</v>
      </c>
      <c r="CA227" s="701">
        <f t="shared" si="250"/>
        <v>60.311111111111096</v>
      </c>
      <c r="CB227" s="701">
        <f t="shared" si="250"/>
        <v>61.815555555555541</v>
      </c>
      <c r="CC227" s="701">
        <f t="shared" si="250"/>
        <v>63.32</v>
      </c>
      <c r="CD227" s="701">
        <f t="shared" si="250"/>
        <v>64.542000000000002</v>
      </c>
      <c r="CE227" s="701">
        <f t="shared" si="250"/>
        <v>65.763999999999996</v>
      </c>
      <c r="CF227" s="701">
        <f t="shared" si="250"/>
        <v>66.98599999999999</v>
      </c>
      <c r="CG227" s="701">
        <f t="shared" si="250"/>
        <v>68.207999999999984</v>
      </c>
      <c r="CH227" s="701">
        <f t="shared" si="250"/>
        <v>69.429999999999978</v>
      </c>
      <c r="CI227" s="701">
        <f t="shared" si="250"/>
        <v>70.651999999999987</v>
      </c>
      <c r="CJ227" s="701">
        <f t="shared" si="250"/>
        <v>71.873999999999981</v>
      </c>
      <c r="CK227" s="701">
        <f t="shared" si="250"/>
        <v>73.095999999999975</v>
      </c>
      <c r="CL227" s="701">
        <f t="shared" si="250"/>
        <v>74.317999999999984</v>
      </c>
      <c r="CM227" s="701">
        <f t="shared" ref="CM227:DA233" si="251">CM269+CM310</f>
        <v>75.539999999999978</v>
      </c>
      <c r="CN227" s="701">
        <f t="shared" si="251"/>
        <v>76.761999999999972</v>
      </c>
      <c r="CO227" s="701">
        <f t="shared" si="251"/>
        <v>77.983999999999995</v>
      </c>
      <c r="CP227" s="701">
        <f t="shared" si="251"/>
        <v>79.033733333333331</v>
      </c>
      <c r="CQ227" s="701">
        <f t="shared" si="251"/>
        <v>80.083466666666652</v>
      </c>
      <c r="CR227" s="701">
        <f t="shared" si="251"/>
        <v>81.133199999999988</v>
      </c>
      <c r="CS227" s="701">
        <f t="shared" si="251"/>
        <v>82.182933333333324</v>
      </c>
      <c r="CT227" s="701">
        <f t="shared" si="251"/>
        <v>83.23266666666666</v>
      </c>
      <c r="CU227" s="701">
        <f t="shared" si="251"/>
        <v>84.282399999999996</v>
      </c>
      <c r="CV227" s="701">
        <f t="shared" si="251"/>
        <v>85.332133333333317</v>
      </c>
      <c r="CW227" s="701">
        <f t="shared" si="251"/>
        <v>86.381866666666639</v>
      </c>
      <c r="CX227" s="701">
        <f t="shared" si="251"/>
        <v>87.43159999999996</v>
      </c>
      <c r="CY227" s="701">
        <f t="shared" si="251"/>
        <v>88.481333333333282</v>
      </c>
      <c r="CZ227" s="701">
        <f t="shared" si="251"/>
        <v>89.531066666666618</v>
      </c>
      <c r="DA227" s="701">
        <f t="shared" si="251"/>
        <v>90.580799999999996</v>
      </c>
      <c r="DC227" s="12">
        <f>SUM(V227:AG227)</f>
        <v>63.673000000000002</v>
      </c>
      <c r="DD227" s="12">
        <f>SUM(AH227:AS227)</f>
        <v>309.22388888888884</v>
      </c>
      <c r="DE227" s="12">
        <f>SUM(AT227:BE227)</f>
        <v>478.78888888888872</v>
      </c>
      <c r="DF227" s="12">
        <f>SUM(BF227:BQ227)</f>
        <v>543.19999999999993</v>
      </c>
      <c r="DG227" s="12">
        <f>SUM(BR227:CC227)</f>
        <v>660.54666666666662</v>
      </c>
      <c r="DH227" s="12">
        <f>SUM(CD227:CO227)</f>
        <v>855.15599999999984</v>
      </c>
      <c r="DI227" s="12">
        <f>SUM(CP227:DA227)</f>
        <v>1017.6871999999996</v>
      </c>
    </row>
    <row r="228" spans="2:119" outlineLevel="1">
      <c r="E228" s="698"/>
      <c r="F228" s="698" t="s">
        <v>794</v>
      </c>
      <c r="I228" s="699" t="s">
        <v>743</v>
      </c>
      <c r="Q228" s="12"/>
      <c r="R228" s="12"/>
      <c r="S228" s="12"/>
      <c r="T228" s="12"/>
      <c r="U228" s="12"/>
      <c r="V228" s="12"/>
      <c r="W228" s="12"/>
      <c r="X228" s="12"/>
      <c r="Y228" s="12"/>
      <c r="Z228" s="701">
        <f t="shared" ref="Z228:CK231" si="252">Z270+Z311</f>
        <v>3.3969999999999998</v>
      </c>
      <c r="AA228" s="701">
        <f t="shared" si="252"/>
        <v>6.3419999999999996</v>
      </c>
      <c r="AB228" s="701">
        <f t="shared" si="252"/>
        <v>7.407</v>
      </c>
      <c r="AC228" s="701">
        <f t="shared" si="252"/>
        <v>7.0979999999999999</v>
      </c>
      <c r="AD228" s="701">
        <f t="shared" si="252"/>
        <v>8.3520000000000003</v>
      </c>
      <c r="AE228" s="701">
        <f t="shared" si="252"/>
        <v>10.741</v>
      </c>
      <c r="AF228" s="701">
        <f t="shared" si="252"/>
        <v>12.75</v>
      </c>
      <c r="AG228" s="701">
        <f t="shared" si="252"/>
        <v>13.758000000000001</v>
      </c>
      <c r="AH228" s="701">
        <f t="shared" si="252"/>
        <v>16.108999999999998</v>
      </c>
      <c r="AI228" s="701">
        <f t="shared" si="252"/>
        <v>17.753</v>
      </c>
      <c r="AJ228" s="701">
        <f t="shared" si="252"/>
        <v>21.197999999999997</v>
      </c>
      <c r="AK228" s="701">
        <f t="shared" si="252"/>
        <v>24.25</v>
      </c>
      <c r="AL228" s="701">
        <f t="shared" si="252"/>
        <v>24.208000000000002</v>
      </c>
      <c r="AM228" s="701">
        <f t="shared" si="252"/>
        <v>24.237000000000002</v>
      </c>
      <c r="AN228" s="701">
        <f t="shared" si="252"/>
        <v>37.125</v>
      </c>
      <c r="AO228" s="701">
        <f t="shared" si="252"/>
        <v>39.918999999999997</v>
      </c>
      <c r="AP228" s="701">
        <f t="shared" si="252"/>
        <v>41.959000000000003</v>
      </c>
      <c r="AQ228" s="701">
        <f t="shared" si="252"/>
        <v>44.405000000000001</v>
      </c>
      <c r="AR228" s="701">
        <f t="shared" si="252"/>
        <v>34.207823494401175</v>
      </c>
      <c r="AS228" s="701">
        <f t="shared" si="252"/>
        <v>36.306918915402484</v>
      </c>
      <c r="AT228" s="701">
        <f t="shared" si="252"/>
        <v>34.142670137151818</v>
      </c>
      <c r="AU228" s="701">
        <f t="shared" si="252"/>
        <v>38.165004554757751</v>
      </c>
      <c r="AV228" s="701">
        <f t="shared" si="252"/>
        <v>39.182069140324899</v>
      </c>
      <c r="AW228" s="701">
        <f t="shared" si="252"/>
        <v>40.206211326917014</v>
      </c>
      <c r="AX228" s="701">
        <f t="shared" si="252"/>
        <v>41.211615060767784</v>
      </c>
      <c r="AY228" s="701">
        <f t="shared" si="252"/>
        <v>42.284846374142234</v>
      </c>
      <c r="AZ228" s="701">
        <f t="shared" si="252"/>
        <v>43.404302007309383</v>
      </c>
      <c r="BA228" s="701">
        <f t="shared" si="252"/>
        <v>44.415311542419481</v>
      </c>
      <c r="BB228" s="701">
        <f t="shared" si="252"/>
        <v>45.458382306918402</v>
      </c>
      <c r="BC228" s="701">
        <f t="shared" si="252"/>
        <v>46.368791563184033</v>
      </c>
      <c r="BD228" s="701">
        <f t="shared" si="252"/>
        <v>47.408894749930028</v>
      </c>
      <c r="BE228" s="701">
        <f t="shared" si="252"/>
        <v>48.216826420493476</v>
      </c>
      <c r="BF228" s="701">
        <f t="shared" si="252"/>
        <v>47.970242831670788</v>
      </c>
      <c r="BG228" s="701">
        <f t="shared" si="252"/>
        <v>48.37381893291932</v>
      </c>
      <c r="BH228" s="701">
        <f t="shared" si="252"/>
        <v>48.365488991928153</v>
      </c>
      <c r="BI228" s="701">
        <f t="shared" si="252"/>
        <v>48.34245771605439</v>
      </c>
      <c r="BJ228" s="701">
        <f t="shared" si="252"/>
        <v>48.318203360014664</v>
      </c>
      <c r="BK228" s="701">
        <f t="shared" si="252"/>
        <v>48.303840229375403</v>
      </c>
      <c r="BL228" s="701">
        <f t="shared" si="252"/>
        <v>48.362955388261192</v>
      </c>
      <c r="BM228" s="701">
        <f t="shared" si="252"/>
        <v>48.343704192904468</v>
      </c>
      <c r="BN228" s="701">
        <f t="shared" si="252"/>
        <v>48.15678424583853</v>
      </c>
      <c r="BO228" s="701">
        <f t="shared" si="252"/>
        <v>48.145692959871461</v>
      </c>
      <c r="BP228" s="701">
        <f t="shared" si="252"/>
        <v>48.155204146187153</v>
      </c>
      <c r="BQ228" s="701">
        <f t="shared" si="252"/>
        <v>48.164246430251282</v>
      </c>
      <c r="BR228" s="701">
        <f t="shared" si="252"/>
        <v>49.695227586453825</v>
      </c>
      <c r="BS228" s="701">
        <f t="shared" si="252"/>
        <v>51.349267933132339</v>
      </c>
      <c r="BT228" s="701">
        <f t="shared" si="252"/>
        <v>53.007220022573634</v>
      </c>
      <c r="BU228" s="701">
        <f t="shared" si="252"/>
        <v>54.686540151711291</v>
      </c>
      <c r="BV228" s="701">
        <f t="shared" si="252"/>
        <v>56.346787274922761</v>
      </c>
      <c r="BW228" s="701">
        <f t="shared" si="252"/>
        <v>58.016882004175166</v>
      </c>
      <c r="BX228" s="701">
        <f t="shared" si="252"/>
        <v>59.668478049393819</v>
      </c>
      <c r="BY228" s="701">
        <f t="shared" si="252"/>
        <v>61.318970461223017</v>
      </c>
      <c r="BZ228" s="701">
        <f t="shared" si="252"/>
        <v>62.90910480853185</v>
      </c>
      <c r="CA228" s="701">
        <f t="shared" si="252"/>
        <v>64.495847338406406</v>
      </c>
      <c r="CB228" s="701">
        <f t="shared" si="252"/>
        <v>66.085457994101944</v>
      </c>
      <c r="CC228" s="701">
        <f t="shared" si="252"/>
        <v>67.677930637072961</v>
      </c>
      <c r="CD228" s="701">
        <f t="shared" si="252"/>
        <v>68.991407710441024</v>
      </c>
      <c r="CE228" s="701">
        <f t="shared" si="252"/>
        <v>70.280576989774687</v>
      </c>
      <c r="CF228" s="701">
        <f t="shared" si="252"/>
        <v>71.5713165454777</v>
      </c>
      <c r="CG228" s="701">
        <f t="shared" si="252"/>
        <v>72.86397773346107</v>
      </c>
      <c r="CH228" s="701">
        <f t="shared" si="252"/>
        <v>74.158481009191618</v>
      </c>
      <c r="CI228" s="701">
        <f t="shared" si="252"/>
        <v>75.452424616968841</v>
      </c>
      <c r="CJ228" s="701">
        <f t="shared" si="252"/>
        <v>76.745655732648657</v>
      </c>
      <c r="CK228" s="701">
        <f t="shared" si="252"/>
        <v>78.038323437718432</v>
      </c>
      <c r="CL228" s="701">
        <f>CL270+CL311</f>
        <v>79.34235064735249</v>
      </c>
      <c r="CM228" s="701">
        <f t="shared" si="251"/>
        <v>80.64699371039066</v>
      </c>
      <c r="CN228" s="701">
        <f t="shared" si="251"/>
        <v>81.950947181640274</v>
      </c>
      <c r="CO228" s="701">
        <f t="shared" si="251"/>
        <v>83.254329255168457</v>
      </c>
      <c r="CP228" s="701">
        <f t="shared" si="251"/>
        <v>84.384996578463614</v>
      </c>
      <c r="CQ228" s="701">
        <f t="shared" si="251"/>
        <v>85.498956874393201</v>
      </c>
      <c r="CR228" s="701">
        <f t="shared" si="251"/>
        <v>86.611832987105316</v>
      </c>
      <c r="CS228" s="701">
        <f t="shared" si="251"/>
        <v>87.724313389923111</v>
      </c>
      <c r="CT228" s="701">
        <f t="shared" si="251"/>
        <v>88.836421796561098</v>
      </c>
      <c r="CU228" s="701">
        <f t="shared" si="251"/>
        <v>89.948626880569847</v>
      </c>
      <c r="CV228" s="701">
        <f t="shared" si="251"/>
        <v>91.060958999418887</v>
      </c>
      <c r="CW228" s="701">
        <f t="shared" si="251"/>
        <v>92.173382733437364</v>
      </c>
      <c r="CX228" s="701">
        <f t="shared" si="251"/>
        <v>93.293161939741069</v>
      </c>
      <c r="CY228" s="701">
        <f t="shared" si="251"/>
        <v>94.413529961829013</v>
      </c>
      <c r="CZ228" s="701">
        <f t="shared" si="251"/>
        <v>95.533581320604654</v>
      </c>
      <c r="DA228" s="701">
        <f t="shared" si="251"/>
        <v>96.653313190686404</v>
      </c>
      <c r="DC228" s="11">
        <f>AG228</f>
        <v>13.758000000000001</v>
      </c>
      <c r="DD228" s="11">
        <f>AS228</f>
        <v>36.306918915402484</v>
      </c>
      <c r="DE228" s="11">
        <f>BE228</f>
        <v>48.216826420493476</v>
      </c>
      <c r="DF228" s="11">
        <f>BQ228</f>
        <v>48.164246430251282</v>
      </c>
      <c r="DG228" s="11">
        <f>CC228</f>
        <v>67.677930637072961</v>
      </c>
      <c r="DH228" s="11">
        <f>CO228</f>
        <v>83.254329255168457</v>
      </c>
      <c r="DI228" s="11">
        <f>DA228</f>
        <v>96.653313190686404</v>
      </c>
    </row>
    <row r="229" spans="2:119" outlineLevel="1">
      <c r="E229" s="698"/>
      <c r="F229" s="698" t="s">
        <v>795</v>
      </c>
      <c r="I229" s="609" t="s">
        <v>736</v>
      </c>
      <c r="Q229" s="12"/>
      <c r="R229" s="12"/>
      <c r="S229" s="12"/>
      <c r="T229" s="12"/>
      <c r="U229" s="12"/>
      <c r="V229" s="12"/>
      <c r="W229" s="12"/>
      <c r="X229" s="12"/>
      <c r="Y229" s="12"/>
      <c r="Z229" s="701">
        <f t="shared" si="252"/>
        <v>11.473000000000001</v>
      </c>
      <c r="AA229" s="701">
        <f t="shared" si="252"/>
        <v>22.5</v>
      </c>
      <c r="AB229" s="701">
        <f t="shared" si="252"/>
        <v>26.237500000000001</v>
      </c>
      <c r="AC229" s="701">
        <f t="shared" si="252"/>
        <v>24.2835</v>
      </c>
      <c r="AD229" s="701">
        <f t="shared" si="252"/>
        <v>25.335000000000001</v>
      </c>
      <c r="AE229" s="701">
        <f t="shared" si="252"/>
        <v>34.808999999999997</v>
      </c>
      <c r="AF229" s="701">
        <f t="shared" si="252"/>
        <v>37.717500000000001</v>
      </c>
      <c r="AG229" s="701">
        <f t="shared" si="252"/>
        <v>38.570500000000003</v>
      </c>
      <c r="AH229" s="701">
        <f t="shared" si="252"/>
        <v>44.427999999999997</v>
      </c>
      <c r="AI229" s="701">
        <f t="shared" si="252"/>
        <v>44.513500000000001</v>
      </c>
      <c r="AJ229" s="701">
        <f t="shared" si="252"/>
        <v>60.92</v>
      </c>
      <c r="AK229" s="701">
        <f t="shared" si="252"/>
        <v>68.744</v>
      </c>
      <c r="AL229" s="701">
        <f t="shared" si="252"/>
        <v>80.334000000000003</v>
      </c>
      <c r="AM229" s="701">
        <f t="shared" si="252"/>
        <v>94.447500000000005</v>
      </c>
      <c r="AN229" s="701">
        <f t="shared" si="252"/>
        <v>115.43899999999999</v>
      </c>
      <c r="AO229" s="701">
        <f t="shared" si="252"/>
        <v>125.4485</v>
      </c>
      <c r="AP229" s="701">
        <f t="shared" si="252"/>
        <v>122.2535</v>
      </c>
      <c r="AQ229" s="701">
        <f t="shared" si="252"/>
        <v>133.55449999999999</v>
      </c>
      <c r="AR229" s="701">
        <f t="shared" si="252"/>
        <v>141</v>
      </c>
      <c r="AS229" s="701">
        <f t="shared" si="252"/>
        <v>151</v>
      </c>
      <c r="AT229" s="701">
        <f t="shared" si="252"/>
        <v>155.39166666666665</v>
      </c>
      <c r="AU229" s="701">
        <f t="shared" si="252"/>
        <v>159.7833333333333</v>
      </c>
      <c r="AV229" s="701">
        <f t="shared" si="252"/>
        <v>164.17499999999998</v>
      </c>
      <c r="AW229" s="701">
        <f t="shared" si="252"/>
        <v>168.56666666666663</v>
      </c>
      <c r="AX229" s="701">
        <f t="shared" si="252"/>
        <v>172.95833333333329</v>
      </c>
      <c r="AY229" s="701">
        <f t="shared" si="252"/>
        <v>177.34999999999994</v>
      </c>
      <c r="AZ229" s="701">
        <f t="shared" si="252"/>
        <v>181.74166666666659</v>
      </c>
      <c r="BA229" s="701">
        <f t="shared" si="252"/>
        <v>186.13333333333327</v>
      </c>
      <c r="BB229" s="701">
        <f t="shared" si="252"/>
        <v>190.52499999999992</v>
      </c>
      <c r="BC229" s="701">
        <f t="shared" si="252"/>
        <v>194.91666666666657</v>
      </c>
      <c r="BD229" s="701">
        <f t="shared" si="252"/>
        <v>199.30833333333322</v>
      </c>
      <c r="BE229" s="701">
        <f t="shared" si="252"/>
        <v>203.7</v>
      </c>
      <c r="BF229" s="701">
        <f t="shared" si="252"/>
        <v>226.33333333333334</v>
      </c>
      <c r="BG229" s="701">
        <f t="shared" si="252"/>
        <v>226.33333333333334</v>
      </c>
      <c r="BH229" s="701">
        <f t="shared" si="252"/>
        <v>226.33333333333334</v>
      </c>
      <c r="BI229" s="701">
        <f t="shared" si="252"/>
        <v>226.33333333333334</v>
      </c>
      <c r="BJ229" s="701">
        <f t="shared" si="252"/>
        <v>226.33333333333334</v>
      </c>
      <c r="BK229" s="701">
        <f t="shared" si="252"/>
        <v>226.33333333333334</v>
      </c>
      <c r="BL229" s="701">
        <f t="shared" si="252"/>
        <v>226.33333333333334</v>
      </c>
      <c r="BM229" s="701">
        <f t="shared" si="252"/>
        <v>226.33333333333334</v>
      </c>
      <c r="BN229" s="701">
        <f t="shared" si="252"/>
        <v>226.33333333333334</v>
      </c>
      <c r="BO229" s="701">
        <f t="shared" si="252"/>
        <v>226.33333333333334</v>
      </c>
      <c r="BP229" s="701">
        <f t="shared" si="252"/>
        <v>226.33333333333334</v>
      </c>
      <c r="BQ229" s="701">
        <f t="shared" si="252"/>
        <v>226.33333333333334</v>
      </c>
      <c r="BR229" s="701">
        <f t="shared" si="252"/>
        <v>233.85555555555553</v>
      </c>
      <c r="BS229" s="701">
        <f t="shared" si="252"/>
        <v>241.37777777777774</v>
      </c>
      <c r="BT229" s="701">
        <f t="shared" si="252"/>
        <v>248.89999999999998</v>
      </c>
      <c r="BU229" s="701">
        <f t="shared" si="252"/>
        <v>256.42222222222216</v>
      </c>
      <c r="BV229" s="701">
        <f t="shared" si="252"/>
        <v>263.9444444444444</v>
      </c>
      <c r="BW229" s="701">
        <f t="shared" si="252"/>
        <v>271.46666666666658</v>
      </c>
      <c r="BX229" s="701">
        <f t="shared" si="252"/>
        <v>278.98888888888882</v>
      </c>
      <c r="BY229" s="701">
        <f t="shared" si="252"/>
        <v>286.51111111111101</v>
      </c>
      <c r="BZ229" s="701">
        <f t="shared" si="252"/>
        <v>294.03333333333325</v>
      </c>
      <c r="CA229" s="701">
        <f t="shared" si="252"/>
        <v>301.55555555555549</v>
      </c>
      <c r="CB229" s="701">
        <f t="shared" si="252"/>
        <v>309.07777777777767</v>
      </c>
      <c r="CC229" s="701">
        <f t="shared" si="252"/>
        <v>316.60000000000002</v>
      </c>
      <c r="CD229" s="701">
        <f t="shared" si="252"/>
        <v>322.70999999999998</v>
      </c>
      <c r="CE229" s="701">
        <f t="shared" si="252"/>
        <v>328.81999999999994</v>
      </c>
      <c r="CF229" s="701">
        <f t="shared" si="252"/>
        <v>334.92999999999995</v>
      </c>
      <c r="CG229" s="701">
        <f t="shared" si="252"/>
        <v>341.03999999999996</v>
      </c>
      <c r="CH229" s="701">
        <f t="shared" si="252"/>
        <v>347.14999999999992</v>
      </c>
      <c r="CI229" s="701">
        <f t="shared" si="252"/>
        <v>353.25999999999988</v>
      </c>
      <c r="CJ229" s="701">
        <f t="shared" si="252"/>
        <v>359.36999999999995</v>
      </c>
      <c r="CK229" s="701">
        <f t="shared" si="252"/>
        <v>365.4799999999999</v>
      </c>
      <c r="CL229" s="701">
        <f>CL271+CL312</f>
        <v>371.5899999999998</v>
      </c>
      <c r="CM229" s="701">
        <f t="shared" si="251"/>
        <v>377.69999999999987</v>
      </c>
      <c r="CN229" s="701">
        <f t="shared" si="251"/>
        <v>383.80999999999983</v>
      </c>
      <c r="CO229" s="701">
        <f t="shared" si="251"/>
        <v>389.92</v>
      </c>
      <c r="CP229" s="701">
        <f t="shared" si="251"/>
        <v>395.1686666666667</v>
      </c>
      <c r="CQ229" s="701">
        <f t="shared" si="251"/>
        <v>400.41733333333332</v>
      </c>
      <c r="CR229" s="701">
        <f t="shared" si="251"/>
        <v>405.666</v>
      </c>
      <c r="CS229" s="701">
        <f t="shared" si="251"/>
        <v>410.91466666666662</v>
      </c>
      <c r="CT229" s="701">
        <f t="shared" si="251"/>
        <v>416.1633333333333</v>
      </c>
      <c r="CU229" s="701">
        <f t="shared" si="251"/>
        <v>421.41199999999992</v>
      </c>
      <c r="CV229" s="701">
        <f t="shared" si="251"/>
        <v>426.66066666666654</v>
      </c>
      <c r="CW229" s="701">
        <f t="shared" si="251"/>
        <v>431.90933333333317</v>
      </c>
      <c r="CX229" s="701">
        <f t="shared" si="251"/>
        <v>437.15799999999984</v>
      </c>
      <c r="CY229" s="701">
        <f t="shared" si="251"/>
        <v>442.40666666666647</v>
      </c>
      <c r="CZ229" s="701">
        <f t="shared" si="251"/>
        <v>447.65533333333309</v>
      </c>
      <c r="DA229" s="701">
        <f t="shared" si="251"/>
        <v>452.904</v>
      </c>
      <c r="DC229" s="12">
        <f>SUM(V229:AG229)</f>
        <v>220.92600000000002</v>
      </c>
      <c r="DD229" s="12">
        <f>SUM(AH229:AS229)</f>
        <v>1182.0825</v>
      </c>
      <c r="DE229" s="12">
        <f>SUM(AT229:BE229)</f>
        <v>2154.5499999999988</v>
      </c>
      <c r="DF229" s="12">
        <f>SUM(BF229:BQ229)</f>
        <v>2716</v>
      </c>
      <c r="DG229" s="12">
        <f>SUM(BR229:CC229)</f>
        <v>3302.7333333333327</v>
      </c>
      <c r="DH229" s="12">
        <f>SUM(CD229:CO229)</f>
        <v>4275.7799999999988</v>
      </c>
      <c r="DI229" s="12">
        <f>SUM(CP229:DA229)</f>
        <v>5088.4359999999997</v>
      </c>
    </row>
    <row r="230" spans="2:119" outlineLevel="1">
      <c r="E230" s="698"/>
      <c r="F230" s="698" t="s">
        <v>796</v>
      </c>
      <c r="I230" s="609" t="s">
        <v>736</v>
      </c>
      <c r="Q230" s="12"/>
      <c r="R230" s="12"/>
      <c r="S230" s="12"/>
      <c r="T230" s="12"/>
      <c r="U230" s="12"/>
      <c r="V230" s="12"/>
      <c r="W230" s="12"/>
      <c r="X230" s="12"/>
      <c r="Y230" s="12"/>
      <c r="Z230" s="701">
        <f t="shared" si="252"/>
        <v>10.035068174999999</v>
      </c>
      <c r="AA230" s="701">
        <f t="shared" si="252"/>
        <v>19.968366913000001</v>
      </c>
      <c r="AB230" s="701">
        <f t="shared" si="252"/>
        <v>24.674131477</v>
      </c>
      <c r="AC230" s="701">
        <f t="shared" si="252"/>
        <v>25.329940959999998</v>
      </c>
      <c r="AD230" s="701">
        <f t="shared" si="252"/>
        <v>29.206713082</v>
      </c>
      <c r="AE230" s="701">
        <f t="shared" si="252"/>
        <v>36.94</v>
      </c>
      <c r="AF230" s="701">
        <f t="shared" si="252"/>
        <v>43.950827099000001</v>
      </c>
      <c r="AG230" s="701">
        <f t="shared" si="252"/>
        <v>47.470963006000005</v>
      </c>
      <c r="AH230" s="701">
        <f t="shared" si="252"/>
        <v>55.780482818999999</v>
      </c>
      <c r="AI230" s="701">
        <f t="shared" si="252"/>
        <v>61.911577059999999</v>
      </c>
      <c r="AJ230" s="701">
        <f t="shared" si="252"/>
        <v>74.764117820999999</v>
      </c>
      <c r="AK230" s="701">
        <f t="shared" si="252"/>
        <v>85.686418016999994</v>
      </c>
      <c r="AL230" s="701">
        <f t="shared" si="252"/>
        <v>95.017079898999995</v>
      </c>
      <c r="AM230" s="701">
        <f t="shared" si="252"/>
        <v>111.22623923499999</v>
      </c>
      <c r="AN230" s="701">
        <f t="shared" si="252"/>
        <v>128.011218297</v>
      </c>
      <c r="AO230" s="701">
        <f t="shared" si="252"/>
        <v>139.139272998</v>
      </c>
      <c r="AP230" s="701">
        <f t="shared" si="252"/>
        <v>144.126601986</v>
      </c>
      <c r="AQ230" s="701">
        <f t="shared" si="252"/>
        <v>152.91005498800001</v>
      </c>
      <c r="AR230" s="701">
        <f t="shared" si="252"/>
        <v>153.93520572480529</v>
      </c>
      <c r="AS230" s="701">
        <f t="shared" si="252"/>
        <v>163.38113511931118</v>
      </c>
      <c r="AT230" s="701">
        <f t="shared" si="252"/>
        <v>153.6420156171832</v>
      </c>
      <c r="AU230" s="701">
        <f t="shared" si="252"/>
        <v>171.74252049640987</v>
      </c>
      <c r="AV230" s="701">
        <f t="shared" si="252"/>
        <v>176.31931113146206</v>
      </c>
      <c r="AW230" s="701">
        <f t="shared" si="252"/>
        <v>180.92795097112656</v>
      </c>
      <c r="AX230" s="701">
        <f t="shared" si="252"/>
        <v>185.45226777345505</v>
      </c>
      <c r="AY230" s="701">
        <f t="shared" si="252"/>
        <v>190.28180868364007</v>
      </c>
      <c r="AZ230" s="701">
        <f t="shared" si="252"/>
        <v>195.31935903289221</v>
      </c>
      <c r="BA230" s="701">
        <f t="shared" si="252"/>
        <v>199.86890194088764</v>
      </c>
      <c r="BB230" s="701">
        <f t="shared" si="252"/>
        <v>204.56272038113278</v>
      </c>
      <c r="BC230" s="701">
        <f t="shared" si="252"/>
        <v>208.65956203432816</v>
      </c>
      <c r="BD230" s="701">
        <f t="shared" si="252"/>
        <v>213.3400263746851</v>
      </c>
      <c r="BE230" s="701">
        <f t="shared" si="252"/>
        <v>216.97571889222064</v>
      </c>
      <c r="BF230" s="701">
        <f t="shared" si="252"/>
        <v>239.85121415835394</v>
      </c>
      <c r="BG230" s="701">
        <f t="shared" si="252"/>
        <v>241.86909466459664</v>
      </c>
      <c r="BH230" s="701">
        <f t="shared" si="252"/>
        <v>241.82744495964076</v>
      </c>
      <c r="BI230" s="701">
        <f t="shared" si="252"/>
        <v>241.71228858027195</v>
      </c>
      <c r="BJ230" s="701">
        <f t="shared" si="252"/>
        <v>241.59101680007333</v>
      </c>
      <c r="BK230" s="701">
        <f t="shared" si="252"/>
        <v>241.51920114687701</v>
      </c>
      <c r="BL230" s="701">
        <f t="shared" si="252"/>
        <v>241.81477694130595</v>
      </c>
      <c r="BM230" s="701">
        <f t="shared" si="252"/>
        <v>241.7185209645223</v>
      </c>
      <c r="BN230" s="701">
        <f t="shared" si="252"/>
        <v>240.78392122919266</v>
      </c>
      <c r="BO230" s="701">
        <f t="shared" si="252"/>
        <v>240.72846479935728</v>
      </c>
      <c r="BP230" s="701">
        <f t="shared" si="252"/>
        <v>240.77602073093576</v>
      </c>
      <c r="BQ230" s="701">
        <f t="shared" si="252"/>
        <v>240.8212321512564</v>
      </c>
      <c r="BR230" s="701">
        <f t="shared" si="252"/>
        <v>248.47613793226913</v>
      </c>
      <c r="BS230" s="701">
        <f t="shared" si="252"/>
        <v>256.74633966566171</v>
      </c>
      <c r="BT230" s="701">
        <f t="shared" si="252"/>
        <v>265.03610011286816</v>
      </c>
      <c r="BU230" s="701">
        <f t="shared" si="252"/>
        <v>273.43270075855645</v>
      </c>
      <c r="BV230" s="701">
        <f t="shared" si="252"/>
        <v>281.73393637461379</v>
      </c>
      <c r="BW230" s="701">
        <f t="shared" si="252"/>
        <v>290.08441002087585</v>
      </c>
      <c r="BX230" s="701">
        <f t="shared" si="252"/>
        <v>298.3423902469691</v>
      </c>
      <c r="BY230" s="701">
        <f t="shared" si="252"/>
        <v>306.59485230611506</v>
      </c>
      <c r="BZ230" s="701">
        <f t="shared" si="252"/>
        <v>314.54552404265928</v>
      </c>
      <c r="CA230" s="701">
        <f t="shared" si="252"/>
        <v>322.47923669203198</v>
      </c>
      <c r="CB230" s="701">
        <f t="shared" si="252"/>
        <v>330.42728997050972</v>
      </c>
      <c r="CC230" s="701">
        <f t="shared" si="252"/>
        <v>338.38965318536481</v>
      </c>
      <c r="CD230" s="701">
        <f t="shared" si="252"/>
        <v>344.95703855220518</v>
      </c>
      <c r="CE230" s="701">
        <f t="shared" si="252"/>
        <v>351.40288494887341</v>
      </c>
      <c r="CF230" s="701">
        <f t="shared" si="252"/>
        <v>357.85658272738846</v>
      </c>
      <c r="CG230" s="701">
        <f t="shared" si="252"/>
        <v>364.31988866730535</v>
      </c>
      <c r="CH230" s="701">
        <f t="shared" si="252"/>
        <v>370.79240504595811</v>
      </c>
      <c r="CI230" s="701">
        <f t="shared" si="252"/>
        <v>377.26212308484423</v>
      </c>
      <c r="CJ230" s="701">
        <f t="shared" si="252"/>
        <v>383.72827866324332</v>
      </c>
      <c r="CK230" s="701">
        <f t="shared" si="252"/>
        <v>390.19161718859215</v>
      </c>
      <c r="CL230" s="701">
        <f>CL272+CL313</f>
        <v>396.71175323676243</v>
      </c>
      <c r="CM230" s="701">
        <f t="shared" si="251"/>
        <v>403.23496855195333</v>
      </c>
      <c r="CN230" s="701">
        <f t="shared" si="251"/>
        <v>409.75473590820138</v>
      </c>
      <c r="CO230" s="701">
        <f t="shared" si="251"/>
        <v>416.27164627584227</v>
      </c>
      <c r="CP230" s="701">
        <f t="shared" si="251"/>
        <v>421.9249828923181</v>
      </c>
      <c r="CQ230" s="701">
        <f t="shared" si="251"/>
        <v>427.49478437196603</v>
      </c>
      <c r="CR230" s="701">
        <f t="shared" si="251"/>
        <v>433.05916493552661</v>
      </c>
      <c r="CS230" s="701">
        <f t="shared" si="251"/>
        <v>438.6215669496155</v>
      </c>
      <c r="CT230" s="701">
        <f t="shared" si="251"/>
        <v>444.18210898280557</v>
      </c>
      <c r="CU230" s="701">
        <f t="shared" si="251"/>
        <v>449.74313440284925</v>
      </c>
      <c r="CV230" s="701">
        <f t="shared" si="251"/>
        <v>455.3047949970944</v>
      </c>
      <c r="CW230" s="701">
        <f t="shared" si="251"/>
        <v>460.86691366718685</v>
      </c>
      <c r="CX230" s="701">
        <f t="shared" si="251"/>
        <v>466.4658096987053</v>
      </c>
      <c r="CY230" s="701">
        <f t="shared" si="251"/>
        <v>472.06764980914511</v>
      </c>
      <c r="CZ230" s="701">
        <f t="shared" si="251"/>
        <v>477.66790660302325</v>
      </c>
      <c r="DA230" s="701">
        <f t="shared" si="251"/>
        <v>483.26656595343195</v>
      </c>
      <c r="DC230" s="11">
        <f>AG230</f>
        <v>47.470963006000005</v>
      </c>
      <c r="DD230" s="11">
        <f>AS230</f>
        <v>163.38113511931118</v>
      </c>
      <c r="DE230" s="11">
        <f>BE230</f>
        <v>216.97571889222064</v>
      </c>
      <c r="DF230" s="11">
        <f>BQ230</f>
        <v>240.8212321512564</v>
      </c>
      <c r="DG230" s="11">
        <f>CC230</f>
        <v>338.38965318536481</v>
      </c>
      <c r="DH230" s="11">
        <f>CO230</f>
        <v>416.27164627584227</v>
      </c>
      <c r="DI230" s="11">
        <f>DA230</f>
        <v>483.26656595343195</v>
      </c>
    </row>
    <row r="231" spans="2:119" outlineLevel="1">
      <c r="E231" s="698"/>
      <c r="F231" s="698" t="s">
        <v>215</v>
      </c>
      <c r="I231" s="609" t="s">
        <v>736</v>
      </c>
      <c r="Q231" s="12"/>
      <c r="R231" s="12"/>
      <c r="S231" s="12"/>
      <c r="T231" s="12"/>
      <c r="U231" s="12"/>
      <c r="V231" s="12"/>
      <c r="W231" s="12"/>
      <c r="X231" s="12"/>
      <c r="Y231" s="12"/>
      <c r="Z231" s="701">
        <f t="shared" si="252"/>
        <v>0.968118645</v>
      </c>
      <c r="AA231" s="701">
        <f t="shared" si="252"/>
        <v>2.2159060039999998</v>
      </c>
      <c r="AB231" s="701">
        <f t="shared" si="252"/>
        <v>2.8510673280000001</v>
      </c>
      <c r="AC231" s="701">
        <f t="shared" si="252"/>
        <v>2.6901916350000001</v>
      </c>
      <c r="AD231" s="701">
        <f t="shared" si="252"/>
        <v>2.7515260110000002</v>
      </c>
      <c r="AE231" s="701">
        <f t="shared" si="252"/>
        <v>3.7682060100000001</v>
      </c>
      <c r="AF231" s="701">
        <f t="shared" si="252"/>
        <v>3.9782329159999996</v>
      </c>
      <c r="AG231" s="701">
        <f t="shared" si="252"/>
        <v>4.2620249789999995</v>
      </c>
      <c r="AH231" s="701">
        <f t="shared" si="252"/>
        <v>4.8160401969999995</v>
      </c>
      <c r="AI231" s="701">
        <f t="shared" si="252"/>
        <v>4.8796215109999999</v>
      </c>
      <c r="AJ231" s="701">
        <f t="shared" si="252"/>
        <v>6.5179636090000006</v>
      </c>
      <c r="AK231" s="701">
        <f t="shared" si="252"/>
        <v>7.4086207989999995</v>
      </c>
      <c r="AL231" s="701">
        <f t="shared" si="252"/>
        <v>8.8596761290000003</v>
      </c>
      <c r="AM231" s="701">
        <f t="shared" si="252"/>
        <v>9.9780485419999998</v>
      </c>
      <c r="AN231" s="701">
        <f t="shared" si="252"/>
        <v>12.40008048</v>
      </c>
      <c r="AO231" s="701">
        <f t="shared" si="252"/>
        <v>13.476785095</v>
      </c>
      <c r="AP231" s="701">
        <f t="shared" si="252"/>
        <v>13.372358483999999</v>
      </c>
      <c r="AQ231" s="701">
        <f t="shared" si="252"/>
        <v>14.456749066066894</v>
      </c>
      <c r="AR231" s="701">
        <f t="shared" si="252"/>
        <v>14.980926754383484</v>
      </c>
      <c r="AS231" s="701">
        <f t="shared" si="252"/>
        <v>15.865526836177382</v>
      </c>
      <c r="AT231" s="701">
        <f t="shared" si="252"/>
        <v>16.676379660651399</v>
      </c>
      <c r="AU231" s="701">
        <f t="shared" si="252"/>
        <v>17.204841656655411</v>
      </c>
      <c r="AV231" s="701">
        <f t="shared" si="252"/>
        <v>17.898853530821711</v>
      </c>
      <c r="AW231" s="701">
        <f t="shared" si="252"/>
        <v>18.346539604515065</v>
      </c>
      <c r="AX231" s="701">
        <f t="shared" si="252"/>
        <v>18.802132939779955</v>
      </c>
      <c r="AY231" s="701">
        <f t="shared" si="252"/>
        <v>19.259966115038292</v>
      </c>
      <c r="AZ231" s="701">
        <f t="shared" si="252"/>
        <v>19.714453883630839</v>
      </c>
      <c r="BA231" s="701">
        <f t="shared" si="252"/>
        <v>20.166860387228983</v>
      </c>
      <c r="BB231" s="701">
        <f t="shared" si="252"/>
        <v>20.616351691447665</v>
      </c>
      <c r="BC231" s="701">
        <f t="shared" si="252"/>
        <v>21.08110842376697</v>
      </c>
      <c r="BD231" s="701">
        <f t="shared" si="252"/>
        <v>21.553839113101077</v>
      </c>
      <c r="BE231" s="701">
        <f t="shared" si="252"/>
        <v>22.005116785540419</v>
      </c>
      <c r="BF231" s="701">
        <f t="shared" si="252"/>
        <v>24.291391351898437</v>
      </c>
      <c r="BG231" s="701">
        <f t="shared" si="252"/>
        <v>24.714136073322329</v>
      </c>
      <c r="BH231" s="701">
        <f t="shared" si="252"/>
        <v>24.693482109701652</v>
      </c>
      <c r="BI231" s="701">
        <f t="shared" si="252"/>
        <v>24.642831517420259</v>
      </c>
      <c r="BJ231" s="701">
        <f t="shared" si="252"/>
        <v>24.600665747688144</v>
      </c>
      <c r="BK231" s="701">
        <f t="shared" si="252"/>
        <v>24.566244232104371</v>
      </c>
      <c r="BL231" s="701">
        <f t="shared" si="252"/>
        <v>24.535745379834999</v>
      </c>
      <c r="BM231" s="701">
        <f t="shared" si="252"/>
        <v>24.505929080525476</v>
      </c>
      <c r="BN231" s="701">
        <f t="shared" si="252"/>
        <v>24.490698592180852</v>
      </c>
      <c r="BO231" s="701">
        <f t="shared" si="252"/>
        <v>24.493976408203423</v>
      </c>
      <c r="BP231" s="701">
        <f t="shared" si="252"/>
        <v>24.512250402439307</v>
      </c>
      <c r="BQ231" s="701">
        <f t="shared" si="252"/>
        <v>24.534249299279534</v>
      </c>
      <c r="BR231" s="701">
        <f t="shared" si="252"/>
        <v>25.292209018970564</v>
      </c>
      <c r="BS231" s="701">
        <f t="shared" si="252"/>
        <v>26.187664735828619</v>
      </c>
      <c r="BT231" s="701">
        <f t="shared" si="252"/>
        <v>27.077260581915027</v>
      </c>
      <c r="BU231" s="701">
        <f t="shared" si="252"/>
        <v>27.949093884768686</v>
      </c>
      <c r="BV231" s="701">
        <f t="shared" si="252"/>
        <v>28.804755172461572</v>
      </c>
      <c r="BW231" s="701">
        <f t="shared" si="252"/>
        <v>29.643347986331467</v>
      </c>
      <c r="BX231" s="701">
        <f t="shared" si="252"/>
        <v>30.468418273958619</v>
      </c>
      <c r="BY231" s="701">
        <f t="shared" si="252"/>
        <v>31.280582111304302</v>
      </c>
      <c r="BZ231" s="701">
        <f t="shared" si="252"/>
        <v>32.087651246847777</v>
      </c>
      <c r="CA231" s="701">
        <f t="shared" si="252"/>
        <v>32.89289099598912</v>
      </c>
      <c r="CB231" s="701">
        <f t="shared" si="252"/>
        <v>33.701644539488179</v>
      </c>
      <c r="CC231" s="701">
        <f t="shared" si="252"/>
        <v>34.513603130786393</v>
      </c>
      <c r="CD231" s="701">
        <f t="shared" si="252"/>
        <v>35.189764851909644</v>
      </c>
      <c r="CE231" s="701">
        <f t="shared" si="252"/>
        <v>35.839620354659338</v>
      </c>
      <c r="CF231" s="701">
        <f t="shared" si="252"/>
        <v>36.491176817591182</v>
      </c>
      <c r="CG231" s="701">
        <f t="shared" si="252"/>
        <v>37.145893666468638</v>
      </c>
      <c r="CH231" s="701">
        <f t="shared" si="252"/>
        <v>37.803104947107705</v>
      </c>
      <c r="CI231" s="701">
        <f t="shared" si="252"/>
        <v>38.462423359075153</v>
      </c>
      <c r="CJ231" s="701">
        <f t="shared" si="252"/>
        <v>39.123703983928309</v>
      </c>
      <c r="CK231" s="701">
        <f t="shared" ref="CK231" si="253">CK273+CK314</f>
        <v>39.787012752805381</v>
      </c>
      <c r="CL231" s="701">
        <f>CL273+CL314</f>
        <v>40.451294752743891</v>
      </c>
      <c r="CM231" s="701">
        <f t="shared" si="251"/>
        <v>41.115938045025331</v>
      </c>
      <c r="CN231" s="701">
        <f t="shared" si="251"/>
        <v>41.779978517717524</v>
      </c>
      <c r="CO231" s="701">
        <f t="shared" si="251"/>
        <v>42.443498423183385</v>
      </c>
      <c r="CP231" s="701">
        <f t="shared" si="251"/>
        <v>43.021543769083578</v>
      </c>
      <c r="CQ231" s="701">
        <f t="shared" si="251"/>
        <v>43.583044542069487</v>
      </c>
      <c r="CR231" s="701">
        <f t="shared" si="251"/>
        <v>44.145101953576663</v>
      </c>
      <c r="CS231" s="701">
        <f t="shared" si="251"/>
        <v>44.708906697701785</v>
      </c>
      <c r="CT231" s="701">
        <f t="shared" si="251"/>
        <v>45.27443875740164</v>
      </c>
      <c r="CU231" s="701">
        <f t="shared" si="251"/>
        <v>45.841613805659776</v>
      </c>
      <c r="CV231" s="701">
        <f t="shared" si="251"/>
        <v>46.410376407922357</v>
      </c>
      <c r="CW231" s="701">
        <f t="shared" si="251"/>
        <v>46.98063802626762</v>
      </c>
      <c r="CX231" s="701">
        <f t="shared" si="251"/>
        <v>47.551631531315081</v>
      </c>
      <c r="CY231" s="701">
        <f t="shared" si="251"/>
        <v>48.122850302002689</v>
      </c>
      <c r="CZ231" s="701">
        <f t="shared" si="251"/>
        <v>48.693668263720369</v>
      </c>
      <c r="DA231" s="701">
        <f t="shared" si="251"/>
        <v>49.264118559524775</v>
      </c>
      <c r="DC231" s="12">
        <f t="shared" ref="DC231:DC260" si="254">SUM(V231:AG231)</f>
        <v>23.485273528</v>
      </c>
      <c r="DD231" s="12">
        <f t="shared" ref="DD231:DD254" si="255">SUM(AH231:AS231)</f>
        <v>127.01239750262776</v>
      </c>
      <c r="DE231" s="12">
        <f t="shared" ref="DE231:DE254" si="256">SUM(AT231:BE231)</f>
        <v>233.32644379217783</v>
      </c>
      <c r="DF231" s="12">
        <f>SUM(BF231:BQ231)</f>
        <v>294.58160019459876</v>
      </c>
      <c r="DG231" s="12">
        <f>SUM(BR231:CC231)</f>
        <v>359.89912167865043</v>
      </c>
      <c r="DH231" s="12">
        <f t="shared" ref="DH231:DH260" si="257">SUM(CD231:CO231)</f>
        <v>465.63341047221542</v>
      </c>
      <c r="DI231" s="12">
        <f>SUM(CP231:DA231)</f>
        <v>553.59793261624577</v>
      </c>
    </row>
    <row r="232" spans="2:119" outlineLevel="1">
      <c r="E232" s="698"/>
      <c r="F232" s="698" t="s">
        <v>99</v>
      </c>
      <c r="I232" s="609" t="s">
        <v>736</v>
      </c>
      <c r="Q232" s="12"/>
      <c r="R232" s="12"/>
      <c r="S232" s="12"/>
      <c r="T232" s="12"/>
      <c r="U232" s="12"/>
      <c r="V232" s="12"/>
      <c r="W232" s="12"/>
      <c r="X232" s="12"/>
      <c r="Y232" s="12"/>
      <c r="Z232" s="701">
        <f t="shared" ref="Z232:CK236" si="258">Z274+Z315</f>
        <v>-1.7390045E-2</v>
      </c>
      <c r="AA232" s="701">
        <f t="shared" si="258"/>
        <v>-9.0590026000000004E-2</v>
      </c>
      <c r="AB232" s="701">
        <f t="shared" si="258"/>
        <v>-0.155919592</v>
      </c>
      <c r="AC232" s="701">
        <f t="shared" si="258"/>
        <v>-0.167488519904292</v>
      </c>
      <c r="AD232" s="701">
        <f t="shared" si="258"/>
        <v>-0.153780208</v>
      </c>
      <c r="AE232" s="701">
        <f t="shared" si="258"/>
        <v>-0.19723174299999999</v>
      </c>
      <c r="AF232" s="701">
        <f t="shared" si="258"/>
        <v>-0.20266520900000001</v>
      </c>
      <c r="AG232" s="701">
        <f t="shared" si="258"/>
        <v>-0.2329737536032</v>
      </c>
      <c r="AH232" s="701">
        <f t="shared" si="258"/>
        <v>-0.246147858</v>
      </c>
      <c r="AI232" s="701">
        <f t="shared" si="258"/>
        <v>-0.25938705643799503</v>
      </c>
      <c r="AJ232" s="701">
        <f t="shared" si="258"/>
        <v>-0.28109706500000003</v>
      </c>
      <c r="AK232" s="701">
        <f t="shared" si="258"/>
        <v>-0.30721334</v>
      </c>
      <c r="AL232" s="701">
        <f t="shared" si="258"/>
        <v>-0.38316072600000001</v>
      </c>
      <c r="AM232" s="701">
        <f t="shared" si="258"/>
        <v>-0.43385794699999997</v>
      </c>
      <c r="AN232" s="701">
        <f t="shared" si="258"/>
        <v>-0.53723725199999994</v>
      </c>
      <c r="AO232" s="701">
        <f t="shared" si="258"/>
        <v>-0.58240060299999996</v>
      </c>
      <c r="AP232" s="701">
        <f t="shared" si="258"/>
        <v>-0.54258899199999999</v>
      </c>
      <c r="AQ232" s="701">
        <f t="shared" si="258"/>
        <v>-0.60307943199999992</v>
      </c>
      <c r="AR232" s="701">
        <f t="shared" si="258"/>
        <v>-0.63926095981834441</v>
      </c>
      <c r="AS232" s="701">
        <f t="shared" si="258"/>
        <v>-0.66107571009190924</v>
      </c>
      <c r="AT232" s="701">
        <f t="shared" si="258"/>
        <v>-0.66437114736769665</v>
      </c>
      <c r="AU232" s="701">
        <f t="shared" si="258"/>
        <v>-0.67788445023665223</v>
      </c>
      <c r="AV232" s="701">
        <f t="shared" si="258"/>
        <v>-0.72512881589139988</v>
      </c>
      <c r="AW232" s="701">
        <f t="shared" si="258"/>
        <v>-0.74426512938039302</v>
      </c>
      <c r="AX232" s="701">
        <f t="shared" si="258"/>
        <v>-0.76329212238454502</v>
      </c>
      <c r="AY232" s="701">
        <f t="shared" si="258"/>
        <v>-0.7827793259522815</v>
      </c>
      <c r="AZ232" s="701">
        <f t="shared" si="258"/>
        <v>-0.80333576607610901</v>
      </c>
      <c r="BA232" s="701">
        <f t="shared" si="258"/>
        <v>-0.82330887702870803</v>
      </c>
      <c r="BB232" s="701">
        <f t="shared" si="258"/>
        <v>-0.84256587983754261</v>
      </c>
      <c r="BC232" s="701">
        <f t="shared" si="258"/>
        <v>-0.86087975503221026</v>
      </c>
      <c r="BD232" s="701">
        <f t="shared" si="258"/>
        <v>-0.8791658091854444</v>
      </c>
      <c r="BE232" s="701">
        <f t="shared" si="258"/>
        <v>-0.89649113597272034</v>
      </c>
      <c r="BF232" s="701">
        <f t="shared" si="258"/>
        <v>-0.95172277718869702</v>
      </c>
      <c r="BG232" s="701">
        <f t="shared" si="258"/>
        <v>-1.0035839767144805</v>
      </c>
      <c r="BH232" s="701">
        <f t="shared" si="258"/>
        <v>-1.0077011242171612</v>
      </c>
      <c r="BI232" s="701">
        <f t="shared" si="258"/>
        <v>-1.0073744448748181</v>
      </c>
      <c r="BJ232" s="701">
        <f t="shared" si="258"/>
        <v>-1.0068818862090527</v>
      </c>
      <c r="BK232" s="701">
        <f t="shared" si="258"/>
        <v>-1.0064796207228133</v>
      </c>
      <c r="BL232" s="701">
        <f t="shared" si="258"/>
        <v>-1.0069457876837147</v>
      </c>
      <c r="BM232" s="701">
        <f t="shared" si="258"/>
        <v>-1.0073610373038091</v>
      </c>
      <c r="BN232" s="701">
        <f t="shared" si="258"/>
        <v>-1.0052134212369062</v>
      </c>
      <c r="BO232" s="701">
        <f t="shared" si="258"/>
        <v>-1.0031508042261457</v>
      </c>
      <c r="BP232" s="701">
        <f t="shared" si="258"/>
        <v>-1.0031343448547774</v>
      </c>
      <c r="BQ232" s="701">
        <f t="shared" si="258"/>
        <v>-1.0033276101712336</v>
      </c>
      <c r="BR232" s="701">
        <f t="shared" si="258"/>
        <v>-1.0193695210073448</v>
      </c>
      <c r="BS232" s="701">
        <f t="shared" si="258"/>
        <v>-1.0525468283290225</v>
      </c>
      <c r="BT232" s="701">
        <f t="shared" si="258"/>
        <v>-1.0870467495386038</v>
      </c>
      <c r="BU232" s="701">
        <f t="shared" si="258"/>
        <v>-1.121810001815468</v>
      </c>
      <c r="BV232" s="701">
        <f t="shared" si="258"/>
        <v>-1.1565971606941048</v>
      </c>
      <c r="BW232" s="701">
        <f t="shared" si="258"/>
        <v>-1.19128822165727</v>
      </c>
      <c r="BX232" s="701">
        <f t="shared" si="258"/>
        <v>-1.225889167224677</v>
      </c>
      <c r="BY232" s="701">
        <f t="shared" si="258"/>
        <v>-1.260285921985592</v>
      </c>
      <c r="BZ232" s="701">
        <f t="shared" si="258"/>
        <v>-1.2940424507266135</v>
      </c>
      <c r="CA232" s="701">
        <f t="shared" si="258"/>
        <v>-1.3271349181972736</v>
      </c>
      <c r="CB232" s="701">
        <f t="shared" si="258"/>
        <v>-1.3602219305469621</v>
      </c>
      <c r="CC232" s="701">
        <f t="shared" si="258"/>
        <v>-1.3933686315747387</v>
      </c>
      <c r="CD232" s="701">
        <f t="shared" si="258"/>
        <v>-1.4236389411199375</v>
      </c>
      <c r="CE232" s="701">
        <f t="shared" si="258"/>
        <v>-1.450749840627247</v>
      </c>
      <c r="CF232" s="701">
        <f t="shared" si="258"/>
        <v>-1.4776238909922124</v>
      </c>
      <c r="CG232" s="701">
        <f t="shared" si="258"/>
        <v>-1.5045343154056121</v>
      </c>
      <c r="CH232" s="701">
        <f t="shared" si="258"/>
        <v>-1.5314839452359654</v>
      </c>
      <c r="CI232" s="701">
        <f t="shared" si="258"/>
        <v>-1.5584469336058382</v>
      </c>
      <c r="CJ232" s="701">
        <f t="shared" si="258"/>
        <v>-1.5853966703085158</v>
      </c>
      <c r="CK232" s="701">
        <f t="shared" si="258"/>
        <v>-1.6123331163579908</v>
      </c>
      <c r="CL232" s="701">
        <f>CL274+CL315</f>
        <v>-1.6393820217194888</v>
      </c>
      <c r="CM232" s="701">
        <f t="shared" si="251"/>
        <v>-1.6665556703931579</v>
      </c>
      <c r="CN232" s="701">
        <f t="shared" si="251"/>
        <v>-1.6937285509586557</v>
      </c>
      <c r="CO232" s="701">
        <f t="shared" si="251"/>
        <v>-1.7208882962167575</v>
      </c>
      <c r="CP232" s="701">
        <f t="shared" si="251"/>
        <v>-1.7462429774336674</v>
      </c>
      <c r="CQ232" s="701">
        <f t="shared" si="251"/>
        <v>-1.7696245151339254</v>
      </c>
      <c r="CR232" s="701">
        <f t="shared" si="251"/>
        <v>-1.7928207277239427</v>
      </c>
      <c r="CS232" s="701">
        <f t="shared" si="251"/>
        <v>-1.8160015247607129</v>
      </c>
      <c r="CT232" s="701">
        <f t="shared" si="251"/>
        <v>-1.8391743248592107</v>
      </c>
      <c r="CU232" s="701">
        <f t="shared" si="251"/>
        <v>-1.8623442570534479</v>
      </c>
      <c r="CV232" s="701">
        <f t="shared" si="251"/>
        <v>-1.885516519583216</v>
      </c>
      <c r="CW232" s="701">
        <f t="shared" si="251"/>
        <v>-1.9086910597172528</v>
      </c>
      <c r="CX232" s="701">
        <f t="shared" si="251"/>
        <v>-1.9319431736789423</v>
      </c>
      <c r="CY232" s="701">
        <f t="shared" si="251"/>
        <v>-1.9552780406413552</v>
      </c>
      <c r="CZ232" s="701">
        <f t="shared" si="251"/>
        <v>-1.9786157425253512</v>
      </c>
      <c r="DA232" s="701">
        <f t="shared" si="251"/>
        <v>-2.0019468178259485</v>
      </c>
      <c r="DC232" s="12">
        <f t="shared" si="254"/>
        <v>-1.2180390965074921</v>
      </c>
      <c r="DD232" s="12">
        <f t="shared" si="255"/>
        <v>-5.4765069413482479</v>
      </c>
      <c r="DE232" s="12">
        <f t="shared" si="256"/>
        <v>-9.4634682143457027</v>
      </c>
      <c r="DF232" s="12">
        <f t="shared" ref="DF232:DF260" si="259">SUM(BF232:BQ232)</f>
        <v>-12.012876835403608</v>
      </c>
      <c r="DG232" s="12">
        <f t="shared" ref="DG232:DG260" si="260">SUM(BR232:CC232)</f>
        <v>-14.489601503297669</v>
      </c>
      <c r="DH232" s="12">
        <f t="shared" si="257"/>
        <v>-18.864762192941381</v>
      </c>
      <c r="DI232" s="12">
        <f t="shared" ref="DI232:DI260" si="261">SUM(CP232:DA232)</f>
        <v>-22.48819968093698</v>
      </c>
    </row>
    <row r="233" spans="2:119" s="698" customFormat="1" outlineLevel="1">
      <c r="B233" s="126"/>
      <c r="E233" s="698" t="s">
        <v>217</v>
      </c>
      <c r="H233" s="703"/>
      <c r="I233" s="609" t="s">
        <v>736</v>
      </c>
      <c r="J233" s="870">
        <f t="shared" ref="J233:T233" si="262">J234+J237</f>
        <v>0</v>
      </c>
      <c r="K233" s="870">
        <f t="shared" si="262"/>
        <v>0</v>
      </c>
      <c r="L233" s="870">
        <f t="shared" si="262"/>
        <v>0</v>
      </c>
      <c r="M233" s="870">
        <f t="shared" si="262"/>
        <v>0</v>
      </c>
      <c r="N233" s="870">
        <f t="shared" si="262"/>
        <v>0</v>
      </c>
      <c r="O233" s="870">
        <f t="shared" si="262"/>
        <v>0</v>
      </c>
      <c r="P233" s="870">
        <f t="shared" si="262"/>
        <v>0</v>
      </c>
      <c r="Q233" s="870">
        <f t="shared" si="262"/>
        <v>0</v>
      </c>
      <c r="R233" s="870">
        <f t="shared" si="262"/>
        <v>1.4963222222222222E-4</v>
      </c>
      <c r="S233" s="870">
        <f t="shared" si="262"/>
        <v>6.305944444444443E-4</v>
      </c>
      <c r="T233" s="870">
        <f t="shared" si="262"/>
        <v>4.5431801079555553E-4</v>
      </c>
      <c r="U233" s="870">
        <f>U234+U237</f>
        <v>-7.8905999999999996E-10</v>
      </c>
      <c r="V233" s="701"/>
      <c r="W233" s="701"/>
      <c r="X233" s="701"/>
      <c r="Y233" s="701"/>
      <c r="Z233" s="701">
        <f t="shared" si="258"/>
        <v>0.95072860000000003</v>
      </c>
      <c r="AA233" s="701">
        <f t="shared" si="258"/>
        <v>2.1253159780000002</v>
      </c>
      <c r="AB233" s="701">
        <f t="shared" si="258"/>
        <v>2.695147736</v>
      </c>
      <c r="AC233" s="701">
        <f t="shared" si="258"/>
        <v>2.522703115095708</v>
      </c>
      <c r="AD233" s="701">
        <f t="shared" si="258"/>
        <v>2.597745803</v>
      </c>
      <c r="AE233" s="701">
        <f t="shared" si="258"/>
        <v>3.5709742670000004</v>
      </c>
      <c r="AF233" s="701">
        <f t="shared" si="258"/>
        <v>3.7755677069999996</v>
      </c>
      <c r="AG233" s="701">
        <f t="shared" si="258"/>
        <v>4.0290512253967998</v>
      </c>
      <c r="AH233" s="701">
        <f t="shared" si="258"/>
        <v>4.5698923389999999</v>
      </c>
      <c r="AI233" s="701">
        <f t="shared" si="258"/>
        <v>4.6202344545620049</v>
      </c>
      <c r="AJ233" s="701">
        <f t="shared" si="258"/>
        <v>6.2368665439999997</v>
      </c>
      <c r="AK233" s="701">
        <f t="shared" si="258"/>
        <v>7.1014074589999998</v>
      </c>
      <c r="AL233" s="701">
        <f t="shared" si="258"/>
        <v>8.4765154030000005</v>
      </c>
      <c r="AM233" s="701">
        <f t="shared" si="258"/>
        <v>9.5441905949999999</v>
      </c>
      <c r="AN233" s="701">
        <f t="shared" si="258"/>
        <v>11.862843228000001</v>
      </c>
      <c r="AO233" s="701">
        <f t="shared" si="258"/>
        <v>12.894384492</v>
      </c>
      <c r="AP233" s="701">
        <f t="shared" si="258"/>
        <v>12.829769492</v>
      </c>
      <c r="AQ233" s="701">
        <f t="shared" si="258"/>
        <v>13.853669634066895</v>
      </c>
      <c r="AR233" s="701">
        <f t="shared" si="258"/>
        <v>14.34166579456514</v>
      </c>
      <c r="AS233" s="701">
        <f t="shared" si="258"/>
        <v>15.204451126085473</v>
      </c>
      <c r="AT233" s="715">
        <f t="shared" si="258"/>
        <v>16.0120085132837</v>
      </c>
      <c r="AU233" s="715">
        <f t="shared" si="258"/>
        <v>16.526957206418761</v>
      </c>
      <c r="AV233" s="715">
        <f t="shared" si="258"/>
        <v>17.173724714930312</v>
      </c>
      <c r="AW233" s="715">
        <f t="shared" si="258"/>
        <v>17.602274475134671</v>
      </c>
      <c r="AX233" s="715">
        <f t="shared" si="258"/>
        <v>18.03884081739541</v>
      </c>
      <c r="AY233" s="715">
        <f t="shared" si="258"/>
        <v>18.477186789086012</v>
      </c>
      <c r="AZ233" s="715">
        <f t="shared" si="258"/>
        <v>18.911118117554729</v>
      </c>
      <c r="BA233" s="715">
        <f t="shared" si="258"/>
        <v>19.343551510200278</v>
      </c>
      <c r="BB233" s="715">
        <f t="shared" si="258"/>
        <v>19.773785811610121</v>
      </c>
      <c r="BC233" s="715">
        <f t="shared" si="258"/>
        <v>20.220228668734759</v>
      </c>
      <c r="BD233" s="715">
        <f t="shared" si="258"/>
        <v>20.674673303915633</v>
      </c>
      <c r="BE233" s="715">
        <f t="shared" si="258"/>
        <v>21.108625649567703</v>
      </c>
      <c r="BF233" s="701">
        <f t="shared" si="258"/>
        <v>23.339668574709737</v>
      </c>
      <c r="BG233" s="701">
        <f t="shared" si="258"/>
        <v>23.710552096607849</v>
      </c>
      <c r="BH233" s="701">
        <f t="shared" si="258"/>
        <v>23.685780985484492</v>
      </c>
      <c r="BI233" s="701">
        <f t="shared" si="258"/>
        <v>23.635457072545442</v>
      </c>
      <c r="BJ233" s="701">
        <f t="shared" si="258"/>
        <v>23.593783861479089</v>
      </c>
      <c r="BK233" s="701">
        <f t="shared" si="258"/>
        <v>23.559764611381556</v>
      </c>
      <c r="BL233" s="701">
        <f t="shared" si="258"/>
        <v>23.528799592151284</v>
      </c>
      <c r="BM233" s="701">
        <f t="shared" si="258"/>
        <v>23.498568043221667</v>
      </c>
      <c r="BN233" s="701">
        <f t="shared" si="258"/>
        <v>23.485485170943949</v>
      </c>
      <c r="BO233" s="701">
        <f t="shared" si="258"/>
        <v>23.490825603977278</v>
      </c>
      <c r="BP233" s="701">
        <f t="shared" si="258"/>
        <v>23.509116057584528</v>
      </c>
      <c r="BQ233" s="701">
        <f t="shared" si="258"/>
        <v>23.530921689108297</v>
      </c>
      <c r="BR233" s="701">
        <f t="shared" si="258"/>
        <v>24.272839497963218</v>
      </c>
      <c r="BS233" s="701">
        <f t="shared" si="258"/>
        <v>25.135117907499595</v>
      </c>
      <c r="BT233" s="701">
        <f t="shared" si="258"/>
        <v>25.990213832376426</v>
      </c>
      <c r="BU233" s="701">
        <f t="shared" si="258"/>
        <v>26.827283882953221</v>
      </c>
      <c r="BV233" s="701">
        <f t="shared" si="258"/>
        <v>27.648158011767467</v>
      </c>
      <c r="BW233" s="701">
        <f t="shared" si="258"/>
        <v>28.452059764674196</v>
      </c>
      <c r="BX233" s="701">
        <f t="shared" si="258"/>
        <v>29.24252910673394</v>
      </c>
      <c r="BY233" s="701">
        <f t="shared" si="258"/>
        <v>30.020296189318707</v>
      </c>
      <c r="BZ233" s="701">
        <f t="shared" si="258"/>
        <v>30.793608796121163</v>
      </c>
      <c r="CA233" s="701">
        <f t="shared" si="258"/>
        <v>31.565756077791846</v>
      </c>
      <c r="CB233" s="701">
        <f t="shared" si="258"/>
        <v>32.341422608941215</v>
      </c>
      <c r="CC233" s="701">
        <f t="shared" si="258"/>
        <v>33.120234499211655</v>
      </c>
      <c r="CD233" s="701">
        <f t="shared" si="258"/>
        <v>33.766125910789711</v>
      </c>
      <c r="CE233" s="701">
        <f t="shared" si="258"/>
        <v>34.388870514032092</v>
      </c>
      <c r="CF233" s="701">
        <f t="shared" si="258"/>
        <v>35.013552926598976</v>
      </c>
      <c r="CG233" s="701">
        <f t="shared" si="258"/>
        <v>35.641359351063024</v>
      </c>
      <c r="CH233" s="701">
        <f t="shared" si="258"/>
        <v>36.271621001871736</v>
      </c>
      <c r="CI233" s="701">
        <f t="shared" si="258"/>
        <v>36.903976425469317</v>
      </c>
      <c r="CJ233" s="701">
        <f t="shared" si="258"/>
        <v>37.538307313619796</v>
      </c>
      <c r="CK233" s="701">
        <f t="shared" si="258"/>
        <v>38.174679636447394</v>
      </c>
      <c r="CL233" s="701">
        <f t="shared" ref="CL233:DA239" si="263">CL275+CL316</f>
        <v>38.8119127310244</v>
      </c>
      <c r="CM233" s="701">
        <f t="shared" si="263"/>
        <v>39.449382374632172</v>
      </c>
      <c r="CN233" s="701">
        <f t="shared" si="263"/>
        <v>40.086249966758864</v>
      </c>
      <c r="CO233" s="701">
        <f t="shared" si="263"/>
        <v>40.722610126966629</v>
      </c>
      <c r="CP233" s="701">
        <f t="shared" si="263"/>
        <v>41.275300791649904</v>
      </c>
      <c r="CQ233" s="701">
        <f t="shared" si="263"/>
        <v>41.81342002693556</v>
      </c>
      <c r="CR233" s="701">
        <f t="shared" si="263"/>
        <v>42.352281225852721</v>
      </c>
      <c r="CS233" s="701">
        <f t="shared" si="251"/>
        <v>42.89290517294107</v>
      </c>
      <c r="CT233" s="701">
        <f t="shared" si="251"/>
        <v>43.435264432542418</v>
      </c>
      <c r="CU233" s="701">
        <f t="shared" si="251"/>
        <v>43.979269548606325</v>
      </c>
      <c r="CV233" s="701">
        <f t="shared" si="251"/>
        <v>44.524859888339137</v>
      </c>
      <c r="CW233" s="701">
        <f t="shared" si="251"/>
        <v>45.071946966550371</v>
      </c>
      <c r="CX233" s="701">
        <f t="shared" si="251"/>
        <v>45.619688357636143</v>
      </c>
      <c r="CY233" s="701">
        <f t="shared" si="251"/>
        <v>46.167572261361336</v>
      </c>
      <c r="CZ233" s="701">
        <f t="shared" si="251"/>
        <v>46.715052521195013</v>
      </c>
      <c r="DA233" s="701">
        <f t="shared" si="251"/>
        <v>47.262171741698822</v>
      </c>
      <c r="DC233" s="14">
        <f t="shared" si="254"/>
        <v>22.267234431492508</v>
      </c>
      <c r="DD233" s="14">
        <f t="shared" si="255"/>
        <v>121.53589056127952</v>
      </c>
      <c r="DE233" s="14">
        <f t="shared" si="256"/>
        <v>223.86297557783209</v>
      </c>
      <c r="DF233" s="14">
        <f t="shared" si="259"/>
        <v>282.56872335919519</v>
      </c>
      <c r="DG233" s="14">
        <f t="shared" si="260"/>
        <v>345.40952017535272</v>
      </c>
      <c r="DH233" s="14">
        <f t="shared" si="257"/>
        <v>446.76864827927415</v>
      </c>
      <c r="DI233" s="14">
        <f t="shared" si="261"/>
        <v>531.1097329353089</v>
      </c>
      <c r="DK233" s="13"/>
      <c r="DL233" s="13"/>
      <c r="DM233" s="13"/>
      <c r="DN233" s="13"/>
      <c r="DO233" s="13"/>
    </row>
    <row r="234" spans="2:119" s="698" customFormat="1" outlineLevel="1">
      <c r="B234" s="126"/>
      <c r="E234" s="14" t="s">
        <v>218</v>
      </c>
      <c r="F234" s="14"/>
      <c r="H234" s="703"/>
      <c r="I234" s="609" t="s">
        <v>736</v>
      </c>
      <c r="J234" s="14">
        <f t="shared" ref="J234:T234" si="264">SUM(J235:J236)</f>
        <v>0</v>
      </c>
      <c r="K234" s="14">
        <f t="shared" si="264"/>
        <v>0</v>
      </c>
      <c r="L234" s="14">
        <f t="shared" si="264"/>
        <v>0</v>
      </c>
      <c r="M234" s="14">
        <f t="shared" si="264"/>
        <v>0</v>
      </c>
      <c r="N234" s="14">
        <f t="shared" si="264"/>
        <v>0</v>
      </c>
      <c r="O234" s="14">
        <f t="shared" si="264"/>
        <v>0</v>
      </c>
      <c r="P234" s="14">
        <f t="shared" si="264"/>
        <v>0</v>
      </c>
      <c r="Q234" s="14">
        <f t="shared" si="264"/>
        <v>0</v>
      </c>
      <c r="R234" s="14">
        <f t="shared" si="264"/>
        <v>1.4963222222222222E-4</v>
      </c>
      <c r="S234" s="14">
        <f t="shared" si="264"/>
        <v>6.305944444444443E-4</v>
      </c>
      <c r="T234" s="14">
        <f t="shared" si="264"/>
        <v>4.5431801079555553E-4</v>
      </c>
      <c r="U234" s="14">
        <f>SUM(U235:U236)</f>
        <v>-7.8905999999999996E-10</v>
      </c>
      <c r="V234" s="14"/>
      <c r="W234" s="14"/>
      <c r="X234" s="14"/>
      <c r="Y234" s="14"/>
      <c r="Z234" s="701">
        <f t="shared" ref="Z234:AF234" si="265">Z276+Z316</f>
        <v>0.1663926</v>
      </c>
      <c r="AA234" s="701">
        <f t="shared" si="265"/>
        <v>0.58713415899999999</v>
      </c>
      <c r="AB234" s="701">
        <f t="shared" si="265"/>
        <v>0.89792315699999992</v>
      </c>
      <c r="AC234" s="701">
        <f t="shared" si="265"/>
        <v>0.86661931709570805</v>
      </c>
      <c r="AD234" s="701">
        <f t="shared" si="265"/>
        <v>0.86213545899999999</v>
      </c>
      <c r="AE234" s="701">
        <f t="shared" si="265"/>
        <v>1.186721863</v>
      </c>
      <c r="AF234" s="701">
        <f t="shared" si="265"/>
        <v>1.1919824539999999</v>
      </c>
      <c r="AG234" s="701">
        <f t="shared" si="258"/>
        <v>1.3907957543968001</v>
      </c>
      <c r="AH234" s="701">
        <f t="shared" si="258"/>
        <v>1.532902153</v>
      </c>
      <c r="AI234" s="701">
        <f t="shared" si="258"/>
        <v>1.6033202895620051</v>
      </c>
      <c r="AJ234" s="701">
        <f t="shared" si="258"/>
        <v>2.1088155</v>
      </c>
      <c r="AK234" s="701">
        <f t="shared" si="258"/>
        <v>2.4331187549999997</v>
      </c>
      <c r="AL234" s="701">
        <f t="shared" si="258"/>
        <v>3.0123105110000004</v>
      </c>
      <c r="AM234" s="701">
        <f t="shared" si="258"/>
        <v>3.1193053760000002</v>
      </c>
      <c r="AN234" s="701">
        <f t="shared" si="258"/>
        <v>4.0114291940000006</v>
      </c>
      <c r="AO234" s="701">
        <f t="shared" si="258"/>
        <v>4.3736562829999999</v>
      </c>
      <c r="AP234" s="701">
        <f t="shared" si="258"/>
        <v>4.5198020410000002</v>
      </c>
      <c r="AQ234" s="701">
        <f t="shared" si="258"/>
        <v>4.7719636340668945</v>
      </c>
      <c r="AR234" s="701">
        <f t="shared" si="258"/>
        <v>4.7536657945651406</v>
      </c>
      <c r="AS234" s="701">
        <f t="shared" si="258"/>
        <v>4.9364511260854744</v>
      </c>
      <c r="AT234" s="715">
        <f t="shared" si="258"/>
        <v>5.4453751799503678</v>
      </c>
      <c r="AU234" s="715">
        <f t="shared" si="258"/>
        <v>5.6616905397520956</v>
      </c>
      <c r="AV234" s="715">
        <f t="shared" si="258"/>
        <v>6.0098247149303132</v>
      </c>
      <c r="AW234" s="715">
        <f t="shared" si="258"/>
        <v>6.1397411418013412</v>
      </c>
      <c r="AX234" s="715">
        <f t="shared" si="258"/>
        <v>6.2776741507287444</v>
      </c>
      <c r="AY234" s="715">
        <f t="shared" si="258"/>
        <v>6.4173867890860175</v>
      </c>
      <c r="AZ234" s="715">
        <f t="shared" si="258"/>
        <v>6.5526847842214018</v>
      </c>
      <c r="BA234" s="715">
        <f t="shared" si="258"/>
        <v>6.6864848435336146</v>
      </c>
      <c r="BB234" s="715">
        <f t="shared" si="258"/>
        <v>6.8180858116101302</v>
      </c>
      <c r="BC234" s="715">
        <f t="shared" si="258"/>
        <v>6.9658953354014326</v>
      </c>
      <c r="BD234" s="715">
        <f t="shared" si="258"/>
        <v>7.1217066372489741</v>
      </c>
      <c r="BE234" s="715">
        <f t="shared" si="258"/>
        <v>7.2570256495677015</v>
      </c>
      <c r="BF234" s="701">
        <f t="shared" si="258"/>
        <v>7.9490019080430692</v>
      </c>
      <c r="BG234" s="701">
        <f t="shared" si="258"/>
        <v>8.3198854299411771</v>
      </c>
      <c r="BH234" s="701">
        <f t="shared" si="258"/>
        <v>8.2951143188178236</v>
      </c>
      <c r="BI234" s="701">
        <f t="shared" si="258"/>
        <v>8.2447904058787724</v>
      </c>
      <c r="BJ234" s="701">
        <f t="shared" si="258"/>
        <v>8.2031171948124211</v>
      </c>
      <c r="BK234" s="701">
        <f t="shared" si="258"/>
        <v>8.1690979447148848</v>
      </c>
      <c r="BL234" s="701">
        <f t="shared" si="258"/>
        <v>8.1381329254846175</v>
      </c>
      <c r="BM234" s="701">
        <f t="shared" si="258"/>
        <v>8.107901376554997</v>
      </c>
      <c r="BN234" s="701">
        <f t="shared" si="258"/>
        <v>8.0948185042772796</v>
      </c>
      <c r="BO234" s="701">
        <f t="shared" si="258"/>
        <v>8.1001589373106064</v>
      </c>
      <c r="BP234" s="701">
        <f t="shared" si="258"/>
        <v>8.1184493909178599</v>
      </c>
      <c r="BQ234" s="701">
        <f t="shared" si="258"/>
        <v>8.1402550224416288</v>
      </c>
      <c r="BR234" s="701">
        <f t="shared" si="258"/>
        <v>8.3706617201854421</v>
      </c>
      <c r="BS234" s="701">
        <f t="shared" si="258"/>
        <v>8.7214290186107082</v>
      </c>
      <c r="BT234" s="701">
        <f t="shared" si="258"/>
        <v>9.065013832376426</v>
      </c>
      <c r="BU234" s="701">
        <f t="shared" si="258"/>
        <v>9.3905727718421126</v>
      </c>
      <c r="BV234" s="701">
        <f t="shared" si="258"/>
        <v>9.6999357895452487</v>
      </c>
      <c r="BW234" s="701">
        <f t="shared" si="258"/>
        <v>9.9923264313408673</v>
      </c>
      <c r="BX234" s="701">
        <f t="shared" si="258"/>
        <v>10.271284662289501</v>
      </c>
      <c r="BY234" s="701">
        <f t="shared" si="258"/>
        <v>10.537540633763159</v>
      </c>
      <c r="BZ234" s="701">
        <f t="shared" si="258"/>
        <v>10.799342129454502</v>
      </c>
      <c r="CA234" s="701">
        <f t="shared" si="258"/>
        <v>11.059978300014073</v>
      </c>
      <c r="CB234" s="701">
        <f t="shared" si="258"/>
        <v>11.324133720052334</v>
      </c>
      <c r="CC234" s="701">
        <f t="shared" si="258"/>
        <v>11.591434499211655</v>
      </c>
      <c r="CD234" s="701">
        <f t="shared" si="258"/>
        <v>11.821845910789712</v>
      </c>
      <c r="CE234" s="701">
        <f t="shared" si="258"/>
        <v>12.029110514032094</v>
      </c>
      <c r="CF234" s="701">
        <f t="shared" si="258"/>
        <v>12.238312926598979</v>
      </c>
      <c r="CG234" s="701">
        <f t="shared" si="258"/>
        <v>12.450639351063025</v>
      </c>
      <c r="CH234" s="701">
        <f t="shared" si="258"/>
        <v>12.665421001871746</v>
      </c>
      <c r="CI234" s="701">
        <f t="shared" si="258"/>
        <v>12.882296425469324</v>
      </c>
      <c r="CJ234" s="701">
        <f t="shared" si="258"/>
        <v>13.101147313619798</v>
      </c>
      <c r="CK234" s="701">
        <f t="shared" si="258"/>
        <v>13.322039636447393</v>
      </c>
      <c r="CL234" s="701">
        <f t="shared" si="263"/>
        <v>13.543792731024411</v>
      </c>
      <c r="CM234" s="701">
        <f t="shared" si="263"/>
        <v>13.765782374632183</v>
      </c>
      <c r="CN234" s="701">
        <f t="shared" si="263"/>
        <v>13.98716996675887</v>
      </c>
      <c r="CO234" s="701">
        <f t="shared" si="263"/>
        <v>14.208050126966633</v>
      </c>
      <c r="CP234" s="701">
        <f t="shared" si="263"/>
        <v>14.403831458316571</v>
      </c>
      <c r="CQ234" s="701">
        <f t="shared" si="263"/>
        <v>14.585041360268892</v>
      </c>
      <c r="CR234" s="701">
        <f t="shared" si="263"/>
        <v>14.766993225852721</v>
      </c>
      <c r="CS234" s="701">
        <f t="shared" si="263"/>
        <v>14.950707839607741</v>
      </c>
      <c r="CT234" s="701">
        <f t="shared" si="263"/>
        <v>15.136157765875758</v>
      </c>
      <c r="CU234" s="701">
        <f t="shared" si="263"/>
        <v>15.323253548606331</v>
      </c>
      <c r="CV234" s="701">
        <f t="shared" si="263"/>
        <v>15.511934555005807</v>
      </c>
      <c r="CW234" s="701">
        <f t="shared" si="263"/>
        <v>15.70211229988371</v>
      </c>
      <c r="CX234" s="701">
        <f t="shared" si="263"/>
        <v>15.892944357636154</v>
      </c>
      <c r="CY234" s="701">
        <f t="shared" si="263"/>
        <v>16.083918928028016</v>
      </c>
      <c r="CZ234" s="701">
        <f t="shared" si="263"/>
        <v>16.274489854528365</v>
      </c>
      <c r="DA234" s="701">
        <f t="shared" si="263"/>
        <v>16.46469974169883</v>
      </c>
      <c r="DB234" s="853">
        <f>CO233-CO234-CO237</f>
        <v>0</v>
      </c>
      <c r="DC234" s="14">
        <f t="shared" si="254"/>
        <v>7.1497047634925073</v>
      </c>
      <c r="DD234" s="14">
        <f t="shared" si="255"/>
        <v>41.17674065727951</v>
      </c>
      <c r="DE234" s="708">
        <f t="shared" si="256"/>
        <v>77.353575577832146</v>
      </c>
      <c r="DF234" s="14">
        <f t="shared" si="259"/>
        <v>97.880723359195144</v>
      </c>
      <c r="DG234" s="14">
        <f t="shared" si="260"/>
        <v>120.82365350868604</v>
      </c>
      <c r="DH234" s="14">
        <f>SUM(CD234:CO234)</f>
        <v>156.01560827927415</v>
      </c>
      <c r="DI234" s="14">
        <f t="shared" si="261"/>
        <v>185.09608493530891</v>
      </c>
    </row>
    <row r="235" spans="2:119" outlineLevel="1">
      <c r="F235" s="126" t="s">
        <v>737</v>
      </c>
      <c r="I235" s="609" t="s">
        <v>736</v>
      </c>
      <c r="J235" s="700">
        <v>0</v>
      </c>
      <c r="K235" s="700">
        <v>0</v>
      </c>
      <c r="L235" s="700">
        <v>0</v>
      </c>
      <c r="M235" s="700">
        <v>0</v>
      </c>
      <c r="N235" s="700">
        <v>0</v>
      </c>
      <c r="O235" s="700">
        <v>0</v>
      </c>
      <c r="P235" s="700">
        <v>0</v>
      </c>
      <c r="Q235" s="700">
        <v>0</v>
      </c>
      <c r="R235" s="700">
        <v>1.4963222222222222E-4</v>
      </c>
      <c r="S235" s="700">
        <v>6.305944444444443E-4</v>
      </c>
      <c r="T235" s="700">
        <v>4.5431888888888887E-4</v>
      </c>
      <c r="U235" s="700">
        <v>0</v>
      </c>
      <c r="V235" s="701"/>
      <c r="W235" s="701"/>
      <c r="X235" s="701"/>
      <c r="Y235" s="701"/>
      <c r="Z235" s="722">
        <f t="shared" ref="Z235:AF236" si="266">Z277+Z318</f>
        <v>0.18378264499999999</v>
      </c>
      <c r="AA235" s="722">
        <f t="shared" si="266"/>
        <v>0.67772418499999998</v>
      </c>
      <c r="AB235" s="722">
        <f t="shared" si="266"/>
        <v>1.053842749</v>
      </c>
      <c r="AC235" s="722">
        <f t="shared" si="266"/>
        <v>1.0341078370000001</v>
      </c>
      <c r="AD235" s="722">
        <f t="shared" si="266"/>
        <v>1.015915667</v>
      </c>
      <c r="AE235" s="722">
        <f t="shared" si="266"/>
        <v>1.3839536059999999</v>
      </c>
      <c r="AF235" s="722">
        <f t="shared" si="266"/>
        <v>1.394647663</v>
      </c>
      <c r="AG235" s="722">
        <f t="shared" si="258"/>
        <v>1.6237695080000001</v>
      </c>
      <c r="AH235" s="701">
        <f t="shared" si="258"/>
        <v>1.779050011</v>
      </c>
      <c r="AI235" s="701">
        <f t="shared" si="258"/>
        <v>1.8627073460000001</v>
      </c>
      <c r="AJ235" s="701">
        <f t="shared" si="258"/>
        <v>2.3899125649999999</v>
      </c>
      <c r="AK235" s="701">
        <f t="shared" si="258"/>
        <v>2.7403320949999999</v>
      </c>
      <c r="AL235" s="701">
        <f t="shared" si="258"/>
        <v>3.3954712370000002</v>
      </c>
      <c r="AM235" s="701">
        <f t="shared" si="258"/>
        <v>3.5531633230000002</v>
      </c>
      <c r="AN235" s="701">
        <f t="shared" si="258"/>
        <v>4.5486664460000004</v>
      </c>
      <c r="AO235" s="701">
        <f t="shared" si="258"/>
        <v>4.9560568859999998</v>
      </c>
      <c r="AP235" s="701">
        <f t="shared" si="258"/>
        <v>5.0623910329999999</v>
      </c>
      <c r="AQ235" s="701">
        <f t="shared" si="258"/>
        <v>5.375043066066894</v>
      </c>
      <c r="AR235" s="701">
        <f t="shared" si="258"/>
        <v>5.3929267543834847</v>
      </c>
      <c r="AS235" s="701">
        <f t="shared" si="258"/>
        <v>5.5975268361773836</v>
      </c>
      <c r="AT235" s="715">
        <f t="shared" si="258"/>
        <v>6.1097463273180646</v>
      </c>
      <c r="AU235" s="715">
        <f t="shared" si="258"/>
        <v>6.3395749899887477</v>
      </c>
      <c r="AV235" s="715">
        <f t="shared" si="258"/>
        <v>6.7349535308217137</v>
      </c>
      <c r="AW235" s="715">
        <f t="shared" si="258"/>
        <v>6.8840062711817342</v>
      </c>
      <c r="AX235" s="715">
        <f t="shared" si="258"/>
        <v>7.0409662731132894</v>
      </c>
      <c r="AY235" s="715">
        <f t="shared" si="258"/>
        <v>7.2001661150382992</v>
      </c>
      <c r="AZ235" s="715">
        <f t="shared" si="258"/>
        <v>7.3560205502975098</v>
      </c>
      <c r="BA235" s="715">
        <f t="shared" si="258"/>
        <v>7.5097937205623229</v>
      </c>
      <c r="BB235" s="715">
        <f t="shared" si="258"/>
        <v>7.6606516914476721</v>
      </c>
      <c r="BC235" s="715">
        <f t="shared" si="258"/>
        <v>7.8267750904336424</v>
      </c>
      <c r="BD235" s="715">
        <f t="shared" si="258"/>
        <v>8.0008724464344194</v>
      </c>
      <c r="BE235" s="715">
        <f t="shared" si="258"/>
        <v>8.1535167855404218</v>
      </c>
      <c r="BF235" s="701">
        <f t="shared" si="258"/>
        <v>8.9007246852317667</v>
      </c>
      <c r="BG235" s="701">
        <f t="shared" si="258"/>
        <v>9.3234694066556578</v>
      </c>
      <c r="BH235" s="701">
        <f t="shared" si="258"/>
        <v>9.3028154430349836</v>
      </c>
      <c r="BI235" s="701">
        <f t="shared" si="258"/>
        <v>9.2521648507535907</v>
      </c>
      <c r="BJ235" s="701">
        <f t="shared" si="258"/>
        <v>9.2099990810214738</v>
      </c>
      <c r="BK235" s="701">
        <f t="shared" si="258"/>
        <v>9.175577565437699</v>
      </c>
      <c r="BL235" s="701">
        <f t="shared" si="258"/>
        <v>9.1450787131683313</v>
      </c>
      <c r="BM235" s="701">
        <f t="shared" si="258"/>
        <v>9.1152624138588045</v>
      </c>
      <c r="BN235" s="701">
        <f t="shared" si="258"/>
        <v>9.1000319255141857</v>
      </c>
      <c r="BO235" s="701">
        <f t="shared" si="258"/>
        <v>9.1033097415367532</v>
      </c>
      <c r="BP235" s="701">
        <f t="shared" si="258"/>
        <v>9.1215837357726368</v>
      </c>
      <c r="BQ235" s="701">
        <f t="shared" si="258"/>
        <v>9.143582632612862</v>
      </c>
      <c r="BR235" s="701">
        <f t="shared" si="258"/>
        <v>9.3900312411927871</v>
      </c>
      <c r="BS235" s="701">
        <f t="shared" si="258"/>
        <v>9.7739758469397309</v>
      </c>
      <c r="BT235" s="701">
        <f t="shared" si="258"/>
        <v>10.15206058191503</v>
      </c>
      <c r="BU235" s="701">
        <f t="shared" si="258"/>
        <v>10.512382773657581</v>
      </c>
      <c r="BV235" s="701">
        <f t="shared" si="258"/>
        <v>10.856532950239353</v>
      </c>
      <c r="BW235" s="701">
        <f t="shared" si="258"/>
        <v>11.183614652998136</v>
      </c>
      <c r="BX235" s="701">
        <f t="shared" si="258"/>
        <v>11.497173829514178</v>
      </c>
      <c r="BY235" s="701">
        <f t="shared" si="258"/>
        <v>11.797826555748751</v>
      </c>
      <c r="BZ235" s="701">
        <f t="shared" si="258"/>
        <v>12.093384580181116</v>
      </c>
      <c r="CA235" s="701">
        <f t="shared" si="258"/>
        <v>12.387113218211345</v>
      </c>
      <c r="CB235" s="701">
        <f t="shared" si="258"/>
        <v>12.684355650599295</v>
      </c>
      <c r="CC235" s="701">
        <f t="shared" si="258"/>
        <v>12.984803130786393</v>
      </c>
      <c r="CD235" s="701">
        <f t="shared" si="258"/>
        <v>13.24548485190965</v>
      </c>
      <c r="CE235" s="701">
        <f t="shared" si="258"/>
        <v>13.479860354659341</v>
      </c>
      <c r="CF235" s="701">
        <f t="shared" si="258"/>
        <v>13.715936817591192</v>
      </c>
      <c r="CG235" s="701">
        <f t="shared" si="258"/>
        <v>13.955173666468637</v>
      </c>
      <c r="CH235" s="701">
        <f t="shared" si="258"/>
        <v>14.196904947107711</v>
      </c>
      <c r="CI235" s="701">
        <f t="shared" si="258"/>
        <v>14.440743359075162</v>
      </c>
      <c r="CJ235" s="701">
        <f t="shared" si="258"/>
        <v>14.686543983928313</v>
      </c>
      <c r="CK235" s="701">
        <f t="shared" si="258"/>
        <v>14.934372752805384</v>
      </c>
      <c r="CL235" s="701">
        <f t="shared" si="263"/>
        <v>15.1831747527439</v>
      </c>
      <c r="CM235" s="701">
        <f t="shared" si="263"/>
        <v>15.43233804502534</v>
      </c>
      <c r="CN235" s="701">
        <f t="shared" si="263"/>
        <v>15.680898517717527</v>
      </c>
      <c r="CO235" s="701">
        <f t="shared" si="263"/>
        <v>15.928938423183389</v>
      </c>
      <c r="CP235" s="701">
        <f t="shared" si="263"/>
        <v>16.150074435750238</v>
      </c>
      <c r="CQ235" s="701">
        <f t="shared" si="263"/>
        <v>16.354665875402816</v>
      </c>
      <c r="CR235" s="701">
        <f t="shared" si="263"/>
        <v>16.559813953576665</v>
      </c>
      <c r="CS235" s="701">
        <f t="shared" si="263"/>
        <v>16.766709364368456</v>
      </c>
      <c r="CT235" s="701">
        <f t="shared" si="263"/>
        <v>16.97533209073497</v>
      </c>
      <c r="CU235" s="701">
        <f t="shared" si="263"/>
        <v>17.185597805659778</v>
      </c>
      <c r="CV235" s="701">
        <f t="shared" si="263"/>
        <v>17.397451074589021</v>
      </c>
      <c r="CW235" s="701">
        <f t="shared" si="263"/>
        <v>17.610803359600965</v>
      </c>
      <c r="CX235" s="701">
        <f t="shared" si="263"/>
        <v>17.824887531315095</v>
      </c>
      <c r="CY235" s="701">
        <f t="shared" si="263"/>
        <v>18.039196968669373</v>
      </c>
      <c r="CZ235" s="701">
        <f t="shared" si="263"/>
        <v>18.253105597053718</v>
      </c>
      <c r="DA235" s="701">
        <f t="shared" si="263"/>
        <v>18.466646559524776</v>
      </c>
      <c r="DC235" s="12">
        <f t="shared" si="254"/>
        <v>8.3677438599999991</v>
      </c>
      <c r="DD235" s="12">
        <f t="shared" si="255"/>
        <v>46.653247598627757</v>
      </c>
      <c r="DE235" s="702">
        <f t="shared" si="256"/>
        <v>86.817043792177827</v>
      </c>
      <c r="DF235" s="12">
        <f t="shared" si="259"/>
        <v>109.89360019459873</v>
      </c>
      <c r="DG235" s="12">
        <f t="shared" si="260"/>
        <v>135.31325501198373</v>
      </c>
      <c r="DH235" s="12">
        <f t="shared" si="257"/>
        <v>174.88037047221556</v>
      </c>
      <c r="DI235" s="12">
        <f t="shared" si="261"/>
        <v>207.58428461624587</v>
      </c>
    </row>
    <row r="236" spans="2:119" outlineLevel="1">
      <c r="F236" s="126" t="s">
        <v>798</v>
      </c>
      <c r="I236" s="609" t="s">
        <v>736</v>
      </c>
      <c r="J236" s="700">
        <v>0</v>
      </c>
      <c r="K236" s="700">
        <v>0</v>
      </c>
      <c r="L236" s="700">
        <v>0</v>
      </c>
      <c r="M236" s="700">
        <v>0</v>
      </c>
      <c r="N236" s="700">
        <v>0</v>
      </c>
      <c r="O236" s="700">
        <v>0</v>
      </c>
      <c r="P236" s="700">
        <v>0</v>
      </c>
      <c r="Q236" s="700">
        <v>0</v>
      </c>
      <c r="R236" s="700">
        <v>0</v>
      </c>
      <c r="S236" s="700">
        <v>0</v>
      </c>
      <c r="T236" s="700">
        <v>-8.7809333333333331E-10</v>
      </c>
      <c r="U236" s="700">
        <v>-7.8905999999999996E-10</v>
      </c>
      <c r="V236" s="701"/>
      <c r="W236" s="701"/>
      <c r="X236" s="701"/>
      <c r="Y236" s="701"/>
      <c r="Z236" s="722">
        <f t="shared" si="266"/>
        <v>-1.7390045E-2</v>
      </c>
      <c r="AA236" s="722">
        <f t="shared" si="266"/>
        <v>-9.0590026000000004E-2</v>
      </c>
      <c r="AB236" s="722">
        <f t="shared" si="266"/>
        <v>-0.155919592</v>
      </c>
      <c r="AC236" s="722">
        <f t="shared" si="266"/>
        <v>-0.167488519904292</v>
      </c>
      <c r="AD236" s="722">
        <f t="shared" si="266"/>
        <v>-0.153780208</v>
      </c>
      <c r="AE236" s="722">
        <f t="shared" si="266"/>
        <v>-0.19723174299999999</v>
      </c>
      <c r="AF236" s="722">
        <f t="shared" si="266"/>
        <v>-0.20266520900000001</v>
      </c>
      <c r="AG236" s="722">
        <f t="shared" si="258"/>
        <v>-0.2329737536032</v>
      </c>
      <c r="AH236" s="701">
        <f t="shared" si="258"/>
        <v>-0.246147858</v>
      </c>
      <c r="AI236" s="701">
        <f t="shared" si="258"/>
        <v>-0.25938705643799503</v>
      </c>
      <c r="AJ236" s="701">
        <f t="shared" si="258"/>
        <v>-0.28109706500000003</v>
      </c>
      <c r="AK236" s="701">
        <f t="shared" si="258"/>
        <v>-0.30721334</v>
      </c>
      <c r="AL236" s="701">
        <f t="shared" si="258"/>
        <v>-0.38316072600000001</v>
      </c>
      <c r="AM236" s="701">
        <f t="shared" si="258"/>
        <v>-0.43385794699999997</v>
      </c>
      <c r="AN236" s="701">
        <f t="shared" si="258"/>
        <v>-0.53723725199999994</v>
      </c>
      <c r="AO236" s="701">
        <f t="shared" si="258"/>
        <v>-0.58240060299999996</v>
      </c>
      <c r="AP236" s="701">
        <f t="shared" si="258"/>
        <v>-0.54258899199999999</v>
      </c>
      <c r="AQ236" s="701">
        <f t="shared" si="258"/>
        <v>-0.60307943199999992</v>
      </c>
      <c r="AR236" s="701">
        <f t="shared" si="258"/>
        <v>-0.63926095981834441</v>
      </c>
      <c r="AS236" s="701">
        <f t="shared" si="258"/>
        <v>-0.66107571009190924</v>
      </c>
      <c r="AT236" s="715">
        <f t="shared" ref="AT236:CO239" si="267">AT278+AT319</f>
        <v>-0.66437114736769665</v>
      </c>
      <c r="AU236" s="715">
        <f t="shared" si="267"/>
        <v>-0.67788445023665223</v>
      </c>
      <c r="AV236" s="715">
        <f t="shared" si="267"/>
        <v>-0.72512881589139988</v>
      </c>
      <c r="AW236" s="715">
        <f t="shared" si="267"/>
        <v>-0.74426512938039302</v>
      </c>
      <c r="AX236" s="715">
        <f t="shared" si="267"/>
        <v>-0.76329212238454502</v>
      </c>
      <c r="AY236" s="715">
        <f t="shared" si="267"/>
        <v>-0.7827793259522815</v>
      </c>
      <c r="AZ236" s="715">
        <f t="shared" si="267"/>
        <v>-0.80333576607610901</v>
      </c>
      <c r="BA236" s="715">
        <f t="shared" si="267"/>
        <v>-0.82330887702870803</v>
      </c>
      <c r="BB236" s="715">
        <f t="shared" si="267"/>
        <v>-0.84256587983754261</v>
      </c>
      <c r="BC236" s="715">
        <f t="shared" si="267"/>
        <v>-0.86087975503221026</v>
      </c>
      <c r="BD236" s="715">
        <f t="shared" si="267"/>
        <v>-0.8791658091854444</v>
      </c>
      <c r="BE236" s="715">
        <f t="shared" si="267"/>
        <v>-0.89649113597272034</v>
      </c>
      <c r="BF236" s="701">
        <f t="shared" si="267"/>
        <v>-0.95172277718869702</v>
      </c>
      <c r="BG236" s="701">
        <f t="shared" si="267"/>
        <v>-1.0035839767144805</v>
      </c>
      <c r="BH236" s="701">
        <f t="shared" si="267"/>
        <v>-1.0077011242171612</v>
      </c>
      <c r="BI236" s="701">
        <f t="shared" si="267"/>
        <v>-1.0073744448748181</v>
      </c>
      <c r="BJ236" s="701">
        <f t="shared" si="267"/>
        <v>-1.0068818862090527</v>
      </c>
      <c r="BK236" s="701">
        <f t="shared" si="267"/>
        <v>-1.0064796207228133</v>
      </c>
      <c r="BL236" s="701">
        <f t="shared" si="267"/>
        <v>-1.0069457876837147</v>
      </c>
      <c r="BM236" s="701">
        <f t="shared" si="267"/>
        <v>-1.0073610373038091</v>
      </c>
      <c r="BN236" s="701">
        <f t="shared" si="267"/>
        <v>-1.0052134212369062</v>
      </c>
      <c r="BO236" s="701">
        <f t="shared" si="267"/>
        <v>-1.0031508042261457</v>
      </c>
      <c r="BP236" s="701">
        <f t="shared" si="267"/>
        <v>-1.0031343448547774</v>
      </c>
      <c r="BQ236" s="701">
        <f t="shared" si="267"/>
        <v>-1.0033276101712336</v>
      </c>
      <c r="BR236" s="701">
        <f t="shared" si="267"/>
        <v>-1.0193695210073448</v>
      </c>
      <c r="BS236" s="701">
        <f t="shared" si="267"/>
        <v>-1.0525468283290225</v>
      </c>
      <c r="BT236" s="701">
        <f t="shared" si="267"/>
        <v>-1.0870467495386038</v>
      </c>
      <c r="BU236" s="701">
        <f t="shared" si="267"/>
        <v>-1.121810001815468</v>
      </c>
      <c r="BV236" s="701">
        <f t="shared" si="267"/>
        <v>-1.1565971606941048</v>
      </c>
      <c r="BW236" s="701">
        <f t="shared" si="267"/>
        <v>-1.19128822165727</v>
      </c>
      <c r="BX236" s="701">
        <f t="shared" si="267"/>
        <v>-1.225889167224677</v>
      </c>
      <c r="BY236" s="701">
        <f t="shared" si="267"/>
        <v>-1.260285921985592</v>
      </c>
      <c r="BZ236" s="701">
        <f t="shared" si="267"/>
        <v>-1.2940424507266135</v>
      </c>
      <c r="CA236" s="701">
        <f t="shared" si="267"/>
        <v>-1.3271349181972736</v>
      </c>
      <c r="CB236" s="701">
        <f t="shared" si="267"/>
        <v>-1.3602219305469621</v>
      </c>
      <c r="CC236" s="701">
        <f t="shared" si="267"/>
        <v>-1.3933686315747387</v>
      </c>
      <c r="CD236" s="701">
        <f t="shared" si="267"/>
        <v>-1.4236389411199375</v>
      </c>
      <c r="CE236" s="701">
        <f t="shared" si="267"/>
        <v>-1.450749840627247</v>
      </c>
      <c r="CF236" s="701">
        <f t="shared" si="267"/>
        <v>-1.4776238909922124</v>
      </c>
      <c r="CG236" s="701">
        <f t="shared" si="267"/>
        <v>-1.5045343154056121</v>
      </c>
      <c r="CH236" s="701">
        <f t="shared" si="267"/>
        <v>-1.5314839452359654</v>
      </c>
      <c r="CI236" s="701">
        <f t="shared" si="267"/>
        <v>-1.5584469336058382</v>
      </c>
      <c r="CJ236" s="701">
        <f t="shared" si="267"/>
        <v>-1.5853966703085158</v>
      </c>
      <c r="CK236" s="701">
        <f t="shared" si="267"/>
        <v>-1.6123331163579908</v>
      </c>
      <c r="CL236" s="701">
        <f t="shared" si="267"/>
        <v>-1.6393820217194888</v>
      </c>
      <c r="CM236" s="701">
        <f t="shared" si="267"/>
        <v>-1.6665556703931579</v>
      </c>
      <c r="CN236" s="701">
        <f t="shared" si="267"/>
        <v>-1.6937285509586557</v>
      </c>
      <c r="CO236" s="701">
        <f t="shared" si="267"/>
        <v>-1.7208882962167575</v>
      </c>
      <c r="CP236" s="701">
        <f t="shared" si="263"/>
        <v>-1.7462429774336674</v>
      </c>
      <c r="CQ236" s="701">
        <f t="shared" si="263"/>
        <v>-1.7696245151339254</v>
      </c>
      <c r="CR236" s="701">
        <f t="shared" si="263"/>
        <v>-1.7928207277239427</v>
      </c>
      <c r="CS236" s="701">
        <f t="shared" si="263"/>
        <v>-1.8160015247607129</v>
      </c>
      <c r="CT236" s="701">
        <f t="shared" si="263"/>
        <v>-1.8391743248592107</v>
      </c>
      <c r="CU236" s="701">
        <f t="shared" si="263"/>
        <v>-1.8623442570534479</v>
      </c>
      <c r="CV236" s="701">
        <f t="shared" si="263"/>
        <v>-1.885516519583216</v>
      </c>
      <c r="CW236" s="701">
        <f t="shared" si="263"/>
        <v>-1.9086910597172528</v>
      </c>
      <c r="CX236" s="701">
        <f t="shared" si="263"/>
        <v>-1.9319431736789423</v>
      </c>
      <c r="CY236" s="701">
        <f t="shared" si="263"/>
        <v>-1.9552780406413552</v>
      </c>
      <c r="CZ236" s="701">
        <f t="shared" si="263"/>
        <v>-1.9786157425253512</v>
      </c>
      <c r="DA236" s="701">
        <f t="shared" si="263"/>
        <v>-2.0019468178259485</v>
      </c>
      <c r="DC236" s="12">
        <f t="shared" si="254"/>
        <v>-1.2180390965074921</v>
      </c>
      <c r="DD236" s="12">
        <f t="shared" si="255"/>
        <v>-5.4765069413482479</v>
      </c>
      <c r="DE236" s="702">
        <f t="shared" si="256"/>
        <v>-9.4634682143457027</v>
      </c>
      <c r="DF236" s="12">
        <f t="shared" si="259"/>
        <v>-12.012876835403608</v>
      </c>
      <c r="DG236" s="12">
        <f t="shared" si="260"/>
        <v>-14.489601503297669</v>
      </c>
      <c r="DH236" s="12">
        <f t="shared" si="257"/>
        <v>-18.864762192941381</v>
      </c>
      <c r="DI236" s="12">
        <f t="shared" si="261"/>
        <v>-22.48819968093698</v>
      </c>
    </row>
    <row r="237" spans="2:119" s="698" customFormat="1" outlineLevel="1">
      <c r="B237" s="126"/>
      <c r="E237" s="698" t="s">
        <v>830</v>
      </c>
      <c r="H237" s="703"/>
      <c r="I237" s="609" t="s">
        <v>736</v>
      </c>
      <c r="J237" s="703"/>
      <c r="K237" s="703"/>
      <c r="L237" s="703"/>
      <c r="M237" s="703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01">
        <f t="shared" ref="Z237:AF237" si="268">Z279+Z319</f>
        <v>0.78433600000000003</v>
      </c>
      <c r="AA237" s="701">
        <f t="shared" si="268"/>
        <v>1.5381818190000001</v>
      </c>
      <c r="AB237" s="701">
        <f t="shared" si="268"/>
        <v>1.7972245790000001</v>
      </c>
      <c r="AC237" s="701">
        <f t="shared" si="268"/>
        <v>1.6560837980000001</v>
      </c>
      <c r="AD237" s="701">
        <f t="shared" si="268"/>
        <v>1.7356103439999999</v>
      </c>
      <c r="AE237" s="701">
        <f t="shared" si="268"/>
        <v>2.3842524040000002</v>
      </c>
      <c r="AF237" s="701">
        <f t="shared" si="268"/>
        <v>2.5835852529999999</v>
      </c>
      <c r="AG237" s="701">
        <f t="shared" ref="AG237:BL239" si="269">AG279+AG320</f>
        <v>2.6382554709999999</v>
      </c>
      <c r="AH237" s="918">
        <f t="shared" si="269"/>
        <v>3.0369901859999997</v>
      </c>
      <c r="AI237" s="701">
        <f t="shared" si="269"/>
        <v>3.0169141649999998</v>
      </c>
      <c r="AJ237" s="701">
        <f t="shared" si="269"/>
        <v>4.1280510440000002</v>
      </c>
      <c r="AK237" s="701">
        <f t="shared" si="269"/>
        <v>4.6682887040000001</v>
      </c>
      <c r="AL237" s="701">
        <f t="shared" si="269"/>
        <v>5.4642048919999997</v>
      </c>
      <c r="AM237" s="701">
        <f t="shared" si="269"/>
        <v>6.4248852190000001</v>
      </c>
      <c r="AN237" s="701">
        <f t="shared" si="269"/>
        <v>7.8514140340000003</v>
      </c>
      <c r="AO237" s="701">
        <f t="shared" si="269"/>
        <v>8.5207282089999996</v>
      </c>
      <c r="AP237" s="701">
        <f t="shared" si="269"/>
        <v>8.3099674510000003</v>
      </c>
      <c r="AQ237" s="701">
        <f t="shared" si="269"/>
        <v>9.0817060000000005</v>
      </c>
      <c r="AR237" s="701">
        <f t="shared" si="269"/>
        <v>9.5879999999999992</v>
      </c>
      <c r="AS237" s="701">
        <f t="shared" si="269"/>
        <v>10.267999999999999</v>
      </c>
      <c r="AT237" s="715">
        <f t="shared" si="269"/>
        <v>10.566633333333332</v>
      </c>
      <c r="AU237" s="715">
        <f t="shared" si="269"/>
        <v>10.865266666666665</v>
      </c>
      <c r="AV237" s="715">
        <f t="shared" si="269"/>
        <v>11.1639</v>
      </c>
      <c r="AW237" s="715">
        <f t="shared" si="269"/>
        <v>11.462533333333331</v>
      </c>
      <c r="AX237" s="715">
        <f t="shared" si="269"/>
        <v>11.761166666666663</v>
      </c>
      <c r="AY237" s="715">
        <f t="shared" si="269"/>
        <v>12.059799999999996</v>
      </c>
      <c r="AZ237" s="715">
        <f t="shared" si="269"/>
        <v>12.358433333333329</v>
      </c>
      <c r="BA237" s="715">
        <f t="shared" si="269"/>
        <v>12.657066666666662</v>
      </c>
      <c r="BB237" s="715">
        <f t="shared" si="269"/>
        <v>12.955699999999993</v>
      </c>
      <c r="BC237" s="715">
        <f t="shared" si="269"/>
        <v>13.254333333333328</v>
      </c>
      <c r="BD237" s="715">
        <f t="shared" si="269"/>
        <v>13.552966666666658</v>
      </c>
      <c r="BE237" s="715">
        <f t="shared" si="269"/>
        <v>13.851599999999998</v>
      </c>
      <c r="BF237" s="701">
        <f t="shared" si="269"/>
        <v>15.390666666666668</v>
      </c>
      <c r="BG237" s="701">
        <f t="shared" si="269"/>
        <v>15.390666666666668</v>
      </c>
      <c r="BH237" s="701">
        <f t="shared" si="269"/>
        <v>15.390666666666668</v>
      </c>
      <c r="BI237" s="701">
        <f t="shared" si="269"/>
        <v>15.390666666666668</v>
      </c>
      <c r="BJ237" s="701">
        <f t="shared" si="269"/>
        <v>15.390666666666668</v>
      </c>
      <c r="BK237" s="701">
        <f t="shared" si="269"/>
        <v>15.390666666666668</v>
      </c>
      <c r="BL237" s="701">
        <f t="shared" si="269"/>
        <v>15.390666666666668</v>
      </c>
      <c r="BM237" s="701">
        <f t="shared" si="267"/>
        <v>15.390666666666668</v>
      </c>
      <c r="BN237" s="701">
        <f t="shared" si="267"/>
        <v>15.390666666666668</v>
      </c>
      <c r="BO237" s="701">
        <f t="shared" si="267"/>
        <v>15.390666666666668</v>
      </c>
      <c r="BP237" s="701">
        <f t="shared" si="267"/>
        <v>15.390666666666668</v>
      </c>
      <c r="BQ237" s="701">
        <f t="shared" si="267"/>
        <v>15.390666666666668</v>
      </c>
      <c r="BR237" s="701">
        <f t="shared" si="267"/>
        <v>15.902177777777776</v>
      </c>
      <c r="BS237" s="701">
        <f t="shared" si="267"/>
        <v>16.413688888888888</v>
      </c>
      <c r="BT237" s="701">
        <f t="shared" si="267"/>
        <v>16.9252</v>
      </c>
      <c r="BU237" s="701">
        <f t="shared" si="267"/>
        <v>17.436711111111105</v>
      </c>
      <c r="BV237" s="701">
        <f t="shared" si="267"/>
        <v>17.948222222222217</v>
      </c>
      <c r="BW237" s="701">
        <f t="shared" si="267"/>
        <v>18.459733333333329</v>
      </c>
      <c r="BX237" s="701">
        <f t="shared" si="267"/>
        <v>18.971244444444441</v>
      </c>
      <c r="BY237" s="701">
        <f t="shared" si="267"/>
        <v>19.482755555555549</v>
      </c>
      <c r="BZ237" s="701">
        <f t="shared" si="267"/>
        <v>19.994266666666661</v>
      </c>
      <c r="CA237" s="701">
        <f t="shared" si="267"/>
        <v>20.505777777777773</v>
      </c>
      <c r="CB237" s="701">
        <f t="shared" si="267"/>
        <v>21.017288888888881</v>
      </c>
      <c r="CC237" s="701">
        <f t="shared" si="267"/>
        <v>21.528799999999997</v>
      </c>
      <c r="CD237" s="701">
        <f t="shared" si="267"/>
        <v>21.944279999999999</v>
      </c>
      <c r="CE237" s="701">
        <f t="shared" si="267"/>
        <v>22.359759999999998</v>
      </c>
      <c r="CF237" s="701">
        <f t="shared" si="267"/>
        <v>22.775239999999993</v>
      </c>
      <c r="CG237" s="701">
        <f t="shared" si="267"/>
        <v>23.190719999999999</v>
      </c>
      <c r="CH237" s="701">
        <f t="shared" si="267"/>
        <v>23.606199999999994</v>
      </c>
      <c r="CI237" s="701">
        <f t="shared" si="267"/>
        <v>24.021679999999989</v>
      </c>
      <c r="CJ237" s="701">
        <f t="shared" si="267"/>
        <v>24.437159999999995</v>
      </c>
      <c r="CK237" s="701">
        <f t="shared" si="267"/>
        <v>24.852639999999994</v>
      </c>
      <c r="CL237" s="701">
        <f t="shared" si="267"/>
        <v>25.268119999999989</v>
      </c>
      <c r="CM237" s="701">
        <f t="shared" si="267"/>
        <v>25.683599999999991</v>
      </c>
      <c r="CN237" s="701">
        <f t="shared" si="267"/>
        <v>26.099079999999994</v>
      </c>
      <c r="CO237" s="701">
        <f t="shared" si="267"/>
        <v>26.514559999999999</v>
      </c>
      <c r="CP237" s="701">
        <f t="shared" si="263"/>
        <v>26.871469333333334</v>
      </c>
      <c r="CQ237" s="701">
        <f t="shared" si="263"/>
        <v>27.228378666666668</v>
      </c>
      <c r="CR237" s="701">
        <f t="shared" si="263"/>
        <v>27.585287999999998</v>
      </c>
      <c r="CS237" s="701">
        <f t="shared" si="263"/>
        <v>27.942197333333329</v>
      </c>
      <c r="CT237" s="701">
        <f t="shared" si="263"/>
        <v>28.299106666666667</v>
      </c>
      <c r="CU237" s="701">
        <f t="shared" si="263"/>
        <v>28.656015999999997</v>
      </c>
      <c r="CV237" s="701">
        <f t="shared" si="263"/>
        <v>29.012925333333328</v>
      </c>
      <c r="CW237" s="701">
        <f t="shared" si="263"/>
        <v>29.369834666666659</v>
      </c>
      <c r="CX237" s="701">
        <f t="shared" si="263"/>
        <v>29.726743999999989</v>
      </c>
      <c r="CY237" s="701">
        <f t="shared" si="263"/>
        <v>30.083653333333316</v>
      </c>
      <c r="CZ237" s="701">
        <f t="shared" si="263"/>
        <v>30.440562666666647</v>
      </c>
      <c r="DA237" s="701">
        <f t="shared" si="263"/>
        <v>30.797471999999999</v>
      </c>
      <c r="DC237" s="14">
        <f t="shared" si="254"/>
        <v>15.117529668</v>
      </c>
      <c r="DD237" s="14">
        <f t="shared" si="255"/>
        <v>80.359149903999992</v>
      </c>
      <c r="DE237" s="708">
        <f t="shared" si="256"/>
        <v>146.50939999999994</v>
      </c>
      <c r="DF237" s="14">
        <f t="shared" si="259"/>
        <v>184.68800000000007</v>
      </c>
      <c r="DG237" s="14">
        <f t="shared" si="260"/>
        <v>224.58586666666665</v>
      </c>
      <c r="DH237" s="14">
        <f t="shared" si="257"/>
        <v>290.75304</v>
      </c>
      <c r="DI237" s="14">
        <f t="shared" si="261"/>
        <v>346.01364799999999</v>
      </c>
    </row>
    <row r="238" spans="2:119" outlineLevel="1">
      <c r="F238" s="126" t="s">
        <v>540</v>
      </c>
      <c r="I238" s="609" t="s">
        <v>736</v>
      </c>
      <c r="O238" s="710"/>
      <c r="P238" s="710"/>
      <c r="Q238" s="710"/>
      <c r="R238" s="710"/>
      <c r="S238" s="710"/>
      <c r="T238" s="710"/>
      <c r="U238" s="710"/>
      <c r="V238" s="710"/>
      <c r="W238" s="710"/>
      <c r="X238" s="710"/>
      <c r="Y238" s="710"/>
      <c r="Z238" s="701">
        <f t="shared" ref="Z238:AF239" si="270">Z280+Z321</f>
        <v>0.78433600000000003</v>
      </c>
      <c r="AA238" s="701">
        <f t="shared" si="270"/>
        <v>1.5381818190000001</v>
      </c>
      <c r="AB238" s="701">
        <f t="shared" si="270"/>
        <v>1.7972245790000001</v>
      </c>
      <c r="AC238" s="701">
        <f t="shared" si="270"/>
        <v>1.6560837980000001</v>
      </c>
      <c r="AD238" s="701">
        <f t="shared" si="270"/>
        <v>1.7356103439999999</v>
      </c>
      <c r="AE238" s="701">
        <f t="shared" si="270"/>
        <v>2.3842524040000002</v>
      </c>
      <c r="AF238" s="701">
        <f t="shared" si="270"/>
        <v>2.5835852529999999</v>
      </c>
      <c r="AG238" s="701">
        <f t="shared" si="269"/>
        <v>2.6382554709999999</v>
      </c>
      <c r="AH238" s="701">
        <f t="shared" si="269"/>
        <v>3.0369901859999997</v>
      </c>
      <c r="AI238" s="701">
        <f t="shared" si="269"/>
        <v>3.0169141649999998</v>
      </c>
      <c r="AJ238" s="701">
        <f t="shared" si="269"/>
        <v>4.1280510440000002</v>
      </c>
      <c r="AK238" s="701">
        <f t="shared" si="269"/>
        <v>4.6682887040000001</v>
      </c>
      <c r="AL238" s="701">
        <f t="shared" si="269"/>
        <v>5.4642048919999997</v>
      </c>
      <c r="AM238" s="701">
        <f t="shared" si="269"/>
        <v>6.4248852190000001</v>
      </c>
      <c r="AN238" s="701">
        <f t="shared" si="269"/>
        <v>7.8514140340000003</v>
      </c>
      <c r="AO238" s="701">
        <f t="shared" si="269"/>
        <v>8.5207282089999996</v>
      </c>
      <c r="AP238" s="701">
        <f t="shared" si="269"/>
        <v>8.3099674510000003</v>
      </c>
      <c r="AQ238" s="701">
        <f t="shared" si="269"/>
        <v>9.0817060000000005</v>
      </c>
      <c r="AR238" s="701">
        <f t="shared" si="269"/>
        <v>9.5879999999999992</v>
      </c>
      <c r="AS238" s="701">
        <f t="shared" si="269"/>
        <v>10.267999999999999</v>
      </c>
      <c r="AT238" s="715">
        <f t="shared" si="269"/>
        <v>10.566633333333332</v>
      </c>
      <c r="AU238" s="715">
        <f t="shared" si="269"/>
        <v>10.865266666666665</v>
      </c>
      <c r="AV238" s="715">
        <f t="shared" si="269"/>
        <v>11.1639</v>
      </c>
      <c r="AW238" s="715">
        <f t="shared" si="269"/>
        <v>11.462533333333331</v>
      </c>
      <c r="AX238" s="715">
        <f t="shared" si="269"/>
        <v>11.761166666666663</v>
      </c>
      <c r="AY238" s="715">
        <f t="shared" si="269"/>
        <v>12.059799999999996</v>
      </c>
      <c r="AZ238" s="715">
        <f t="shared" si="269"/>
        <v>12.358433333333329</v>
      </c>
      <c r="BA238" s="715">
        <f t="shared" si="269"/>
        <v>12.657066666666662</v>
      </c>
      <c r="BB238" s="715">
        <f t="shared" si="269"/>
        <v>12.955699999999993</v>
      </c>
      <c r="BC238" s="715">
        <f t="shared" si="269"/>
        <v>13.254333333333328</v>
      </c>
      <c r="BD238" s="715">
        <f t="shared" si="269"/>
        <v>13.552966666666658</v>
      </c>
      <c r="BE238" s="715">
        <f t="shared" si="269"/>
        <v>13.851599999999998</v>
      </c>
      <c r="BF238" s="701">
        <f t="shared" si="269"/>
        <v>15.390666666666668</v>
      </c>
      <c r="BG238" s="701">
        <f t="shared" si="269"/>
        <v>15.390666666666668</v>
      </c>
      <c r="BH238" s="701">
        <f t="shared" si="269"/>
        <v>15.390666666666668</v>
      </c>
      <c r="BI238" s="701">
        <f t="shared" si="269"/>
        <v>15.390666666666668</v>
      </c>
      <c r="BJ238" s="701">
        <f t="shared" si="269"/>
        <v>15.390666666666668</v>
      </c>
      <c r="BK238" s="701">
        <f t="shared" si="269"/>
        <v>15.390666666666668</v>
      </c>
      <c r="BL238" s="701">
        <f t="shared" si="269"/>
        <v>15.390666666666668</v>
      </c>
      <c r="BM238" s="701">
        <f t="shared" si="267"/>
        <v>15.390666666666668</v>
      </c>
      <c r="BN238" s="701">
        <f t="shared" si="267"/>
        <v>15.390666666666668</v>
      </c>
      <c r="BO238" s="701">
        <f t="shared" si="267"/>
        <v>15.390666666666668</v>
      </c>
      <c r="BP238" s="701">
        <f t="shared" si="267"/>
        <v>15.390666666666668</v>
      </c>
      <c r="BQ238" s="701">
        <f t="shared" si="267"/>
        <v>15.390666666666668</v>
      </c>
      <c r="BR238" s="701">
        <f t="shared" si="267"/>
        <v>15.902177777777776</v>
      </c>
      <c r="BS238" s="701">
        <f t="shared" si="267"/>
        <v>16.413688888888888</v>
      </c>
      <c r="BT238" s="701">
        <f t="shared" si="267"/>
        <v>16.9252</v>
      </c>
      <c r="BU238" s="701">
        <f t="shared" si="267"/>
        <v>17.436711111111105</v>
      </c>
      <c r="BV238" s="701">
        <f t="shared" si="267"/>
        <v>17.948222222222217</v>
      </c>
      <c r="BW238" s="701">
        <f t="shared" si="267"/>
        <v>18.459733333333329</v>
      </c>
      <c r="BX238" s="701">
        <f t="shared" si="267"/>
        <v>18.971244444444441</v>
      </c>
      <c r="BY238" s="701">
        <f t="shared" si="267"/>
        <v>19.482755555555549</v>
      </c>
      <c r="BZ238" s="701">
        <f t="shared" si="267"/>
        <v>19.994266666666661</v>
      </c>
      <c r="CA238" s="701">
        <f t="shared" si="267"/>
        <v>20.505777777777773</v>
      </c>
      <c r="CB238" s="701">
        <f t="shared" si="267"/>
        <v>21.017288888888881</v>
      </c>
      <c r="CC238" s="701">
        <f t="shared" si="267"/>
        <v>21.528799999999997</v>
      </c>
      <c r="CD238" s="701">
        <f t="shared" si="267"/>
        <v>21.944279999999999</v>
      </c>
      <c r="CE238" s="701">
        <f t="shared" si="267"/>
        <v>22.359759999999998</v>
      </c>
      <c r="CF238" s="701">
        <f t="shared" si="267"/>
        <v>22.775239999999993</v>
      </c>
      <c r="CG238" s="701">
        <f t="shared" si="267"/>
        <v>23.190719999999999</v>
      </c>
      <c r="CH238" s="701">
        <f t="shared" si="267"/>
        <v>23.606199999999994</v>
      </c>
      <c r="CI238" s="701">
        <f t="shared" si="267"/>
        <v>24.021679999999989</v>
      </c>
      <c r="CJ238" s="701">
        <f t="shared" si="267"/>
        <v>24.437159999999995</v>
      </c>
      <c r="CK238" s="701">
        <f t="shared" si="267"/>
        <v>24.852639999999994</v>
      </c>
      <c r="CL238" s="701">
        <f t="shared" si="267"/>
        <v>25.268119999999989</v>
      </c>
      <c r="CM238" s="701">
        <f t="shared" si="267"/>
        <v>25.683599999999991</v>
      </c>
      <c r="CN238" s="701">
        <f t="shared" si="267"/>
        <v>26.099079999999994</v>
      </c>
      <c r="CO238" s="701">
        <f t="shared" si="267"/>
        <v>26.514559999999999</v>
      </c>
      <c r="CP238" s="701">
        <f t="shared" si="263"/>
        <v>26.871469333333334</v>
      </c>
      <c r="CQ238" s="701">
        <f t="shared" si="263"/>
        <v>27.228378666666668</v>
      </c>
      <c r="CR238" s="701">
        <f t="shared" si="263"/>
        <v>27.585287999999998</v>
      </c>
      <c r="CS238" s="701">
        <f t="shared" si="263"/>
        <v>27.942197333333329</v>
      </c>
      <c r="CT238" s="701">
        <f t="shared" si="263"/>
        <v>28.299106666666667</v>
      </c>
      <c r="CU238" s="701">
        <f t="shared" si="263"/>
        <v>28.656015999999997</v>
      </c>
      <c r="CV238" s="701">
        <f t="shared" si="263"/>
        <v>29.012925333333328</v>
      </c>
      <c r="CW238" s="701">
        <f t="shared" si="263"/>
        <v>29.369834666666659</v>
      </c>
      <c r="CX238" s="701">
        <f t="shared" si="263"/>
        <v>29.726743999999989</v>
      </c>
      <c r="CY238" s="701">
        <f t="shared" si="263"/>
        <v>30.083653333333316</v>
      </c>
      <c r="CZ238" s="701">
        <f t="shared" si="263"/>
        <v>30.440562666666647</v>
      </c>
      <c r="DA238" s="701">
        <f t="shared" si="263"/>
        <v>30.797471999999999</v>
      </c>
      <c r="DC238" s="12">
        <f t="shared" si="254"/>
        <v>15.117529668</v>
      </c>
      <c r="DD238" s="12">
        <f t="shared" si="255"/>
        <v>80.359149903999992</v>
      </c>
      <c r="DE238" s="702">
        <f t="shared" si="256"/>
        <v>146.50939999999994</v>
      </c>
      <c r="DF238" s="12">
        <f t="shared" si="259"/>
        <v>184.68800000000007</v>
      </c>
      <c r="DG238" s="12">
        <f t="shared" si="260"/>
        <v>224.58586666666665</v>
      </c>
      <c r="DH238" s="12">
        <f t="shared" si="257"/>
        <v>290.75304</v>
      </c>
      <c r="DI238" s="12">
        <f t="shared" si="261"/>
        <v>346.01364799999999</v>
      </c>
    </row>
    <row r="239" spans="2:119" outlineLevel="1">
      <c r="F239" s="126" t="s">
        <v>799</v>
      </c>
      <c r="I239" s="609" t="s">
        <v>736</v>
      </c>
      <c r="O239" s="710"/>
      <c r="P239" s="710"/>
      <c r="Q239" s="710"/>
      <c r="R239" s="710"/>
      <c r="S239" s="710"/>
      <c r="T239" s="710"/>
      <c r="U239" s="710"/>
      <c r="V239" s="710"/>
      <c r="W239" s="710"/>
      <c r="X239" s="710"/>
      <c r="Y239" s="710"/>
      <c r="Z239" s="701">
        <f t="shared" si="270"/>
        <v>0</v>
      </c>
      <c r="AA239" s="701">
        <f t="shared" si="270"/>
        <v>0</v>
      </c>
      <c r="AB239" s="701">
        <f t="shared" si="270"/>
        <v>0</v>
      </c>
      <c r="AC239" s="701">
        <f t="shared" si="270"/>
        <v>0</v>
      </c>
      <c r="AD239" s="701">
        <f t="shared" si="270"/>
        <v>0</v>
      </c>
      <c r="AE239" s="701">
        <f t="shared" si="270"/>
        <v>0</v>
      </c>
      <c r="AF239" s="701">
        <f t="shared" si="270"/>
        <v>0</v>
      </c>
      <c r="AG239" s="701">
        <f t="shared" si="269"/>
        <v>0</v>
      </c>
      <c r="AH239" s="701">
        <f t="shared" si="269"/>
        <v>0</v>
      </c>
      <c r="AI239" s="701">
        <f t="shared" si="269"/>
        <v>0</v>
      </c>
      <c r="AJ239" s="701">
        <f t="shared" si="269"/>
        <v>0</v>
      </c>
      <c r="AK239" s="701">
        <f t="shared" si="269"/>
        <v>0</v>
      </c>
      <c r="AL239" s="701">
        <f t="shared" si="269"/>
        <v>0</v>
      </c>
      <c r="AM239" s="701">
        <f t="shared" si="269"/>
        <v>0</v>
      </c>
      <c r="AN239" s="701">
        <f t="shared" si="269"/>
        <v>0</v>
      </c>
      <c r="AO239" s="701">
        <f t="shared" si="269"/>
        <v>0</v>
      </c>
      <c r="AP239" s="701">
        <f t="shared" si="269"/>
        <v>0</v>
      </c>
      <c r="AQ239" s="701">
        <f t="shared" si="269"/>
        <v>0</v>
      </c>
      <c r="AR239" s="701">
        <f t="shared" si="269"/>
        <v>0</v>
      </c>
      <c r="AS239" s="701">
        <f t="shared" si="269"/>
        <v>0</v>
      </c>
      <c r="AT239" s="715">
        <f t="shared" si="269"/>
        <v>0</v>
      </c>
      <c r="AU239" s="715">
        <f t="shared" si="269"/>
        <v>0</v>
      </c>
      <c r="AV239" s="715">
        <f t="shared" si="269"/>
        <v>0</v>
      </c>
      <c r="AW239" s="715">
        <f t="shared" si="269"/>
        <v>0</v>
      </c>
      <c r="AX239" s="715">
        <f t="shared" si="269"/>
        <v>0</v>
      </c>
      <c r="AY239" s="715">
        <f t="shared" si="269"/>
        <v>0</v>
      </c>
      <c r="AZ239" s="715">
        <f t="shared" si="269"/>
        <v>0</v>
      </c>
      <c r="BA239" s="715">
        <f t="shared" si="269"/>
        <v>0</v>
      </c>
      <c r="BB239" s="715">
        <f t="shared" si="269"/>
        <v>0</v>
      </c>
      <c r="BC239" s="715">
        <f t="shared" si="269"/>
        <v>0</v>
      </c>
      <c r="BD239" s="715">
        <f t="shared" si="269"/>
        <v>0</v>
      </c>
      <c r="BE239" s="715">
        <f t="shared" si="269"/>
        <v>0</v>
      </c>
      <c r="BF239" s="701">
        <f t="shared" si="269"/>
        <v>0</v>
      </c>
      <c r="BG239" s="701">
        <f t="shared" si="269"/>
        <v>0</v>
      </c>
      <c r="BH239" s="701">
        <f t="shared" si="269"/>
        <v>0</v>
      </c>
      <c r="BI239" s="701">
        <f t="shared" si="269"/>
        <v>0</v>
      </c>
      <c r="BJ239" s="701">
        <f t="shared" si="269"/>
        <v>0</v>
      </c>
      <c r="BK239" s="701">
        <f t="shared" si="269"/>
        <v>0</v>
      </c>
      <c r="BL239" s="701">
        <f t="shared" si="269"/>
        <v>0</v>
      </c>
      <c r="BM239" s="701">
        <f t="shared" si="267"/>
        <v>0</v>
      </c>
      <c r="BN239" s="701">
        <f t="shared" si="267"/>
        <v>0</v>
      </c>
      <c r="BO239" s="701">
        <f t="shared" si="267"/>
        <v>0</v>
      </c>
      <c r="BP239" s="701">
        <f t="shared" si="267"/>
        <v>0</v>
      </c>
      <c r="BQ239" s="701">
        <f t="shared" si="267"/>
        <v>0</v>
      </c>
      <c r="BR239" s="701">
        <f t="shared" si="267"/>
        <v>0</v>
      </c>
      <c r="BS239" s="701">
        <f t="shared" si="267"/>
        <v>0</v>
      </c>
      <c r="BT239" s="701">
        <f t="shared" si="267"/>
        <v>0</v>
      </c>
      <c r="BU239" s="701">
        <f t="shared" si="267"/>
        <v>0</v>
      </c>
      <c r="BV239" s="701">
        <f t="shared" si="267"/>
        <v>0</v>
      </c>
      <c r="BW239" s="701">
        <f t="shared" si="267"/>
        <v>0</v>
      </c>
      <c r="BX239" s="701">
        <f t="shared" si="267"/>
        <v>0</v>
      </c>
      <c r="BY239" s="701">
        <f t="shared" si="267"/>
        <v>0</v>
      </c>
      <c r="BZ239" s="701">
        <f t="shared" si="267"/>
        <v>0</v>
      </c>
      <c r="CA239" s="701">
        <f t="shared" si="267"/>
        <v>0</v>
      </c>
      <c r="CB239" s="701">
        <f t="shared" si="267"/>
        <v>0</v>
      </c>
      <c r="CC239" s="701">
        <f t="shared" si="267"/>
        <v>0</v>
      </c>
      <c r="CD239" s="701">
        <f t="shared" si="267"/>
        <v>0</v>
      </c>
      <c r="CE239" s="701">
        <f t="shared" si="267"/>
        <v>0</v>
      </c>
      <c r="CF239" s="701">
        <f t="shared" si="267"/>
        <v>0</v>
      </c>
      <c r="CG239" s="701">
        <f t="shared" si="267"/>
        <v>0</v>
      </c>
      <c r="CH239" s="701">
        <f t="shared" si="267"/>
        <v>0</v>
      </c>
      <c r="CI239" s="701">
        <f t="shared" si="267"/>
        <v>0</v>
      </c>
      <c r="CJ239" s="701">
        <f t="shared" si="267"/>
        <v>0</v>
      </c>
      <c r="CK239" s="701">
        <f t="shared" si="267"/>
        <v>0</v>
      </c>
      <c r="CL239" s="701">
        <f t="shared" si="267"/>
        <v>0</v>
      </c>
      <c r="CM239" s="701">
        <f t="shared" si="267"/>
        <v>0</v>
      </c>
      <c r="CN239" s="701">
        <f t="shared" si="267"/>
        <v>0</v>
      </c>
      <c r="CO239" s="701">
        <f t="shared" si="267"/>
        <v>0</v>
      </c>
      <c r="CP239" s="701">
        <f t="shared" si="263"/>
        <v>0</v>
      </c>
      <c r="CQ239" s="701">
        <f t="shared" si="263"/>
        <v>0</v>
      </c>
      <c r="CR239" s="701">
        <f t="shared" si="263"/>
        <v>0</v>
      </c>
      <c r="CS239" s="701">
        <f t="shared" si="263"/>
        <v>0</v>
      </c>
      <c r="CT239" s="701">
        <f t="shared" si="263"/>
        <v>0</v>
      </c>
      <c r="CU239" s="701">
        <f t="shared" si="263"/>
        <v>0</v>
      </c>
      <c r="CV239" s="701">
        <f t="shared" si="263"/>
        <v>0</v>
      </c>
      <c r="CW239" s="701">
        <f t="shared" si="263"/>
        <v>0</v>
      </c>
      <c r="CX239" s="701">
        <f t="shared" si="263"/>
        <v>0</v>
      </c>
      <c r="CY239" s="701">
        <f t="shared" si="263"/>
        <v>0</v>
      </c>
      <c r="CZ239" s="701">
        <f t="shared" si="263"/>
        <v>0</v>
      </c>
      <c r="DA239" s="701">
        <f t="shared" si="263"/>
        <v>0</v>
      </c>
      <c r="DC239" s="12">
        <f t="shared" si="254"/>
        <v>0</v>
      </c>
      <c r="DD239" s="12">
        <f t="shared" si="255"/>
        <v>0</v>
      </c>
      <c r="DE239" s="12">
        <f t="shared" si="256"/>
        <v>0</v>
      </c>
      <c r="DF239" s="12">
        <f t="shared" si="259"/>
        <v>0</v>
      </c>
      <c r="DG239" s="12">
        <f t="shared" si="260"/>
        <v>0</v>
      </c>
      <c r="DH239" s="12">
        <f t="shared" si="257"/>
        <v>0</v>
      </c>
      <c r="DI239" s="12">
        <f t="shared" si="261"/>
        <v>0</v>
      </c>
    </row>
    <row r="240" spans="2:119" outlineLevel="1">
      <c r="F240" s="126" t="s">
        <v>800</v>
      </c>
      <c r="I240" s="609" t="s">
        <v>736</v>
      </c>
      <c r="O240" s="710"/>
      <c r="P240" s="710"/>
      <c r="Q240" s="710"/>
      <c r="R240" s="710"/>
      <c r="S240" s="710"/>
      <c r="T240" s="710"/>
      <c r="U240" s="710"/>
      <c r="V240" s="710"/>
      <c r="W240" s="710"/>
      <c r="X240" s="710"/>
      <c r="Y240" s="710"/>
      <c r="Z240" s="701"/>
      <c r="AA240" s="701"/>
      <c r="AB240" s="701"/>
      <c r="AC240" s="701"/>
      <c r="AD240" s="701"/>
      <c r="AE240" s="701"/>
      <c r="AF240" s="701"/>
      <c r="AG240" s="701"/>
      <c r="AH240" s="701"/>
      <c r="AI240" s="701"/>
      <c r="AJ240" s="701"/>
      <c r="AK240" s="701"/>
      <c r="AL240" s="701"/>
      <c r="AM240" s="701"/>
      <c r="AN240" s="701"/>
      <c r="AO240" s="701"/>
      <c r="AP240" s="701"/>
      <c r="AQ240" s="701"/>
      <c r="AR240" s="701"/>
      <c r="AS240" s="701"/>
      <c r="AT240" s="715"/>
      <c r="AU240" s="715"/>
      <c r="AV240" s="715"/>
      <c r="AW240" s="715"/>
      <c r="AX240" s="715"/>
      <c r="AY240" s="715"/>
      <c r="AZ240" s="715"/>
      <c r="BA240" s="715"/>
      <c r="BB240" s="715"/>
      <c r="BC240" s="715"/>
      <c r="BD240" s="715"/>
      <c r="BE240" s="715"/>
      <c r="BF240" s="701"/>
      <c r="BG240" s="701"/>
      <c r="BH240" s="701"/>
      <c r="BI240" s="701"/>
      <c r="BJ240" s="701"/>
      <c r="BK240" s="701"/>
      <c r="BL240" s="701"/>
      <c r="BM240" s="701"/>
      <c r="BN240" s="701"/>
      <c r="BO240" s="701"/>
      <c r="BP240" s="701"/>
      <c r="BQ240" s="701"/>
      <c r="BR240" s="701"/>
      <c r="BS240" s="701"/>
      <c r="BT240" s="701"/>
      <c r="BU240" s="701"/>
      <c r="BV240" s="701"/>
      <c r="BW240" s="701"/>
      <c r="BX240" s="701"/>
      <c r="BY240" s="701"/>
      <c r="BZ240" s="701"/>
      <c r="CA240" s="701"/>
      <c r="CB240" s="701"/>
      <c r="CC240" s="701"/>
      <c r="CD240" s="701"/>
      <c r="CE240" s="701"/>
      <c r="CF240" s="701"/>
      <c r="CG240" s="701"/>
      <c r="CH240" s="701"/>
      <c r="CI240" s="701"/>
      <c r="CJ240" s="701"/>
      <c r="CK240" s="701"/>
      <c r="CL240" s="701"/>
      <c r="CM240" s="701"/>
      <c r="CN240" s="701"/>
      <c r="CO240" s="701"/>
      <c r="CP240" s="701"/>
      <c r="CQ240" s="701"/>
      <c r="CR240" s="701"/>
      <c r="CS240" s="701"/>
      <c r="CT240" s="701"/>
      <c r="CU240" s="701"/>
      <c r="CV240" s="701"/>
      <c r="CW240" s="701"/>
      <c r="CX240" s="701"/>
      <c r="CY240" s="701"/>
      <c r="CZ240" s="701"/>
      <c r="DA240" s="701"/>
      <c r="DC240" s="12">
        <f t="shared" ref="DC240:DC248" si="271">SUM(V240:AG240)</f>
        <v>0</v>
      </c>
      <c r="DD240" s="12">
        <f t="shared" ref="DD240:DD248" si="272">SUM(AH240:AS240)</f>
        <v>0</v>
      </c>
      <c r="DE240" s="12">
        <f t="shared" ref="DE240:DE248" si="273">SUM(AT240:BE240)</f>
        <v>0</v>
      </c>
      <c r="DF240" s="12">
        <f t="shared" ref="DF240:DF248" si="274">SUM(BF240:BQ240)</f>
        <v>0</v>
      </c>
      <c r="DG240" s="12">
        <f t="shared" ref="DG240:DG248" si="275">SUM(BR240:CC240)</f>
        <v>0</v>
      </c>
      <c r="DH240" s="12">
        <f t="shared" ref="DH240:DH248" si="276">SUM(CD240:CO240)</f>
        <v>0</v>
      </c>
      <c r="DI240" s="12">
        <f t="shared" si="261"/>
        <v>0</v>
      </c>
    </row>
    <row r="241" spans="2:113" outlineLevel="1">
      <c r="F241" s="126" t="s">
        <v>223</v>
      </c>
      <c r="I241" s="609" t="s">
        <v>736</v>
      </c>
      <c r="O241" s="710"/>
      <c r="P241" s="710"/>
      <c r="Q241" s="710"/>
      <c r="R241" s="710"/>
      <c r="S241" s="710"/>
      <c r="T241" s="710"/>
      <c r="U241" s="710"/>
      <c r="V241" s="710"/>
      <c r="W241" s="710"/>
      <c r="X241" s="710"/>
      <c r="Y241" s="710"/>
      <c r="Z241" s="701"/>
      <c r="AA241" s="701"/>
      <c r="AB241" s="701"/>
      <c r="AC241" s="701"/>
      <c r="AD241" s="701"/>
      <c r="AE241" s="701"/>
      <c r="AF241" s="701"/>
      <c r="AG241" s="701"/>
      <c r="AH241" s="701"/>
      <c r="AI241" s="701"/>
      <c r="AJ241" s="701"/>
      <c r="AK241" s="701"/>
      <c r="AL241" s="701"/>
      <c r="AM241" s="701"/>
      <c r="AN241" s="701"/>
      <c r="AO241" s="701"/>
      <c r="AP241" s="701"/>
      <c r="AQ241" s="701"/>
      <c r="AR241" s="701"/>
      <c r="AS241" s="701"/>
      <c r="AT241" s="715"/>
      <c r="AU241" s="715"/>
      <c r="AV241" s="715"/>
      <c r="AW241" s="715"/>
      <c r="AX241" s="715"/>
      <c r="AY241" s="715"/>
      <c r="AZ241" s="715"/>
      <c r="BA241" s="715"/>
      <c r="BB241" s="715"/>
      <c r="BC241" s="715"/>
      <c r="BD241" s="715"/>
      <c r="BE241" s="715"/>
      <c r="BF241" s="701"/>
      <c r="BG241" s="701"/>
      <c r="BH241" s="701"/>
      <c r="BI241" s="701"/>
      <c r="BJ241" s="701"/>
      <c r="BK241" s="701"/>
      <c r="BL241" s="701"/>
      <c r="BM241" s="701"/>
      <c r="BN241" s="701"/>
      <c r="BO241" s="701"/>
      <c r="BP241" s="701"/>
      <c r="BQ241" s="701"/>
      <c r="BR241" s="701"/>
      <c r="BS241" s="701"/>
      <c r="BT241" s="701"/>
      <c r="BU241" s="701"/>
      <c r="BV241" s="701"/>
      <c r="BW241" s="701"/>
      <c r="BX241" s="701"/>
      <c r="BY241" s="701"/>
      <c r="BZ241" s="701"/>
      <c r="CA241" s="701"/>
      <c r="CB241" s="701"/>
      <c r="CC241" s="701"/>
      <c r="CD241" s="701"/>
      <c r="CE241" s="701"/>
      <c r="CF241" s="701"/>
      <c r="CG241" s="701"/>
      <c r="CH241" s="701"/>
      <c r="CI241" s="701"/>
      <c r="CJ241" s="701"/>
      <c r="CK241" s="701"/>
      <c r="CL241" s="701"/>
      <c r="CM241" s="701"/>
      <c r="CN241" s="701"/>
      <c r="CO241" s="701"/>
      <c r="CP241" s="701"/>
      <c r="CQ241" s="701"/>
      <c r="CR241" s="701"/>
      <c r="CS241" s="701"/>
      <c r="CT241" s="701"/>
      <c r="CU241" s="701"/>
      <c r="CV241" s="701"/>
      <c r="CW241" s="701"/>
      <c r="CX241" s="701"/>
      <c r="CY241" s="701"/>
      <c r="CZ241" s="701"/>
      <c r="DA241" s="701"/>
      <c r="DC241" s="12">
        <f t="shared" si="271"/>
        <v>0</v>
      </c>
      <c r="DD241" s="12">
        <f t="shared" si="272"/>
        <v>0</v>
      </c>
      <c r="DE241" s="12">
        <f t="shared" si="273"/>
        <v>0</v>
      </c>
      <c r="DF241" s="12">
        <f t="shared" si="274"/>
        <v>0</v>
      </c>
      <c r="DG241" s="12">
        <f t="shared" si="275"/>
        <v>0</v>
      </c>
      <c r="DH241" s="12">
        <f t="shared" si="276"/>
        <v>0</v>
      </c>
      <c r="DI241" s="12">
        <f t="shared" si="261"/>
        <v>0</v>
      </c>
    </row>
    <row r="242" spans="2:113" outlineLevel="1">
      <c r="F242" s="126" t="s">
        <v>221</v>
      </c>
      <c r="I242" s="609" t="s">
        <v>736</v>
      </c>
      <c r="O242" s="710"/>
      <c r="P242" s="710"/>
      <c r="Q242" s="710"/>
      <c r="R242" s="710"/>
      <c r="S242" s="710"/>
      <c r="T242" s="710"/>
      <c r="U242" s="710"/>
      <c r="V242" s="710"/>
      <c r="W242" s="710"/>
      <c r="X242" s="710"/>
      <c r="Y242" s="710"/>
      <c r="Z242" s="701"/>
      <c r="AA242" s="701"/>
      <c r="AB242" s="701"/>
      <c r="AC242" s="701"/>
      <c r="AD242" s="701"/>
      <c r="AE242" s="701"/>
      <c r="AF242" s="701"/>
      <c r="AG242" s="701"/>
      <c r="AH242" s="701"/>
      <c r="AI242" s="701"/>
      <c r="AJ242" s="701"/>
      <c r="AK242" s="701"/>
      <c r="AL242" s="701"/>
      <c r="AM242" s="701"/>
      <c r="AN242" s="701"/>
      <c r="AO242" s="701"/>
      <c r="AP242" s="701"/>
      <c r="AQ242" s="701"/>
      <c r="AR242" s="701"/>
      <c r="AS242" s="701"/>
      <c r="AT242" s="715"/>
      <c r="AU242" s="715"/>
      <c r="AV242" s="715"/>
      <c r="AW242" s="715"/>
      <c r="AX242" s="715"/>
      <c r="AY242" s="715"/>
      <c r="AZ242" s="715"/>
      <c r="BA242" s="715"/>
      <c r="BB242" s="715"/>
      <c r="BC242" s="715"/>
      <c r="BD242" s="715"/>
      <c r="BE242" s="715"/>
      <c r="BF242" s="701"/>
      <c r="BG242" s="701"/>
      <c r="BH242" s="701"/>
      <c r="BI242" s="701"/>
      <c r="BJ242" s="701"/>
      <c r="BK242" s="701"/>
      <c r="BL242" s="701"/>
      <c r="BM242" s="701"/>
      <c r="BN242" s="701"/>
      <c r="BO242" s="701"/>
      <c r="BP242" s="701"/>
      <c r="BQ242" s="701"/>
      <c r="BR242" s="701"/>
      <c r="BS242" s="701"/>
      <c r="BT242" s="701"/>
      <c r="BU242" s="701"/>
      <c r="BV242" s="701"/>
      <c r="BW242" s="701"/>
      <c r="BX242" s="701"/>
      <c r="BY242" s="701"/>
      <c r="BZ242" s="701"/>
      <c r="CA242" s="701"/>
      <c r="CB242" s="701"/>
      <c r="CC242" s="701"/>
      <c r="CD242" s="701"/>
      <c r="CE242" s="701"/>
      <c r="CF242" s="701"/>
      <c r="CG242" s="701"/>
      <c r="CH242" s="701"/>
      <c r="CI242" s="701"/>
      <c r="CJ242" s="701"/>
      <c r="CK242" s="701"/>
      <c r="CL242" s="701"/>
      <c r="CM242" s="701"/>
      <c r="CN242" s="701"/>
      <c r="CO242" s="701"/>
      <c r="CP242" s="701"/>
      <c r="CQ242" s="701"/>
      <c r="CR242" s="701"/>
      <c r="CS242" s="701"/>
      <c r="CT242" s="701"/>
      <c r="CU242" s="701"/>
      <c r="CV242" s="701"/>
      <c r="CW242" s="701"/>
      <c r="CX242" s="701"/>
      <c r="CY242" s="701"/>
      <c r="CZ242" s="701"/>
      <c r="DA242" s="701"/>
      <c r="DC242" s="12">
        <f t="shared" si="271"/>
        <v>0</v>
      </c>
      <c r="DD242" s="12">
        <f t="shared" si="272"/>
        <v>0</v>
      </c>
      <c r="DE242" s="12">
        <f t="shared" si="273"/>
        <v>0</v>
      </c>
      <c r="DF242" s="12">
        <f t="shared" si="274"/>
        <v>0</v>
      </c>
      <c r="DG242" s="12">
        <f t="shared" si="275"/>
        <v>0</v>
      </c>
      <c r="DH242" s="12">
        <f t="shared" si="276"/>
        <v>0</v>
      </c>
      <c r="DI242" s="12">
        <f t="shared" si="261"/>
        <v>0</v>
      </c>
    </row>
    <row r="243" spans="2:113" outlineLevel="1">
      <c r="F243" s="126" t="s">
        <v>801</v>
      </c>
      <c r="I243" s="609" t="s">
        <v>736</v>
      </c>
      <c r="O243" s="710"/>
      <c r="P243" s="710"/>
      <c r="Q243" s="710"/>
      <c r="R243" s="710"/>
      <c r="S243" s="710"/>
      <c r="T243" s="710"/>
      <c r="U243" s="710"/>
      <c r="V243" s="701"/>
      <c r="W243" s="701"/>
      <c r="X243" s="701"/>
      <c r="Y243" s="701"/>
      <c r="Z243" s="701">
        <f t="shared" ref="Z243:CK243" si="277">Z285+Z326</f>
        <v>0</v>
      </c>
      <c r="AA243" s="701">
        <f t="shared" si="277"/>
        <v>0</v>
      </c>
      <c r="AB243" s="701">
        <f t="shared" si="277"/>
        <v>0</v>
      </c>
      <c r="AC243" s="701">
        <f t="shared" si="277"/>
        <v>0</v>
      </c>
      <c r="AD243" s="701">
        <f t="shared" si="277"/>
        <v>0</v>
      </c>
      <c r="AE243" s="701">
        <f t="shared" si="277"/>
        <v>0</v>
      </c>
      <c r="AF243" s="701">
        <f t="shared" si="277"/>
        <v>0</v>
      </c>
      <c r="AG243" s="701">
        <f t="shared" si="277"/>
        <v>0</v>
      </c>
      <c r="AH243" s="701">
        <f t="shared" si="277"/>
        <v>0</v>
      </c>
      <c r="AI243" s="701">
        <f t="shared" si="277"/>
        <v>0</v>
      </c>
      <c r="AJ243" s="701">
        <f t="shared" si="277"/>
        <v>0</v>
      </c>
      <c r="AK243" s="701">
        <f t="shared" si="277"/>
        <v>0</v>
      </c>
      <c r="AL243" s="701">
        <f t="shared" si="277"/>
        <v>0</v>
      </c>
      <c r="AM243" s="701">
        <f t="shared" si="277"/>
        <v>0</v>
      </c>
      <c r="AN243" s="701">
        <f t="shared" si="277"/>
        <v>0</v>
      </c>
      <c r="AO243" s="701">
        <f t="shared" si="277"/>
        <v>0</v>
      </c>
      <c r="AP243" s="701">
        <f t="shared" si="277"/>
        <v>0</v>
      </c>
      <c r="AQ243" s="701">
        <f t="shared" si="277"/>
        <v>0</v>
      </c>
      <c r="AR243" s="701">
        <f t="shared" si="277"/>
        <v>0</v>
      </c>
      <c r="AS243" s="701">
        <f t="shared" si="277"/>
        <v>0</v>
      </c>
      <c r="AT243" s="715">
        <f t="shared" si="277"/>
        <v>0</v>
      </c>
      <c r="AU243" s="715">
        <f t="shared" si="277"/>
        <v>0</v>
      </c>
      <c r="AV243" s="715">
        <f t="shared" si="277"/>
        <v>0</v>
      </c>
      <c r="AW243" s="715">
        <f t="shared" si="277"/>
        <v>0</v>
      </c>
      <c r="AX243" s="715">
        <f t="shared" si="277"/>
        <v>0</v>
      </c>
      <c r="AY243" s="715">
        <f t="shared" si="277"/>
        <v>0</v>
      </c>
      <c r="AZ243" s="715">
        <f t="shared" si="277"/>
        <v>0</v>
      </c>
      <c r="BA243" s="715">
        <f t="shared" si="277"/>
        <v>0</v>
      </c>
      <c r="BB243" s="715">
        <f t="shared" si="277"/>
        <v>0</v>
      </c>
      <c r="BC243" s="715">
        <f t="shared" si="277"/>
        <v>0</v>
      </c>
      <c r="BD243" s="715">
        <f t="shared" si="277"/>
        <v>0</v>
      </c>
      <c r="BE243" s="715">
        <f t="shared" si="277"/>
        <v>0</v>
      </c>
      <c r="BF243" s="701">
        <f t="shared" si="277"/>
        <v>0</v>
      </c>
      <c r="BG243" s="701">
        <f t="shared" si="277"/>
        <v>0</v>
      </c>
      <c r="BH243" s="701">
        <f t="shared" si="277"/>
        <v>0</v>
      </c>
      <c r="BI243" s="701">
        <f t="shared" si="277"/>
        <v>0</v>
      </c>
      <c r="BJ243" s="701">
        <f t="shared" si="277"/>
        <v>0</v>
      </c>
      <c r="BK243" s="701">
        <f t="shared" si="277"/>
        <v>0</v>
      </c>
      <c r="BL243" s="701">
        <f t="shared" si="277"/>
        <v>0</v>
      </c>
      <c r="BM243" s="701">
        <f t="shared" si="277"/>
        <v>0</v>
      </c>
      <c r="BN243" s="701">
        <f t="shared" si="277"/>
        <v>0</v>
      </c>
      <c r="BO243" s="701">
        <f t="shared" si="277"/>
        <v>0</v>
      </c>
      <c r="BP243" s="701">
        <f t="shared" si="277"/>
        <v>0</v>
      </c>
      <c r="BQ243" s="701">
        <f t="shared" si="277"/>
        <v>0</v>
      </c>
      <c r="BR243" s="701">
        <f t="shared" si="277"/>
        <v>0</v>
      </c>
      <c r="BS243" s="701">
        <f t="shared" si="277"/>
        <v>0</v>
      </c>
      <c r="BT243" s="701">
        <f t="shared" si="277"/>
        <v>0</v>
      </c>
      <c r="BU243" s="701">
        <f t="shared" si="277"/>
        <v>0</v>
      </c>
      <c r="BV243" s="701">
        <f t="shared" si="277"/>
        <v>0</v>
      </c>
      <c r="BW243" s="701">
        <f t="shared" si="277"/>
        <v>0</v>
      </c>
      <c r="BX243" s="701">
        <f t="shared" si="277"/>
        <v>0</v>
      </c>
      <c r="BY243" s="701">
        <f t="shared" si="277"/>
        <v>0</v>
      </c>
      <c r="BZ243" s="701">
        <f t="shared" si="277"/>
        <v>0</v>
      </c>
      <c r="CA243" s="701">
        <f t="shared" si="277"/>
        <v>0</v>
      </c>
      <c r="CB243" s="701">
        <f t="shared" si="277"/>
        <v>0</v>
      </c>
      <c r="CC243" s="701">
        <f t="shared" si="277"/>
        <v>0</v>
      </c>
      <c r="CD243" s="701">
        <f t="shared" si="277"/>
        <v>0</v>
      </c>
      <c r="CE243" s="701">
        <f t="shared" si="277"/>
        <v>0</v>
      </c>
      <c r="CF243" s="701">
        <f t="shared" si="277"/>
        <v>0</v>
      </c>
      <c r="CG243" s="701">
        <f t="shared" si="277"/>
        <v>0</v>
      </c>
      <c r="CH243" s="701">
        <f t="shared" si="277"/>
        <v>0</v>
      </c>
      <c r="CI243" s="701">
        <f t="shared" si="277"/>
        <v>0</v>
      </c>
      <c r="CJ243" s="701">
        <f t="shared" si="277"/>
        <v>0</v>
      </c>
      <c r="CK243" s="701">
        <f t="shared" si="277"/>
        <v>0</v>
      </c>
      <c r="CL243" s="701">
        <f t="shared" ref="CL243:DA243" si="278">CL285+CL326</f>
        <v>0</v>
      </c>
      <c r="CM243" s="701">
        <f t="shared" si="278"/>
        <v>0</v>
      </c>
      <c r="CN243" s="701">
        <f t="shared" si="278"/>
        <v>0</v>
      </c>
      <c r="CO243" s="701">
        <f t="shared" si="278"/>
        <v>0</v>
      </c>
      <c r="CP243" s="701">
        <f t="shared" si="278"/>
        <v>0</v>
      </c>
      <c r="CQ243" s="701">
        <f t="shared" si="278"/>
        <v>0</v>
      </c>
      <c r="CR243" s="701">
        <f t="shared" si="278"/>
        <v>0</v>
      </c>
      <c r="CS243" s="701">
        <f t="shared" si="278"/>
        <v>0</v>
      </c>
      <c r="CT243" s="701">
        <f t="shared" si="278"/>
        <v>0</v>
      </c>
      <c r="CU243" s="701">
        <f t="shared" si="278"/>
        <v>0</v>
      </c>
      <c r="CV243" s="701">
        <f t="shared" si="278"/>
        <v>0</v>
      </c>
      <c r="CW243" s="701">
        <f t="shared" si="278"/>
        <v>0</v>
      </c>
      <c r="CX243" s="701">
        <f t="shared" si="278"/>
        <v>0</v>
      </c>
      <c r="CY243" s="701">
        <f t="shared" si="278"/>
        <v>0</v>
      </c>
      <c r="CZ243" s="701">
        <f t="shared" si="278"/>
        <v>0</v>
      </c>
      <c r="DA243" s="701">
        <f t="shared" si="278"/>
        <v>0</v>
      </c>
      <c r="DC243" s="12">
        <f t="shared" si="271"/>
        <v>0</v>
      </c>
      <c r="DD243" s="12">
        <f t="shared" si="272"/>
        <v>0</v>
      </c>
      <c r="DE243" s="12">
        <f t="shared" si="273"/>
        <v>0</v>
      </c>
      <c r="DF243" s="12">
        <f t="shared" si="274"/>
        <v>0</v>
      </c>
      <c r="DG243" s="12">
        <f t="shared" si="275"/>
        <v>0</v>
      </c>
      <c r="DH243" s="12">
        <f t="shared" si="276"/>
        <v>0</v>
      </c>
      <c r="DI243" s="758">
        <f t="shared" si="261"/>
        <v>0</v>
      </c>
    </row>
    <row r="244" spans="2:113" outlineLevel="1">
      <c r="F244" s="126" t="s">
        <v>802</v>
      </c>
      <c r="I244" s="609" t="s">
        <v>736</v>
      </c>
      <c r="O244" s="710"/>
      <c r="P244" s="710"/>
      <c r="Q244" s="710"/>
      <c r="R244" s="710"/>
      <c r="S244" s="710"/>
      <c r="T244" s="710"/>
      <c r="U244" s="710"/>
      <c r="V244" s="710"/>
      <c r="W244" s="710"/>
      <c r="X244" s="710"/>
      <c r="Y244" s="710"/>
      <c r="Z244" s="701"/>
      <c r="AA244" s="701"/>
      <c r="AB244" s="701"/>
      <c r="AC244" s="701"/>
      <c r="AD244" s="701"/>
      <c r="AE244" s="701"/>
      <c r="AF244" s="701"/>
      <c r="AG244" s="701"/>
      <c r="AH244" s="701"/>
      <c r="AI244" s="701"/>
      <c r="AJ244" s="701"/>
      <c r="AK244" s="701"/>
      <c r="AL244" s="701"/>
      <c r="AM244" s="701"/>
      <c r="AN244" s="701"/>
      <c r="AO244" s="701"/>
      <c r="AP244" s="701"/>
      <c r="AQ244" s="701"/>
      <c r="AR244" s="701"/>
      <c r="AS244" s="701"/>
      <c r="AT244" s="715"/>
      <c r="AU244" s="715"/>
      <c r="AV244" s="715"/>
      <c r="AW244" s="715"/>
      <c r="AX244" s="715"/>
      <c r="AY244" s="715"/>
      <c r="AZ244" s="715"/>
      <c r="BA244" s="715"/>
      <c r="BB244" s="715"/>
      <c r="BC244" s="715"/>
      <c r="BD244" s="715"/>
      <c r="BE244" s="715"/>
      <c r="BF244" s="701"/>
      <c r="BG244" s="701"/>
      <c r="BH244" s="701"/>
      <c r="BI244" s="701"/>
      <c r="BJ244" s="701"/>
      <c r="BK244" s="701"/>
      <c r="BL244" s="701"/>
      <c r="BM244" s="701"/>
      <c r="BN244" s="701"/>
      <c r="BO244" s="701"/>
      <c r="BP244" s="701"/>
      <c r="BQ244" s="701"/>
      <c r="BR244" s="701"/>
      <c r="BS244" s="701"/>
      <c r="BT244" s="701"/>
      <c r="BU244" s="701"/>
      <c r="BV244" s="701"/>
      <c r="BW244" s="701"/>
      <c r="BX244" s="701"/>
      <c r="BY244" s="701"/>
      <c r="BZ244" s="701"/>
      <c r="CA244" s="701"/>
      <c r="CB244" s="701"/>
      <c r="CC244" s="701"/>
      <c r="CD244" s="701"/>
      <c r="CE244" s="701"/>
      <c r="CF244" s="701"/>
      <c r="CG244" s="701"/>
      <c r="CH244" s="701"/>
      <c r="CI244" s="701"/>
      <c r="CJ244" s="701"/>
      <c r="CK244" s="701"/>
      <c r="CL244" s="701"/>
      <c r="CM244" s="701"/>
      <c r="CN244" s="701"/>
      <c r="CO244" s="701"/>
      <c r="CP244" s="701"/>
      <c r="CQ244" s="701"/>
      <c r="CR244" s="701"/>
      <c r="CS244" s="701"/>
      <c r="CT244" s="701"/>
      <c r="CU244" s="701"/>
      <c r="CV244" s="701"/>
      <c r="CW244" s="701"/>
      <c r="CX244" s="701"/>
      <c r="CY244" s="701"/>
      <c r="CZ244" s="701"/>
      <c r="DA244" s="701"/>
      <c r="DC244" s="12">
        <f t="shared" si="271"/>
        <v>0</v>
      </c>
      <c r="DD244" s="12">
        <f t="shared" si="272"/>
        <v>0</v>
      </c>
      <c r="DE244" s="12">
        <f t="shared" si="273"/>
        <v>0</v>
      </c>
      <c r="DF244" s="12">
        <f t="shared" si="274"/>
        <v>0</v>
      </c>
      <c r="DG244" s="12">
        <f t="shared" si="275"/>
        <v>0</v>
      </c>
      <c r="DH244" s="12">
        <f t="shared" si="276"/>
        <v>0</v>
      </c>
      <c r="DI244" s="12">
        <f t="shared" si="261"/>
        <v>0</v>
      </c>
    </row>
    <row r="245" spans="2:113" outlineLevel="1">
      <c r="F245" s="126" t="s">
        <v>831</v>
      </c>
      <c r="I245" s="609" t="s">
        <v>736</v>
      </c>
      <c r="O245" s="710"/>
      <c r="P245" s="710"/>
      <c r="Q245" s="710"/>
      <c r="R245" s="710"/>
      <c r="S245" s="710"/>
      <c r="T245" s="710"/>
      <c r="U245" s="710"/>
      <c r="V245" s="710"/>
      <c r="W245" s="710"/>
      <c r="X245" s="710"/>
      <c r="Y245" s="710"/>
      <c r="Z245" s="701"/>
      <c r="AA245" s="701"/>
      <c r="AB245" s="701"/>
      <c r="AC245" s="701"/>
      <c r="AD245" s="701"/>
      <c r="AE245" s="701"/>
      <c r="AF245" s="701"/>
      <c r="AG245" s="701"/>
      <c r="AH245" s="701"/>
      <c r="AI245" s="701"/>
      <c r="AJ245" s="701"/>
      <c r="AK245" s="701"/>
      <c r="AL245" s="701"/>
      <c r="AM245" s="701"/>
      <c r="AN245" s="701"/>
      <c r="AO245" s="701"/>
      <c r="AP245" s="701"/>
      <c r="AQ245" s="701"/>
      <c r="AR245" s="701"/>
      <c r="AS245" s="701"/>
      <c r="AT245" s="715"/>
      <c r="AU245" s="715"/>
      <c r="AV245" s="715"/>
      <c r="AW245" s="715"/>
      <c r="AX245" s="715"/>
      <c r="AY245" s="715"/>
      <c r="AZ245" s="715"/>
      <c r="BA245" s="715"/>
      <c r="BB245" s="715"/>
      <c r="BC245" s="715"/>
      <c r="BD245" s="715"/>
      <c r="BE245" s="715"/>
      <c r="BF245" s="701"/>
      <c r="BG245" s="701"/>
      <c r="BH245" s="701"/>
      <c r="BI245" s="701"/>
      <c r="BJ245" s="701"/>
      <c r="BK245" s="701"/>
      <c r="BL245" s="701"/>
      <c r="BM245" s="701"/>
      <c r="BN245" s="701"/>
      <c r="BO245" s="701"/>
      <c r="BP245" s="701"/>
      <c r="BQ245" s="701"/>
      <c r="BR245" s="701"/>
      <c r="BS245" s="701"/>
      <c r="BT245" s="701"/>
      <c r="BU245" s="701"/>
      <c r="BV245" s="701"/>
      <c r="BW245" s="701"/>
      <c r="BX245" s="701"/>
      <c r="BY245" s="701"/>
      <c r="BZ245" s="701"/>
      <c r="CA245" s="701"/>
      <c r="CB245" s="701"/>
      <c r="CC245" s="701"/>
      <c r="CD245" s="701"/>
      <c r="CE245" s="701"/>
      <c r="CF245" s="701"/>
      <c r="CG245" s="701"/>
      <c r="CH245" s="701"/>
      <c r="CI245" s="701"/>
      <c r="CJ245" s="701"/>
      <c r="CK245" s="701"/>
      <c r="CL245" s="701"/>
      <c r="CM245" s="701"/>
      <c r="CN245" s="701"/>
      <c r="CO245" s="701"/>
      <c r="CP245" s="701"/>
      <c r="CQ245" s="701"/>
      <c r="CR245" s="701"/>
      <c r="CS245" s="701"/>
      <c r="CT245" s="701"/>
      <c r="CU245" s="701"/>
      <c r="CV245" s="701"/>
      <c r="CW245" s="701"/>
      <c r="CX245" s="701"/>
      <c r="CY245" s="701"/>
      <c r="CZ245" s="701"/>
      <c r="DA245" s="701"/>
      <c r="DC245" s="12">
        <f t="shared" si="271"/>
        <v>0</v>
      </c>
      <c r="DD245" s="12">
        <f t="shared" si="272"/>
        <v>0</v>
      </c>
      <c r="DE245" s="12">
        <f t="shared" si="273"/>
        <v>0</v>
      </c>
      <c r="DF245" s="12">
        <f t="shared" si="274"/>
        <v>0</v>
      </c>
      <c r="DG245" s="12">
        <f t="shared" si="275"/>
        <v>0</v>
      </c>
      <c r="DH245" s="12">
        <f t="shared" si="276"/>
        <v>0</v>
      </c>
      <c r="DI245" s="12">
        <f t="shared" si="261"/>
        <v>0</v>
      </c>
    </row>
    <row r="246" spans="2:113" outlineLevel="1">
      <c r="F246" s="126" t="s">
        <v>803</v>
      </c>
      <c r="I246" s="609" t="s">
        <v>736</v>
      </c>
      <c r="O246" s="710"/>
      <c r="P246" s="710"/>
      <c r="Q246" s="710"/>
      <c r="R246" s="710"/>
      <c r="S246" s="710"/>
      <c r="T246" s="710"/>
      <c r="U246" s="710"/>
      <c r="V246" s="710"/>
      <c r="W246" s="710"/>
      <c r="X246" s="710"/>
      <c r="Y246" s="710"/>
      <c r="Z246" s="701"/>
      <c r="AA246" s="701"/>
      <c r="AB246" s="701"/>
      <c r="AC246" s="701"/>
      <c r="AD246" s="701"/>
      <c r="AE246" s="701"/>
      <c r="AF246" s="701"/>
      <c r="AG246" s="701"/>
      <c r="AH246" s="701"/>
      <c r="AI246" s="701"/>
      <c r="AJ246" s="701"/>
      <c r="AK246" s="701"/>
      <c r="AL246" s="701"/>
      <c r="AM246" s="701"/>
      <c r="AN246" s="701"/>
      <c r="AO246" s="701"/>
      <c r="AP246" s="701"/>
      <c r="AQ246" s="701"/>
      <c r="AR246" s="701"/>
      <c r="AS246" s="701"/>
      <c r="AT246" s="715"/>
      <c r="AU246" s="715"/>
      <c r="AV246" s="715"/>
      <c r="AW246" s="715"/>
      <c r="AX246" s="715"/>
      <c r="AY246" s="715"/>
      <c r="AZ246" s="715"/>
      <c r="BA246" s="715"/>
      <c r="BB246" s="715"/>
      <c r="BC246" s="715"/>
      <c r="BD246" s="715"/>
      <c r="BE246" s="715"/>
      <c r="BF246" s="701"/>
      <c r="BG246" s="701"/>
      <c r="BH246" s="701"/>
      <c r="BI246" s="701"/>
      <c r="BJ246" s="701"/>
      <c r="BK246" s="701"/>
      <c r="BL246" s="701"/>
      <c r="BM246" s="701"/>
      <c r="BN246" s="701"/>
      <c r="BO246" s="701"/>
      <c r="BP246" s="701"/>
      <c r="BQ246" s="701"/>
      <c r="BR246" s="701"/>
      <c r="BS246" s="701"/>
      <c r="BT246" s="701"/>
      <c r="BU246" s="701"/>
      <c r="BV246" s="701"/>
      <c r="BW246" s="701"/>
      <c r="BX246" s="701"/>
      <c r="BY246" s="701"/>
      <c r="BZ246" s="701"/>
      <c r="CA246" s="701"/>
      <c r="CB246" s="701"/>
      <c r="CC246" s="701"/>
      <c r="CD246" s="701"/>
      <c r="CE246" s="701"/>
      <c r="CF246" s="701"/>
      <c r="CG246" s="701"/>
      <c r="CH246" s="701"/>
      <c r="CI246" s="701"/>
      <c r="CJ246" s="701"/>
      <c r="CK246" s="701"/>
      <c r="CL246" s="701"/>
      <c r="CM246" s="701"/>
      <c r="CN246" s="701"/>
      <c r="CO246" s="701"/>
      <c r="CP246" s="701"/>
      <c r="CQ246" s="701"/>
      <c r="CR246" s="701"/>
      <c r="CS246" s="701"/>
      <c r="CT246" s="701"/>
      <c r="CU246" s="701"/>
      <c r="CV246" s="701"/>
      <c r="CW246" s="701"/>
      <c r="CX246" s="701"/>
      <c r="CY246" s="701"/>
      <c r="CZ246" s="701"/>
      <c r="DA246" s="701"/>
      <c r="DC246" s="12"/>
      <c r="DD246" s="12"/>
      <c r="DE246" s="12"/>
      <c r="DF246" s="12"/>
      <c r="DG246" s="12"/>
      <c r="DH246" s="12"/>
      <c r="DI246" s="12">
        <f t="shared" si="261"/>
        <v>0</v>
      </c>
    </row>
    <row r="247" spans="2:113" outlineLevel="1">
      <c r="F247" s="126" t="s">
        <v>224</v>
      </c>
      <c r="I247" s="609" t="s">
        <v>736</v>
      </c>
      <c r="O247" s="710"/>
      <c r="P247" s="710"/>
      <c r="Q247" s="710"/>
      <c r="R247" s="710"/>
      <c r="S247" s="710"/>
      <c r="T247" s="710"/>
      <c r="U247" s="710"/>
      <c r="V247" s="710"/>
      <c r="W247" s="710"/>
      <c r="X247" s="710"/>
      <c r="Y247" s="710"/>
      <c r="Z247" s="701"/>
      <c r="AA247" s="701"/>
      <c r="AB247" s="701"/>
      <c r="AC247" s="701"/>
      <c r="AD247" s="701"/>
      <c r="AE247" s="701"/>
      <c r="AF247" s="701"/>
      <c r="AG247" s="701"/>
      <c r="AH247" s="701"/>
      <c r="AI247" s="701"/>
      <c r="AJ247" s="701"/>
      <c r="AK247" s="701"/>
      <c r="AL247" s="701"/>
      <c r="AM247" s="701"/>
      <c r="AN247" s="701"/>
      <c r="AO247" s="701"/>
      <c r="AP247" s="701"/>
      <c r="AQ247" s="701"/>
      <c r="AR247" s="701"/>
      <c r="AS247" s="701"/>
      <c r="AT247" s="715"/>
      <c r="AU247" s="715"/>
      <c r="AV247" s="715"/>
      <c r="AW247" s="715"/>
      <c r="AX247" s="715"/>
      <c r="AY247" s="715"/>
      <c r="AZ247" s="715"/>
      <c r="BA247" s="715"/>
      <c r="BB247" s="715"/>
      <c r="BC247" s="715"/>
      <c r="BD247" s="715"/>
      <c r="BE247" s="715"/>
      <c r="BF247" s="701"/>
      <c r="BG247" s="701"/>
      <c r="BH247" s="701"/>
      <c r="BI247" s="701"/>
      <c r="BJ247" s="701"/>
      <c r="BK247" s="701"/>
      <c r="BL247" s="701"/>
      <c r="BM247" s="701"/>
      <c r="BN247" s="701"/>
      <c r="BO247" s="701"/>
      <c r="BP247" s="701"/>
      <c r="BQ247" s="701"/>
      <c r="BR247" s="701"/>
      <c r="BS247" s="701"/>
      <c r="BT247" s="701"/>
      <c r="BU247" s="701"/>
      <c r="BV247" s="701"/>
      <c r="BW247" s="701"/>
      <c r="BX247" s="701"/>
      <c r="BY247" s="701"/>
      <c r="BZ247" s="701"/>
      <c r="CA247" s="701"/>
      <c r="CB247" s="701"/>
      <c r="CC247" s="701"/>
      <c r="CD247" s="701"/>
      <c r="CE247" s="701"/>
      <c r="CF247" s="701"/>
      <c r="CG247" s="701"/>
      <c r="CH247" s="701"/>
      <c r="CI247" s="701"/>
      <c r="CJ247" s="701"/>
      <c r="CK247" s="701"/>
      <c r="CL247" s="701"/>
      <c r="CM247" s="701"/>
      <c r="CN247" s="701"/>
      <c r="CO247" s="701"/>
      <c r="CP247" s="701"/>
      <c r="CQ247" s="701"/>
      <c r="CR247" s="701"/>
      <c r="CS247" s="701"/>
      <c r="CT247" s="701"/>
      <c r="CU247" s="701"/>
      <c r="CV247" s="701"/>
      <c r="CW247" s="701"/>
      <c r="CX247" s="701"/>
      <c r="CY247" s="701"/>
      <c r="CZ247" s="701"/>
      <c r="DA247" s="701"/>
      <c r="DC247" s="12"/>
      <c r="DD247" s="12"/>
      <c r="DE247" s="12"/>
      <c r="DF247" s="12"/>
      <c r="DG247" s="12"/>
      <c r="DH247" s="12"/>
      <c r="DI247" s="14">
        <f t="shared" si="261"/>
        <v>0</v>
      </c>
    </row>
    <row r="248" spans="2:113" outlineLevel="1">
      <c r="F248" s="126" t="s">
        <v>804</v>
      </c>
      <c r="G248" s="230"/>
      <c r="H248" s="232"/>
      <c r="I248" s="609" t="s">
        <v>736</v>
      </c>
      <c r="O248" s="710"/>
      <c r="P248" s="710"/>
      <c r="Q248" s="710"/>
      <c r="R248" s="710"/>
      <c r="S248" s="710"/>
      <c r="T248" s="710"/>
      <c r="U248" s="710"/>
      <c r="V248" s="710"/>
      <c r="W248" s="710"/>
      <c r="X248" s="710"/>
      <c r="Y248" s="710"/>
      <c r="Z248" s="701"/>
      <c r="AA248" s="701"/>
      <c r="AB248" s="701"/>
      <c r="AC248" s="701"/>
      <c r="AD248" s="701"/>
      <c r="AE248" s="701"/>
      <c r="AF248" s="701"/>
      <c r="AG248" s="701"/>
      <c r="AH248" s="701"/>
      <c r="AI248" s="701"/>
      <c r="AJ248" s="701"/>
      <c r="AK248" s="701"/>
      <c r="AL248" s="701"/>
      <c r="AM248" s="701"/>
      <c r="AN248" s="701"/>
      <c r="AO248" s="701"/>
      <c r="AP248" s="701"/>
      <c r="AQ248" s="701"/>
      <c r="AR248" s="701"/>
      <c r="AS248" s="701"/>
      <c r="AT248" s="715"/>
      <c r="AU248" s="715"/>
      <c r="AV248" s="715"/>
      <c r="AW248" s="715"/>
      <c r="AX248" s="715"/>
      <c r="AY248" s="715"/>
      <c r="AZ248" s="715"/>
      <c r="BA248" s="715"/>
      <c r="BB248" s="715"/>
      <c r="BC248" s="715"/>
      <c r="BD248" s="715"/>
      <c r="BE248" s="715"/>
      <c r="BF248" s="701"/>
      <c r="BG248" s="701"/>
      <c r="BH248" s="701"/>
      <c r="BI248" s="701"/>
      <c r="BJ248" s="701"/>
      <c r="BK248" s="701"/>
      <c r="BL248" s="701"/>
      <c r="BM248" s="701"/>
      <c r="BN248" s="701"/>
      <c r="BO248" s="701"/>
      <c r="BP248" s="701"/>
      <c r="BQ248" s="701"/>
      <c r="BR248" s="701"/>
      <c r="BS248" s="701"/>
      <c r="BT248" s="701"/>
      <c r="BU248" s="701"/>
      <c r="BV248" s="701"/>
      <c r="BW248" s="701"/>
      <c r="BX248" s="701"/>
      <c r="BY248" s="701"/>
      <c r="BZ248" s="701"/>
      <c r="CA248" s="701"/>
      <c r="CB248" s="701"/>
      <c r="CC248" s="701"/>
      <c r="CD248" s="701"/>
      <c r="CE248" s="701"/>
      <c r="CF248" s="701"/>
      <c r="CG248" s="701"/>
      <c r="CH248" s="701"/>
      <c r="CI248" s="701"/>
      <c r="CJ248" s="701"/>
      <c r="CK248" s="701"/>
      <c r="CL248" s="701"/>
      <c r="CM248" s="701"/>
      <c r="CN248" s="701"/>
      <c r="CO248" s="701"/>
      <c r="CP248" s="701"/>
      <c r="CQ248" s="701"/>
      <c r="CR248" s="701"/>
      <c r="CS248" s="701"/>
      <c r="CT248" s="701"/>
      <c r="CU248" s="701"/>
      <c r="CV248" s="701"/>
      <c r="CW248" s="701"/>
      <c r="CX248" s="701"/>
      <c r="CY248" s="701"/>
      <c r="CZ248" s="701"/>
      <c r="DA248" s="701"/>
      <c r="DC248" s="12">
        <f t="shared" si="271"/>
        <v>0</v>
      </c>
      <c r="DD248" s="12">
        <f t="shared" si="272"/>
        <v>0</v>
      </c>
      <c r="DE248" s="12">
        <f t="shared" si="273"/>
        <v>0</v>
      </c>
      <c r="DF248" s="12">
        <f t="shared" si="274"/>
        <v>0</v>
      </c>
      <c r="DG248" s="12">
        <f t="shared" si="275"/>
        <v>0</v>
      </c>
      <c r="DH248" s="12">
        <f t="shared" si="276"/>
        <v>0</v>
      </c>
      <c r="DI248" s="12">
        <f t="shared" si="261"/>
        <v>0</v>
      </c>
    </row>
    <row r="249" spans="2:113" outlineLevel="1">
      <c r="E249" s="720" t="s">
        <v>621</v>
      </c>
      <c r="I249" s="609" t="s">
        <v>736</v>
      </c>
      <c r="O249" s="710"/>
      <c r="P249" s="710"/>
      <c r="Q249" s="710"/>
      <c r="R249" s="710"/>
      <c r="S249" s="710"/>
      <c r="T249" s="710"/>
      <c r="U249" s="710"/>
      <c r="V249" s="710"/>
      <c r="W249" s="710"/>
      <c r="X249" s="710"/>
      <c r="Y249" s="710"/>
      <c r="Z249" s="870">
        <f t="shared" ref="Z249:CK249" si="279">Z287+Z328</f>
        <v>-2.2500000000000001E-5</v>
      </c>
      <c r="AA249" s="870">
        <f t="shared" si="279"/>
        <v>-0.159392799</v>
      </c>
      <c r="AB249" s="870">
        <f t="shared" si="279"/>
        <v>-0.19083211</v>
      </c>
      <c r="AC249" s="870">
        <f t="shared" si="279"/>
        <v>-0.13734068099999999</v>
      </c>
      <c r="AD249" s="870">
        <f t="shared" si="279"/>
        <v>-0.10396910600000001</v>
      </c>
      <c r="AE249" s="870">
        <f t="shared" si="279"/>
        <v>-0.32566225999999998</v>
      </c>
      <c r="AF249" s="870">
        <f t="shared" si="279"/>
        <v>-0.39705836500000002</v>
      </c>
      <c r="AG249" s="870">
        <f t="shared" si="279"/>
        <v>-0.64370701900000005</v>
      </c>
      <c r="AH249" s="870">
        <f t="shared" si="279"/>
        <v>-0.48970949799999997</v>
      </c>
      <c r="AI249" s="870">
        <f t="shared" si="279"/>
        <v>-0.87737227799999995</v>
      </c>
      <c r="AJ249" s="870">
        <f t="shared" si="279"/>
        <v>-1.0540505680000001</v>
      </c>
      <c r="AK249" s="870">
        <f t="shared" si="279"/>
        <v>-0.99769735600000009</v>
      </c>
      <c r="AL249" s="870">
        <f t="shared" si="279"/>
        <v>-1.266103832</v>
      </c>
      <c r="AM249" s="870">
        <f t="shared" si="279"/>
        <v>-1.9695133519999999</v>
      </c>
      <c r="AN249" s="870">
        <f t="shared" si="279"/>
        <v>-3.2554235489999996</v>
      </c>
      <c r="AO249" s="870">
        <f t="shared" si="279"/>
        <v>-2.220256864</v>
      </c>
      <c r="AP249" s="870">
        <f t="shared" si="279"/>
        <v>-2.0109245709999999</v>
      </c>
      <c r="AQ249" s="870">
        <f t="shared" si="279"/>
        <v>-2.5310819881491256</v>
      </c>
      <c r="AR249" s="870">
        <f t="shared" si="279"/>
        <v>-3.3796064132630335</v>
      </c>
      <c r="AS249" s="870">
        <f t="shared" si="279"/>
        <v>-3.8064339339871323</v>
      </c>
      <c r="AT249" s="696">
        <f t="shared" si="279"/>
        <v>-10.874214956364566</v>
      </c>
      <c r="AU249" s="696">
        <f t="shared" si="279"/>
        <v>-4.8617077155573636</v>
      </c>
      <c r="AV249" s="696">
        <f t="shared" si="279"/>
        <v>-5.3920268294038944</v>
      </c>
      <c r="AW249" s="696">
        <f t="shared" si="279"/>
        <v>-5.6869508318046771</v>
      </c>
      <c r="AX249" s="696">
        <f t="shared" si="279"/>
        <v>-5.9021243902183498</v>
      </c>
      <c r="AY249" s="696">
        <f t="shared" si="279"/>
        <v>-5.9844686300328496</v>
      </c>
      <c r="AZ249" s="696">
        <f t="shared" si="279"/>
        <v>-6.015814298898885</v>
      </c>
      <c r="BA249" s="696">
        <f t="shared" si="279"/>
        <v>-6.2739412495722426</v>
      </c>
      <c r="BB249" s="696">
        <f t="shared" si="279"/>
        <v>-6.6472031149061674</v>
      </c>
      <c r="BC249" s="696">
        <f t="shared" si="279"/>
        <v>-7.1508748184345343</v>
      </c>
      <c r="BD249" s="696">
        <f t="shared" si="279"/>
        <v>-7.3123045718551731</v>
      </c>
      <c r="BE249" s="696">
        <f t="shared" si="279"/>
        <v>-7.4618146360864825</v>
      </c>
      <c r="BF249" s="870">
        <f t="shared" si="279"/>
        <v>-7.7542948322233851</v>
      </c>
      <c r="BG249" s="870">
        <f t="shared" si="279"/>
        <v>-7.7952009337090669</v>
      </c>
      <c r="BH249" s="870">
        <f t="shared" si="279"/>
        <v>-7.8165537542362804</v>
      </c>
      <c r="BI249" s="870">
        <f t="shared" si="279"/>
        <v>-7.9346010254478267</v>
      </c>
      <c r="BJ249" s="870">
        <f t="shared" si="279"/>
        <v>-8.1838228061429668</v>
      </c>
      <c r="BK249" s="870">
        <f t="shared" si="279"/>
        <v>-8.1136174998249206</v>
      </c>
      <c r="BL249" s="870">
        <f t="shared" si="279"/>
        <v>-7.9663302091241235</v>
      </c>
      <c r="BM249" s="870">
        <f t="shared" si="279"/>
        <v>-8.339007313119728</v>
      </c>
      <c r="BN249" s="870">
        <f t="shared" si="279"/>
        <v>-8.8465134059450889</v>
      </c>
      <c r="BO249" s="870">
        <f t="shared" si="279"/>
        <v>-8.8331015630452825</v>
      </c>
      <c r="BP249" s="870">
        <f t="shared" si="279"/>
        <v>-8.7896899028216033</v>
      </c>
      <c r="BQ249" s="870">
        <f t="shared" si="279"/>
        <v>-8.6930969615482034</v>
      </c>
      <c r="BR249" s="870">
        <f t="shared" si="279"/>
        <v>-8.6719561743850129</v>
      </c>
      <c r="BS249" s="870">
        <f t="shared" si="279"/>
        <v>-8.6701821328409672</v>
      </c>
      <c r="BT249" s="870">
        <f t="shared" si="279"/>
        <v>-8.6408138003081518</v>
      </c>
      <c r="BU249" s="870">
        <f t="shared" si="279"/>
        <v>-8.582478754819153</v>
      </c>
      <c r="BV249" s="870">
        <f t="shared" si="279"/>
        <v>-8.6134541000188403</v>
      </c>
      <c r="BW249" s="870">
        <f t="shared" si="279"/>
        <v>-8.6450550188248592</v>
      </c>
      <c r="BX249" s="870">
        <f t="shared" si="279"/>
        <v>-8.7271116808075107</v>
      </c>
      <c r="BY249" s="870">
        <f t="shared" si="279"/>
        <v>-8.911583254201183</v>
      </c>
      <c r="BZ249" s="870">
        <f t="shared" si="279"/>
        <v>-9.2647955164698459</v>
      </c>
      <c r="CA249" s="870">
        <f t="shared" si="279"/>
        <v>-9.6147179409517101</v>
      </c>
      <c r="CB249" s="870">
        <f t="shared" si="279"/>
        <v>-9.9498259183709035</v>
      </c>
      <c r="CC249" s="870">
        <f t="shared" si="279"/>
        <v>-10.270093933240545</v>
      </c>
      <c r="CD249" s="870">
        <f t="shared" si="279"/>
        <v>-10.563238847091473</v>
      </c>
      <c r="CE249" s="870">
        <f t="shared" si="279"/>
        <v>-10.85139971428786</v>
      </c>
      <c r="CF249" s="870">
        <f t="shared" si="279"/>
        <v>-11.131440690853998</v>
      </c>
      <c r="CG249" s="870">
        <f t="shared" si="279"/>
        <v>-11.404421779332113</v>
      </c>
      <c r="CH249" s="870">
        <f t="shared" si="279"/>
        <v>-11.663646158598429</v>
      </c>
      <c r="CI249" s="870">
        <f t="shared" si="279"/>
        <v>-11.926192616143817</v>
      </c>
      <c r="CJ249" s="870">
        <f t="shared" si="279"/>
        <v>-12.192336781915188</v>
      </c>
      <c r="CK249" s="870">
        <f t="shared" si="279"/>
        <v>-12.440926522540662</v>
      </c>
      <c r="CL249" s="870">
        <f t="shared" ref="CL249:DA249" si="280">CL287+CL328</f>
        <v>-12.657579432900334</v>
      </c>
      <c r="CM249" s="870">
        <f t="shared" si="280"/>
        <v>-12.875083275365327</v>
      </c>
      <c r="CN249" s="870">
        <f t="shared" si="280"/>
        <v>-13.09570493919278</v>
      </c>
      <c r="CO249" s="870">
        <f t="shared" si="280"/>
        <v>-13.318847293219285</v>
      </c>
      <c r="CP249" s="870">
        <f t="shared" si="280"/>
        <v>-13.536612030554135</v>
      </c>
      <c r="CQ249" s="870">
        <f t="shared" si="280"/>
        <v>-13.759259125009681</v>
      </c>
      <c r="CR249" s="870">
        <f t="shared" si="280"/>
        <v>-13.984519719691345</v>
      </c>
      <c r="CS249" s="870">
        <f t="shared" si="280"/>
        <v>-14.21190886532661</v>
      </c>
      <c r="CT249" s="870">
        <f t="shared" si="280"/>
        <v>-14.433803525804954</v>
      </c>
      <c r="CU249" s="870">
        <f t="shared" si="280"/>
        <v>-14.65528475890715</v>
      </c>
      <c r="CV249" s="870">
        <f t="shared" si="280"/>
        <v>-14.876661157485541</v>
      </c>
      <c r="CW249" s="870">
        <f t="shared" si="280"/>
        <v>-15.085443620595722</v>
      </c>
      <c r="CX249" s="870">
        <f t="shared" si="280"/>
        <v>-15.273279056656071</v>
      </c>
      <c r="CY249" s="870">
        <f t="shared" si="280"/>
        <v>-15.460983209723677</v>
      </c>
      <c r="CZ249" s="870">
        <f t="shared" si="280"/>
        <v>-15.65032382771485</v>
      </c>
      <c r="DA249" s="870">
        <f t="shared" si="280"/>
        <v>-15.84121370551928</v>
      </c>
      <c r="DC249" s="12">
        <f>SUM(V249:AG249)</f>
        <v>-1.9579848400000002</v>
      </c>
      <c r="DD249" s="12">
        <f>SUM(AH249:AS249)</f>
        <v>-23.85817420339929</v>
      </c>
      <c r="DE249" s="702">
        <f>SUM(AT249:BE249)</f>
        <v>-79.563446043135201</v>
      </c>
      <c r="DF249" s="12">
        <f>SUM(BF249:BQ249)</f>
        <v>-99.065830207188498</v>
      </c>
      <c r="DG249" s="12">
        <f>SUM(BR249:CC249)</f>
        <v>-108.56206822523868</v>
      </c>
      <c r="DH249" s="12">
        <f>SUM(CD249:CO249)</f>
        <v>-144.12081805144126</v>
      </c>
      <c r="DI249" s="12">
        <f t="shared" si="261"/>
        <v>-176.76929260298903</v>
      </c>
    </row>
    <row r="250" spans="2:113" s="698" customFormat="1" outlineLevel="1">
      <c r="B250" s="126"/>
      <c r="E250" s="724" t="s">
        <v>701</v>
      </c>
      <c r="H250" s="703"/>
      <c r="I250" s="609" t="s">
        <v>736</v>
      </c>
      <c r="J250" s="703"/>
      <c r="K250" s="703"/>
      <c r="L250" s="703"/>
      <c r="M250" s="703"/>
      <c r="O250" s="714"/>
      <c r="P250" s="714"/>
      <c r="Q250" s="714"/>
      <c r="R250" s="714"/>
      <c r="S250" s="714"/>
      <c r="T250" s="714"/>
      <c r="V250" s="714"/>
      <c r="W250" s="714"/>
      <c r="X250" s="714"/>
      <c r="Y250" s="714"/>
      <c r="Z250" s="696">
        <f t="shared" ref="Z250:CK250" si="281">SUM(Z251:Z259)</f>
        <v>-0.554861912677452</v>
      </c>
      <c r="AA250" s="696">
        <f t="shared" si="281"/>
        <v>-1.1567142040454541</v>
      </c>
      <c r="AB250" s="696">
        <f t="shared" si="281"/>
        <v>-1.585168637788144</v>
      </c>
      <c r="AC250" s="696">
        <f t="shared" si="281"/>
        <v>-1.6407448074975941</v>
      </c>
      <c r="AD250" s="696">
        <f t="shared" si="281"/>
        <v>-1.3066235623504869</v>
      </c>
      <c r="AE250" s="696">
        <f t="shared" si="281"/>
        <v>-1.525399502825052</v>
      </c>
      <c r="AF250" s="696">
        <f t="shared" si="281"/>
        <v>-1.5856964979095751</v>
      </c>
      <c r="AG250" s="696">
        <f t="shared" si="281"/>
        <v>-1.7032549439473699</v>
      </c>
      <c r="AH250" s="696">
        <f t="shared" si="281"/>
        <v>-1.7933283287011923</v>
      </c>
      <c r="AI250" s="696">
        <f t="shared" si="281"/>
        <v>-1.3694350461117359</v>
      </c>
      <c r="AJ250" s="696">
        <f t="shared" si="281"/>
        <v>-2.0394579422630765</v>
      </c>
      <c r="AK250" s="696">
        <f t="shared" si="281"/>
        <v>-2.4266213493302691</v>
      </c>
      <c r="AL250" s="696">
        <f t="shared" si="281"/>
        <v>-3.0732412060200671</v>
      </c>
      <c r="AM250" s="696">
        <f t="shared" si="281"/>
        <v>-4.3143777940909596</v>
      </c>
      <c r="AN250" s="696">
        <f t="shared" si="281"/>
        <v>-5.1392631038360541</v>
      </c>
      <c r="AO250" s="696">
        <f t="shared" si="281"/>
        <v>-5.3969503276688364</v>
      </c>
      <c r="AP250" s="696">
        <f t="shared" si="281"/>
        <v>-4.9425116750342877</v>
      </c>
      <c r="AQ250" s="696">
        <f t="shared" si="281"/>
        <v>-6.081329274706138</v>
      </c>
      <c r="AR250" s="696">
        <f t="shared" si="281"/>
        <v>-5.6594704459482807</v>
      </c>
      <c r="AS250" s="696">
        <f t="shared" si="281"/>
        <v>-6.0362696327791125</v>
      </c>
      <c r="AT250" s="696">
        <f t="shared" si="281"/>
        <v>-7.0521423210920764</v>
      </c>
      <c r="AU250" s="696">
        <f t="shared" si="281"/>
        <v>-7.3104699136925415</v>
      </c>
      <c r="AV250" s="696">
        <f>SUM(AV251:AV259)</f>
        <v>-7.7212282522033542</v>
      </c>
      <c r="AW250" s="696">
        <f t="shared" si="281"/>
        <v>-7.7647221772807304</v>
      </c>
      <c r="AX250" s="696">
        <f t="shared" si="281"/>
        <v>-7.9313362802713741</v>
      </c>
      <c r="AY250" s="696">
        <f t="shared" si="281"/>
        <v>-7.7793854566274367</v>
      </c>
      <c r="AZ250" s="696">
        <f t="shared" si="281"/>
        <v>-7.8714855338932175</v>
      </c>
      <c r="BA250" s="696">
        <f t="shared" si="281"/>
        <v>-8.0283462584219478</v>
      </c>
      <c r="BB250" s="696">
        <f t="shared" si="281"/>
        <v>-8.1829984363249384</v>
      </c>
      <c r="BC250" s="696">
        <f t="shared" si="281"/>
        <v>-8.3424374527313923</v>
      </c>
      <c r="BD250" s="696">
        <f t="shared" si="281"/>
        <v>-8.5090360995345105</v>
      </c>
      <c r="BE250" s="696">
        <f t="shared" si="281"/>
        <v>-8.6535174890122946</v>
      </c>
      <c r="BF250" s="696">
        <f t="shared" si="281"/>
        <v>-10.000726865580184</v>
      </c>
      <c r="BG250" s="696">
        <f t="shared" si="281"/>
        <v>-10.145706519202417</v>
      </c>
      <c r="BH250" s="696">
        <f t="shared" si="281"/>
        <v>-10.295719809088892</v>
      </c>
      <c r="BI250" s="696">
        <f t="shared" si="281"/>
        <v>-10.224614943099406</v>
      </c>
      <c r="BJ250" s="696">
        <f t="shared" si="281"/>
        <v>-9.7474246183683224</v>
      </c>
      <c r="BK250" s="696">
        <f t="shared" si="281"/>
        <v>-9.7360534035507982</v>
      </c>
      <c r="BL250" s="696">
        <f t="shared" si="281"/>
        <v>-9.7250190503387604</v>
      </c>
      <c r="BM250" s="696">
        <f t="shared" si="281"/>
        <v>-9.7301942547421376</v>
      </c>
      <c r="BN250" s="696">
        <f t="shared" si="281"/>
        <v>-9.7889698492496926</v>
      </c>
      <c r="BO250" s="696">
        <f t="shared" si="281"/>
        <v>-9.8026120734566113</v>
      </c>
      <c r="BP250" s="696">
        <f t="shared" si="281"/>
        <v>-9.8198093291612167</v>
      </c>
      <c r="BQ250" s="696">
        <f t="shared" si="281"/>
        <v>-9.8937449020624975</v>
      </c>
      <c r="BR250" s="696">
        <f t="shared" si="281"/>
        <v>-10.52130421878007</v>
      </c>
      <c r="BS250" s="696">
        <f t="shared" si="281"/>
        <v>-10.94507920232699</v>
      </c>
      <c r="BT250" s="696">
        <f t="shared" si="281"/>
        <v>-11.316129305739677</v>
      </c>
      <c r="BU250" s="696">
        <f t="shared" si="281"/>
        <v>-11.680308258321176</v>
      </c>
      <c r="BV250" s="696">
        <f t="shared" si="281"/>
        <v>-11.917957170348828</v>
      </c>
      <c r="BW250" s="696">
        <f t="shared" si="281"/>
        <v>-12.151164069415575</v>
      </c>
      <c r="BX250" s="696">
        <f t="shared" si="281"/>
        <v>-12.385140076192123</v>
      </c>
      <c r="BY250" s="696">
        <f t="shared" si="281"/>
        <v>-12.619418228197862</v>
      </c>
      <c r="BZ250" s="696">
        <f t="shared" si="281"/>
        <v>-12.859033730877147</v>
      </c>
      <c r="CA250" s="696">
        <f t="shared" si="281"/>
        <v>-13.102908329181615</v>
      </c>
      <c r="CB250" s="696">
        <f t="shared" si="281"/>
        <v>-13.353734125369204</v>
      </c>
      <c r="CC250" s="696">
        <f t="shared" si="281"/>
        <v>-13.609280248564865</v>
      </c>
      <c r="CD250" s="696">
        <f t="shared" si="281"/>
        <v>-14.089137413743696</v>
      </c>
      <c r="CE250" s="696">
        <f t="shared" si="281"/>
        <v>-14.30300999431164</v>
      </c>
      <c r="CF250" s="696">
        <f t="shared" si="281"/>
        <v>-14.516101485729219</v>
      </c>
      <c r="CG250" s="696">
        <f t="shared" si="281"/>
        <v>-14.728837064013579</v>
      </c>
      <c r="CH250" s="696">
        <f t="shared" si="281"/>
        <v>-14.9539399274381</v>
      </c>
      <c r="CI250" s="696">
        <f t="shared" si="281"/>
        <v>-15.178943517093037</v>
      </c>
      <c r="CJ250" s="696">
        <f t="shared" si="281"/>
        <v>-15.403334221795685</v>
      </c>
      <c r="CK250" s="696">
        <f t="shared" si="281"/>
        <v>-15.62750822600322</v>
      </c>
      <c r="CL250" s="696">
        <f>SUM(CL251:CL259)</f>
        <v>-15.851430292283901</v>
      </c>
      <c r="CM250" s="696">
        <f>SUM(CM251:CM259)</f>
        <v>-16.0751482723701</v>
      </c>
      <c r="CN250" s="696">
        <f>SUM(CN251:CN259)</f>
        <v>-16.298455067378733</v>
      </c>
      <c r="CO250" s="696">
        <f>SUM(CO251:CO259)</f>
        <v>-16.521334864488807</v>
      </c>
      <c r="CP250" s="696">
        <f t="shared" ref="CP250:CW250" si="282">SUM(CP251:CP259)</f>
        <v>-16.881732547088955</v>
      </c>
      <c r="CQ250" s="696">
        <f t="shared" si="282"/>
        <v>-17.084620223509454</v>
      </c>
      <c r="CR250" s="696">
        <f t="shared" si="282"/>
        <v>-17.287792977272694</v>
      </c>
      <c r="CS250" s="696">
        <f t="shared" si="282"/>
        <v>-17.491268589770829</v>
      </c>
      <c r="CT250" s="696">
        <f t="shared" si="282"/>
        <v>-17.699687067577489</v>
      </c>
      <c r="CU250" s="696">
        <f t="shared" si="282"/>
        <v>-17.90835641102268</v>
      </c>
      <c r="CV250" s="696">
        <f t="shared" si="282"/>
        <v>-18.116951717949068</v>
      </c>
      <c r="CW250" s="696">
        <f t="shared" si="282"/>
        <v>-18.325532155454884</v>
      </c>
      <c r="CX250" s="696">
        <f>SUM(CX251:CX259)</f>
        <v>-18.533998497708918</v>
      </c>
      <c r="CY250" s="696">
        <f>SUM(CY251:CY259)</f>
        <v>-18.742276580231394</v>
      </c>
      <c r="CZ250" s="696">
        <f>SUM(CZ251:CZ259)</f>
        <v>-18.950316474098848</v>
      </c>
      <c r="DA250" s="696">
        <f>SUM(DA251:DA259)</f>
        <v>-19.158140306148272</v>
      </c>
      <c r="DC250" s="12">
        <f t="shared" si="254"/>
        <v>-11.058464069041127</v>
      </c>
      <c r="DD250" s="12">
        <f t="shared" si="255"/>
        <v>-48.272256126489999</v>
      </c>
      <c r="DE250" s="702">
        <f t="shared" si="256"/>
        <v>-95.147105671085825</v>
      </c>
      <c r="DF250" s="12">
        <f t="shared" si="259"/>
        <v>-118.91059561790092</v>
      </c>
      <c r="DG250" s="12">
        <f t="shared" si="260"/>
        <v>-146.46145696331513</v>
      </c>
      <c r="DH250" s="12">
        <f t="shared" si="257"/>
        <v>-183.54718034664972</v>
      </c>
      <c r="DI250" s="12">
        <f t="shared" si="261"/>
        <v>-216.18067354783349</v>
      </c>
    </row>
    <row r="251" spans="2:113" outlineLevel="1">
      <c r="F251" s="126" t="s">
        <v>100</v>
      </c>
      <c r="I251" s="609" t="s">
        <v>736</v>
      </c>
      <c r="O251" s="710"/>
      <c r="P251" s="710"/>
      <c r="Q251" s="710"/>
      <c r="R251" s="710"/>
      <c r="S251" s="710"/>
      <c r="T251" s="710"/>
      <c r="V251" s="710"/>
      <c r="W251" s="710"/>
      <c r="X251" s="710"/>
      <c r="Y251" s="710"/>
      <c r="Z251" s="701">
        <f t="shared" ref="Z251:CK254" si="283">Z289+Z330</f>
        <v>-0.131364782677452</v>
      </c>
      <c r="AA251" s="701">
        <f t="shared" si="283"/>
        <v>-0.17436012000000001</v>
      </c>
      <c r="AB251" s="701">
        <f t="shared" si="283"/>
        <v>-0.16396981563382601</v>
      </c>
      <c r="AC251" s="701">
        <f t="shared" si="283"/>
        <v>-0.13612667195341199</v>
      </c>
      <c r="AD251" s="701">
        <f t="shared" si="283"/>
        <v>-0.19756395099999999</v>
      </c>
      <c r="AE251" s="701">
        <f t="shared" si="283"/>
        <v>-0.27256164599999999</v>
      </c>
      <c r="AF251" s="701">
        <f t="shared" si="283"/>
        <v>-0.235689447</v>
      </c>
      <c r="AG251" s="701">
        <f t="shared" si="283"/>
        <v>-0.22425020600000001</v>
      </c>
      <c r="AH251" s="701">
        <f t="shared" si="283"/>
        <v>-0.29324641100000004</v>
      </c>
      <c r="AI251" s="701">
        <f t="shared" si="283"/>
        <v>-0.27453536000000001</v>
      </c>
      <c r="AJ251" s="701">
        <f t="shared" si="283"/>
        <v>-0.32655998399999997</v>
      </c>
      <c r="AK251" s="701">
        <f t="shared" si="283"/>
        <v>-0.33982459399999998</v>
      </c>
      <c r="AL251" s="701">
        <f t="shared" si="283"/>
        <v>-0.34593723100000007</v>
      </c>
      <c r="AM251" s="701">
        <f t="shared" si="283"/>
        <v>-0.36690215300000001</v>
      </c>
      <c r="AN251" s="701">
        <f t="shared" si="283"/>
        <v>-0.33343895499999993</v>
      </c>
      <c r="AO251" s="701">
        <f t="shared" si="283"/>
        <v>-0.31538658500000005</v>
      </c>
      <c r="AP251" s="701">
        <f t="shared" si="283"/>
        <v>-0.25937691400000001</v>
      </c>
      <c r="AQ251" s="701">
        <f t="shared" si="283"/>
        <v>-0.42741599999999996</v>
      </c>
      <c r="AR251" s="701">
        <f t="shared" si="283"/>
        <v>-0.37599999999999995</v>
      </c>
      <c r="AS251" s="701">
        <f t="shared" si="283"/>
        <v>-0.40266666666666667</v>
      </c>
      <c r="AT251" s="715">
        <f t="shared" si="283"/>
        <v>-0.4252111111111111</v>
      </c>
      <c r="AU251" s="715">
        <f t="shared" si="283"/>
        <v>-0.44775555555555546</v>
      </c>
      <c r="AV251" s="715">
        <f t="shared" si="283"/>
        <v>-0.47029999999999988</v>
      </c>
      <c r="AW251" s="715">
        <f t="shared" si="283"/>
        <v>-0.49284444444444431</v>
      </c>
      <c r="AX251" s="715">
        <f t="shared" si="283"/>
        <v>-0.51538888888888879</v>
      </c>
      <c r="AY251" s="715">
        <f t="shared" si="283"/>
        <v>-0.53293333333333315</v>
      </c>
      <c r="AZ251" s="715">
        <f t="shared" si="283"/>
        <v>-0.55464444444444427</v>
      </c>
      <c r="BA251" s="715">
        <f t="shared" si="283"/>
        <v>-0.57635555555555529</v>
      </c>
      <c r="BB251" s="715">
        <f t="shared" si="283"/>
        <v>-0.59806666666666641</v>
      </c>
      <c r="BC251" s="715">
        <f t="shared" si="283"/>
        <v>-0.61977777777777754</v>
      </c>
      <c r="BD251" s="715">
        <f t="shared" si="283"/>
        <v>-0.64148888888888855</v>
      </c>
      <c r="BE251" s="715">
        <f t="shared" si="283"/>
        <v>-0.64319999999999999</v>
      </c>
      <c r="BF251" s="701">
        <f t="shared" si="283"/>
        <v>-0.64319999999999999</v>
      </c>
      <c r="BG251" s="701">
        <f t="shared" si="283"/>
        <v>-0.64319999999999999</v>
      </c>
      <c r="BH251" s="701">
        <f t="shared" si="283"/>
        <v>-0.64319999999999999</v>
      </c>
      <c r="BI251" s="701">
        <f t="shared" si="283"/>
        <v>-0.64319999999999999</v>
      </c>
      <c r="BJ251" s="701">
        <f t="shared" si="283"/>
        <v>-0.64319999999999999</v>
      </c>
      <c r="BK251" s="701">
        <f t="shared" si="283"/>
        <v>-0.64319999999999999</v>
      </c>
      <c r="BL251" s="701">
        <f t="shared" si="283"/>
        <v>-0.62319999999999987</v>
      </c>
      <c r="BM251" s="701">
        <f t="shared" si="283"/>
        <v>-0.62319999999999987</v>
      </c>
      <c r="BN251" s="701">
        <f t="shared" si="283"/>
        <v>-0.62319999999999987</v>
      </c>
      <c r="BO251" s="701">
        <f t="shared" si="283"/>
        <v>-0.62319999999999987</v>
      </c>
      <c r="BP251" s="701">
        <f t="shared" si="283"/>
        <v>-0.62319999999999987</v>
      </c>
      <c r="BQ251" s="701">
        <f t="shared" si="283"/>
        <v>-0.62319999999999987</v>
      </c>
      <c r="BR251" s="701">
        <f t="shared" si="283"/>
        <v>-0.63125333333333322</v>
      </c>
      <c r="BS251" s="701">
        <f t="shared" si="283"/>
        <v>-0.65930666666666649</v>
      </c>
      <c r="BT251" s="701">
        <f t="shared" si="283"/>
        <v>-0.68735999999999986</v>
      </c>
      <c r="BU251" s="701">
        <f t="shared" si="283"/>
        <v>-0.71541333333333323</v>
      </c>
      <c r="BV251" s="701">
        <f t="shared" si="283"/>
        <v>-0.7434666666666665</v>
      </c>
      <c r="BW251" s="701">
        <f t="shared" si="283"/>
        <v>-0.77151999999999987</v>
      </c>
      <c r="BX251" s="701">
        <f t="shared" si="283"/>
        <v>-0.79957333333333325</v>
      </c>
      <c r="BY251" s="701">
        <f t="shared" si="283"/>
        <v>-0.82762666666666651</v>
      </c>
      <c r="BZ251" s="701">
        <f t="shared" si="283"/>
        <v>-0.85567999999999989</v>
      </c>
      <c r="CA251" s="701">
        <f t="shared" si="283"/>
        <v>-0.88373333333333315</v>
      </c>
      <c r="CB251" s="701">
        <f t="shared" si="283"/>
        <v>-0.91178666666666652</v>
      </c>
      <c r="CC251" s="701">
        <f t="shared" si="283"/>
        <v>-0.9398399999999999</v>
      </c>
      <c r="CD251" s="701">
        <f t="shared" si="283"/>
        <v>-0.95950399999999991</v>
      </c>
      <c r="CE251" s="701">
        <f t="shared" si="283"/>
        <v>-0.97916799999999982</v>
      </c>
      <c r="CF251" s="701">
        <f t="shared" si="283"/>
        <v>-0.99883199999999994</v>
      </c>
      <c r="CG251" s="701">
        <f t="shared" si="283"/>
        <v>-1.0184959999999998</v>
      </c>
      <c r="CH251" s="701">
        <f t="shared" si="283"/>
        <v>-1.03816</v>
      </c>
      <c r="CI251" s="701">
        <f t="shared" si="283"/>
        <v>-1.0578239999999997</v>
      </c>
      <c r="CJ251" s="701">
        <f t="shared" si="283"/>
        <v>-1.0774879999999998</v>
      </c>
      <c r="CK251" s="701">
        <f t="shared" si="283"/>
        <v>-1.0971519999999999</v>
      </c>
      <c r="CL251" s="701">
        <f t="shared" ref="CL251:DA256" si="284">CL289+CL330</f>
        <v>-1.1168159999999998</v>
      </c>
      <c r="CM251" s="701">
        <f t="shared" si="284"/>
        <v>-1.1364799999999997</v>
      </c>
      <c r="CN251" s="701">
        <f t="shared" si="284"/>
        <v>-1.1561439999999998</v>
      </c>
      <c r="CO251" s="701">
        <f t="shared" si="284"/>
        <v>-1.175808</v>
      </c>
      <c r="CP251" s="701">
        <f t="shared" si="284"/>
        <v>-1.1894047999999997</v>
      </c>
      <c r="CQ251" s="701">
        <f t="shared" si="284"/>
        <v>-1.2030015999999999</v>
      </c>
      <c r="CR251" s="701">
        <f t="shared" si="284"/>
        <v>-1.2165983999999999</v>
      </c>
      <c r="CS251" s="701">
        <f t="shared" si="284"/>
        <v>-1.2301951999999998</v>
      </c>
      <c r="CT251" s="701">
        <f t="shared" si="284"/>
        <v>-1.2437919999999998</v>
      </c>
      <c r="CU251" s="701">
        <f t="shared" si="284"/>
        <v>-1.2573887999999998</v>
      </c>
      <c r="CV251" s="701">
        <f t="shared" si="284"/>
        <v>-1.2709855999999995</v>
      </c>
      <c r="CW251" s="701">
        <f t="shared" si="284"/>
        <v>-1.2845823999999997</v>
      </c>
      <c r="CX251" s="701">
        <f t="shared" si="284"/>
        <v>-1.2981791999999994</v>
      </c>
      <c r="CY251" s="701">
        <f t="shared" si="284"/>
        <v>-1.3117759999999992</v>
      </c>
      <c r="CZ251" s="701">
        <f t="shared" si="284"/>
        <v>-1.3253727999999991</v>
      </c>
      <c r="DA251" s="701">
        <f t="shared" si="284"/>
        <v>-1.3389696</v>
      </c>
      <c r="DC251" s="14">
        <f t="shared" si="254"/>
        <v>-1.53588664026469</v>
      </c>
      <c r="DD251" s="14">
        <f t="shared" si="255"/>
        <v>-4.0612908536666668</v>
      </c>
      <c r="DE251" s="708">
        <f t="shared" si="256"/>
        <v>-6.5179666666666645</v>
      </c>
      <c r="DF251" s="14">
        <f t="shared" si="259"/>
        <v>-7.5983999999999989</v>
      </c>
      <c r="DG251" s="14">
        <f t="shared" si="260"/>
        <v>-9.4265599999999985</v>
      </c>
      <c r="DH251" s="14">
        <f t="shared" si="257"/>
        <v>-12.811871999999999</v>
      </c>
      <c r="DI251" s="12">
        <f t="shared" si="261"/>
        <v>-15.170246399999996</v>
      </c>
    </row>
    <row r="252" spans="2:113" outlineLevel="1">
      <c r="F252" s="126" t="s">
        <v>107</v>
      </c>
      <c r="I252" s="609" t="s">
        <v>736</v>
      </c>
      <c r="O252" s="710"/>
      <c r="P252" s="710"/>
      <c r="Q252" s="710"/>
      <c r="R252" s="710"/>
      <c r="S252" s="710"/>
      <c r="T252" s="710"/>
      <c r="U252" s="710"/>
      <c r="V252" s="710"/>
      <c r="W252" s="710"/>
      <c r="X252" s="710"/>
      <c r="Y252" s="710"/>
      <c r="Z252" s="701">
        <f t="shared" si="283"/>
        <v>0</v>
      </c>
      <c r="AA252" s="701">
        <f t="shared" si="283"/>
        <v>0</v>
      </c>
      <c r="AB252" s="701">
        <f t="shared" si="283"/>
        <v>-0.138775650017958</v>
      </c>
      <c r="AC252" s="701">
        <f t="shared" si="283"/>
        <v>-0.193714864726002</v>
      </c>
      <c r="AD252" s="701">
        <f t="shared" si="283"/>
        <v>-0.19499755135048699</v>
      </c>
      <c r="AE252" s="701">
        <f t="shared" si="283"/>
        <v>-0.17624600173414301</v>
      </c>
      <c r="AF252" s="701">
        <f t="shared" si="283"/>
        <v>-0.14701751200048399</v>
      </c>
      <c r="AG252" s="701">
        <f t="shared" si="283"/>
        <v>-0.10354719594737</v>
      </c>
      <c r="AH252" s="701">
        <f t="shared" si="283"/>
        <v>-0.10801703420468527</v>
      </c>
      <c r="AI252" s="701">
        <f t="shared" si="283"/>
        <v>-0.11051803993819004</v>
      </c>
      <c r="AJ252" s="701">
        <f t="shared" si="283"/>
        <v>-6.0343175230369736E-2</v>
      </c>
      <c r="AK252" s="701">
        <f t="shared" si="283"/>
        <v>-6.9001624031021974E-2</v>
      </c>
      <c r="AL252" s="701">
        <f t="shared" si="283"/>
        <v>-0.13314975806954735</v>
      </c>
      <c r="AM252" s="701">
        <f t="shared" si="283"/>
        <v>-0.23719076732949687</v>
      </c>
      <c r="AN252" s="701">
        <f t="shared" si="283"/>
        <v>-0.27782660328604109</v>
      </c>
      <c r="AO252" s="701">
        <f t="shared" si="283"/>
        <v>-0.13196200853553153</v>
      </c>
      <c r="AP252" s="701">
        <f t="shared" si="283"/>
        <v>-0.18437444257684307</v>
      </c>
      <c r="AQ252" s="701">
        <f t="shared" si="283"/>
        <v>-0.23151700000000003</v>
      </c>
      <c r="AR252" s="701">
        <f t="shared" si="283"/>
        <v>-0.20366666666666666</v>
      </c>
      <c r="AS252" s="701">
        <f t="shared" si="283"/>
        <v>-0.21811111111111112</v>
      </c>
      <c r="AT252" s="715">
        <f t="shared" si="283"/>
        <v>-0.22445462962962964</v>
      </c>
      <c r="AU252" s="715">
        <f t="shared" si="283"/>
        <v>-0.23079814814814814</v>
      </c>
      <c r="AV252" s="715">
        <f t="shared" si="283"/>
        <v>-0.23714166666666661</v>
      </c>
      <c r="AW252" s="715">
        <f t="shared" si="283"/>
        <v>-0.24348518518518517</v>
      </c>
      <c r="AX252" s="715">
        <f t="shared" si="283"/>
        <v>-0.24982870370370366</v>
      </c>
      <c r="AY252" s="715">
        <f t="shared" si="283"/>
        <v>-0.25617222222222213</v>
      </c>
      <c r="AZ252" s="715">
        <f t="shared" si="283"/>
        <v>-0.26251574074074063</v>
      </c>
      <c r="BA252" s="715">
        <f t="shared" si="283"/>
        <v>-0.26885925925925913</v>
      </c>
      <c r="BB252" s="715">
        <f t="shared" si="283"/>
        <v>-0.27520277777777763</v>
      </c>
      <c r="BC252" s="715">
        <f t="shared" si="283"/>
        <v>-0.28154629629629618</v>
      </c>
      <c r="BD252" s="715">
        <f t="shared" si="283"/>
        <v>-0.28788981481481463</v>
      </c>
      <c r="BE252" s="715">
        <f t="shared" si="283"/>
        <v>-0.29423333333333335</v>
      </c>
      <c r="BF252" s="701">
        <f t="shared" si="283"/>
        <v>-0.29423333333333335</v>
      </c>
      <c r="BG252" s="701">
        <f t="shared" si="283"/>
        <v>-0.29423333333333335</v>
      </c>
      <c r="BH252" s="701">
        <f t="shared" si="283"/>
        <v>-0.29423333333333335</v>
      </c>
      <c r="BI252" s="701">
        <f t="shared" si="283"/>
        <v>-0.29423333333333335</v>
      </c>
      <c r="BJ252" s="701">
        <f t="shared" si="283"/>
        <v>-0.29423333333333335</v>
      </c>
      <c r="BK252" s="701">
        <f t="shared" si="283"/>
        <v>-0.29423333333333335</v>
      </c>
      <c r="BL252" s="701">
        <f t="shared" si="283"/>
        <v>-0.29423333333333335</v>
      </c>
      <c r="BM252" s="701">
        <f t="shared" si="283"/>
        <v>-0.29423333333333335</v>
      </c>
      <c r="BN252" s="701">
        <f t="shared" si="283"/>
        <v>-0.29423333333333335</v>
      </c>
      <c r="BO252" s="701">
        <f t="shared" si="283"/>
        <v>-0.29423333333333335</v>
      </c>
      <c r="BP252" s="701">
        <f t="shared" si="283"/>
        <v>-0.29423333333333335</v>
      </c>
      <c r="BQ252" s="701">
        <f t="shared" si="283"/>
        <v>-0.29423333333333335</v>
      </c>
      <c r="BR252" s="701">
        <f t="shared" si="283"/>
        <v>-0.30401222222222224</v>
      </c>
      <c r="BS252" s="701">
        <f t="shared" si="283"/>
        <v>-0.31379111111111113</v>
      </c>
      <c r="BT252" s="701">
        <f t="shared" si="283"/>
        <v>-0.32357000000000002</v>
      </c>
      <c r="BU252" s="701">
        <f t="shared" si="283"/>
        <v>-0.33334888888888886</v>
      </c>
      <c r="BV252" s="701">
        <f t="shared" si="283"/>
        <v>-0.3431277777777777</v>
      </c>
      <c r="BW252" s="701">
        <f t="shared" si="283"/>
        <v>-0.35290666666666659</v>
      </c>
      <c r="BX252" s="701">
        <f t="shared" si="283"/>
        <v>-0.36268555555555554</v>
      </c>
      <c r="BY252" s="701">
        <f t="shared" si="283"/>
        <v>-0.37246444444444438</v>
      </c>
      <c r="BZ252" s="701">
        <f t="shared" si="283"/>
        <v>-0.38224333333333327</v>
      </c>
      <c r="CA252" s="701">
        <f t="shared" si="283"/>
        <v>-0.39202222222222216</v>
      </c>
      <c r="CB252" s="701">
        <f t="shared" si="283"/>
        <v>-0.401801111111111</v>
      </c>
      <c r="CC252" s="701">
        <f t="shared" si="283"/>
        <v>-0.41157999999999995</v>
      </c>
      <c r="CD252" s="701">
        <f t="shared" si="283"/>
        <v>-0.41952299999999998</v>
      </c>
      <c r="CE252" s="701">
        <f t="shared" si="283"/>
        <v>-0.42746599999999996</v>
      </c>
      <c r="CF252" s="701">
        <f t="shared" si="283"/>
        <v>-0.43540899999999993</v>
      </c>
      <c r="CG252" s="701">
        <f t="shared" si="283"/>
        <v>-0.44335199999999997</v>
      </c>
      <c r="CH252" s="701">
        <f t="shared" si="283"/>
        <v>-0.45129499999999995</v>
      </c>
      <c r="CI252" s="701">
        <f t="shared" si="283"/>
        <v>-0.45923799999999987</v>
      </c>
      <c r="CJ252" s="701">
        <f t="shared" si="283"/>
        <v>-0.4671809999999999</v>
      </c>
      <c r="CK252" s="701">
        <f t="shared" si="283"/>
        <v>-0.47512399999999994</v>
      </c>
      <c r="CL252" s="701">
        <f t="shared" si="284"/>
        <v>-0.48306699999999991</v>
      </c>
      <c r="CM252" s="701">
        <f t="shared" si="284"/>
        <v>-0.49100999999999984</v>
      </c>
      <c r="CN252" s="701">
        <f t="shared" si="284"/>
        <v>-0.49895299999999987</v>
      </c>
      <c r="CO252" s="701">
        <f t="shared" si="284"/>
        <v>-0.50689600000000001</v>
      </c>
      <c r="CP252" s="701">
        <f t="shared" si="284"/>
        <v>-0.51371926666666656</v>
      </c>
      <c r="CQ252" s="701">
        <f t="shared" si="284"/>
        <v>-0.52054253333333322</v>
      </c>
      <c r="CR252" s="701">
        <f t="shared" si="284"/>
        <v>-0.52736580000000011</v>
      </c>
      <c r="CS252" s="701">
        <f t="shared" si="284"/>
        <v>-0.53418906666666666</v>
      </c>
      <c r="CT252" s="701">
        <f t="shared" si="284"/>
        <v>-0.54101233333333332</v>
      </c>
      <c r="CU252" s="701">
        <f t="shared" si="284"/>
        <v>-0.54783559999999998</v>
      </c>
      <c r="CV252" s="701">
        <f t="shared" si="284"/>
        <v>-0.55465886666666653</v>
      </c>
      <c r="CW252" s="701">
        <f t="shared" si="284"/>
        <v>-0.56148213333333319</v>
      </c>
      <c r="CX252" s="701">
        <f t="shared" si="284"/>
        <v>-0.56830539999999985</v>
      </c>
      <c r="CY252" s="701">
        <f t="shared" si="284"/>
        <v>-0.5751286666666664</v>
      </c>
      <c r="CZ252" s="701">
        <f t="shared" si="284"/>
        <v>-0.58195193333333295</v>
      </c>
      <c r="DA252" s="701">
        <f t="shared" si="284"/>
        <v>-0.58877519999999994</v>
      </c>
      <c r="DC252" s="12">
        <f t="shared" si="254"/>
        <v>-0.95429877577644384</v>
      </c>
      <c r="DD252" s="12">
        <f t="shared" si="255"/>
        <v>-1.9656782309795047</v>
      </c>
      <c r="DE252" s="702">
        <f t="shared" si="256"/>
        <v>-3.1121277777777765</v>
      </c>
      <c r="DF252" s="12">
        <f t="shared" si="259"/>
        <v>-3.530800000000001</v>
      </c>
      <c r="DG252" s="12">
        <f t="shared" si="260"/>
        <v>-4.2935533333333327</v>
      </c>
      <c r="DH252" s="12">
        <f t="shared" si="257"/>
        <v>-5.5585140000000006</v>
      </c>
      <c r="DI252" s="12">
        <f t="shared" si="261"/>
        <v>-6.6149667999999986</v>
      </c>
    </row>
    <row r="253" spans="2:113" outlineLevel="1">
      <c r="F253" s="126" t="s">
        <v>806</v>
      </c>
      <c r="I253" s="609" t="s">
        <v>736</v>
      </c>
      <c r="O253" s="710"/>
      <c r="P253" s="710"/>
      <c r="Q253" s="710"/>
      <c r="R253" s="710"/>
      <c r="S253" s="710"/>
      <c r="T253" s="710"/>
      <c r="U253" s="710"/>
      <c r="V253" s="710"/>
      <c r="W253" s="710"/>
      <c r="X253" s="710"/>
      <c r="Y253" s="710"/>
      <c r="Z253" s="701">
        <f t="shared" si="283"/>
        <v>-3.1329129999999997E-2</v>
      </c>
      <c r="AA253" s="701">
        <f t="shared" si="283"/>
        <v>-5.6893899999999997E-2</v>
      </c>
      <c r="AB253" s="701">
        <f t="shared" si="283"/>
        <v>-6.2674919999999995E-2</v>
      </c>
      <c r="AC253" s="701">
        <f t="shared" si="283"/>
        <v>-5.5594419999999999E-2</v>
      </c>
      <c r="AD253" s="701">
        <f t="shared" si="283"/>
        <v>-5.9934349999999997E-2</v>
      </c>
      <c r="AE253" s="701">
        <f t="shared" si="283"/>
        <v>-8.3899760000000004E-2</v>
      </c>
      <c r="AF253" s="701">
        <f t="shared" si="283"/>
        <v>-8.9647459999999998E-2</v>
      </c>
      <c r="AG253" s="701">
        <f t="shared" si="283"/>
        <v>-8.980573E-2</v>
      </c>
      <c r="AH253" s="701">
        <f t="shared" si="283"/>
        <v>-0.116260144</v>
      </c>
      <c r="AI253" s="701">
        <f t="shared" si="283"/>
        <v>-0.10444154</v>
      </c>
      <c r="AJ253" s="701">
        <f t="shared" si="283"/>
        <v>-0.14141008000000002</v>
      </c>
      <c r="AK253" s="701">
        <f t="shared" si="283"/>
        <v>-0.17492167</v>
      </c>
      <c r="AL253" s="701">
        <f t="shared" si="283"/>
        <v>-0.18545911999999998</v>
      </c>
      <c r="AM253" s="701">
        <f t="shared" si="283"/>
        <v>-0.244047342</v>
      </c>
      <c r="AN253" s="701">
        <f t="shared" si="283"/>
        <v>-0.25299185299999999</v>
      </c>
      <c r="AO253" s="701">
        <f t="shared" si="283"/>
        <v>-2.7273594999999998E-2</v>
      </c>
      <c r="AP253" s="701">
        <f t="shared" si="283"/>
        <v>-2.6713876000000001E-2</v>
      </c>
      <c r="AQ253" s="701">
        <f t="shared" si="283"/>
        <v>-0.14247199999999999</v>
      </c>
      <c r="AR253" s="701">
        <f t="shared" si="283"/>
        <v>-0.12533333333333332</v>
      </c>
      <c r="AS253" s="701">
        <f t="shared" si="283"/>
        <v>-0.13422222222222221</v>
      </c>
      <c r="AT253" s="715">
        <f t="shared" si="283"/>
        <v>-0.13812592592592593</v>
      </c>
      <c r="AU253" s="715">
        <f t="shared" si="283"/>
        <v>-0.14202962962962962</v>
      </c>
      <c r="AV253" s="715">
        <f t="shared" si="283"/>
        <v>-0.14593333333333333</v>
      </c>
      <c r="AW253" s="715">
        <f t="shared" si="283"/>
        <v>-0.14983703703703699</v>
      </c>
      <c r="AX253" s="715">
        <f t="shared" si="283"/>
        <v>-0.15374074074074068</v>
      </c>
      <c r="AY253" s="715">
        <f t="shared" si="283"/>
        <v>-0.15764444444444439</v>
      </c>
      <c r="AZ253" s="715">
        <f t="shared" si="283"/>
        <v>-0.16154814814814805</v>
      </c>
      <c r="BA253" s="715">
        <f t="shared" si="283"/>
        <v>-0.16545185185185179</v>
      </c>
      <c r="BB253" s="715">
        <f t="shared" si="283"/>
        <v>-0.16935555555555545</v>
      </c>
      <c r="BC253" s="715">
        <f t="shared" si="283"/>
        <v>-0.17325925925925917</v>
      </c>
      <c r="BD253" s="715">
        <f t="shared" si="283"/>
        <v>-0.17716296296296286</v>
      </c>
      <c r="BE253" s="715">
        <f t="shared" si="283"/>
        <v>-0.18106666666666665</v>
      </c>
      <c r="BF253" s="701">
        <f t="shared" si="283"/>
        <v>-0.18106666666666665</v>
      </c>
      <c r="BG253" s="701">
        <f t="shared" si="283"/>
        <v>-0.18106666666666665</v>
      </c>
      <c r="BH253" s="701">
        <f t="shared" si="283"/>
        <v>-0.18106666666666665</v>
      </c>
      <c r="BI253" s="701">
        <f t="shared" si="283"/>
        <v>-0.18106666666666665</v>
      </c>
      <c r="BJ253" s="701">
        <f t="shared" si="283"/>
        <v>-0.18106666666666665</v>
      </c>
      <c r="BK253" s="701">
        <f t="shared" si="283"/>
        <v>-0.18106666666666665</v>
      </c>
      <c r="BL253" s="701">
        <f t="shared" si="283"/>
        <v>-0.18106666666666665</v>
      </c>
      <c r="BM253" s="701">
        <f t="shared" si="283"/>
        <v>-0.18106666666666665</v>
      </c>
      <c r="BN253" s="701">
        <f t="shared" si="283"/>
        <v>-0.18106666666666665</v>
      </c>
      <c r="BO253" s="701">
        <f t="shared" si="283"/>
        <v>-0.18106666666666665</v>
      </c>
      <c r="BP253" s="701">
        <f t="shared" si="283"/>
        <v>-0.18106666666666665</v>
      </c>
      <c r="BQ253" s="701">
        <f t="shared" si="283"/>
        <v>-0.18106666666666665</v>
      </c>
      <c r="BR253" s="701">
        <f t="shared" si="283"/>
        <v>-0.18708444444444444</v>
      </c>
      <c r="BS253" s="701">
        <f t="shared" si="283"/>
        <v>-0.1931022222222222</v>
      </c>
      <c r="BT253" s="701">
        <f t="shared" si="283"/>
        <v>-0.19911999999999996</v>
      </c>
      <c r="BU253" s="701">
        <f t="shared" si="283"/>
        <v>-0.20513777777777772</v>
      </c>
      <c r="BV253" s="701">
        <f t="shared" si="283"/>
        <v>-0.21115555555555554</v>
      </c>
      <c r="BW253" s="701">
        <f t="shared" si="283"/>
        <v>-0.2171733333333333</v>
      </c>
      <c r="BX253" s="701">
        <f t="shared" si="283"/>
        <v>-0.22319111111111106</v>
      </c>
      <c r="BY253" s="701">
        <f t="shared" si="283"/>
        <v>-0.22920888888888882</v>
      </c>
      <c r="BZ253" s="701">
        <f t="shared" si="283"/>
        <v>-0.23522666666666661</v>
      </c>
      <c r="CA253" s="701">
        <f t="shared" si="283"/>
        <v>-0.24124444444444437</v>
      </c>
      <c r="CB253" s="701">
        <f t="shared" si="283"/>
        <v>-0.24726222222222213</v>
      </c>
      <c r="CC253" s="701">
        <f t="shared" si="283"/>
        <v>-0.25328000000000001</v>
      </c>
      <c r="CD253" s="701">
        <f t="shared" si="283"/>
        <v>-0.25816799999999995</v>
      </c>
      <c r="CE253" s="701">
        <f t="shared" si="283"/>
        <v>-0.26305599999999996</v>
      </c>
      <c r="CF253" s="701">
        <f t="shared" si="283"/>
        <v>-0.26794399999999996</v>
      </c>
      <c r="CG253" s="701">
        <f t="shared" si="283"/>
        <v>-0.27283199999999996</v>
      </c>
      <c r="CH253" s="701">
        <f t="shared" si="283"/>
        <v>-0.27771999999999997</v>
      </c>
      <c r="CI253" s="701">
        <f t="shared" si="283"/>
        <v>-0.28260799999999991</v>
      </c>
      <c r="CJ253" s="701">
        <f t="shared" si="283"/>
        <v>-0.28749599999999992</v>
      </c>
      <c r="CK253" s="701">
        <f t="shared" si="283"/>
        <v>-0.29238399999999992</v>
      </c>
      <c r="CL253" s="701">
        <f t="shared" si="284"/>
        <v>-0.29727199999999993</v>
      </c>
      <c r="CM253" s="701">
        <f t="shared" si="284"/>
        <v>-0.30215999999999987</v>
      </c>
      <c r="CN253" s="701">
        <f t="shared" si="284"/>
        <v>-0.30704799999999988</v>
      </c>
      <c r="CO253" s="701">
        <f t="shared" si="284"/>
        <v>-0.31193599999999999</v>
      </c>
      <c r="CP253" s="701">
        <f t="shared" si="284"/>
        <v>-0.31613493333333331</v>
      </c>
      <c r="CQ253" s="701">
        <f t="shared" si="284"/>
        <v>-0.32033386666666663</v>
      </c>
      <c r="CR253" s="701">
        <f t="shared" si="284"/>
        <v>-0.32453279999999995</v>
      </c>
      <c r="CS253" s="701">
        <f t="shared" si="284"/>
        <v>-0.32873173333333328</v>
      </c>
      <c r="CT253" s="701">
        <f t="shared" si="284"/>
        <v>-0.3329306666666666</v>
      </c>
      <c r="CU253" s="701">
        <f t="shared" si="284"/>
        <v>-0.33712959999999992</v>
      </c>
      <c r="CV253" s="701">
        <f t="shared" si="284"/>
        <v>-0.34132853333333329</v>
      </c>
      <c r="CW253" s="701">
        <f t="shared" si="284"/>
        <v>-0.34552746666666656</v>
      </c>
      <c r="CX253" s="701">
        <f t="shared" si="284"/>
        <v>-0.34972639999999988</v>
      </c>
      <c r="CY253" s="701">
        <f t="shared" si="284"/>
        <v>-0.3539253333333332</v>
      </c>
      <c r="CZ253" s="701">
        <f t="shared" si="284"/>
        <v>-0.35812426666666647</v>
      </c>
      <c r="DA253" s="701">
        <f t="shared" si="284"/>
        <v>-0.36232320000000001</v>
      </c>
      <c r="DC253" s="12">
        <f t="shared" si="254"/>
        <v>-0.52977967000000004</v>
      </c>
      <c r="DD253" s="12">
        <f t="shared" si="255"/>
        <v>-1.6755467755555555</v>
      </c>
      <c r="DE253" s="702">
        <f t="shared" si="256"/>
        <v>-1.9151555555555548</v>
      </c>
      <c r="DF253" s="12">
        <f t="shared" si="259"/>
        <v>-2.1728000000000001</v>
      </c>
      <c r="DG253" s="12">
        <f t="shared" si="260"/>
        <v>-2.6421866666666665</v>
      </c>
      <c r="DH253" s="12">
        <f t="shared" si="257"/>
        <v>-3.4206239999999992</v>
      </c>
      <c r="DI253" s="12">
        <f t="shared" si="261"/>
        <v>-4.0707487999999996</v>
      </c>
    </row>
    <row r="254" spans="2:113" outlineLevel="1">
      <c r="F254" s="126" t="s">
        <v>807</v>
      </c>
      <c r="I254" s="609" t="s">
        <v>736</v>
      </c>
      <c r="O254" s="710"/>
      <c r="P254" s="710"/>
      <c r="Q254" s="710"/>
      <c r="R254" s="710"/>
      <c r="S254" s="710"/>
      <c r="T254" s="710"/>
      <c r="U254" s="710"/>
      <c r="V254" s="710"/>
      <c r="W254" s="710"/>
      <c r="X254" s="710"/>
      <c r="Y254" s="710"/>
      <c r="Z254" s="701">
        <f t="shared" si="283"/>
        <v>0</v>
      </c>
      <c r="AA254" s="701">
        <f t="shared" si="283"/>
        <v>0</v>
      </c>
      <c r="AB254" s="701">
        <f t="shared" si="283"/>
        <v>0</v>
      </c>
      <c r="AC254" s="701">
        <f t="shared" si="283"/>
        <v>0</v>
      </c>
      <c r="AD254" s="701">
        <f t="shared" si="283"/>
        <v>0</v>
      </c>
      <c r="AE254" s="701">
        <f t="shared" si="283"/>
        <v>0</v>
      </c>
      <c r="AF254" s="701">
        <f t="shared" si="283"/>
        <v>0</v>
      </c>
      <c r="AG254" s="701">
        <f t="shared" si="283"/>
        <v>0</v>
      </c>
      <c r="AH254" s="701">
        <f t="shared" si="283"/>
        <v>0</v>
      </c>
      <c r="AI254" s="701">
        <f t="shared" si="283"/>
        <v>0</v>
      </c>
      <c r="AJ254" s="701">
        <f t="shared" si="283"/>
        <v>0</v>
      </c>
      <c r="AK254" s="701">
        <f t="shared" si="283"/>
        <v>0</v>
      </c>
      <c r="AL254" s="701">
        <f t="shared" si="283"/>
        <v>0</v>
      </c>
      <c r="AM254" s="701">
        <f t="shared" si="283"/>
        <v>0</v>
      </c>
      <c r="AN254" s="701">
        <f t="shared" si="283"/>
        <v>0</v>
      </c>
      <c r="AO254" s="701">
        <f t="shared" si="283"/>
        <v>0</v>
      </c>
      <c r="AP254" s="701">
        <f t="shared" si="283"/>
        <v>0</v>
      </c>
      <c r="AQ254" s="701">
        <f t="shared" si="283"/>
        <v>0</v>
      </c>
      <c r="AR254" s="701">
        <f t="shared" si="283"/>
        <v>0</v>
      </c>
      <c r="AS254" s="701">
        <f t="shared" si="283"/>
        <v>0</v>
      </c>
      <c r="AT254" s="722">
        <f t="shared" si="283"/>
        <v>-8.3333333333333339E-4</v>
      </c>
      <c r="AU254" s="722">
        <f t="shared" si="283"/>
        <v>-1.6666666666666668E-3</v>
      </c>
      <c r="AV254" s="722">
        <f t="shared" si="283"/>
        <v>-2.5000000000000001E-3</v>
      </c>
      <c r="AW254" s="722">
        <f t="shared" si="283"/>
        <v>-3.3333333333333335E-3</v>
      </c>
      <c r="AX254" s="722">
        <f t="shared" si="283"/>
        <v>-4.1666666666666666E-3</v>
      </c>
      <c r="AY254" s="722">
        <f t="shared" si="283"/>
        <v>-5.0000000000000001E-3</v>
      </c>
      <c r="AZ254" s="722">
        <f t="shared" si="283"/>
        <v>-5.8333333333333327E-3</v>
      </c>
      <c r="BA254" s="722">
        <f t="shared" si="283"/>
        <v>-6.6666666666666662E-3</v>
      </c>
      <c r="BB254" s="722">
        <f t="shared" si="283"/>
        <v>-7.4999999999999989E-3</v>
      </c>
      <c r="BC254" s="722">
        <f t="shared" si="283"/>
        <v>-8.3333333333333315E-3</v>
      </c>
      <c r="BD254" s="722">
        <f t="shared" si="283"/>
        <v>-9.1666666666666667E-3</v>
      </c>
      <c r="BE254" s="722">
        <f t="shared" si="283"/>
        <v>-0.01</v>
      </c>
      <c r="BF254" s="701">
        <f t="shared" si="283"/>
        <v>-0.01</v>
      </c>
      <c r="BG254" s="701">
        <f t="shared" si="283"/>
        <v>-0.01</v>
      </c>
      <c r="BH254" s="701">
        <f t="shared" si="283"/>
        <v>-0.01</v>
      </c>
      <c r="BI254" s="701">
        <f t="shared" si="283"/>
        <v>-0.01</v>
      </c>
      <c r="BJ254" s="701">
        <f t="shared" si="283"/>
        <v>-0.01</v>
      </c>
      <c r="BK254" s="701">
        <f t="shared" si="283"/>
        <v>-0.01</v>
      </c>
      <c r="BL254" s="701">
        <f t="shared" si="283"/>
        <v>-0.01</v>
      </c>
      <c r="BM254" s="701">
        <f t="shared" si="283"/>
        <v>-0.01</v>
      </c>
      <c r="BN254" s="701">
        <f t="shared" si="283"/>
        <v>-0.01</v>
      </c>
      <c r="BO254" s="701">
        <f t="shared" si="283"/>
        <v>-0.01</v>
      </c>
      <c r="BP254" s="701">
        <f t="shared" si="283"/>
        <v>-0.01</v>
      </c>
      <c r="BQ254" s="701">
        <f t="shared" si="283"/>
        <v>-0.01</v>
      </c>
      <c r="BR254" s="701">
        <f t="shared" si="283"/>
        <v>-1.1666666666666665E-2</v>
      </c>
      <c r="BS254" s="701">
        <f t="shared" si="283"/>
        <v>-1.3333333333333332E-2</v>
      </c>
      <c r="BT254" s="701">
        <f t="shared" si="283"/>
        <v>-1.4999999999999998E-2</v>
      </c>
      <c r="BU254" s="701">
        <f t="shared" si="283"/>
        <v>-1.6666666666666663E-2</v>
      </c>
      <c r="BV254" s="701">
        <f t="shared" si="283"/>
        <v>-1.8333333333333333E-2</v>
      </c>
      <c r="BW254" s="701">
        <f t="shared" si="283"/>
        <v>-0.02</v>
      </c>
      <c r="BX254" s="701">
        <f t="shared" si="283"/>
        <v>-2.1666666666666667E-2</v>
      </c>
      <c r="BY254" s="701">
        <f t="shared" si="283"/>
        <v>-2.3333333333333334E-2</v>
      </c>
      <c r="BZ254" s="701">
        <f t="shared" si="283"/>
        <v>-2.5000000000000005E-2</v>
      </c>
      <c r="CA254" s="701">
        <f t="shared" si="283"/>
        <v>-2.6666666666666672E-2</v>
      </c>
      <c r="CB254" s="701">
        <f t="shared" si="283"/>
        <v>-2.8333333333333339E-2</v>
      </c>
      <c r="CC254" s="701">
        <f t="shared" si="283"/>
        <v>-0.03</v>
      </c>
      <c r="CD254" s="701">
        <f t="shared" si="283"/>
        <v>-3.0833333333333331E-2</v>
      </c>
      <c r="CE254" s="701">
        <f t="shared" si="283"/>
        <v>-3.1666666666666662E-2</v>
      </c>
      <c r="CF254" s="701">
        <f t="shared" si="283"/>
        <v>-3.2500000000000001E-2</v>
      </c>
      <c r="CG254" s="701">
        <f t="shared" si="283"/>
        <v>-3.3333333333333333E-2</v>
      </c>
      <c r="CH254" s="701">
        <f t="shared" si="283"/>
        <v>-3.4166666666666672E-2</v>
      </c>
      <c r="CI254" s="701">
        <f t="shared" si="283"/>
        <v>-3.500000000000001E-2</v>
      </c>
      <c r="CJ254" s="701">
        <f t="shared" si="283"/>
        <v>-3.5833333333333342E-2</v>
      </c>
      <c r="CK254" s="701">
        <f t="shared" ref="CK254:CO256" si="285">CK292+CK333</f>
        <v>-3.6666666666666681E-2</v>
      </c>
      <c r="CL254" s="701">
        <f t="shared" si="285"/>
        <v>-3.7500000000000012E-2</v>
      </c>
      <c r="CM254" s="701">
        <f t="shared" si="285"/>
        <v>-3.8333333333333351E-2</v>
      </c>
      <c r="CN254" s="701">
        <f t="shared" si="285"/>
        <v>-3.9166666666666683E-2</v>
      </c>
      <c r="CO254" s="701">
        <f t="shared" si="285"/>
        <v>-0.04</v>
      </c>
      <c r="CP254" s="701">
        <f t="shared" si="284"/>
        <v>-4.0166666666666663E-2</v>
      </c>
      <c r="CQ254" s="701">
        <f t="shared" si="284"/>
        <v>-4.0333333333333325E-2</v>
      </c>
      <c r="CR254" s="701">
        <f t="shared" si="284"/>
        <v>-4.0499999999999994E-2</v>
      </c>
      <c r="CS254" s="701">
        <f t="shared" si="284"/>
        <v>-4.0666666666666657E-2</v>
      </c>
      <c r="CT254" s="701">
        <f t="shared" si="284"/>
        <v>-4.0833333333333319E-2</v>
      </c>
      <c r="CU254" s="701">
        <f t="shared" si="284"/>
        <v>-4.0999999999999988E-2</v>
      </c>
      <c r="CV254" s="701">
        <f t="shared" si="284"/>
        <v>-4.116666666666665E-2</v>
      </c>
      <c r="CW254" s="701">
        <f t="shared" si="284"/>
        <v>-4.1333333333333312E-2</v>
      </c>
      <c r="CX254" s="701">
        <f t="shared" si="284"/>
        <v>-4.1499999999999981E-2</v>
      </c>
      <c r="CY254" s="701">
        <f t="shared" si="284"/>
        <v>-4.1666666666666644E-2</v>
      </c>
      <c r="CZ254" s="701">
        <f t="shared" si="284"/>
        <v>-4.1833333333333306E-2</v>
      </c>
      <c r="DA254" s="701">
        <f t="shared" si="284"/>
        <v>-4.2000000000000003E-2</v>
      </c>
      <c r="DC254" s="12">
        <f t="shared" si="254"/>
        <v>0</v>
      </c>
      <c r="DD254" s="12">
        <f t="shared" si="255"/>
        <v>0</v>
      </c>
      <c r="DE254" s="702">
        <f t="shared" si="256"/>
        <v>-6.4999999999999988E-2</v>
      </c>
      <c r="DF254" s="12">
        <f t="shared" si="259"/>
        <v>-0.11999999999999998</v>
      </c>
      <c r="DG254" s="12">
        <f t="shared" si="260"/>
        <v>-0.25</v>
      </c>
      <c r="DH254" s="12">
        <f t="shared" si="257"/>
        <v>-0.42500000000000004</v>
      </c>
      <c r="DI254" s="12">
        <f t="shared" si="261"/>
        <v>-0.49299999999999983</v>
      </c>
    </row>
    <row r="255" spans="2:113" outlineLevel="1">
      <c r="F255" s="126" t="s">
        <v>703</v>
      </c>
      <c r="I255" s="609" t="s">
        <v>736</v>
      </c>
      <c r="O255" s="710"/>
      <c r="P255" s="710"/>
      <c r="Q255" s="710"/>
      <c r="R255" s="710"/>
      <c r="S255" s="710"/>
      <c r="T255" s="710"/>
      <c r="U255" s="710"/>
      <c r="V255" s="710"/>
      <c r="W255" s="710"/>
      <c r="X255" s="710"/>
      <c r="Y255" s="710"/>
      <c r="Z255" s="701">
        <f t="shared" ref="Z255:CK256" si="286">Z293+Z334</f>
        <v>0</v>
      </c>
      <c r="AA255" s="701">
        <f t="shared" si="286"/>
        <v>0</v>
      </c>
      <c r="AB255" s="701">
        <f t="shared" si="286"/>
        <v>-1.1070231E-2</v>
      </c>
      <c r="AC255" s="701">
        <f t="shared" si="286"/>
        <v>-9.833451E-3</v>
      </c>
      <c r="AD255" s="701">
        <f t="shared" si="286"/>
        <v>-1.2671999999999999E-2</v>
      </c>
      <c r="AE255" s="701">
        <f t="shared" si="286"/>
        <v>-1.3973174999999999E-2</v>
      </c>
      <c r="AF255" s="701">
        <f t="shared" si="286"/>
        <v>-1.178685E-2</v>
      </c>
      <c r="AG255" s="701">
        <f t="shared" si="286"/>
        <v>-9.2208600000000009E-3</v>
      </c>
      <c r="AH255" s="701">
        <f t="shared" si="286"/>
        <v>-1.2226184000000001E-2</v>
      </c>
      <c r="AI255" s="701">
        <f t="shared" si="286"/>
        <v>-1.1158570999999999E-2</v>
      </c>
      <c r="AJ255" s="701">
        <f t="shared" si="286"/>
        <v>-1.2076313E-2</v>
      </c>
      <c r="AK255" s="701">
        <f t="shared" si="286"/>
        <v>-1.0502206E-2</v>
      </c>
      <c r="AL255" s="701">
        <f t="shared" si="286"/>
        <v>-8.9806919999999985E-3</v>
      </c>
      <c r="AM255" s="701">
        <f t="shared" si="286"/>
        <v>-1.2877292E-2</v>
      </c>
      <c r="AN255" s="701">
        <f t="shared" si="286"/>
        <v>0</v>
      </c>
      <c r="AO255" s="701">
        <f t="shared" si="286"/>
        <v>0</v>
      </c>
      <c r="AP255" s="701">
        <f t="shared" si="286"/>
        <v>0</v>
      </c>
      <c r="AQ255" s="701">
        <f t="shared" si="286"/>
        <v>0</v>
      </c>
      <c r="AR255" s="701">
        <f t="shared" si="286"/>
        <v>0</v>
      </c>
      <c r="AS255" s="701">
        <f t="shared" si="286"/>
        <v>0</v>
      </c>
      <c r="AT255" s="715">
        <f t="shared" si="286"/>
        <v>0</v>
      </c>
      <c r="AU255" s="715">
        <f t="shared" si="286"/>
        <v>0</v>
      </c>
      <c r="AV255" s="715">
        <f t="shared" si="286"/>
        <v>0</v>
      </c>
      <c r="AW255" s="715">
        <f t="shared" si="286"/>
        <v>0</v>
      </c>
      <c r="AX255" s="715">
        <f t="shared" si="286"/>
        <v>0</v>
      </c>
      <c r="AY255" s="715">
        <f t="shared" si="286"/>
        <v>0</v>
      </c>
      <c r="AZ255" s="715">
        <f t="shared" si="286"/>
        <v>0</v>
      </c>
      <c r="BA255" s="715">
        <f t="shared" si="286"/>
        <v>0</v>
      </c>
      <c r="BB255" s="715">
        <f t="shared" si="286"/>
        <v>0</v>
      </c>
      <c r="BC255" s="715">
        <f t="shared" si="286"/>
        <v>0</v>
      </c>
      <c r="BD255" s="715">
        <f t="shared" si="286"/>
        <v>0</v>
      </c>
      <c r="BE255" s="715">
        <f t="shared" si="286"/>
        <v>0</v>
      </c>
      <c r="BF255" s="701">
        <f t="shared" si="286"/>
        <v>0</v>
      </c>
      <c r="BG255" s="701">
        <f t="shared" si="286"/>
        <v>0</v>
      </c>
      <c r="BH255" s="701">
        <f t="shared" si="286"/>
        <v>0</v>
      </c>
      <c r="BI255" s="701">
        <f t="shared" si="286"/>
        <v>0</v>
      </c>
      <c r="BJ255" s="701">
        <f t="shared" si="286"/>
        <v>0</v>
      </c>
      <c r="BK255" s="701">
        <f t="shared" si="286"/>
        <v>0</v>
      </c>
      <c r="BL255" s="701">
        <f t="shared" si="286"/>
        <v>0</v>
      </c>
      <c r="BM255" s="701">
        <f t="shared" si="286"/>
        <v>0</v>
      </c>
      <c r="BN255" s="701">
        <f t="shared" si="286"/>
        <v>0</v>
      </c>
      <c r="BO255" s="701">
        <f t="shared" si="286"/>
        <v>0</v>
      </c>
      <c r="BP255" s="701">
        <f t="shared" si="286"/>
        <v>0</v>
      </c>
      <c r="BQ255" s="701">
        <f t="shared" si="286"/>
        <v>0</v>
      </c>
      <c r="BR255" s="701">
        <f t="shared" si="286"/>
        <v>0</v>
      </c>
      <c r="BS255" s="701">
        <f t="shared" si="286"/>
        <v>0</v>
      </c>
      <c r="BT255" s="701">
        <f t="shared" si="286"/>
        <v>0</v>
      </c>
      <c r="BU255" s="701">
        <f t="shared" si="286"/>
        <v>0</v>
      </c>
      <c r="BV255" s="701">
        <f t="shared" si="286"/>
        <v>0</v>
      </c>
      <c r="BW255" s="701">
        <f t="shared" si="286"/>
        <v>0</v>
      </c>
      <c r="BX255" s="701">
        <f t="shared" si="286"/>
        <v>0</v>
      </c>
      <c r="BY255" s="701">
        <f t="shared" si="286"/>
        <v>0</v>
      </c>
      <c r="BZ255" s="701">
        <f t="shared" si="286"/>
        <v>0</v>
      </c>
      <c r="CA255" s="701">
        <f t="shared" si="286"/>
        <v>0</v>
      </c>
      <c r="CB255" s="701">
        <f t="shared" si="286"/>
        <v>0</v>
      </c>
      <c r="CC255" s="701">
        <f t="shared" si="286"/>
        <v>0</v>
      </c>
      <c r="CD255" s="701">
        <f t="shared" si="286"/>
        <v>0</v>
      </c>
      <c r="CE255" s="701">
        <f t="shared" si="286"/>
        <v>0</v>
      </c>
      <c r="CF255" s="701">
        <f t="shared" si="286"/>
        <v>0</v>
      </c>
      <c r="CG255" s="701">
        <f t="shared" si="286"/>
        <v>0</v>
      </c>
      <c r="CH255" s="701">
        <f t="shared" si="286"/>
        <v>0</v>
      </c>
      <c r="CI255" s="701">
        <f t="shared" si="286"/>
        <v>0</v>
      </c>
      <c r="CJ255" s="701">
        <f t="shared" si="286"/>
        <v>0</v>
      </c>
      <c r="CK255" s="701">
        <f t="shared" si="286"/>
        <v>0</v>
      </c>
      <c r="CL255" s="701">
        <f t="shared" si="285"/>
        <v>0</v>
      </c>
      <c r="CM255" s="701">
        <f t="shared" si="285"/>
        <v>0</v>
      </c>
      <c r="CN255" s="701">
        <f t="shared" si="285"/>
        <v>0</v>
      </c>
      <c r="CO255" s="701">
        <f t="shared" si="285"/>
        <v>0</v>
      </c>
      <c r="CP255" s="701">
        <f t="shared" si="284"/>
        <v>0</v>
      </c>
      <c r="CQ255" s="701">
        <f t="shared" si="284"/>
        <v>0</v>
      </c>
      <c r="CR255" s="701">
        <f t="shared" si="284"/>
        <v>0</v>
      </c>
      <c r="CS255" s="701">
        <f t="shared" si="284"/>
        <v>0</v>
      </c>
      <c r="CT255" s="701">
        <f t="shared" si="284"/>
        <v>0</v>
      </c>
      <c r="CU255" s="701">
        <f t="shared" si="284"/>
        <v>0</v>
      </c>
      <c r="CV255" s="701">
        <f t="shared" si="284"/>
        <v>0</v>
      </c>
      <c r="CW255" s="701">
        <f t="shared" si="284"/>
        <v>0</v>
      </c>
      <c r="CX255" s="701">
        <f t="shared" si="284"/>
        <v>0</v>
      </c>
      <c r="CY255" s="701">
        <f t="shared" si="284"/>
        <v>0</v>
      </c>
      <c r="CZ255" s="701">
        <f t="shared" si="284"/>
        <v>0</v>
      </c>
      <c r="DA255" s="701">
        <f t="shared" si="284"/>
        <v>0</v>
      </c>
      <c r="DC255" s="12">
        <f>SUM(V255:AG255)</f>
        <v>-6.8556566999999999E-2</v>
      </c>
      <c r="DD255" s="12">
        <f t="shared" ref="DD255:DD260" si="287">SUM(AH255:AS255)</f>
        <v>-6.7821257999999995E-2</v>
      </c>
      <c r="DE255" s="702">
        <f t="shared" ref="DE255:DE260" si="288">SUM(AT255:BE255)</f>
        <v>0</v>
      </c>
      <c r="DF255" s="12">
        <f>SUM(BF255:BQ255)</f>
        <v>0</v>
      </c>
      <c r="DG255" s="12">
        <f>SUM(BR255:CC255)</f>
        <v>0</v>
      </c>
      <c r="DH255" s="12">
        <f>SUM(CD255:CO255)</f>
        <v>0</v>
      </c>
      <c r="DI255" s="12">
        <f t="shared" si="261"/>
        <v>0</v>
      </c>
    </row>
    <row r="256" spans="2:113" outlineLevel="1">
      <c r="F256" s="126" t="s">
        <v>163</v>
      </c>
      <c r="I256" s="609" t="s">
        <v>736</v>
      </c>
      <c r="O256" s="710"/>
      <c r="P256" s="710"/>
      <c r="Q256" s="710"/>
      <c r="R256" s="710"/>
      <c r="S256" s="710"/>
      <c r="T256" s="710"/>
      <c r="U256" s="710"/>
      <c r="V256" s="710"/>
      <c r="W256" s="710"/>
      <c r="X256" s="710"/>
      <c r="Y256" s="710"/>
      <c r="Z256" s="701">
        <f t="shared" si="286"/>
        <v>0</v>
      </c>
      <c r="AA256" s="701">
        <f t="shared" si="286"/>
        <v>0</v>
      </c>
      <c r="AB256" s="701">
        <f t="shared" si="286"/>
        <v>-1.3666068E-2</v>
      </c>
      <c r="AC256" s="701">
        <f t="shared" si="286"/>
        <v>-1.2896149000000001E-2</v>
      </c>
      <c r="AD256" s="701">
        <f t="shared" si="286"/>
        <v>-1.4999204E-2</v>
      </c>
      <c r="AE256" s="701">
        <f t="shared" si="286"/>
        <v>-1.5214745999999999E-2</v>
      </c>
      <c r="AF256" s="701">
        <f t="shared" si="286"/>
        <v>-1.5284038999999999E-2</v>
      </c>
      <c r="AG256" s="701">
        <f t="shared" si="286"/>
        <v>-1.5934677000000001E-2</v>
      </c>
      <c r="AH256" s="701">
        <f t="shared" si="286"/>
        <v>-3.4655322496506956E-2</v>
      </c>
      <c r="AI256" s="701">
        <f t="shared" si="286"/>
        <v>-2.2830784173545973E-2</v>
      </c>
      <c r="AJ256" s="701">
        <f t="shared" si="286"/>
        <v>-3.9152477032706752E-2</v>
      </c>
      <c r="AK256" s="701">
        <f t="shared" si="286"/>
        <v>-3.7289207299246965E-2</v>
      </c>
      <c r="AL256" s="701">
        <f t="shared" si="286"/>
        <v>-3.0784508950519766E-2</v>
      </c>
      <c r="AM256" s="701">
        <f t="shared" si="286"/>
        <v>-2.4745793761462517E-2</v>
      </c>
      <c r="AN256" s="701">
        <f t="shared" si="286"/>
        <v>-1.5092215550013357E-2</v>
      </c>
      <c r="AO256" s="701">
        <f t="shared" si="286"/>
        <v>-9.0270871333052484E-3</v>
      </c>
      <c r="AP256" s="701">
        <f t="shared" si="286"/>
        <v>-1.2377783457444731E-2</v>
      </c>
      <c r="AQ256" s="701">
        <f t="shared" si="286"/>
        <v>-1.4959560000000002E-2</v>
      </c>
      <c r="AR256" s="701">
        <f t="shared" si="286"/>
        <v>-1.316E-2</v>
      </c>
      <c r="AS256" s="701">
        <f t="shared" si="286"/>
        <v>-1.4093333333333334E-2</v>
      </c>
      <c r="AT256" s="715">
        <f t="shared" si="286"/>
        <v>-1.4503222222222223E-2</v>
      </c>
      <c r="AU256" s="715">
        <f t="shared" si="286"/>
        <v>-1.491311111111111E-2</v>
      </c>
      <c r="AV256" s="715">
        <f t="shared" si="286"/>
        <v>-1.5322999999999998E-2</v>
      </c>
      <c r="AW256" s="715">
        <f t="shared" si="286"/>
        <v>-1.5732888888888887E-2</v>
      </c>
      <c r="AX256" s="715">
        <f t="shared" si="286"/>
        <v>-1.6142777777777773E-2</v>
      </c>
      <c r="AY256" s="715">
        <f t="shared" si="286"/>
        <v>-1.655266666666666E-2</v>
      </c>
      <c r="AZ256" s="715">
        <f t="shared" si="286"/>
        <v>-1.696255555555555E-2</v>
      </c>
      <c r="BA256" s="715">
        <f t="shared" si="286"/>
        <v>-1.7372444444444433E-2</v>
      </c>
      <c r="BB256" s="715">
        <f t="shared" si="286"/>
        <v>-1.7782333333333324E-2</v>
      </c>
      <c r="BC256" s="715">
        <f t="shared" si="286"/>
        <v>-1.8192222222222214E-2</v>
      </c>
      <c r="BD256" s="715">
        <f t="shared" si="286"/>
        <v>-1.8602111111111097E-2</v>
      </c>
      <c r="BE256" s="715">
        <f t="shared" si="286"/>
        <v>-1.9012000000000001E-2</v>
      </c>
      <c r="BF256" s="701">
        <f t="shared" si="286"/>
        <v>-1.9012000000000001E-2</v>
      </c>
      <c r="BG256" s="701">
        <f t="shared" si="286"/>
        <v>-1.9012000000000001E-2</v>
      </c>
      <c r="BH256" s="701">
        <f t="shared" si="286"/>
        <v>-1.9012000000000001E-2</v>
      </c>
      <c r="BI256" s="701">
        <f t="shared" si="286"/>
        <v>-1.9012000000000001E-2</v>
      </c>
      <c r="BJ256" s="701">
        <f t="shared" si="286"/>
        <v>-1.9012000000000001E-2</v>
      </c>
      <c r="BK256" s="701">
        <f t="shared" si="286"/>
        <v>-1.9012000000000001E-2</v>
      </c>
      <c r="BL256" s="701">
        <f t="shared" si="286"/>
        <v>-1.9012000000000001E-2</v>
      </c>
      <c r="BM256" s="701">
        <f t="shared" si="286"/>
        <v>-1.9012000000000001E-2</v>
      </c>
      <c r="BN256" s="701">
        <f t="shared" si="286"/>
        <v>-1.9012000000000001E-2</v>
      </c>
      <c r="BO256" s="701">
        <f t="shared" si="286"/>
        <v>-1.9012000000000001E-2</v>
      </c>
      <c r="BP256" s="701">
        <f t="shared" si="286"/>
        <v>-1.9012000000000001E-2</v>
      </c>
      <c r="BQ256" s="701">
        <f t="shared" si="286"/>
        <v>-1.9012000000000001E-2</v>
      </c>
      <c r="BR256" s="701">
        <f t="shared" si="286"/>
        <v>-1.9643866666666666E-2</v>
      </c>
      <c r="BS256" s="701">
        <f t="shared" si="286"/>
        <v>-2.027573333333333E-2</v>
      </c>
      <c r="BT256" s="701">
        <f t="shared" si="286"/>
        <v>-2.0907599999999998E-2</v>
      </c>
      <c r="BU256" s="701">
        <f t="shared" si="286"/>
        <v>-2.1539466666666663E-2</v>
      </c>
      <c r="BV256" s="701">
        <f t="shared" si="286"/>
        <v>-2.2171333333333328E-2</v>
      </c>
      <c r="BW256" s="701">
        <f t="shared" si="286"/>
        <v>-2.2803199999999996E-2</v>
      </c>
      <c r="BX256" s="701">
        <f t="shared" si="286"/>
        <v>-2.3435066666666664E-2</v>
      </c>
      <c r="BY256" s="701">
        <f t="shared" si="286"/>
        <v>-2.4066933333333328E-2</v>
      </c>
      <c r="BZ256" s="701">
        <f t="shared" si="286"/>
        <v>-2.4698799999999993E-2</v>
      </c>
      <c r="CA256" s="701">
        <f t="shared" si="286"/>
        <v>-2.5330666666666661E-2</v>
      </c>
      <c r="CB256" s="701">
        <f t="shared" si="286"/>
        <v>-2.5962533333333326E-2</v>
      </c>
      <c r="CC256" s="701">
        <f t="shared" si="286"/>
        <v>-2.6594400000000001E-2</v>
      </c>
      <c r="CD256" s="701">
        <f t="shared" si="286"/>
        <v>-2.7107640000000002E-2</v>
      </c>
      <c r="CE256" s="701">
        <f t="shared" si="286"/>
        <v>-2.7620879999999997E-2</v>
      </c>
      <c r="CF256" s="701">
        <f t="shared" si="286"/>
        <v>-2.8134119999999995E-2</v>
      </c>
      <c r="CG256" s="701">
        <f t="shared" si="286"/>
        <v>-2.8647359999999997E-2</v>
      </c>
      <c r="CH256" s="701">
        <f t="shared" si="286"/>
        <v>-2.9160599999999991E-2</v>
      </c>
      <c r="CI256" s="701">
        <f t="shared" si="286"/>
        <v>-2.9673839999999996E-2</v>
      </c>
      <c r="CJ256" s="701">
        <f t="shared" si="286"/>
        <v>-3.0187079999999991E-2</v>
      </c>
      <c r="CK256" s="701">
        <f t="shared" si="286"/>
        <v>-3.0700319999999989E-2</v>
      </c>
      <c r="CL256" s="701">
        <f t="shared" si="285"/>
        <v>-3.1213559999999991E-2</v>
      </c>
      <c r="CM256" s="701">
        <f t="shared" si="285"/>
        <v>-3.1726799999999986E-2</v>
      </c>
      <c r="CN256" s="701">
        <f t="shared" si="285"/>
        <v>-3.2240039999999984E-2</v>
      </c>
      <c r="CO256" s="701">
        <f t="shared" si="285"/>
        <v>-3.2753279999999996E-2</v>
      </c>
      <c r="CP256" s="701">
        <f t="shared" si="284"/>
        <v>-3.3194167999999996E-2</v>
      </c>
      <c r="CQ256" s="701">
        <f t="shared" si="284"/>
        <v>-3.3635055999999997E-2</v>
      </c>
      <c r="CR256" s="701">
        <f t="shared" si="284"/>
        <v>-3.4075943999999997E-2</v>
      </c>
      <c r="CS256" s="701">
        <f t="shared" si="284"/>
        <v>-3.4516831999999997E-2</v>
      </c>
      <c r="CT256" s="701">
        <f t="shared" si="284"/>
        <v>-3.4957719999999998E-2</v>
      </c>
      <c r="CU256" s="701">
        <f t="shared" si="284"/>
        <v>-3.5398607999999991E-2</v>
      </c>
      <c r="CV256" s="701">
        <f t="shared" si="284"/>
        <v>-3.5839495999999992E-2</v>
      </c>
      <c r="CW256" s="701">
        <f t="shared" si="284"/>
        <v>-3.6280383999999985E-2</v>
      </c>
      <c r="CX256" s="701">
        <f t="shared" si="284"/>
        <v>-3.6721271999999985E-2</v>
      </c>
      <c r="CY256" s="701">
        <f t="shared" si="284"/>
        <v>-3.7162159999999979E-2</v>
      </c>
      <c r="CZ256" s="701">
        <f t="shared" si="284"/>
        <v>-3.7603047999999979E-2</v>
      </c>
      <c r="DA256" s="701">
        <f t="shared" si="284"/>
        <v>-3.8043936E-2</v>
      </c>
      <c r="DC256" s="12">
        <f>SUM(V256:AG256)</f>
        <v>-8.7994882999999996E-2</v>
      </c>
      <c r="DD256" s="12">
        <f t="shared" si="287"/>
        <v>-0.26816807318808561</v>
      </c>
      <c r="DE256" s="702">
        <f t="shared" si="288"/>
        <v>-0.20109133333333326</v>
      </c>
      <c r="DF256" s="12">
        <f>SUM(BF256:BQ256)</f>
        <v>-0.22814400000000001</v>
      </c>
      <c r="DG256" s="12">
        <f>SUM(BR256:CC256)</f>
        <v>-0.2774296</v>
      </c>
      <c r="DH256" s="12">
        <f>SUM(CD256:CO256)</f>
        <v>-0.3591655199999999</v>
      </c>
      <c r="DI256" s="12">
        <f t="shared" si="261"/>
        <v>-0.42742862399999992</v>
      </c>
    </row>
    <row r="257" spans="2:113" outlineLevel="1">
      <c r="F257" s="718" t="s">
        <v>152</v>
      </c>
      <c r="I257" s="609" t="s">
        <v>736</v>
      </c>
      <c r="O257" s="710"/>
      <c r="P257" s="710"/>
      <c r="Q257" s="710"/>
      <c r="R257" s="710"/>
      <c r="S257" s="710"/>
      <c r="T257" s="710"/>
      <c r="U257" s="710"/>
      <c r="V257" s="710"/>
      <c r="W257" s="710"/>
      <c r="X257" s="710"/>
      <c r="Y257" s="710"/>
      <c r="Z257" s="701"/>
      <c r="AA257" s="701"/>
      <c r="AB257" s="701"/>
      <c r="AC257" s="701"/>
      <c r="AD257" s="701"/>
      <c r="AE257" s="701"/>
      <c r="AF257" s="701"/>
      <c r="AG257" s="701"/>
      <c r="AH257" s="701"/>
      <c r="AI257" s="701"/>
      <c r="AJ257" s="701"/>
      <c r="AK257" s="701"/>
      <c r="AL257" s="701"/>
      <c r="AM257" s="701"/>
      <c r="AN257" s="701"/>
      <c r="AO257" s="701"/>
      <c r="AP257" s="701"/>
      <c r="AQ257" s="701"/>
      <c r="AR257" s="701"/>
      <c r="AS257" s="701"/>
      <c r="AT257" s="750">
        <v>-0.11400000000000002</v>
      </c>
      <c r="AU257" s="750">
        <v>-0.11400000000000002</v>
      </c>
      <c r="AV257" s="750">
        <v>-0.11400000000000002</v>
      </c>
      <c r="AW257" s="750">
        <v>-0.11400000000000002</v>
      </c>
      <c r="AX257" s="750">
        <v>-0.11400000000000002</v>
      </c>
      <c r="AY257" s="750">
        <v>-0.11400000000000002</v>
      </c>
      <c r="AZ257" s="750">
        <v>-3.4000000000000002E-2</v>
      </c>
      <c r="BA257" s="750">
        <v>-3.4000000000000002E-2</v>
      </c>
      <c r="BB257" s="750">
        <v>-3.4000000000000002E-2</v>
      </c>
      <c r="BC257" s="750">
        <v>-3.4000000000000002E-2</v>
      </c>
      <c r="BD257" s="750">
        <v>-3.4000000000000002E-2</v>
      </c>
      <c r="BE257" s="750">
        <v>-3.4000000000000002E-2</v>
      </c>
      <c r="BF257" s="726">
        <v>-3.4000000000000002E-2</v>
      </c>
      <c r="BG257" s="726">
        <v>-3.4000000000000002E-2</v>
      </c>
      <c r="BH257" s="726">
        <v>-3.4000000000000002E-2</v>
      </c>
      <c r="BI257" s="726">
        <v>-3.4000000000000002E-2</v>
      </c>
      <c r="BJ257" s="726">
        <v>-3.4000000000000002E-2</v>
      </c>
      <c r="BK257" s="726">
        <v>-3.4000000000000002E-2</v>
      </c>
      <c r="BL257" s="726">
        <v>-3.4000000000000002E-2</v>
      </c>
      <c r="BM257" s="726">
        <v>-3.4000000000000002E-2</v>
      </c>
      <c r="BN257" s="726">
        <v>-3.4000000000000002E-2</v>
      </c>
      <c r="BO257" s="726">
        <v>-3.4000000000000002E-2</v>
      </c>
      <c r="BP257" s="726">
        <v>-3.4000000000000002E-2</v>
      </c>
      <c r="BQ257" s="726">
        <v>-3.4000000000000002E-2</v>
      </c>
      <c r="BR257" s="726">
        <v>-3.4000000000000002E-2</v>
      </c>
      <c r="BS257" s="726">
        <v>-3.4000000000000002E-2</v>
      </c>
      <c r="BT257" s="726">
        <v>-3.4000000000000002E-2</v>
      </c>
      <c r="BU257" s="726">
        <v>-3.4000000000000002E-2</v>
      </c>
      <c r="BV257" s="726">
        <v>-3.4000000000000002E-2</v>
      </c>
      <c r="BW257" s="726">
        <v>-3.4000000000000002E-2</v>
      </c>
      <c r="BX257" s="726">
        <v>-3.4000000000000002E-2</v>
      </c>
      <c r="BY257" s="726">
        <v>-3.4000000000000002E-2</v>
      </c>
      <c r="BZ257" s="726">
        <v>-3.4000000000000002E-2</v>
      </c>
      <c r="CA257" s="726">
        <v>-3.4000000000000002E-2</v>
      </c>
      <c r="CB257" s="726">
        <v>-3.4000000000000002E-2</v>
      </c>
      <c r="CC257" s="726">
        <v>-3.4000000000000002E-2</v>
      </c>
      <c r="CD257" s="726">
        <v>-3.4000000000000002E-2</v>
      </c>
      <c r="CE257" s="726">
        <v>-3.4000000000000002E-2</v>
      </c>
      <c r="CF257" s="726">
        <v>-3.4000000000000002E-2</v>
      </c>
      <c r="CG257" s="726">
        <v>-3.4000000000000002E-2</v>
      </c>
      <c r="CH257" s="726">
        <v>-3.4000000000000002E-2</v>
      </c>
      <c r="CI257" s="726">
        <v>-3.4000000000000002E-2</v>
      </c>
      <c r="CJ257" s="726">
        <v>-3.4000000000000002E-2</v>
      </c>
      <c r="CK257" s="726">
        <v>-3.4000000000000002E-2</v>
      </c>
      <c r="CL257" s="726">
        <v>-3.4000000000000002E-2</v>
      </c>
      <c r="CM257" s="726">
        <v>-3.4000000000000002E-2</v>
      </c>
      <c r="CN257" s="726">
        <v>-3.4000000000000002E-2</v>
      </c>
      <c r="CO257" s="726">
        <v>-3.4000000000000002E-2</v>
      </c>
      <c r="CP257" s="726">
        <v>-3.4000000000000002E-2</v>
      </c>
      <c r="CQ257" s="726">
        <v>-3.4000000000000002E-2</v>
      </c>
      <c r="CR257" s="726">
        <v>-3.4000000000000002E-2</v>
      </c>
      <c r="CS257" s="726">
        <v>-3.4000000000000002E-2</v>
      </c>
      <c r="CT257" s="726">
        <v>-3.4000000000000002E-2</v>
      </c>
      <c r="CU257" s="726">
        <v>-3.4000000000000002E-2</v>
      </c>
      <c r="CV257" s="726">
        <v>-3.4000000000000002E-2</v>
      </c>
      <c r="CW257" s="726">
        <v>-3.4000000000000002E-2</v>
      </c>
      <c r="CX257" s="726">
        <v>-3.4000000000000002E-2</v>
      </c>
      <c r="CY257" s="726">
        <v>-3.4000000000000002E-2</v>
      </c>
      <c r="CZ257" s="726">
        <v>-3.4000000000000002E-2</v>
      </c>
      <c r="DA257" s="726">
        <v>-3.4000000000000002E-2</v>
      </c>
      <c r="DC257" s="12">
        <f>SUM(V257:AG257)</f>
        <v>0</v>
      </c>
      <c r="DD257" s="12">
        <f t="shared" si="287"/>
        <v>0</v>
      </c>
      <c r="DE257" s="702">
        <f t="shared" si="288"/>
        <v>-0.88800000000000023</v>
      </c>
      <c r="DF257" s="12">
        <f>SUM(BF257:BQ257)</f>
        <v>-0.40800000000000014</v>
      </c>
      <c r="DG257" s="12">
        <f>SUM(BR257:CC257)</f>
        <v>-0.40800000000000014</v>
      </c>
      <c r="DH257" s="12">
        <f>SUM(CD257:CO257)</f>
        <v>-0.40800000000000014</v>
      </c>
      <c r="DI257" s="12">
        <f t="shared" si="261"/>
        <v>-0.40800000000000014</v>
      </c>
    </row>
    <row r="258" spans="2:113" outlineLevel="1">
      <c r="F258" s="126" t="s">
        <v>144</v>
      </c>
      <c r="H258" s="727"/>
      <c r="I258" s="609" t="s">
        <v>736</v>
      </c>
      <c r="O258" s="710"/>
      <c r="P258" s="710"/>
      <c r="Q258" s="710"/>
      <c r="R258" s="710"/>
      <c r="S258" s="710"/>
      <c r="T258" s="710"/>
      <c r="U258" s="710"/>
      <c r="V258" s="710"/>
      <c r="W258" s="710"/>
      <c r="X258" s="710"/>
      <c r="Y258" s="710"/>
      <c r="Z258" s="701"/>
      <c r="AA258" s="701"/>
      <c r="AB258" s="701"/>
      <c r="AC258" s="701"/>
      <c r="AD258" s="701"/>
      <c r="AE258" s="701"/>
      <c r="AF258" s="701"/>
      <c r="AG258" s="701"/>
      <c r="AH258" s="701"/>
      <c r="AI258" s="701"/>
      <c r="AJ258" s="701"/>
      <c r="AK258" s="701"/>
      <c r="AL258" s="701"/>
      <c r="AM258" s="701"/>
      <c r="AN258" s="701"/>
      <c r="AO258" s="701"/>
      <c r="AP258" s="701"/>
      <c r="AQ258" s="701"/>
      <c r="AR258" s="701"/>
      <c r="AS258" s="701"/>
      <c r="AT258" s="750">
        <v>-0.66666666666666674</v>
      </c>
      <c r="AU258" s="750">
        <v>-0.66666666666666674</v>
      </c>
      <c r="AV258" s="750">
        <v>-0.66666666666666674</v>
      </c>
      <c r="AW258" s="750">
        <v>-0.66666666666666674</v>
      </c>
      <c r="AX258" s="750">
        <v>-0.66666666666666674</v>
      </c>
      <c r="AY258" s="750">
        <v>-0.66666666666666674</v>
      </c>
      <c r="AZ258" s="750">
        <v>-0.66666666666666674</v>
      </c>
      <c r="BA258" s="750">
        <v>-0.66666666666666674</v>
      </c>
      <c r="BB258" s="750">
        <v>-0.66666666666666674</v>
      </c>
      <c r="BC258" s="750">
        <v>-0.66666666666666674</v>
      </c>
      <c r="BD258" s="750">
        <v>-0.66666666666666674</v>
      </c>
      <c r="BE258" s="750">
        <v>-0.66666666666666674</v>
      </c>
      <c r="BF258" s="726">
        <v>-1</v>
      </c>
      <c r="BG258" s="726">
        <v>-1</v>
      </c>
      <c r="BH258" s="726">
        <v>-1</v>
      </c>
      <c r="BI258" s="726">
        <v>-1</v>
      </c>
      <c r="BJ258" s="726">
        <v>-1</v>
      </c>
      <c r="BK258" s="726">
        <v>-1</v>
      </c>
      <c r="BL258" s="726">
        <v>-1</v>
      </c>
      <c r="BM258" s="726">
        <v>-1</v>
      </c>
      <c r="BN258" s="726">
        <v>-1</v>
      </c>
      <c r="BO258" s="726">
        <v>-1</v>
      </c>
      <c r="BP258" s="726">
        <v>-1</v>
      </c>
      <c r="BQ258" s="726">
        <v>-1</v>
      </c>
      <c r="BR258" s="726">
        <v>-1.3</v>
      </c>
      <c r="BS258" s="726">
        <v>-1.3</v>
      </c>
      <c r="BT258" s="726">
        <v>-1.3</v>
      </c>
      <c r="BU258" s="726">
        <v>-1.3</v>
      </c>
      <c r="BV258" s="726">
        <v>-1.3</v>
      </c>
      <c r="BW258" s="726">
        <v>-1.3</v>
      </c>
      <c r="BX258" s="726">
        <v>-1.3</v>
      </c>
      <c r="BY258" s="726">
        <v>-1.3</v>
      </c>
      <c r="BZ258" s="726">
        <v>-1.3</v>
      </c>
      <c r="CA258" s="726">
        <v>-1.3</v>
      </c>
      <c r="CB258" s="726">
        <v>-1.3</v>
      </c>
      <c r="CC258" s="726">
        <v>-1.3</v>
      </c>
      <c r="CD258" s="726">
        <v>-1.56</v>
      </c>
      <c r="CE258" s="726">
        <v>-1.56</v>
      </c>
      <c r="CF258" s="726">
        <v>-1.56</v>
      </c>
      <c r="CG258" s="726">
        <v>-1.56</v>
      </c>
      <c r="CH258" s="726">
        <v>-1.56</v>
      </c>
      <c r="CI258" s="726">
        <v>-1.56</v>
      </c>
      <c r="CJ258" s="726">
        <v>-1.56</v>
      </c>
      <c r="CK258" s="726">
        <v>-1.56</v>
      </c>
      <c r="CL258" s="726">
        <v>-1.56</v>
      </c>
      <c r="CM258" s="726">
        <v>-1.56</v>
      </c>
      <c r="CN258" s="726">
        <v>-1.56</v>
      </c>
      <c r="CO258" s="726">
        <v>-1.56</v>
      </c>
      <c r="CP258" s="726">
        <v>-1.7160000000000002</v>
      </c>
      <c r="CQ258" s="726">
        <v>-1.7160000000000002</v>
      </c>
      <c r="CR258" s="726">
        <v>-1.7160000000000002</v>
      </c>
      <c r="CS258" s="726">
        <v>-1.7160000000000002</v>
      </c>
      <c r="CT258" s="726">
        <v>-1.7160000000000002</v>
      </c>
      <c r="CU258" s="726">
        <v>-1.7160000000000002</v>
      </c>
      <c r="CV258" s="726">
        <v>-1.7160000000000002</v>
      </c>
      <c r="CW258" s="726">
        <v>-1.7160000000000002</v>
      </c>
      <c r="CX258" s="726">
        <v>-1.7160000000000002</v>
      </c>
      <c r="CY258" s="726">
        <v>-1.7160000000000002</v>
      </c>
      <c r="CZ258" s="726">
        <v>-1.7160000000000002</v>
      </c>
      <c r="DA258" s="726">
        <v>-1.7160000000000002</v>
      </c>
      <c r="DC258" s="12">
        <f>SUM(V258:AG258)</f>
        <v>0</v>
      </c>
      <c r="DD258" s="12">
        <f t="shared" si="287"/>
        <v>0</v>
      </c>
      <c r="DE258" s="702">
        <f t="shared" si="288"/>
        <v>-8.0000000000000018</v>
      </c>
      <c r="DF258" s="12">
        <f>SUM(BF258:BQ258)</f>
        <v>-12</v>
      </c>
      <c r="DG258" s="12">
        <f>SUM(BR258:CC258)</f>
        <v>-15.600000000000003</v>
      </c>
      <c r="DH258" s="12">
        <f>SUM(CD258:CO258)</f>
        <v>-18.720000000000002</v>
      </c>
      <c r="DI258" s="12">
        <f t="shared" si="261"/>
        <v>-20.592000000000009</v>
      </c>
    </row>
    <row r="259" spans="2:113" outlineLevel="1">
      <c r="F259" s="698" t="s">
        <v>808</v>
      </c>
      <c r="I259" s="609" t="s">
        <v>736</v>
      </c>
      <c r="O259" s="710"/>
      <c r="P259" s="710"/>
      <c r="Q259" s="710"/>
      <c r="R259" s="710"/>
      <c r="S259" s="710"/>
      <c r="T259" s="710"/>
      <c r="U259" s="710"/>
      <c r="V259" s="710"/>
      <c r="W259" s="710"/>
      <c r="X259" s="710"/>
      <c r="Y259" s="710"/>
      <c r="Z259" s="870">
        <f t="shared" ref="Z259:CK259" si="289">Z297+Z338</f>
        <v>-0.39216800000000002</v>
      </c>
      <c r="AA259" s="870">
        <f t="shared" si="289"/>
        <v>-0.92546018404545405</v>
      </c>
      <c r="AB259" s="870">
        <f t="shared" si="289"/>
        <v>-1.1950119531363601</v>
      </c>
      <c r="AC259" s="870">
        <f t="shared" si="289"/>
        <v>-1.2325792508181801</v>
      </c>
      <c r="AD259" s="870">
        <f t="shared" si="289"/>
        <v>-0.82645650599999998</v>
      </c>
      <c r="AE259" s="870">
        <f t="shared" si="289"/>
        <v>-0.96350417409090916</v>
      </c>
      <c r="AF259" s="870">
        <f t="shared" si="289"/>
        <v>-1.0862711899090911</v>
      </c>
      <c r="AG259" s="870">
        <f t="shared" si="289"/>
        <v>-1.2604962749999999</v>
      </c>
      <c r="AH259" s="870">
        <f t="shared" si="289"/>
        <v>-1.2289232329999999</v>
      </c>
      <c r="AI259" s="870">
        <f t="shared" si="289"/>
        <v>-0.84595075100000006</v>
      </c>
      <c r="AJ259" s="870">
        <f t="shared" si="289"/>
        <v>-1.4599159129999999</v>
      </c>
      <c r="AK259" s="870">
        <f t="shared" si="289"/>
        <v>-1.795082048</v>
      </c>
      <c r="AL259" s="870">
        <f t="shared" si="289"/>
        <v>-2.368929896</v>
      </c>
      <c r="AM259" s="870">
        <f t="shared" si="289"/>
        <v>-3.4286144460000001</v>
      </c>
      <c r="AN259" s="870">
        <f t="shared" si="289"/>
        <v>-4.2599134769999996</v>
      </c>
      <c r="AO259" s="870">
        <f t="shared" si="289"/>
        <v>-4.9133010519999996</v>
      </c>
      <c r="AP259" s="870">
        <f t="shared" si="289"/>
        <v>-4.4596686590000001</v>
      </c>
      <c r="AQ259" s="870">
        <f t="shared" si="289"/>
        <v>-5.2649647147061378</v>
      </c>
      <c r="AR259" s="870">
        <f t="shared" si="289"/>
        <v>-4.9413104459482806</v>
      </c>
      <c r="AS259" s="870">
        <f t="shared" si="289"/>
        <v>-5.2671762994457794</v>
      </c>
      <c r="AT259" s="696">
        <f t="shared" si="289"/>
        <v>-5.4683474322031875</v>
      </c>
      <c r="AU259" s="696">
        <f t="shared" si="289"/>
        <v>-5.6926401359147638</v>
      </c>
      <c r="AV259" s="696">
        <f t="shared" si="289"/>
        <v>-6.0693635855366876</v>
      </c>
      <c r="AW259" s="696">
        <f t="shared" si="289"/>
        <v>-6.0788226217251751</v>
      </c>
      <c r="AX259" s="696">
        <f t="shared" si="289"/>
        <v>-6.2114018358269298</v>
      </c>
      <c r="AY259" s="696">
        <f t="shared" si="289"/>
        <v>-6.0304161232941036</v>
      </c>
      <c r="AZ259" s="696">
        <f t="shared" si="289"/>
        <v>-6.169314645004329</v>
      </c>
      <c r="BA259" s="696">
        <f t="shared" si="289"/>
        <v>-6.292973813977504</v>
      </c>
      <c r="BB259" s="696">
        <f t="shared" si="289"/>
        <v>-6.4144244363249383</v>
      </c>
      <c r="BC259" s="696">
        <f t="shared" si="289"/>
        <v>-6.5406618971758377</v>
      </c>
      <c r="BD259" s="696">
        <f t="shared" si="289"/>
        <v>-6.6740589884234005</v>
      </c>
      <c r="BE259" s="696">
        <f t="shared" si="289"/>
        <v>-6.8053388223456279</v>
      </c>
      <c r="BF259" s="870">
        <f t="shared" si="289"/>
        <v>-7.8192148655801841</v>
      </c>
      <c r="BG259" s="870">
        <f t="shared" si="289"/>
        <v>-7.9641945192024171</v>
      </c>
      <c r="BH259" s="870">
        <f t="shared" si="289"/>
        <v>-8.1142078090888923</v>
      </c>
      <c r="BI259" s="870">
        <f t="shared" si="289"/>
        <v>-8.0431029430994059</v>
      </c>
      <c r="BJ259" s="870">
        <f t="shared" si="289"/>
        <v>-7.5659126183683227</v>
      </c>
      <c r="BK259" s="870">
        <f t="shared" si="289"/>
        <v>-7.5545414035507985</v>
      </c>
      <c r="BL259" s="870">
        <f t="shared" si="289"/>
        <v>-7.5635070503387603</v>
      </c>
      <c r="BM259" s="870">
        <f t="shared" si="289"/>
        <v>-7.5686822547421366</v>
      </c>
      <c r="BN259" s="870">
        <f t="shared" si="289"/>
        <v>-7.6274578492496934</v>
      </c>
      <c r="BO259" s="870">
        <f t="shared" si="289"/>
        <v>-7.6411000734566104</v>
      </c>
      <c r="BP259" s="870">
        <f t="shared" si="289"/>
        <v>-7.6582973291612166</v>
      </c>
      <c r="BQ259" s="870">
        <f t="shared" si="289"/>
        <v>-7.7322329020624965</v>
      </c>
      <c r="BR259" s="870">
        <f t="shared" si="289"/>
        <v>-8.0336436854467372</v>
      </c>
      <c r="BS259" s="870">
        <f t="shared" si="289"/>
        <v>-8.4112701356603239</v>
      </c>
      <c r="BT259" s="870">
        <f t="shared" si="289"/>
        <v>-8.7361717057396771</v>
      </c>
      <c r="BU259" s="870">
        <f t="shared" si="289"/>
        <v>-9.0542021249878442</v>
      </c>
      <c r="BV259" s="870">
        <f t="shared" si="289"/>
        <v>-9.2457025036821605</v>
      </c>
      <c r="BW259" s="870">
        <f t="shared" si="289"/>
        <v>-9.432760869415576</v>
      </c>
      <c r="BX259" s="870">
        <f t="shared" si="289"/>
        <v>-9.6205883428587882</v>
      </c>
      <c r="BY259" s="870">
        <f t="shared" si="289"/>
        <v>-9.8087179615311957</v>
      </c>
      <c r="BZ259" s="870">
        <f t="shared" si="289"/>
        <v>-10.002184930877148</v>
      </c>
      <c r="CA259" s="870">
        <f t="shared" si="289"/>
        <v>-10.199910995848281</v>
      </c>
      <c r="CB259" s="870">
        <f t="shared" si="289"/>
        <v>-10.404588258702539</v>
      </c>
      <c r="CC259" s="870">
        <f t="shared" si="289"/>
        <v>-10.613985848564864</v>
      </c>
      <c r="CD259" s="870">
        <f t="shared" si="289"/>
        <v>-10.800001440410364</v>
      </c>
      <c r="CE259" s="870">
        <f t="shared" si="289"/>
        <v>-10.980032447644973</v>
      </c>
      <c r="CF259" s="870">
        <f t="shared" si="289"/>
        <v>-11.159282365729219</v>
      </c>
      <c r="CG259" s="870">
        <f t="shared" si="289"/>
        <v>-11.338176370680246</v>
      </c>
      <c r="CH259" s="870">
        <f t="shared" si="289"/>
        <v>-11.529437660771432</v>
      </c>
      <c r="CI259" s="870">
        <f t="shared" si="289"/>
        <v>-11.720599677093038</v>
      </c>
      <c r="CJ259" s="870">
        <f t="shared" si="289"/>
        <v>-11.911148808462352</v>
      </c>
      <c r="CK259" s="870">
        <f t="shared" si="289"/>
        <v>-12.101481239336554</v>
      </c>
      <c r="CL259" s="870">
        <f t="shared" ref="CL259:DA259" si="290">CL297+CL338</f>
        <v>-12.291561732283901</v>
      </c>
      <c r="CM259" s="870">
        <f t="shared" si="290"/>
        <v>-12.481438139036769</v>
      </c>
      <c r="CN259" s="870">
        <f t="shared" si="290"/>
        <v>-12.670903360712067</v>
      </c>
      <c r="CO259" s="870">
        <f t="shared" si="290"/>
        <v>-12.859941584488809</v>
      </c>
      <c r="CP259" s="870">
        <f t="shared" si="290"/>
        <v>-13.039112712422289</v>
      </c>
      <c r="CQ259" s="870">
        <f t="shared" si="290"/>
        <v>-13.216773834176122</v>
      </c>
      <c r="CR259" s="870">
        <f t="shared" si="290"/>
        <v>-13.394720033272694</v>
      </c>
      <c r="CS259" s="870">
        <f t="shared" si="290"/>
        <v>-13.572969091104163</v>
      </c>
      <c r="CT259" s="870">
        <f t="shared" si="290"/>
        <v>-13.756161014244157</v>
      </c>
      <c r="CU259" s="870">
        <f t="shared" si="290"/>
        <v>-13.939603803022679</v>
      </c>
      <c r="CV259" s="870">
        <f t="shared" si="290"/>
        <v>-14.122972555282402</v>
      </c>
      <c r="CW259" s="870">
        <f t="shared" si="290"/>
        <v>-14.306326438121552</v>
      </c>
      <c r="CX259" s="870">
        <f t="shared" si="290"/>
        <v>-14.489566225708918</v>
      </c>
      <c r="CY259" s="870">
        <f t="shared" si="290"/>
        <v>-14.672617753564728</v>
      </c>
      <c r="CZ259" s="870">
        <f t="shared" si="290"/>
        <v>-14.855431092765516</v>
      </c>
      <c r="DA259" s="870">
        <f t="shared" si="290"/>
        <v>-15.038028370148272</v>
      </c>
      <c r="DC259" s="12">
        <f t="shared" si="254"/>
        <v>-7.8819475329999946</v>
      </c>
      <c r="DD259" s="12">
        <f t="shared" si="287"/>
        <v>-40.233750935100197</v>
      </c>
      <c r="DE259" s="702">
        <f t="shared" si="288"/>
        <v>-74.447764337752488</v>
      </c>
      <c r="DF259" s="12">
        <f t="shared" si="259"/>
        <v>-92.852451617900925</v>
      </c>
      <c r="DG259" s="12">
        <f t="shared" si="260"/>
        <v>-113.56372736331515</v>
      </c>
      <c r="DH259" s="12">
        <f t="shared" si="257"/>
        <v>-141.84400482664972</v>
      </c>
      <c r="DI259" s="12">
        <f t="shared" si="261"/>
        <v>-168.40428292383348</v>
      </c>
    </row>
    <row r="260" spans="2:113" outlineLevel="1">
      <c r="E260" s="698" t="s">
        <v>820</v>
      </c>
      <c r="I260" s="609" t="s">
        <v>736</v>
      </c>
      <c r="O260" s="696"/>
      <c r="P260" s="696"/>
      <c r="Q260" s="696"/>
      <c r="R260" s="696"/>
      <c r="S260" s="696"/>
      <c r="T260" s="696"/>
      <c r="U260" s="696"/>
      <c r="V260" s="696"/>
      <c r="W260" s="696"/>
      <c r="X260" s="696"/>
      <c r="Y260" s="696"/>
      <c r="Z260" s="696">
        <f t="shared" ref="Z260:CK260" si="291">Z233+Z249+Z250</f>
        <v>0.395844187322548</v>
      </c>
      <c r="AA260" s="696">
        <f t="shared" si="291"/>
        <v>0.80920897495454613</v>
      </c>
      <c r="AB260" s="696">
        <f t="shared" si="291"/>
        <v>0.91914698821185592</v>
      </c>
      <c r="AC260" s="696">
        <f t="shared" si="291"/>
        <v>0.74461762659811392</v>
      </c>
      <c r="AD260" s="696">
        <f t="shared" si="291"/>
        <v>1.187153134649513</v>
      </c>
      <c r="AE260" s="696">
        <f t="shared" si="291"/>
        <v>1.7199125041749483</v>
      </c>
      <c r="AF260" s="696">
        <f t="shared" si="291"/>
        <v>1.7928128440904245</v>
      </c>
      <c r="AG260" s="696">
        <f t="shared" si="291"/>
        <v>1.6820892624494301</v>
      </c>
      <c r="AH260" s="696">
        <f t="shared" si="291"/>
        <v>2.2868545122988078</v>
      </c>
      <c r="AI260" s="696">
        <f t="shared" si="291"/>
        <v>2.3734271304502688</v>
      </c>
      <c r="AJ260" s="696">
        <f t="shared" si="291"/>
        <v>3.1433580337369231</v>
      </c>
      <c r="AK260" s="696">
        <f t="shared" si="291"/>
        <v>3.677088753669731</v>
      </c>
      <c r="AL260" s="696">
        <f t="shared" si="291"/>
        <v>4.1371703649799336</v>
      </c>
      <c r="AM260" s="696">
        <f t="shared" si="291"/>
        <v>3.2602994489090404</v>
      </c>
      <c r="AN260" s="696">
        <f t="shared" si="291"/>
        <v>3.4681565751639472</v>
      </c>
      <c r="AO260" s="696">
        <f t="shared" si="291"/>
        <v>5.2771773003311644</v>
      </c>
      <c r="AP260" s="696">
        <f t="shared" si="291"/>
        <v>5.8763332459657125</v>
      </c>
      <c r="AQ260" s="696">
        <f t="shared" si="291"/>
        <v>5.2412583712116314</v>
      </c>
      <c r="AR260" s="696">
        <f t="shared" si="291"/>
        <v>5.3025889353538256</v>
      </c>
      <c r="AS260" s="696">
        <f t="shared" si="291"/>
        <v>5.3617475593192276</v>
      </c>
      <c r="AT260" s="696">
        <f t="shared" si="291"/>
        <v>-1.9143487641729431</v>
      </c>
      <c r="AU260" s="696">
        <f t="shared" si="291"/>
        <v>4.3547795771688556</v>
      </c>
      <c r="AV260" s="696">
        <f t="shared" si="291"/>
        <v>4.0604696333230637</v>
      </c>
      <c r="AW260" s="696">
        <f t="shared" si="291"/>
        <v>4.1506014660492641</v>
      </c>
      <c r="AX260" s="696">
        <f t="shared" si="291"/>
        <v>4.2053801469056857</v>
      </c>
      <c r="AY260" s="696">
        <f t="shared" si="291"/>
        <v>4.713332702425725</v>
      </c>
      <c r="AZ260" s="696">
        <f t="shared" si="291"/>
        <v>5.0238182847626263</v>
      </c>
      <c r="BA260" s="696">
        <f t="shared" si="291"/>
        <v>5.0412640022060877</v>
      </c>
      <c r="BB260" s="696">
        <f t="shared" si="291"/>
        <v>4.9435842603790157</v>
      </c>
      <c r="BC260" s="696">
        <f t="shared" si="291"/>
        <v>4.7269163975688322</v>
      </c>
      <c r="BD260" s="696">
        <f t="shared" si="291"/>
        <v>4.8533326325259498</v>
      </c>
      <c r="BE260" s="696">
        <f t="shared" si="291"/>
        <v>4.9932935244689247</v>
      </c>
      <c r="BF260" s="696">
        <f t="shared" si="291"/>
        <v>5.5846468769061683</v>
      </c>
      <c r="BG260" s="696">
        <f t="shared" si="291"/>
        <v>5.7696446436963651</v>
      </c>
      <c r="BH260" s="696">
        <f t="shared" si="291"/>
        <v>5.5735074221593184</v>
      </c>
      <c r="BI260" s="696">
        <f t="shared" si="291"/>
        <v>5.4762411039982108</v>
      </c>
      <c r="BJ260" s="696">
        <f t="shared" si="291"/>
        <v>5.6625364369678</v>
      </c>
      <c r="BK260" s="696">
        <f t="shared" si="291"/>
        <v>5.7100937080058376</v>
      </c>
      <c r="BL260" s="696">
        <f t="shared" si="291"/>
        <v>5.8374503326884</v>
      </c>
      <c r="BM260" s="696">
        <f t="shared" si="291"/>
        <v>5.4293664753598012</v>
      </c>
      <c r="BN260" s="696">
        <f t="shared" si="291"/>
        <v>4.8500019157491678</v>
      </c>
      <c r="BO260" s="696">
        <f t="shared" si="291"/>
        <v>4.8551119674753842</v>
      </c>
      <c r="BP260" s="696">
        <f t="shared" si="291"/>
        <v>4.8996168256017079</v>
      </c>
      <c r="BQ260" s="696">
        <f t="shared" si="291"/>
        <v>4.9440798254975959</v>
      </c>
      <c r="BR260" s="696">
        <f t="shared" si="291"/>
        <v>5.0795791047981353</v>
      </c>
      <c r="BS260" s="696">
        <f t="shared" si="291"/>
        <v>5.5198565723316371</v>
      </c>
      <c r="BT260" s="696">
        <f t="shared" si="291"/>
        <v>6.0332707263285972</v>
      </c>
      <c r="BU260" s="696">
        <f t="shared" si="291"/>
        <v>6.564496869812892</v>
      </c>
      <c r="BV260" s="696">
        <f t="shared" si="291"/>
        <v>7.1167467413998011</v>
      </c>
      <c r="BW260" s="696">
        <f t="shared" si="291"/>
        <v>7.6558406764337619</v>
      </c>
      <c r="BX260" s="696">
        <f t="shared" si="291"/>
        <v>8.1302773497343068</v>
      </c>
      <c r="BY260" s="696">
        <f t="shared" si="291"/>
        <v>8.4892947069196616</v>
      </c>
      <c r="BZ260" s="696">
        <f t="shared" si="291"/>
        <v>8.6697795487741693</v>
      </c>
      <c r="CA260" s="696">
        <f t="shared" si="291"/>
        <v>8.8481298076585215</v>
      </c>
      <c r="CB260" s="696">
        <f t="shared" si="291"/>
        <v>9.037862565201106</v>
      </c>
      <c r="CC260" s="696">
        <f t="shared" si="291"/>
        <v>9.2408603174062449</v>
      </c>
      <c r="CD260" s="696">
        <f t="shared" si="291"/>
        <v>9.1137496499545421</v>
      </c>
      <c r="CE260" s="696">
        <f t="shared" si="291"/>
        <v>9.2344608054325938</v>
      </c>
      <c r="CF260" s="696">
        <f t="shared" si="291"/>
        <v>9.3660107500157572</v>
      </c>
      <c r="CG260" s="696">
        <f t="shared" si="291"/>
        <v>9.5081005077173337</v>
      </c>
      <c r="CH260" s="696">
        <f t="shared" si="291"/>
        <v>9.6540349158352079</v>
      </c>
      <c r="CI260" s="696">
        <f t="shared" si="291"/>
        <v>9.7988402922324642</v>
      </c>
      <c r="CJ260" s="696">
        <f t="shared" si="291"/>
        <v>9.9426363099089237</v>
      </c>
      <c r="CK260" s="696">
        <f t="shared" si="291"/>
        <v>10.106244887903509</v>
      </c>
      <c r="CL260" s="696">
        <f t="shared" ref="CL260:DA260" si="292">CL233+CL249+CL250</f>
        <v>10.302903005840164</v>
      </c>
      <c r="CM260" s="696">
        <f t="shared" si="292"/>
        <v>10.499150826896745</v>
      </c>
      <c r="CN260" s="696">
        <f t="shared" si="292"/>
        <v>10.692089960187353</v>
      </c>
      <c r="CO260" s="696">
        <f t="shared" si="292"/>
        <v>10.882427969258536</v>
      </c>
      <c r="CP260" s="696">
        <f t="shared" si="292"/>
        <v>10.856956214006814</v>
      </c>
      <c r="CQ260" s="696">
        <f t="shared" si="292"/>
        <v>10.969540678416426</v>
      </c>
      <c r="CR260" s="696">
        <f t="shared" si="292"/>
        <v>11.079968528888681</v>
      </c>
      <c r="CS260" s="696">
        <f t="shared" si="292"/>
        <v>11.189727717843631</v>
      </c>
      <c r="CT260" s="696">
        <f t="shared" si="292"/>
        <v>11.301773839159974</v>
      </c>
      <c r="CU260" s="696">
        <f t="shared" si="292"/>
        <v>11.415628378676494</v>
      </c>
      <c r="CV260" s="696">
        <f t="shared" si="292"/>
        <v>11.531247012904526</v>
      </c>
      <c r="CW260" s="696">
        <f t="shared" si="292"/>
        <v>11.660971190499765</v>
      </c>
      <c r="CX260" s="696">
        <f t="shared" si="292"/>
        <v>11.812410803271153</v>
      </c>
      <c r="CY260" s="696">
        <f t="shared" si="292"/>
        <v>11.964312471406263</v>
      </c>
      <c r="CZ260" s="696">
        <f t="shared" si="292"/>
        <v>12.114412219381315</v>
      </c>
      <c r="DA260" s="696">
        <f t="shared" si="292"/>
        <v>12.262817730031269</v>
      </c>
      <c r="DC260" s="14">
        <f t="shared" si="254"/>
        <v>9.2507855224513804</v>
      </c>
      <c r="DD260" s="14">
        <f t="shared" si="287"/>
        <v>49.405460231390208</v>
      </c>
      <c r="DE260" s="708">
        <f t="shared" si="288"/>
        <v>49.152423863611077</v>
      </c>
      <c r="DF260" s="14">
        <f t="shared" si="259"/>
        <v>64.592297534105754</v>
      </c>
      <c r="DG260" s="14">
        <f t="shared" si="260"/>
        <v>90.385994986798849</v>
      </c>
      <c r="DH260" s="14">
        <f t="shared" si="257"/>
        <v>119.10064988118316</v>
      </c>
      <c r="DI260" s="14">
        <f t="shared" si="261"/>
        <v>138.15976678448629</v>
      </c>
    </row>
    <row r="261" spans="2:113" outlineLevel="1">
      <c r="E261" s="229"/>
      <c r="F261" s="230" t="s">
        <v>423</v>
      </c>
      <c r="I261" s="609" t="s">
        <v>736</v>
      </c>
      <c r="O261" s="696"/>
      <c r="P261" s="696"/>
      <c r="Q261" s="696"/>
      <c r="R261" s="696"/>
      <c r="S261" s="696"/>
      <c r="T261" s="696"/>
      <c r="U261" s="696"/>
      <c r="V261" s="696"/>
      <c r="W261" s="696"/>
      <c r="X261" s="696"/>
      <c r="Y261" s="696"/>
      <c r="Z261" s="701">
        <f t="shared" ref="Z261:CK262" si="293">Z301+Z342</f>
        <v>0</v>
      </c>
      <c r="AA261" s="701">
        <f t="shared" si="293"/>
        <v>0</v>
      </c>
      <c r="AB261" s="701">
        <f t="shared" si="293"/>
        <v>0</v>
      </c>
      <c r="AC261" s="701">
        <f t="shared" si="293"/>
        <v>0</v>
      </c>
      <c r="AD261" s="701">
        <f t="shared" si="293"/>
        <v>0.86222923631736759</v>
      </c>
      <c r="AE261" s="701">
        <f t="shared" si="293"/>
        <v>2.0462028581576912</v>
      </c>
      <c r="AF261" s="701">
        <f t="shared" si="293"/>
        <v>3.5174289129996064</v>
      </c>
      <c r="AG261" s="701">
        <f t="shared" si="293"/>
        <v>4.8332506930484209</v>
      </c>
      <c r="AH261" s="701">
        <f t="shared" si="293"/>
        <v>6.4726694718885138</v>
      </c>
      <c r="AI261" s="701">
        <f t="shared" si="293"/>
        <v>9.0029597043029206</v>
      </c>
      <c r="AJ261" s="701">
        <f t="shared" si="293"/>
        <v>11.763226504214938</v>
      </c>
      <c r="AK261" s="701">
        <f t="shared" si="293"/>
        <v>14.580021104131117</v>
      </c>
      <c r="AL261" s="701">
        <f t="shared" si="293"/>
        <v>17.377177457282048</v>
      </c>
      <c r="AM261" s="701">
        <f t="shared" si="293"/>
        <v>19.381574275183308</v>
      </c>
      <c r="AN261" s="701">
        <f t="shared" si="293"/>
        <v>20.075816852419209</v>
      </c>
      <c r="AO261" s="701">
        <f t="shared" si="293"/>
        <v>21.319138992273686</v>
      </c>
      <c r="AP261" s="701">
        <f t="shared" si="293"/>
        <v>22.621979697142027</v>
      </c>
      <c r="AQ261" s="701">
        <f t="shared" si="293"/>
        <v>24.815458856145622</v>
      </c>
      <c r="AR261" s="701">
        <f t="shared" si="293"/>
        <v>27.886481734219476</v>
      </c>
      <c r="AS261" s="701">
        <f t="shared" si="293"/>
        <v>30.190955094484302</v>
      </c>
      <c r="AT261" s="701">
        <f t="shared" si="293"/>
        <v>17.712185937912608</v>
      </c>
      <c r="AU261" s="701">
        <f t="shared" si="293"/>
        <v>19.208638648658614</v>
      </c>
      <c r="AV261" s="701">
        <f t="shared" si="293"/>
        <v>19.575231028498511</v>
      </c>
      <c r="AW261" s="701">
        <f t="shared" si="293"/>
        <v>20.038315755316162</v>
      </c>
      <c r="AX261" s="701">
        <f t="shared" si="293"/>
        <v>20.324085020966255</v>
      </c>
      <c r="AY261" s="701">
        <f t="shared" si="293"/>
        <v>21.368433291944783</v>
      </c>
      <c r="AZ261" s="701">
        <f t="shared" si="293"/>
        <v>22.715560589686806</v>
      </c>
      <c r="BA261" s="701">
        <f t="shared" si="293"/>
        <v>23.892192774694642</v>
      </c>
      <c r="BB261" s="701">
        <f t="shared" si="293"/>
        <v>25.064890439660456</v>
      </c>
      <c r="BC261" s="701">
        <f t="shared" si="293"/>
        <v>25.631734386851498</v>
      </c>
      <c r="BD261" s="701">
        <f t="shared" si="293"/>
        <v>26.19509585018579</v>
      </c>
      <c r="BE261" s="701">
        <f t="shared" si="293"/>
        <v>26.728306603389651</v>
      </c>
      <c r="BF261" s="701">
        <f t="shared" si="293"/>
        <v>27.236660413278155</v>
      </c>
      <c r="BG261" s="701">
        <f t="shared" si="293"/>
        <v>27.666756609387924</v>
      </c>
      <c r="BH261" s="701">
        <f t="shared" si="293"/>
        <v>27.655071796002446</v>
      </c>
      <c r="BI261" s="701">
        <f t="shared" si="293"/>
        <v>27.651425310650222</v>
      </c>
      <c r="BJ261" s="701">
        <f t="shared" si="293"/>
        <v>28.485599188676588</v>
      </c>
      <c r="BK261" s="701">
        <f t="shared" si="293"/>
        <v>29.240402227655771</v>
      </c>
      <c r="BL261" s="701">
        <f t="shared" si="293"/>
        <v>30.242133490468046</v>
      </c>
      <c r="BM261" s="701">
        <f t="shared" si="293"/>
        <v>31.091437534251703</v>
      </c>
      <c r="BN261" s="701">
        <f t="shared" si="293"/>
        <v>30.877301504067432</v>
      </c>
      <c r="BO261" s="701">
        <f t="shared" si="293"/>
        <v>30.625342712531506</v>
      </c>
      <c r="BP261" s="701">
        <f t="shared" si="293"/>
        <v>30.404401542170881</v>
      </c>
      <c r="BQ261" s="701">
        <f t="shared" si="293"/>
        <v>30.098251335676579</v>
      </c>
      <c r="BR261" s="701">
        <f t="shared" si="293"/>
        <v>29.900580557715219</v>
      </c>
      <c r="BS261" s="701">
        <f t="shared" si="293"/>
        <v>29.65018070865575</v>
      </c>
      <c r="BT261" s="701">
        <f t="shared" si="293"/>
        <v>29.437901563375846</v>
      </c>
      <c r="BU261" s="701">
        <f t="shared" si="293"/>
        <v>29.368369955351863</v>
      </c>
      <c r="BV261" s="701">
        <f t="shared" si="293"/>
        <v>29.651602385654929</v>
      </c>
      <c r="BW261" s="701">
        <f t="shared" si="293"/>
        <v>30.335917761967103</v>
      </c>
      <c r="BX261" s="701">
        <f t="shared" si="293"/>
        <v>31.310970752490796</v>
      </c>
      <c r="BY261" s="701">
        <f t="shared" si="293"/>
        <v>32.561782243977682</v>
      </c>
      <c r="BZ261" s="701">
        <f t="shared" si="293"/>
        <v>33.770125233350257</v>
      </c>
      <c r="CA261" s="701">
        <f t="shared" si="293"/>
        <v>34.920912008507948</v>
      </c>
      <c r="CB261" s="701">
        <f t="shared" si="293"/>
        <v>36.015883246912765</v>
      </c>
      <c r="CC261" s="701">
        <f t="shared" si="293"/>
        <v>37.059565828829236</v>
      </c>
      <c r="CD261" s="701">
        <f t="shared" si="293"/>
        <v>38.059795844193587</v>
      </c>
      <c r="CE261" s="701">
        <f t="shared" si="293"/>
        <v>39.031977662939752</v>
      </c>
      <c r="CF261" s="701">
        <f t="shared" si="293"/>
        <v>39.992874900542866</v>
      </c>
      <c r="CG261" s="701">
        <f t="shared" si="293"/>
        <v>40.95437668538095</v>
      </c>
      <c r="CH261" s="701">
        <f t="shared" si="293"/>
        <v>41.866620472677631</v>
      </c>
      <c r="CI261" s="701">
        <f t="shared" si="293"/>
        <v>42.727494792051139</v>
      </c>
      <c r="CJ261" s="701">
        <f t="shared" si="293"/>
        <v>43.537268026572008</v>
      </c>
      <c r="CK261" s="701">
        <f t="shared" si="293"/>
        <v>44.295959779311062</v>
      </c>
      <c r="CL261" s="701">
        <f t="shared" ref="CL261:DA262" si="294">CL301+CL342</f>
        <v>45.062589198595973</v>
      </c>
      <c r="CM261" s="701">
        <f t="shared" si="294"/>
        <v>45.839272789942093</v>
      </c>
      <c r="CN261" s="701">
        <f t="shared" si="294"/>
        <v>46.624087423164355</v>
      </c>
      <c r="CO261" s="701">
        <f t="shared" si="294"/>
        <v>47.416067972406253</v>
      </c>
      <c r="CP261" s="701">
        <f t="shared" si="294"/>
        <v>48.214874577267814</v>
      </c>
      <c r="CQ261" s="701">
        <f t="shared" si="294"/>
        <v>49.018265149675209</v>
      </c>
      <c r="CR261" s="701">
        <f t="shared" si="294"/>
        <v>49.823963098129212</v>
      </c>
      <c r="CS261" s="701">
        <f t="shared" si="294"/>
        <v>50.629809619733862</v>
      </c>
      <c r="CT261" s="701">
        <f t="shared" si="294"/>
        <v>51.396230556167723</v>
      </c>
      <c r="CU261" s="701">
        <f t="shared" si="294"/>
        <v>52.123525597629751</v>
      </c>
      <c r="CV261" s="701">
        <f t="shared" si="294"/>
        <v>52.81411052686726</v>
      </c>
      <c r="CW261" s="701">
        <f t="shared" si="294"/>
        <v>53.469935569215004</v>
      </c>
      <c r="CX261" s="701">
        <f t="shared" si="294"/>
        <v>54.129212135448853</v>
      </c>
      <c r="CY261" s="701">
        <f t="shared" si="294"/>
        <v>54.794648812663681</v>
      </c>
      <c r="CZ261" s="701">
        <f t="shared" si="294"/>
        <v>55.465867350607333</v>
      </c>
      <c r="DA261" s="701">
        <f t="shared" si="294"/>
        <v>56.142600092417787</v>
      </c>
      <c r="DC261" s="11">
        <f t="shared" ref="DC261:DC266" si="295">AG261</f>
        <v>4.8332506930484209</v>
      </c>
      <c r="DD261" s="11">
        <f t="shared" ref="DD261:DD266" si="296">AS261</f>
        <v>30.190955094484302</v>
      </c>
      <c r="DE261" s="873">
        <f t="shared" ref="DE261:DE266" si="297">BE261</f>
        <v>26.728306603389651</v>
      </c>
      <c r="DF261" s="11">
        <f t="shared" ref="DF261:DF266" si="298">BQ261</f>
        <v>30.098251335676579</v>
      </c>
      <c r="DG261" s="11">
        <f t="shared" ref="DG261:DG266" si="299">CC261</f>
        <v>37.059565828829236</v>
      </c>
      <c r="DH261" s="11">
        <f t="shared" ref="DH261:DH266" si="300">CO261</f>
        <v>47.416067972406253</v>
      </c>
      <c r="DI261" s="11">
        <f t="shared" ref="DI261:DI266" si="301">DA261</f>
        <v>56.142600092417787</v>
      </c>
    </row>
    <row r="262" spans="2:113" outlineLevel="1">
      <c r="E262" s="229"/>
      <c r="F262" s="230" t="s">
        <v>810</v>
      </c>
      <c r="I262" s="609" t="s">
        <v>736</v>
      </c>
      <c r="O262" s="696"/>
      <c r="P262" s="696"/>
      <c r="Q262" s="696"/>
      <c r="R262" s="696"/>
      <c r="S262" s="696"/>
      <c r="T262" s="696"/>
      <c r="U262" s="696"/>
      <c r="V262" s="696"/>
      <c r="W262" s="696"/>
      <c r="X262" s="696"/>
      <c r="Y262" s="696"/>
      <c r="Z262" s="701">
        <f t="shared" si="293"/>
        <v>0</v>
      </c>
      <c r="AA262" s="701">
        <f t="shared" si="293"/>
        <v>1.3464661225202805</v>
      </c>
      <c r="AB262" s="701">
        <f t="shared" si="293"/>
        <v>2.7818969953157699</v>
      </c>
      <c r="AC262" s="701">
        <f t="shared" si="293"/>
        <v>4.1613994334724147</v>
      </c>
      <c r="AD262" s="701">
        <f t="shared" si="293"/>
        <v>5.7082609489170935</v>
      </c>
      <c r="AE262" s="701">
        <f t="shared" si="293"/>
        <v>7.4605756883600964</v>
      </c>
      <c r="AF262" s="701">
        <f t="shared" si="293"/>
        <v>10.45698066745199</v>
      </c>
      <c r="AG262" s="701">
        <f t="shared" si="293"/>
        <v>13.390995918550056</v>
      </c>
      <c r="AH262" s="701">
        <f t="shared" si="293"/>
        <v>16.483350189540655</v>
      </c>
      <c r="AI262" s="701">
        <f t="shared" si="293"/>
        <v>19.324480093372195</v>
      </c>
      <c r="AJ262" s="701">
        <f t="shared" si="293"/>
        <v>21.121726407471407</v>
      </c>
      <c r="AK262" s="701">
        <f t="shared" si="293"/>
        <v>23.804290741174288</v>
      </c>
      <c r="AL262" s="701">
        <f t="shared" si="293"/>
        <v>26.123083464373682</v>
      </c>
      <c r="AM262" s="701">
        <f t="shared" si="293"/>
        <v>29.035581125574236</v>
      </c>
      <c r="AN262" s="701">
        <f t="shared" si="293"/>
        <v>31.545545249911889</v>
      </c>
      <c r="AO262" s="701">
        <f t="shared" si="293"/>
        <v>34.91248589346003</v>
      </c>
      <c r="AP262" s="701">
        <f t="shared" si="293"/>
        <v>38.755298205963904</v>
      </c>
      <c r="AQ262" s="701">
        <f t="shared" si="293"/>
        <v>42.230364586407767</v>
      </c>
      <c r="AR262" s="701">
        <f t="shared" si="293"/>
        <v>45.716322048211609</v>
      </c>
      <c r="AS262" s="701">
        <f t="shared" si="293"/>
        <v>48.098034863880443</v>
      </c>
      <c r="AT262" s="701">
        <f t="shared" si="293"/>
        <v>35.881225847861451</v>
      </c>
      <c r="AU262" s="701">
        <f t="shared" si="293"/>
        <v>37.741383839397947</v>
      </c>
      <c r="AV262" s="701">
        <f t="shared" si="293"/>
        <v>39.701138393396711</v>
      </c>
      <c r="AW262" s="701">
        <f t="shared" si="293"/>
        <v>41.35126478383954</v>
      </c>
      <c r="AX262" s="701">
        <f t="shared" si="293"/>
        <v>42.79747262060777</v>
      </c>
      <c r="AY262" s="701">
        <f t="shared" si="293"/>
        <v>44.352224364534827</v>
      </c>
      <c r="AZ262" s="701">
        <f t="shared" si="293"/>
        <v>46.218598275145041</v>
      </c>
      <c r="BA262" s="701">
        <f t="shared" si="293"/>
        <v>47.899186236214518</v>
      </c>
      <c r="BB262" s="701">
        <f t="shared" si="293"/>
        <v>49.538129643966073</v>
      </c>
      <c r="BC262" s="701">
        <f t="shared" si="293"/>
        <v>50.542532393296213</v>
      </c>
      <c r="BD262" s="701">
        <f t="shared" si="293"/>
        <v>51.521241365761753</v>
      </c>
      <c r="BE262" s="701">
        <f t="shared" si="293"/>
        <v>52.500799942691053</v>
      </c>
      <c r="BF262" s="701">
        <f t="shared" si="293"/>
        <v>52.922084466090801</v>
      </c>
      <c r="BG262" s="701">
        <f t="shared" si="293"/>
        <v>54.618900275410269</v>
      </c>
      <c r="BH262" s="701">
        <f t="shared" si="293"/>
        <v>55.787288601179192</v>
      </c>
      <c r="BI262" s="701">
        <f t="shared" si="293"/>
        <v>56.713095509278041</v>
      </c>
      <c r="BJ262" s="701">
        <f t="shared" si="293"/>
        <v>57.437243533239062</v>
      </c>
      <c r="BK262" s="701">
        <f t="shared" si="293"/>
        <v>58.034950875995371</v>
      </c>
      <c r="BL262" s="701">
        <f t="shared" si="293"/>
        <v>58.801210389284826</v>
      </c>
      <c r="BM262" s="701">
        <f t="shared" si="293"/>
        <v>59.449461540689001</v>
      </c>
      <c r="BN262" s="701">
        <f t="shared" si="293"/>
        <v>59.13582571676546</v>
      </c>
      <c r="BO262" s="701">
        <f t="shared" si="293"/>
        <v>58.683253880425568</v>
      </c>
      <c r="BP262" s="701">
        <f t="shared" si="293"/>
        <v>58.326340944446066</v>
      </c>
      <c r="BQ262" s="701">
        <f t="shared" si="293"/>
        <v>57.932423470869722</v>
      </c>
      <c r="BR262" s="701">
        <f t="shared" si="293"/>
        <v>57.697420161630347</v>
      </c>
      <c r="BS262" s="701">
        <f t="shared" si="293"/>
        <v>57.996631950424586</v>
      </c>
      <c r="BT262" s="701">
        <f t="shared" si="293"/>
        <v>58.68891526711262</v>
      </c>
      <c r="BU262" s="701">
        <f t="shared" si="293"/>
        <v>59.825932225255222</v>
      </c>
      <c r="BV262" s="701">
        <f t="shared" si="293"/>
        <v>61.279945291097143</v>
      </c>
      <c r="BW262" s="701">
        <f t="shared" si="293"/>
        <v>63.076344425961842</v>
      </c>
      <c r="BX262" s="701">
        <f t="shared" si="293"/>
        <v>65.110852908848969</v>
      </c>
      <c r="BY262" s="701">
        <f t="shared" si="293"/>
        <v>67.368255172535356</v>
      </c>
      <c r="BZ262" s="701">
        <f t="shared" si="293"/>
        <v>69.540434518512967</v>
      </c>
      <c r="CA262" s="701">
        <f t="shared" si="293"/>
        <v>71.616038238568336</v>
      </c>
      <c r="CB262" s="701">
        <f t="shared" si="293"/>
        <v>73.620947466055412</v>
      </c>
      <c r="CC262" s="701">
        <f t="shared" si="293"/>
        <v>75.574406934251272</v>
      </c>
      <c r="CD262" s="701">
        <f t="shared" si="293"/>
        <v>77.496078279917242</v>
      </c>
      <c r="CE262" s="701">
        <f t="shared" si="293"/>
        <v>79.307823319745694</v>
      </c>
      <c r="CF262" s="701">
        <f t="shared" si="293"/>
        <v>81.040745157663821</v>
      </c>
      <c r="CG262" s="701">
        <f t="shared" si="293"/>
        <v>82.718368547100965</v>
      </c>
      <c r="CH262" s="701">
        <f t="shared" si="293"/>
        <v>84.354709807620679</v>
      </c>
      <c r="CI262" s="701">
        <f t="shared" si="293"/>
        <v>85.950081397240041</v>
      </c>
      <c r="CJ262" s="701">
        <f t="shared" si="293"/>
        <v>87.502309676833235</v>
      </c>
      <c r="CK262" s="701">
        <f t="shared" si="293"/>
        <v>89.010281024363465</v>
      </c>
      <c r="CL262" s="701">
        <f t="shared" si="294"/>
        <v>90.532653007294869</v>
      </c>
      <c r="CM262" s="701">
        <f t="shared" si="294"/>
        <v>92.07174080983178</v>
      </c>
      <c r="CN262" s="701">
        <f t="shared" si="294"/>
        <v>93.622093540488549</v>
      </c>
      <c r="CO262" s="701">
        <f t="shared" si="294"/>
        <v>95.17985927526783</v>
      </c>
      <c r="CP262" s="701">
        <f t="shared" si="294"/>
        <v>96.742429486232254</v>
      </c>
      <c r="CQ262" s="701">
        <f t="shared" si="294"/>
        <v>98.251957075469321</v>
      </c>
      <c r="CR262" s="701">
        <f t="shared" si="294"/>
        <v>99.715333523703848</v>
      </c>
      <c r="CS262" s="701">
        <f t="shared" si="294"/>
        <v>101.1406269695796</v>
      </c>
      <c r="CT262" s="701">
        <f t="shared" si="294"/>
        <v>102.52959510872319</v>
      </c>
      <c r="CU262" s="701">
        <f t="shared" si="294"/>
        <v>103.88541705872927</v>
      </c>
      <c r="CV262" s="701">
        <f t="shared" si="294"/>
        <v>105.210164357295</v>
      </c>
      <c r="CW262" s="701">
        <f t="shared" si="294"/>
        <v>106.50554131869652</v>
      </c>
      <c r="CX262" s="701">
        <f t="shared" si="294"/>
        <v>107.80949875328798</v>
      </c>
      <c r="CY262" s="701">
        <f t="shared" si="294"/>
        <v>109.12445527620079</v>
      </c>
      <c r="CZ262" s="701">
        <f t="shared" si="294"/>
        <v>110.44750664012187</v>
      </c>
      <c r="DA262" s="701">
        <f t="shared" si="294"/>
        <v>111.77629487059443</v>
      </c>
      <c r="DC262" s="11">
        <f t="shared" si="295"/>
        <v>13.390995918550056</v>
      </c>
      <c r="DD262" s="11">
        <f t="shared" si="296"/>
        <v>48.098034863880443</v>
      </c>
      <c r="DE262" s="873">
        <f t="shared" si="297"/>
        <v>52.500799942691053</v>
      </c>
      <c r="DF262" s="11">
        <f t="shared" si="298"/>
        <v>57.932423470869722</v>
      </c>
      <c r="DG262" s="11">
        <f t="shared" si="299"/>
        <v>75.574406934251272</v>
      </c>
      <c r="DH262" s="11">
        <f t="shared" si="300"/>
        <v>95.17985927526783</v>
      </c>
      <c r="DI262" s="11">
        <f t="shared" si="301"/>
        <v>111.77629487059443</v>
      </c>
    </row>
    <row r="263" spans="2:113" outlineLevel="1">
      <c r="E263" s="230" t="s">
        <v>811</v>
      </c>
      <c r="F263" s="229"/>
      <c r="I263" s="609" t="s">
        <v>812</v>
      </c>
      <c r="O263" s="696"/>
      <c r="P263" s="696"/>
      <c r="Q263" s="696"/>
      <c r="R263" s="696"/>
      <c r="S263" s="696"/>
      <c r="T263" s="696"/>
      <c r="U263" s="696"/>
      <c r="V263" s="696"/>
      <c r="W263" s="696"/>
      <c r="X263" s="696"/>
      <c r="Y263" s="696"/>
      <c r="Z263" s="919">
        <f>Z261/Z$230</f>
        <v>0</v>
      </c>
      <c r="AA263" s="919">
        <f t="shared" ref="AA263:CL264" si="302">AA261/AA$230</f>
        <v>0</v>
      </c>
      <c r="AB263" s="919">
        <f t="shared" si="302"/>
        <v>0</v>
      </c>
      <c r="AC263" s="919">
        <f t="shared" si="302"/>
        <v>0</v>
      </c>
      <c r="AD263" s="919">
        <f t="shared" si="302"/>
        <v>2.9521611483517347E-2</v>
      </c>
      <c r="AE263" s="919">
        <f t="shared" si="302"/>
        <v>5.5392605797446974E-2</v>
      </c>
      <c r="AF263" s="919">
        <f t="shared" si="302"/>
        <v>8.0031006130477061E-2</v>
      </c>
      <c r="AG263" s="919">
        <f t="shared" si="302"/>
        <v>0.10181488613234012</v>
      </c>
      <c r="AH263" s="919">
        <f t="shared" si="302"/>
        <v>0.11603824751555911</v>
      </c>
      <c r="AI263" s="919">
        <f t="shared" si="302"/>
        <v>0.14541641695830063</v>
      </c>
      <c r="AJ263" s="919">
        <f t="shared" si="302"/>
        <v>0.15733786269475439</v>
      </c>
      <c r="AK263" s="919">
        <f t="shared" si="302"/>
        <v>0.17015556772647997</v>
      </c>
      <c r="AL263" s="919">
        <f t="shared" si="302"/>
        <v>0.18288477688172919</v>
      </c>
      <c r="AM263" s="919">
        <f t="shared" si="302"/>
        <v>0.17425361505061507</v>
      </c>
      <c r="AN263" s="919">
        <f t="shared" si="302"/>
        <v>0.1568285742413694</v>
      </c>
      <c r="AO263" s="919">
        <f t="shared" si="302"/>
        <v>0.15322157815629905</v>
      </c>
      <c r="AP263" s="919">
        <f t="shared" si="302"/>
        <v>0.15695908586909899</v>
      </c>
      <c r="AQ263" s="919">
        <f t="shared" si="302"/>
        <v>0.1622879467154274</v>
      </c>
      <c r="AR263" s="919">
        <f t="shared" si="302"/>
        <v>0.18115727070305801</v>
      </c>
      <c r="AS263" s="919">
        <f t="shared" si="302"/>
        <v>0.18478850126997201</v>
      </c>
      <c r="AT263" s="919">
        <f t="shared" si="302"/>
        <v>0.11528217634194908</v>
      </c>
      <c r="AU263" s="919">
        <f t="shared" si="302"/>
        <v>0.11184556156004566</v>
      </c>
      <c r="AV263" s="919">
        <f t="shared" si="302"/>
        <v>0.11102148087400023</v>
      </c>
      <c r="AW263" s="919">
        <f t="shared" si="302"/>
        <v>0.11075301327274735</v>
      </c>
      <c r="AX263" s="919">
        <f t="shared" si="302"/>
        <v>0.10959200049143518</v>
      </c>
      <c r="AY263" s="919">
        <f t="shared" si="302"/>
        <v>0.11229887628129312</v>
      </c>
      <c r="AZ263" s="919">
        <f t="shared" si="302"/>
        <v>0.11629958598144619</v>
      </c>
      <c r="BA263" s="919">
        <f t="shared" si="302"/>
        <v>0.11953932073815512</v>
      </c>
      <c r="BB263" s="919">
        <f t="shared" si="302"/>
        <v>0.12252912159635242</v>
      </c>
      <c r="BC263" s="919">
        <f t="shared" si="302"/>
        <v>0.12283997022209137</v>
      </c>
      <c r="BD263" s="919">
        <f t="shared" si="302"/>
        <v>0.12278565956572929</v>
      </c>
      <c r="BE263" s="919">
        <f t="shared" si="302"/>
        <v>0.12318570363473033</v>
      </c>
      <c r="BF263" s="919">
        <f t="shared" si="302"/>
        <v>0.11355648337596506</v>
      </c>
      <c r="BG263" s="919">
        <f t="shared" si="302"/>
        <v>0.11438731619578688</v>
      </c>
      <c r="BH263" s="919">
        <f t="shared" si="302"/>
        <v>0.11435869820573044</v>
      </c>
      <c r="BI263" s="919">
        <f t="shared" si="302"/>
        <v>0.1143980948302811</v>
      </c>
      <c r="BJ263" s="919">
        <f t="shared" si="302"/>
        <v>0.11790835423425372</v>
      </c>
      <c r="BK263" s="919">
        <f t="shared" si="302"/>
        <v>0.12106864418565864</v>
      </c>
      <c r="BL263" s="919">
        <f t="shared" si="302"/>
        <v>0.12506321521371919</v>
      </c>
      <c r="BM263" s="919">
        <f t="shared" si="302"/>
        <v>0.12862662492798838</v>
      </c>
      <c r="BN263" s="919">
        <f t="shared" si="302"/>
        <v>0.12823655892984878</v>
      </c>
      <c r="BO263" s="919">
        <f t="shared" si="302"/>
        <v>0.12721944925813888</v>
      </c>
      <c r="BP263" s="919">
        <f t="shared" si="302"/>
        <v>0.12627670085198153</v>
      </c>
      <c r="BQ263" s="919">
        <f t="shared" si="302"/>
        <v>0.12498171804374913</v>
      </c>
      <c r="BR263" s="919">
        <f t="shared" si="302"/>
        <v>0.12033582301518897</v>
      </c>
      <c r="BS263" s="919">
        <f t="shared" si="302"/>
        <v>0.11548433659177609</v>
      </c>
      <c r="BT263" s="919">
        <f t="shared" si="302"/>
        <v>0.11107129010289328</v>
      </c>
      <c r="BU263" s="919">
        <f t="shared" si="302"/>
        <v>0.10740620954947301</v>
      </c>
      <c r="BV263" s="919">
        <f t="shared" si="302"/>
        <v>0.10524682531048733</v>
      </c>
      <c r="BW263" s="919">
        <f t="shared" si="302"/>
        <v>0.10457617408596341</v>
      </c>
      <c r="BX263" s="919">
        <f t="shared" si="302"/>
        <v>0.10494978848487284</v>
      </c>
      <c r="BY263" s="919">
        <f t="shared" si="302"/>
        <v>0.10620459541005879</v>
      </c>
      <c r="BZ263" s="919">
        <f t="shared" si="302"/>
        <v>0.10736164609600449</v>
      </c>
      <c r="CA263" s="919">
        <f t="shared" si="302"/>
        <v>0.1082888695927343</v>
      </c>
      <c r="CB263" s="919">
        <f t="shared" si="302"/>
        <v>0.1089979076792572</v>
      </c>
      <c r="CC263" s="919">
        <f t="shared" si="302"/>
        <v>0.10951743198994492</v>
      </c>
      <c r="CD263" s="919">
        <f t="shared" si="302"/>
        <v>0.11033198801778815</v>
      </c>
      <c r="CE263" s="919">
        <f t="shared" si="302"/>
        <v>0.11107472173604557</v>
      </c>
      <c r="CF263" s="919">
        <f t="shared" si="302"/>
        <v>0.11175671157349937</v>
      </c>
      <c r="CG263" s="919">
        <f t="shared" si="302"/>
        <v>0.11241323342295</v>
      </c>
      <c r="CH263" s="919">
        <f t="shared" si="302"/>
        <v>0.11291121366816682</v>
      </c>
      <c r="CI263" s="919">
        <f t="shared" si="302"/>
        <v>0.1132567840170956</v>
      </c>
      <c r="CJ263" s="919">
        <f t="shared" si="302"/>
        <v>0.11345858631591743</v>
      </c>
      <c r="CK263" s="919">
        <f t="shared" si="302"/>
        <v>0.11352360693566976</v>
      </c>
      <c r="CL263" s="919">
        <f t="shared" si="302"/>
        <v>0.1135902549670669</v>
      </c>
      <c r="CM263" s="919">
        <f t="shared" ref="CM263:DA264" si="303">CM261/CM$230</f>
        <v>0.11367881350805045</v>
      </c>
      <c r="CN263" s="919">
        <f t="shared" si="303"/>
        <v>0.11378535337687883</v>
      </c>
      <c r="CO263" s="919">
        <f t="shared" si="303"/>
        <v>0.11390655211954073</v>
      </c>
      <c r="CP263" s="919">
        <f t="shared" si="303"/>
        <v>0.11427357120868334</v>
      </c>
      <c r="CQ263" s="919">
        <f t="shared" si="303"/>
        <v>0.11466400747248437</v>
      </c>
      <c r="CR263" s="919">
        <f t="shared" si="303"/>
        <v>0.11505116882942992</v>
      </c>
      <c r="CS263" s="919">
        <f t="shared" si="303"/>
        <v>0.11542936653078373</v>
      </c>
      <c r="CT263" s="919">
        <f t="shared" si="303"/>
        <v>0.11570981702497452</v>
      </c>
      <c r="CU263" s="919">
        <f t="shared" si="303"/>
        <v>0.11589621188289458</v>
      </c>
      <c r="CV263" s="919">
        <f t="shared" si="303"/>
        <v>0.11599726404639403</v>
      </c>
      <c r="CW263" s="919">
        <f t="shared" si="303"/>
        <v>0.11602033902530937</v>
      </c>
      <c r="CX263" s="919">
        <f t="shared" si="303"/>
        <v>0.11604111386086673</v>
      </c>
      <c r="CY263" s="919">
        <f t="shared" si="303"/>
        <v>0.11607372128722847</v>
      </c>
      <c r="CZ263" s="919">
        <f t="shared" si="303"/>
        <v>0.11611805311572565</v>
      </c>
      <c r="DA263" s="919">
        <f t="shared" si="303"/>
        <v>0.11617315172973862</v>
      </c>
      <c r="DC263" s="729">
        <f t="shared" si="295"/>
        <v>0.10181488613234012</v>
      </c>
      <c r="DD263" s="729">
        <f t="shared" si="296"/>
        <v>0.18478850126997201</v>
      </c>
      <c r="DE263" s="729">
        <f t="shared" si="297"/>
        <v>0.12318570363473033</v>
      </c>
      <c r="DF263" s="729">
        <f t="shared" si="298"/>
        <v>0.12498171804374913</v>
      </c>
      <c r="DG263" s="729">
        <f t="shared" si="299"/>
        <v>0.10951743198994492</v>
      </c>
      <c r="DH263" s="729">
        <f t="shared" si="300"/>
        <v>0.11390655211954073</v>
      </c>
      <c r="DI263" s="729">
        <f t="shared" si="301"/>
        <v>0.11617315172973862</v>
      </c>
    </row>
    <row r="264" spans="2:113" outlineLevel="1">
      <c r="E264" s="230" t="s">
        <v>813</v>
      </c>
      <c r="F264" s="229"/>
      <c r="I264" s="609" t="s">
        <v>812</v>
      </c>
      <c r="O264" s="696"/>
      <c r="P264" s="696"/>
      <c r="Q264" s="696"/>
      <c r="R264" s="696"/>
      <c r="S264" s="696"/>
      <c r="T264" s="696"/>
      <c r="U264" s="696"/>
      <c r="V264" s="696"/>
      <c r="W264" s="696"/>
      <c r="X264" s="696"/>
      <c r="Y264" s="696"/>
      <c r="Z264" s="919">
        <f t="shared" ref="Z264:AO264" si="304">Z262/Z$230</f>
        <v>0</v>
      </c>
      <c r="AA264" s="919">
        <f t="shared" si="304"/>
        <v>6.7429957010840536E-2</v>
      </c>
      <c r="AB264" s="919">
        <f t="shared" si="304"/>
        <v>0.11274548803911968</v>
      </c>
      <c r="AC264" s="919">
        <f t="shared" si="304"/>
        <v>0.16428776679913806</v>
      </c>
      <c r="AD264" s="919">
        <f t="shared" si="304"/>
        <v>0.19544345619757794</v>
      </c>
      <c r="AE264" s="919">
        <f t="shared" si="304"/>
        <v>0.20196469107634263</v>
      </c>
      <c r="AF264" s="919">
        <f t="shared" si="304"/>
        <v>0.23792454790207837</v>
      </c>
      <c r="AG264" s="919">
        <f t="shared" si="304"/>
        <v>0.28208814548079686</v>
      </c>
      <c r="AH264" s="919">
        <f t="shared" si="304"/>
        <v>0.29550389950956252</v>
      </c>
      <c r="AI264" s="919">
        <f t="shared" si="304"/>
        <v>0.31213031570241501</v>
      </c>
      <c r="AJ264" s="919">
        <f t="shared" si="304"/>
        <v>0.28251154461610811</v>
      </c>
      <c r="AK264" s="919">
        <f t="shared" si="304"/>
        <v>0.27780704681168455</v>
      </c>
      <c r="AL264" s="919">
        <f t="shared" si="304"/>
        <v>0.274930396641758</v>
      </c>
      <c r="AM264" s="919">
        <f t="shared" si="304"/>
        <v>0.26104974262617608</v>
      </c>
      <c r="AN264" s="919">
        <f t="shared" si="304"/>
        <v>0.24642797459143606</v>
      </c>
      <c r="AO264" s="919">
        <f t="shared" si="304"/>
        <v>0.25091755290371442</v>
      </c>
      <c r="AP264" s="919">
        <f t="shared" si="302"/>
        <v>0.26889760579888278</v>
      </c>
      <c r="AQ264" s="919">
        <f t="shared" si="302"/>
        <v>0.27617781309229072</v>
      </c>
      <c r="AR264" s="919">
        <f t="shared" si="302"/>
        <v>0.29698418781432029</v>
      </c>
      <c r="AS264" s="919">
        <f t="shared" si="302"/>
        <v>0.29439160664881064</v>
      </c>
      <c r="AT264" s="919">
        <f t="shared" si="302"/>
        <v>0.23353784902994024</v>
      </c>
      <c r="AU264" s="919">
        <f t="shared" si="302"/>
        <v>0.21975561864533658</v>
      </c>
      <c r="AV264" s="919">
        <f t="shared" si="302"/>
        <v>0.22516613828984341</v>
      </c>
      <c r="AW264" s="919">
        <f t="shared" si="302"/>
        <v>0.22855100365580658</v>
      </c>
      <c r="AX264" s="919">
        <f t="shared" si="302"/>
        <v>0.23077351997058534</v>
      </c>
      <c r="AY264" s="919">
        <f t="shared" si="302"/>
        <v>0.23308704427060722</v>
      </c>
      <c r="AZ264" s="919">
        <f t="shared" si="302"/>
        <v>0.23663091310555512</v>
      </c>
      <c r="BA264" s="919">
        <f t="shared" si="302"/>
        <v>0.23965302141090952</v>
      </c>
      <c r="BB264" s="919">
        <f t="shared" si="302"/>
        <v>0.24216597018102168</v>
      </c>
      <c r="BC264" s="919">
        <f t="shared" si="302"/>
        <v>0.24222485612703951</v>
      </c>
      <c r="BD264" s="919">
        <f t="shared" si="302"/>
        <v>0.24149824222518826</v>
      </c>
      <c r="BE264" s="919">
        <f t="shared" si="302"/>
        <v>0.24196624493623647</v>
      </c>
      <c r="BF264" s="919">
        <f t="shared" si="302"/>
        <v>0.22064547245172886</v>
      </c>
      <c r="BG264" s="919">
        <f t="shared" si="302"/>
        <v>0.22582008813962398</v>
      </c>
      <c r="BH264" s="919">
        <f t="shared" si="302"/>
        <v>0.23069047688317462</v>
      </c>
      <c r="BI264" s="919">
        <f t="shared" si="302"/>
        <v>0.23463058432978176</v>
      </c>
      <c r="BJ264" s="919">
        <f t="shared" si="302"/>
        <v>0.23774577504581135</v>
      </c>
      <c r="BK264" s="919">
        <f t="shared" si="302"/>
        <v>0.24029125055238201</v>
      </c>
      <c r="BL264" s="919">
        <f t="shared" si="302"/>
        <v>0.24316632396521096</v>
      </c>
      <c r="BM264" s="919">
        <f t="shared" si="302"/>
        <v>0.24594499959485755</v>
      </c>
      <c r="BN264" s="919">
        <f t="shared" si="302"/>
        <v>0.24559707066351999</v>
      </c>
      <c r="BO264" s="919">
        <f t="shared" si="302"/>
        <v>0.2437736390224437</v>
      </c>
      <c r="BP264" s="919">
        <f t="shared" si="302"/>
        <v>0.24224314683572679</v>
      </c>
      <c r="BQ264" s="919">
        <f t="shared" si="302"/>
        <v>0.24056194278784851</v>
      </c>
      <c r="BR264" s="919">
        <f t="shared" si="302"/>
        <v>0.23220507466740248</v>
      </c>
      <c r="BS264" s="919">
        <f t="shared" si="302"/>
        <v>0.22589078397747958</v>
      </c>
      <c r="BT264" s="919">
        <f t="shared" si="302"/>
        <v>0.22143743905875232</v>
      </c>
      <c r="BU264" s="919">
        <f t="shared" si="302"/>
        <v>0.21879582090688582</v>
      </c>
      <c r="BV264" s="919">
        <f t="shared" si="302"/>
        <v>0.21750998860717619</v>
      </c>
      <c r="BW264" s="919">
        <f t="shared" si="302"/>
        <v>0.21744134550844207</v>
      </c>
      <c r="BX264" s="919">
        <f t="shared" si="302"/>
        <v>0.21824204349556203</v>
      </c>
      <c r="BY264" s="919">
        <f t="shared" si="302"/>
        <v>0.2197305488523745</v>
      </c>
      <c r="BZ264" s="919">
        <f t="shared" si="302"/>
        <v>0.22108225742573834</v>
      </c>
      <c r="CA264" s="919">
        <f t="shared" si="302"/>
        <v>0.22207953285054979</v>
      </c>
      <c r="CB264" s="919">
        <f t="shared" si="302"/>
        <v>0.22280528788232354</v>
      </c>
      <c r="CC264" s="919">
        <f t="shared" si="302"/>
        <v>0.2233354543286013</v>
      </c>
      <c r="CD264" s="919">
        <f t="shared" si="302"/>
        <v>0.22465428914038268</v>
      </c>
      <c r="CE264" s="919">
        <f t="shared" si="302"/>
        <v>0.22568916396712113</v>
      </c>
      <c r="CF264" s="919">
        <f t="shared" si="302"/>
        <v>0.22646151857823962</v>
      </c>
      <c r="CG264" s="919">
        <f t="shared" si="302"/>
        <v>0.22704873140384291</v>
      </c>
      <c r="CH264" s="919">
        <f t="shared" si="302"/>
        <v>0.22749848340924156</v>
      </c>
      <c r="CI264" s="919">
        <f t="shared" si="302"/>
        <v>0.22782589647333965</v>
      </c>
      <c r="CJ264" s="919">
        <f t="shared" si="302"/>
        <v>0.22803195527224754</v>
      </c>
      <c r="CK264" s="919">
        <f t="shared" si="302"/>
        <v>0.22811940878099884</v>
      </c>
      <c r="CL264" s="919">
        <f t="shared" si="302"/>
        <v>0.2282076401030243</v>
      </c>
      <c r="CM264" s="919">
        <f t="shared" si="303"/>
        <v>0.22833272903009436</v>
      </c>
      <c r="CN264" s="919">
        <f t="shared" si="303"/>
        <v>0.22848324945648218</v>
      </c>
      <c r="CO264" s="919">
        <f t="shared" si="303"/>
        <v>0.22864843216392627</v>
      </c>
      <c r="CP264" s="919">
        <f t="shared" si="303"/>
        <v>0.22928822280931974</v>
      </c>
      <c r="CQ264" s="919">
        <f t="shared" si="303"/>
        <v>0.22983194337636562</v>
      </c>
      <c r="CR264" s="919">
        <f t="shared" si="303"/>
        <v>0.23025799151150481</v>
      </c>
      <c r="CS264" s="919">
        <f t="shared" si="303"/>
        <v>0.2305874461964102</v>
      </c>
      <c r="CT264" s="919">
        <f t="shared" si="303"/>
        <v>0.23082783623032449</v>
      </c>
      <c r="CU264" s="919">
        <f t="shared" si="303"/>
        <v>0.23098833336647626</v>
      </c>
      <c r="CV264" s="919">
        <f t="shared" si="303"/>
        <v>0.23107633724342044</v>
      </c>
      <c r="CW264" s="919">
        <f t="shared" si="303"/>
        <v>0.23109825886873939</v>
      </c>
      <c r="CX264" s="919">
        <f t="shared" si="303"/>
        <v>0.23111983024634358</v>
      </c>
      <c r="CY264" s="919">
        <f t="shared" si="303"/>
        <v>0.23116274822119104</v>
      </c>
      <c r="CZ264" s="919">
        <f t="shared" si="303"/>
        <v>0.23122237251729741</v>
      </c>
      <c r="DA264" s="919">
        <f t="shared" si="303"/>
        <v>0.23129325044465274</v>
      </c>
      <c r="DC264" s="729">
        <f t="shared" si="295"/>
        <v>0.28208814548079686</v>
      </c>
      <c r="DD264" s="729">
        <f t="shared" si="296"/>
        <v>0.29439160664881064</v>
      </c>
      <c r="DE264" s="729">
        <f t="shared" si="297"/>
        <v>0.24196624493623647</v>
      </c>
      <c r="DF264" s="729">
        <f t="shared" si="298"/>
        <v>0.24056194278784851</v>
      </c>
      <c r="DG264" s="729">
        <f t="shared" si="299"/>
        <v>0.2233354543286013</v>
      </c>
      <c r="DH264" s="729">
        <f t="shared" si="300"/>
        <v>0.22864843216392627</v>
      </c>
      <c r="DI264" s="729">
        <f t="shared" si="301"/>
        <v>0.23129325044465274</v>
      </c>
    </row>
    <row r="265" spans="2:113" outlineLevel="1">
      <c r="E265" s="230" t="s">
        <v>814</v>
      </c>
      <c r="F265" s="229"/>
      <c r="I265" s="609" t="s">
        <v>812</v>
      </c>
      <c r="O265" s="696"/>
      <c r="P265" s="696"/>
      <c r="Q265" s="696"/>
      <c r="R265" s="696"/>
      <c r="S265" s="696"/>
      <c r="T265" s="696"/>
      <c r="U265" s="696"/>
      <c r="V265" s="696"/>
      <c r="W265" s="696"/>
      <c r="X265" s="696"/>
      <c r="Y265" s="696"/>
      <c r="Z265" s="722">
        <f>Z249</f>
        <v>-2.2500000000000001E-5</v>
      </c>
      <c r="AA265" s="722">
        <f>Z265+AA249</f>
        <v>-0.15941529900000001</v>
      </c>
      <c r="AB265" s="722">
        <f t="shared" ref="AB265:CM265" si="305">AA265+AB249</f>
        <v>-0.35024740900000001</v>
      </c>
      <c r="AC265" s="722">
        <f t="shared" si="305"/>
        <v>-0.48758809000000003</v>
      </c>
      <c r="AD265" s="722">
        <f t="shared" si="305"/>
        <v>-0.59155719600000001</v>
      </c>
      <c r="AE265" s="722">
        <f t="shared" si="305"/>
        <v>-0.91721945599999999</v>
      </c>
      <c r="AF265" s="722">
        <f t="shared" si="305"/>
        <v>-1.3142778210000001</v>
      </c>
      <c r="AG265" s="722">
        <f t="shared" si="305"/>
        <v>-1.9579848400000002</v>
      </c>
      <c r="AH265" s="722">
        <f>AH249</f>
        <v>-0.48970949799999997</v>
      </c>
      <c r="AI265" s="722">
        <f t="shared" si="305"/>
        <v>-1.367081776</v>
      </c>
      <c r="AJ265" s="722">
        <f t="shared" si="305"/>
        <v>-2.4211323440000001</v>
      </c>
      <c r="AK265" s="722">
        <f t="shared" si="305"/>
        <v>-3.4188297000000003</v>
      </c>
      <c r="AL265" s="722">
        <f t="shared" si="305"/>
        <v>-4.6849335320000005</v>
      </c>
      <c r="AM265" s="722">
        <f t="shared" si="305"/>
        <v>-6.6544468840000004</v>
      </c>
      <c r="AN265" s="722">
        <f t="shared" si="305"/>
        <v>-9.909870433</v>
      </c>
      <c r="AO265" s="722">
        <f t="shared" si="305"/>
        <v>-12.130127297</v>
      </c>
      <c r="AP265" s="722">
        <f t="shared" si="305"/>
        <v>-14.141051868</v>
      </c>
      <c r="AQ265" s="722">
        <f t="shared" si="305"/>
        <v>-16.672133856149124</v>
      </c>
      <c r="AR265" s="722">
        <f t="shared" si="305"/>
        <v>-20.051740269412157</v>
      </c>
      <c r="AS265" s="722">
        <f t="shared" si="305"/>
        <v>-23.85817420339929</v>
      </c>
      <c r="AT265" s="722">
        <f>AT249</f>
        <v>-10.874214956364566</v>
      </c>
      <c r="AU265" s="722">
        <f t="shared" si="305"/>
        <v>-15.73592267192193</v>
      </c>
      <c r="AV265" s="722">
        <f t="shared" si="305"/>
        <v>-21.127949501325823</v>
      </c>
      <c r="AW265" s="722">
        <f t="shared" si="305"/>
        <v>-26.814900333130499</v>
      </c>
      <c r="AX265" s="722">
        <f t="shared" si="305"/>
        <v>-32.71702472334885</v>
      </c>
      <c r="AY265" s="722">
        <f t="shared" si="305"/>
        <v>-38.7014933533817</v>
      </c>
      <c r="AZ265" s="722">
        <f t="shared" si="305"/>
        <v>-44.717307652280581</v>
      </c>
      <c r="BA265" s="722">
        <f t="shared" si="305"/>
        <v>-50.991248901852828</v>
      </c>
      <c r="BB265" s="722">
        <f t="shared" si="305"/>
        <v>-57.638452016758997</v>
      </c>
      <c r="BC265" s="722">
        <f t="shared" si="305"/>
        <v>-64.789326835193535</v>
      </c>
      <c r="BD265" s="722">
        <f t="shared" si="305"/>
        <v>-72.101631407048714</v>
      </c>
      <c r="BE265" s="722">
        <f t="shared" si="305"/>
        <v>-79.563446043135201</v>
      </c>
      <c r="BF265" s="722">
        <f>BF249</f>
        <v>-7.7542948322233851</v>
      </c>
      <c r="BG265" s="722">
        <f t="shared" si="305"/>
        <v>-15.549495765932452</v>
      </c>
      <c r="BH265" s="722">
        <f t="shared" si="305"/>
        <v>-23.366049520168733</v>
      </c>
      <c r="BI265" s="722">
        <f t="shared" si="305"/>
        <v>-31.300650545616559</v>
      </c>
      <c r="BJ265" s="722">
        <f t="shared" si="305"/>
        <v>-39.484473351759526</v>
      </c>
      <c r="BK265" s="722">
        <f t="shared" si="305"/>
        <v>-47.598090851584445</v>
      </c>
      <c r="BL265" s="722">
        <f t="shared" si="305"/>
        <v>-55.564421060708568</v>
      </c>
      <c r="BM265" s="722">
        <f t="shared" si="305"/>
        <v>-63.903428373828298</v>
      </c>
      <c r="BN265" s="722">
        <f t="shared" si="305"/>
        <v>-72.749941779773394</v>
      </c>
      <c r="BO265" s="722">
        <f t="shared" si="305"/>
        <v>-81.583043342818684</v>
      </c>
      <c r="BP265" s="722">
        <f t="shared" si="305"/>
        <v>-90.372733245640291</v>
      </c>
      <c r="BQ265" s="722">
        <f t="shared" si="305"/>
        <v>-99.065830207188498</v>
      </c>
      <c r="BR265" s="722">
        <f>BR249</f>
        <v>-8.6719561743850129</v>
      </c>
      <c r="BS265" s="722">
        <f t="shared" si="305"/>
        <v>-17.34213830722598</v>
      </c>
      <c r="BT265" s="722">
        <f t="shared" si="305"/>
        <v>-25.982952107534132</v>
      </c>
      <c r="BU265" s="722">
        <f t="shared" si="305"/>
        <v>-34.565430862353281</v>
      </c>
      <c r="BV265" s="722">
        <f t="shared" si="305"/>
        <v>-43.178884962372123</v>
      </c>
      <c r="BW265" s="722">
        <f t="shared" si="305"/>
        <v>-51.823939981196986</v>
      </c>
      <c r="BX265" s="722">
        <f t="shared" si="305"/>
        <v>-60.551051662004497</v>
      </c>
      <c r="BY265" s="722">
        <f t="shared" si="305"/>
        <v>-69.462634916205673</v>
      </c>
      <c r="BZ265" s="722">
        <f t="shared" si="305"/>
        <v>-78.727430432675519</v>
      </c>
      <c r="CA265" s="722">
        <f t="shared" si="305"/>
        <v>-88.342148373627225</v>
      </c>
      <c r="CB265" s="722">
        <f t="shared" si="305"/>
        <v>-98.29197429199813</v>
      </c>
      <c r="CC265" s="722">
        <f t="shared" si="305"/>
        <v>-108.56206822523868</v>
      </c>
      <c r="CD265" s="722">
        <f>CD249</f>
        <v>-10.563238847091473</v>
      </c>
      <c r="CE265" s="722">
        <f t="shared" si="305"/>
        <v>-21.414638561379334</v>
      </c>
      <c r="CF265" s="722">
        <f t="shared" si="305"/>
        <v>-32.546079252233334</v>
      </c>
      <c r="CG265" s="722">
        <f t="shared" si="305"/>
        <v>-43.950501031565445</v>
      </c>
      <c r="CH265" s="722">
        <f t="shared" si="305"/>
        <v>-55.614147190163877</v>
      </c>
      <c r="CI265" s="722">
        <f t="shared" si="305"/>
        <v>-67.540339806307699</v>
      </c>
      <c r="CJ265" s="722">
        <f t="shared" si="305"/>
        <v>-79.732676588222887</v>
      </c>
      <c r="CK265" s="722">
        <f t="shared" si="305"/>
        <v>-92.173603110763551</v>
      </c>
      <c r="CL265" s="722">
        <f t="shared" si="305"/>
        <v>-104.83118254366389</v>
      </c>
      <c r="CM265" s="722">
        <f t="shared" si="305"/>
        <v>-117.70626581902921</v>
      </c>
      <c r="CN265" s="722">
        <f>CM265+CN249</f>
        <v>-130.80197075822198</v>
      </c>
      <c r="CO265" s="722">
        <f>CN265+CO249</f>
        <v>-144.12081805144126</v>
      </c>
      <c r="CP265" s="722">
        <f>CP249</f>
        <v>-13.536612030554135</v>
      </c>
      <c r="CQ265" s="722">
        <f t="shared" ref="CQ265:DA265" si="306">CP265+CQ249</f>
        <v>-27.295871155563816</v>
      </c>
      <c r="CR265" s="722">
        <f t="shared" si="306"/>
        <v>-41.280390875255165</v>
      </c>
      <c r="CS265" s="722">
        <f t="shared" si="306"/>
        <v>-55.492299740581771</v>
      </c>
      <c r="CT265" s="722">
        <f t="shared" si="306"/>
        <v>-69.926103266386718</v>
      </c>
      <c r="CU265" s="722">
        <f t="shared" si="306"/>
        <v>-84.581388025293876</v>
      </c>
      <c r="CV265" s="722">
        <f t="shared" si="306"/>
        <v>-99.458049182779419</v>
      </c>
      <c r="CW265" s="722">
        <f t="shared" si="306"/>
        <v>-114.54349280337514</v>
      </c>
      <c r="CX265" s="722">
        <f t="shared" si="306"/>
        <v>-129.81677186003122</v>
      </c>
      <c r="CY265" s="722">
        <f t="shared" si="306"/>
        <v>-145.2777550697549</v>
      </c>
      <c r="CZ265" s="722">
        <f t="shared" si="306"/>
        <v>-160.92807889746976</v>
      </c>
      <c r="DA265" s="722">
        <f t="shared" si="306"/>
        <v>-176.76929260298903</v>
      </c>
      <c r="DC265" s="741">
        <f t="shared" si="295"/>
        <v>-1.9579848400000002</v>
      </c>
      <c r="DD265" s="741">
        <f t="shared" si="296"/>
        <v>-23.85817420339929</v>
      </c>
      <c r="DE265" s="741">
        <f t="shared" si="297"/>
        <v>-79.563446043135201</v>
      </c>
      <c r="DF265" s="741">
        <f t="shared" si="298"/>
        <v>-99.065830207188498</v>
      </c>
      <c r="DG265" s="741">
        <f t="shared" si="299"/>
        <v>-108.56206822523868</v>
      </c>
      <c r="DH265" s="741">
        <f t="shared" si="300"/>
        <v>-144.12081805144126</v>
      </c>
      <c r="DI265" s="741">
        <f t="shared" si="301"/>
        <v>-176.76929260298903</v>
      </c>
    </row>
    <row r="266" spans="2:113" outlineLevel="1">
      <c r="E266" s="230" t="s">
        <v>815</v>
      </c>
      <c r="F266" s="229"/>
      <c r="I266" s="609" t="s">
        <v>812</v>
      </c>
      <c r="O266" s="696"/>
      <c r="P266" s="696"/>
      <c r="Q266" s="696"/>
      <c r="R266" s="696"/>
      <c r="S266" s="696"/>
      <c r="T266" s="696"/>
      <c r="U266" s="696"/>
      <c r="V266" s="696"/>
      <c r="W266" s="696"/>
      <c r="X266" s="696"/>
      <c r="Y266" s="696"/>
      <c r="Z266" s="919">
        <f>Z265/SUM($Y230:Z230)</f>
        <v>-2.2421372339107205E-6</v>
      </c>
      <c r="AA266" s="919">
        <f>AA265/SUM($Y230:AA230)</f>
        <v>-5.3132349190162841E-3</v>
      </c>
      <c r="AB266" s="919">
        <f>AB265/SUM($Y230:AB230)</f>
        <v>-6.4056875790847482E-3</v>
      </c>
      <c r="AC266" s="919">
        <f>AC265/SUM($Y230:AC230)</f>
        <v>-6.0942792130806358E-3</v>
      </c>
      <c r="AD266" s="919">
        <f>AD265/SUM($Y230:AD230)</f>
        <v>-5.416485075956168E-3</v>
      </c>
      <c r="AE266" s="919">
        <f>AE265/SUM($Y230:AE230)</f>
        <v>-6.2756959887347256E-3</v>
      </c>
      <c r="AF266" s="919">
        <f>AF265/SUM($Y230:AF230)</f>
        <v>-6.9134293742297067E-3</v>
      </c>
      <c r="AG266" s="919">
        <f>AG265/SUM($Y230:AG230)</f>
        <v>-8.2415090401259192E-3</v>
      </c>
      <c r="AH266" s="919">
        <f>AH265/SUM($AG230:AH230)</f>
        <v>-4.7428827178846913E-3</v>
      </c>
      <c r="AI266" s="919">
        <f>AI265/SUM($AG230:AI230)</f>
        <v>-8.2771661121259204E-3</v>
      </c>
      <c r="AJ266" s="919">
        <f>AJ265/SUM($AG230:AJ230)</f>
        <v>-1.0091114897946406E-2</v>
      </c>
      <c r="AK266" s="919">
        <f>AK265/SUM($AG230:AK230)</f>
        <v>-1.0499653986793605E-2</v>
      </c>
      <c r="AL266" s="919">
        <f>AL265/SUM($AG230:AL230)</f>
        <v>-1.1137879892315974E-2</v>
      </c>
      <c r="AM266" s="919">
        <f>AM265/SUM($AG230:AM230)</f>
        <v>-1.2511724791099115E-2</v>
      </c>
      <c r="AN266" s="919">
        <f>AN265/SUM($AG230:AN230)</f>
        <v>-1.501795660490189E-2</v>
      </c>
      <c r="AO266" s="919">
        <f>AO265/SUM($AG230:AO230)</f>
        <v>-1.5181496147994114E-2</v>
      </c>
      <c r="AP266" s="919">
        <f>AP265/SUM($AG230:AP230)</f>
        <v>-1.4993683082942277E-2</v>
      </c>
      <c r="AQ266" s="919">
        <f>AQ265/SUM($AG230:AQ230)</f>
        <v>-1.5211189932832601E-2</v>
      </c>
      <c r="AR266" s="919">
        <f>AR265/SUM($AG230:AR230)</f>
        <v>-1.6041658739979359E-2</v>
      </c>
      <c r="AS266" s="919">
        <f>AS265/SUM($AG230:AS230)</f>
        <v>-1.6880460752232016E-2</v>
      </c>
      <c r="AT266" s="919">
        <f>AT265/SUM($AS230:AT230)</f>
        <v>-3.4301012185078798E-2</v>
      </c>
      <c r="AU266" s="919">
        <f>AU265/SUM($AS230:AU230)</f>
        <v>-3.2195228916605985E-2</v>
      </c>
      <c r="AV266" s="919">
        <f>AV265/SUM($AS230:AV230)</f>
        <v>-3.1767292994973828E-2</v>
      </c>
      <c r="AW266" s="919">
        <f>AW265/SUM($AS230:AW230)</f>
        <v>-3.1695615133695419E-2</v>
      </c>
      <c r="AX266" s="919">
        <f>AX265/SUM($AS230:AX230)</f>
        <v>-3.1718980619195057E-2</v>
      </c>
      <c r="AY266" s="919">
        <f>AY265/SUM($AS230:AY230)</f>
        <v>-3.1677174605855535E-2</v>
      </c>
      <c r="AZ266" s="919">
        <f>AZ265/SUM($AS230:AZ230)</f>
        <v>-3.155625497579484E-2</v>
      </c>
      <c r="BA266" s="919">
        <f>BA265/SUM($AS230:BA230)</f>
        <v>-3.1535739137958721E-2</v>
      </c>
      <c r="BB266" s="919">
        <f>BB265/SUM($AS230:BB230)</f>
        <v>-3.164343430345929E-2</v>
      </c>
      <c r="BC266" s="919">
        <f>BC265/SUM($AS230:BC230)</f>
        <v>-3.1913447669935965E-2</v>
      </c>
      <c r="BD266" s="919">
        <f>BD265/SUM($AS230:BD230)</f>
        <v>-3.2138047334689571E-2</v>
      </c>
      <c r="BE266" s="919">
        <f>BE265/SUM($AS230:BE230)</f>
        <v>-3.2336642748083434E-2</v>
      </c>
      <c r="BF266" s="919">
        <f>BF265/SUM($BE230:BF230)</f>
        <v>-1.6974250577657862E-2</v>
      </c>
      <c r="BG266" s="919">
        <f>BG265/SUM($BE230:BG230)</f>
        <v>-2.225502242624932E-2</v>
      </c>
      <c r="BH266" s="919">
        <f>BH265/SUM($BE230:BH230)</f>
        <v>-2.4843664405011182E-2</v>
      </c>
      <c r="BI266" s="919">
        <f>BI265/SUM($BE230:BI230)</f>
        <v>-2.6475810977319107E-2</v>
      </c>
      <c r="BJ266" s="919">
        <f>BJ265/SUM($BE230:BJ230)</f>
        <v>-2.7731233855351718E-2</v>
      </c>
      <c r="BK266" s="919">
        <f>BK265/SUM($BE230:BK230)</f>
        <v>-2.8581502850471653E-2</v>
      </c>
      <c r="BL266" s="919">
        <f>BL265/SUM($BE230:BL230)</f>
        <v>-2.9134628993242772E-2</v>
      </c>
      <c r="BM266" s="919">
        <f>BM265/SUM($BE230:BM230)</f>
        <v>-2.9738026260756147E-2</v>
      </c>
      <c r="BN266" s="919">
        <f>BN265/SUM($BE230:BN230)</f>
        <v>-3.044359633206864E-2</v>
      </c>
      <c r="BO266" s="919">
        <f>BO265/SUM($BE230:BO230)</f>
        <v>-3.1015549694048648E-2</v>
      </c>
      <c r="BP266" s="919">
        <f>BP265/SUM($BE230:BP230)</f>
        <v>-3.1475950970551406E-2</v>
      </c>
      <c r="BQ266" s="919">
        <f>BQ265/SUM($BE230:BQ230)</f>
        <v>-3.1833606378627678E-2</v>
      </c>
      <c r="BR266" s="919">
        <f>BR265/SUM($BQ230:BR230)</f>
        <v>-1.7723283844555852E-2</v>
      </c>
      <c r="BS266" s="919">
        <f>BS265/SUM($BQ230:BS230)</f>
        <v>-2.3245472189633826E-2</v>
      </c>
      <c r="BT266" s="919">
        <f>BT265/SUM($BQ230:BT230)</f>
        <v>-2.5698220708293112E-2</v>
      </c>
      <c r="BU266" s="919">
        <f>BU265/SUM($BQ230:BU230)</f>
        <v>-2.6909376574038198E-2</v>
      </c>
      <c r="BV266" s="919">
        <f>BV265/SUM($BQ230:BV230)</f>
        <v>-2.7568384940447208E-2</v>
      </c>
      <c r="BW266" s="919">
        <f>BW265/SUM($BQ230:BW230)</f>
        <v>-2.7917404801695585E-2</v>
      </c>
      <c r="BX266" s="919">
        <f>BX265/SUM($BQ230:BX230)</f>
        <v>-2.8102196812866277E-2</v>
      </c>
      <c r="BY266" s="919">
        <f>BY265/SUM($BQ230:BY230)</f>
        <v>-2.8222295217804286E-2</v>
      </c>
      <c r="BZ266" s="919">
        <f>BZ265/SUM($BQ230:BZ230)</f>
        <v>-2.8361929548510759E-2</v>
      </c>
      <c r="CA266" s="919">
        <f>CA265/SUM($BQ230:CA230)</f>
        <v>-2.8513169140816058E-2</v>
      </c>
      <c r="CB266" s="919">
        <f>CB265/SUM($BQ230:CB230)</f>
        <v>-2.8667248997889843E-2</v>
      </c>
      <c r="CC266" s="919">
        <f>CC265/SUM($BQ230:CC230)</f>
        <v>-2.8818397628211999E-2</v>
      </c>
      <c r="CD266" s="919">
        <f>CD265/SUM($CC230:CD230)</f>
        <v>-1.5458096124284951E-2</v>
      </c>
      <c r="CE266" s="919">
        <f>CE265/SUM($CC230:CE230)</f>
        <v>-2.0695479412472899E-2</v>
      </c>
      <c r="CF266" s="919">
        <f>CF265/SUM($CC230:CF230)</f>
        <v>-2.3370627102448298E-2</v>
      </c>
      <c r="CG266" s="919">
        <f>CG265/SUM($CC230:CG230)</f>
        <v>-2.5015566864391867E-2</v>
      </c>
      <c r="CH266" s="919">
        <f>CH265/SUM($CC230:CH230)</f>
        <v>-2.6137925865345617E-2</v>
      </c>
      <c r="CI266" s="919">
        <f>CI265/SUM($CC230:CI230)</f>
        <v>-2.6962420566327496E-2</v>
      </c>
      <c r="CJ266" s="919">
        <f>CJ265/SUM($CC230:CJ230)</f>
        <v>-2.7601492775452454E-2</v>
      </c>
      <c r="CK266" s="919">
        <f>CK265/SUM($CC230:CK230)</f>
        <v>-2.8111131733360759E-2</v>
      </c>
      <c r="CL266" s="919">
        <f>CL265/SUM($CC230:CL230)</f>
        <v>-2.8520740523734746E-2</v>
      </c>
      <c r="CM266" s="919">
        <f>CM265/SUM($CC230:CM230)</f>
        <v>-2.8857728722084114E-2</v>
      </c>
      <c r="CN266" s="919">
        <f>CN265/SUM($CC230:CN230)</f>
        <v>-2.9140915769555804E-2</v>
      </c>
      <c r="CO266" s="919">
        <f>CO265/SUM($CC230:CO230)</f>
        <v>-2.9383187113234524E-2</v>
      </c>
      <c r="CP266" s="919">
        <f>CP265/SUM($CO230:CP230)</f>
        <v>-1.6149685598220651E-2</v>
      </c>
      <c r="CQ266" s="919">
        <f>CQ265/SUM($CO230:CQ230)</f>
        <v>-2.156597640116522E-2</v>
      </c>
      <c r="CR266" s="919">
        <f>CR265/SUM($CO230:CR230)</f>
        <v>-2.4300442571326433E-2</v>
      </c>
      <c r="CS266" s="919">
        <f>CS265/SUM($CO230:CS230)</f>
        <v>-2.5962862788941502E-2</v>
      </c>
      <c r="CT266" s="919">
        <f>CT265/SUM($CO230:CT230)</f>
        <v>-2.7086823043515743E-2</v>
      </c>
      <c r="CU266" s="919">
        <f>CU265/SUM($CO230:CU230)</f>
        <v>-2.7902702102901335E-2</v>
      </c>
      <c r="CV266" s="919">
        <f>CV265/SUM($CO230:CV230)</f>
        <v>-2.8525780671126849E-2</v>
      </c>
      <c r="CW266" s="919">
        <f>CW265/SUM($CO230:CW230)</f>
        <v>-2.9016944775232562E-2</v>
      </c>
      <c r="CX266" s="919">
        <f>CX265/SUM($CO230:CX230)</f>
        <v>-2.9410667486065946E-2</v>
      </c>
      <c r="CY266" s="919">
        <f>CY265/SUM($CO230:CY230)</f>
        <v>-2.9733458665944519E-2</v>
      </c>
      <c r="CZ266" s="919">
        <f>CZ265/SUM($CO230:CZ230)</f>
        <v>-3.0003349383600164E-2</v>
      </c>
      <c r="DA266" s="919">
        <f>DA265/SUM($CO230:DA230)</f>
        <v>-3.0232802527191047E-2</v>
      </c>
      <c r="DC266" s="729">
        <f t="shared" si="295"/>
        <v>-8.2415090401259192E-3</v>
      </c>
      <c r="DD266" s="729">
        <f t="shared" si="296"/>
        <v>-1.6880460752232016E-2</v>
      </c>
      <c r="DE266" s="729">
        <f t="shared" si="297"/>
        <v>-3.2336642748083434E-2</v>
      </c>
      <c r="DF266" s="729">
        <f t="shared" si="298"/>
        <v>-3.1833606378627678E-2</v>
      </c>
      <c r="DG266" s="729">
        <f t="shared" si="299"/>
        <v>-2.8818397628211999E-2</v>
      </c>
      <c r="DH266" s="729">
        <f t="shared" si="300"/>
        <v>-2.9383187113234524E-2</v>
      </c>
      <c r="DI266" s="729">
        <f t="shared" si="301"/>
        <v>-3.0232802527191047E-2</v>
      </c>
    </row>
    <row r="267" spans="2:113" outlineLevel="1">
      <c r="F267" s="698"/>
      <c r="O267" s="696"/>
      <c r="P267" s="696"/>
      <c r="Q267" s="696"/>
      <c r="R267" s="696"/>
      <c r="S267" s="696"/>
      <c r="T267" s="696"/>
      <c r="U267" s="696"/>
      <c r="V267" s="696"/>
      <c r="W267" s="696"/>
      <c r="X267" s="696"/>
      <c r="Y267" s="696"/>
      <c r="Z267" s="920"/>
      <c r="AA267" s="920"/>
      <c r="AB267" s="920"/>
      <c r="AC267" s="920"/>
      <c r="AD267" s="920"/>
      <c r="AE267" s="920"/>
      <c r="AF267" s="920"/>
      <c r="AG267" s="920"/>
      <c r="AH267" s="920"/>
      <c r="AI267" s="920"/>
      <c r="AJ267" s="920"/>
      <c r="AK267" s="697"/>
      <c r="AL267" s="697"/>
      <c r="AM267" s="697"/>
      <c r="AN267" s="697"/>
      <c r="AO267" s="697"/>
      <c r="AP267" s="697"/>
      <c r="AQ267" s="697"/>
      <c r="AR267" s="697"/>
      <c r="AS267" s="697"/>
      <c r="AT267" s="697"/>
      <c r="AU267" s="697"/>
      <c r="AV267" s="697"/>
      <c r="AW267" s="697"/>
      <c r="AX267" s="697"/>
      <c r="AY267" s="697"/>
      <c r="AZ267" s="697"/>
      <c r="BA267" s="697"/>
      <c r="BB267" s="697"/>
      <c r="BC267" s="697"/>
      <c r="BD267" s="697"/>
      <c r="BE267" s="697"/>
      <c r="BF267" s="697"/>
      <c r="BG267" s="697"/>
      <c r="BH267" s="697"/>
      <c r="BI267" s="697"/>
      <c r="BJ267" s="697"/>
      <c r="BK267" s="697"/>
      <c r="BL267" s="697"/>
      <c r="BM267" s="697"/>
      <c r="BN267" s="697"/>
      <c r="BO267" s="697"/>
      <c r="BP267" s="697"/>
      <c r="BQ267" s="697"/>
      <c r="BR267" s="697"/>
      <c r="BS267" s="697"/>
      <c r="BT267" s="697"/>
      <c r="BU267" s="697"/>
      <c r="BV267" s="697"/>
      <c r="BW267" s="697"/>
      <c r="BX267" s="697"/>
      <c r="BY267" s="697"/>
      <c r="BZ267" s="697"/>
      <c r="CA267" s="697"/>
      <c r="CB267" s="697"/>
      <c r="CC267" s="697"/>
      <c r="CD267" s="697"/>
      <c r="CE267" s="697"/>
      <c r="CF267" s="697"/>
      <c r="CG267" s="697"/>
      <c r="CH267" s="697"/>
      <c r="CI267" s="697"/>
      <c r="CJ267" s="697"/>
      <c r="CK267" s="697"/>
      <c r="CL267" s="697"/>
      <c r="CM267" s="697"/>
      <c r="CN267" s="697"/>
      <c r="CO267" s="697"/>
      <c r="CP267" s="697"/>
      <c r="CQ267" s="697"/>
      <c r="CR267" s="697"/>
      <c r="CS267" s="697"/>
      <c r="CT267" s="697"/>
      <c r="CU267" s="697"/>
      <c r="CV267" s="697"/>
      <c r="CW267" s="697"/>
      <c r="CX267" s="697"/>
      <c r="CY267" s="697"/>
      <c r="CZ267" s="697"/>
      <c r="DA267" s="697"/>
    </row>
    <row r="268" spans="2:113" outlineLevel="1">
      <c r="D268" s="921"/>
      <c r="E268" s="922" t="s">
        <v>832</v>
      </c>
      <c r="F268" s="921"/>
      <c r="G268" s="921"/>
      <c r="H268" s="923"/>
      <c r="Z268" s="920"/>
      <c r="AA268" s="920"/>
      <c r="AB268" s="920"/>
      <c r="AC268" s="920"/>
      <c r="AD268" s="920"/>
      <c r="AE268" s="920"/>
      <c r="AF268" s="920"/>
      <c r="AG268" s="920"/>
      <c r="AH268" s="920"/>
      <c r="AI268" s="920"/>
      <c r="AJ268" s="920"/>
      <c r="AS268" s="729"/>
    </row>
    <row r="269" spans="2:113" ht="15" outlineLevel="2">
      <c r="E269" s="698"/>
      <c r="F269" s="126" t="s">
        <v>817</v>
      </c>
      <c r="I269" s="699" t="s">
        <v>743</v>
      </c>
      <c r="Q269" s="12"/>
      <c r="R269" s="12"/>
      <c r="S269" s="12"/>
      <c r="T269" s="12"/>
      <c r="U269" s="12"/>
      <c r="V269" s="12"/>
      <c r="W269" s="12"/>
      <c r="X269" s="12"/>
      <c r="Y269" s="12"/>
      <c r="Z269" s="902">
        <v>3.7610000000000001</v>
      </c>
      <c r="AA269" s="902">
        <v>6.83</v>
      </c>
      <c r="AB269" s="902">
        <v>7.524</v>
      </c>
      <c r="AC269" s="902">
        <v>6.6740000000000004</v>
      </c>
      <c r="AD269" s="902">
        <v>7.1950000000000003</v>
      </c>
      <c r="AE269" s="902">
        <v>10.071999999999999</v>
      </c>
      <c r="AF269" s="902">
        <v>10.762</v>
      </c>
      <c r="AG269" s="721">
        <v>10.855</v>
      </c>
      <c r="AH269" s="924">
        <v>12.484</v>
      </c>
      <c r="AI269" s="925">
        <v>12.388</v>
      </c>
      <c r="AJ269" s="700">
        <v>16.786999999999999</v>
      </c>
      <c r="AK269" s="700">
        <v>18.884</v>
      </c>
      <c r="AL269" s="700">
        <v>22.111000000000001</v>
      </c>
      <c r="AM269" s="700">
        <v>26.387</v>
      </c>
      <c r="AN269" s="700">
        <v>32.427</v>
      </c>
      <c r="AO269" s="700">
        <v>34.109000000000002</v>
      </c>
      <c r="AP269" s="700">
        <v>33.14</v>
      </c>
      <c r="AQ269" s="700">
        <v>35.618000000000002</v>
      </c>
      <c r="AR269" s="756">
        <v>31.333333333333332</v>
      </c>
      <c r="AS269" s="754">
        <v>33.555555555555557</v>
      </c>
      <c r="AT269" s="756">
        <f>AS269+($BE$269-$AS$269)/12</f>
        <v>34.114814814814814</v>
      </c>
      <c r="AU269" s="756">
        <f>AT269+($BE$269-$AS$269)/12</f>
        <v>34.67407407407407</v>
      </c>
      <c r="AV269" s="756">
        <f t="shared" ref="AV269:BD269" si="307">AU269+($BE$269-$AS$269)/12</f>
        <v>35.233333333333327</v>
      </c>
      <c r="AW269" s="756">
        <f t="shared" si="307"/>
        <v>35.792592592592584</v>
      </c>
      <c r="AX269" s="756">
        <f t="shared" si="307"/>
        <v>36.351851851851841</v>
      </c>
      <c r="AY269" s="756">
        <f t="shared" si="307"/>
        <v>36.911111111111097</v>
      </c>
      <c r="AZ269" s="756">
        <f t="shared" si="307"/>
        <v>37.470370370370354</v>
      </c>
      <c r="BA269" s="756">
        <f t="shared" si="307"/>
        <v>38.029629629629611</v>
      </c>
      <c r="BB269" s="756">
        <f t="shared" si="307"/>
        <v>38.588888888888867</v>
      </c>
      <c r="BC269" s="756">
        <f t="shared" si="307"/>
        <v>39.148148148148124</v>
      </c>
      <c r="BD269" s="756">
        <f t="shared" si="307"/>
        <v>39.707407407407381</v>
      </c>
      <c r="BE269" s="754">
        <f>AS269*1.2</f>
        <v>40.266666666666666</v>
      </c>
      <c r="BF269" s="756">
        <f>BE269+($BQ$269-$BE$269)/12</f>
        <v>40.266666666666666</v>
      </c>
      <c r="BG269" s="756">
        <f t="shared" ref="BG269:BP269" si="308">BF269+($BQ$269-$BE$269)/12</f>
        <v>40.266666666666666</v>
      </c>
      <c r="BH269" s="756">
        <f t="shared" si="308"/>
        <v>40.266666666666666</v>
      </c>
      <c r="BI269" s="756">
        <f t="shared" si="308"/>
        <v>40.266666666666666</v>
      </c>
      <c r="BJ269" s="756">
        <f t="shared" si="308"/>
        <v>40.266666666666666</v>
      </c>
      <c r="BK269" s="756">
        <f t="shared" si="308"/>
        <v>40.266666666666666</v>
      </c>
      <c r="BL269" s="756">
        <f t="shared" si="308"/>
        <v>40.266666666666666</v>
      </c>
      <c r="BM269" s="756">
        <f t="shared" si="308"/>
        <v>40.266666666666666</v>
      </c>
      <c r="BN269" s="756">
        <f t="shared" si="308"/>
        <v>40.266666666666666</v>
      </c>
      <c r="BO269" s="756">
        <f t="shared" si="308"/>
        <v>40.266666666666666</v>
      </c>
      <c r="BP269" s="756">
        <f t="shared" si="308"/>
        <v>40.266666666666666</v>
      </c>
      <c r="BQ269" s="754">
        <f>BE269</f>
        <v>40.266666666666666</v>
      </c>
      <c r="BR269" s="756">
        <f>BQ269+($CC$269-$BQ$269)/12</f>
        <v>40.937777777777775</v>
      </c>
      <c r="BS269" s="756">
        <f t="shared" ref="BS269:CB269" si="309">BR269+($CC$269-$BQ$269)/12</f>
        <v>41.608888888888885</v>
      </c>
      <c r="BT269" s="756">
        <f t="shared" si="309"/>
        <v>42.279999999999994</v>
      </c>
      <c r="BU269" s="756">
        <f t="shared" si="309"/>
        <v>42.951111111111103</v>
      </c>
      <c r="BV269" s="756">
        <f t="shared" si="309"/>
        <v>43.622222222222213</v>
      </c>
      <c r="BW269" s="756">
        <f t="shared" si="309"/>
        <v>44.293333333333322</v>
      </c>
      <c r="BX269" s="756">
        <f t="shared" si="309"/>
        <v>44.964444444444432</v>
      </c>
      <c r="BY269" s="756">
        <f t="shared" si="309"/>
        <v>45.635555555555541</v>
      </c>
      <c r="BZ269" s="756">
        <f t="shared" si="309"/>
        <v>46.306666666666651</v>
      </c>
      <c r="CA269" s="756">
        <f t="shared" si="309"/>
        <v>46.97777777777776</v>
      </c>
      <c r="CB269" s="756">
        <f t="shared" si="309"/>
        <v>47.64888888888887</v>
      </c>
      <c r="CC269" s="754">
        <f>BQ269*1.2</f>
        <v>48.32</v>
      </c>
      <c r="CD269" s="756">
        <f>CC269+($CO$269-$CC$269)/12</f>
        <v>49.12533333333333</v>
      </c>
      <c r="CE269" s="756">
        <f t="shared" ref="CE269:CN269" si="310">CD269+($CO$269-$CC$269)/12</f>
        <v>49.93066666666666</v>
      </c>
      <c r="CF269" s="756">
        <f t="shared" si="310"/>
        <v>50.73599999999999</v>
      </c>
      <c r="CG269" s="756">
        <f t="shared" si="310"/>
        <v>51.54133333333332</v>
      </c>
      <c r="CH269" s="756">
        <f t="shared" si="310"/>
        <v>52.34666666666665</v>
      </c>
      <c r="CI269" s="756">
        <f t="shared" si="310"/>
        <v>53.15199999999998</v>
      </c>
      <c r="CJ269" s="756">
        <f t="shared" si="310"/>
        <v>53.95733333333331</v>
      </c>
      <c r="CK269" s="756">
        <f t="shared" si="310"/>
        <v>54.76266666666664</v>
      </c>
      <c r="CL269" s="756">
        <f t="shared" si="310"/>
        <v>55.567999999999969</v>
      </c>
      <c r="CM269" s="756">
        <f t="shared" si="310"/>
        <v>56.373333333333299</v>
      </c>
      <c r="CN269" s="756">
        <f t="shared" si="310"/>
        <v>57.178666666666629</v>
      </c>
      <c r="CO269" s="754">
        <f>CC269*1.2</f>
        <v>57.983999999999995</v>
      </c>
      <c r="CP269" s="710">
        <f>CO269+($DA269-$CO269)/12</f>
        <v>58.950399999999995</v>
      </c>
      <c r="CQ269" s="710">
        <f t="shared" ref="CQ269:CZ269" si="311">CP269+($DA269-$CO269)/12</f>
        <v>59.916799999999995</v>
      </c>
      <c r="CR269" s="710">
        <f t="shared" si="311"/>
        <v>60.883199999999995</v>
      </c>
      <c r="CS269" s="710">
        <f t="shared" si="311"/>
        <v>61.849599999999995</v>
      </c>
      <c r="CT269" s="710">
        <f t="shared" si="311"/>
        <v>62.815999999999995</v>
      </c>
      <c r="CU269" s="710">
        <f t="shared" si="311"/>
        <v>63.782399999999996</v>
      </c>
      <c r="CV269" s="710">
        <f t="shared" si="311"/>
        <v>64.748799999999989</v>
      </c>
      <c r="CW269" s="710">
        <f t="shared" si="311"/>
        <v>65.715199999999982</v>
      </c>
      <c r="CX269" s="710">
        <f t="shared" si="311"/>
        <v>66.681599999999975</v>
      </c>
      <c r="CY269" s="710">
        <f t="shared" si="311"/>
        <v>67.647999999999968</v>
      </c>
      <c r="CZ269" s="710">
        <f t="shared" si="311"/>
        <v>68.614399999999961</v>
      </c>
      <c r="DA269" s="754">
        <f>CO269*1.2</f>
        <v>69.580799999999996</v>
      </c>
      <c r="DC269" s="12">
        <f>SUM(V269:AG269)</f>
        <v>63.673000000000002</v>
      </c>
      <c r="DD269" s="12">
        <f>SUM(AH269:AS269)</f>
        <v>309.22388888888884</v>
      </c>
      <c r="DE269" s="12">
        <f>SUM(AT269:BE269)</f>
        <v>446.28888888888872</v>
      </c>
      <c r="DF269" s="12">
        <f>SUM(BF269:BQ269)</f>
        <v>483.19999999999987</v>
      </c>
      <c r="DG269" s="12">
        <f>SUM(BR269:CC269)</f>
        <v>535.54666666666651</v>
      </c>
      <c r="DH269" s="12">
        <f>SUM(CD269:CO269)</f>
        <v>642.65599999999984</v>
      </c>
      <c r="DI269" s="12">
        <f>SUM(CP269:DA269)</f>
        <v>771.18719999999985</v>
      </c>
    </row>
    <row r="270" spans="2:113" ht="15" outlineLevel="2">
      <c r="E270" s="698"/>
      <c r="F270" s="126" t="s">
        <v>833</v>
      </c>
      <c r="I270" s="699" t="s">
        <v>743</v>
      </c>
      <c r="Q270" s="12"/>
      <c r="R270" s="12"/>
      <c r="S270" s="12"/>
      <c r="T270" s="12"/>
      <c r="U270" s="12"/>
      <c r="V270" s="12"/>
      <c r="W270" s="12"/>
      <c r="X270" s="12"/>
      <c r="Y270" s="12"/>
      <c r="Z270" s="902">
        <v>3.3969999999999998</v>
      </c>
      <c r="AA270" s="902">
        <v>6.3419999999999996</v>
      </c>
      <c r="AB270" s="902">
        <v>7.407</v>
      </c>
      <c r="AC270" s="902">
        <v>7.0979999999999999</v>
      </c>
      <c r="AD270" s="902">
        <v>8.3520000000000003</v>
      </c>
      <c r="AE270" s="902">
        <v>10.741</v>
      </c>
      <c r="AF270" s="902">
        <v>12.75</v>
      </c>
      <c r="AG270" s="902">
        <v>13.758000000000001</v>
      </c>
      <c r="AH270" s="307">
        <v>16.108999999999998</v>
      </c>
      <c r="AI270" s="307">
        <v>17.753</v>
      </c>
      <c r="AJ270" s="700">
        <v>21.197999999999997</v>
      </c>
      <c r="AK270" s="700">
        <v>24.25</v>
      </c>
      <c r="AL270" s="700">
        <v>24.208000000000002</v>
      </c>
      <c r="AM270" s="700">
        <v>24.237000000000002</v>
      </c>
      <c r="AN270" s="700">
        <v>37.125</v>
      </c>
      <c r="AO270" s="700">
        <v>39.918999999999997</v>
      </c>
      <c r="AP270" s="700">
        <v>41.959000000000003</v>
      </c>
      <c r="AQ270" s="700">
        <v>44.405000000000001</v>
      </c>
      <c r="AR270" s="756">
        <v>34.207823494401175</v>
      </c>
      <c r="AS270" s="756">
        <v>36.306918915402484</v>
      </c>
      <c r="AT270" s="756">
        <v>33.726003470485153</v>
      </c>
      <c r="AU270" s="756">
        <v>37.290004554757751</v>
      </c>
      <c r="AV270" s="756">
        <v>37.846652473658231</v>
      </c>
      <c r="AW270" s="756">
        <v>38.410273826917013</v>
      </c>
      <c r="AX270" s="756">
        <v>38.955151519101115</v>
      </c>
      <c r="AY270" s="756">
        <v>39.567856530392234</v>
      </c>
      <c r="AZ270" s="756">
        <v>40.226785848455215</v>
      </c>
      <c r="BA270" s="756">
        <v>40.777269067810103</v>
      </c>
      <c r="BB270" s="756">
        <v>41.386070177263086</v>
      </c>
      <c r="BC270" s="756">
        <v>41.862167389201268</v>
      </c>
      <c r="BD270" s="756">
        <v>42.464901019077949</v>
      </c>
      <c r="BE270" s="756">
        <v>42.857298413550467</v>
      </c>
      <c r="BF270" s="756">
        <v>42.626133407275461</v>
      </c>
      <c r="BG270" s="756">
        <v>42.99441426435159</v>
      </c>
      <c r="BH270" s="756">
        <v>42.99587737495564</v>
      </c>
      <c r="BI270" s="756">
        <v>42.983066922407893</v>
      </c>
      <c r="BJ270" s="756">
        <v>42.967579719358568</v>
      </c>
      <c r="BK270" s="756">
        <v>42.952312475980996</v>
      </c>
      <c r="BL270" s="756">
        <v>43.016553661840852</v>
      </c>
      <c r="BM270" s="756">
        <v>43.009669965745061</v>
      </c>
      <c r="BN270" s="756">
        <v>42.841941117604279</v>
      </c>
      <c r="BO270" s="756">
        <v>42.829977982481395</v>
      </c>
      <c r="BP270" s="756">
        <v>42.83681182407296</v>
      </c>
      <c r="BQ270" s="756">
        <v>42.843739539202261</v>
      </c>
      <c r="BR270" s="756">
        <v>43.539821879205611</v>
      </c>
      <c r="BS270" s="756">
        <v>44.280234838749429</v>
      </c>
      <c r="BT270" s="756">
        <v>45.021010046984557</v>
      </c>
      <c r="BU270" s="756">
        <v>45.783233048874827</v>
      </c>
      <c r="BV270" s="756">
        <v>46.526898081216935</v>
      </c>
      <c r="BW270" s="756">
        <v>47.281184874129572</v>
      </c>
      <c r="BX270" s="756">
        <v>48.016933062225711</v>
      </c>
      <c r="BY270" s="756">
        <v>48.751450187114948</v>
      </c>
      <c r="BZ270" s="756">
        <v>49.459735494315964</v>
      </c>
      <c r="CA270" s="756">
        <v>50.167126467505987</v>
      </c>
      <c r="CB270" s="756">
        <v>50.875864264350334</v>
      </c>
      <c r="CC270" s="756">
        <v>51.585910608126859</v>
      </c>
      <c r="CD270" s="756">
        <v>52.432206215925227</v>
      </c>
      <c r="CE270" s="756">
        <v>53.292479373490472</v>
      </c>
      <c r="CF270" s="756">
        <v>54.154891491678043</v>
      </c>
      <c r="CG270" s="756">
        <v>55.018139144485474</v>
      </c>
      <c r="CH270" s="756">
        <v>55.882106861772179</v>
      </c>
      <c r="CI270" s="756">
        <v>56.745772180003819</v>
      </c>
      <c r="CJ270" s="756">
        <v>57.609096099654273</v>
      </c>
      <c r="CK270" s="756">
        <v>58.472146388921864</v>
      </c>
      <c r="CL270" s="756">
        <v>59.32965600396534</v>
      </c>
      <c r="CM270" s="756">
        <v>60.186643036791835</v>
      </c>
      <c r="CN270" s="756">
        <v>61.043764895205193</v>
      </c>
      <c r="CO270" s="756">
        <v>61.901105764052765</v>
      </c>
      <c r="CP270" s="756">
        <v>62.919747784782942</v>
      </c>
      <c r="CQ270" s="756">
        <v>63.953936986922173</v>
      </c>
      <c r="CR270" s="756">
        <v>64.989039328779185</v>
      </c>
      <c r="CS270" s="756">
        <v>66.024375257246732</v>
      </c>
      <c r="CT270" s="756">
        <v>67.059896754730588</v>
      </c>
      <c r="CU270" s="756">
        <v>68.095385128553147</v>
      </c>
      <c r="CV270" s="756">
        <v>69.130817997486076</v>
      </c>
      <c r="CW270" s="756">
        <v>70.166202972661011</v>
      </c>
      <c r="CX270" s="756">
        <v>71.195153726300688</v>
      </c>
      <c r="CY270" s="756">
        <v>72.223598437517808</v>
      </c>
      <c r="CZ270" s="756">
        <v>73.252273661068614</v>
      </c>
      <c r="DA270" s="756">
        <v>74.281214706140815</v>
      </c>
      <c r="DC270" s="11">
        <f>AG270</f>
        <v>13.758000000000001</v>
      </c>
      <c r="DD270" s="11">
        <f>AS270</f>
        <v>36.306918915402484</v>
      </c>
      <c r="DE270" s="11">
        <f>BE270</f>
        <v>42.857298413550467</v>
      </c>
      <c r="DF270" s="11">
        <f>BQ270</f>
        <v>42.843739539202261</v>
      </c>
      <c r="DG270" s="11">
        <f>CC270</f>
        <v>51.585910608126859</v>
      </c>
      <c r="DH270" s="11">
        <f>CO270</f>
        <v>61.901105764052765</v>
      </c>
      <c r="DI270" s="11">
        <f>DA270</f>
        <v>74.281214706140815</v>
      </c>
    </row>
    <row r="271" spans="2:113" ht="15" outlineLevel="2">
      <c r="E271" s="698"/>
      <c r="F271" s="12" t="s">
        <v>795</v>
      </c>
      <c r="I271" s="609" t="s">
        <v>736</v>
      </c>
      <c r="Q271" s="12"/>
      <c r="R271" s="12"/>
      <c r="S271" s="12"/>
      <c r="T271" s="12"/>
      <c r="U271" s="12"/>
      <c r="V271" s="12"/>
      <c r="W271" s="12"/>
      <c r="X271" s="12"/>
      <c r="Y271" s="12"/>
      <c r="Z271" s="902">
        <v>11.473000000000001</v>
      </c>
      <c r="AA271" s="902">
        <v>22.5</v>
      </c>
      <c r="AB271" s="902">
        <v>26.237500000000001</v>
      </c>
      <c r="AC271" s="902">
        <v>24.2835</v>
      </c>
      <c r="AD271" s="902">
        <v>25.335000000000001</v>
      </c>
      <c r="AE271" s="902">
        <v>34.808999999999997</v>
      </c>
      <c r="AF271" s="902">
        <v>37.717500000000001</v>
      </c>
      <c r="AG271" s="721">
        <v>38.570500000000003</v>
      </c>
      <c r="AH271" s="307">
        <v>44.427999999999997</v>
      </c>
      <c r="AI271" s="307">
        <v>44.513500000000001</v>
      </c>
      <c r="AJ271" s="700">
        <v>60.92</v>
      </c>
      <c r="AK271" s="926">
        <v>68.744</v>
      </c>
      <c r="AL271" s="926">
        <v>80.334000000000003</v>
      </c>
      <c r="AM271" s="926">
        <v>94.447500000000005</v>
      </c>
      <c r="AN271" s="700">
        <v>115.43899999999999</v>
      </c>
      <c r="AO271" s="926">
        <v>125.4485</v>
      </c>
      <c r="AP271" s="926">
        <v>122.2535</v>
      </c>
      <c r="AQ271" s="700">
        <v>133.55449999999999</v>
      </c>
      <c r="AR271" s="759">
        <v>141</v>
      </c>
      <c r="AS271" s="759">
        <v>151</v>
      </c>
      <c r="AT271" s="756">
        <v>153.51666666666665</v>
      </c>
      <c r="AU271" s="756">
        <v>156.0333333333333</v>
      </c>
      <c r="AV271" s="756">
        <v>158.54999999999998</v>
      </c>
      <c r="AW271" s="756">
        <v>161.06666666666663</v>
      </c>
      <c r="AX271" s="756">
        <v>163.58333333333329</v>
      </c>
      <c r="AY271" s="756">
        <v>166.09999999999994</v>
      </c>
      <c r="AZ271" s="756">
        <v>168.61666666666659</v>
      </c>
      <c r="BA271" s="756">
        <v>171.13333333333327</v>
      </c>
      <c r="BB271" s="756">
        <v>173.64999999999992</v>
      </c>
      <c r="BC271" s="756">
        <v>176.16666666666657</v>
      </c>
      <c r="BD271" s="756">
        <v>178.68333333333322</v>
      </c>
      <c r="BE271" s="756">
        <v>181.2</v>
      </c>
      <c r="BF271" s="756">
        <v>201.33333333333334</v>
      </c>
      <c r="BG271" s="756">
        <v>201.33333333333334</v>
      </c>
      <c r="BH271" s="756">
        <v>201.33333333333334</v>
      </c>
      <c r="BI271" s="756">
        <v>201.33333333333334</v>
      </c>
      <c r="BJ271" s="756">
        <v>201.33333333333334</v>
      </c>
      <c r="BK271" s="756">
        <v>201.33333333333334</v>
      </c>
      <c r="BL271" s="756">
        <v>201.33333333333334</v>
      </c>
      <c r="BM271" s="756">
        <v>201.33333333333334</v>
      </c>
      <c r="BN271" s="756">
        <v>201.33333333333334</v>
      </c>
      <c r="BO271" s="756">
        <v>201.33333333333334</v>
      </c>
      <c r="BP271" s="756">
        <v>201.33333333333334</v>
      </c>
      <c r="BQ271" s="756">
        <v>201.33333333333334</v>
      </c>
      <c r="BR271" s="756">
        <v>204.68888888888887</v>
      </c>
      <c r="BS271" s="756">
        <v>208.04444444444442</v>
      </c>
      <c r="BT271" s="756">
        <v>211.39999999999998</v>
      </c>
      <c r="BU271" s="756">
        <v>214.7555555555555</v>
      </c>
      <c r="BV271" s="756">
        <v>218.11111111111106</v>
      </c>
      <c r="BW271" s="756">
        <v>221.46666666666661</v>
      </c>
      <c r="BX271" s="756">
        <v>224.82222222222217</v>
      </c>
      <c r="BY271" s="756">
        <v>228.17777777777769</v>
      </c>
      <c r="BZ271" s="756">
        <v>231.53333333333325</v>
      </c>
      <c r="CA271" s="756">
        <v>234.8888888888888</v>
      </c>
      <c r="CB271" s="756">
        <v>238.24444444444435</v>
      </c>
      <c r="CC271" s="756">
        <v>241.6</v>
      </c>
      <c r="CD271" s="756">
        <v>245.62666666666667</v>
      </c>
      <c r="CE271" s="756">
        <v>249.65333333333331</v>
      </c>
      <c r="CF271" s="756">
        <v>253.67999999999995</v>
      </c>
      <c r="CG271" s="756">
        <v>257.70666666666659</v>
      </c>
      <c r="CH271" s="756">
        <v>261.73333333333323</v>
      </c>
      <c r="CI271" s="756">
        <v>265.75999999999988</v>
      </c>
      <c r="CJ271" s="756">
        <v>269.78666666666658</v>
      </c>
      <c r="CK271" s="756">
        <v>273.81333333333322</v>
      </c>
      <c r="CL271" s="756">
        <v>277.8399999999998</v>
      </c>
      <c r="CM271" s="756">
        <v>281.8666666666665</v>
      </c>
      <c r="CN271" s="756">
        <v>285.89333333333315</v>
      </c>
      <c r="CO271" s="756">
        <v>289.92</v>
      </c>
      <c r="CP271" s="756">
        <v>294.75200000000001</v>
      </c>
      <c r="CQ271" s="756">
        <v>299.584</v>
      </c>
      <c r="CR271" s="756">
        <v>304.416</v>
      </c>
      <c r="CS271" s="756">
        <v>309.24799999999999</v>
      </c>
      <c r="CT271" s="756">
        <v>314.08</v>
      </c>
      <c r="CU271" s="756">
        <v>318.91199999999998</v>
      </c>
      <c r="CV271" s="756">
        <v>323.74399999999991</v>
      </c>
      <c r="CW271" s="756">
        <v>328.57599999999991</v>
      </c>
      <c r="CX271" s="756">
        <v>333.4079999999999</v>
      </c>
      <c r="CY271" s="756">
        <v>338.23999999999984</v>
      </c>
      <c r="CZ271" s="756">
        <v>343.07199999999983</v>
      </c>
      <c r="DA271" s="756">
        <v>347.904</v>
      </c>
      <c r="DC271" s="12">
        <f>SUM(V271:AG271)</f>
        <v>220.92600000000002</v>
      </c>
      <c r="DD271" s="12">
        <f>SUM(AH271:AS271)</f>
        <v>1182.0825</v>
      </c>
      <c r="DE271" s="12">
        <f>SUM(AT271:BE271)</f>
        <v>2008.299999999999</v>
      </c>
      <c r="DF271" s="12">
        <f>SUM(BF271:BQ271)</f>
        <v>2416</v>
      </c>
      <c r="DG271" s="12">
        <f>SUM(BR271:CC271)</f>
        <v>2677.7333333333327</v>
      </c>
      <c r="DH271" s="12">
        <f>SUM(CD271:CO271)</f>
        <v>3213.2799999999984</v>
      </c>
      <c r="DI271" s="12">
        <f>SUM(CP271:DA271)</f>
        <v>3855.9359999999992</v>
      </c>
    </row>
    <row r="272" spans="2:113" outlineLevel="2">
      <c r="B272" s="758"/>
      <c r="E272" s="698"/>
      <c r="F272" s="12" t="s">
        <v>796</v>
      </c>
      <c r="I272" s="609" t="s">
        <v>736</v>
      </c>
      <c r="Q272" s="12"/>
      <c r="R272" s="12"/>
      <c r="S272" s="12"/>
      <c r="T272" s="12"/>
      <c r="U272" s="12"/>
      <c r="V272" s="12"/>
      <c r="W272" s="12"/>
      <c r="X272" s="12"/>
      <c r="Y272" s="12"/>
      <c r="Z272" s="721">
        <v>10.035068174999999</v>
      </c>
      <c r="AA272" s="721">
        <v>19.968366913000001</v>
      </c>
      <c r="AB272" s="721">
        <v>24.674131477</v>
      </c>
      <c r="AC272" s="721">
        <v>25.329940959999998</v>
      </c>
      <c r="AD272" s="721">
        <v>29.206713082</v>
      </c>
      <c r="AE272" s="721">
        <v>36.94</v>
      </c>
      <c r="AF272" s="902">
        <v>43.950827099000001</v>
      </c>
      <c r="AG272" s="721">
        <v>47.470963006000005</v>
      </c>
      <c r="AH272" s="713">
        <v>55.780482818999999</v>
      </c>
      <c r="AI272" s="713">
        <v>61.911577059999999</v>
      </c>
      <c r="AJ272" s="713">
        <v>74.764117820999999</v>
      </c>
      <c r="AK272" s="713">
        <v>85.686418016999994</v>
      </c>
      <c r="AL272" s="713">
        <v>95.017079898999995</v>
      </c>
      <c r="AM272" s="713">
        <v>111.22623923499999</v>
      </c>
      <c r="AN272" s="713">
        <v>128.011218297</v>
      </c>
      <c r="AO272" s="700">
        <v>139.139272998</v>
      </c>
      <c r="AP272" s="700">
        <v>144.126601986</v>
      </c>
      <c r="AQ272" s="700">
        <v>152.91005498800001</v>
      </c>
      <c r="AR272" s="756">
        <v>153.93520572480529</v>
      </c>
      <c r="AS272" s="756">
        <v>163.38113511931118</v>
      </c>
      <c r="AT272" s="756">
        <v>151.7670156171832</v>
      </c>
      <c r="AU272" s="756">
        <v>167.80502049640987</v>
      </c>
      <c r="AV272" s="756">
        <v>170.30993613146205</v>
      </c>
      <c r="AW272" s="756">
        <v>172.84623222112657</v>
      </c>
      <c r="AX272" s="756">
        <v>175.29818183595503</v>
      </c>
      <c r="AY272" s="756">
        <v>178.05535438676506</v>
      </c>
      <c r="AZ272" s="756">
        <v>181.02053631804847</v>
      </c>
      <c r="BA272" s="756">
        <v>183.49771080514546</v>
      </c>
      <c r="BB272" s="756">
        <v>186.23731579768386</v>
      </c>
      <c r="BC272" s="756">
        <v>188.3797532514057</v>
      </c>
      <c r="BD272" s="756">
        <v>191.09205458585075</v>
      </c>
      <c r="BE272" s="756">
        <v>192.85784286097709</v>
      </c>
      <c r="BF272" s="756">
        <v>213.1306670363773</v>
      </c>
      <c r="BG272" s="756">
        <v>214.97207132175797</v>
      </c>
      <c r="BH272" s="756">
        <v>214.97938687477819</v>
      </c>
      <c r="BI272" s="756">
        <v>214.91533461203946</v>
      </c>
      <c r="BJ272" s="756">
        <v>214.83789859679285</v>
      </c>
      <c r="BK272" s="756">
        <v>214.76156237990497</v>
      </c>
      <c r="BL272" s="756">
        <v>215.08276830920425</v>
      </c>
      <c r="BM272" s="756">
        <v>215.04834982872529</v>
      </c>
      <c r="BN272" s="756">
        <v>214.20970558802139</v>
      </c>
      <c r="BO272" s="756">
        <v>214.14988991240696</v>
      </c>
      <c r="BP272" s="756">
        <v>214.18405912036479</v>
      </c>
      <c r="BQ272" s="756">
        <v>214.21869769601128</v>
      </c>
      <c r="BR272" s="756">
        <v>217.69910939602806</v>
      </c>
      <c r="BS272" s="756">
        <v>221.40117419374712</v>
      </c>
      <c r="BT272" s="756">
        <v>225.10505023492277</v>
      </c>
      <c r="BU272" s="756">
        <v>228.91616524437413</v>
      </c>
      <c r="BV272" s="756">
        <v>232.63449040608467</v>
      </c>
      <c r="BW272" s="756">
        <v>236.40592437064785</v>
      </c>
      <c r="BX272" s="756">
        <v>240.08466531112853</v>
      </c>
      <c r="BY272" s="756">
        <v>243.75725093557475</v>
      </c>
      <c r="BZ272" s="756">
        <v>247.29867747157985</v>
      </c>
      <c r="CA272" s="756">
        <v>250.83563233752992</v>
      </c>
      <c r="CB272" s="756">
        <v>254.37932132175166</v>
      </c>
      <c r="CC272" s="756">
        <v>257.92955304063429</v>
      </c>
      <c r="CD272" s="756">
        <v>262.16103107962613</v>
      </c>
      <c r="CE272" s="756">
        <v>266.46239686745236</v>
      </c>
      <c r="CF272" s="756">
        <v>270.7744574583902</v>
      </c>
      <c r="CG272" s="756">
        <v>275.09069572242737</v>
      </c>
      <c r="CH272" s="756">
        <v>279.41053430886092</v>
      </c>
      <c r="CI272" s="756">
        <v>283.72886090001907</v>
      </c>
      <c r="CJ272" s="756">
        <v>288.04548049827139</v>
      </c>
      <c r="CK272" s="756">
        <v>292.36073194460931</v>
      </c>
      <c r="CL272" s="756">
        <v>296.6482800198267</v>
      </c>
      <c r="CM272" s="756">
        <v>300.93321518395919</v>
      </c>
      <c r="CN272" s="756">
        <v>305.21882447602599</v>
      </c>
      <c r="CO272" s="756">
        <v>309.50552882026381</v>
      </c>
      <c r="CP272" s="756">
        <v>314.59873892391471</v>
      </c>
      <c r="CQ272" s="756">
        <v>319.76968493461084</v>
      </c>
      <c r="CR272" s="756">
        <v>324.94519664389594</v>
      </c>
      <c r="CS272" s="756">
        <v>330.12187628623366</v>
      </c>
      <c r="CT272" s="756">
        <v>335.29948377365298</v>
      </c>
      <c r="CU272" s="756">
        <v>340.47692564276576</v>
      </c>
      <c r="CV272" s="756">
        <v>345.65408998743038</v>
      </c>
      <c r="CW272" s="756">
        <v>350.83101486330509</v>
      </c>
      <c r="CX272" s="756">
        <v>355.9757686315034</v>
      </c>
      <c r="CY272" s="756">
        <v>361.1179921875891</v>
      </c>
      <c r="CZ272" s="756">
        <v>366.26136830534307</v>
      </c>
      <c r="DA272" s="756">
        <v>371.40607353070402</v>
      </c>
      <c r="DC272" s="11">
        <f>AG272</f>
        <v>47.470963006000005</v>
      </c>
      <c r="DD272" s="11">
        <f>AS272</f>
        <v>163.38113511931118</v>
      </c>
      <c r="DE272" s="11">
        <f>BE272</f>
        <v>192.85784286097709</v>
      </c>
      <c r="DF272" s="11">
        <f>BQ272</f>
        <v>214.21869769601128</v>
      </c>
      <c r="DG272" s="11">
        <f>CC272</f>
        <v>257.92955304063429</v>
      </c>
      <c r="DH272" s="11">
        <f>CO272</f>
        <v>309.50552882026381</v>
      </c>
      <c r="DI272" s="11">
        <f>DA272</f>
        <v>371.40607353070402</v>
      </c>
    </row>
    <row r="273" spans="2:113" outlineLevel="2">
      <c r="E273" s="698"/>
      <c r="F273" s="12" t="s">
        <v>215</v>
      </c>
      <c r="I273" s="609" t="s">
        <v>736</v>
      </c>
      <c r="Q273" s="12"/>
      <c r="R273" s="12"/>
      <c r="S273" s="12"/>
      <c r="T273" s="12"/>
      <c r="U273" s="12"/>
      <c r="V273" s="12"/>
      <c r="W273" s="12"/>
      <c r="X273" s="12"/>
      <c r="Y273" s="12"/>
      <c r="Z273" s="702">
        <f t="shared" ref="Z273:CK273" si="312">Z277+Z279</f>
        <v>0.968118645</v>
      </c>
      <c r="AA273" s="702">
        <f t="shared" si="312"/>
        <v>2.2159060039999998</v>
      </c>
      <c r="AB273" s="702">
        <f t="shared" si="312"/>
        <v>2.8510673280000001</v>
      </c>
      <c r="AC273" s="702">
        <f t="shared" si="312"/>
        <v>2.6901916350000001</v>
      </c>
      <c r="AD273" s="702">
        <f t="shared" si="312"/>
        <v>2.7515260110000002</v>
      </c>
      <c r="AE273" s="702">
        <f t="shared" si="312"/>
        <v>3.7682060100000001</v>
      </c>
      <c r="AF273" s="702">
        <f t="shared" si="312"/>
        <v>3.9782329159999996</v>
      </c>
      <c r="AG273" s="702">
        <f t="shared" si="312"/>
        <v>4.2620249789999995</v>
      </c>
      <c r="AH273" s="702">
        <f t="shared" si="312"/>
        <v>4.8160401969999995</v>
      </c>
      <c r="AI273" s="702">
        <f t="shared" si="312"/>
        <v>4.8796215109999999</v>
      </c>
      <c r="AJ273" s="702">
        <f t="shared" si="312"/>
        <v>6.5179636090000006</v>
      </c>
      <c r="AK273" s="702">
        <f t="shared" si="312"/>
        <v>7.4086207989999995</v>
      </c>
      <c r="AL273" s="702">
        <f t="shared" si="312"/>
        <v>8.8596761290000003</v>
      </c>
      <c r="AM273" s="702">
        <f t="shared" si="312"/>
        <v>9.9780485419999998</v>
      </c>
      <c r="AN273" s="702">
        <f t="shared" si="312"/>
        <v>12.40008048</v>
      </c>
      <c r="AO273" s="702">
        <f t="shared" si="312"/>
        <v>13.476785095</v>
      </c>
      <c r="AP273" s="702">
        <f t="shared" si="312"/>
        <v>13.372358483999999</v>
      </c>
      <c r="AQ273" s="702">
        <f t="shared" si="312"/>
        <v>14.456749066066894</v>
      </c>
      <c r="AR273" s="702">
        <f t="shared" si="312"/>
        <v>14.980926754383484</v>
      </c>
      <c r="AS273" s="702">
        <f t="shared" si="312"/>
        <v>15.865526836177382</v>
      </c>
      <c r="AT273" s="702">
        <f t="shared" si="312"/>
        <v>16.455129660651398</v>
      </c>
      <c r="AU273" s="702">
        <f t="shared" si="312"/>
        <v>16.81091409983723</v>
      </c>
      <c r="AV273" s="702">
        <f t="shared" si="312"/>
        <v>17.287071864591866</v>
      </c>
      <c r="AW273" s="702">
        <f t="shared" si="312"/>
        <v>17.521900027318861</v>
      </c>
      <c r="AX273" s="702">
        <f t="shared" si="312"/>
        <v>17.768904469660054</v>
      </c>
      <c r="AY273" s="702">
        <f t="shared" si="312"/>
        <v>18.021688329509896</v>
      </c>
      <c r="AZ273" s="702">
        <f t="shared" si="312"/>
        <v>18.274183690158196</v>
      </c>
      <c r="BA273" s="702">
        <f t="shared" si="312"/>
        <v>18.527231505294377</v>
      </c>
      <c r="BB273" s="702">
        <f t="shared" si="312"/>
        <v>18.777523125271653</v>
      </c>
      <c r="BC273" s="702">
        <f t="shared" si="312"/>
        <v>19.041962949981162</v>
      </c>
      <c r="BD273" s="702">
        <f t="shared" si="312"/>
        <v>19.311103642280269</v>
      </c>
      <c r="BE273" s="702">
        <f t="shared" si="312"/>
        <v>19.559058236183553</v>
      </c>
      <c r="BF273" s="702">
        <f t="shared" si="312"/>
        <v>21.576890461126411</v>
      </c>
      <c r="BG273" s="702">
        <f t="shared" si="312"/>
        <v>21.961726071574333</v>
      </c>
      <c r="BH273" s="702">
        <f t="shared" si="312"/>
        <v>21.952719199951048</v>
      </c>
      <c r="BI273" s="702">
        <f t="shared" si="312"/>
        <v>21.914175648222795</v>
      </c>
      <c r="BJ273" s="702">
        <f t="shared" si="312"/>
        <v>21.881105645364734</v>
      </c>
      <c r="BK273" s="702">
        <f t="shared" si="312"/>
        <v>21.854038242811271</v>
      </c>
      <c r="BL273" s="702">
        <f t="shared" si="312"/>
        <v>21.829446534092646</v>
      </c>
      <c r="BM273" s="702">
        <f t="shared" si="312"/>
        <v>21.803969206200399</v>
      </c>
      <c r="BN273" s="702">
        <f t="shared" si="312"/>
        <v>21.789999159970726</v>
      </c>
      <c r="BO273" s="702">
        <f t="shared" si="312"/>
        <v>21.792494701659422</v>
      </c>
      <c r="BP273" s="702">
        <f t="shared" si="312"/>
        <v>21.808726455419194</v>
      </c>
      <c r="BQ273" s="702">
        <f t="shared" si="312"/>
        <v>21.829224468145689</v>
      </c>
      <c r="BR273" s="702">
        <f t="shared" si="312"/>
        <v>22.176790587779809</v>
      </c>
      <c r="BS273" s="702">
        <f t="shared" si="312"/>
        <v>22.583852485430562</v>
      </c>
      <c r="BT273" s="702">
        <f t="shared" si="312"/>
        <v>22.986470429210492</v>
      </c>
      <c r="BU273" s="702">
        <f t="shared" si="312"/>
        <v>23.379301055694974</v>
      </c>
      <c r="BV273" s="702">
        <f t="shared" si="312"/>
        <v>23.763684683284627</v>
      </c>
      <c r="BW273" s="702">
        <f t="shared" si="312"/>
        <v>24.138176355146072</v>
      </c>
      <c r="BX273" s="702">
        <f t="shared" si="312"/>
        <v>24.506031494815353</v>
      </c>
      <c r="BY273" s="702">
        <f t="shared" si="312"/>
        <v>24.867590430279556</v>
      </c>
      <c r="BZ273" s="702">
        <f t="shared" si="312"/>
        <v>25.227259743183211</v>
      </c>
      <c r="CA273" s="702">
        <f t="shared" si="312"/>
        <v>25.58657003490821</v>
      </c>
      <c r="CB273" s="702">
        <f t="shared" si="312"/>
        <v>25.947713658792892</v>
      </c>
      <c r="CC273" s="702">
        <f t="shared" si="312"/>
        <v>26.310476545141903</v>
      </c>
      <c r="CD273" s="702">
        <f t="shared" si="312"/>
        <v>26.740592403871382</v>
      </c>
      <c r="CE273" s="702">
        <f t="shared" si="312"/>
        <v>27.184228283220826</v>
      </c>
      <c r="CF273" s="702">
        <f t="shared" si="312"/>
        <v>27.628022296359752</v>
      </c>
      <c r="CG273" s="702">
        <f t="shared" si="312"/>
        <v>28.070614452658575</v>
      </c>
      <c r="CH273" s="702">
        <f t="shared" si="312"/>
        <v>28.511816346161243</v>
      </c>
      <c r="CI273" s="702">
        <f t="shared" si="312"/>
        <v>28.951646921689765</v>
      </c>
      <c r="CJ273" s="702">
        <f t="shared" si="312"/>
        <v>29.39014667417479</v>
      </c>
      <c r="CK273" s="702">
        <f t="shared" si="312"/>
        <v>29.827436302888906</v>
      </c>
      <c r="CL273" s="702">
        <f>CL277+CL279</f>
        <v>30.264131973882002</v>
      </c>
      <c r="CM273" s="702">
        <f>CM277+CM279</f>
        <v>30.700600904436705</v>
      </c>
      <c r="CN273" s="702">
        <f>CN277+CN279</f>
        <v>31.137343595574173</v>
      </c>
      <c r="CO273" s="702">
        <f>CO277+CO279</f>
        <v>31.574361738919869</v>
      </c>
      <c r="CP273" s="702">
        <f t="shared" ref="CP273:CW273" si="313">CP277+CP279</f>
        <v>32.091016360952509</v>
      </c>
      <c r="CQ273" s="702">
        <f t="shared" si="313"/>
        <v>32.623107170304721</v>
      </c>
      <c r="CR273" s="702">
        <f t="shared" si="313"/>
        <v>33.155031625553484</v>
      </c>
      <c r="CS273" s="702">
        <f t="shared" si="313"/>
        <v>33.685427644186191</v>
      </c>
      <c r="CT273" s="702">
        <f t="shared" si="313"/>
        <v>34.214314790935141</v>
      </c>
      <c r="CU273" s="702">
        <f t="shared" si="313"/>
        <v>34.741775241905785</v>
      </c>
      <c r="CV273" s="702">
        <f t="shared" si="313"/>
        <v>35.267856207032658</v>
      </c>
      <c r="CW273" s="702">
        <f t="shared" si="313"/>
        <v>35.792620184708198</v>
      </c>
      <c r="CX273" s="702">
        <f>CX277+CX279</f>
        <v>36.316736363877872</v>
      </c>
      <c r="CY273" s="702">
        <f>CY277+CY279</f>
        <v>36.840597040393156</v>
      </c>
      <c r="CZ273" s="702">
        <f>CZ277+CZ279</f>
        <v>37.364771711798831</v>
      </c>
      <c r="DA273" s="702">
        <f>DA277+DA279</f>
        <v>37.889249289362681</v>
      </c>
      <c r="DC273" s="12">
        <f t="shared" ref="DC273:DC300" si="314">SUM(V273:AG273)</f>
        <v>23.485273528</v>
      </c>
      <c r="DD273" s="12">
        <f t="shared" ref="DD273:DD292" si="315">SUM(AH273:AS273)</f>
        <v>127.01239750262776</v>
      </c>
      <c r="DE273" s="12">
        <f t="shared" ref="DE273:DE292" si="316">SUM(AT273:BE273)</f>
        <v>217.35667160073851</v>
      </c>
      <c r="DF273" s="12">
        <f>SUM(BF273:BQ273)</f>
        <v>261.9945157945387</v>
      </c>
      <c r="DG273" s="12">
        <f>SUM(BR273:CC273)</f>
        <v>291.47391750366768</v>
      </c>
      <c r="DH273" s="12">
        <f t="shared" ref="DH273:DH300" si="317">SUM(CD273:CO273)</f>
        <v>349.98094189383801</v>
      </c>
      <c r="DI273" s="12">
        <f>SUM(CP273:DA273)</f>
        <v>419.98250363101118</v>
      </c>
    </row>
    <row r="274" spans="2:113" outlineLevel="2">
      <c r="E274" s="698"/>
      <c r="F274" s="12" t="s">
        <v>99</v>
      </c>
      <c r="I274" s="609" t="s">
        <v>736</v>
      </c>
      <c r="Q274" s="12"/>
      <c r="R274" s="12"/>
      <c r="S274" s="12"/>
      <c r="T274" s="12"/>
      <c r="U274" s="12"/>
      <c r="V274" s="12"/>
      <c r="W274" s="12"/>
      <c r="X274" s="12"/>
      <c r="Y274" s="12"/>
      <c r="Z274" s="702">
        <f t="shared" ref="Z274:CK274" si="318">Z278</f>
        <v>-1.7390045E-2</v>
      </c>
      <c r="AA274" s="702">
        <f t="shared" si="318"/>
        <v>-9.0590026000000004E-2</v>
      </c>
      <c r="AB274" s="702">
        <f t="shared" si="318"/>
        <v>-0.155919592</v>
      </c>
      <c r="AC274" s="702">
        <f t="shared" si="318"/>
        <v>-0.167488519904292</v>
      </c>
      <c r="AD274" s="702">
        <f t="shared" si="318"/>
        <v>-0.153780208</v>
      </c>
      <c r="AE274" s="702">
        <f t="shared" si="318"/>
        <v>-0.19723174299999999</v>
      </c>
      <c r="AF274" s="702">
        <f t="shared" si="318"/>
        <v>-0.20266520900000001</v>
      </c>
      <c r="AG274" s="702">
        <f t="shared" si="318"/>
        <v>-0.2329737536032</v>
      </c>
      <c r="AH274" s="702">
        <f t="shared" si="318"/>
        <v>-0.246147858</v>
      </c>
      <c r="AI274" s="702">
        <f t="shared" si="318"/>
        <v>-0.25938705643799503</v>
      </c>
      <c r="AJ274" s="702">
        <f t="shared" si="318"/>
        <v>-0.28109706500000003</v>
      </c>
      <c r="AK274" s="702">
        <f t="shared" si="318"/>
        <v>-0.30721334</v>
      </c>
      <c r="AL274" s="702">
        <f t="shared" si="318"/>
        <v>-0.38316072600000001</v>
      </c>
      <c r="AM274" s="702">
        <f t="shared" si="318"/>
        <v>-0.43385794699999997</v>
      </c>
      <c r="AN274" s="702">
        <f t="shared" si="318"/>
        <v>-0.53723725199999994</v>
      </c>
      <c r="AO274" s="702">
        <f t="shared" si="318"/>
        <v>-0.58240060299999996</v>
      </c>
      <c r="AP274" s="702">
        <f t="shared" si="318"/>
        <v>-0.54258899199999999</v>
      </c>
      <c r="AQ274" s="702">
        <f>AQ278</f>
        <v>-0.60307943199999992</v>
      </c>
      <c r="AR274" s="702">
        <f t="shared" si="318"/>
        <v>-0.63926095981834441</v>
      </c>
      <c r="AS274" s="702">
        <f t="shared" si="318"/>
        <v>-0.66107571009190924</v>
      </c>
      <c r="AT274" s="702">
        <f t="shared" si="318"/>
        <v>-0.65655864736769665</v>
      </c>
      <c r="AU274" s="702">
        <f t="shared" si="318"/>
        <v>-0.66577507523665225</v>
      </c>
      <c r="AV274" s="702">
        <f t="shared" si="318"/>
        <v>-0.70440615964139985</v>
      </c>
      <c r="AW274" s="702">
        <f t="shared" si="318"/>
        <v>-0.71490868406789299</v>
      </c>
      <c r="AX274" s="702">
        <f t="shared" si="318"/>
        <v>-0.72530086261892002</v>
      </c>
      <c r="AY274" s="702">
        <f t="shared" si="318"/>
        <v>-0.73615320046400023</v>
      </c>
      <c r="AZ274" s="702">
        <f t="shared" si="318"/>
        <v>-0.74807477230169495</v>
      </c>
      <c r="BA274" s="702">
        <f t="shared" si="318"/>
        <v>-0.75941301483998735</v>
      </c>
      <c r="BB274" s="702">
        <f t="shared" si="318"/>
        <v>-0.77028130542256112</v>
      </c>
      <c r="BC274" s="702">
        <f t="shared" si="318"/>
        <v>-0.78045222718560325</v>
      </c>
      <c r="BD274" s="702">
        <f t="shared" si="318"/>
        <v>-0.79056626632761773</v>
      </c>
      <c r="BE274" s="702">
        <f t="shared" si="318"/>
        <v>-0.7998956196808914</v>
      </c>
      <c r="BF274" s="702">
        <f t="shared" si="318"/>
        <v>-0.84580939561948831</v>
      </c>
      <c r="BG274" s="702">
        <f t="shared" si="318"/>
        <v>-0.89188070491278193</v>
      </c>
      <c r="BH274" s="702">
        <f t="shared" si="318"/>
        <v>-0.89573220457611702</v>
      </c>
      <c r="BI274" s="702">
        <f t="shared" si="318"/>
        <v>-0.89561400309753669</v>
      </c>
      <c r="BJ274" s="702">
        <f t="shared" si="318"/>
        <v>-0.89531923585173401</v>
      </c>
      <c r="BK274" s="702">
        <f t="shared" si="318"/>
        <v>-0.8949988770347872</v>
      </c>
      <c r="BL274" s="702">
        <f t="shared" si="318"/>
        <v>-0.89550902226897777</v>
      </c>
      <c r="BM274" s="702">
        <f t="shared" si="318"/>
        <v>-0.89610649612068671</v>
      </c>
      <c r="BN274" s="702">
        <f t="shared" si="318"/>
        <v>-0.89428761545155566</v>
      </c>
      <c r="BO274" s="702">
        <f t="shared" si="318"/>
        <v>-0.89241582395922581</v>
      </c>
      <c r="BP274" s="702">
        <f t="shared" si="318"/>
        <v>-0.89236239381827465</v>
      </c>
      <c r="BQ274" s="702">
        <f t="shared" si="318"/>
        <v>-0.89250574336745014</v>
      </c>
      <c r="BR274" s="702">
        <f t="shared" si="318"/>
        <v>-0.89982876477508189</v>
      </c>
      <c r="BS274" s="702">
        <f t="shared" si="318"/>
        <v>-0.9147922574786983</v>
      </c>
      <c r="BT274" s="702">
        <f t="shared" si="318"/>
        <v>-0.93022130089306232</v>
      </c>
      <c r="BU274" s="702">
        <f t="shared" si="318"/>
        <v>-0.94587753224853521</v>
      </c>
      <c r="BV274" s="702">
        <f t="shared" si="318"/>
        <v>-0.96156386593845589</v>
      </c>
      <c r="BW274" s="702">
        <f t="shared" si="318"/>
        <v>-0.97716753078485941</v>
      </c>
      <c r="BX274" s="702">
        <f t="shared" si="318"/>
        <v>-0.99268872850370082</v>
      </c>
      <c r="BY274" s="702">
        <f t="shared" si="318"/>
        <v>-1.0080039921806319</v>
      </c>
      <c r="BZ274" s="702">
        <f t="shared" si="318"/>
        <v>-1.0230331841815723</v>
      </c>
      <c r="CA274" s="702">
        <f t="shared" si="318"/>
        <v>-1.0377798121023121</v>
      </c>
      <c r="CB274" s="702">
        <f t="shared" si="318"/>
        <v>-1.0525311534568367</v>
      </c>
      <c r="CC274" s="702">
        <f t="shared" si="318"/>
        <v>-1.0673101549216375</v>
      </c>
      <c r="CD274" s="702">
        <f t="shared" si="318"/>
        <v>-1.0835220502505427</v>
      </c>
      <c r="CE274" s="702">
        <f t="shared" si="318"/>
        <v>-1.1012988082230801</v>
      </c>
      <c r="CF274" s="702">
        <f t="shared" si="318"/>
        <v>-1.1192434465121721</v>
      </c>
      <c r="CG274" s="702">
        <f t="shared" si="318"/>
        <v>-1.1372190691267032</v>
      </c>
      <c r="CH274" s="702">
        <f t="shared" si="318"/>
        <v>-1.1552108958985172</v>
      </c>
      <c r="CI274" s="702">
        <f t="shared" si="318"/>
        <v>-1.1732070733518334</v>
      </c>
      <c r="CJ274" s="702">
        <f t="shared" si="318"/>
        <v>-1.1911965445797719</v>
      </c>
      <c r="CK274" s="702">
        <f t="shared" si="318"/>
        <v>-1.2091796092560017</v>
      </c>
      <c r="CL274" s="702">
        <f>CL278</f>
        <v>-1.2271021082592417</v>
      </c>
      <c r="CM274" s="702">
        <f>CM278</f>
        <v>-1.2449614483412206</v>
      </c>
      <c r="CN274" s="702">
        <f>CN278</f>
        <v>-1.2628167492916358</v>
      </c>
      <c r="CO274" s="702">
        <f>CO278</f>
        <v>-1.2806757360339371</v>
      </c>
      <c r="CP274" s="702">
        <f t="shared" ref="CP274:CW274" si="319">CP278</f>
        <v>-1.3002172244670387</v>
      </c>
      <c r="CQ274" s="702">
        <f t="shared" si="319"/>
        <v>-1.321600883038595</v>
      </c>
      <c r="CR274" s="702">
        <f t="shared" si="319"/>
        <v>-1.3431560032885557</v>
      </c>
      <c r="CS274" s="702">
        <f t="shared" si="319"/>
        <v>-1.3647230686044367</v>
      </c>
      <c r="CT274" s="702">
        <f t="shared" si="319"/>
        <v>-1.386294500124764</v>
      </c>
      <c r="CU274" s="702">
        <f t="shared" si="319"/>
        <v>-1.4078675196175394</v>
      </c>
      <c r="CV274" s="702">
        <f t="shared" si="319"/>
        <v>-1.4294396158962419</v>
      </c>
      <c r="CW274" s="702">
        <f t="shared" si="319"/>
        <v>-1.4510106351056991</v>
      </c>
      <c r="CX274" s="702">
        <f>CX278</f>
        <v>-1.4725141322808513</v>
      </c>
      <c r="CY274" s="702">
        <f>CY278</f>
        <v>-1.4939453350397762</v>
      </c>
      <c r="CZ274" s="702">
        <f>CZ278</f>
        <v>-1.5153736676936089</v>
      </c>
      <c r="DA274" s="702">
        <f>DA278</f>
        <v>-1.536807170491765</v>
      </c>
      <c r="DC274" s="12">
        <f t="shared" si="314"/>
        <v>-1.2180390965074921</v>
      </c>
      <c r="DD274" s="12">
        <f t="shared" si="315"/>
        <v>-5.4765069413482479</v>
      </c>
      <c r="DE274" s="12">
        <f t="shared" si="316"/>
        <v>-8.8517858351549155</v>
      </c>
      <c r="DF274" s="12">
        <f>SUM(BF274:BQ274)</f>
        <v>-10.682541516078615</v>
      </c>
      <c r="DG274" s="12">
        <f t="shared" ref="DG274:DG300" si="320">SUM(BR274:CC274)</f>
        <v>-11.810798277465386</v>
      </c>
      <c r="DH274" s="12">
        <f t="shared" si="317"/>
        <v>-14.185633539124657</v>
      </c>
      <c r="DI274" s="12">
        <f t="shared" ref="DI274:DI302" si="321">SUM(CP274:DA274)</f>
        <v>-17.02294975564887</v>
      </c>
    </row>
    <row r="275" spans="2:113" s="698" customFormat="1" outlineLevel="2">
      <c r="B275" s="126"/>
      <c r="E275" s="698" t="s">
        <v>217</v>
      </c>
      <c r="H275" s="703"/>
      <c r="I275" s="609" t="s">
        <v>736</v>
      </c>
      <c r="J275" s="703"/>
      <c r="K275" s="703"/>
      <c r="L275" s="703"/>
      <c r="M275" s="703"/>
      <c r="Q275" s="704"/>
      <c r="R275" s="704"/>
      <c r="S275" s="704"/>
      <c r="T275" s="704"/>
      <c r="U275" s="704"/>
      <c r="V275" s="704"/>
      <c r="W275" s="704"/>
      <c r="X275" s="704"/>
      <c r="Y275" s="704"/>
      <c r="Z275" s="705">
        <f>Z276+Z279</f>
        <v>0.95072860000000003</v>
      </c>
      <c r="AA275" s="705">
        <f t="shared" ref="AA275:CL275" si="322">AA276+AA279</f>
        <v>2.1253159780000002</v>
      </c>
      <c r="AB275" s="705">
        <f t="shared" si="322"/>
        <v>2.695147736</v>
      </c>
      <c r="AC275" s="705">
        <f t="shared" si="322"/>
        <v>2.522703115095708</v>
      </c>
      <c r="AD275" s="705">
        <f t="shared" si="322"/>
        <v>2.597745803</v>
      </c>
      <c r="AE275" s="705">
        <f t="shared" si="322"/>
        <v>3.5709742670000004</v>
      </c>
      <c r="AF275" s="705">
        <f t="shared" si="322"/>
        <v>3.7755677069999996</v>
      </c>
      <c r="AG275" s="705">
        <f t="shared" si="322"/>
        <v>4.0290512253967998</v>
      </c>
      <c r="AH275" s="705">
        <f t="shared" si="322"/>
        <v>4.5698923389999999</v>
      </c>
      <c r="AI275" s="705">
        <f t="shared" si="322"/>
        <v>4.6202344545620049</v>
      </c>
      <c r="AJ275" s="705">
        <f t="shared" si="322"/>
        <v>6.2368665439999997</v>
      </c>
      <c r="AK275" s="705">
        <f t="shared" si="322"/>
        <v>7.1014074589999998</v>
      </c>
      <c r="AL275" s="705">
        <f t="shared" si="322"/>
        <v>8.4765154030000005</v>
      </c>
      <c r="AM275" s="705">
        <f t="shared" si="322"/>
        <v>9.5441905949999999</v>
      </c>
      <c r="AN275" s="705">
        <f t="shared" si="322"/>
        <v>11.862843228000001</v>
      </c>
      <c r="AO275" s="705">
        <f t="shared" si="322"/>
        <v>12.894384492</v>
      </c>
      <c r="AP275" s="705">
        <f t="shared" si="322"/>
        <v>12.829769492</v>
      </c>
      <c r="AQ275" s="705">
        <f t="shared" si="322"/>
        <v>13.853669634066895</v>
      </c>
      <c r="AR275" s="705">
        <f t="shared" si="322"/>
        <v>14.34166579456514</v>
      </c>
      <c r="AS275" s="705">
        <f t="shared" si="322"/>
        <v>15.204451126085473</v>
      </c>
      <c r="AT275" s="705">
        <f t="shared" si="322"/>
        <v>15.7985710132837</v>
      </c>
      <c r="AU275" s="705">
        <f t="shared" si="322"/>
        <v>16.145139024600578</v>
      </c>
      <c r="AV275" s="705">
        <f t="shared" si="322"/>
        <v>16.582665704950465</v>
      </c>
      <c r="AW275" s="705">
        <f t="shared" si="322"/>
        <v>16.806991343250967</v>
      </c>
      <c r="AX275" s="705">
        <f t="shared" si="322"/>
        <v>17.043603607041135</v>
      </c>
      <c r="AY275" s="705">
        <f t="shared" si="322"/>
        <v>17.285535129045897</v>
      </c>
      <c r="AZ275" s="705">
        <f t="shared" si="322"/>
        <v>17.526108917856501</v>
      </c>
      <c r="BA275" s="705">
        <f t="shared" si="322"/>
        <v>17.767818490454392</v>
      </c>
      <c r="BB275" s="705">
        <f t="shared" si="322"/>
        <v>18.007241819849092</v>
      </c>
      <c r="BC275" s="705">
        <f t="shared" si="322"/>
        <v>18.261510722795556</v>
      </c>
      <c r="BD275" s="705">
        <f t="shared" si="322"/>
        <v>18.520537375952653</v>
      </c>
      <c r="BE275" s="705">
        <f t="shared" si="322"/>
        <v>18.759162616502664</v>
      </c>
      <c r="BF275" s="705">
        <f t="shared" si="322"/>
        <v>20.73108106550692</v>
      </c>
      <c r="BG275" s="705">
        <f t="shared" si="322"/>
        <v>21.06984536666155</v>
      </c>
      <c r="BH275" s="705">
        <f t="shared" si="322"/>
        <v>21.056986995374931</v>
      </c>
      <c r="BI275" s="705">
        <f t="shared" si="322"/>
        <v>21.01856164512526</v>
      </c>
      <c r="BJ275" s="705">
        <f t="shared" si="322"/>
        <v>20.985786409513</v>
      </c>
      <c r="BK275" s="705">
        <f t="shared" si="322"/>
        <v>20.959039365776484</v>
      </c>
      <c r="BL275" s="705">
        <f t="shared" si="322"/>
        <v>20.933937511823668</v>
      </c>
      <c r="BM275" s="705">
        <f t="shared" si="322"/>
        <v>20.907862710079712</v>
      </c>
      <c r="BN275" s="705">
        <f t="shared" si="322"/>
        <v>20.895711544519173</v>
      </c>
      <c r="BO275" s="705">
        <f t="shared" si="322"/>
        <v>20.900078877700196</v>
      </c>
      <c r="BP275" s="705">
        <f t="shared" si="322"/>
        <v>20.91636406160092</v>
      </c>
      <c r="BQ275" s="705">
        <f t="shared" si="322"/>
        <v>20.936718724778238</v>
      </c>
      <c r="BR275" s="705">
        <f t="shared" si="322"/>
        <v>21.276961823004726</v>
      </c>
      <c r="BS275" s="705">
        <f t="shared" si="322"/>
        <v>21.669060227951864</v>
      </c>
      <c r="BT275" s="705">
        <f t="shared" si="322"/>
        <v>22.056249128317429</v>
      </c>
      <c r="BU275" s="705">
        <f t="shared" si="322"/>
        <v>22.433423523446439</v>
      </c>
      <c r="BV275" s="705">
        <f t="shared" si="322"/>
        <v>22.802120817346172</v>
      </c>
      <c r="BW275" s="705">
        <f t="shared" si="322"/>
        <v>23.161008824361211</v>
      </c>
      <c r="BX275" s="705">
        <f t="shared" si="322"/>
        <v>23.513342766311652</v>
      </c>
      <c r="BY275" s="705">
        <f t="shared" si="322"/>
        <v>23.859586438098923</v>
      </c>
      <c r="BZ275" s="705">
        <f t="shared" si="322"/>
        <v>24.20422655900164</v>
      </c>
      <c r="CA275" s="705">
        <f t="shared" si="322"/>
        <v>24.548790222805899</v>
      </c>
      <c r="CB275" s="705">
        <f t="shared" si="322"/>
        <v>24.895182505336056</v>
      </c>
      <c r="CC275" s="705">
        <f t="shared" si="322"/>
        <v>25.243166390220264</v>
      </c>
      <c r="CD275" s="705">
        <f t="shared" si="322"/>
        <v>25.657070353620838</v>
      </c>
      <c r="CE275" s="705">
        <f t="shared" si="322"/>
        <v>26.082929474997748</v>
      </c>
      <c r="CF275" s="705">
        <f t="shared" si="322"/>
        <v>26.50877884984758</v>
      </c>
      <c r="CG275" s="705">
        <f t="shared" si="322"/>
        <v>26.93339538353187</v>
      </c>
      <c r="CH275" s="705">
        <f t="shared" si="322"/>
        <v>27.356605450262727</v>
      </c>
      <c r="CI275" s="705">
        <f t="shared" si="322"/>
        <v>27.778439848337932</v>
      </c>
      <c r="CJ275" s="705">
        <f t="shared" si="322"/>
        <v>28.198950129595019</v>
      </c>
      <c r="CK275" s="705">
        <f t="shared" si="322"/>
        <v>28.618256693632908</v>
      </c>
      <c r="CL275" s="705">
        <f t="shared" si="322"/>
        <v>29.037029865622756</v>
      </c>
      <c r="CM275" s="705">
        <f>CM276+CM279</f>
        <v>29.455639456095486</v>
      </c>
      <c r="CN275" s="705">
        <f>CN276+CN279</f>
        <v>29.874526846282535</v>
      </c>
      <c r="CO275" s="705">
        <f>CO276+CO279</f>
        <v>30.293686002885934</v>
      </c>
      <c r="CP275" s="705">
        <f t="shared" ref="CP275:CX275" si="323">CP276+CP279</f>
        <v>30.790799136485468</v>
      </c>
      <c r="CQ275" s="705">
        <f t="shared" si="323"/>
        <v>31.301506287266122</v>
      </c>
      <c r="CR275" s="705">
        <f t="shared" si="323"/>
        <v>31.811875622264928</v>
      </c>
      <c r="CS275" s="705">
        <f t="shared" si="323"/>
        <v>32.320704575581757</v>
      </c>
      <c r="CT275" s="705">
        <f t="shared" si="323"/>
        <v>32.828020290810372</v>
      </c>
      <c r="CU275" s="705">
        <f t="shared" si="323"/>
        <v>33.333907722288245</v>
      </c>
      <c r="CV275" s="705">
        <f t="shared" si="323"/>
        <v>33.838416591136415</v>
      </c>
      <c r="CW275" s="705">
        <f t="shared" si="323"/>
        <v>34.341609549602502</v>
      </c>
      <c r="CX275" s="705">
        <f t="shared" si="323"/>
        <v>34.844222231597023</v>
      </c>
      <c r="CY275" s="705">
        <f>CY276+CY279</f>
        <v>35.346651705353381</v>
      </c>
      <c r="CZ275" s="705">
        <f>CZ276+CZ279</f>
        <v>35.849398044105222</v>
      </c>
      <c r="DA275" s="705">
        <f>DA276+DA279</f>
        <v>36.352442118870911</v>
      </c>
      <c r="DC275" s="14">
        <f t="shared" si="314"/>
        <v>22.267234431492508</v>
      </c>
      <c r="DD275" s="14">
        <f t="shared" si="315"/>
        <v>121.53589056127952</v>
      </c>
      <c r="DE275" s="14">
        <f t="shared" si="316"/>
        <v>208.50488576558359</v>
      </c>
      <c r="DF275" s="14">
        <f>SUM(BF275:BQ275)</f>
        <v>251.31197427846004</v>
      </c>
      <c r="DG275" s="14">
        <f t="shared" si="320"/>
        <v>279.66311922620224</v>
      </c>
      <c r="DH275" s="14">
        <f t="shared" si="317"/>
        <v>335.79530835471331</v>
      </c>
      <c r="DI275" s="14">
        <f t="shared" si="321"/>
        <v>402.95955387536236</v>
      </c>
    </row>
    <row r="276" spans="2:113" s="698" customFormat="1" outlineLevel="2">
      <c r="B276" s="126"/>
      <c r="F276" s="14" t="s">
        <v>218</v>
      </c>
      <c r="H276" s="703"/>
      <c r="I276" s="609" t="s">
        <v>736</v>
      </c>
      <c r="J276" s="703"/>
      <c r="K276" s="703"/>
      <c r="L276" s="703"/>
      <c r="M276" s="703"/>
      <c r="Q276" s="14"/>
      <c r="R276" s="14"/>
      <c r="S276" s="14"/>
      <c r="T276" s="14"/>
      <c r="U276" s="14"/>
      <c r="V276" s="14"/>
      <c r="W276" s="14"/>
      <c r="X276" s="14"/>
      <c r="Y276" s="14"/>
      <c r="Z276" s="708">
        <f>Z277+Z278</f>
        <v>0.1663926</v>
      </c>
      <c r="AA276" s="708">
        <f t="shared" ref="AA276:CL276" si="324">AA277+AA278</f>
        <v>0.58713415899999999</v>
      </c>
      <c r="AB276" s="708">
        <f t="shared" si="324"/>
        <v>0.89792315699999992</v>
      </c>
      <c r="AC276" s="708">
        <f t="shared" si="324"/>
        <v>0.86661931709570805</v>
      </c>
      <c r="AD276" s="708">
        <f t="shared" si="324"/>
        <v>0.86213545899999999</v>
      </c>
      <c r="AE276" s="708">
        <f t="shared" si="324"/>
        <v>1.186721863</v>
      </c>
      <c r="AF276" s="708">
        <f t="shared" si="324"/>
        <v>1.1919824539999999</v>
      </c>
      <c r="AG276" s="708">
        <f t="shared" si="324"/>
        <v>1.3907957543968001</v>
      </c>
      <c r="AH276" s="708">
        <f t="shared" si="324"/>
        <v>1.532902153</v>
      </c>
      <c r="AI276" s="708">
        <f t="shared" si="324"/>
        <v>1.6033202895620051</v>
      </c>
      <c r="AJ276" s="708">
        <f t="shared" si="324"/>
        <v>2.1088155</v>
      </c>
      <c r="AK276" s="708">
        <f t="shared" si="324"/>
        <v>2.4331187549999997</v>
      </c>
      <c r="AL276" s="708">
        <f t="shared" si="324"/>
        <v>3.0123105110000004</v>
      </c>
      <c r="AM276" s="708">
        <f t="shared" si="324"/>
        <v>3.1193053760000002</v>
      </c>
      <c r="AN276" s="708">
        <f t="shared" si="324"/>
        <v>4.0114291940000006</v>
      </c>
      <c r="AO276" s="708">
        <f t="shared" si="324"/>
        <v>4.3736562829999999</v>
      </c>
      <c r="AP276" s="708">
        <f t="shared" si="324"/>
        <v>4.5198020410000002</v>
      </c>
      <c r="AQ276" s="708">
        <f t="shared" si="324"/>
        <v>4.7719636340668945</v>
      </c>
      <c r="AR276" s="708">
        <f t="shared" si="324"/>
        <v>4.7536657945651406</v>
      </c>
      <c r="AS276" s="708">
        <f t="shared" si="324"/>
        <v>4.9364511260854744</v>
      </c>
      <c r="AT276" s="708">
        <f t="shared" si="324"/>
        <v>5.3594376799503678</v>
      </c>
      <c r="AU276" s="708">
        <f t="shared" si="324"/>
        <v>5.5348723579339136</v>
      </c>
      <c r="AV276" s="708">
        <f t="shared" si="324"/>
        <v>5.8012657049504668</v>
      </c>
      <c r="AW276" s="708">
        <f t="shared" si="324"/>
        <v>5.8544580099176367</v>
      </c>
      <c r="AX276" s="708">
        <f t="shared" si="324"/>
        <v>5.9199369403744697</v>
      </c>
      <c r="AY276" s="708">
        <f t="shared" si="324"/>
        <v>5.9907351290459019</v>
      </c>
      <c r="AZ276" s="708">
        <f t="shared" si="324"/>
        <v>6.0601755845231722</v>
      </c>
      <c r="BA276" s="708">
        <f t="shared" si="324"/>
        <v>6.1307518237877288</v>
      </c>
      <c r="BB276" s="708">
        <f t="shared" si="324"/>
        <v>6.1990418198490991</v>
      </c>
      <c r="BC276" s="708">
        <f t="shared" si="324"/>
        <v>6.2821773894622304</v>
      </c>
      <c r="BD276" s="708">
        <f t="shared" si="324"/>
        <v>6.3700707092859945</v>
      </c>
      <c r="BE276" s="708">
        <f t="shared" si="324"/>
        <v>6.4375626165026638</v>
      </c>
      <c r="BF276" s="708">
        <f t="shared" si="324"/>
        <v>7.0404143988402526</v>
      </c>
      <c r="BG276" s="708">
        <f t="shared" si="324"/>
        <v>7.3791786999948803</v>
      </c>
      <c r="BH276" s="708">
        <f t="shared" si="324"/>
        <v>7.3663203287082624</v>
      </c>
      <c r="BI276" s="708">
        <f t="shared" si="324"/>
        <v>7.3278949784585912</v>
      </c>
      <c r="BJ276" s="708">
        <f t="shared" si="324"/>
        <v>7.2951197428463308</v>
      </c>
      <c r="BK276" s="708">
        <f t="shared" si="324"/>
        <v>7.268372699109813</v>
      </c>
      <c r="BL276" s="708">
        <f t="shared" si="324"/>
        <v>7.2432708451570003</v>
      </c>
      <c r="BM276" s="708">
        <f t="shared" si="324"/>
        <v>7.2171960434130424</v>
      </c>
      <c r="BN276" s="708">
        <f t="shared" si="324"/>
        <v>7.2050448778525036</v>
      </c>
      <c r="BO276" s="708">
        <f t="shared" si="324"/>
        <v>7.2094122110335253</v>
      </c>
      <c r="BP276" s="708">
        <f t="shared" si="324"/>
        <v>7.2256973949342509</v>
      </c>
      <c r="BQ276" s="708">
        <f t="shared" si="324"/>
        <v>7.2460520581115686</v>
      </c>
      <c r="BR276" s="708">
        <f t="shared" si="324"/>
        <v>7.3581173785602836</v>
      </c>
      <c r="BS276" s="708">
        <f t="shared" si="324"/>
        <v>7.5220380057296428</v>
      </c>
      <c r="BT276" s="708">
        <f t="shared" si="324"/>
        <v>7.6810491283174303</v>
      </c>
      <c r="BU276" s="708">
        <f t="shared" si="324"/>
        <v>7.8300457456686656</v>
      </c>
      <c r="BV276" s="708">
        <f t="shared" si="324"/>
        <v>7.9705652617906191</v>
      </c>
      <c r="BW276" s="708">
        <f t="shared" si="324"/>
        <v>8.1012754910278826</v>
      </c>
      <c r="BX276" s="708">
        <f t="shared" si="324"/>
        <v>8.2254316552005466</v>
      </c>
      <c r="BY276" s="708">
        <f t="shared" si="324"/>
        <v>8.3434975492100403</v>
      </c>
      <c r="BZ276" s="708">
        <f t="shared" si="324"/>
        <v>8.4599598923349788</v>
      </c>
      <c r="CA276" s="708">
        <f t="shared" si="324"/>
        <v>8.5763457783614605</v>
      </c>
      <c r="CB276" s="708">
        <f t="shared" si="324"/>
        <v>8.6945602831138409</v>
      </c>
      <c r="CC276" s="708">
        <f t="shared" si="324"/>
        <v>8.8143663902202647</v>
      </c>
      <c r="CD276" s="708">
        <f t="shared" si="324"/>
        <v>8.9544570202875065</v>
      </c>
      <c r="CE276" s="708">
        <f t="shared" si="324"/>
        <v>9.1065028083310828</v>
      </c>
      <c r="CF276" s="708">
        <f t="shared" si="324"/>
        <v>9.2585388498475876</v>
      </c>
      <c r="CG276" s="708">
        <f t="shared" si="324"/>
        <v>9.4093420501985392</v>
      </c>
      <c r="CH276" s="708">
        <f t="shared" si="324"/>
        <v>9.5587387835960662</v>
      </c>
      <c r="CI276" s="708">
        <f t="shared" si="324"/>
        <v>9.7067598483379403</v>
      </c>
      <c r="CJ276" s="708">
        <f t="shared" si="324"/>
        <v>9.8534567962616926</v>
      </c>
      <c r="CK276" s="708">
        <f t="shared" si="324"/>
        <v>9.9989500269662468</v>
      </c>
      <c r="CL276" s="708">
        <f t="shared" si="324"/>
        <v>10.143909865622769</v>
      </c>
      <c r="CM276" s="708">
        <f t="shared" ref="CM276:DA276" si="325">CM277+CM278</f>
        <v>10.288706122762164</v>
      </c>
      <c r="CN276" s="708">
        <f t="shared" si="325"/>
        <v>10.43378017961588</v>
      </c>
      <c r="CO276" s="708">
        <f t="shared" si="325"/>
        <v>10.579126002885936</v>
      </c>
      <c r="CP276" s="708">
        <f t="shared" si="325"/>
        <v>10.747663136485466</v>
      </c>
      <c r="CQ276" s="708">
        <f t="shared" si="325"/>
        <v>10.929794287266121</v>
      </c>
      <c r="CR276" s="708">
        <f t="shared" si="325"/>
        <v>11.111587622264926</v>
      </c>
      <c r="CS276" s="708">
        <f t="shared" si="325"/>
        <v>11.291840575581757</v>
      </c>
      <c r="CT276" s="708">
        <f t="shared" si="325"/>
        <v>11.470580290810375</v>
      </c>
      <c r="CU276" s="708">
        <f t="shared" si="325"/>
        <v>11.647891722288245</v>
      </c>
      <c r="CV276" s="708">
        <f t="shared" si="325"/>
        <v>11.823824591136418</v>
      </c>
      <c r="CW276" s="708">
        <f t="shared" si="325"/>
        <v>11.998441549602505</v>
      </c>
      <c r="CX276" s="708">
        <f t="shared" si="325"/>
        <v>12.172478231597029</v>
      </c>
      <c r="CY276" s="708">
        <f t="shared" si="325"/>
        <v>12.346331705353391</v>
      </c>
      <c r="CZ276" s="708">
        <f t="shared" si="325"/>
        <v>12.520502044105235</v>
      </c>
      <c r="DA276" s="708">
        <f t="shared" si="325"/>
        <v>12.694970118870916</v>
      </c>
      <c r="DC276" s="14">
        <f t="shared" si="314"/>
        <v>7.1497047634925073</v>
      </c>
      <c r="DD276" s="14">
        <f t="shared" si="315"/>
        <v>41.17674065727951</v>
      </c>
      <c r="DE276" s="14">
        <f t="shared" si="316"/>
        <v>71.940485765583645</v>
      </c>
      <c r="DF276" s="14">
        <f t="shared" ref="DF276:DF292" si="326">SUM(BF276:BQ276)</f>
        <v>87.023974278460017</v>
      </c>
      <c r="DG276" s="14">
        <f t="shared" si="320"/>
        <v>97.577252559535651</v>
      </c>
      <c r="DH276" s="14">
        <f t="shared" si="317"/>
        <v>117.2922683547134</v>
      </c>
      <c r="DI276" s="14">
        <f t="shared" si="321"/>
        <v>140.75590587536237</v>
      </c>
    </row>
    <row r="277" spans="2:113" ht="15" outlineLevel="2">
      <c r="F277" s="126" t="s">
        <v>737</v>
      </c>
      <c r="I277" s="609" t="s">
        <v>736</v>
      </c>
      <c r="O277" s="710"/>
      <c r="P277" s="710"/>
      <c r="Q277" s="710"/>
      <c r="R277" s="710"/>
      <c r="S277" s="710"/>
      <c r="T277" s="710"/>
      <c r="U277" s="710"/>
      <c r="V277" s="710"/>
      <c r="W277" s="710"/>
      <c r="X277" s="710"/>
      <c r="Y277" s="710"/>
      <c r="Z277" s="713">
        <v>0.18378264499999999</v>
      </c>
      <c r="AA277" s="713">
        <v>0.67772418499999998</v>
      </c>
      <c r="AB277" s="713">
        <v>1.053842749</v>
      </c>
      <c r="AC277" s="713">
        <v>1.0341078370000001</v>
      </c>
      <c r="AD277" s="713">
        <v>1.015915667</v>
      </c>
      <c r="AE277" s="713">
        <v>1.3839536059999999</v>
      </c>
      <c r="AF277" s="713">
        <v>1.394647663</v>
      </c>
      <c r="AG277" s="713">
        <v>1.6237695080000001</v>
      </c>
      <c r="AH277" s="927">
        <v>1.779050011</v>
      </c>
      <c r="AI277" s="713">
        <v>1.8627073460000001</v>
      </c>
      <c r="AJ277" s="713">
        <v>2.3899125649999999</v>
      </c>
      <c r="AK277" s="713">
        <v>2.7403320949999999</v>
      </c>
      <c r="AL277" s="713">
        <v>3.3954712370000002</v>
      </c>
      <c r="AM277" s="713">
        <v>3.5531633230000002</v>
      </c>
      <c r="AN277" s="713">
        <v>4.5486664460000004</v>
      </c>
      <c r="AO277" s="928">
        <v>4.9560568859999998</v>
      </c>
      <c r="AP277" s="713">
        <v>5.0623910329999999</v>
      </c>
      <c r="AQ277" s="710">
        <v>5.375043066066894</v>
      </c>
      <c r="AR277" s="710">
        <v>5.3929267543834847</v>
      </c>
      <c r="AS277" s="710">
        <v>5.5975268361773836</v>
      </c>
      <c r="AT277" s="710">
        <v>6.0159963273180646</v>
      </c>
      <c r="AU277" s="710">
        <v>6.2006474331705661</v>
      </c>
      <c r="AV277" s="710">
        <v>6.505671864591867</v>
      </c>
      <c r="AW277" s="710">
        <v>6.56936669398553</v>
      </c>
      <c r="AX277" s="710">
        <v>6.6452378029933898</v>
      </c>
      <c r="AY277" s="710">
        <v>6.7268883295099018</v>
      </c>
      <c r="AZ277" s="710">
        <v>6.8082503568248667</v>
      </c>
      <c r="BA277" s="710">
        <v>6.8901648386277161</v>
      </c>
      <c r="BB277" s="710">
        <v>6.9693231252716599</v>
      </c>
      <c r="BC277" s="710">
        <v>7.0626296166478335</v>
      </c>
      <c r="BD277" s="710">
        <v>7.1606369756136123</v>
      </c>
      <c r="BE277" s="710">
        <v>7.2374582361835555</v>
      </c>
      <c r="BF277" s="710">
        <v>7.8862237944597409</v>
      </c>
      <c r="BG277" s="710">
        <v>8.2710594049076622</v>
      </c>
      <c r="BH277" s="710">
        <v>8.2620525332843791</v>
      </c>
      <c r="BI277" s="710">
        <v>8.2235089815561278</v>
      </c>
      <c r="BJ277" s="710">
        <v>8.1904389786980651</v>
      </c>
      <c r="BK277" s="710">
        <v>8.1633715761446002</v>
      </c>
      <c r="BL277" s="710">
        <v>8.1387798674259777</v>
      </c>
      <c r="BM277" s="710">
        <v>8.1133025395337288</v>
      </c>
      <c r="BN277" s="710">
        <v>8.0993324933040594</v>
      </c>
      <c r="BO277" s="710">
        <v>8.1018280349927512</v>
      </c>
      <c r="BP277" s="710">
        <v>8.1180597887525252</v>
      </c>
      <c r="BQ277" s="710">
        <v>8.1385578014790187</v>
      </c>
      <c r="BR277" s="710">
        <v>8.2579461433353654</v>
      </c>
      <c r="BS277" s="710">
        <v>8.436830263208341</v>
      </c>
      <c r="BT277" s="710">
        <v>8.6112704292104922</v>
      </c>
      <c r="BU277" s="710">
        <v>8.7759232779172009</v>
      </c>
      <c r="BV277" s="710">
        <v>8.9321291277290751</v>
      </c>
      <c r="BW277" s="710">
        <v>9.0784430218127419</v>
      </c>
      <c r="BX277" s="710">
        <v>9.2181203837042478</v>
      </c>
      <c r="BY277" s="710">
        <v>9.3515015413906717</v>
      </c>
      <c r="BZ277" s="710">
        <v>9.4829930765165518</v>
      </c>
      <c r="CA277" s="710">
        <v>9.6141255904637717</v>
      </c>
      <c r="CB277" s="710">
        <v>9.7470914365706776</v>
      </c>
      <c r="CC277" s="710">
        <v>9.881676545141902</v>
      </c>
      <c r="CD277" s="710">
        <v>10.03797907053805</v>
      </c>
      <c r="CE277" s="710">
        <v>10.207801616554162</v>
      </c>
      <c r="CF277" s="710">
        <v>10.37778229635976</v>
      </c>
      <c r="CG277" s="710">
        <v>10.546561119325242</v>
      </c>
      <c r="CH277" s="710">
        <v>10.713949679494583</v>
      </c>
      <c r="CI277" s="710">
        <v>10.879966921689773</v>
      </c>
      <c r="CJ277" s="710">
        <v>11.044653340841464</v>
      </c>
      <c r="CK277" s="710">
        <v>11.208129636222248</v>
      </c>
      <c r="CL277" s="710">
        <v>11.371011973882011</v>
      </c>
      <c r="CM277" s="710">
        <v>11.533667571103384</v>
      </c>
      <c r="CN277" s="710">
        <v>11.696596928907516</v>
      </c>
      <c r="CO277" s="710">
        <v>11.859801738919872</v>
      </c>
      <c r="CP277" s="710">
        <v>12.047880360952504</v>
      </c>
      <c r="CQ277" s="710">
        <v>12.251395170304717</v>
      </c>
      <c r="CR277" s="710">
        <v>12.454743625553482</v>
      </c>
      <c r="CS277" s="710">
        <v>12.656563644186194</v>
      </c>
      <c r="CT277" s="710">
        <v>12.856874790935139</v>
      </c>
      <c r="CU277" s="710">
        <v>13.055759241905784</v>
      </c>
      <c r="CV277" s="710">
        <v>13.253264207032659</v>
      </c>
      <c r="CW277" s="710">
        <v>13.449452184708205</v>
      </c>
      <c r="CX277" s="710">
        <v>13.644992363877881</v>
      </c>
      <c r="CY277" s="710">
        <v>13.840277040393167</v>
      </c>
      <c r="CZ277" s="710">
        <v>14.035875711798845</v>
      </c>
      <c r="DA277" s="710">
        <v>14.231777289362681</v>
      </c>
      <c r="DC277" s="12">
        <f t="shared" si="314"/>
        <v>8.3677438599999991</v>
      </c>
      <c r="DD277" s="12">
        <f t="shared" si="315"/>
        <v>46.653247598627757</v>
      </c>
      <c r="DE277" s="12">
        <f t="shared" si="316"/>
        <v>80.792271600738559</v>
      </c>
      <c r="DF277" s="12">
        <f t="shared" si="326"/>
        <v>97.706515794538646</v>
      </c>
      <c r="DG277" s="12">
        <f t="shared" si="320"/>
        <v>109.38805083700105</v>
      </c>
      <c r="DH277" s="12">
        <f t="shared" si="317"/>
        <v>131.47790189383807</v>
      </c>
      <c r="DI277" s="12">
        <f t="shared" si="321"/>
        <v>157.77885563101123</v>
      </c>
    </row>
    <row r="278" spans="2:113" ht="15" outlineLevel="2">
      <c r="F278" s="126" t="s">
        <v>798</v>
      </c>
      <c r="I278" s="609" t="s">
        <v>736</v>
      </c>
      <c r="O278" s="710"/>
      <c r="P278" s="710"/>
      <c r="Q278" s="710"/>
      <c r="R278" s="710"/>
      <c r="S278" s="710"/>
      <c r="T278" s="710"/>
      <c r="U278" s="710"/>
      <c r="V278" s="710"/>
      <c r="W278" s="710"/>
      <c r="X278" s="710"/>
      <c r="Y278" s="710"/>
      <c r="Z278" s="713">
        <v>-1.7390045E-2</v>
      </c>
      <c r="AA278" s="713">
        <v>-9.0590026000000004E-2</v>
      </c>
      <c r="AB278" s="713">
        <v>-0.155919592</v>
      </c>
      <c r="AC278" s="713">
        <v>-0.167488519904292</v>
      </c>
      <c r="AD278" s="713">
        <v>-0.153780208</v>
      </c>
      <c r="AE278" s="713">
        <v>-0.19723174299999999</v>
      </c>
      <c r="AF278" s="712">
        <v>-0.20266520900000001</v>
      </c>
      <c r="AG278" s="713">
        <v>-0.2329737536032</v>
      </c>
      <c r="AH278" s="713">
        <v>-0.246147858</v>
      </c>
      <c r="AI278" s="929">
        <v>-0.25938705643799503</v>
      </c>
      <c r="AJ278" s="713">
        <v>-0.28109706500000003</v>
      </c>
      <c r="AK278" s="713">
        <v>-0.30721334</v>
      </c>
      <c r="AL278" s="713">
        <v>-0.38316072600000001</v>
      </c>
      <c r="AM278" s="713">
        <v>-0.43385794699999997</v>
      </c>
      <c r="AN278" s="713">
        <v>-0.53723725199999994</v>
      </c>
      <c r="AO278" s="713">
        <v>-0.58240060299999996</v>
      </c>
      <c r="AP278" s="713">
        <v>-0.54258899199999999</v>
      </c>
      <c r="AQ278" s="721">
        <v>-0.60307943199999992</v>
      </c>
      <c r="AR278" s="710">
        <v>-0.63926095981834441</v>
      </c>
      <c r="AS278" s="710">
        <v>-0.66107571009190924</v>
      </c>
      <c r="AT278" s="710">
        <v>-0.65655864736769665</v>
      </c>
      <c r="AU278" s="710">
        <v>-0.66577507523665225</v>
      </c>
      <c r="AV278" s="710">
        <v>-0.70440615964139985</v>
      </c>
      <c r="AW278" s="710">
        <v>-0.71490868406789299</v>
      </c>
      <c r="AX278" s="710">
        <v>-0.72530086261892002</v>
      </c>
      <c r="AY278" s="710">
        <v>-0.73615320046400023</v>
      </c>
      <c r="AZ278" s="710">
        <v>-0.74807477230169495</v>
      </c>
      <c r="BA278" s="710">
        <v>-0.75941301483998735</v>
      </c>
      <c r="BB278" s="710">
        <v>-0.77028130542256112</v>
      </c>
      <c r="BC278" s="710">
        <v>-0.78045222718560325</v>
      </c>
      <c r="BD278" s="710">
        <v>-0.79056626632761773</v>
      </c>
      <c r="BE278" s="710">
        <v>-0.7998956196808914</v>
      </c>
      <c r="BF278" s="710">
        <v>-0.84580939561948831</v>
      </c>
      <c r="BG278" s="710">
        <v>-0.89188070491278193</v>
      </c>
      <c r="BH278" s="710">
        <v>-0.89573220457611702</v>
      </c>
      <c r="BI278" s="710">
        <v>-0.89561400309753669</v>
      </c>
      <c r="BJ278" s="710">
        <v>-0.89531923585173401</v>
      </c>
      <c r="BK278" s="710">
        <v>-0.8949988770347872</v>
      </c>
      <c r="BL278" s="710">
        <v>-0.89550902226897777</v>
      </c>
      <c r="BM278" s="710">
        <v>-0.89610649612068671</v>
      </c>
      <c r="BN278" s="710">
        <v>-0.89428761545155566</v>
      </c>
      <c r="BO278" s="710">
        <v>-0.89241582395922581</v>
      </c>
      <c r="BP278" s="710">
        <v>-0.89236239381827465</v>
      </c>
      <c r="BQ278" s="710">
        <v>-0.89250574336745014</v>
      </c>
      <c r="BR278" s="710">
        <v>-0.89982876477508189</v>
      </c>
      <c r="BS278" s="710">
        <v>-0.9147922574786983</v>
      </c>
      <c r="BT278" s="710">
        <v>-0.93022130089306232</v>
      </c>
      <c r="BU278" s="710">
        <v>-0.94587753224853521</v>
      </c>
      <c r="BV278" s="710">
        <v>-0.96156386593845589</v>
      </c>
      <c r="BW278" s="710">
        <v>-0.97716753078485941</v>
      </c>
      <c r="BX278" s="710">
        <v>-0.99268872850370082</v>
      </c>
      <c r="BY278" s="710">
        <v>-1.0080039921806319</v>
      </c>
      <c r="BZ278" s="710">
        <v>-1.0230331841815723</v>
      </c>
      <c r="CA278" s="710">
        <v>-1.0377798121023121</v>
      </c>
      <c r="CB278" s="710">
        <v>-1.0525311534568367</v>
      </c>
      <c r="CC278" s="710">
        <v>-1.0673101549216375</v>
      </c>
      <c r="CD278" s="710">
        <v>-1.0835220502505427</v>
      </c>
      <c r="CE278" s="710">
        <v>-1.1012988082230801</v>
      </c>
      <c r="CF278" s="710">
        <v>-1.1192434465121721</v>
      </c>
      <c r="CG278" s="710">
        <v>-1.1372190691267032</v>
      </c>
      <c r="CH278" s="710">
        <v>-1.1552108958985172</v>
      </c>
      <c r="CI278" s="710">
        <v>-1.1732070733518334</v>
      </c>
      <c r="CJ278" s="710">
        <v>-1.1911965445797719</v>
      </c>
      <c r="CK278" s="710">
        <v>-1.2091796092560017</v>
      </c>
      <c r="CL278" s="710">
        <v>-1.2271021082592417</v>
      </c>
      <c r="CM278" s="710">
        <v>-1.2449614483412206</v>
      </c>
      <c r="CN278" s="710">
        <v>-1.2628167492916358</v>
      </c>
      <c r="CO278" s="710">
        <v>-1.2806757360339371</v>
      </c>
      <c r="CP278" s="710">
        <v>-1.3002172244670387</v>
      </c>
      <c r="CQ278" s="710">
        <v>-1.321600883038595</v>
      </c>
      <c r="CR278" s="710">
        <v>-1.3431560032885557</v>
      </c>
      <c r="CS278" s="710">
        <v>-1.3647230686044367</v>
      </c>
      <c r="CT278" s="710">
        <v>-1.386294500124764</v>
      </c>
      <c r="CU278" s="710">
        <v>-1.4078675196175394</v>
      </c>
      <c r="CV278" s="710">
        <v>-1.4294396158962419</v>
      </c>
      <c r="CW278" s="710">
        <v>-1.4510106351056991</v>
      </c>
      <c r="CX278" s="710">
        <v>-1.4725141322808513</v>
      </c>
      <c r="CY278" s="710">
        <v>-1.4939453350397762</v>
      </c>
      <c r="CZ278" s="710">
        <v>-1.5153736676936089</v>
      </c>
      <c r="DA278" s="710">
        <v>-1.536807170491765</v>
      </c>
      <c r="DC278" s="12">
        <f t="shared" si="314"/>
        <v>-1.2180390965074921</v>
      </c>
      <c r="DD278" s="12">
        <f t="shared" si="315"/>
        <v>-5.4765069413482479</v>
      </c>
      <c r="DE278" s="12">
        <f t="shared" si="316"/>
        <v>-8.8517858351549155</v>
      </c>
      <c r="DF278" s="12">
        <f t="shared" si="326"/>
        <v>-10.682541516078615</v>
      </c>
      <c r="DG278" s="12">
        <f t="shared" si="320"/>
        <v>-11.810798277465386</v>
      </c>
      <c r="DH278" s="12">
        <f t="shared" si="317"/>
        <v>-14.185633539124657</v>
      </c>
      <c r="DI278" s="12">
        <f t="shared" si="321"/>
        <v>-17.02294975564887</v>
      </c>
    </row>
    <row r="279" spans="2:113" s="698" customFormat="1" outlineLevel="2">
      <c r="B279" s="126"/>
      <c r="F279" s="698" t="s">
        <v>830</v>
      </c>
      <c r="H279" s="703"/>
      <c r="I279" s="609" t="s">
        <v>736</v>
      </c>
      <c r="J279" s="703"/>
      <c r="K279" s="703"/>
      <c r="L279" s="703"/>
      <c r="M279" s="703"/>
      <c r="O279" s="714"/>
      <c r="P279" s="714"/>
      <c r="Q279" s="714"/>
      <c r="R279" s="714"/>
      <c r="S279" s="714"/>
      <c r="T279" s="714"/>
      <c r="U279" s="714"/>
      <c r="V279" s="714"/>
      <c r="W279" s="714"/>
      <c r="X279" s="714"/>
      <c r="Y279" s="714"/>
      <c r="Z279" s="696">
        <f t="shared" ref="Z279:AF279" si="327">Z280+Z281</f>
        <v>0.78433600000000003</v>
      </c>
      <c r="AA279" s="696">
        <f t="shared" si="327"/>
        <v>1.5381818190000001</v>
      </c>
      <c r="AB279" s="696">
        <f t="shared" si="327"/>
        <v>1.7972245790000001</v>
      </c>
      <c r="AC279" s="696">
        <f t="shared" si="327"/>
        <v>1.6560837980000001</v>
      </c>
      <c r="AD279" s="696">
        <f t="shared" si="327"/>
        <v>1.7356103439999999</v>
      </c>
      <c r="AE279" s="696">
        <f t="shared" si="327"/>
        <v>2.3842524040000002</v>
      </c>
      <c r="AF279" s="696">
        <f t="shared" si="327"/>
        <v>2.5835852529999999</v>
      </c>
      <c r="AG279" s="696">
        <f>SUM(AG280:AG286)</f>
        <v>2.6382554709999999</v>
      </c>
      <c r="AH279" s="696">
        <f t="shared" ref="AH279:CS279" si="328">SUM(AH280:AH286)</f>
        <v>3.0369901859999997</v>
      </c>
      <c r="AI279" s="696">
        <f t="shared" si="328"/>
        <v>3.0169141649999998</v>
      </c>
      <c r="AJ279" s="696">
        <f t="shared" si="328"/>
        <v>4.1280510440000002</v>
      </c>
      <c r="AK279" s="696">
        <f t="shared" si="328"/>
        <v>4.6682887040000001</v>
      </c>
      <c r="AL279" s="696">
        <f t="shared" si="328"/>
        <v>5.4642048919999997</v>
      </c>
      <c r="AM279" s="696">
        <f t="shared" si="328"/>
        <v>6.4248852190000001</v>
      </c>
      <c r="AN279" s="696">
        <f t="shared" si="328"/>
        <v>7.8514140340000003</v>
      </c>
      <c r="AO279" s="696">
        <f t="shared" si="328"/>
        <v>8.5207282089999996</v>
      </c>
      <c r="AP279" s="696">
        <f t="shared" si="328"/>
        <v>8.3099674510000003</v>
      </c>
      <c r="AQ279" s="696">
        <f t="shared" si="328"/>
        <v>9.0817060000000005</v>
      </c>
      <c r="AR279" s="696">
        <f t="shared" si="328"/>
        <v>9.5879999999999992</v>
      </c>
      <c r="AS279" s="696">
        <f t="shared" si="328"/>
        <v>10.267999999999999</v>
      </c>
      <c r="AT279" s="696">
        <f t="shared" si="328"/>
        <v>10.439133333333332</v>
      </c>
      <c r="AU279" s="696">
        <f t="shared" si="328"/>
        <v>10.610266666666664</v>
      </c>
      <c r="AV279" s="696">
        <f t="shared" si="328"/>
        <v>10.7814</v>
      </c>
      <c r="AW279" s="696">
        <f t="shared" si="328"/>
        <v>10.952533333333331</v>
      </c>
      <c r="AX279" s="696">
        <f t="shared" si="328"/>
        <v>11.123666666666663</v>
      </c>
      <c r="AY279" s="696">
        <f t="shared" si="328"/>
        <v>11.294799999999995</v>
      </c>
      <c r="AZ279" s="696">
        <f t="shared" si="328"/>
        <v>11.465933333333329</v>
      </c>
      <c r="BA279" s="696">
        <f t="shared" si="328"/>
        <v>11.637066666666662</v>
      </c>
      <c r="BB279" s="696">
        <f t="shared" si="328"/>
        <v>11.808199999999994</v>
      </c>
      <c r="BC279" s="696">
        <f t="shared" si="328"/>
        <v>11.979333333333328</v>
      </c>
      <c r="BD279" s="696">
        <f t="shared" si="328"/>
        <v>12.150466666666658</v>
      </c>
      <c r="BE279" s="696">
        <f t="shared" si="328"/>
        <v>12.321599999999998</v>
      </c>
      <c r="BF279" s="696">
        <f t="shared" si="328"/>
        <v>13.690666666666669</v>
      </c>
      <c r="BG279" s="696">
        <f t="shared" si="328"/>
        <v>13.690666666666669</v>
      </c>
      <c r="BH279" s="696">
        <f t="shared" si="328"/>
        <v>13.690666666666669</v>
      </c>
      <c r="BI279" s="696">
        <f t="shared" si="328"/>
        <v>13.690666666666669</v>
      </c>
      <c r="BJ279" s="696">
        <f t="shared" si="328"/>
        <v>13.690666666666669</v>
      </c>
      <c r="BK279" s="696">
        <f t="shared" si="328"/>
        <v>13.690666666666669</v>
      </c>
      <c r="BL279" s="696">
        <f t="shared" si="328"/>
        <v>13.690666666666669</v>
      </c>
      <c r="BM279" s="696">
        <f t="shared" si="328"/>
        <v>13.690666666666669</v>
      </c>
      <c r="BN279" s="696">
        <f t="shared" si="328"/>
        <v>13.690666666666669</v>
      </c>
      <c r="BO279" s="696">
        <f t="shared" si="328"/>
        <v>13.690666666666669</v>
      </c>
      <c r="BP279" s="696">
        <f t="shared" si="328"/>
        <v>13.690666666666669</v>
      </c>
      <c r="BQ279" s="696">
        <f t="shared" si="328"/>
        <v>13.690666666666669</v>
      </c>
      <c r="BR279" s="696">
        <f t="shared" si="328"/>
        <v>13.918844444444444</v>
      </c>
      <c r="BS279" s="696">
        <f t="shared" si="328"/>
        <v>14.147022222222221</v>
      </c>
      <c r="BT279" s="696">
        <f t="shared" si="328"/>
        <v>14.3752</v>
      </c>
      <c r="BU279" s="696">
        <f t="shared" si="328"/>
        <v>14.603377777777773</v>
      </c>
      <c r="BV279" s="696">
        <f t="shared" si="328"/>
        <v>14.831555555555552</v>
      </c>
      <c r="BW279" s="696">
        <f t="shared" si="328"/>
        <v>15.059733333333329</v>
      </c>
      <c r="BX279" s="696">
        <f t="shared" si="328"/>
        <v>15.287911111111107</v>
      </c>
      <c r="BY279" s="696">
        <f t="shared" si="328"/>
        <v>15.516088888888882</v>
      </c>
      <c r="BZ279" s="696">
        <f t="shared" si="328"/>
        <v>15.744266666666659</v>
      </c>
      <c r="CA279" s="696">
        <f t="shared" si="328"/>
        <v>15.972444444444438</v>
      </c>
      <c r="CB279" s="696">
        <f t="shared" si="328"/>
        <v>16.200622222222215</v>
      </c>
      <c r="CC279" s="696">
        <f t="shared" si="328"/>
        <v>16.428799999999999</v>
      </c>
      <c r="CD279" s="696">
        <f t="shared" si="328"/>
        <v>16.702613333333332</v>
      </c>
      <c r="CE279" s="696">
        <f t="shared" si="328"/>
        <v>16.976426666666665</v>
      </c>
      <c r="CF279" s="696">
        <f t="shared" si="328"/>
        <v>17.250239999999994</v>
      </c>
      <c r="CG279" s="696">
        <f t="shared" si="328"/>
        <v>17.524053333333331</v>
      </c>
      <c r="CH279" s="696">
        <f t="shared" si="328"/>
        <v>17.797866666666661</v>
      </c>
      <c r="CI279" s="696">
        <f t="shared" si="328"/>
        <v>18.07167999999999</v>
      </c>
      <c r="CJ279" s="696">
        <f t="shared" si="328"/>
        <v>18.345493333333327</v>
      </c>
      <c r="CK279" s="696">
        <f t="shared" si="328"/>
        <v>18.61930666666666</v>
      </c>
      <c r="CL279" s="696">
        <f t="shared" si="328"/>
        <v>18.893119999999989</v>
      </c>
      <c r="CM279" s="696">
        <f t="shared" si="328"/>
        <v>19.166933333333322</v>
      </c>
      <c r="CN279" s="696">
        <f t="shared" si="328"/>
        <v>19.440746666666655</v>
      </c>
      <c r="CO279" s="696">
        <f t="shared" si="328"/>
        <v>19.714559999999999</v>
      </c>
      <c r="CP279" s="696">
        <f t="shared" si="328"/>
        <v>20.043136000000001</v>
      </c>
      <c r="CQ279" s="696">
        <f t="shared" si="328"/>
        <v>20.371712000000002</v>
      </c>
      <c r="CR279" s="696">
        <f t="shared" si="328"/>
        <v>20.700288</v>
      </c>
      <c r="CS279" s="696">
        <f t="shared" si="328"/>
        <v>21.028863999999999</v>
      </c>
      <c r="CT279" s="696">
        <f t="shared" ref="CT279:DA279" si="329">SUM(CT280:CT286)</f>
        <v>21.35744</v>
      </c>
      <c r="CU279" s="696">
        <f t="shared" si="329"/>
        <v>21.686015999999999</v>
      </c>
      <c r="CV279" s="696">
        <f t="shared" si="329"/>
        <v>22.014591999999997</v>
      </c>
      <c r="CW279" s="696">
        <f t="shared" si="329"/>
        <v>22.343167999999995</v>
      </c>
      <c r="CX279" s="696">
        <f t="shared" si="329"/>
        <v>22.671743999999993</v>
      </c>
      <c r="CY279" s="696">
        <f t="shared" si="329"/>
        <v>23.000319999999988</v>
      </c>
      <c r="CZ279" s="696">
        <f t="shared" si="329"/>
        <v>23.328895999999986</v>
      </c>
      <c r="DA279" s="696">
        <f t="shared" si="329"/>
        <v>23.657471999999999</v>
      </c>
      <c r="DC279" s="14">
        <f t="shared" si="314"/>
        <v>15.117529668</v>
      </c>
      <c r="DD279" s="14">
        <f t="shared" si="315"/>
        <v>80.359149903999992</v>
      </c>
      <c r="DE279" s="14">
        <f t="shared" si="316"/>
        <v>136.56439999999995</v>
      </c>
      <c r="DF279" s="14">
        <f t="shared" si="326"/>
        <v>164.28800000000001</v>
      </c>
      <c r="DG279" s="14">
        <f t="shared" si="320"/>
        <v>182.08586666666665</v>
      </c>
      <c r="DH279" s="14">
        <f t="shared" si="317"/>
        <v>218.50303999999994</v>
      </c>
      <c r="DI279" s="14">
        <f t="shared" si="321"/>
        <v>262.20364799999993</v>
      </c>
    </row>
    <row r="280" spans="2:113" ht="15" outlineLevel="2">
      <c r="F280" s="126" t="s">
        <v>540</v>
      </c>
      <c r="I280" s="609" t="s">
        <v>736</v>
      </c>
      <c r="O280" s="710"/>
      <c r="P280" s="710"/>
      <c r="Q280" s="710"/>
      <c r="R280" s="710"/>
      <c r="S280" s="710"/>
      <c r="T280" s="710"/>
      <c r="U280" s="710"/>
      <c r="V280" s="710"/>
      <c r="W280" s="710"/>
      <c r="X280" s="710"/>
      <c r="Y280" s="710"/>
      <c r="Z280" s="713">
        <v>0.78433600000000003</v>
      </c>
      <c r="AA280" s="713">
        <v>1.5381818190000001</v>
      </c>
      <c r="AB280" s="713">
        <v>1.7972245790000001</v>
      </c>
      <c r="AC280" s="713">
        <v>1.6560837980000001</v>
      </c>
      <c r="AD280" s="713">
        <v>1.7356103439999999</v>
      </c>
      <c r="AE280" s="713">
        <f>2384252404/10^9</f>
        <v>2.3842524040000002</v>
      </c>
      <c r="AF280" s="712">
        <f>2583585253/10^9</f>
        <v>2.5835852529999999</v>
      </c>
      <c r="AG280" s="930">
        <v>2.6382554709999999</v>
      </c>
      <c r="AH280" s="713">
        <v>3.0369901859999997</v>
      </c>
      <c r="AI280" s="878">
        <v>3.0169141649999998</v>
      </c>
      <c r="AJ280" s="713">
        <v>4.1280510440000002</v>
      </c>
      <c r="AK280" s="713">
        <v>4.6682887040000001</v>
      </c>
      <c r="AL280" s="713">
        <v>5.4642048919999997</v>
      </c>
      <c r="AM280" s="713">
        <v>6.4248852190000001</v>
      </c>
      <c r="AN280" s="713">
        <v>7.8514140340000003</v>
      </c>
      <c r="AO280" s="931">
        <v>8.5207282089999996</v>
      </c>
      <c r="AP280" s="713">
        <v>8.3099674510000003</v>
      </c>
      <c r="AQ280" s="710">
        <v>9.0817060000000005</v>
      </c>
      <c r="AR280" s="710">
        <v>9.5879999999999992</v>
      </c>
      <c r="AS280" s="710">
        <v>10.267999999999999</v>
      </c>
      <c r="AT280" s="710">
        <v>10.439133333333332</v>
      </c>
      <c r="AU280" s="710">
        <v>10.610266666666664</v>
      </c>
      <c r="AV280" s="710">
        <v>10.7814</v>
      </c>
      <c r="AW280" s="710">
        <v>10.952533333333331</v>
      </c>
      <c r="AX280" s="710">
        <v>11.123666666666663</v>
      </c>
      <c r="AY280" s="710">
        <v>11.294799999999995</v>
      </c>
      <c r="AZ280" s="710">
        <v>11.465933333333329</v>
      </c>
      <c r="BA280" s="710">
        <v>11.637066666666662</v>
      </c>
      <c r="BB280" s="710">
        <v>11.808199999999994</v>
      </c>
      <c r="BC280" s="710">
        <v>11.979333333333328</v>
      </c>
      <c r="BD280" s="710">
        <v>12.150466666666658</v>
      </c>
      <c r="BE280" s="710">
        <v>12.321599999999998</v>
      </c>
      <c r="BF280" s="710">
        <v>13.690666666666669</v>
      </c>
      <c r="BG280" s="710">
        <v>13.690666666666669</v>
      </c>
      <c r="BH280" s="710">
        <v>13.690666666666669</v>
      </c>
      <c r="BI280" s="710">
        <v>13.690666666666669</v>
      </c>
      <c r="BJ280" s="710">
        <v>13.690666666666669</v>
      </c>
      <c r="BK280" s="710">
        <v>13.690666666666669</v>
      </c>
      <c r="BL280" s="710">
        <v>13.690666666666669</v>
      </c>
      <c r="BM280" s="710">
        <v>13.690666666666669</v>
      </c>
      <c r="BN280" s="710">
        <v>13.690666666666669</v>
      </c>
      <c r="BO280" s="710">
        <v>13.690666666666669</v>
      </c>
      <c r="BP280" s="710">
        <v>13.690666666666669</v>
      </c>
      <c r="BQ280" s="710">
        <v>13.690666666666669</v>
      </c>
      <c r="BR280" s="710">
        <v>13.918844444444444</v>
      </c>
      <c r="BS280" s="710">
        <v>14.147022222222221</v>
      </c>
      <c r="BT280" s="710">
        <v>14.3752</v>
      </c>
      <c r="BU280" s="710">
        <v>14.603377777777773</v>
      </c>
      <c r="BV280" s="710">
        <v>14.831555555555552</v>
      </c>
      <c r="BW280" s="710">
        <v>15.059733333333329</v>
      </c>
      <c r="BX280" s="710">
        <v>15.287911111111107</v>
      </c>
      <c r="BY280" s="710">
        <v>15.516088888888882</v>
      </c>
      <c r="BZ280" s="710">
        <v>15.744266666666659</v>
      </c>
      <c r="CA280" s="710">
        <v>15.972444444444438</v>
      </c>
      <c r="CB280" s="710">
        <v>16.200622222222215</v>
      </c>
      <c r="CC280" s="710">
        <v>16.428799999999999</v>
      </c>
      <c r="CD280" s="710">
        <v>16.702613333333332</v>
      </c>
      <c r="CE280" s="710">
        <v>16.976426666666665</v>
      </c>
      <c r="CF280" s="710">
        <v>17.250239999999994</v>
      </c>
      <c r="CG280" s="710">
        <v>17.524053333333331</v>
      </c>
      <c r="CH280" s="710">
        <v>17.797866666666661</v>
      </c>
      <c r="CI280" s="710">
        <v>18.07167999999999</v>
      </c>
      <c r="CJ280" s="710">
        <v>18.345493333333327</v>
      </c>
      <c r="CK280" s="710">
        <v>18.61930666666666</v>
      </c>
      <c r="CL280" s="710">
        <v>18.893119999999989</v>
      </c>
      <c r="CM280" s="710">
        <v>19.166933333333322</v>
      </c>
      <c r="CN280" s="710">
        <v>19.440746666666655</v>
      </c>
      <c r="CO280" s="710">
        <v>19.714559999999999</v>
      </c>
      <c r="CP280" s="710">
        <v>20.043136000000001</v>
      </c>
      <c r="CQ280" s="710">
        <v>20.371712000000002</v>
      </c>
      <c r="CR280" s="710">
        <v>20.700288</v>
      </c>
      <c r="CS280" s="710">
        <v>21.028863999999999</v>
      </c>
      <c r="CT280" s="710">
        <v>21.35744</v>
      </c>
      <c r="CU280" s="710">
        <v>21.686015999999999</v>
      </c>
      <c r="CV280" s="710">
        <v>22.014591999999997</v>
      </c>
      <c r="CW280" s="710">
        <v>22.343167999999995</v>
      </c>
      <c r="CX280" s="710">
        <v>22.671743999999993</v>
      </c>
      <c r="CY280" s="710">
        <v>23.000319999999988</v>
      </c>
      <c r="CZ280" s="710">
        <v>23.328895999999986</v>
      </c>
      <c r="DA280" s="710">
        <v>23.657471999999999</v>
      </c>
      <c r="DC280" s="12">
        <f t="shared" si="314"/>
        <v>15.117529668</v>
      </c>
      <c r="DD280" s="12">
        <f t="shared" si="315"/>
        <v>80.359149903999992</v>
      </c>
      <c r="DE280" s="12">
        <f t="shared" si="316"/>
        <v>136.56439999999995</v>
      </c>
      <c r="DF280" s="12">
        <f t="shared" si="326"/>
        <v>164.28800000000001</v>
      </c>
      <c r="DG280" s="12">
        <f t="shared" si="320"/>
        <v>182.08586666666665</v>
      </c>
      <c r="DH280" s="12">
        <f t="shared" si="317"/>
        <v>218.50303999999994</v>
      </c>
      <c r="DI280" s="12">
        <f t="shared" si="321"/>
        <v>262.20364799999993</v>
      </c>
    </row>
    <row r="281" spans="2:113" outlineLevel="2">
      <c r="F281" s="126" t="s">
        <v>799</v>
      </c>
      <c r="I281" s="609" t="s">
        <v>736</v>
      </c>
      <c r="O281" s="710"/>
      <c r="P281" s="710"/>
      <c r="Q281" s="710"/>
      <c r="R281" s="710"/>
      <c r="S281" s="710"/>
      <c r="T281" s="710"/>
      <c r="U281" s="710"/>
      <c r="V281" s="710"/>
      <c r="W281" s="710"/>
      <c r="X281" s="710"/>
      <c r="Y281" s="710"/>
      <c r="Z281" s="710"/>
      <c r="AA281" s="710"/>
      <c r="AB281" s="710"/>
      <c r="AC281" s="710"/>
      <c r="AD281" s="710"/>
      <c r="AE281" s="710"/>
      <c r="AF281" s="710"/>
      <c r="AG281" s="710"/>
      <c r="AH281" s="710"/>
      <c r="AI281" s="710"/>
      <c r="AJ281" s="710"/>
      <c r="AK281" s="710"/>
      <c r="AL281" s="710"/>
      <c r="AM281" s="710"/>
      <c r="AN281" s="710"/>
      <c r="AO281" s="710"/>
      <c r="AP281" s="710"/>
      <c r="AQ281" s="710"/>
      <c r="AR281" s="710"/>
      <c r="AS281" s="710"/>
      <c r="AT281" s="710"/>
      <c r="AU281" s="710"/>
      <c r="AV281" s="710"/>
      <c r="AW281" s="710"/>
      <c r="AX281" s="710"/>
      <c r="AY281" s="710"/>
      <c r="AZ281" s="710"/>
      <c r="BA281" s="710"/>
      <c r="BB281" s="710"/>
      <c r="BC281" s="710"/>
      <c r="BD281" s="710"/>
      <c r="BE281" s="710"/>
      <c r="BF281" s="710"/>
      <c r="BG281" s="710"/>
      <c r="BH281" s="710"/>
      <c r="BI281" s="710"/>
      <c r="BJ281" s="710"/>
      <c r="BK281" s="710"/>
      <c r="BL281" s="710"/>
      <c r="BM281" s="710"/>
      <c r="BN281" s="710"/>
      <c r="BO281" s="710"/>
      <c r="BP281" s="710"/>
      <c r="BQ281" s="710"/>
      <c r="BR281" s="710"/>
      <c r="BS281" s="710"/>
      <c r="BT281" s="710"/>
      <c r="BU281" s="710"/>
      <c r="BV281" s="710"/>
      <c r="BW281" s="710"/>
      <c r="BX281" s="710"/>
      <c r="BY281" s="710"/>
      <c r="BZ281" s="710"/>
      <c r="CA281" s="710"/>
      <c r="CB281" s="710"/>
      <c r="CC281" s="710"/>
      <c r="CD281" s="710"/>
      <c r="CE281" s="710"/>
      <c r="CF281" s="710"/>
      <c r="CG281" s="710"/>
      <c r="CH281" s="710"/>
      <c r="CI281" s="710"/>
      <c r="CJ281" s="710"/>
      <c r="CK281" s="710"/>
      <c r="CL281" s="710"/>
      <c r="CM281" s="710"/>
      <c r="CN281" s="710"/>
      <c r="CO281" s="710"/>
      <c r="CP281" s="710"/>
      <c r="CQ281" s="710"/>
      <c r="CR281" s="710"/>
      <c r="CS281" s="710"/>
      <c r="CT281" s="710"/>
      <c r="CU281" s="710"/>
      <c r="CV281" s="710"/>
      <c r="CW281" s="710"/>
      <c r="CX281" s="710"/>
      <c r="CY281" s="710"/>
      <c r="CZ281" s="710"/>
      <c r="DA281" s="710"/>
      <c r="DC281" s="12">
        <f t="shared" si="314"/>
        <v>0</v>
      </c>
      <c r="DD281" s="12">
        <f t="shared" si="315"/>
        <v>0</v>
      </c>
      <c r="DE281" s="12">
        <f t="shared" si="316"/>
        <v>0</v>
      </c>
      <c r="DF281" s="12">
        <f t="shared" si="326"/>
        <v>0</v>
      </c>
      <c r="DG281" s="12">
        <f t="shared" si="320"/>
        <v>0</v>
      </c>
      <c r="DH281" s="12">
        <f t="shared" si="317"/>
        <v>0</v>
      </c>
      <c r="DI281" s="12">
        <f t="shared" si="321"/>
        <v>0</v>
      </c>
    </row>
    <row r="282" spans="2:113" outlineLevel="2">
      <c r="F282" s="126" t="s">
        <v>800</v>
      </c>
      <c r="I282" s="609" t="s">
        <v>736</v>
      </c>
      <c r="O282" s="710"/>
      <c r="P282" s="710"/>
      <c r="Q282" s="710"/>
      <c r="R282" s="710"/>
      <c r="S282" s="710"/>
      <c r="T282" s="710"/>
      <c r="U282" s="710"/>
      <c r="V282" s="710"/>
      <c r="W282" s="710"/>
      <c r="X282" s="710"/>
      <c r="Y282" s="710"/>
      <c r="Z282" s="710"/>
      <c r="AA282" s="710"/>
      <c r="AB282" s="710"/>
      <c r="AC282" s="710"/>
      <c r="AD282" s="710"/>
      <c r="AE282" s="710"/>
      <c r="AF282" s="710"/>
      <c r="AG282" s="710"/>
      <c r="AH282" s="710"/>
      <c r="AI282" s="710"/>
      <c r="AJ282" s="710"/>
      <c r="AK282" s="710"/>
      <c r="AL282" s="710"/>
      <c r="AM282" s="710"/>
      <c r="AN282" s="710"/>
      <c r="AO282" s="710"/>
      <c r="AP282" s="710"/>
      <c r="AQ282" s="710"/>
      <c r="AR282" s="710"/>
      <c r="AS282" s="710"/>
      <c r="AT282" s="710"/>
      <c r="AU282" s="710"/>
      <c r="AV282" s="710"/>
      <c r="AW282" s="710"/>
      <c r="AX282" s="710"/>
      <c r="AY282" s="710"/>
      <c r="AZ282" s="710"/>
      <c r="BA282" s="710"/>
      <c r="BB282" s="710"/>
      <c r="BC282" s="710"/>
      <c r="BD282" s="710"/>
      <c r="BE282" s="710"/>
      <c r="BF282" s="710"/>
      <c r="BG282" s="710"/>
      <c r="BH282" s="710"/>
      <c r="BI282" s="710"/>
      <c r="BJ282" s="710"/>
      <c r="BK282" s="710"/>
      <c r="BL282" s="710"/>
      <c r="BM282" s="710"/>
      <c r="BN282" s="710"/>
      <c r="BO282" s="710"/>
      <c r="BP282" s="710"/>
      <c r="BQ282" s="710"/>
      <c r="BR282" s="710"/>
      <c r="BS282" s="710"/>
      <c r="BT282" s="710"/>
      <c r="BU282" s="710"/>
      <c r="BV282" s="710"/>
      <c r="BW282" s="710"/>
      <c r="BX282" s="710"/>
      <c r="BY282" s="710"/>
      <c r="BZ282" s="710"/>
      <c r="CA282" s="710"/>
      <c r="CB282" s="710"/>
      <c r="CC282" s="710"/>
      <c r="CD282" s="710"/>
      <c r="CE282" s="710"/>
      <c r="CF282" s="710"/>
      <c r="CG282" s="710"/>
      <c r="CH282" s="710"/>
      <c r="CI282" s="710"/>
      <c r="CJ282" s="710"/>
      <c r="CK282" s="710"/>
      <c r="CL282" s="710"/>
      <c r="CM282" s="710"/>
      <c r="CN282" s="710"/>
      <c r="CO282" s="710"/>
      <c r="CP282" s="710"/>
      <c r="CQ282" s="710"/>
      <c r="CR282" s="710"/>
      <c r="CS282" s="710"/>
      <c r="CT282" s="710"/>
      <c r="CU282" s="710"/>
      <c r="CV282" s="710"/>
      <c r="CW282" s="710"/>
      <c r="CX282" s="710"/>
      <c r="CY282" s="710"/>
      <c r="CZ282" s="710"/>
      <c r="DA282" s="710"/>
      <c r="DC282" s="12">
        <f t="shared" ref="DC282:DC287" si="330">SUM(V282:AG282)</f>
        <v>0</v>
      </c>
      <c r="DD282" s="12">
        <f t="shared" ref="DD282:DD287" si="331">SUM(AH282:AS282)</f>
        <v>0</v>
      </c>
      <c r="DE282" s="12">
        <f t="shared" ref="DE282:DE287" si="332">SUM(AT282:BE282)</f>
        <v>0</v>
      </c>
      <c r="DF282" s="12">
        <f t="shared" ref="DF282:DF287" si="333">SUM(BF282:BQ282)</f>
        <v>0</v>
      </c>
      <c r="DG282" s="12">
        <f t="shared" ref="DG282:DG287" si="334">SUM(BR282:CC282)</f>
        <v>0</v>
      </c>
      <c r="DH282" s="12">
        <f t="shared" ref="DH282:DH287" si="335">SUM(CD282:CO282)</f>
        <v>0</v>
      </c>
      <c r="DI282" s="12">
        <f t="shared" si="321"/>
        <v>0</v>
      </c>
    </row>
    <row r="283" spans="2:113" outlineLevel="2">
      <c r="F283" s="126" t="s">
        <v>223</v>
      </c>
      <c r="I283" s="609" t="s">
        <v>736</v>
      </c>
      <c r="O283" s="710"/>
      <c r="P283" s="710"/>
      <c r="Q283" s="710"/>
      <c r="R283" s="710"/>
      <c r="S283" s="710"/>
      <c r="T283" s="710"/>
      <c r="U283" s="710"/>
      <c r="V283" s="710"/>
      <c r="W283" s="710"/>
      <c r="X283" s="710"/>
      <c r="Y283" s="710"/>
      <c r="Z283" s="710"/>
      <c r="AA283" s="710"/>
      <c r="AB283" s="710"/>
      <c r="AC283" s="710"/>
      <c r="AD283" s="710"/>
      <c r="AE283" s="710"/>
      <c r="AF283" s="710"/>
      <c r="AG283" s="710"/>
      <c r="AH283" s="710"/>
      <c r="AI283" s="710"/>
      <c r="AJ283" s="710"/>
      <c r="AK283" s="710"/>
      <c r="AL283" s="710"/>
      <c r="AM283" s="710"/>
      <c r="AN283" s="710"/>
      <c r="AO283" s="710"/>
      <c r="AP283" s="710"/>
      <c r="AQ283" s="710"/>
      <c r="AR283" s="710"/>
      <c r="AS283" s="710"/>
      <c r="AT283" s="710"/>
      <c r="AU283" s="710"/>
      <c r="AV283" s="710"/>
      <c r="AW283" s="710"/>
      <c r="AX283" s="710"/>
      <c r="AY283" s="710"/>
      <c r="AZ283" s="710"/>
      <c r="BA283" s="710"/>
      <c r="BB283" s="710"/>
      <c r="BC283" s="710"/>
      <c r="BD283" s="710"/>
      <c r="BE283" s="710"/>
      <c r="BF283" s="710"/>
      <c r="BG283" s="710"/>
      <c r="BH283" s="710"/>
      <c r="BI283" s="710"/>
      <c r="BJ283" s="710"/>
      <c r="BK283" s="710"/>
      <c r="BL283" s="710"/>
      <c r="BM283" s="710"/>
      <c r="BN283" s="710"/>
      <c r="BO283" s="710"/>
      <c r="BP283" s="710"/>
      <c r="BQ283" s="710"/>
      <c r="BR283" s="710"/>
      <c r="BS283" s="710"/>
      <c r="BT283" s="710"/>
      <c r="BU283" s="710"/>
      <c r="BV283" s="710"/>
      <c r="BW283" s="710"/>
      <c r="BX283" s="710"/>
      <c r="BY283" s="710"/>
      <c r="BZ283" s="710"/>
      <c r="CA283" s="710"/>
      <c r="CB283" s="710"/>
      <c r="CC283" s="710"/>
      <c r="CD283" s="710"/>
      <c r="CE283" s="710"/>
      <c r="CF283" s="710"/>
      <c r="CG283" s="710"/>
      <c r="CH283" s="710"/>
      <c r="CI283" s="710"/>
      <c r="CJ283" s="710"/>
      <c r="CK283" s="710"/>
      <c r="CL283" s="710"/>
      <c r="CM283" s="710"/>
      <c r="CN283" s="710"/>
      <c r="CO283" s="710"/>
      <c r="CP283" s="710"/>
      <c r="CQ283" s="710"/>
      <c r="CR283" s="710"/>
      <c r="CS283" s="710"/>
      <c r="CT283" s="710"/>
      <c r="CU283" s="710"/>
      <c r="CV283" s="710"/>
      <c r="CW283" s="710"/>
      <c r="CX283" s="710"/>
      <c r="CY283" s="710"/>
      <c r="CZ283" s="710"/>
      <c r="DA283" s="710"/>
      <c r="DC283" s="12">
        <f t="shared" si="330"/>
        <v>0</v>
      </c>
      <c r="DD283" s="12">
        <f t="shared" si="331"/>
        <v>0</v>
      </c>
      <c r="DE283" s="12">
        <f t="shared" si="332"/>
        <v>0</v>
      </c>
      <c r="DF283" s="12">
        <f t="shared" si="333"/>
        <v>0</v>
      </c>
      <c r="DG283" s="12">
        <f t="shared" si="334"/>
        <v>0</v>
      </c>
      <c r="DH283" s="12">
        <f t="shared" si="335"/>
        <v>0</v>
      </c>
      <c r="DI283" s="12">
        <f t="shared" si="321"/>
        <v>0</v>
      </c>
    </row>
    <row r="284" spans="2:113" outlineLevel="2">
      <c r="F284" s="126" t="s">
        <v>221</v>
      </c>
      <c r="I284" s="609" t="s">
        <v>736</v>
      </c>
      <c r="O284" s="710"/>
      <c r="P284" s="710"/>
      <c r="Q284" s="710"/>
      <c r="R284" s="710"/>
      <c r="S284" s="710"/>
      <c r="T284" s="710"/>
      <c r="U284" s="710"/>
      <c r="V284" s="710"/>
      <c r="W284" s="710"/>
      <c r="X284" s="710"/>
      <c r="Y284" s="710"/>
      <c r="Z284" s="710"/>
      <c r="AA284" s="710"/>
      <c r="AB284" s="710"/>
      <c r="AC284" s="710"/>
      <c r="AD284" s="710"/>
      <c r="AE284" s="710"/>
      <c r="AF284" s="710"/>
      <c r="AG284" s="710"/>
      <c r="AH284" s="710"/>
      <c r="AI284" s="710"/>
      <c r="AJ284" s="710"/>
      <c r="AK284" s="710"/>
      <c r="AL284" s="710"/>
      <c r="AM284" s="710"/>
      <c r="AN284" s="710"/>
      <c r="AO284" s="710"/>
      <c r="AP284" s="710"/>
      <c r="AQ284" s="710"/>
      <c r="AR284" s="710"/>
      <c r="AS284" s="710"/>
      <c r="AT284" s="710"/>
      <c r="AU284" s="710"/>
      <c r="AV284" s="710"/>
      <c r="AW284" s="710"/>
      <c r="AX284" s="710"/>
      <c r="AY284" s="710"/>
      <c r="AZ284" s="710"/>
      <c r="BA284" s="710"/>
      <c r="BB284" s="710"/>
      <c r="BC284" s="710"/>
      <c r="BD284" s="710"/>
      <c r="BE284" s="710"/>
      <c r="BF284" s="710"/>
      <c r="BG284" s="710"/>
      <c r="BH284" s="710"/>
      <c r="BI284" s="710"/>
      <c r="BJ284" s="710"/>
      <c r="BK284" s="710"/>
      <c r="BL284" s="710"/>
      <c r="BM284" s="710"/>
      <c r="BN284" s="710"/>
      <c r="BO284" s="710"/>
      <c r="BP284" s="710"/>
      <c r="BQ284" s="710"/>
      <c r="BR284" s="710"/>
      <c r="BS284" s="710"/>
      <c r="BT284" s="710"/>
      <c r="BU284" s="710"/>
      <c r="BV284" s="710"/>
      <c r="BW284" s="710"/>
      <c r="BX284" s="710"/>
      <c r="BY284" s="710"/>
      <c r="BZ284" s="710"/>
      <c r="CA284" s="710"/>
      <c r="CB284" s="710"/>
      <c r="CC284" s="710"/>
      <c r="CD284" s="710"/>
      <c r="CE284" s="710"/>
      <c r="CF284" s="710"/>
      <c r="CG284" s="710"/>
      <c r="CH284" s="710"/>
      <c r="CI284" s="710"/>
      <c r="CJ284" s="710"/>
      <c r="CK284" s="710"/>
      <c r="CL284" s="710"/>
      <c r="CM284" s="710"/>
      <c r="CN284" s="710"/>
      <c r="CO284" s="710"/>
      <c r="CP284" s="710"/>
      <c r="CQ284" s="710"/>
      <c r="CR284" s="710"/>
      <c r="CS284" s="710"/>
      <c r="CT284" s="710"/>
      <c r="CU284" s="710"/>
      <c r="CV284" s="710"/>
      <c r="CW284" s="710"/>
      <c r="CX284" s="710"/>
      <c r="CY284" s="710"/>
      <c r="CZ284" s="710"/>
      <c r="DA284" s="710"/>
      <c r="DC284" s="12">
        <f t="shared" si="330"/>
        <v>0</v>
      </c>
      <c r="DD284" s="12">
        <f t="shared" si="331"/>
        <v>0</v>
      </c>
      <c r="DE284" s="12">
        <f t="shared" si="332"/>
        <v>0</v>
      </c>
      <c r="DF284" s="12">
        <f t="shared" si="333"/>
        <v>0</v>
      </c>
      <c r="DG284" s="12">
        <f t="shared" si="334"/>
        <v>0</v>
      </c>
      <c r="DH284" s="12">
        <f t="shared" si="335"/>
        <v>0</v>
      </c>
      <c r="DI284" s="12">
        <f t="shared" si="321"/>
        <v>0</v>
      </c>
    </row>
    <row r="285" spans="2:113" outlineLevel="2">
      <c r="F285" s="126" t="s">
        <v>801</v>
      </c>
      <c r="I285" s="609" t="s">
        <v>736</v>
      </c>
      <c r="O285" s="710"/>
      <c r="P285" s="710"/>
      <c r="Q285" s="710"/>
      <c r="R285" s="710"/>
      <c r="S285" s="710"/>
      <c r="T285" s="710"/>
      <c r="U285" s="710"/>
      <c r="V285" s="710"/>
      <c r="W285" s="710"/>
      <c r="X285" s="710"/>
      <c r="Y285" s="710"/>
      <c r="Z285" s="710"/>
      <c r="AA285" s="710"/>
      <c r="AB285" s="710"/>
      <c r="AC285" s="710"/>
      <c r="AD285" s="710"/>
      <c r="AE285" s="710"/>
      <c r="AF285" s="710"/>
      <c r="AG285" s="710"/>
      <c r="AH285" s="710"/>
      <c r="AI285" s="710"/>
      <c r="AJ285" s="710"/>
      <c r="AK285" s="710"/>
      <c r="AL285" s="710"/>
      <c r="AM285" s="710"/>
      <c r="AN285" s="710"/>
      <c r="AO285" s="710">
        <v>0</v>
      </c>
      <c r="AP285" s="710">
        <v>0</v>
      </c>
      <c r="AQ285" s="710">
        <v>0</v>
      </c>
      <c r="AR285" s="710">
        <v>0</v>
      </c>
      <c r="AS285" s="710">
        <v>0</v>
      </c>
      <c r="AT285" s="710">
        <v>0</v>
      </c>
      <c r="AU285" s="710">
        <v>0</v>
      </c>
      <c r="AV285" s="710">
        <v>0</v>
      </c>
      <c r="AW285" s="710">
        <v>0</v>
      </c>
      <c r="AX285" s="710">
        <v>0</v>
      </c>
      <c r="AY285" s="710">
        <v>0</v>
      </c>
      <c r="AZ285" s="710">
        <v>0</v>
      </c>
      <c r="BA285" s="710">
        <v>0</v>
      </c>
      <c r="BB285" s="710">
        <v>0</v>
      </c>
      <c r="BC285" s="710">
        <v>0</v>
      </c>
      <c r="BD285" s="710">
        <v>0</v>
      </c>
      <c r="BE285" s="710">
        <v>0</v>
      </c>
      <c r="BF285" s="710">
        <v>0</v>
      </c>
      <c r="BG285" s="710">
        <v>0</v>
      </c>
      <c r="BH285" s="710">
        <v>0</v>
      </c>
      <c r="BI285" s="710">
        <v>0</v>
      </c>
      <c r="BJ285" s="710">
        <v>0</v>
      </c>
      <c r="BK285" s="710">
        <v>0</v>
      </c>
      <c r="BL285" s="710">
        <v>0</v>
      </c>
      <c r="BM285" s="710">
        <v>0</v>
      </c>
      <c r="BN285" s="710">
        <v>0</v>
      </c>
      <c r="BO285" s="710">
        <v>0</v>
      </c>
      <c r="BP285" s="710">
        <v>0</v>
      </c>
      <c r="BQ285" s="710">
        <v>0</v>
      </c>
      <c r="BR285" s="710">
        <v>0</v>
      </c>
      <c r="BS285" s="710">
        <v>0</v>
      </c>
      <c r="BT285" s="710">
        <v>0</v>
      </c>
      <c r="BU285" s="710">
        <v>0</v>
      </c>
      <c r="BV285" s="710">
        <v>0</v>
      </c>
      <c r="BW285" s="710">
        <v>0</v>
      </c>
      <c r="BX285" s="710">
        <v>0</v>
      </c>
      <c r="BY285" s="710">
        <v>0</v>
      </c>
      <c r="BZ285" s="710">
        <v>0</v>
      </c>
      <c r="CA285" s="710">
        <v>0</v>
      </c>
      <c r="CB285" s="710">
        <v>0</v>
      </c>
      <c r="CC285" s="710">
        <v>0</v>
      </c>
      <c r="CD285" s="710">
        <v>0</v>
      </c>
      <c r="CE285" s="710">
        <v>0</v>
      </c>
      <c r="CF285" s="710">
        <v>0</v>
      </c>
      <c r="CG285" s="710">
        <v>0</v>
      </c>
      <c r="CH285" s="710">
        <v>0</v>
      </c>
      <c r="CI285" s="710">
        <v>0</v>
      </c>
      <c r="CJ285" s="710">
        <v>0</v>
      </c>
      <c r="CK285" s="710">
        <v>0</v>
      </c>
      <c r="CL285" s="710">
        <v>0</v>
      </c>
      <c r="CM285" s="710">
        <v>0</v>
      </c>
      <c r="CN285" s="710">
        <v>0</v>
      </c>
      <c r="CO285" s="710">
        <v>0</v>
      </c>
      <c r="CP285" s="710">
        <v>0</v>
      </c>
      <c r="CQ285" s="710">
        <v>0</v>
      </c>
      <c r="CR285" s="710">
        <v>0</v>
      </c>
      <c r="CS285" s="710">
        <v>0</v>
      </c>
      <c r="CT285" s="710">
        <v>0</v>
      </c>
      <c r="CU285" s="710">
        <v>0</v>
      </c>
      <c r="CV285" s="710">
        <v>0</v>
      </c>
      <c r="CW285" s="710">
        <v>0</v>
      </c>
      <c r="CX285" s="710">
        <v>0</v>
      </c>
      <c r="CY285" s="710">
        <v>0</v>
      </c>
      <c r="CZ285" s="710">
        <v>0</v>
      </c>
      <c r="DA285" s="710">
        <v>0</v>
      </c>
      <c r="DC285" s="12">
        <f t="shared" si="330"/>
        <v>0</v>
      </c>
      <c r="DD285" s="12">
        <f t="shared" si="331"/>
        <v>0</v>
      </c>
      <c r="DE285" s="12">
        <f t="shared" si="332"/>
        <v>0</v>
      </c>
      <c r="DF285" s="12">
        <f t="shared" si="333"/>
        <v>0</v>
      </c>
      <c r="DG285" s="12">
        <f t="shared" si="334"/>
        <v>0</v>
      </c>
      <c r="DH285" s="12">
        <f t="shared" si="335"/>
        <v>0</v>
      </c>
      <c r="DI285" s="758">
        <f t="shared" si="321"/>
        <v>0</v>
      </c>
    </row>
    <row r="286" spans="2:113" outlineLevel="2">
      <c r="F286" s="126" t="s">
        <v>802</v>
      </c>
      <c r="I286" s="609" t="s">
        <v>736</v>
      </c>
      <c r="O286" s="710"/>
      <c r="P286" s="710"/>
      <c r="Q286" s="710"/>
      <c r="R286" s="710"/>
      <c r="S286" s="710"/>
      <c r="T286" s="710"/>
      <c r="U286" s="710"/>
      <c r="V286" s="710"/>
      <c r="W286" s="710"/>
      <c r="X286" s="710"/>
      <c r="Y286" s="710"/>
      <c r="Z286" s="710"/>
      <c r="AA286" s="710"/>
      <c r="AB286" s="710"/>
      <c r="AC286" s="710"/>
      <c r="AD286" s="710"/>
      <c r="AE286" s="710"/>
      <c r="AF286" s="710"/>
      <c r="AG286" s="710"/>
      <c r="AH286" s="710"/>
      <c r="AI286" s="710"/>
      <c r="AJ286" s="710"/>
      <c r="AK286" s="710"/>
      <c r="AL286" s="710"/>
      <c r="AM286" s="710"/>
      <c r="AN286" s="710"/>
      <c r="AO286" s="710"/>
      <c r="AP286" s="710"/>
      <c r="AQ286" s="710"/>
      <c r="AR286" s="710"/>
      <c r="AS286" s="710"/>
      <c r="AT286" s="710"/>
      <c r="AU286" s="710"/>
      <c r="AV286" s="710"/>
      <c r="AW286" s="710"/>
      <c r="AX286" s="710"/>
      <c r="AY286" s="710"/>
      <c r="AZ286" s="710"/>
      <c r="BA286" s="710"/>
      <c r="BB286" s="710"/>
      <c r="BC286" s="710"/>
      <c r="BD286" s="710"/>
      <c r="BE286" s="710"/>
      <c r="BF286" s="710"/>
      <c r="BG286" s="710"/>
      <c r="BH286" s="710"/>
      <c r="BI286" s="710"/>
      <c r="BJ286" s="710"/>
      <c r="BK286" s="710"/>
      <c r="BL286" s="710"/>
      <c r="BM286" s="710"/>
      <c r="BN286" s="710"/>
      <c r="BO286" s="710"/>
      <c r="BP286" s="710"/>
      <c r="BQ286" s="710"/>
      <c r="BR286" s="710"/>
      <c r="BS286" s="710"/>
      <c r="BT286" s="710"/>
      <c r="BU286" s="710"/>
      <c r="BV286" s="710"/>
      <c r="BW286" s="710"/>
      <c r="BX286" s="710"/>
      <c r="BY286" s="710"/>
      <c r="BZ286" s="710"/>
      <c r="CA286" s="710"/>
      <c r="CB286" s="710"/>
      <c r="CC286" s="710"/>
      <c r="CD286" s="710"/>
      <c r="CE286" s="710"/>
      <c r="CF286" s="710"/>
      <c r="CG286" s="710"/>
      <c r="CH286" s="710"/>
      <c r="CI286" s="710"/>
      <c r="CJ286" s="710"/>
      <c r="CK286" s="710"/>
      <c r="CL286" s="710"/>
      <c r="CM286" s="710"/>
      <c r="CN286" s="710"/>
      <c r="CO286" s="710"/>
      <c r="CP286" s="710"/>
      <c r="CQ286" s="710"/>
      <c r="CR286" s="710"/>
      <c r="CS286" s="710"/>
      <c r="CT286" s="710"/>
      <c r="CU286" s="710"/>
      <c r="CV286" s="710"/>
      <c r="CW286" s="710"/>
      <c r="CX286" s="710"/>
      <c r="CY286" s="710"/>
      <c r="CZ286" s="710"/>
      <c r="DA286" s="710"/>
      <c r="DC286" s="12">
        <f t="shared" si="330"/>
        <v>0</v>
      </c>
      <c r="DD286" s="12">
        <f t="shared" si="331"/>
        <v>0</v>
      </c>
      <c r="DE286" s="12">
        <f t="shared" si="332"/>
        <v>0</v>
      </c>
      <c r="DF286" s="12">
        <f t="shared" si="333"/>
        <v>0</v>
      </c>
      <c r="DG286" s="12">
        <f t="shared" si="334"/>
        <v>0</v>
      </c>
      <c r="DH286" s="12">
        <f t="shared" si="335"/>
        <v>0</v>
      </c>
      <c r="DI286" s="12">
        <f t="shared" si="321"/>
        <v>0</v>
      </c>
    </row>
    <row r="287" spans="2:113" ht="15" outlineLevel="2">
      <c r="E287" s="720" t="s">
        <v>621</v>
      </c>
      <c r="I287" s="609" t="s">
        <v>736</v>
      </c>
      <c r="O287" s="710"/>
      <c r="P287" s="710"/>
      <c r="Q287" s="710"/>
      <c r="R287" s="710"/>
      <c r="S287" s="710"/>
      <c r="T287" s="710"/>
      <c r="U287" s="710"/>
      <c r="V287" s="710"/>
      <c r="W287" s="710"/>
      <c r="X287" s="710"/>
      <c r="Y287" s="710"/>
      <c r="Z287" s="932">
        <v>-2.2500000000000001E-5</v>
      </c>
      <c r="AA287" s="932">
        <v>-0.159392799</v>
      </c>
      <c r="AB287" s="932">
        <v>-0.19083211</v>
      </c>
      <c r="AC287" s="932">
        <v>-0.13734068099999999</v>
      </c>
      <c r="AD287" s="932">
        <v>-0.10396910600000001</v>
      </c>
      <c r="AE287" s="932">
        <v>-0.32566225999999998</v>
      </c>
      <c r="AF287" s="932">
        <v>-0.39705836500000002</v>
      </c>
      <c r="AG287" s="746">
        <v>-0.64370701900000005</v>
      </c>
      <c r="AH287" s="746">
        <v>-0.48970949799999997</v>
      </c>
      <c r="AI287" s="933">
        <v>-0.87737227799999995</v>
      </c>
      <c r="AJ287" s="746">
        <v>-1.0540505680000001</v>
      </c>
      <c r="AK287" s="746">
        <v>-0.99769735600000009</v>
      </c>
      <c r="AL287" s="746">
        <v>-1.266103832</v>
      </c>
      <c r="AM287" s="906">
        <v>-1.9695133519999999</v>
      </c>
      <c r="AN287" s="906">
        <v>-3.2554235489999996</v>
      </c>
      <c r="AO287" s="906">
        <v>-2.220256864</v>
      </c>
      <c r="AP287" s="906">
        <v>-2.0109245709999999</v>
      </c>
      <c r="AQ287" s="714">
        <v>-2.5310819881491256</v>
      </c>
      <c r="AR287" s="714">
        <v>-3.3796064132630335</v>
      </c>
      <c r="AS287" s="714">
        <v>-3.8064339339871323</v>
      </c>
      <c r="AT287" s="714">
        <v>-10.858043081364567</v>
      </c>
      <c r="AU287" s="714">
        <v>-4.8339704996482729</v>
      </c>
      <c r="AV287" s="714">
        <v>-5.357161625697799</v>
      </c>
      <c r="AW287" s="714">
        <v>-5.6463712790064697</v>
      </c>
      <c r="AX287" s="714">
        <v>-5.8358756118308612</v>
      </c>
      <c r="AY287" s="714">
        <v>-5.8950269166663967</v>
      </c>
      <c r="AZ287" s="714">
        <v>-5.9061052357409869</v>
      </c>
      <c r="BA287" s="714">
        <v>-6.1057784215228263</v>
      </c>
      <c r="BB287" s="714">
        <v>-6.3580522999569515</v>
      </c>
      <c r="BC287" s="714">
        <v>-6.75000835119301</v>
      </c>
      <c r="BD287" s="714">
        <v>-6.8131861159800513</v>
      </c>
      <c r="BE287" s="714">
        <v>-6.877671222142502</v>
      </c>
      <c r="BF287" s="714">
        <v>-7.0898293895601361</v>
      </c>
      <c r="BG287" s="714">
        <v>-7.0887737770682833</v>
      </c>
      <c r="BH287" s="714">
        <v>-7.0612336969223817</v>
      </c>
      <c r="BI287" s="714">
        <v>-7.1280300554719291</v>
      </c>
      <c r="BJ287" s="714">
        <v>-7.3401726233229709</v>
      </c>
      <c r="BK287" s="714">
        <v>-7.2668609483951867</v>
      </c>
      <c r="BL287" s="714">
        <v>-7.0865424539446895</v>
      </c>
      <c r="BM287" s="714">
        <v>-7.394466817213206</v>
      </c>
      <c r="BN287" s="714">
        <v>-7.8531263354920222</v>
      </c>
      <c r="BO287" s="714">
        <v>-7.849278829118969</v>
      </c>
      <c r="BP287" s="714">
        <v>-7.8174472804004189</v>
      </c>
      <c r="BQ287" s="714">
        <v>-7.7297084258290338</v>
      </c>
      <c r="BR287" s="714">
        <v>-7.6788989361544102</v>
      </c>
      <c r="BS287" s="714">
        <v>-7.6626090564438725</v>
      </c>
      <c r="BT287" s="714">
        <v>-7.6251043736722659</v>
      </c>
      <c r="BU287" s="714">
        <v>-7.5593439372246847</v>
      </c>
      <c r="BV287" s="714">
        <v>-7.5507663690814146</v>
      </c>
      <c r="BW287" s="714">
        <v>-7.5414741216463126</v>
      </c>
      <c r="BX287" s="714">
        <v>-7.5848541406661161</v>
      </c>
      <c r="BY287" s="714">
        <v>-7.6737141834801541</v>
      </c>
      <c r="BZ287" s="714">
        <v>-7.8344710656106962</v>
      </c>
      <c r="CA287" s="714">
        <v>-7.991985697180132</v>
      </c>
      <c r="CB287" s="714">
        <v>-8.1424411016418112</v>
      </c>
      <c r="CC287" s="714">
        <v>-8.2854269352279566</v>
      </c>
      <c r="CD287" s="714">
        <v>-8.4261099203156888</v>
      </c>
      <c r="CE287" s="714">
        <v>-8.5585254106516331</v>
      </c>
      <c r="CF287" s="714">
        <v>-8.6843828832121446</v>
      </c>
      <c r="CG287" s="714">
        <v>-8.8069104444755961</v>
      </c>
      <c r="CH287" s="714">
        <v>-8.9328028082860769</v>
      </c>
      <c r="CI287" s="714">
        <v>-9.0601636930896507</v>
      </c>
      <c r="CJ287" s="714">
        <v>-9.1886888864104375</v>
      </c>
      <c r="CK287" s="714">
        <v>-9.3272524953691249</v>
      </c>
      <c r="CL287" s="714">
        <v>-9.481709231382915</v>
      </c>
      <c r="CM287" s="714">
        <v>-9.6366455078592637</v>
      </c>
      <c r="CN287" s="714">
        <v>-9.7906566679500671</v>
      </c>
      <c r="CO287" s="714">
        <v>-9.9435316212139551</v>
      </c>
      <c r="CP287" s="714">
        <v>-10.102167270828627</v>
      </c>
      <c r="CQ287" s="714">
        <v>-10.256533417146434</v>
      </c>
      <c r="CR287" s="714">
        <v>-10.408501357995751</v>
      </c>
      <c r="CS287" s="714">
        <v>-10.559388486551413</v>
      </c>
      <c r="CT287" s="714">
        <v>-10.715389836718407</v>
      </c>
      <c r="CU287" s="714">
        <v>-10.871498375275413</v>
      </c>
      <c r="CV287" s="714">
        <v>-11.027541220096918</v>
      </c>
      <c r="CW287" s="714">
        <v>-11.194528813211789</v>
      </c>
      <c r="CX287" s="714">
        <v>-11.37983992591346</v>
      </c>
      <c r="CY287" s="714">
        <v>-11.565337296414645</v>
      </c>
      <c r="CZ287" s="714">
        <v>-11.749568474553231</v>
      </c>
      <c r="DA287" s="714">
        <v>-11.932495337673009</v>
      </c>
      <c r="DC287" s="12">
        <f t="shared" si="330"/>
        <v>-1.9579848400000002</v>
      </c>
      <c r="DD287" s="12">
        <f t="shared" si="331"/>
        <v>-23.85817420339929</v>
      </c>
      <c r="DE287" s="12">
        <f t="shared" si="332"/>
        <v>-77.237250660750689</v>
      </c>
      <c r="DF287" s="12">
        <f t="shared" si="333"/>
        <v>-88.705470632739221</v>
      </c>
      <c r="DG287" s="12">
        <f t="shared" si="334"/>
        <v>-93.131089918029829</v>
      </c>
      <c r="DH287" s="12">
        <f t="shared" si="335"/>
        <v>-109.83737957021656</v>
      </c>
      <c r="DI287" s="12">
        <f t="shared" si="321"/>
        <v>-131.76278981237908</v>
      </c>
    </row>
    <row r="288" spans="2:113" s="698" customFormat="1" outlineLevel="2">
      <c r="B288" s="126"/>
      <c r="E288" s="724" t="s">
        <v>701</v>
      </c>
      <c r="H288" s="703"/>
      <c r="I288" s="609" t="s">
        <v>736</v>
      </c>
      <c r="J288" s="703"/>
      <c r="K288" s="703"/>
      <c r="L288" s="703"/>
      <c r="M288" s="703"/>
      <c r="O288" s="714"/>
      <c r="P288" s="714"/>
      <c r="Q288" s="714"/>
      <c r="R288" s="714"/>
      <c r="S288" s="714"/>
      <c r="T288" s="714"/>
      <c r="U288" s="714"/>
      <c r="V288" s="714"/>
      <c r="W288" s="714"/>
      <c r="X288" s="714"/>
      <c r="Y288" s="714"/>
      <c r="Z288" s="696">
        <f t="shared" ref="Z288:CK288" si="336">SUM(Z289:Z297)</f>
        <v>-0.554861912677452</v>
      </c>
      <c r="AA288" s="696">
        <f t="shared" si="336"/>
        <v>-1.1567142040454541</v>
      </c>
      <c r="AB288" s="696">
        <f t="shared" si="336"/>
        <v>-1.585168637788144</v>
      </c>
      <c r="AC288" s="696">
        <f t="shared" si="336"/>
        <v>-1.6407448074975941</v>
      </c>
      <c r="AD288" s="696">
        <f t="shared" si="336"/>
        <v>-1.3066235623504869</v>
      </c>
      <c r="AE288" s="696">
        <f t="shared" si="336"/>
        <v>-1.525399502825052</v>
      </c>
      <c r="AF288" s="696">
        <f t="shared" si="336"/>
        <v>-1.5856964979095751</v>
      </c>
      <c r="AG288" s="696">
        <f t="shared" si="336"/>
        <v>-1.7032549439473699</v>
      </c>
      <c r="AH288" s="872">
        <f t="shared" si="336"/>
        <v>-1.7933283287011923</v>
      </c>
      <c r="AI288" s="872">
        <f t="shared" si="336"/>
        <v>-1.3694350461117359</v>
      </c>
      <c r="AJ288" s="872">
        <f t="shared" si="336"/>
        <v>-2.0394579422630765</v>
      </c>
      <c r="AK288" s="872">
        <f t="shared" si="336"/>
        <v>-2.4266213493302691</v>
      </c>
      <c r="AL288" s="872">
        <f t="shared" si="336"/>
        <v>-3.0732412060200671</v>
      </c>
      <c r="AM288" s="872">
        <f t="shared" si="336"/>
        <v>-4.3143777940909596</v>
      </c>
      <c r="AN288" s="872">
        <f t="shared" si="336"/>
        <v>-5.1392631038360541</v>
      </c>
      <c r="AO288" s="696">
        <f t="shared" si="336"/>
        <v>-5.3969503276688364</v>
      </c>
      <c r="AP288" s="696">
        <f t="shared" si="336"/>
        <v>-4.9425116750342877</v>
      </c>
      <c r="AQ288" s="696">
        <f t="shared" si="336"/>
        <v>-6.081329274706138</v>
      </c>
      <c r="AR288" s="696">
        <f t="shared" si="336"/>
        <v>-5.6594704459482807</v>
      </c>
      <c r="AS288" s="696">
        <f t="shared" si="336"/>
        <v>-6.0362696327791125</v>
      </c>
      <c r="AT288" s="696">
        <f t="shared" si="336"/>
        <v>-6.9574746586217948</v>
      </c>
      <c r="AU288" s="696">
        <f t="shared" si="336"/>
        <v>-7.1351694401978154</v>
      </c>
      <c r="AV288" s="696">
        <f t="shared" si="336"/>
        <v>-7.4535131759796149</v>
      </c>
      <c r="AW288" s="696">
        <f t="shared" si="336"/>
        <v>-7.4065365390141498</v>
      </c>
      <c r="AX288" s="696">
        <f t="shared" si="336"/>
        <v>-7.520834263401369</v>
      </c>
      <c r="AY288" s="696">
        <f t="shared" si="336"/>
        <v>-7.320101060025797</v>
      </c>
      <c r="AZ288" s="696">
        <f t="shared" si="336"/>
        <v>-7.3621039347257211</v>
      </c>
      <c r="BA288" s="696">
        <f t="shared" si="336"/>
        <v>-7.461197927181404</v>
      </c>
      <c r="BB288" s="696">
        <f t="shared" si="336"/>
        <v>-7.5551037328263861</v>
      </c>
      <c r="BC288" s="696">
        <f t="shared" si="336"/>
        <v>-7.650775814003941</v>
      </c>
      <c r="BD288" s="696">
        <f t="shared" si="336"/>
        <v>-7.7502558269536479</v>
      </c>
      <c r="BE288" s="696">
        <f t="shared" si="336"/>
        <v>-7.8454705459066272</v>
      </c>
      <c r="BF288" s="696">
        <f t="shared" si="336"/>
        <v>-9.0905209075983411</v>
      </c>
      <c r="BG288" s="696">
        <f t="shared" si="336"/>
        <v>-9.2235017754462625</v>
      </c>
      <c r="BH288" s="696">
        <f t="shared" si="336"/>
        <v>-9.3851183221861216</v>
      </c>
      <c r="BI288" s="696">
        <f t="shared" si="336"/>
        <v>-9.3360894449259515</v>
      </c>
      <c r="BJ288" s="696">
        <f t="shared" si="336"/>
        <v>-8.8898011212772214</v>
      </c>
      <c r="BK288" s="696">
        <f t="shared" si="336"/>
        <v>-8.8771282098367088</v>
      </c>
      <c r="BL288" s="696">
        <f t="shared" si="336"/>
        <v>-8.8838566349870618</v>
      </c>
      <c r="BM288" s="696">
        <f t="shared" si="336"/>
        <v>-8.8873155590709736</v>
      </c>
      <c r="BN288" s="696">
        <f t="shared" si="336"/>
        <v>-8.9441878063529945</v>
      </c>
      <c r="BO288" s="696">
        <f t="shared" si="336"/>
        <v>-8.9559705523907169</v>
      </c>
      <c r="BP288" s="696">
        <f t="shared" si="336"/>
        <v>-8.9709704641374604</v>
      </c>
      <c r="BQ288" s="696">
        <f t="shared" si="336"/>
        <v>-9.0432448430978898</v>
      </c>
      <c r="BR288" s="696">
        <f t="shared" si="336"/>
        <v>-9.4869225448935044</v>
      </c>
      <c r="BS288" s="696">
        <f t="shared" si="336"/>
        <v>-9.7217241104281076</v>
      </c>
      <c r="BT288" s="696">
        <f t="shared" si="336"/>
        <v>-9.9054133457819162</v>
      </c>
      <c r="BU288" s="696">
        <f t="shared" si="336"/>
        <v>-10.085427753156566</v>
      </c>
      <c r="BV288" s="696">
        <f t="shared" si="336"/>
        <v>-10.19480547347839</v>
      </c>
      <c r="BW288" s="696">
        <f t="shared" si="336"/>
        <v>-10.302724228356549</v>
      </c>
      <c r="BX288" s="696">
        <f t="shared" si="336"/>
        <v>-10.411670899599539</v>
      </c>
      <c r="BY288" s="696">
        <f t="shared" si="336"/>
        <v>-10.521380553014531</v>
      </c>
      <c r="BZ288" s="696">
        <f t="shared" si="336"/>
        <v>-10.635905385999607</v>
      </c>
      <c r="CA288" s="696">
        <f t="shared" si="336"/>
        <v>-10.753766509156833</v>
      </c>
      <c r="CB288" s="696">
        <f t="shared" si="336"/>
        <v>-10.876896757833737</v>
      </c>
      <c r="CC288" s="696">
        <f t="shared" si="336"/>
        <v>-11.003128999925861</v>
      </c>
      <c r="CD288" s="696">
        <f t="shared" si="336"/>
        <v>-11.372659296484183</v>
      </c>
      <c r="CE288" s="696">
        <f t="shared" si="336"/>
        <v>-11.5489655542302</v>
      </c>
      <c r="CF288" s="696">
        <f t="shared" si="336"/>
        <v>-11.724558311538548</v>
      </c>
      <c r="CG288" s="696">
        <f t="shared" si="336"/>
        <v>-11.898998400191021</v>
      </c>
      <c r="CH288" s="696">
        <f t="shared" si="336"/>
        <v>-12.058633720289818</v>
      </c>
      <c r="CI288" s="696">
        <f t="shared" si="336"/>
        <v>-12.217370299496226</v>
      </c>
      <c r="CJ288" s="696">
        <f t="shared" si="336"/>
        <v>-12.375960742622205</v>
      </c>
      <c r="CK288" s="696">
        <f t="shared" si="336"/>
        <v>-12.534570140630448</v>
      </c>
      <c r="CL288" s="696">
        <f>SUM(CL289:CL297)</f>
        <v>-12.693555612275212</v>
      </c>
      <c r="CM288" s="696">
        <f>SUM(CM289:CM297)</f>
        <v>-12.853124755993191</v>
      </c>
      <c r="CN288" s="696">
        <f>SUM(CN289:CN297)</f>
        <v>-13.013437825230767</v>
      </c>
      <c r="CO288" s="696">
        <f>SUM(CO289:CO297)</f>
        <v>-13.174435882450014</v>
      </c>
      <c r="CP288" s="696">
        <f t="shared" ref="CP288:CW288" si="337">SUM(CP289:CP297)</f>
        <v>-13.500791121539333</v>
      </c>
      <c r="CQ288" s="696">
        <f t="shared" si="337"/>
        <v>-13.717724393298486</v>
      </c>
      <c r="CR288" s="696">
        <f t="shared" si="337"/>
        <v>-13.934249103341932</v>
      </c>
      <c r="CS288" s="696">
        <f t="shared" si="337"/>
        <v>-14.149791012478691</v>
      </c>
      <c r="CT288" s="696">
        <f t="shared" si="337"/>
        <v>-14.34794022455816</v>
      </c>
      <c r="CU288" s="696">
        <f t="shared" si="337"/>
        <v>-14.545189280495475</v>
      </c>
      <c r="CV288" s="696">
        <f t="shared" si="337"/>
        <v>-14.74232712639623</v>
      </c>
      <c r="CW288" s="696">
        <f t="shared" si="337"/>
        <v>-14.939360066044895</v>
      </c>
      <c r="CX288" s="696">
        <f>SUM(CX289:CX297)</f>
        <v>-15.136625389735034</v>
      </c>
      <c r="CY288" s="696">
        <f>SUM(CY289:CY297)</f>
        <v>-15.334298097755227</v>
      </c>
      <c r="CZ288" s="696">
        <f>SUM(CZ289:CZ297)</f>
        <v>-15.532604333873564</v>
      </c>
      <c r="DA288" s="696">
        <f>SUM(DA289:DA297)</f>
        <v>-15.731510875796747</v>
      </c>
      <c r="DC288" s="12">
        <f t="shared" si="314"/>
        <v>-11.058464069041127</v>
      </c>
      <c r="DD288" s="12">
        <f t="shared" si="315"/>
        <v>-48.272256126489999</v>
      </c>
      <c r="DE288" s="12">
        <f t="shared" si="316"/>
        <v>-89.418536918838257</v>
      </c>
      <c r="DF288" s="12">
        <f t="shared" si="326"/>
        <v>-108.48770564130774</v>
      </c>
      <c r="DG288" s="12">
        <f t="shared" si="320"/>
        <v>-123.89976656162513</v>
      </c>
      <c r="DH288" s="12">
        <f t="shared" si="317"/>
        <v>-147.46627054143184</v>
      </c>
      <c r="DI288" s="12">
        <f t="shared" si="321"/>
        <v>-175.6124110253138</v>
      </c>
    </row>
    <row r="289" spans="5:113" ht="15" outlineLevel="2">
      <c r="F289" s="126" t="s">
        <v>100</v>
      </c>
      <c r="I289" s="609" t="s">
        <v>736</v>
      </c>
      <c r="O289" s="710"/>
      <c r="P289" s="710"/>
      <c r="Q289" s="710"/>
      <c r="R289" s="710"/>
      <c r="S289" s="710"/>
      <c r="T289" s="710"/>
      <c r="U289" s="710"/>
      <c r="V289" s="710"/>
      <c r="W289" s="710"/>
      <c r="X289" s="710"/>
      <c r="Y289" s="710"/>
      <c r="Z289" s="712">
        <v>-0.131364782677452</v>
      </c>
      <c r="AA289" s="712">
        <v>-0.17436012000000001</v>
      </c>
      <c r="AB289" s="712">
        <v>-0.16396981563382601</v>
      </c>
      <c r="AC289" s="712">
        <v>-0.13612667195341199</v>
      </c>
      <c r="AD289" s="712">
        <v>-0.19756395099999999</v>
      </c>
      <c r="AE289" s="712">
        <v>-0.27256164599999999</v>
      </c>
      <c r="AF289" s="712">
        <v>-0.235689447</v>
      </c>
      <c r="AG289" s="713">
        <v>-0.22425020600000001</v>
      </c>
      <c r="AH289" s="616">
        <v>-0.29324641100000004</v>
      </c>
      <c r="AI289" s="616">
        <v>-0.27453536000000001</v>
      </c>
      <c r="AJ289" s="616">
        <v>-0.32655998399999997</v>
      </c>
      <c r="AK289" s="616">
        <v>-0.33982459399999998</v>
      </c>
      <c r="AL289" s="616">
        <v>-0.34593723100000007</v>
      </c>
      <c r="AM289" s="616">
        <v>-0.36690215300000001</v>
      </c>
      <c r="AN289" s="616">
        <v>-0.33343895499999993</v>
      </c>
      <c r="AO289" s="616">
        <v>-0.31538658500000005</v>
      </c>
      <c r="AP289" s="616">
        <v>-0.25937691400000001</v>
      </c>
      <c r="AQ289" s="710">
        <v>-0.42741599999999996</v>
      </c>
      <c r="AR289" s="710">
        <v>-0.37599999999999995</v>
      </c>
      <c r="AS289" s="710">
        <v>-0.40266666666666667</v>
      </c>
      <c r="AT289" s="710">
        <v>-0.40937777777777778</v>
      </c>
      <c r="AU289" s="710">
        <v>-0.41608888888888879</v>
      </c>
      <c r="AV289" s="710">
        <v>-0.4227999999999999</v>
      </c>
      <c r="AW289" s="710">
        <v>-0.42951111111111101</v>
      </c>
      <c r="AX289" s="710">
        <v>-0.43622222222222207</v>
      </c>
      <c r="AY289" s="710">
        <v>-0.44293333333333312</v>
      </c>
      <c r="AZ289" s="710">
        <v>-0.44964444444444424</v>
      </c>
      <c r="BA289" s="710">
        <v>-0.45635555555555529</v>
      </c>
      <c r="BB289" s="710">
        <v>-0.4630666666666664</v>
      </c>
      <c r="BC289" s="710">
        <v>-0.46977777777777752</v>
      </c>
      <c r="BD289" s="710">
        <v>-0.47648888888888852</v>
      </c>
      <c r="BE289" s="710">
        <v>-0.48319999999999991</v>
      </c>
      <c r="BF289" s="710">
        <v>-0.48319999999999991</v>
      </c>
      <c r="BG289" s="710">
        <v>-0.48319999999999991</v>
      </c>
      <c r="BH289" s="710">
        <v>-0.48319999999999991</v>
      </c>
      <c r="BI289" s="710">
        <v>-0.48319999999999991</v>
      </c>
      <c r="BJ289" s="710">
        <v>-0.48319999999999991</v>
      </c>
      <c r="BK289" s="710">
        <v>-0.48319999999999991</v>
      </c>
      <c r="BL289" s="710">
        <v>-0.48319999999999991</v>
      </c>
      <c r="BM289" s="710">
        <v>-0.48319999999999991</v>
      </c>
      <c r="BN289" s="710">
        <v>-0.48319999999999991</v>
      </c>
      <c r="BO289" s="710">
        <v>-0.48319999999999991</v>
      </c>
      <c r="BP289" s="710">
        <v>-0.48319999999999991</v>
      </c>
      <c r="BQ289" s="710">
        <v>-0.48319999999999991</v>
      </c>
      <c r="BR289" s="710">
        <v>-0.49125333333333326</v>
      </c>
      <c r="BS289" s="710">
        <v>-0.49930666666666657</v>
      </c>
      <c r="BT289" s="710">
        <v>-0.50735999999999992</v>
      </c>
      <c r="BU289" s="710">
        <v>-0.51541333333333328</v>
      </c>
      <c r="BV289" s="710">
        <v>-0.52346666666666652</v>
      </c>
      <c r="BW289" s="710">
        <v>-0.53151999999999988</v>
      </c>
      <c r="BX289" s="710">
        <v>-0.53957333333333324</v>
      </c>
      <c r="BY289" s="710">
        <v>-0.54762666666666648</v>
      </c>
      <c r="BZ289" s="710">
        <v>-0.55567999999999984</v>
      </c>
      <c r="CA289" s="710">
        <v>-0.56373333333333309</v>
      </c>
      <c r="CB289" s="710">
        <v>-0.57178666666666644</v>
      </c>
      <c r="CC289" s="710">
        <v>-0.57983999999999991</v>
      </c>
      <c r="CD289" s="710">
        <v>-0.58950399999999992</v>
      </c>
      <c r="CE289" s="710">
        <v>-0.59916799999999992</v>
      </c>
      <c r="CF289" s="710">
        <v>-0.60883199999999993</v>
      </c>
      <c r="CG289" s="710">
        <v>-0.61849599999999982</v>
      </c>
      <c r="CH289" s="710">
        <v>-0.62815999999999983</v>
      </c>
      <c r="CI289" s="710">
        <v>-0.63782399999999972</v>
      </c>
      <c r="CJ289" s="710">
        <v>-0.64748799999999962</v>
      </c>
      <c r="CK289" s="710">
        <v>-0.65715199999999974</v>
      </c>
      <c r="CL289" s="710">
        <v>-0.66681599999999963</v>
      </c>
      <c r="CM289" s="710">
        <v>-0.67647999999999953</v>
      </c>
      <c r="CN289" s="710">
        <v>-0.68614399999999953</v>
      </c>
      <c r="CO289" s="710">
        <v>-0.69580799999999987</v>
      </c>
      <c r="CP289" s="710">
        <v>-0.70740479999999983</v>
      </c>
      <c r="CQ289" s="710">
        <v>-0.71900159999999991</v>
      </c>
      <c r="CR289" s="710">
        <v>-0.73059839999999998</v>
      </c>
      <c r="CS289" s="710">
        <v>-0.74219519999999994</v>
      </c>
      <c r="CT289" s="710">
        <v>-0.75379199999999991</v>
      </c>
      <c r="CU289" s="710">
        <v>-0.76538879999999987</v>
      </c>
      <c r="CV289" s="710">
        <v>-0.77698559999999983</v>
      </c>
      <c r="CW289" s="710">
        <v>-0.78858239999999979</v>
      </c>
      <c r="CX289" s="710">
        <v>-0.80017919999999976</v>
      </c>
      <c r="CY289" s="710">
        <v>-0.8117759999999995</v>
      </c>
      <c r="CZ289" s="710">
        <v>-0.82337279999999946</v>
      </c>
      <c r="DA289" s="710">
        <v>-0.83496959999999998</v>
      </c>
      <c r="DC289" s="14">
        <f t="shared" si="314"/>
        <v>-1.53588664026469</v>
      </c>
      <c r="DD289" s="14">
        <f t="shared" si="315"/>
        <v>-4.0612908536666668</v>
      </c>
      <c r="DE289" s="14">
        <f t="shared" si="316"/>
        <v>-5.3554666666666639</v>
      </c>
      <c r="DF289" s="14">
        <f t="shared" si="326"/>
        <v>-5.7984</v>
      </c>
      <c r="DG289" s="14">
        <f t="shared" si="320"/>
        <v>-6.4265599999999985</v>
      </c>
      <c r="DH289" s="14">
        <f t="shared" si="317"/>
        <v>-7.7118719999999978</v>
      </c>
      <c r="DI289" s="14">
        <f t="shared" si="321"/>
        <v>-9.254246399999996</v>
      </c>
    </row>
    <row r="290" spans="5:113" ht="15" outlineLevel="2">
      <c r="F290" s="126" t="s">
        <v>107</v>
      </c>
      <c r="I290" s="609" t="s">
        <v>736</v>
      </c>
      <c r="O290" s="710"/>
      <c r="P290" s="710"/>
      <c r="Q290" s="710"/>
      <c r="R290" s="710"/>
      <c r="S290" s="710"/>
      <c r="T290" s="710"/>
      <c r="U290" s="710"/>
      <c r="V290" s="710"/>
      <c r="W290" s="710"/>
      <c r="X290" s="710"/>
      <c r="Y290" s="710"/>
      <c r="Z290" s="712">
        <v>0</v>
      </c>
      <c r="AA290" s="712">
        <v>0</v>
      </c>
      <c r="AB290" s="712">
        <v>-0.138775650017958</v>
      </c>
      <c r="AC290" s="712">
        <v>-0.193714864726002</v>
      </c>
      <c r="AD290" s="712">
        <v>-0.19499755135048699</v>
      </c>
      <c r="AE290" s="712">
        <v>-0.17624600173414301</v>
      </c>
      <c r="AF290" s="712">
        <v>-0.14701751200048399</v>
      </c>
      <c r="AG290" s="713">
        <v>-0.10354719594737</v>
      </c>
      <c r="AH290" s="616">
        <v>-0.10801703420468527</v>
      </c>
      <c r="AI290" s="616">
        <v>-0.11051803993819004</v>
      </c>
      <c r="AJ290" s="616">
        <v>-6.0343175230369736E-2</v>
      </c>
      <c r="AK290" s="616">
        <v>-6.9001624031021974E-2</v>
      </c>
      <c r="AL290" s="616">
        <v>-0.13314975806954735</v>
      </c>
      <c r="AM290" s="616">
        <v>-0.23719076732949687</v>
      </c>
      <c r="AN290" s="616">
        <v>-0.27782660328604109</v>
      </c>
      <c r="AO290" s="616">
        <v>-0.13196200853553153</v>
      </c>
      <c r="AP290" s="616">
        <v>-0.18437444257684307</v>
      </c>
      <c r="AQ290" s="739">
        <v>-0.23151700000000003</v>
      </c>
      <c r="AR290" s="739">
        <v>-0.20366666666666666</v>
      </c>
      <c r="AS290" s="739">
        <v>-0.21811111111111112</v>
      </c>
      <c r="AT290" s="710">
        <v>-0.2217462962962963</v>
      </c>
      <c r="AU290" s="710">
        <v>-0.22538148148148146</v>
      </c>
      <c r="AV290" s="710">
        <v>-0.22901666666666662</v>
      </c>
      <c r="AW290" s="710">
        <v>-0.23265185185185183</v>
      </c>
      <c r="AX290" s="710">
        <v>-0.23628703703703699</v>
      </c>
      <c r="AY290" s="710">
        <v>-0.23992222222222212</v>
      </c>
      <c r="AZ290" s="710">
        <v>-0.24355740740740731</v>
      </c>
      <c r="BA290" s="710">
        <v>-0.24719259259259246</v>
      </c>
      <c r="BB290" s="710">
        <v>-0.25082777777777765</v>
      </c>
      <c r="BC290" s="710">
        <v>-0.25446296296296284</v>
      </c>
      <c r="BD290" s="710">
        <v>-0.25809814814814797</v>
      </c>
      <c r="BE290" s="710">
        <v>-0.26173333333333332</v>
      </c>
      <c r="BF290" s="710">
        <v>-0.26173333333333332</v>
      </c>
      <c r="BG290" s="710">
        <v>-0.26173333333333332</v>
      </c>
      <c r="BH290" s="710">
        <v>-0.26173333333333332</v>
      </c>
      <c r="BI290" s="710">
        <v>-0.26173333333333332</v>
      </c>
      <c r="BJ290" s="710">
        <v>-0.26173333333333332</v>
      </c>
      <c r="BK290" s="710">
        <v>-0.26173333333333332</v>
      </c>
      <c r="BL290" s="710">
        <v>-0.26173333333333332</v>
      </c>
      <c r="BM290" s="710">
        <v>-0.26173333333333332</v>
      </c>
      <c r="BN290" s="710">
        <v>-0.26173333333333332</v>
      </c>
      <c r="BO290" s="710">
        <v>-0.26173333333333332</v>
      </c>
      <c r="BP290" s="710">
        <v>-0.26173333333333332</v>
      </c>
      <c r="BQ290" s="710">
        <v>-0.26173333333333332</v>
      </c>
      <c r="BR290" s="710">
        <v>-0.26609555555555559</v>
      </c>
      <c r="BS290" s="710">
        <v>-0.2704577777777778</v>
      </c>
      <c r="BT290" s="710">
        <v>-0.27482000000000001</v>
      </c>
      <c r="BU290" s="710">
        <v>-0.27918222222222222</v>
      </c>
      <c r="BV290" s="710">
        <v>-0.28354444444444438</v>
      </c>
      <c r="BW290" s="710">
        <v>-0.28790666666666659</v>
      </c>
      <c r="BX290" s="710">
        <v>-0.29226888888888886</v>
      </c>
      <c r="BY290" s="710">
        <v>-0.29663111111111101</v>
      </c>
      <c r="BZ290" s="710">
        <v>-0.30099333333333322</v>
      </c>
      <c r="CA290" s="710">
        <v>-0.30535555555555544</v>
      </c>
      <c r="CB290" s="710">
        <v>-0.30971777777777765</v>
      </c>
      <c r="CC290" s="710">
        <v>-0.31407999999999997</v>
      </c>
      <c r="CD290" s="710">
        <v>-0.31931466666666664</v>
      </c>
      <c r="CE290" s="710">
        <v>-0.3245493333333333</v>
      </c>
      <c r="CF290" s="710">
        <v>-0.32978399999999991</v>
      </c>
      <c r="CG290" s="710">
        <v>-0.33501866666666663</v>
      </c>
      <c r="CH290" s="710">
        <v>-0.34025333333333324</v>
      </c>
      <c r="CI290" s="710">
        <v>-0.34548799999999985</v>
      </c>
      <c r="CJ290" s="710">
        <v>-0.35072266666666652</v>
      </c>
      <c r="CK290" s="710">
        <v>-0.35595733333333324</v>
      </c>
      <c r="CL290" s="710">
        <v>-0.36119199999999985</v>
      </c>
      <c r="CM290" s="710">
        <v>-0.36642666666666646</v>
      </c>
      <c r="CN290" s="710">
        <v>-0.37166133333333312</v>
      </c>
      <c r="CO290" s="710">
        <v>-0.37689599999999995</v>
      </c>
      <c r="CP290" s="710">
        <v>-0.38317759999999995</v>
      </c>
      <c r="CQ290" s="710">
        <v>-0.38945919999999995</v>
      </c>
      <c r="CR290" s="710">
        <v>-0.39574080000000006</v>
      </c>
      <c r="CS290" s="710">
        <v>-0.4020224</v>
      </c>
      <c r="CT290" s="710">
        <v>-0.408304</v>
      </c>
      <c r="CU290" s="710">
        <v>-0.4145856</v>
      </c>
      <c r="CV290" s="710">
        <v>-0.42086719999999989</v>
      </c>
      <c r="CW290" s="710">
        <v>-0.42714879999999988</v>
      </c>
      <c r="CX290" s="710">
        <v>-0.43343039999999988</v>
      </c>
      <c r="CY290" s="710">
        <v>-0.43971199999999983</v>
      </c>
      <c r="CZ290" s="710">
        <v>-0.44599359999999971</v>
      </c>
      <c r="DA290" s="710">
        <v>-0.45227519999999999</v>
      </c>
      <c r="DC290" s="12">
        <f t="shared" si="314"/>
        <v>-0.95429877577644384</v>
      </c>
      <c r="DD290" s="12">
        <f t="shared" si="315"/>
        <v>-1.9656782309795047</v>
      </c>
      <c r="DE290" s="12">
        <f t="shared" si="316"/>
        <v>-2.9008777777777768</v>
      </c>
      <c r="DF290" s="12">
        <f t="shared" si="326"/>
        <v>-3.1408</v>
      </c>
      <c r="DG290" s="12">
        <f t="shared" si="320"/>
        <v>-3.4810533333333331</v>
      </c>
      <c r="DH290" s="12">
        <f t="shared" si="317"/>
        <v>-4.1772639999999992</v>
      </c>
      <c r="DI290" s="12">
        <f t="shared" si="321"/>
        <v>-5.0127167999999989</v>
      </c>
    </row>
    <row r="291" spans="5:113" ht="15" outlineLevel="2">
      <c r="F291" s="126" t="s">
        <v>806</v>
      </c>
      <c r="I291" s="609" t="s">
        <v>736</v>
      </c>
      <c r="O291" s="710"/>
      <c r="P291" s="710"/>
      <c r="Q291" s="710"/>
      <c r="R291" s="710"/>
      <c r="S291" s="710"/>
      <c r="T291" s="710"/>
      <c r="U291" s="710"/>
      <c r="V291" s="710"/>
      <c r="W291" s="710"/>
      <c r="X291" s="710"/>
      <c r="Y291" s="710"/>
      <c r="Z291" s="902">
        <v>-3.1329129999999997E-2</v>
      </c>
      <c r="AA291" s="902">
        <v>-5.6893899999999997E-2</v>
      </c>
      <c r="AB291" s="902">
        <v>-6.2674919999999995E-2</v>
      </c>
      <c r="AC291" s="902">
        <v>-5.5594419999999999E-2</v>
      </c>
      <c r="AD291" s="902">
        <v>-5.9934349999999997E-2</v>
      </c>
      <c r="AE291" s="902">
        <v>-8.3899760000000004E-2</v>
      </c>
      <c r="AF291" s="902">
        <v>-8.9647459999999998E-2</v>
      </c>
      <c r="AG291" s="721">
        <v>-8.980573E-2</v>
      </c>
      <c r="AH291" s="616">
        <v>-0.116260144</v>
      </c>
      <c r="AI291" s="934">
        <v>-0.10444154</v>
      </c>
      <c r="AJ291" s="934">
        <v>-0.14141008000000002</v>
      </c>
      <c r="AK291" s="934">
        <v>-0.17492167</v>
      </c>
      <c r="AL291" s="934">
        <v>-0.18545911999999998</v>
      </c>
      <c r="AM291" s="934">
        <v>-0.244047342</v>
      </c>
      <c r="AN291" s="721">
        <v>-0.25299185299999999</v>
      </c>
      <c r="AO291" s="935">
        <v>-2.7273594999999998E-2</v>
      </c>
      <c r="AP291" s="721">
        <v>-2.6713876000000001E-2</v>
      </c>
      <c r="AQ291" s="739">
        <v>-0.14247199999999999</v>
      </c>
      <c r="AR291" s="739">
        <v>-0.12533333333333332</v>
      </c>
      <c r="AS291" s="739">
        <v>-0.13422222222222221</v>
      </c>
      <c r="AT291" s="710">
        <v>-0.13645925925925925</v>
      </c>
      <c r="AU291" s="710">
        <v>-0.13869629629629629</v>
      </c>
      <c r="AV291" s="710">
        <v>-0.14093333333333333</v>
      </c>
      <c r="AW291" s="710">
        <v>-0.14317037037037034</v>
      </c>
      <c r="AX291" s="710">
        <v>-0.14540740740740735</v>
      </c>
      <c r="AY291" s="710">
        <v>-0.14764444444444438</v>
      </c>
      <c r="AZ291" s="710">
        <v>-0.14988148148148139</v>
      </c>
      <c r="BA291" s="710">
        <v>-0.15211851851851846</v>
      </c>
      <c r="BB291" s="710">
        <v>-0.15435555555555547</v>
      </c>
      <c r="BC291" s="710">
        <v>-0.15659259259259251</v>
      </c>
      <c r="BD291" s="710">
        <v>-0.15882962962962952</v>
      </c>
      <c r="BE291" s="710">
        <v>-0.16106666666666666</v>
      </c>
      <c r="BF291" s="739">
        <v>-0.16106666666666666</v>
      </c>
      <c r="BG291" s="739">
        <v>-0.16106666666666666</v>
      </c>
      <c r="BH291" s="739">
        <v>-0.16106666666666666</v>
      </c>
      <c r="BI291" s="739">
        <v>-0.16106666666666666</v>
      </c>
      <c r="BJ291" s="739">
        <v>-0.16106666666666666</v>
      </c>
      <c r="BK291" s="739">
        <v>-0.16106666666666666</v>
      </c>
      <c r="BL291" s="739">
        <v>-0.16106666666666666</v>
      </c>
      <c r="BM291" s="739">
        <v>-0.16106666666666666</v>
      </c>
      <c r="BN291" s="739">
        <v>-0.16106666666666666</v>
      </c>
      <c r="BO291" s="739">
        <v>-0.16106666666666666</v>
      </c>
      <c r="BP291" s="739">
        <v>-0.16106666666666666</v>
      </c>
      <c r="BQ291" s="739">
        <v>-0.16106666666666666</v>
      </c>
      <c r="BR291" s="739">
        <v>-0.1637511111111111</v>
      </c>
      <c r="BS291" s="739">
        <v>-0.16643555555555553</v>
      </c>
      <c r="BT291" s="739">
        <v>-0.16911999999999996</v>
      </c>
      <c r="BU291" s="739">
        <v>-0.1718044444444444</v>
      </c>
      <c r="BV291" s="739">
        <v>-0.17448888888888886</v>
      </c>
      <c r="BW291" s="739">
        <v>-0.17717333333333329</v>
      </c>
      <c r="BX291" s="739">
        <v>-0.17985777777777773</v>
      </c>
      <c r="BY291" s="739">
        <v>-0.18254222222222216</v>
      </c>
      <c r="BZ291" s="739">
        <v>-0.1852266666666666</v>
      </c>
      <c r="CA291" s="739">
        <v>-0.18791111111111103</v>
      </c>
      <c r="CB291" s="739">
        <v>-0.19059555555555546</v>
      </c>
      <c r="CC291" s="739">
        <v>-0.19328000000000001</v>
      </c>
      <c r="CD291" s="739">
        <v>-0.19650133333333331</v>
      </c>
      <c r="CE291" s="739">
        <v>-0.19972266666666663</v>
      </c>
      <c r="CF291" s="739">
        <v>-0.20294399999999996</v>
      </c>
      <c r="CG291" s="739">
        <v>-0.20616533333333328</v>
      </c>
      <c r="CH291" s="739">
        <v>-0.20938666666666661</v>
      </c>
      <c r="CI291" s="739">
        <v>-0.21260799999999991</v>
      </c>
      <c r="CJ291" s="739">
        <v>-0.21582933333333323</v>
      </c>
      <c r="CK291" s="739">
        <v>-0.21905066666666656</v>
      </c>
      <c r="CL291" s="739">
        <v>-0.22227199999999989</v>
      </c>
      <c r="CM291" s="739">
        <v>-0.22549333333333318</v>
      </c>
      <c r="CN291" s="739">
        <v>-0.22871466666666651</v>
      </c>
      <c r="CO291" s="739">
        <v>-0.23193599999999998</v>
      </c>
      <c r="CP291" s="739">
        <v>-0.23580159999999997</v>
      </c>
      <c r="CQ291" s="739">
        <v>-0.23966719999999997</v>
      </c>
      <c r="CR291" s="739">
        <v>-0.24353279999999999</v>
      </c>
      <c r="CS291" s="739">
        <v>-0.24739839999999999</v>
      </c>
      <c r="CT291" s="739">
        <v>-0.25126399999999999</v>
      </c>
      <c r="CU291" s="739">
        <v>-0.25512959999999996</v>
      </c>
      <c r="CV291" s="739">
        <v>-0.25899519999999998</v>
      </c>
      <c r="CW291" s="739">
        <v>-0.26286079999999995</v>
      </c>
      <c r="CX291" s="739">
        <v>-0.26672639999999992</v>
      </c>
      <c r="CY291" s="739">
        <v>-0.27059199999999989</v>
      </c>
      <c r="CZ291" s="739">
        <v>-0.27445759999999986</v>
      </c>
      <c r="DA291" s="739">
        <v>-0.27832319999999999</v>
      </c>
      <c r="DC291" s="12">
        <f t="shared" si="314"/>
        <v>-0.52977967000000004</v>
      </c>
      <c r="DD291" s="12">
        <f t="shared" si="315"/>
        <v>-1.6755467755555555</v>
      </c>
      <c r="DE291" s="12">
        <f t="shared" si="316"/>
        <v>-1.7851555555555552</v>
      </c>
      <c r="DF291" s="12">
        <f t="shared" si="326"/>
        <v>-1.9328000000000001</v>
      </c>
      <c r="DG291" s="12">
        <f t="shared" si="320"/>
        <v>-2.1421866666666665</v>
      </c>
      <c r="DH291" s="12">
        <f t="shared" si="317"/>
        <v>-2.5706239999999991</v>
      </c>
      <c r="DI291" s="12">
        <f t="shared" si="321"/>
        <v>-3.084748799999999</v>
      </c>
    </row>
    <row r="292" spans="5:113" outlineLevel="2">
      <c r="F292" s="126" t="s">
        <v>807</v>
      </c>
      <c r="I292" s="609" t="s">
        <v>736</v>
      </c>
      <c r="O292" s="710"/>
      <c r="P292" s="710"/>
      <c r="Q292" s="710"/>
      <c r="R292" s="710"/>
      <c r="S292" s="710"/>
      <c r="T292" s="710"/>
      <c r="U292" s="710"/>
      <c r="V292" s="710"/>
      <c r="W292" s="710"/>
      <c r="X292" s="710"/>
      <c r="Y292" s="710"/>
      <c r="Z292" s="713"/>
      <c r="AA292" s="713"/>
      <c r="AB292" s="713"/>
      <c r="AC292" s="713"/>
      <c r="AD292" s="713"/>
      <c r="AE292" s="713"/>
      <c r="AF292" s="713"/>
      <c r="AG292" s="713">
        <v>0</v>
      </c>
      <c r="AH292" s="721">
        <v>0</v>
      </c>
      <c r="AI292" s="721">
        <v>0</v>
      </c>
      <c r="AJ292" s="721">
        <v>0</v>
      </c>
      <c r="AK292" s="721">
        <v>0</v>
      </c>
      <c r="AL292" s="721">
        <v>0</v>
      </c>
      <c r="AM292" s="721">
        <v>0</v>
      </c>
      <c r="AN292" s="713">
        <v>0</v>
      </c>
      <c r="AO292" s="713">
        <v>0</v>
      </c>
      <c r="AP292" s="710">
        <v>0</v>
      </c>
      <c r="AQ292" s="710"/>
      <c r="AR292" s="710"/>
      <c r="AS292" s="710"/>
      <c r="AT292" s="710"/>
      <c r="AU292" s="710"/>
      <c r="AV292" s="710"/>
      <c r="AW292" s="710"/>
      <c r="AX292" s="710"/>
      <c r="AY292" s="710"/>
      <c r="AZ292" s="710"/>
      <c r="BA292" s="710"/>
      <c r="BB292" s="710"/>
      <c r="BC292" s="710"/>
      <c r="BD292" s="710"/>
      <c r="BE292" s="710"/>
      <c r="BF292" s="710"/>
      <c r="BG292" s="710"/>
      <c r="BH292" s="710"/>
      <c r="BI292" s="710"/>
      <c r="BJ292" s="710"/>
      <c r="BK292" s="710"/>
      <c r="BL292" s="710"/>
      <c r="BM292" s="710"/>
      <c r="BN292" s="710"/>
      <c r="BO292" s="710"/>
      <c r="BP292" s="710"/>
      <c r="BQ292" s="710"/>
      <c r="BR292" s="710"/>
      <c r="BS292" s="710"/>
      <c r="BT292" s="710"/>
      <c r="BU292" s="710"/>
      <c r="BV292" s="710"/>
      <c r="BW292" s="710"/>
      <c r="BX292" s="710"/>
      <c r="BY292" s="710"/>
      <c r="BZ292" s="710"/>
      <c r="CA292" s="710"/>
      <c r="CB292" s="710"/>
      <c r="CC292" s="710"/>
      <c r="CD292" s="710"/>
      <c r="CE292" s="710"/>
      <c r="CF292" s="710"/>
      <c r="CG292" s="710"/>
      <c r="CH292" s="710"/>
      <c r="CI292" s="710"/>
      <c r="CJ292" s="710"/>
      <c r="CK292" s="710"/>
      <c r="CL292" s="710"/>
      <c r="CM292" s="710"/>
      <c r="CN292" s="710"/>
      <c r="CO292" s="710"/>
      <c r="CP292" s="710"/>
      <c r="CQ292" s="710"/>
      <c r="CR292" s="710"/>
      <c r="CS292" s="710"/>
      <c r="CT292" s="710"/>
      <c r="CU292" s="710"/>
      <c r="CV292" s="710"/>
      <c r="CW292" s="710"/>
      <c r="CX292" s="710"/>
      <c r="CY292" s="710"/>
      <c r="CZ292" s="710"/>
      <c r="DA292" s="710"/>
      <c r="DC292" s="12">
        <f t="shared" si="314"/>
        <v>0</v>
      </c>
      <c r="DD292" s="12">
        <f t="shared" si="315"/>
        <v>0</v>
      </c>
      <c r="DE292" s="12">
        <f t="shared" si="316"/>
        <v>0</v>
      </c>
      <c r="DF292" s="12">
        <f t="shared" si="326"/>
        <v>0</v>
      </c>
      <c r="DG292" s="12">
        <f t="shared" si="320"/>
        <v>0</v>
      </c>
      <c r="DH292" s="12">
        <f t="shared" si="317"/>
        <v>0</v>
      </c>
      <c r="DI292" s="12">
        <f t="shared" si="321"/>
        <v>0</v>
      </c>
    </row>
    <row r="293" spans="5:113" ht="15" outlineLevel="2">
      <c r="F293" s="126" t="s">
        <v>703</v>
      </c>
      <c r="I293" s="609" t="s">
        <v>736</v>
      </c>
      <c r="O293" s="710"/>
      <c r="P293" s="710"/>
      <c r="Q293" s="710"/>
      <c r="R293" s="710"/>
      <c r="S293" s="710"/>
      <c r="T293" s="710"/>
      <c r="U293" s="710"/>
      <c r="V293" s="710"/>
      <c r="W293" s="710"/>
      <c r="X293" s="710"/>
      <c r="Y293" s="710"/>
      <c r="Z293" s="713"/>
      <c r="AA293" s="713"/>
      <c r="AB293" s="713">
        <f>-11070231/10^9</f>
        <v>-1.1070231E-2</v>
      </c>
      <c r="AC293" s="931">
        <f>-9833451/10^9</f>
        <v>-9.833451E-3</v>
      </c>
      <c r="AD293" s="931">
        <f>-12672000/10^9</f>
        <v>-1.2671999999999999E-2</v>
      </c>
      <c r="AE293" s="713">
        <f>-13973175/10^9</f>
        <v>-1.3973174999999999E-2</v>
      </c>
      <c r="AF293" s="713">
        <f>-11786850/10^9</f>
        <v>-1.178685E-2</v>
      </c>
      <c r="AG293" s="713">
        <v>-9.2208600000000009E-3</v>
      </c>
      <c r="AH293" s="721">
        <v>-1.2226184000000001E-2</v>
      </c>
      <c r="AI293" s="721">
        <v>-1.1158570999999999E-2</v>
      </c>
      <c r="AJ293" s="721">
        <v>-1.2076313E-2</v>
      </c>
      <c r="AK293" s="721">
        <v>-1.0502206E-2</v>
      </c>
      <c r="AL293" s="721">
        <v>-8.9806919999999985E-3</v>
      </c>
      <c r="AM293" s="721">
        <v>-1.2877292E-2</v>
      </c>
      <c r="AN293" s="710">
        <v>0</v>
      </c>
      <c r="AO293" s="710">
        <v>0</v>
      </c>
      <c r="AP293" s="710">
        <v>0</v>
      </c>
      <c r="AQ293" s="710"/>
      <c r="AR293" s="710"/>
      <c r="AS293" s="710"/>
      <c r="AT293" s="710"/>
      <c r="AU293" s="710"/>
      <c r="AV293" s="710"/>
      <c r="AW293" s="710"/>
      <c r="AX293" s="710"/>
      <c r="AY293" s="710"/>
      <c r="AZ293" s="710"/>
      <c r="BA293" s="710"/>
      <c r="BB293" s="710"/>
      <c r="BC293" s="710"/>
      <c r="BD293" s="710"/>
      <c r="BE293" s="710"/>
      <c r="BF293" s="710"/>
      <c r="BG293" s="710"/>
      <c r="BH293" s="710"/>
      <c r="BI293" s="710"/>
      <c r="BJ293" s="710"/>
      <c r="BK293" s="710"/>
      <c r="BL293" s="710"/>
      <c r="BM293" s="710"/>
      <c r="BN293" s="710"/>
      <c r="BO293" s="710"/>
      <c r="BP293" s="710"/>
      <c r="BQ293" s="710"/>
      <c r="BR293" s="710"/>
      <c r="BS293" s="710"/>
      <c r="BT293" s="710"/>
      <c r="BU293" s="710"/>
      <c r="BV293" s="710"/>
      <c r="BW293" s="710"/>
      <c r="BX293" s="710"/>
      <c r="BY293" s="710"/>
      <c r="BZ293" s="710"/>
      <c r="CA293" s="710"/>
      <c r="CB293" s="710"/>
      <c r="CC293" s="710"/>
      <c r="CD293" s="710"/>
      <c r="CE293" s="710"/>
      <c r="CF293" s="710"/>
      <c r="CG293" s="710"/>
      <c r="CH293" s="710"/>
      <c r="CI293" s="710"/>
      <c r="CJ293" s="710"/>
      <c r="CK293" s="710"/>
      <c r="CL293" s="710"/>
      <c r="CM293" s="710"/>
      <c r="CN293" s="710"/>
      <c r="CO293" s="710"/>
      <c r="CP293" s="710"/>
      <c r="CQ293" s="710"/>
      <c r="CR293" s="710"/>
      <c r="CS293" s="710"/>
      <c r="CT293" s="710"/>
      <c r="CU293" s="710"/>
      <c r="CV293" s="710"/>
      <c r="CW293" s="710"/>
      <c r="CX293" s="710"/>
      <c r="CY293" s="710"/>
      <c r="CZ293" s="710"/>
      <c r="DA293" s="710"/>
      <c r="DC293" s="12">
        <f>SUM(V293:AG293)</f>
        <v>-6.8556566999999999E-2</v>
      </c>
      <c r="DD293" s="12">
        <f t="shared" ref="DD293:DD300" si="338">SUM(AH293:AS293)</f>
        <v>-6.7821257999999995E-2</v>
      </c>
      <c r="DE293" s="12">
        <f t="shared" ref="DE293:DE300" si="339">SUM(AT293:BE293)</f>
        <v>0</v>
      </c>
      <c r="DF293" s="12">
        <f t="shared" ref="DF293:DF300" si="340">SUM(BF293:BQ293)</f>
        <v>0</v>
      </c>
      <c r="DG293" s="12">
        <f>SUM(BR293:CC293)</f>
        <v>0</v>
      </c>
      <c r="DH293" s="12">
        <f>SUM(CD293:CO293)</f>
        <v>0</v>
      </c>
      <c r="DI293" s="12">
        <f t="shared" si="321"/>
        <v>0</v>
      </c>
    </row>
    <row r="294" spans="5:113" ht="15" outlineLevel="2">
      <c r="F294" s="126" t="s">
        <v>163</v>
      </c>
      <c r="I294" s="609" t="s">
        <v>736</v>
      </c>
      <c r="O294" s="710"/>
      <c r="P294" s="710"/>
      <c r="Q294" s="710"/>
      <c r="R294" s="710"/>
      <c r="S294" s="710"/>
      <c r="T294" s="710"/>
      <c r="U294" s="710"/>
      <c r="V294" s="710"/>
      <c r="W294" s="710"/>
      <c r="X294" s="710"/>
      <c r="Y294" s="710"/>
      <c r="Z294" s="713"/>
      <c r="AA294" s="713"/>
      <c r="AB294" s="713">
        <f>-13666068/10^9</f>
        <v>-1.3666068E-2</v>
      </c>
      <c r="AC294" s="878">
        <f>-12896149/10^9</f>
        <v>-1.2896149000000001E-2</v>
      </c>
      <c r="AD294" s="878">
        <f>-14999204/10^9</f>
        <v>-1.4999204E-2</v>
      </c>
      <c r="AE294" s="713">
        <f>-15214746/10^9</f>
        <v>-1.5214745999999999E-2</v>
      </c>
      <c r="AF294" s="713">
        <f>-15284039/10^9</f>
        <v>-1.5284038999999999E-2</v>
      </c>
      <c r="AG294" s="713">
        <v>-1.5934677000000001E-2</v>
      </c>
      <c r="AH294" s="721">
        <v>-3.4655322496506956E-2</v>
      </c>
      <c r="AI294" s="721">
        <v>-2.2830784173545973E-2</v>
      </c>
      <c r="AJ294" s="721">
        <v>-3.9152477032706752E-2</v>
      </c>
      <c r="AK294" s="721">
        <v>-3.7289207299246965E-2</v>
      </c>
      <c r="AL294" s="721">
        <v>-3.0784508950519766E-2</v>
      </c>
      <c r="AM294" s="936">
        <v>-2.4745793761462517E-2</v>
      </c>
      <c r="AN294" s="936">
        <v>-1.5092215550013357E-2</v>
      </c>
      <c r="AO294" s="937">
        <v>-9.0270871333052484E-3</v>
      </c>
      <c r="AP294" s="936">
        <v>-1.2377783457444731E-2</v>
      </c>
      <c r="AQ294" s="749">
        <v>-1.4959560000000002E-2</v>
      </c>
      <c r="AR294" s="749">
        <v>-1.316E-2</v>
      </c>
      <c r="AS294" s="749">
        <v>-1.4093333333333334E-2</v>
      </c>
      <c r="AT294" s="710">
        <v>-1.4328222222222223E-2</v>
      </c>
      <c r="AU294" s="710">
        <v>-1.456311111111111E-2</v>
      </c>
      <c r="AV294" s="710">
        <v>-1.4797999999999999E-2</v>
      </c>
      <c r="AW294" s="710">
        <v>-1.5032888888888886E-2</v>
      </c>
      <c r="AX294" s="710">
        <v>-1.5267777777777774E-2</v>
      </c>
      <c r="AY294" s="710">
        <v>-1.5502666666666661E-2</v>
      </c>
      <c r="AZ294" s="710">
        <v>-1.573755555555555E-2</v>
      </c>
      <c r="BA294" s="710">
        <v>-1.5972444444444435E-2</v>
      </c>
      <c r="BB294" s="710">
        <v>-1.6207333333333324E-2</v>
      </c>
      <c r="BC294" s="710">
        <v>-1.6442222222222212E-2</v>
      </c>
      <c r="BD294" s="710">
        <v>-1.6677111111111097E-2</v>
      </c>
      <c r="BE294" s="710">
        <v>-1.6912E-2</v>
      </c>
      <c r="BF294" s="749">
        <v>-1.6912E-2</v>
      </c>
      <c r="BG294" s="749">
        <v>-1.6912E-2</v>
      </c>
      <c r="BH294" s="749">
        <v>-1.6912E-2</v>
      </c>
      <c r="BI294" s="749">
        <v>-1.6912E-2</v>
      </c>
      <c r="BJ294" s="749">
        <v>-1.6912E-2</v>
      </c>
      <c r="BK294" s="749">
        <v>-1.6912E-2</v>
      </c>
      <c r="BL294" s="749">
        <v>-1.6912E-2</v>
      </c>
      <c r="BM294" s="749">
        <v>-1.6912E-2</v>
      </c>
      <c r="BN294" s="749">
        <v>-1.6912E-2</v>
      </c>
      <c r="BO294" s="749">
        <v>-1.6912E-2</v>
      </c>
      <c r="BP294" s="749">
        <v>-1.6912E-2</v>
      </c>
      <c r="BQ294" s="749">
        <v>-1.6912E-2</v>
      </c>
      <c r="BR294" s="749">
        <v>-1.7193866666666665E-2</v>
      </c>
      <c r="BS294" s="749">
        <v>-1.747573333333333E-2</v>
      </c>
      <c r="BT294" s="749">
        <v>-1.7757599999999998E-2</v>
      </c>
      <c r="BU294" s="749">
        <v>-1.8039466666666663E-2</v>
      </c>
      <c r="BV294" s="749">
        <v>-1.8321333333333328E-2</v>
      </c>
      <c r="BW294" s="749">
        <v>-1.8603199999999997E-2</v>
      </c>
      <c r="BX294" s="749">
        <v>-1.8885066666666662E-2</v>
      </c>
      <c r="BY294" s="749">
        <v>-1.9166933333333327E-2</v>
      </c>
      <c r="BZ294" s="749">
        <v>-1.9448799999999992E-2</v>
      </c>
      <c r="CA294" s="749">
        <v>-1.973066666666666E-2</v>
      </c>
      <c r="CB294" s="749">
        <v>-2.0012533333333325E-2</v>
      </c>
      <c r="CC294" s="749">
        <v>-2.0294400000000001E-2</v>
      </c>
      <c r="CD294" s="749">
        <v>-2.0632640000000001E-2</v>
      </c>
      <c r="CE294" s="749">
        <v>-2.0970879999999997E-2</v>
      </c>
      <c r="CF294" s="749">
        <v>-2.1309119999999994E-2</v>
      </c>
      <c r="CG294" s="749">
        <v>-2.1647359999999994E-2</v>
      </c>
      <c r="CH294" s="749">
        <v>-2.1985599999999991E-2</v>
      </c>
      <c r="CI294" s="749">
        <v>-2.2323839999999994E-2</v>
      </c>
      <c r="CJ294" s="749">
        <v>-2.2662079999999991E-2</v>
      </c>
      <c r="CK294" s="749">
        <v>-2.3000319999999987E-2</v>
      </c>
      <c r="CL294" s="749">
        <v>-2.3338559999999987E-2</v>
      </c>
      <c r="CM294" s="749">
        <v>-2.3676799999999984E-2</v>
      </c>
      <c r="CN294" s="749">
        <v>-2.4015039999999984E-2</v>
      </c>
      <c r="CO294" s="749">
        <v>-2.4353279999999998E-2</v>
      </c>
      <c r="CP294" s="749">
        <v>-2.4759167999999998E-2</v>
      </c>
      <c r="CQ294" s="749">
        <v>-2.5165055999999998E-2</v>
      </c>
      <c r="CR294" s="749">
        <v>-2.5570943999999998E-2</v>
      </c>
      <c r="CS294" s="749">
        <v>-2.5976831999999998E-2</v>
      </c>
      <c r="CT294" s="749">
        <v>-2.6382719999999998E-2</v>
      </c>
      <c r="CU294" s="749">
        <v>-2.6788607999999995E-2</v>
      </c>
      <c r="CV294" s="749">
        <v>-2.7194495999999995E-2</v>
      </c>
      <c r="CW294" s="749">
        <v>-2.7600383999999992E-2</v>
      </c>
      <c r="CX294" s="749">
        <v>-2.8006271999999988E-2</v>
      </c>
      <c r="CY294" s="749">
        <v>-2.8412159999999985E-2</v>
      </c>
      <c r="CZ294" s="749">
        <v>-2.8818047999999985E-2</v>
      </c>
      <c r="DA294" s="749">
        <v>-2.9223935999999999E-2</v>
      </c>
      <c r="DC294" s="12">
        <f>SUM(V294:AG294)</f>
        <v>-8.7994882999999996E-2</v>
      </c>
      <c r="DD294" s="12">
        <f t="shared" si="338"/>
        <v>-0.26816807318808561</v>
      </c>
      <c r="DE294" s="12">
        <f t="shared" si="339"/>
        <v>-0.18744133333333327</v>
      </c>
      <c r="DF294" s="12">
        <f t="shared" si="340"/>
        <v>-0.20294400000000004</v>
      </c>
      <c r="DG294" s="12">
        <f>SUM(BR294:CC294)</f>
        <v>-0.22492959999999992</v>
      </c>
      <c r="DH294" s="12">
        <f>SUM(CD294:CO294)</f>
        <v>-0.26991551999999991</v>
      </c>
      <c r="DI294" s="12">
        <f t="shared" si="321"/>
        <v>-0.32389862399999991</v>
      </c>
    </row>
    <row r="295" spans="5:113" ht="15" outlineLevel="2">
      <c r="F295" s="718" t="s">
        <v>152</v>
      </c>
      <c r="I295" s="609" t="s">
        <v>736</v>
      </c>
      <c r="O295" s="710"/>
      <c r="P295" s="710"/>
      <c r="Q295" s="710"/>
      <c r="R295" s="710"/>
      <c r="S295" s="710"/>
      <c r="T295" s="710"/>
      <c r="U295" s="710"/>
      <c r="V295" s="710"/>
      <c r="W295" s="710"/>
      <c r="X295" s="710"/>
      <c r="Y295" s="710"/>
      <c r="Z295" s="713"/>
      <c r="AA295" s="713"/>
      <c r="AB295" s="713"/>
      <c r="AC295" s="878"/>
      <c r="AD295" s="878"/>
      <c r="AE295" s="713"/>
      <c r="AF295" s="713"/>
      <c r="AG295" s="713"/>
      <c r="AH295" s="721"/>
      <c r="AI295" s="721"/>
      <c r="AJ295" s="721"/>
      <c r="AK295" s="721"/>
      <c r="AL295" s="721"/>
      <c r="AM295" s="936"/>
      <c r="AN295" s="936"/>
      <c r="AO295" s="937"/>
      <c r="AP295" s="936"/>
      <c r="AQ295" s="749"/>
      <c r="AR295" s="749"/>
      <c r="AS295" s="749"/>
      <c r="AT295" s="750">
        <f>AT257*AT269/(AT269+AT310)</f>
        <v>-0.11262444361023223</v>
      </c>
      <c r="AU295" s="750">
        <f t="shared" ref="AU295:DA295" si="341">AU257*AU269/(AU269+AU310)</f>
        <v>-0.11132450192969648</v>
      </c>
      <c r="AV295" s="750">
        <f t="shared" si="341"/>
        <v>-0.110094106898127</v>
      </c>
      <c r="AW295" s="750">
        <f t="shared" si="341"/>
        <v>-0.10892782281985369</v>
      </c>
      <c r="AX295" s="750">
        <f t="shared" si="341"/>
        <v>-0.10782076608046254</v>
      </c>
      <c r="AY295" s="750">
        <f t="shared" si="341"/>
        <v>-0.10676853679165493</v>
      </c>
      <c r="AZ295" s="750">
        <f t="shared" si="341"/>
        <v>-3.1544591682332986E-2</v>
      </c>
      <c r="BA295" s="750">
        <f t="shared" si="341"/>
        <v>-3.1260028653295129E-2</v>
      </c>
      <c r="BB295" s="750">
        <f t="shared" si="341"/>
        <v>-3.0988584175305079E-2</v>
      </c>
      <c r="BC295" s="750">
        <f t="shared" si="341"/>
        <v>-3.0729371526293292E-2</v>
      </c>
      <c r="BD295" s="750">
        <f t="shared" si="341"/>
        <v>-3.0481582138228033E-2</v>
      </c>
      <c r="BE295" s="750">
        <f t="shared" si="341"/>
        <v>-3.0244477172312226E-2</v>
      </c>
      <c r="BF295" s="751">
        <f t="shared" si="341"/>
        <v>-3.0244477172312226E-2</v>
      </c>
      <c r="BG295" s="751">
        <f t="shared" si="341"/>
        <v>-3.0244477172312226E-2</v>
      </c>
      <c r="BH295" s="751">
        <f t="shared" si="341"/>
        <v>-3.0244477172312226E-2</v>
      </c>
      <c r="BI295" s="751">
        <f t="shared" si="341"/>
        <v>-3.0244477172312226E-2</v>
      </c>
      <c r="BJ295" s="751">
        <f t="shared" si="341"/>
        <v>-3.0244477172312226E-2</v>
      </c>
      <c r="BK295" s="751">
        <f t="shared" si="341"/>
        <v>-3.0244477172312226E-2</v>
      </c>
      <c r="BL295" s="751">
        <f t="shared" si="341"/>
        <v>-3.0244477172312226E-2</v>
      </c>
      <c r="BM295" s="751">
        <f t="shared" si="341"/>
        <v>-3.0244477172312226E-2</v>
      </c>
      <c r="BN295" s="751">
        <f t="shared" si="341"/>
        <v>-3.0244477172312226E-2</v>
      </c>
      <c r="BO295" s="751">
        <f t="shared" si="341"/>
        <v>-3.0244477172312226E-2</v>
      </c>
      <c r="BP295" s="751">
        <f t="shared" si="341"/>
        <v>-3.0244477172312226E-2</v>
      </c>
      <c r="BQ295" s="751">
        <f t="shared" si="341"/>
        <v>-3.0244477172312226E-2</v>
      </c>
      <c r="BR295" s="751">
        <f t="shared" si="341"/>
        <v>-2.9759490663752556E-2</v>
      </c>
      <c r="BS295" s="751">
        <f t="shared" si="341"/>
        <v>-2.9304732093537102E-2</v>
      </c>
      <c r="BT295" s="751">
        <f t="shared" si="341"/>
        <v>-2.8877460827641626E-2</v>
      </c>
      <c r="BU295" s="751">
        <f t="shared" si="341"/>
        <v>-2.8475257821301673E-2</v>
      </c>
      <c r="BV295" s="751">
        <f t="shared" si="341"/>
        <v>-2.8095979793727639E-2</v>
      </c>
      <c r="BW295" s="751">
        <f t="shared" si="341"/>
        <v>-2.7737721021611005E-2</v>
      </c>
      <c r="BX295" s="751">
        <f t="shared" si="341"/>
        <v>-2.7398781313473255E-2</v>
      </c>
      <c r="BY295" s="751">
        <f t="shared" si="341"/>
        <v>-2.7077639028930428E-2</v>
      </c>
      <c r="BZ295" s="751">
        <f t="shared" si="341"/>
        <v>-2.6772928239428635E-2</v>
      </c>
      <c r="CA295" s="751">
        <f t="shared" si="341"/>
        <v>-2.6483419307295506E-2</v>
      </c>
      <c r="CB295" s="751">
        <f t="shared" si="341"/>
        <v>-2.6208002300751335E-2</v>
      </c>
      <c r="CC295" s="751">
        <f t="shared" si="341"/>
        <v>-2.5945672773215415E-2</v>
      </c>
      <c r="CD295" s="751">
        <f t="shared" si="341"/>
        <v>-2.5878673318665883E-2</v>
      </c>
      <c r="CE295" s="751">
        <f t="shared" si="341"/>
        <v>-2.5814163777548003E-2</v>
      </c>
      <c r="CF295" s="751">
        <f t="shared" si="341"/>
        <v>-2.5752007882244052E-2</v>
      </c>
      <c r="CG295" s="751">
        <f t="shared" si="341"/>
        <v>-2.5692079130502775E-2</v>
      </c>
      <c r="CH295" s="751">
        <f t="shared" si="341"/>
        <v>-2.5634259926064624E-2</v>
      </c>
      <c r="CI295" s="751">
        <f t="shared" si="341"/>
        <v>-2.5578440808469681E-2</v>
      </c>
      <c r="CJ295" s="751">
        <f t="shared" si="341"/>
        <v>-2.5524519761434359E-2</v>
      </c>
      <c r="CK295" s="751">
        <f t="shared" si="341"/>
        <v>-2.5472401590602312E-2</v>
      </c>
      <c r="CL295" s="751">
        <f t="shared" si="341"/>
        <v>-2.5421997362684672E-2</v>
      </c>
      <c r="CM295" s="751">
        <f t="shared" si="341"/>
        <v>-2.5373223899038032E-2</v>
      </c>
      <c r="CN295" s="751">
        <f t="shared" si="341"/>
        <v>-2.5326003317613744E-2</v>
      </c>
      <c r="CO295" s="751">
        <f t="shared" si="341"/>
        <v>-2.5280262617972917E-2</v>
      </c>
      <c r="CP295" s="751">
        <f t="shared" si="341"/>
        <v>-2.5360229302930564E-2</v>
      </c>
      <c r="CQ295" s="751">
        <f t="shared" si="341"/>
        <v>-2.5438099582768648E-2</v>
      </c>
      <c r="CR295" s="751">
        <f t="shared" si="341"/>
        <v>-2.5513954829835383E-2</v>
      </c>
      <c r="CS295" s="751">
        <f t="shared" si="341"/>
        <v>-2.55878722589605E-2</v>
      </c>
      <c r="CT295" s="751">
        <f t="shared" si="341"/>
        <v>-2.5659925189629073E-2</v>
      </c>
      <c r="CU295" s="751">
        <f t="shared" si="341"/>
        <v>-2.5730183288563215E-2</v>
      </c>
      <c r="CV295" s="751">
        <f t="shared" si="341"/>
        <v>-2.5798712794398677E-2</v>
      </c>
      <c r="CW295" s="751">
        <f t="shared" si="341"/>
        <v>-2.5865576725979528E-2</v>
      </c>
      <c r="CX295" s="751">
        <f t="shared" si="341"/>
        <v>-2.593083507564771E-2</v>
      </c>
      <c r="CY295" s="751">
        <f t="shared" si="341"/>
        <v>-2.599454498877353E-2</v>
      </c>
      <c r="CZ295" s="751">
        <f t="shared" si="341"/>
        <v>-2.6056760930656474E-2</v>
      </c>
      <c r="DA295" s="751">
        <f t="shared" si="341"/>
        <v>-2.6117534841820784E-2</v>
      </c>
      <c r="DC295" s="12">
        <f>SUM(V295:AG295)</f>
        <v>0</v>
      </c>
      <c r="DD295" s="12">
        <f>SUM(AH295:AS295)</f>
        <v>0</v>
      </c>
      <c r="DE295" s="12">
        <f>SUM(AT295:BE295)</f>
        <v>-0.84280881347779368</v>
      </c>
      <c r="DF295" s="12">
        <f>SUM(BF295:BQ295)</f>
        <v>-0.3629337260677466</v>
      </c>
      <c r="DG295" s="12">
        <f>SUM(BR295:CC295)</f>
        <v>-0.33213708518466617</v>
      </c>
      <c r="DH295" s="12">
        <f>SUM(CD295:CO295)</f>
        <v>-0.30674803339284107</v>
      </c>
      <c r="DI295" s="12">
        <f t="shared" si="321"/>
        <v>-0.30905422980996405</v>
      </c>
    </row>
    <row r="296" spans="5:113" ht="15" outlineLevel="2">
      <c r="F296" s="126" t="s">
        <v>144</v>
      </c>
      <c r="H296" s="727"/>
      <c r="I296" s="609" t="s">
        <v>736</v>
      </c>
      <c r="O296" s="710"/>
      <c r="P296" s="710"/>
      <c r="Q296" s="710"/>
      <c r="R296" s="710"/>
      <c r="S296" s="710"/>
      <c r="T296" s="710"/>
      <c r="U296" s="710"/>
      <c r="V296" s="710"/>
      <c r="W296" s="710"/>
      <c r="X296" s="710"/>
      <c r="Y296" s="710"/>
      <c r="Z296" s="713"/>
      <c r="AA296" s="713"/>
      <c r="AB296" s="713"/>
      <c r="AC296" s="878"/>
      <c r="AD296" s="878"/>
      <c r="AE296" s="713"/>
      <c r="AF296" s="713"/>
      <c r="AG296" s="713"/>
      <c r="AH296" s="721"/>
      <c r="AI296" s="721"/>
      <c r="AJ296" s="721"/>
      <c r="AK296" s="721"/>
      <c r="AL296" s="721"/>
      <c r="AM296" s="936"/>
      <c r="AN296" s="936"/>
      <c r="AO296" s="937"/>
      <c r="AP296" s="936"/>
      <c r="AQ296" s="749"/>
      <c r="AR296" s="749"/>
      <c r="AS296" s="749"/>
      <c r="AT296" s="750">
        <f>AT258/AT227*AT269</f>
        <v>-0.65862247725282008</v>
      </c>
      <c r="AU296" s="750">
        <f t="shared" ref="AU296:DA296" si="342">AU258/AU227*AU269</f>
        <v>-0.651020479121032</v>
      </c>
      <c r="AV296" s="750">
        <f t="shared" si="342"/>
        <v>-0.64382518653875442</v>
      </c>
      <c r="AW296" s="750">
        <f t="shared" si="342"/>
        <v>-0.63700481181200985</v>
      </c>
      <c r="AX296" s="750">
        <f t="shared" si="342"/>
        <v>-0.63053079579217852</v>
      </c>
      <c r="AY296" s="750">
        <f t="shared" si="342"/>
        <v>-0.62437740813833298</v>
      </c>
      <c r="AZ296" s="750">
        <f t="shared" si="342"/>
        <v>-0.61852140553594093</v>
      </c>
      <c r="BA296" s="750">
        <f t="shared" si="342"/>
        <v>-0.6129417382999045</v>
      </c>
      <c r="BB296" s="750">
        <f t="shared" si="342"/>
        <v>-0.60761929755500155</v>
      </c>
      <c r="BC296" s="750">
        <f t="shared" si="342"/>
        <v>-0.60253669659398612</v>
      </c>
      <c r="BD296" s="750">
        <f t="shared" si="342"/>
        <v>-0.59767808114172627</v>
      </c>
      <c r="BE296" s="750">
        <f t="shared" si="342"/>
        <v>-0.59302896416298478</v>
      </c>
      <c r="BF296" s="751">
        <f t="shared" si="342"/>
        <v>-0.88954344624447723</v>
      </c>
      <c r="BG296" s="751">
        <f t="shared" si="342"/>
        <v>-0.88954344624447723</v>
      </c>
      <c r="BH296" s="751">
        <f t="shared" si="342"/>
        <v>-0.88954344624447723</v>
      </c>
      <c r="BI296" s="751">
        <f t="shared" si="342"/>
        <v>-0.88954344624447723</v>
      </c>
      <c r="BJ296" s="751">
        <f t="shared" si="342"/>
        <v>-0.88954344624447723</v>
      </c>
      <c r="BK296" s="751">
        <f t="shared" si="342"/>
        <v>-0.88954344624447723</v>
      </c>
      <c r="BL296" s="751">
        <f t="shared" si="342"/>
        <v>-0.88954344624447723</v>
      </c>
      <c r="BM296" s="751">
        <f t="shared" si="342"/>
        <v>-0.88954344624447723</v>
      </c>
      <c r="BN296" s="751">
        <f t="shared" si="342"/>
        <v>-0.88954344624447723</v>
      </c>
      <c r="BO296" s="751">
        <f t="shared" si="342"/>
        <v>-0.88954344624447723</v>
      </c>
      <c r="BP296" s="751">
        <f t="shared" si="342"/>
        <v>-0.88954344624447723</v>
      </c>
      <c r="BQ296" s="751">
        <f t="shared" si="342"/>
        <v>-0.88954344624447723</v>
      </c>
      <c r="BR296" s="751">
        <f t="shared" si="342"/>
        <v>-1.1378628783199505</v>
      </c>
      <c r="BS296" s="751">
        <f t="shared" si="342"/>
        <v>-1.1204750506352421</v>
      </c>
      <c r="BT296" s="751">
        <f t="shared" si="342"/>
        <v>-1.1041382081157092</v>
      </c>
      <c r="BU296" s="751">
        <f t="shared" si="342"/>
        <v>-1.0887598578732993</v>
      </c>
      <c r="BV296" s="751">
        <f t="shared" si="342"/>
        <v>-1.0742580509366451</v>
      </c>
      <c r="BW296" s="751">
        <f t="shared" si="342"/>
        <v>-1.0605599214145383</v>
      </c>
      <c r="BX296" s="751">
        <f t="shared" si="342"/>
        <v>-1.047600461985742</v>
      </c>
      <c r="BY296" s="751">
        <f t="shared" si="342"/>
        <v>-1.0353214922826339</v>
      </c>
      <c r="BZ296" s="751">
        <f t="shared" si="342"/>
        <v>-1.0236707856252125</v>
      </c>
      <c r="CA296" s="751">
        <f t="shared" si="342"/>
        <v>-1.0126013264554163</v>
      </c>
      <c r="CB296" s="751">
        <f t="shared" si="342"/>
        <v>-1.0020706762051981</v>
      </c>
      <c r="CC296" s="751">
        <f t="shared" si="342"/>
        <v>-0.99204042956411875</v>
      </c>
      <c r="CD296" s="751">
        <f t="shared" si="342"/>
        <v>-1.1873744228564347</v>
      </c>
      <c r="CE296" s="751">
        <f t="shared" si="342"/>
        <v>-1.1844145733227904</v>
      </c>
      <c r="CF296" s="751">
        <f t="shared" si="342"/>
        <v>-1.18156271459708</v>
      </c>
      <c r="CG296" s="751">
        <f t="shared" si="342"/>
        <v>-1.1788130424583627</v>
      </c>
      <c r="CH296" s="751">
        <f t="shared" si="342"/>
        <v>-1.1761601613135533</v>
      </c>
      <c r="CI296" s="751">
        <f t="shared" si="342"/>
        <v>-1.173599048859197</v>
      </c>
      <c r="CJ296" s="751">
        <f t="shared" si="342"/>
        <v>-1.1711250243481648</v>
      </c>
      <c r="CK296" s="751">
        <f t="shared" si="342"/>
        <v>-1.1687337200394001</v>
      </c>
      <c r="CL296" s="751">
        <f t="shared" si="342"/>
        <v>-1.1664210554643555</v>
      </c>
      <c r="CM296" s="751">
        <f t="shared" si="342"/>
        <v>-1.1641832141911566</v>
      </c>
      <c r="CN296" s="751">
        <f t="shared" si="342"/>
        <v>-1.1620166228081599</v>
      </c>
      <c r="CO296" s="751">
        <f t="shared" si="342"/>
        <v>-1.1599179318834634</v>
      </c>
      <c r="CP296" s="751">
        <f t="shared" si="342"/>
        <v>-1.2799456907008486</v>
      </c>
      <c r="CQ296" s="751">
        <f t="shared" si="342"/>
        <v>-1.2838758495303235</v>
      </c>
      <c r="CR296" s="751">
        <f t="shared" si="342"/>
        <v>-1.2877043084705153</v>
      </c>
      <c r="CS296" s="751">
        <f t="shared" si="342"/>
        <v>-1.2914349645993006</v>
      </c>
      <c r="CT296" s="751">
        <f t="shared" si="342"/>
        <v>-1.2950715183942203</v>
      </c>
      <c r="CU296" s="751">
        <f t="shared" si="342"/>
        <v>-1.2986174859757198</v>
      </c>
      <c r="CV296" s="751">
        <f t="shared" si="342"/>
        <v>-1.3020762104467096</v>
      </c>
      <c r="CW296" s="751">
        <f t="shared" si="342"/>
        <v>-1.3054508724053198</v>
      </c>
      <c r="CX296" s="751">
        <f t="shared" si="342"/>
        <v>-1.3087444997003372</v>
      </c>
      <c r="CY296" s="751">
        <f t="shared" si="342"/>
        <v>-1.311959976492217</v>
      </c>
      <c r="CZ296" s="751">
        <f t="shared" si="342"/>
        <v>-1.315100051676662</v>
      </c>
      <c r="DA296" s="751">
        <f t="shared" si="342"/>
        <v>-1.3181673467224844</v>
      </c>
      <c r="DC296" s="12">
        <f>SUM(V296:AG296)</f>
        <v>0</v>
      </c>
      <c r="DD296" s="12">
        <f>SUM(AH296:AS296)</f>
        <v>0</v>
      </c>
      <c r="DE296" s="12">
        <f>SUM(AT296:BE296)</f>
        <v>-7.4777073419446722</v>
      </c>
      <c r="DF296" s="12">
        <f>SUM(BF296:BQ296)</f>
        <v>-10.674521354933729</v>
      </c>
      <c r="DG296" s="12">
        <f>SUM(BR296:CC296)</f>
        <v>-12.699359139413705</v>
      </c>
      <c r="DH296" s="12">
        <f>SUM(CD296:CO296)</f>
        <v>-14.074321532142116</v>
      </c>
      <c r="DI296" s="12">
        <f t="shared" si="321"/>
        <v>-15.598148775114659</v>
      </c>
    </row>
    <row r="297" spans="5:113" outlineLevel="2">
      <c r="F297" s="698" t="s">
        <v>808</v>
      </c>
      <c r="I297" s="609" t="s">
        <v>736</v>
      </c>
      <c r="O297" s="710"/>
      <c r="P297" s="710"/>
      <c r="Q297" s="710"/>
      <c r="R297" s="710"/>
      <c r="S297" s="710"/>
      <c r="T297" s="710"/>
      <c r="U297" s="710"/>
      <c r="V297" s="710"/>
      <c r="W297" s="710"/>
      <c r="X297" s="710"/>
      <c r="Y297" s="710"/>
      <c r="Z297" s="883">
        <v>-0.39216800000000002</v>
      </c>
      <c r="AA297" s="883">
        <v>-0.92546018404545405</v>
      </c>
      <c r="AB297" s="883">
        <v>-1.1950119531363601</v>
      </c>
      <c r="AC297" s="883">
        <v>-1.2325792508181801</v>
      </c>
      <c r="AD297" s="883">
        <v>-0.82645650599999998</v>
      </c>
      <c r="AE297" s="883">
        <v>-0.96350417409090916</v>
      </c>
      <c r="AF297" s="883">
        <v>-1.0862711899090911</v>
      </c>
      <c r="AG297" s="883">
        <v>-1.2604962749999999</v>
      </c>
      <c r="AH297" s="746">
        <v>-1.2289232329999999</v>
      </c>
      <c r="AI297" s="746">
        <v>-0.84595075100000006</v>
      </c>
      <c r="AJ297" s="746">
        <v>-1.4599159129999999</v>
      </c>
      <c r="AK297" s="746">
        <v>-1.795082048</v>
      </c>
      <c r="AL297" s="746">
        <v>-2.368929896</v>
      </c>
      <c r="AM297" s="746">
        <v>-3.4286144460000001</v>
      </c>
      <c r="AN297" s="746">
        <v>-4.2599134769999996</v>
      </c>
      <c r="AO297" s="746">
        <v>-4.9133010519999996</v>
      </c>
      <c r="AP297" s="896">
        <v>-4.4596686590000001</v>
      </c>
      <c r="AQ297" s="714">
        <v>-5.2649647147061378</v>
      </c>
      <c r="AR297" s="714">
        <v>-4.9413104459482806</v>
      </c>
      <c r="AS297" s="714">
        <v>-5.2671762994457794</v>
      </c>
      <c r="AT297" s="714">
        <v>-5.4043161822031873</v>
      </c>
      <c r="AU297" s="714">
        <v>-5.5780946813693095</v>
      </c>
      <c r="AV297" s="714">
        <v>-5.8920458825427335</v>
      </c>
      <c r="AW297" s="714">
        <v>-5.8402376821600637</v>
      </c>
      <c r="AX297" s="714">
        <v>-5.9492982570842834</v>
      </c>
      <c r="AY297" s="714">
        <v>-5.7429524484291434</v>
      </c>
      <c r="AZ297" s="714">
        <v>-5.8532170486185588</v>
      </c>
      <c r="BA297" s="714">
        <v>-5.9453570491170931</v>
      </c>
      <c r="BB297" s="714">
        <v>-6.0320385177627465</v>
      </c>
      <c r="BC297" s="714">
        <v>-6.120234190328107</v>
      </c>
      <c r="BD297" s="714">
        <v>-6.2120023858959161</v>
      </c>
      <c r="BE297" s="714">
        <v>-6.2992851045713305</v>
      </c>
      <c r="BF297" s="714">
        <v>-7.2478209841815513</v>
      </c>
      <c r="BG297" s="714">
        <v>-7.3808018520294727</v>
      </c>
      <c r="BH297" s="714">
        <v>-7.5424183987693318</v>
      </c>
      <c r="BI297" s="714">
        <v>-7.4933895215091617</v>
      </c>
      <c r="BJ297" s="714">
        <v>-7.0471011978604317</v>
      </c>
      <c r="BK297" s="714">
        <v>-7.034428286419919</v>
      </c>
      <c r="BL297" s="714">
        <v>-7.041156711570272</v>
      </c>
      <c r="BM297" s="714">
        <v>-7.0446156356541838</v>
      </c>
      <c r="BN297" s="714">
        <v>-7.1014878829362056</v>
      </c>
      <c r="BO297" s="714">
        <v>-7.1132706289739271</v>
      </c>
      <c r="BP297" s="714">
        <v>-7.1282705407206715</v>
      </c>
      <c r="BQ297" s="714">
        <v>-7.2005449196811</v>
      </c>
      <c r="BR297" s="714">
        <v>-7.3810063092431353</v>
      </c>
      <c r="BS297" s="714">
        <v>-7.6182685943659951</v>
      </c>
      <c r="BT297" s="714">
        <v>-7.8033400768385661</v>
      </c>
      <c r="BU297" s="714">
        <v>-7.983753170795298</v>
      </c>
      <c r="BV297" s="714">
        <v>-8.0926301094146833</v>
      </c>
      <c r="BW297" s="714">
        <v>-8.1992233859204013</v>
      </c>
      <c r="BX297" s="714">
        <v>-8.306086589633658</v>
      </c>
      <c r="BY297" s="714">
        <v>-8.4130144883696332</v>
      </c>
      <c r="BZ297" s="714">
        <v>-8.5241128721349657</v>
      </c>
      <c r="CA297" s="714">
        <v>-8.6379510967274555</v>
      </c>
      <c r="CB297" s="714">
        <v>-8.7565055459944539</v>
      </c>
      <c r="CC297" s="714">
        <v>-8.8776484975885275</v>
      </c>
      <c r="CD297" s="714">
        <v>-9.0334535603090824</v>
      </c>
      <c r="CE297" s="714">
        <v>-9.1943259371298627</v>
      </c>
      <c r="CF297" s="714">
        <v>-9.3543744690592234</v>
      </c>
      <c r="CG297" s="714">
        <v>-9.5131659186021551</v>
      </c>
      <c r="CH297" s="714">
        <v>-9.6570536990502003</v>
      </c>
      <c r="CI297" s="714">
        <v>-9.7999489698285593</v>
      </c>
      <c r="CJ297" s="714">
        <v>-9.9426091185126069</v>
      </c>
      <c r="CK297" s="714">
        <v>-10.085203699000447</v>
      </c>
      <c r="CL297" s="714">
        <v>-10.228093999448172</v>
      </c>
      <c r="CM297" s="714">
        <v>-10.371491517902998</v>
      </c>
      <c r="CN297" s="714">
        <v>-10.515560159104995</v>
      </c>
      <c r="CO297" s="714">
        <v>-10.660244407948579</v>
      </c>
      <c r="CP297" s="714">
        <v>-10.844342033535554</v>
      </c>
      <c r="CQ297" s="714">
        <v>-11.035117388185395</v>
      </c>
      <c r="CR297" s="714">
        <v>-11.225587896041581</v>
      </c>
      <c r="CS297" s="714">
        <v>-11.41517534362043</v>
      </c>
      <c r="CT297" s="714">
        <v>-11.587466060974311</v>
      </c>
      <c r="CU297" s="714">
        <v>-11.758949003231191</v>
      </c>
      <c r="CV297" s="714">
        <v>-11.930409707155123</v>
      </c>
      <c r="CW297" s="714">
        <v>-12.101851232913596</v>
      </c>
      <c r="CX297" s="714">
        <v>-12.273607782959049</v>
      </c>
      <c r="CY297" s="714">
        <v>-12.445851416274238</v>
      </c>
      <c r="CZ297" s="714">
        <v>-12.618805473266246</v>
      </c>
      <c r="DA297" s="714">
        <v>-12.792434058232441</v>
      </c>
      <c r="DC297" s="12">
        <f t="shared" si="314"/>
        <v>-7.8819475329999946</v>
      </c>
      <c r="DD297" s="14">
        <f t="shared" si="338"/>
        <v>-40.233750935100197</v>
      </c>
      <c r="DE297" s="14">
        <f t="shared" si="339"/>
        <v>-70.869079430082465</v>
      </c>
      <c r="DF297" s="14">
        <f t="shared" si="340"/>
        <v>-86.375306560306228</v>
      </c>
      <c r="DG297" s="14">
        <f t="shared" si="320"/>
        <v>-98.593540737026785</v>
      </c>
      <c r="DH297" s="14">
        <f t="shared" si="317"/>
        <v>-118.35552545589688</v>
      </c>
      <c r="DI297" s="12">
        <f t="shared" si="321"/>
        <v>-142.02959739638914</v>
      </c>
    </row>
    <row r="298" spans="5:113" outlineLevel="2">
      <c r="F298" s="698"/>
      <c r="G298" s="126" t="s">
        <v>834</v>
      </c>
      <c r="H298" s="703"/>
      <c r="I298" s="609" t="s">
        <v>736</v>
      </c>
      <c r="O298" s="710"/>
      <c r="P298" s="710"/>
      <c r="Q298" s="710"/>
      <c r="R298" s="710"/>
      <c r="S298" s="710"/>
      <c r="T298" s="710"/>
      <c r="U298" s="710"/>
      <c r="V298" s="710"/>
      <c r="W298" s="710"/>
      <c r="X298" s="710"/>
      <c r="Y298" s="710"/>
      <c r="Z298" s="712"/>
      <c r="AA298" s="712"/>
      <c r="AB298" s="712"/>
      <c r="AC298" s="712"/>
      <c r="AD298" s="713">
        <f>-857293748/10^9</f>
        <v>-0.85729374800000002</v>
      </c>
      <c r="AE298" s="713">
        <f>-1343702481/10^9</f>
        <v>-1.343702481</v>
      </c>
      <c r="AF298" s="713">
        <f>-1493599928/10^9</f>
        <v>-1.4935999280000001</v>
      </c>
      <c r="AG298" s="713">
        <v>-1.3565862740000001</v>
      </c>
      <c r="AH298" s="721">
        <v>-1.9027931039999999</v>
      </c>
      <c r="AI298" s="721">
        <v>-2.6593583089999999</v>
      </c>
      <c r="AJ298" s="721">
        <v>-2.6967687910000002</v>
      </c>
      <c r="AK298" s="721">
        <v>-3.0310886429999999</v>
      </c>
      <c r="AL298" s="721">
        <v>-3.1605716990000001</v>
      </c>
      <c r="AM298" s="721">
        <v>-2.041350945</v>
      </c>
      <c r="AN298" s="756">
        <v>-2.3321789961447332</v>
      </c>
      <c r="AO298" s="756">
        <v>-2.5166771841587803</v>
      </c>
      <c r="AP298" s="756">
        <v>-3.0282012526660469</v>
      </c>
      <c r="AQ298" s="756">
        <v>-3.5931038591727886</v>
      </c>
      <c r="AR298" s="756">
        <v>-4.5596518107254136</v>
      </c>
      <c r="AS298" s="756">
        <v>-4.7977687778942268</v>
      </c>
      <c r="AT298" s="756">
        <v>-5.1242761746583669</v>
      </c>
      <c r="AU298" s="756">
        <v>-5.1324293947523936</v>
      </c>
      <c r="AV298" s="756">
        <v>-4.9422819629180639</v>
      </c>
      <c r="AW298" s="756">
        <v>-5.2648998738925465</v>
      </c>
      <c r="AX298" s="756">
        <v>-5.2924242893415618</v>
      </c>
      <c r="AY298" s="756">
        <v>-5.9478181122891698</v>
      </c>
      <c r="AZ298" s="756">
        <v>-5.9862137277634853</v>
      </c>
      <c r="BA298" s="756">
        <v>-6.0447183765975883</v>
      </c>
      <c r="BB298" s="756">
        <v>-6.1124168988683314</v>
      </c>
      <c r="BC298" s="756">
        <v>-6.1921900153076495</v>
      </c>
      <c r="BD298" s="756">
        <v>-6.2699139245894395</v>
      </c>
      <c r="BE298" s="756">
        <v>-6.3361499972485023</v>
      </c>
      <c r="BF298" s="756">
        <v>-6.4128512970667737</v>
      </c>
      <c r="BG298" s="756">
        <v>-6.4878014989204678</v>
      </c>
      <c r="BH298" s="756">
        <v>-6.1538086398060416</v>
      </c>
      <c r="BI298" s="756">
        <v>-6.2040892440215041</v>
      </c>
      <c r="BJ298" s="756">
        <v>-7.0652985126247394</v>
      </c>
      <c r="BK298" s="756">
        <v>-7.0880111512901429</v>
      </c>
      <c r="BL298" s="756">
        <v>-7.0500884009192513</v>
      </c>
      <c r="BM298" s="756">
        <v>-7.01603391399708</v>
      </c>
      <c r="BN298" s="756">
        <v>-6.8891847282386802</v>
      </c>
      <c r="BO298" s="756">
        <v>-6.8664347921430275</v>
      </c>
      <c r="BP298" s="756">
        <v>-6.8520831543395833</v>
      </c>
      <c r="BQ298" s="756">
        <v>-6.7274872137375468</v>
      </c>
      <c r="BR298" s="756">
        <v>-6.7033188465031062</v>
      </c>
      <c r="BS298" s="756">
        <v>-6.620215966921962</v>
      </c>
      <c r="BT298" s="756">
        <v>-6.6349350217141181</v>
      </c>
      <c r="BU298" s="756">
        <v>-6.6516953624638413</v>
      </c>
      <c r="BV298" s="756">
        <v>-6.8031080686657965</v>
      </c>
      <c r="BW298" s="756">
        <v>-6.9530490784430512</v>
      </c>
      <c r="BX298" s="756">
        <v>-7.0958549612407387</v>
      </c>
      <c r="BY298" s="756">
        <v>-7.232241400274396</v>
      </c>
      <c r="BZ298" s="756">
        <v>-7.358503573939398</v>
      </c>
      <c r="CA298" s="756">
        <v>-7.4789261294212901</v>
      </c>
      <c r="CB298" s="756">
        <v>-7.5915813449709448</v>
      </c>
      <c r="CC298" s="756">
        <v>-7.7004336727023928</v>
      </c>
      <c r="CD298" s="756">
        <v>-7.8057753758383397</v>
      </c>
      <c r="CE298" s="756">
        <v>-7.9128393112614965</v>
      </c>
      <c r="CF298" s="756">
        <v>-8.0215894124444613</v>
      </c>
      <c r="CG298" s="756">
        <v>-8.1316680498760103</v>
      </c>
      <c r="CH298" s="756">
        <v>-8.2701847575588481</v>
      </c>
      <c r="CI298" s="756">
        <v>-8.4101070818924644</v>
      </c>
      <c r="CJ298" s="756">
        <v>-8.5492148908627854</v>
      </c>
      <c r="CK298" s="756">
        <v>-8.687227312576173</v>
      </c>
      <c r="CL298" s="756">
        <v>-8.8240842314785475</v>
      </c>
      <c r="CM298" s="756">
        <v>-8.95973077877089</v>
      </c>
      <c r="CN298" s="756">
        <v>-9.0942789898781307</v>
      </c>
      <c r="CO298" s="756">
        <v>-9.2278369987053761</v>
      </c>
      <c r="CP298" s="756">
        <v>-9.3604945053781226</v>
      </c>
      <c r="CQ298" s="756">
        <v>-9.493365357045926</v>
      </c>
      <c r="CR298" s="756">
        <v>-9.6265140601790566</v>
      </c>
      <c r="CS298" s="756">
        <v>-9.759896282025915</v>
      </c>
      <c r="CT298" s="756">
        <v>-9.9263652647584806</v>
      </c>
      <c r="CU298" s="756">
        <v>-10.093947943239108</v>
      </c>
      <c r="CV298" s="756">
        <v>-10.260227719236855</v>
      </c>
      <c r="CW298" s="756">
        <v>-10.425193459913949</v>
      </c>
      <c r="CX298" s="756">
        <v>-10.588912082556522</v>
      </c>
      <c r="CY298" s="756">
        <v>-10.751438411116496</v>
      </c>
      <c r="CZ298" s="756">
        <v>-10.912827373083999</v>
      </c>
      <c r="DA298" s="756">
        <v>-11.07313316885236</v>
      </c>
      <c r="DC298" s="12">
        <f>SUM(V298:AG298)</f>
        <v>-5.0511824310000009</v>
      </c>
      <c r="DD298" s="12">
        <f t="shared" si="338"/>
        <v>-36.319513371761985</v>
      </c>
      <c r="DE298" s="12">
        <f t="shared" si="339"/>
        <v>-68.645732748227104</v>
      </c>
      <c r="DF298" s="12">
        <f t="shared" si="340"/>
        <v>-80.813172547104841</v>
      </c>
      <c r="DG298" s="12">
        <f>SUM(BR298:CC298)</f>
        <v>-84.823863427261045</v>
      </c>
      <c r="DH298" s="12">
        <f>SUM(CD298:CO298)</f>
        <v>-101.89453719114353</v>
      </c>
      <c r="DI298" s="12">
        <f t="shared" si="321"/>
        <v>-122.27231562738679</v>
      </c>
    </row>
    <row r="299" spans="5:113" outlineLevel="2">
      <c r="F299" s="698"/>
      <c r="G299" s="126" t="s">
        <v>828</v>
      </c>
      <c r="H299" s="703"/>
      <c r="I299" s="609" t="s">
        <v>736</v>
      </c>
      <c r="O299" s="710"/>
      <c r="P299" s="710"/>
      <c r="Q299" s="710"/>
      <c r="R299" s="710"/>
      <c r="S299" s="710"/>
      <c r="T299" s="710"/>
      <c r="U299" s="710"/>
      <c r="V299" s="710"/>
      <c r="W299" s="710"/>
      <c r="X299" s="710"/>
      <c r="Y299" s="710"/>
      <c r="Z299" s="938"/>
      <c r="AA299" s="938"/>
      <c r="AB299" s="938"/>
      <c r="AC299" s="938"/>
      <c r="AD299" s="938"/>
      <c r="AE299" s="938"/>
      <c r="AF299" s="938"/>
      <c r="AG299" s="938">
        <v>0</v>
      </c>
      <c r="AH299" s="939">
        <v>0</v>
      </c>
      <c r="AI299" s="939">
        <v>0</v>
      </c>
      <c r="AJ299" s="939">
        <v>0</v>
      </c>
      <c r="AK299" s="940">
        <v>0</v>
      </c>
      <c r="AL299" s="940">
        <v>0</v>
      </c>
      <c r="AM299" s="940">
        <v>0</v>
      </c>
      <c r="AN299" s="756">
        <v>0.85765773037728377</v>
      </c>
      <c r="AO299" s="756">
        <v>0.248382043626801</v>
      </c>
      <c r="AP299" s="756">
        <v>0.41720347558534804</v>
      </c>
      <c r="AQ299" s="756">
        <v>0.26936365451816968</v>
      </c>
      <c r="AR299" s="756">
        <v>0.10060690805683592</v>
      </c>
      <c r="AS299" s="756">
        <v>0.12767025070031224</v>
      </c>
      <c r="AT299" s="756">
        <v>0.13433752578104219</v>
      </c>
      <c r="AU299" s="756">
        <v>0.14347973289043381</v>
      </c>
      <c r="AV299" s="756">
        <v>0.1437080230530654</v>
      </c>
      <c r="AW299" s="756">
        <v>0.13838389496170578</v>
      </c>
      <c r="AX299" s="756">
        <v>0.14741719646899298</v>
      </c>
      <c r="AY299" s="756">
        <v>0.1481878801015597</v>
      </c>
      <c r="AZ299" s="756">
        <v>0.16653890714410124</v>
      </c>
      <c r="BA299" s="756">
        <v>0.16761398437738251</v>
      </c>
      <c r="BB299" s="756">
        <v>0.16925211454473299</v>
      </c>
      <c r="BC299" s="756">
        <v>0.17114767316830637</v>
      </c>
      <c r="BD299" s="756">
        <v>0.17338132042861787</v>
      </c>
      <c r="BE299" s="756">
        <v>0.17555758988849846</v>
      </c>
      <c r="BF299" s="756">
        <v>0.17741219992295498</v>
      </c>
      <c r="BG299" s="756">
        <v>0.1795598363178641</v>
      </c>
      <c r="BH299" s="756">
        <v>0.18165844196977332</v>
      </c>
      <c r="BI299" s="756">
        <v>0.17230664191456668</v>
      </c>
      <c r="BJ299" s="756">
        <v>0.17371449883260226</v>
      </c>
      <c r="BK299" s="756">
        <v>0.19782835835349744</v>
      </c>
      <c r="BL299" s="756">
        <v>0.19846431223612626</v>
      </c>
      <c r="BM299" s="756">
        <v>0.1974024752257364</v>
      </c>
      <c r="BN299" s="756">
        <v>0.19644894959191816</v>
      </c>
      <c r="BO299" s="756">
        <v>0.19289717239068693</v>
      </c>
      <c r="BP299" s="756">
        <v>0.19226017418000652</v>
      </c>
      <c r="BQ299" s="756">
        <v>0.19185832832150851</v>
      </c>
      <c r="BR299" s="756">
        <v>0.18836964198465012</v>
      </c>
      <c r="BS299" s="756">
        <v>0.18769292770208779</v>
      </c>
      <c r="BT299" s="756">
        <v>0.18536604707382054</v>
      </c>
      <c r="BU299" s="756">
        <v>0.185778180607997</v>
      </c>
      <c r="BV299" s="756">
        <v>0.18624747014899157</v>
      </c>
      <c r="BW299" s="756">
        <v>0.19048702592264277</v>
      </c>
      <c r="BX299" s="756">
        <v>0.19468537419640342</v>
      </c>
      <c r="BY299" s="756">
        <v>0.19868393891474057</v>
      </c>
      <c r="BZ299" s="756">
        <v>0.20250275920768956</v>
      </c>
      <c r="CA299" s="756">
        <v>0.20603810007030177</v>
      </c>
      <c r="CB299" s="756">
        <v>0.20940993162379584</v>
      </c>
      <c r="CC299" s="756">
        <v>0.21256427765918318</v>
      </c>
      <c r="CD299" s="756">
        <v>0.21561214283566699</v>
      </c>
      <c r="CE299" s="756">
        <v>0.21856171052347406</v>
      </c>
      <c r="CF299" s="756">
        <v>0.2215595007153297</v>
      </c>
      <c r="CG299" s="756">
        <v>0.22460450354844852</v>
      </c>
      <c r="CH299" s="756">
        <v>0.22768670539652192</v>
      </c>
      <c r="CI299" s="756">
        <v>0.23156517321164927</v>
      </c>
      <c r="CJ299" s="756">
        <v>0.23548299829298003</v>
      </c>
      <c r="CK299" s="756">
        <v>0.23937801694415839</v>
      </c>
      <c r="CL299" s="756">
        <v>0.24324236475213468</v>
      </c>
      <c r="CM299" s="756">
        <v>0.2470743584813988</v>
      </c>
      <c r="CN299" s="756">
        <v>0.25087246180558509</v>
      </c>
      <c r="CO299" s="756">
        <v>0.25463981171660066</v>
      </c>
      <c r="CP299" s="756">
        <v>0.25837943596376078</v>
      </c>
      <c r="CQ299" s="756">
        <v>0.2620938461505915</v>
      </c>
      <c r="CR299" s="756">
        <v>0.26581422999728943</v>
      </c>
      <c r="CS299" s="756">
        <v>0.26954239368501476</v>
      </c>
      <c r="CT299" s="756">
        <v>0.27327709589673077</v>
      </c>
      <c r="CU299" s="756">
        <v>0.27793822741324448</v>
      </c>
      <c r="CV299" s="756">
        <v>0.2826305424106863</v>
      </c>
      <c r="CW299" s="756">
        <v>0.28728637613863839</v>
      </c>
      <c r="CX299" s="756">
        <v>0.29190541687759719</v>
      </c>
      <c r="CY299" s="756">
        <v>0.2964895383115902</v>
      </c>
      <c r="CZ299" s="756">
        <v>0.30104027551126933</v>
      </c>
      <c r="DA299" s="756">
        <v>0.3055591664463293</v>
      </c>
      <c r="DC299" s="12">
        <f>SUM(V299:AG299)</f>
        <v>0</v>
      </c>
      <c r="DD299" s="12">
        <f t="shared" si="338"/>
        <v>2.0208840628647504</v>
      </c>
      <c r="DE299" s="12">
        <f t="shared" si="339"/>
        <v>1.8790058428084393</v>
      </c>
      <c r="DF299" s="12">
        <f t="shared" si="340"/>
        <v>2.2518113892572416</v>
      </c>
      <c r="DG299" s="12">
        <f>SUM(BR299:CC299)</f>
        <v>2.3478256751123041</v>
      </c>
      <c r="DH299" s="12">
        <f>SUM(CD299:CO299)</f>
        <v>2.8102797482239481</v>
      </c>
      <c r="DI299" s="12">
        <f t="shared" si="321"/>
        <v>3.3719565448027424</v>
      </c>
    </row>
    <row r="300" spans="5:113" outlineLevel="2">
      <c r="E300" s="698" t="s">
        <v>820</v>
      </c>
      <c r="I300" s="609" t="s">
        <v>736</v>
      </c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>
        <f t="shared" ref="Z300:CK300" si="343">Z275+Z287+Z288</f>
        <v>0.395844187322548</v>
      </c>
      <c r="AA300" s="696">
        <f t="shared" si="343"/>
        <v>0.80920897495454613</v>
      </c>
      <c r="AB300" s="696">
        <f t="shared" si="343"/>
        <v>0.91914698821185592</v>
      </c>
      <c r="AC300" s="696">
        <f t="shared" si="343"/>
        <v>0.74461762659811392</v>
      </c>
      <c r="AD300" s="696">
        <f t="shared" si="343"/>
        <v>1.187153134649513</v>
      </c>
      <c r="AE300" s="696">
        <f t="shared" si="343"/>
        <v>1.7199125041749483</v>
      </c>
      <c r="AF300" s="696">
        <f t="shared" si="343"/>
        <v>1.7928128440904245</v>
      </c>
      <c r="AG300" s="696">
        <f t="shared" si="343"/>
        <v>1.6820892624494301</v>
      </c>
      <c r="AH300" s="872">
        <f t="shared" si="343"/>
        <v>2.2868545122988078</v>
      </c>
      <c r="AI300" s="872">
        <f t="shared" si="343"/>
        <v>2.3734271304502688</v>
      </c>
      <c r="AJ300" s="872">
        <f t="shared" si="343"/>
        <v>3.1433580337369231</v>
      </c>
      <c r="AK300" s="872">
        <f t="shared" si="343"/>
        <v>3.677088753669731</v>
      </c>
      <c r="AL300" s="872">
        <f t="shared" si="343"/>
        <v>4.1371703649799336</v>
      </c>
      <c r="AM300" s="872">
        <f t="shared" si="343"/>
        <v>3.2602994489090404</v>
      </c>
      <c r="AN300" s="872">
        <f t="shared" si="343"/>
        <v>3.4681565751639472</v>
      </c>
      <c r="AO300" s="872">
        <f t="shared" si="343"/>
        <v>5.2771773003311644</v>
      </c>
      <c r="AP300" s="872">
        <f t="shared" si="343"/>
        <v>5.8763332459657125</v>
      </c>
      <c r="AQ300" s="696">
        <f t="shared" si="343"/>
        <v>5.2412583712116314</v>
      </c>
      <c r="AR300" s="696">
        <f t="shared" si="343"/>
        <v>5.3025889353538256</v>
      </c>
      <c r="AS300" s="696">
        <f t="shared" si="343"/>
        <v>5.3617475593192276</v>
      </c>
      <c r="AT300" s="696">
        <f t="shared" si="343"/>
        <v>-2.0169467267026615</v>
      </c>
      <c r="AU300" s="696">
        <f t="shared" si="343"/>
        <v>4.1759990847544888</v>
      </c>
      <c r="AV300" s="696">
        <f t="shared" si="343"/>
        <v>3.7719909032730508</v>
      </c>
      <c r="AW300" s="696">
        <f t="shared" si="343"/>
        <v>3.7540835252303477</v>
      </c>
      <c r="AX300" s="696">
        <f t="shared" si="343"/>
        <v>3.6868937318089046</v>
      </c>
      <c r="AY300" s="696">
        <f t="shared" si="343"/>
        <v>4.0704071523537042</v>
      </c>
      <c r="AZ300" s="696">
        <f t="shared" si="343"/>
        <v>4.2578997473897919</v>
      </c>
      <c r="BA300" s="696">
        <f t="shared" si="343"/>
        <v>4.2008421417501616</v>
      </c>
      <c r="BB300" s="696">
        <f t="shared" si="343"/>
        <v>4.0940857870657537</v>
      </c>
      <c r="BC300" s="696">
        <f t="shared" si="343"/>
        <v>3.8607265575986052</v>
      </c>
      <c r="BD300" s="696">
        <f t="shared" si="343"/>
        <v>3.9570954330189529</v>
      </c>
      <c r="BE300" s="696">
        <f t="shared" si="343"/>
        <v>4.0360208484535338</v>
      </c>
      <c r="BF300" s="696">
        <f t="shared" si="343"/>
        <v>4.5507307683484424</v>
      </c>
      <c r="BG300" s="696">
        <f t="shared" si="343"/>
        <v>4.7575698141470042</v>
      </c>
      <c r="BH300" s="696">
        <f t="shared" si="343"/>
        <v>4.6106349762664269</v>
      </c>
      <c r="BI300" s="696">
        <f t="shared" si="343"/>
        <v>4.5544421447273802</v>
      </c>
      <c r="BJ300" s="696">
        <f t="shared" si="343"/>
        <v>4.7558126649128081</v>
      </c>
      <c r="BK300" s="696">
        <f t="shared" si="343"/>
        <v>4.8150502075445871</v>
      </c>
      <c r="BL300" s="696">
        <f t="shared" si="343"/>
        <v>4.9635384228919168</v>
      </c>
      <c r="BM300" s="696">
        <f t="shared" si="343"/>
        <v>4.6260803337955316</v>
      </c>
      <c r="BN300" s="696">
        <f t="shared" si="343"/>
        <v>4.0983974026741574</v>
      </c>
      <c r="BO300" s="696">
        <f t="shared" si="343"/>
        <v>4.0948294961905098</v>
      </c>
      <c r="BP300" s="696">
        <f t="shared" si="343"/>
        <v>4.1279463170630404</v>
      </c>
      <c r="BQ300" s="696">
        <f t="shared" si="343"/>
        <v>4.1637654558513137</v>
      </c>
      <c r="BR300" s="696">
        <f t="shared" si="343"/>
        <v>4.1111403419568102</v>
      </c>
      <c r="BS300" s="696">
        <f t="shared" si="343"/>
        <v>4.2847270610798827</v>
      </c>
      <c r="BT300" s="696">
        <f t="shared" si="343"/>
        <v>4.5257314088632477</v>
      </c>
      <c r="BU300" s="696">
        <f t="shared" si="343"/>
        <v>4.7886518330651882</v>
      </c>
      <c r="BV300" s="696">
        <f t="shared" si="343"/>
        <v>5.0565489747863666</v>
      </c>
      <c r="BW300" s="696">
        <f t="shared" si="343"/>
        <v>5.3168104743583484</v>
      </c>
      <c r="BX300" s="696">
        <f t="shared" si="343"/>
        <v>5.5168177260459963</v>
      </c>
      <c r="BY300" s="696">
        <f t="shared" si="343"/>
        <v>5.6644917016042378</v>
      </c>
      <c r="BZ300" s="696">
        <f t="shared" si="343"/>
        <v>5.733850107391337</v>
      </c>
      <c r="CA300" s="696">
        <f t="shared" si="343"/>
        <v>5.8030380164689319</v>
      </c>
      <c r="CB300" s="696">
        <f t="shared" si="343"/>
        <v>5.8758446458605071</v>
      </c>
      <c r="CC300" s="696">
        <f t="shared" si="343"/>
        <v>5.9546104550664456</v>
      </c>
      <c r="CD300" s="696">
        <f t="shared" si="343"/>
        <v>5.8583011368209661</v>
      </c>
      <c r="CE300" s="696">
        <f t="shared" si="343"/>
        <v>5.9754385101159144</v>
      </c>
      <c r="CF300" s="696">
        <f t="shared" si="343"/>
        <v>6.0998376550968878</v>
      </c>
      <c r="CG300" s="696">
        <f t="shared" si="343"/>
        <v>6.2274865388652554</v>
      </c>
      <c r="CH300" s="696">
        <f t="shared" si="343"/>
        <v>6.3651689216868323</v>
      </c>
      <c r="CI300" s="696">
        <f t="shared" si="343"/>
        <v>6.5009058557520571</v>
      </c>
      <c r="CJ300" s="696">
        <f t="shared" si="343"/>
        <v>6.6343005005623752</v>
      </c>
      <c r="CK300" s="696">
        <f t="shared" si="343"/>
        <v>6.7564340576333368</v>
      </c>
      <c r="CL300" s="696">
        <f t="shared" ref="CL300:DA300" si="344">CL275+CL287+CL288</f>
        <v>6.8617650219646293</v>
      </c>
      <c r="CM300" s="696">
        <f t="shared" si="344"/>
        <v>6.9658691922430318</v>
      </c>
      <c r="CN300" s="696">
        <f t="shared" si="344"/>
        <v>7.070432353101701</v>
      </c>
      <c r="CO300" s="696">
        <f t="shared" si="344"/>
        <v>7.1757184992219631</v>
      </c>
      <c r="CP300" s="696">
        <f t="shared" si="344"/>
        <v>7.1878407441175085</v>
      </c>
      <c r="CQ300" s="696">
        <f t="shared" si="344"/>
        <v>7.3272484768212003</v>
      </c>
      <c r="CR300" s="696">
        <f t="shared" si="344"/>
        <v>7.4691251609272431</v>
      </c>
      <c r="CS300" s="696">
        <f t="shared" si="344"/>
        <v>7.6115250765516542</v>
      </c>
      <c r="CT300" s="696">
        <f t="shared" si="344"/>
        <v>7.7646902295338034</v>
      </c>
      <c r="CU300" s="696">
        <f t="shared" si="344"/>
        <v>7.9172200665173555</v>
      </c>
      <c r="CV300" s="696">
        <f t="shared" si="344"/>
        <v>8.0685482446432673</v>
      </c>
      <c r="CW300" s="696">
        <f t="shared" si="344"/>
        <v>8.2077206703458181</v>
      </c>
      <c r="CX300" s="696">
        <f t="shared" si="344"/>
        <v>8.3277569159485303</v>
      </c>
      <c r="CY300" s="696">
        <f t="shared" si="344"/>
        <v>8.447016311183507</v>
      </c>
      <c r="CZ300" s="696">
        <f t="shared" si="344"/>
        <v>8.5672252356784284</v>
      </c>
      <c r="DA300" s="696">
        <f t="shared" si="344"/>
        <v>8.6884359054011533</v>
      </c>
      <c r="DC300" s="14">
        <f t="shared" si="314"/>
        <v>9.2507855224513804</v>
      </c>
      <c r="DD300" s="14">
        <f t="shared" si="338"/>
        <v>49.405460231390208</v>
      </c>
      <c r="DE300" s="14">
        <f t="shared" si="339"/>
        <v>41.849098185994634</v>
      </c>
      <c r="DF300" s="14">
        <f t="shared" si="340"/>
        <v>54.118798004413122</v>
      </c>
      <c r="DG300" s="14">
        <f t="shared" si="320"/>
        <v>62.632262746547298</v>
      </c>
      <c r="DH300" s="14">
        <f t="shared" si="317"/>
        <v>78.491658243064947</v>
      </c>
      <c r="DI300" s="14">
        <f t="shared" si="321"/>
        <v>95.584353037669473</v>
      </c>
    </row>
    <row r="301" spans="5:113" hidden="1" outlineLevel="2">
      <c r="E301" s="229"/>
      <c r="F301" s="230" t="s">
        <v>423</v>
      </c>
      <c r="I301" s="609" t="s">
        <v>736</v>
      </c>
      <c r="O301" s="696"/>
      <c r="P301" s="696"/>
      <c r="Q301" s="696"/>
      <c r="R301" s="696"/>
      <c r="S301" s="696"/>
      <c r="T301" s="696"/>
      <c r="U301" s="696"/>
      <c r="V301" s="696"/>
      <c r="W301" s="696"/>
      <c r="X301" s="696"/>
      <c r="Y301" s="696"/>
      <c r="Z301" s="710">
        <v>0</v>
      </c>
      <c r="AA301" s="710">
        <v>0</v>
      </c>
      <c r="AB301" s="710">
        <v>0</v>
      </c>
      <c r="AC301" s="710">
        <v>0</v>
      </c>
      <c r="AD301" s="710">
        <v>0.86222923631736759</v>
      </c>
      <c r="AE301" s="710">
        <v>2.0462028581576912</v>
      </c>
      <c r="AF301" s="710">
        <v>3.5174289129996064</v>
      </c>
      <c r="AG301" s="710">
        <v>4.8332506930484209</v>
      </c>
      <c r="AH301" s="710">
        <v>6.4726694718885138</v>
      </c>
      <c r="AI301" s="710">
        <v>9.0029597043029206</v>
      </c>
      <c r="AJ301" s="710">
        <v>11.763226504214938</v>
      </c>
      <c r="AK301" s="710">
        <v>14.580021104131117</v>
      </c>
      <c r="AL301" s="710">
        <v>17.377177457282048</v>
      </c>
      <c r="AM301" s="710">
        <v>19.381574275183308</v>
      </c>
      <c r="AN301" s="710">
        <v>20.075816852419209</v>
      </c>
      <c r="AO301" s="710">
        <v>21.319138992273686</v>
      </c>
      <c r="AP301" s="710">
        <v>22.621979697142027</v>
      </c>
      <c r="AQ301" s="710">
        <v>24.815458856145622</v>
      </c>
      <c r="AR301" s="710">
        <v>27.886481734219476</v>
      </c>
      <c r="AS301" s="710">
        <v>30.190955094484302</v>
      </c>
      <c r="AT301" s="710">
        <v>17.712185937912608</v>
      </c>
      <c r="AU301" s="710">
        <v>19.208638648658614</v>
      </c>
      <c r="AV301" s="710">
        <v>19.575231028498511</v>
      </c>
      <c r="AW301" s="710">
        <v>20.038315755316162</v>
      </c>
      <c r="AX301" s="710">
        <v>20.202526406420802</v>
      </c>
      <c r="AY301" s="710">
        <v>21.013435266909081</v>
      </c>
      <c r="AZ301" s="710">
        <v>22.02921201957211</v>
      </c>
      <c r="BA301" s="710">
        <v>22.788833734368765</v>
      </c>
      <c r="BB301" s="710">
        <v>23.587762109452367</v>
      </c>
      <c r="BC301" s="710">
        <v>23.827525246446633</v>
      </c>
      <c r="BD301" s="710">
        <v>24.105458107221345</v>
      </c>
      <c r="BE301" s="710">
        <v>24.390584252528491</v>
      </c>
      <c r="BF301" s="710">
        <v>24.684754123972287</v>
      </c>
      <c r="BG301" s="710">
        <v>24.974187091695853</v>
      </c>
      <c r="BH301" s="710">
        <v>24.851980954831184</v>
      </c>
      <c r="BI301" s="710">
        <v>24.725025759612578</v>
      </c>
      <c r="BJ301" s="710">
        <v>25.38331831265581</v>
      </c>
      <c r="BK301" s="710">
        <v>25.967358048641763</v>
      </c>
      <c r="BL301" s="710">
        <v>26.837480139433417</v>
      </c>
      <c r="BM301" s="710">
        <v>27.625736833015857</v>
      </c>
      <c r="BN301" s="710">
        <v>27.451002457391375</v>
      </c>
      <c r="BO301" s="710">
        <v>27.2349932380897</v>
      </c>
      <c r="BP301" s="710">
        <v>27.042130292555765</v>
      </c>
      <c r="BQ301" s="710">
        <v>26.75817421356664</v>
      </c>
      <c r="BR301" s="710">
        <v>26.5768358622371</v>
      </c>
      <c r="BS301" s="710">
        <v>26.335184283493952</v>
      </c>
      <c r="BT301" s="710">
        <v>26.124528432116179</v>
      </c>
      <c r="BU301" s="710">
        <v>26.051328042219133</v>
      </c>
      <c r="BV301" s="710">
        <v>26.15256272193492</v>
      </c>
      <c r="BW301" s="710">
        <v>26.480274854607181</v>
      </c>
      <c r="BX301" s="710">
        <v>26.93228760054539</v>
      </c>
      <c r="BY301" s="710">
        <v>27.500397169590194</v>
      </c>
      <c r="BZ301" s="710">
        <v>28.043776941578756</v>
      </c>
      <c r="CA301" s="710">
        <v>28.558301266683095</v>
      </c>
      <c r="CB301" s="710">
        <v>29.043301657704248</v>
      </c>
      <c r="CC301" s="710">
        <v>29.501432411680739</v>
      </c>
      <c r="CD301" s="710">
        <v>29.939130170814316</v>
      </c>
      <c r="CE301" s="710">
        <v>30.363891573754845</v>
      </c>
      <c r="CF301" s="710">
        <v>30.784904418172228</v>
      </c>
      <c r="CG301" s="710">
        <v>31.207146434633067</v>
      </c>
      <c r="CH301" s="710">
        <v>31.662430821480523</v>
      </c>
      <c r="CI301" s="710">
        <v>32.149692919615163</v>
      </c>
      <c r="CJ301" s="710">
        <v>32.666439903288946</v>
      </c>
      <c r="CK301" s="710">
        <v>33.210307854441474</v>
      </c>
      <c r="CL301" s="710">
        <v>33.752530136820688</v>
      </c>
      <c r="CM301" s="710">
        <v>34.290562473510704</v>
      </c>
      <c r="CN301" s="710">
        <v>34.824132127664626</v>
      </c>
      <c r="CO301" s="710">
        <v>35.353344366829376</v>
      </c>
      <c r="CP301" s="710">
        <v>35.878449563246598</v>
      </c>
      <c r="CQ301" s="710">
        <v>36.400862757176625</v>
      </c>
      <c r="CR301" s="710">
        <v>36.921923409196857</v>
      </c>
      <c r="CS301" s="710">
        <v>37.442819734796139</v>
      </c>
      <c r="CT301" s="710">
        <v>37.997507244430352</v>
      </c>
      <c r="CU301" s="710">
        <v>38.585965833207581</v>
      </c>
      <c r="CV301" s="710">
        <v>39.206591343539699</v>
      </c>
      <c r="CW301" s="710">
        <v>39.857879241185827</v>
      </c>
      <c r="CX301" s="710">
        <v>40.50645886951952</v>
      </c>
      <c r="CY301" s="710">
        <v>41.150090341496018</v>
      </c>
      <c r="CZ301" s="710">
        <v>41.788936095970527</v>
      </c>
      <c r="DA301" s="710">
        <v>42.423222055340176</v>
      </c>
      <c r="DC301" s="11">
        <f t="shared" ref="DC301:DC306" si="345">AG301</f>
        <v>4.8332506930484209</v>
      </c>
      <c r="DD301" s="11">
        <f t="shared" ref="DD301:DD306" si="346">AS301</f>
        <v>30.190955094484302</v>
      </c>
      <c r="DE301" s="11">
        <f t="shared" ref="DE301:DE306" si="347">BE301</f>
        <v>24.390584252528491</v>
      </c>
      <c r="DF301" s="11">
        <f t="shared" ref="DF301:DF306" si="348">BQ301</f>
        <v>26.75817421356664</v>
      </c>
      <c r="DG301" s="11">
        <f t="shared" ref="DG301:DG306" si="349">CC301</f>
        <v>29.501432411680739</v>
      </c>
      <c r="DH301" s="11">
        <f t="shared" ref="DH301:DH306" si="350">CO301</f>
        <v>35.353344366829376</v>
      </c>
      <c r="DI301" s="12">
        <f t="shared" si="321"/>
        <v>468.16070648910602</v>
      </c>
    </row>
    <row r="302" spans="5:113" hidden="1" outlineLevel="2">
      <c r="E302" s="229"/>
      <c r="F302" s="230" t="s">
        <v>810</v>
      </c>
      <c r="I302" s="609" t="s">
        <v>736</v>
      </c>
      <c r="O302" s="696"/>
      <c r="P302" s="696"/>
      <c r="Q302" s="696"/>
      <c r="R302" s="696"/>
      <c r="S302" s="696"/>
      <c r="T302" s="696"/>
      <c r="U302" s="696"/>
      <c r="V302" s="696"/>
      <c r="W302" s="696"/>
      <c r="X302" s="696"/>
      <c r="Y302" s="696"/>
      <c r="Z302" s="710">
        <v>0</v>
      </c>
      <c r="AA302" s="710">
        <v>1.3464661225202805</v>
      </c>
      <c r="AB302" s="710">
        <v>2.7818969953157699</v>
      </c>
      <c r="AC302" s="710">
        <v>4.1613994334724147</v>
      </c>
      <c r="AD302" s="710">
        <v>5.7082609489170935</v>
      </c>
      <c r="AE302" s="710">
        <v>7.4605756883600964</v>
      </c>
      <c r="AF302" s="710">
        <v>10.45698066745199</v>
      </c>
      <c r="AG302" s="710">
        <v>13.390995918550056</v>
      </c>
      <c r="AH302" s="710">
        <v>16.483350189540655</v>
      </c>
      <c r="AI302" s="710">
        <v>19.324480093372195</v>
      </c>
      <c r="AJ302" s="710">
        <v>21.121726407471407</v>
      </c>
      <c r="AK302" s="710">
        <v>23.804290741174288</v>
      </c>
      <c r="AL302" s="710">
        <v>26.123083464373682</v>
      </c>
      <c r="AM302" s="710">
        <v>29.035581125574236</v>
      </c>
      <c r="AN302" s="710">
        <v>31.545545249911889</v>
      </c>
      <c r="AO302" s="710">
        <v>34.91248589346003</v>
      </c>
      <c r="AP302" s="710">
        <v>38.755298205963904</v>
      </c>
      <c r="AQ302" s="710">
        <v>42.230364586407767</v>
      </c>
      <c r="AR302" s="710">
        <v>45.716322048211609</v>
      </c>
      <c r="AS302" s="710">
        <v>48.098034863880443</v>
      </c>
      <c r="AT302" s="710">
        <v>35.881225847861451</v>
      </c>
      <c r="AU302" s="710">
        <v>37.568372475761585</v>
      </c>
      <c r="AV302" s="710">
        <v>39.232556910958692</v>
      </c>
      <c r="AW302" s="710">
        <v>40.487803510889222</v>
      </c>
      <c r="AX302" s="710">
        <v>41.45738960181032</v>
      </c>
      <c r="AY302" s="710">
        <v>42.467806772567364</v>
      </c>
      <c r="AZ302" s="710">
        <v>43.731103874016</v>
      </c>
      <c r="BA302" s="710">
        <v>44.757937426284329</v>
      </c>
      <c r="BB302" s="710">
        <v>45.818049199869257</v>
      </c>
      <c r="BC302" s="710">
        <v>46.319336424446107</v>
      </c>
      <c r="BD302" s="710">
        <v>46.855691983624872</v>
      </c>
      <c r="BE302" s="710">
        <v>47.442975712059742</v>
      </c>
      <c r="BF302" s="710">
        <v>47.530301830346367</v>
      </c>
      <c r="BG302" s="710">
        <v>48.839354757739407</v>
      </c>
      <c r="BH302" s="710">
        <v>49.735524659916344</v>
      </c>
      <c r="BI302" s="710">
        <v>50.469660253096045</v>
      </c>
      <c r="BJ302" s="710">
        <v>51.058635261855279</v>
      </c>
      <c r="BK302" s="710">
        <v>51.523142108645182</v>
      </c>
      <c r="BL302" s="710">
        <v>52.185535095603598</v>
      </c>
      <c r="BM302" s="710">
        <v>52.795283336712295</v>
      </c>
      <c r="BN302" s="710">
        <v>52.539530088039676</v>
      </c>
      <c r="BO302" s="710">
        <v>52.135955824525368</v>
      </c>
      <c r="BP302" s="710">
        <v>51.809911410322357</v>
      </c>
      <c r="BQ302" s="710">
        <v>51.434380777730979</v>
      </c>
      <c r="BR302" s="710">
        <v>51.209329041926189</v>
      </c>
      <c r="BS302" s="710">
        <v>51.24194664993108</v>
      </c>
      <c r="BT302" s="710">
        <v>51.450990649591994</v>
      </c>
      <c r="BU302" s="710">
        <v>51.924374132687554</v>
      </c>
      <c r="BV302" s="710">
        <v>52.552734921005374</v>
      </c>
      <c r="BW302" s="710">
        <v>53.377115184598644</v>
      </c>
      <c r="BX302" s="710">
        <v>54.298889470530185</v>
      </c>
      <c r="BY302" s="710">
        <v>55.307575013995347</v>
      </c>
      <c r="BZ302" s="710">
        <v>56.271015600018309</v>
      </c>
      <c r="CA302" s="710">
        <v>57.187837004536682</v>
      </c>
      <c r="CB302" s="710">
        <v>58.07012765777629</v>
      </c>
      <c r="CC302" s="710">
        <v>58.926448302091543</v>
      </c>
      <c r="CD302" s="710">
        <v>59.768061590336877</v>
      </c>
      <c r="CE302" s="710">
        <v>60.645163525552036</v>
      </c>
      <c r="CF302" s="710">
        <v>61.552893577088184</v>
      </c>
      <c r="CG302" s="710">
        <v>62.491608281999213</v>
      </c>
      <c r="CH302" s="710">
        <v>63.462201473825417</v>
      </c>
      <c r="CI302" s="710">
        <v>64.460903617370803</v>
      </c>
      <c r="CJ302" s="710">
        <v>65.484777916241896</v>
      </c>
      <c r="CK302" s="710">
        <v>66.531516893022669</v>
      </c>
      <c r="CL302" s="710">
        <v>67.572590132716854</v>
      </c>
      <c r="CM302" s="710">
        <v>68.60582935341364</v>
      </c>
      <c r="CN302" s="710">
        <v>69.632942952729266</v>
      </c>
      <c r="CO302" s="710">
        <v>70.655436792843631</v>
      </c>
      <c r="CP302" s="710">
        <v>71.674717143920333</v>
      </c>
      <c r="CQ302" s="710">
        <v>72.744478365284763</v>
      </c>
      <c r="CR302" s="710">
        <v>73.850690703786299</v>
      </c>
      <c r="CS302" s="710">
        <v>74.990228843436199</v>
      </c>
      <c r="CT302" s="710">
        <v>76.161215055914681</v>
      </c>
      <c r="CU302" s="710">
        <v>77.361214192882954</v>
      </c>
      <c r="CV302" s="710">
        <v>78.58877012939891</v>
      </c>
      <c r="CW302" s="710">
        <v>79.842594496273762</v>
      </c>
      <c r="CX302" s="710">
        <v>81.089519199342973</v>
      </c>
      <c r="CY302" s="710">
        <v>82.327500387025225</v>
      </c>
      <c r="CZ302" s="710">
        <v>83.558870940922546</v>
      </c>
      <c r="DA302" s="710">
        <v>84.78539745751786</v>
      </c>
      <c r="DC302" s="11">
        <f t="shared" si="345"/>
        <v>13.390995918550056</v>
      </c>
      <c r="DD302" s="11">
        <f t="shared" si="346"/>
        <v>48.098034863880443</v>
      </c>
      <c r="DE302" s="11">
        <f t="shared" si="347"/>
        <v>47.442975712059742</v>
      </c>
      <c r="DF302" s="11">
        <f t="shared" si="348"/>
        <v>51.434380777730979</v>
      </c>
      <c r="DG302" s="11">
        <f t="shared" si="349"/>
        <v>58.926448302091543</v>
      </c>
      <c r="DH302" s="11">
        <f t="shared" si="350"/>
        <v>70.655436792843631</v>
      </c>
      <c r="DI302" s="14">
        <f t="shared" si="321"/>
        <v>936.97519691570642</v>
      </c>
    </row>
    <row r="303" spans="5:113" outlineLevel="2">
      <c r="E303" s="229" t="s">
        <v>811</v>
      </c>
      <c r="F303" s="229"/>
      <c r="I303" s="609" t="s">
        <v>812</v>
      </c>
      <c r="O303" s="696"/>
      <c r="P303" s="696"/>
      <c r="Q303" s="696"/>
      <c r="R303" s="696"/>
      <c r="S303" s="696"/>
      <c r="T303" s="696"/>
      <c r="U303" s="696"/>
      <c r="V303" s="696"/>
      <c r="W303" s="696"/>
      <c r="X303" s="696"/>
      <c r="Y303" s="696"/>
      <c r="Z303" s="753">
        <f t="shared" ref="Z303:CK303" si="351">Z301/Z272</f>
        <v>0</v>
      </c>
      <c r="AA303" s="753">
        <f t="shared" si="351"/>
        <v>0</v>
      </c>
      <c r="AB303" s="753">
        <f t="shared" si="351"/>
        <v>0</v>
      </c>
      <c r="AC303" s="753">
        <f t="shared" si="351"/>
        <v>0</v>
      </c>
      <c r="AD303" s="753">
        <f t="shared" si="351"/>
        <v>2.9521611483517347E-2</v>
      </c>
      <c r="AE303" s="753">
        <f t="shared" si="351"/>
        <v>5.5392605797446974E-2</v>
      </c>
      <c r="AF303" s="753">
        <f t="shared" si="351"/>
        <v>8.0031006130477061E-2</v>
      </c>
      <c r="AG303" s="753">
        <f t="shared" si="351"/>
        <v>0.10181488613234012</v>
      </c>
      <c r="AH303" s="753">
        <f t="shared" si="351"/>
        <v>0.11603824751555911</v>
      </c>
      <c r="AI303" s="753">
        <f t="shared" si="351"/>
        <v>0.14541641695830063</v>
      </c>
      <c r="AJ303" s="753">
        <f t="shared" si="351"/>
        <v>0.15733786269475439</v>
      </c>
      <c r="AK303" s="753">
        <f t="shared" si="351"/>
        <v>0.17015556772647997</v>
      </c>
      <c r="AL303" s="753">
        <f t="shared" si="351"/>
        <v>0.18288477688172919</v>
      </c>
      <c r="AM303" s="753">
        <f t="shared" si="351"/>
        <v>0.17425361505061507</v>
      </c>
      <c r="AN303" s="753">
        <f t="shared" si="351"/>
        <v>0.1568285742413694</v>
      </c>
      <c r="AO303" s="753">
        <f t="shared" si="351"/>
        <v>0.15322157815629905</v>
      </c>
      <c r="AP303" s="753">
        <f t="shared" si="351"/>
        <v>0.15695908586909899</v>
      </c>
      <c r="AQ303" s="753">
        <f t="shared" si="351"/>
        <v>0.1622879467154274</v>
      </c>
      <c r="AR303" s="753">
        <f t="shared" si="351"/>
        <v>0.18115727070305801</v>
      </c>
      <c r="AS303" s="753">
        <f t="shared" si="351"/>
        <v>0.18478850126997201</v>
      </c>
      <c r="AT303" s="753">
        <f t="shared" si="351"/>
        <v>0.11670642574002897</v>
      </c>
      <c r="AU303" s="753">
        <f t="shared" si="351"/>
        <v>0.11446998779794897</v>
      </c>
      <c r="AV303" s="753">
        <f t="shared" si="351"/>
        <v>0.11493886659312944</v>
      </c>
      <c r="AW303" s="753">
        <f t="shared" si="351"/>
        <v>0.11593145825522327</v>
      </c>
      <c r="AX303" s="753">
        <f t="shared" si="351"/>
        <v>0.11524663972457189</v>
      </c>
      <c r="AY303" s="753">
        <f t="shared" si="351"/>
        <v>0.11801630644178493</v>
      </c>
      <c r="AZ303" s="753">
        <f t="shared" si="351"/>
        <v>0.12169454619705328</v>
      </c>
      <c r="BA303" s="753">
        <f t="shared" si="351"/>
        <v>0.12419137892443802</v>
      </c>
      <c r="BB303" s="753">
        <f t="shared" si="351"/>
        <v>0.12665432815342217</v>
      </c>
      <c r="BC303" s="753">
        <f t="shared" si="351"/>
        <v>0.12648665705940895</v>
      </c>
      <c r="BD303" s="753">
        <f t="shared" si="351"/>
        <v>0.12614578957489639</v>
      </c>
      <c r="BE303" s="753">
        <f t="shared" si="351"/>
        <v>0.12646923708521729</v>
      </c>
      <c r="BF303" s="753">
        <f t="shared" si="351"/>
        <v>0.11581981357830158</v>
      </c>
      <c r="BG303" s="753">
        <f t="shared" si="351"/>
        <v>0.11617410084082927</v>
      </c>
      <c r="BH303" s="753">
        <f t="shared" si="351"/>
        <v>0.11560169240461662</v>
      </c>
      <c r="BI303" s="753">
        <f t="shared" si="351"/>
        <v>0.11504542383746447</v>
      </c>
      <c r="BJ303" s="753">
        <f t="shared" si="351"/>
        <v>0.11815102679018076</v>
      </c>
      <c r="BK303" s="753">
        <f t="shared" si="351"/>
        <v>0.12091250296785652</v>
      </c>
      <c r="BL303" s="753">
        <f t="shared" si="351"/>
        <v>0.12477745358406257</v>
      </c>
      <c r="BM303" s="753">
        <f t="shared" si="351"/>
        <v>0.12846291010843983</v>
      </c>
      <c r="BN303" s="753">
        <f t="shared" si="351"/>
        <v>0.12815013391683797</v>
      </c>
      <c r="BO303" s="753">
        <f t="shared" si="351"/>
        <v>0.12717724603654731</v>
      </c>
      <c r="BP303" s="753">
        <f t="shared" si="351"/>
        <v>0.12625650295178562</v>
      </c>
      <c r="BQ303" s="753">
        <f t="shared" si="351"/>
        <v>0.12491054469735428</v>
      </c>
      <c r="BR303" s="753">
        <f t="shared" si="351"/>
        <v>0.12208059066465798</v>
      </c>
      <c r="BS303" s="753">
        <f t="shared" si="351"/>
        <v>0.11894780765908747</v>
      </c>
      <c r="BT303" s="753">
        <f t="shared" si="351"/>
        <v>0.11605483042185084</v>
      </c>
      <c r="BU303" s="753">
        <f t="shared" si="351"/>
        <v>0.1138029200096404</v>
      </c>
      <c r="BV303" s="753">
        <f t="shared" si="351"/>
        <v>0.11241911152676992</v>
      </c>
      <c r="BW303" s="753">
        <f t="shared" si="351"/>
        <v>0.1120118919401115</v>
      </c>
      <c r="BX303" s="753">
        <f t="shared" si="351"/>
        <v>0.11217829162742869</v>
      </c>
      <c r="BY303" s="753">
        <f t="shared" si="351"/>
        <v>0.11281878616549779</v>
      </c>
      <c r="BZ303" s="753">
        <f t="shared" si="351"/>
        <v>0.11340043233673019</v>
      </c>
      <c r="CA303" s="753">
        <f t="shared" si="351"/>
        <v>0.11385264924504195</v>
      </c>
      <c r="CB303" s="753">
        <f t="shared" si="351"/>
        <v>0.11417320207788757</v>
      </c>
      <c r="CC303" s="753">
        <f t="shared" si="351"/>
        <v>0.1143778681577953</v>
      </c>
      <c r="CD303" s="753">
        <f t="shared" si="351"/>
        <v>0.11420129852068253</v>
      </c>
      <c r="CE303" s="753">
        <f t="shared" si="351"/>
        <v>0.11395188188170093</v>
      </c>
      <c r="CF303" s="753">
        <f t="shared" si="351"/>
        <v>0.11369205466103807</v>
      </c>
      <c r="CG303" s="753">
        <f t="shared" si="351"/>
        <v>0.11344311865102763</v>
      </c>
      <c r="CH303" s="753">
        <f t="shared" si="351"/>
        <v>0.11331867246809246</v>
      </c>
      <c r="CI303" s="753">
        <f t="shared" si="351"/>
        <v>0.11331132411991085</v>
      </c>
      <c r="CJ303" s="753">
        <f t="shared" si="351"/>
        <v>0.1134072294652267</v>
      </c>
      <c r="CK303" s="753">
        <f t="shared" si="351"/>
        <v>0.11359359936454634</v>
      </c>
      <c r="CL303" s="753">
        <f t="shared" ref="CL303:DA303" si="352">CL301/CL272</f>
        <v>0.11377962526721819</v>
      </c>
      <c r="CM303" s="753">
        <f t="shared" si="352"/>
        <v>0.11394741671353568</v>
      </c>
      <c r="CN303" s="753">
        <f t="shared" si="352"/>
        <v>0.11409562364787876</v>
      </c>
      <c r="CO303" s="753">
        <f t="shared" si="352"/>
        <v>0.1142252434119191</v>
      </c>
      <c r="CP303" s="753">
        <f t="shared" si="352"/>
        <v>0.11404511564785311</v>
      </c>
      <c r="CQ303" s="753">
        <f t="shared" si="352"/>
        <v>0.11383462683343537</v>
      </c>
      <c r="CR303" s="753">
        <f t="shared" si="352"/>
        <v>0.11362507829176871</v>
      </c>
      <c r="CS303" s="753">
        <f t="shared" si="352"/>
        <v>0.11342120115157461</v>
      </c>
      <c r="CT303" s="753">
        <f t="shared" si="352"/>
        <v>0.11332408513363809</v>
      </c>
      <c r="CU303" s="753">
        <f t="shared" si="352"/>
        <v>0.11332916543570015</v>
      </c>
      <c r="CV303" s="753">
        <f t="shared" si="352"/>
        <v>0.11342724555918154</v>
      </c>
      <c r="CW303" s="753">
        <f t="shared" si="352"/>
        <v>0.11360990776917407</v>
      </c>
      <c r="CX303" s="753">
        <f t="shared" si="352"/>
        <v>0.11378993302055546</v>
      </c>
      <c r="CY303" s="753">
        <f t="shared" si="352"/>
        <v>0.11395192494346801</v>
      </c>
      <c r="CZ303" s="753">
        <f t="shared" si="352"/>
        <v>0.11409594271250612</v>
      </c>
      <c r="DA303" s="753">
        <f t="shared" si="352"/>
        <v>0.1142232857208057</v>
      </c>
      <c r="DC303" s="729">
        <f t="shared" si="345"/>
        <v>0.10181488613234012</v>
      </c>
      <c r="DD303" s="729">
        <f t="shared" si="346"/>
        <v>0.18478850126997201</v>
      </c>
      <c r="DE303" s="729">
        <f t="shared" si="347"/>
        <v>0.12646923708521729</v>
      </c>
      <c r="DF303" s="729">
        <f t="shared" si="348"/>
        <v>0.12491054469735428</v>
      </c>
      <c r="DG303" s="729">
        <f t="shared" si="349"/>
        <v>0.1143778681577953</v>
      </c>
      <c r="DH303" s="729">
        <f t="shared" si="350"/>
        <v>0.1142252434119191</v>
      </c>
      <c r="DI303" s="729">
        <f>DA303</f>
        <v>0.1142232857208057</v>
      </c>
    </row>
    <row r="304" spans="5:113" outlineLevel="2">
      <c r="E304" s="229" t="s">
        <v>813</v>
      </c>
      <c r="F304" s="229"/>
      <c r="I304" s="609" t="s">
        <v>812</v>
      </c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753">
        <f t="shared" ref="Z304:CK304" si="353">Z302/Z272</f>
        <v>0</v>
      </c>
      <c r="AA304" s="753">
        <f t="shared" si="353"/>
        <v>6.7429957010840536E-2</v>
      </c>
      <c r="AB304" s="753">
        <f t="shared" si="353"/>
        <v>0.11274548803911968</v>
      </c>
      <c r="AC304" s="753">
        <f t="shared" si="353"/>
        <v>0.16428776679913806</v>
      </c>
      <c r="AD304" s="753">
        <f t="shared" si="353"/>
        <v>0.19544345619757794</v>
      </c>
      <c r="AE304" s="753">
        <f t="shared" si="353"/>
        <v>0.20196469107634263</v>
      </c>
      <c r="AF304" s="753">
        <f t="shared" si="353"/>
        <v>0.23792454790207837</v>
      </c>
      <c r="AG304" s="753">
        <f t="shared" si="353"/>
        <v>0.28208814548079686</v>
      </c>
      <c r="AH304" s="753">
        <f t="shared" si="353"/>
        <v>0.29550389950956252</v>
      </c>
      <c r="AI304" s="753">
        <f t="shared" si="353"/>
        <v>0.31213031570241501</v>
      </c>
      <c r="AJ304" s="753">
        <f t="shared" si="353"/>
        <v>0.28251154461610811</v>
      </c>
      <c r="AK304" s="753">
        <f t="shared" si="353"/>
        <v>0.27780704681168455</v>
      </c>
      <c r="AL304" s="753">
        <f t="shared" si="353"/>
        <v>0.274930396641758</v>
      </c>
      <c r="AM304" s="753">
        <f t="shared" si="353"/>
        <v>0.26104974262617608</v>
      </c>
      <c r="AN304" s="753">
        <f t="shared" si="353"/>
        <v>0.24642797459143606</v>
      </c>
      <c r="AO304" s="753">
        <f t="shared" si="353"/>
        <v>0.25091755290371442</v>
      </c>
      <c r="AP304" s="753">
        <f t="shared" si="353"/>
        <v>0.26889760579888278</v>
      </c>
      <c r="AQ304" s="753">
        <f t="shared" si="353"/>
        <v>0.27617781309229072</v>
      </c>
      <c r="AR304" s="753">
        <f t="shared" si="353"/>
        <v>0.29698418781432029</v>
      </c>
      <c r="AS304" s="753">
        <f t="shared" si="353"/>
        <v>0.29439160664881064</v>
      </c>
      <c r="AT304" s="753">
        <f t="shared" si="353"/>
        <v>0.23642308377709803</v>
      </c>
      <c r="AU304" s="753">
        <f t="shared" si="353"/>
        <v>0.22388109941302589</v>
      </c>
      <c r="AV304" s="753">
        <f t="shared" si="353"/>
        <v>0.23035976527332572</v>
      </c>
      <c r="AW304" s="753">
        <f t="shared" si="353"/>
        <v>0.23424174765401973</v>
      </c>
      <c r="AX304" s="753">
        <f t="shared" si="353"/>
        <v>0.23649640382811479</v>
      </c>
      <c r="AY304" s="753">
        <f t="shared" si="353"/>
        <v>0.23850901265412333</v>
      </c>
      <c r="AZ304" s="753">
        <f t="shared" si="353"/>
        <v>0.24158089884996012</v>
      </c>
      <c r="BA304" s="753">
        <f t="shared" si="353"/>
        <v>0.2439155084273088</v>
      </c>
      <c r="BB304" s="753">
        <f t="shared" si="353"/>
        <v>0.24601970342851706</v>
      </c>
      <c r="BC304" s="753">
        <f t="shared" si="353"/>
        <v>0.2458827746877329</v>
      </c>
      <c r="BD304" s="753">
        <f t="shared" si="353"/>
        <v>0.24519958239589865</v>
      </c>
      <c r="BE304" s="753">
        <f t="shared" si="353"/>
        <v>0.24599972191050243</v>
      </c>
      <c r="BF304" s="753">
        <f t="shared" si="353"/>
        <v>0.22301014908489852</v>
      </c>
      <c r="BG304" s="753">
        <f t="shared" si="353"/>
        <v>0.22718930164951259</v>
      </c>
      <c r="BH304" s="753">
        <f t="shared" si="353"/>
        <v>0.23135020237492088</v>
      </c>
      <c r="BI304" s="753">
        <f t="shared" si="353"/>
        <v>0.23483508212293361</v>
      </c>
      <c r="BJ304" s="753">
        <f t="shared" si="353"/>
        <v>0.23766121152433156</v>
      </c>
      <c r="BK304" s="753">
        <f t="shared" si="353"/>
        <v>0.23990858297772447</v>
      </c>
      <c r="BL304" s="753">
        <f t="shared" si="353"/>
        <v>0.24263001404455314</v>
      </c>
      <c r="BM304" s="753">
        <f t="shared" si="353"/>
        <v>0.24550424766691287</v>
      </c>
      <c r="BN304" s="753">
        <f t="shared" si="353"/>
        <v>0.24527147331543547</v>
      </c>
      <c r="BO304" s="753">
        <f t="shared" si="353"/>
        <v>0.24345544070020475</v>
      </c>
      <c r="BP304" s="753">
        <f t="shared" si="353"/>
        <v>0.24189433902364693</v>
      </c>
      <c r="BQ304" s="753">
        <f t="shared" si="353"/>
        <v>0.24010220083925327</v>
      </c>
      <c r="BR304" s="753">
        <f t="shared" si="353"/>
        <v>0.23522985088913967</v>
      </c>
      <c r="BS304" s="753">
        <f t="shared" si="353"/>
        <v>0.23144387935851457</v>
      </c>
      <c r="BT304" s="753">
        <f t="shared" si="353"/>
        <v>0.22856435515727888</v>
      </c>
      <c r="BU304" s="753">
        <f t="shared" si="353"/>
        <v>0.22682703109785582</v>
      </c>
      <c r="BV304" s="753">
        <f t="shared" si="353"/>
        <v>0.22590259436281265</v>
      </c>
      <c r="BW304" s="753">
        <f t="shared" si="353"/>
        <v>0.22578586102145054</v>
      </c>
      <c r="BX304" s="753">
        <f t="shared" si="353"/>
        <v>0.22616558787777477</v>
      </c>
      <c r="BY304" s="753">
        <f t="shared" si="353"/>
        <v>0.22689612227622794</v>
      </c>
      <c r="BZ304" s="753">
        <f t="shared" si="353"/>
        <v>0.22754272758488611</v>
      </c>
      <c r="CA304" s="753">
        <f t="shared" si="353"/>
        <v>0.22798928713438718</v>
      </c>
      <c r="CB304" s="753">
        <f t="shared" si="353"/>
        <v>0.22828163608600202</v>
      </c>
      <c r="CC304" s="753">
        <f t="shared" si="353"/>
        <v>0.22845946735234429</v>
      </c>
      <c r="CD304" s="753">
        <f t="shared" si="353"/>
        <v>0.22798224947545134</v>
      </c>
      <c r="CE304" s="753">
        <f t="shared" si="353"/>
        <v>0.22759370267062126</v>
      </c>
      <c r="CF304" s="753">
        <f t="shared" si="353"/>
        <v>0.22732163940000505</v>
      </c>
      <c r="CG304" s="753">
        <f t="shared" si="353"/>
        <v>0.22716729156501403</v>
      </c>
      <c r="CH304" s="753">
        <f t="shared" si="353"/>
        <v>0.22712887912692004</v>
      </c>
      <c r="CI304" s="753">
        <f t="shared" si="353"/>
        <v>0.22719191629957469</v>
      </c>
      <c r="CJ304" s="753">
        <f t="shared" si="353"/>
        <v>0.22734179964554202</v>
      </c>
      <c r="CK304" s="753">
        <f t="shared" si="353"/>
        <v>0.22756652868699118</v>
      </c>
      <c r="CL304" s="753">
        <f t="shared" ref="CL304:DA304" si="354">CL302/CL272</f>
        <v>0.22778689338161878</v>
      </c>
      <c r="CM304" s="753">
        <f t="shared" si="354"/>
        <v>0.22797692608134063</v>
      </c>
      <c r="CN304" s="753">
        <f t="shared" si="354"/>
        <v>0.2281410495314935</v>
      </c>
      <c r="CO304" s="753">
        <f t="shared" si="354"/>
        <v>0.22828489385039286</v>
      </c>
      <c r="CP304" s="753">
        <f t="shared" si="354"/>
        <v>0.22782900334910361</v>
      </c>
      <c r="CQ304" s="753">
        <f t="shared" si="354"/>
        <v>0.22749022747469061</v>
      </c>
      <c r="CR304" s="753">
        <f t="shared" si="354"/>
        <v>0.22727121824397517</v>
      </c>
      <c r="CS304" s="753">
        <f t="shared" si="354"/>
        <v>0.22715922279084463</v>
      </c>
      <c r="CT304" s="753">
        <f t="shared" si="354"/>
        <v>0.22714384823606831</v>
      </c>
      <c r="CU304" s="753">
        <f t="shared" si="354"/>
        <v>0.22721426436413394</v>
      </c>
      <c r="CV304" s="753">
        <f t="shared" si="354"/>
        <v>0.22736247712925015</v>
      </c>
      <c r="CW304" s="753">
        <f t="shared" si="354"/>
        <v>0.22758134575810801</v>
      </c>
      <c r="CX304" s="753">
        <f t="shared" si="354"/>
        <v>0.22779505332927499</v>
      </c>
      <c r="CY304" s="753">
        <f t="shared" si="354"/>
        <v>0.22797950301035888</v>
      </c>
      <c r="CZ304" s="753">
        <f t="shared" si="354"/>
        <v>0.2281400064864651</v>
      </c>
      <c r="DA304" s="753">
        <f t="shared" si="354"/>
        <v>0.22828220511183611</v>
      </c>
      <c r="DC304" s="729">
        <f t="shared" si="345"/>
        <v>0.28208814548079686</v>
      </c>
      <c r="DD304" s="729">
        <f t="shared" si="346"/>
        <v>0.29439160664881064</v>
      </c>
      <c r="DE304" s="729">
        <f t="shared" si="347"/>
        <v>0.24599972191050243</v>
      </c>
      <c r="DF304" s="729">
        <f t="shared" si="348"/>
        <v>0.24010220083925327</v>
      </c>
      <c r="DG304" s="729">
        <f t="shared" si="349"/>
        <v>0.22845946735234429</v>
      </c>
      <c r="DH304" s="729">
        <f t="shared" si="350"/>
        <v>0.22828489385039286</v>
      </c>
      <c r="DI304" s="729">
        <f>DA304</f>
        <v>0.22828220511183611</v>
      </c>
    </row>
    <row r="305" spans="2:113" outlineLevel="2">
      <c r="E305" s="230" t="s">
        <v>814</v>
      </c>
      <c r="F305" s="229"/>
      <c r="I305" s="609" t="s">
        <v>812</v>
      </c>
      <c r="O305" s="696"/>
      <c r="P305" s="696"/>
      <c r="Q305" s="696"/>
      <c r="R305" s="696"/>
      <c r="S305" s="696"/>
      <c r="T305" s="696"/>
      <c r="U305" s="696"/>
      <c r="V305" s="696"/>
      <c r="W305" s="696"/>
      <c r="X305" s="696"/>
      <c r="Y305" s="696"/>
      <c r="Z305" s="722">
        <f>Z287</f>
        <v>-2.2500000000000001E-5</v>
      </c>
      <c r="AA305" s="722">
        <f>Z305+AA287</f>
        <v>-0.15941529900000001</v>
      </c>
      <c r="AB305" s="722">
        <f t="shared" ref="AB305:CM305" si="355">AA305+AB287</f>
        <v>-0.35024740900000001</v>
      </c>
      <c r="AC305" s="722">
        <f t="shared" si="355"/>
        <v>-0.48758809000000003</v>
      </c>
      <c r="AD305" s="722">
        <f t="shared" si="355"/>
        <v>-0.59155719600000001</v>
      </c>
      <c r="AE305" s="722">
        <f t="shared" si="355"/>
        <v>-0.91721945599999999</v>
      </c>
      <c r="AF305" s="722">
        <f t="shared" si="355"/>
        <v>-1.3142778210000001</v>
      </c>
      <c r="AG305" s="722">
        <f>AF305+AG287</f>
        <v>-1.9579848400000002</v>
      </c>
      <c r="AH305" s="722">
        <f>AH287</f>
        <v>-0.48970949799999997</v>
      </c>
      <c r="AI305" s="722">
        <f t="shared" si="355"/>
        <v>-1.367081776</v>
      </c>
      <c r="AJ305" s="722">
        <f t="shared" si="355"/>
        <v>-2.4211323440000001</v>
      </c>
      <c r="AK305" s="722">
        <f t="shared" si="355"/>
        <v>-3.4188297000000003</v>
      </c>
      <c r="AL305" s="722">
        <f t="shared" si="355"/>
        <v>-4.6849335320000005</v>
      </c>
      <c r="AM305" s="722">
        <f t="shared" si="355"/>
        <v>-6.6544468840000004</v>
      </c>
      <c r="AN305" s="722">
        <f t="shared" si="355"/>
        <v>-9.909870433</v>
      </c>
      <c r="AO305" s="722">
        <f t="shared" si="355"/>
        <v>-12.130127297</v>
      </c>
      <c r="AP305" s="722">
        <f t="shared" si="355"/>
        <v>-14.141051868</v>
      </c>
      <c r="AQ305" s="722">
        <f t="shared" si="355"/>
        <v>-16.672133856149124</v>
      </c>
      <c r="AR305" s="722">
        <f t="shared" si="355"/>
        <v>-20.051740269412157</v>
      </c>
      <c r="AS305" s="722">
        <f t="shared" si="355"/>
        <v>-23.85817420339929</v>
      </c>
      <c r="AT305" s="722">
        <f>AT287</f>
        <v>-10.858043081364567</v>
      </c>
      <c r="AU305" s="722">
        <f t="shared" si="355"/>
        <v>-15.692013581012841</v>
      </c>
      <c r="AV305" s="722">
        <f t="shared" si="355"/>
        <v>-21.04917520671064</v>
      </c>
      <c r="AW305" s="722">
        <f t="shared" si="355"/>
        <v>-26.695546485717109</v>
      </c>
      <c r="AX305" s="722">
        <f t="shared" si="355"/>
        <v>-32.531422097547974</v>
      </c>
      <c r="AY305" s="722">
        <f t="shared" si="355"/>
        <v>-38.42644901421437</v>
      </c>
      <c r="AZ305" s="722">
        <f t="shared" si="355"/>
        <v>-44.332554249955358</v>
      </c>
      <c r="BA305" s="722">
        <f t="shared" si="355"/>
        <v>-50.438332671478186</v>
      </c>
      <c r="BB305" s="722">
        <f t="shared" si="355"/>
        <v>-56.796384971435138</v>
      </c>
      <c r="BC305" s="722">
        <f t="shared" si="355"/>
        <v>-63.546393322628148</v>
      </c>
      <c r="BD305" s="722">
        <f t="shared" si="355"/>
        <v>-70.359579438608193</v>
      </c>
      <c r="BE305" s="722">
        <f t="shared" si="355"/>
        <v>-77.237250660750689</v>
      </c>
      <c r="BF305" s="722">
        <f>BF287</f>
        <v>-7.0898293895601361</v>
      </c>
      <c r="BG305" s="722">
        <f t="shared" si="355"/>
        <v>-14.17860316662842</v>
      </c>
      <c r="BH305" s="722">
        <f t="shared" si="355"/>
        <v>-21.239836863550803</v>
      </c>
      <c r="BI305" s="722">
        <f t="shared" si="355"/>
        <v>-28.367866919022731</v>
      </c>
      <c r="BJ305" s="722">
        <f t="shared" si="355"/>
        <v>-35.708039542345702</v>
      </c>
      <c r="BK305" s="722">
        <f t="shared" si="355"/>
        <v>-42.974900490740886</v>
      </c>
      <c r="BL305" s="722">
        <f t="shared" si="355"/>
        <v>-50.061442944685574</v>
      </c>
      <c r="BM305" s="722">
        <f t="shared" si="355"/>
        <v>-57.455909761898781</v>
      </c>
      <c r="BN305" s="722">
        <f t="shared" si="355"/>
        <v>-65.309036097390802</v>
      </c>
      <c r="BO305" s="722">
        <f t="shared" si="355"/>
        <v>-73.158314926509775</v>
      </c>
      <c r="BP305" s="722">
        <f t="shared" si="355"/>
        <v>-80.97576220691019</v>
      </c>
      <c r="BQ305" s="722">
        <f t="shared" si="355"/>
        <v>-88.705470632739221</v>
      </c>
      <c r="BR305" s="722">
        <f>BR287</f>
        <v>-7.6788989361544102</v>
      </c>
      <c r="BS305" s="722">
        <f t="shared" si="355"/>
        <v>-15.341507992598283</v>
      </c>
      <c r="BT305" s="722">
        <f t="shared" si="355"/>
        <v>-22.966612366270549</v>
      </c>
      <c r="BU305" s="722">
        <f t="shared" si="355"/>
        <v>-30.525956303495235</v>
      </c>
      <c r="BV305" s="722">
        <f t="shared" si="355"/>
        <v>-38.076722672576651</v>
      </c>
      <c r="BW305" s="722">
        <f t="shared" si="355"/>
        <v>-45.61819679422296</v>
      </c>
      <c r="BX305" s="722">
        <f t="shared" si="355"/>
        <v>-53.203050934889077</v>
      </c>
      <c r="BY305" s="722">
        <f t="shared" si="355"/>
        <v>-60.876765118369235</v>
      </c>
      <c r="BZ305" s="722">
        <f t="shared" si="355"/>
        <v>-68.711236183979935</v>
      </c>
      <c r="CA305" s="722">
        <f t="shared" si="355"/>
        <v>-76.703221881160061</v>
      </c>
      <c r="CB305" s="722">
        <f t="shared" si="355"/>
        <v>-84.845662982801869</v>
      </c>
      <c r="CC305" s="722">
        <f t="shared" si="355"/>
        <v>-93.131089918029829</v>
      </c>
      <c r="CD305" s="722">
        <f>CD287</f>
        <v>-8.4261099203156888</v>
      </c>
      <c r="CE305" s="722">
        <f t="shared" si="355"/>
        <v>-16.984635330967322</v>
      </c>
      <c r="CF305" s="722">
        <f t="shared" si="355"/>
        <v>-25.669018214179466</v>
      </c>
      <c r="CG305" s="722">
        <f t="shared" si="355"/>
        <v>-34.475928658655064</v>
      </c>
      <c r="CH305" s="722">
        <f t="shared" si="355"/>
        <v>-43.408731466941141</v>
      </c>
      <c r="CI305" s="722">
        <f t="shared" si="355"/>
        <v>-52.46889516003079</v>
      </c>
      <c r="CJ305" s="722">
        <f t="shared" si="355"/>
        <v>-61.657584046441229</v>
      </c>
      <c r="CK305" s="722">
        <f t="shared" si="355"/>
        <v>-70.984836541810353</v>
      </c>
      <c r="CL305" s="722">
        <f t="shared" si="355"/>
        <v>-80.466545773193275</v>
      </c>
      <c r="CM305" s="722">
        <f t="shared" si="355"/>
        <v>-90.103191281052545</v>
      </c>
      <c r="CN305" s="722">
        <f>CM305+CN287</f>
        <v>-99.893847949002605</v>
      </c>
      <c r="CO305" s="722">
        <f>CN305+CO287</f>
        <v>-109.83737957021656</v>
      </c>
      <c r="CP305" s="722">
        <f>CP287</f>
        <v>-10.102167270828627</v>
      </c>
      <c r="CQ305" s="722">
        <f t="shared" ref="CQ305:DA305" si="356">CP305+CQ287</f>
        <v>-20.358700687975059</v>
      </c>
      <c r="CR305" s="722">
        <f t="shared" si="356"/>
        <v>-30.767202045970812</v>
      </c>
      <c r="CS305" s="722">
        <f t="shared" si="356"/>
        <v>-41.326590532522225</v>
      </c>
      <c r="CT305" s="722">
        <f t="shared" si="356"/>
        <v>-52.041980369240633</v>
      </c>
      <c r="CU305" s="722">
        <f t="shared" si="356"/>
        <v>-62.913478744516048</v>
      </c>
      <c r="CV305" s="722">
        <f t="shared" si="356"/>
        <v>-73.941019964612963</v>
      </c>
      <c r="CW305" s="722">
        <f t="shared" si="356"/>
        <v>-85.135548777824752</v>
      </c>
      <c r="CX305" s="722">
        <f t="shared" si="356"/>
        <v>-96.515388703738211</v>
      </c>
      <c r="CY305" s="722">
        <f t="shared" si="356"/>
        <v>-108.08072600015285</v>
      </c>
      <c r="CZ305" s="722">
        <f t="shared" si="356"/>
        <v>-119.83029447470608</v>
      </c>
      <c r="DA305" s="722">
        <f t="shared" si="356"/>
        <v>-131.76278981237908</v>
      </c>
      <c r="DC305" s="12">
        <f t="shared" si="345"/>
        <v>-1.9579848400000002</v>
      </c>
      <c r="DD305" s="12">
        <f t="shared" si="346"/>
        <v>-23.85817420339929</v>
      </c>
      <c r="DE305" s="12">
        <f t="shared" si="347"/>
        <v>-77.237250660750689</v>
      </c>
      <c r="DF305" s="12">
        <f t="shared" si="348"/>
        <v>-88.705470632739221</v>
      </c>
      <c r="DG305" s="12">
        <f t="shared" si="349"/>
        <v>-93.131089918029829</v>
      </c>
      <c r="DH305" s="12">
        <f t="shared" si="350"/>
        <v>-109.83737957021656</v>
      </c>
      <c r="DI305" s="12">
        <f>DA305</f>
        <v>-131.76278981237908</v>
      </c>
    </row>
    <row r="306" spans="2:113" outlineLevel="2">
      <c r="E306" s="230" t="s">
        <v>815</v>
      </c>
      <c r="F306" s="229"/>
      <c r="I306" s="609" t="s">
        <v>812</v>
      </c>
      <c r="O306" s="696"/>
      <c r="P306" s="696"/>
      <c r="Q306" s="696"/>
      <c r="R306" s="696"/>
      <c r="S306" s="696"/>
      <c r="T306" s="696"/>
      <c r="U306" s="696"/>
      <c r="V306" s="696"/>
      <c r="W306" s="696"/>
      <c r="X306" s="696"/>
      <c r="Y306" s="696"/>
      <c r="Z306" s="919">
        <f>Z305/SUM($Y272:Z272)</f>
        <v>-2.2421372339107205E-6</v>
      </c>
      <c r="AA306" s="919">
        <f>AA305/SUM($Y272:AA272)</f>
        <v>-5.3132349190162841E-3</v>
      </c>
      <c r="AB306" s="919">
        <f>AB305/SUM($Y272:AB272)</f>
        <v>-6.4056875790847482E-3</v>
      </c>
      <c r="AC306" s="919">
        <f>AC305/SUM($Y272:AC272)</f>
        <v>-6.0942792130806358E-3</v>
      </c>
      <c r="AD306" s="919">
        <f>AD305/SUM($Y272:AD272)</f>
        <v>-5.416485075956168E-3</v>
      </c>
      <c r="AE306" s="919">
        <f>AE305/SUM($Y272:AE272)</f>
        <v>-6.2756959887347256E-3</v>
      </c>
      <c r="AF306" s="919">
        <f>AF305/SUM($Y272:AF272)</f>
        <v>-6.9134293742297067E-3</v>
      </c>
      <c r="AG306" s="919">
        <f>AG305/SUM($Y272:AG272)</f>
        <v>-8.2415090401259192E-3</v>
      </c>
      <c r="AH306" s="919">
        <f>AH305/SUM($AG272:AH272)</f>
        <v>-4.7428827178846913E-3</v>
      </c>
      <c r="AI306" s="919">
        <f>AI305/SUM($AG272:AI272)</f>
        <v>-8.2771661121259204E-3</v>
      </c>
      <c r="AJ306" s="919">
        <f>AJ305/SUM($AG272:AJ272)</f>
        <v>-1.0091114897946406E-2</v>
      </c>
      <c r="AK306" s="919">
        <f>AK305/SUM($AG272:AK272)</f>
        <v>-1.0499653986793605E-2</v>
      </c>
      <c r="AL306" s="919">
        <f>AL305/SUM($AG272:AL272)</f>
        <v>-1.1137879892315974E-2</v>
      </c>
      <c r="AM306" s="919">
        <f>AM305/SUM($AG272:AM272)</f>
        <v>-1.2511724791099115E-2</v>
      </c>
      <c r="AN306" s="919">
        <f>AN305/SUM($AG272:AN272)</f>
        <v>-1.501795660490189E-2</v>
      </c>
      <c r="AO306" s="919">
        <f>AO305/SUM($AG272:AO272)</f>
        <v>-1.5181496147994114E-2</v>
      </c>
      <c r="AP306" s="919">
        <f>AP305/SUM($AG272:AP272)</f>
        <v>-1.4993683082942277E-2</v>
      </c>
      <c r="AQ306" s="919">
        <f>AQ305/SUM($AG272:AQ272)</f>
        <v>-1.5211189932832601E-2</v>
      </c>
      <c r="AR306" s="919">
        <f>AR305/SUM($AG272:AR272)</f>
        <v>-1.6041658739979359E-2</v>
      </c>
      <c r="AS306" s="919">
        <f>AS305/SUM($AG272:AS272)</f>
        <v>-1.6880460752232016E-2</v>
      </c>
      <c r="AT306" s="919">
        <f>AT305/SUM($AS272:AT272)</f>
        <v>-3.4453773744156702E-2</v>
      </c>
      <c r="AU306" s="919">
        <f>AU305/SUM($AS270:AU270)</f>
        <v>-0.14621306023168057</v>
      </c>
      <c r="AV306" s="919">
        <f>AV305/SUM($AS270:AV270)</f>
        <v>-0.14499714948293538</v>
      </c>
      <c r="AW306" s="919">
        <f>AW305/SUM($AS270:AW270)</f>
        <v>-0.14541653680613656</v>
      </c>
      <c r="AX306" s="919">
        <f>AX305/SUM($AS270:AX270)</f>
        <v>-0.1461856400191309</v>
      </c>
      <c r="AY306" s="919">
        <f>AY305/SUM($AS270:AY270)</f>
        <v>-0.14660827747161942</v>
      </c>
      <c r="AZ306" s="919">
        <f>AZ305/SUM($AS270:AZ270)</f>
        <v>-0.14663647667192917</v>
      </c>
      <c r="BA306" s="919">
        <f>BA305/SUM($AS270:BA270)</f>
        <v>-0.14700470987023548</v>
      </c>
      <c r="BB306" s="919">
        <f>BB305/SUM($AS270:BB270)</f>
        <v>-0.14771760989854774</v>
      </c>
      <c r="BC306" s="919">
        <f>BC305/SUM($AS270:BC270)</f>
        <v>-0.14904567884359479</v>
      </c>
      <c r="BD306" s="919">
        <f>BD305/SUM($AS270:BD270)</f>
        <v>-0.1500780069439353</v>
      </c>
      <c r="BE306" s="919">
        <f>BE305/SUM($AS270:BE270)</f>
        <v>-0.15094912873668709</v>
      </c>
      <c r="BF306" s="919">
        <f>BF305/SUM($BE272:BF272)</f>
        <v>-1.7463128183979024E-2</v>
      </c>
      <c r="BG306" s="919">
        <f>BG305/SUM($BE272:BG272)</f>
        <v>-2.2833338533006418E-2</v>
      </c>
      <c r="BH306" s="919">
        <f>BH305/SUM($BE272:BH272)</f>
        <v>-2.5408327959221592E-2</v>
      </c>
      <c r="BI306" s="919">
        <f>BI305/SUM($BE272:BI272)</f>
        <v>-2.699502666635081E-2</v>
      </c>
      <c r="BJ306" s="919">
        <f>BJ305/SUM($BE272:BJ272)</f>
        <v>-2.8212239352785471E-2</v>
      </c>
      <c r="BK306" s="919">
        <f>BK305/SUM($BE272:BK272)</f>
        <v>-2.9028175358658662E-2</v>
      </c>
      <c r="BL306" s="919">
        <f>BL305/SUM($BE272:BL272)</f>
        <v>-2.952541126345691E-2</v>
      </c>
      <c r="BM306" s="919">
        <f>BM305/SUM($BE272:BM272)</f>
        <v>-3.0072403605929634E-2</v>
      </c>
      <c r="BN306" s="919">
        <f>BN305/SUM($BE272:BN272)</f>
        <v>-3.0736620729263812E-2</v>
      </c>
      <c r="BO306" s="919">
        <f>BO305/SUM($BE272:BO272)</f>
        <v>-3.1278332751178479E-2</v>
      </c>
      <c r="BP306" s="919">
        <f>BP305/SUM($BE272:BP272)</f>
        <v>-3.1716276456453238E-2</v>
      </c>
      <c r="BQ306" s="919">
        <f>BQ305/SUM($BE272:BQ272)</f>
        <v>-3.2054321728826621E-2</v>
      </c>
      <c r="BR306" s="919">
        <f>BR305/SUM($BQ272:BR272)</f>
        <v>-1.777861160171634E-2</v>
      </c>
      <c r="BS306" s="919">
        <f>BS305/SUM($BQ272:BS272)</f>
        <v>-2.3482415836755442E-2</v>
      </c>
      <c r="BT306" s="919">
        <f>BT305/SUM($BQ272:BT272)</f>
        <v>-2.6145245965677005E-2</v>
      </c>
      <c r="BU306" s="919">
        <f>BU305/SUM($BQ272:BU272)</f>
        <v>-2.7566917910748587E-2</v>
      </c>
      <c r="BV306" s="919">
        <f>BV305/SUM($BQ272:BV272)</f>
        <v>-2.8416001464147616E-2</v>
      </c>
      <c r="BW306" s="919">
        <f>BW305/SUM($BQ272:BW272)</f>
        <v>-2.8938567538968282E-2</v>
      </c>
      <c r="BX306" s="919">
        <f>BX305/SUM($BQ272:BX272)</f>
        <v>-2.9289330004184957E-2</v>
      </c>
      <c r="BY306" s="919">
        <f>BY305/SUM($BQ272:BY272)</f>
        <v>-2.9548635789220051E-2</v>
      </c>
      <c r="BZ306" s="919">
        <f>BZ305/SUM($BQ272:BZ272)</f>
        <v>-2.9777076816173805E-2</v>
      </c>
      <c r="CA306" s="919">
        <f>CA305/SUM($BQ272:CA272)</f>
        <v>-2.998143994376742E-2</v>
      </c>
      <c r="CB306" s="919">
        <f>CB305/SUM($BQ272:CB272)</f>
        <v>-3.0164813970819979E-2</v>
      </c>
      <c r="CC306" s="919">
        <f>CC305/SUM($BQ272:CC272)</f>
        <v>-3.0329283176378053E-2</v>
      </c>
      <c r="CD306" s="919">
        <f>CD305/SUM($CC272:CD272)</f>
        <v>-1.6201235280135971E-2</v>
      </c>
      <c r="CE306" s="919">
        <f>CE305/SUM($CC272:CE272)</f>
        <v>-2.1593758769611286E-2</v>
      </c>
      <c r="CF306" s="919">
        <f>CF305/SUM($CC272:CF272)</f>
        <v>-2.4277264810136621E-2</v>
      </c>
      <c r="CG306" s="919">
        <f>CG305/SUM($CC272:CG272)</f>
        <v>-2.5874706876583529E-2</v>
      </c>
      <c r="CH306" s="919">
        <f>CH305/SUM($CC272:CH272)</f>
        <v>-2.6931355866716938E-2</v>
      </c>
      <c r="CI306" s="919">
        <f>CI305/SUM($CC272:CI272)</f>
        <v>-2.7679927592207675E-2</v>
      </c>
      <c r="CJ306" s="919">
        <f>CJ305/SUM($CC272:CJ272)</f>
        <v>-2.8236627155936906E-2</v>
      </c>
      <c r="CK306" s="919">
        <f>CK305/SUM($CC272:CK272)</f>
        <v>-2.8669578371783178E-2</v>
      </c>
      <c r="CL306" s="919">
        <f>CL305/SUM($CC272:CL272)</f>
        <v>-2.9021927748762166E-2</v>
      </c>
      <c r="CM306" s="919">
        <f>CM305/SUM($CC272:CM272)</f>
        <v>-2.931571990405903E-2</v>
      </c>
      <c r="CN306" s="919">
        <f>CN305/SUM($CC272:CN272)</f>
        <v>-2.956520376408046E-2</v>
      </c>
      <c r="CO306" s="919">
        <f>CO305/SUM($CC272:CO272)</f>
        <v>-2.9780192819548201E-2</v>
      </c>
      <c r="CP306" s="919">
        <f>CP305/SUM($CO272:CP272)</f>
        <v>-1.6186665903347938E-2</v>
      </c>
      <c r="CQ306" s="919">
        <f>CQ305/SUM($CO272:CQ272)</f>
        <v>-2.1569300254759068E-2</v>
      </c>
      <c r="CR306" s="919">
        <f>CR305/SUM($CO272:CR272)</f>
        <v>-2.4248689864426153E-2</v>
      </c>
      <c r="CS306" s="919">
        <f>CS305/SUM($CO272:CS272)</f>
        <v>-2.584622563973801E-2</v>
      </c>
      <c r="CT306" s="919">
        <f>CT305/SUM($CO272:CT272)</f>
        <v>-2.6905640801542789E-2</v>
      </c>
      <c r="CU306" s="919">
        <f>CU305/SUM($CO272:CU272)</f>
        <v>-2.7657711580258437E-2</v>
      </c>
      <c r="CV306" s="919">
        <f>CV305/SUM($CO272:CV272)</f>
        <v>-2.8217761969556086E-2</v>
      </c>
      <c r="CW306" s="919">
        <f>CW305/SUM($CO272:CW272)</f>
        <v>-2.8653566236307708E-2</v>
      </c>
      <c r="CX306" s="919">
        <f>CX305/SUM($CO272:CX272)</f>
        <v>-2.9008180432334781E-2</v>
      </c>
      <c r="CY306" s="919">
        <f>CY305/SUM($CO272:CY272)</f>
        <v>-2.9303699374635908E-2</v>
      </c>
      <c r="CZ306" s="919">
        <f>CZ305/SUM($CO272:CZ272)</f>
        <v>-2.9554467899391233E-2</v>
      </c>
      <c r="DA306" s="919">
        <f>DA305/SUM($CO272:DA272)</f>
        <v>-2.9770417806681763E-2</v>
      </c>
      <c r="DC306" s="729">
        <f t="shared" si="345"/>
        <v>-8.2415090401259192E-3</v>
      </c>
      <c r="DD306" s="729">
        <f t="shared" si="346"/>
        <v>-1.6880460752232016E-2</v>
      </c>
      <c r="DE306" s="729">
        <f t="shared" si="347"/>
        <v>-0.15094912873668709</v>
      </c>
      <c r="DF306" s="729">
        <f t="shared" si="348"/>
        <v>-3.2054321728826621E-2</v>
      </c>
      <c r="DG306" s="729">
        <f t="shared" si="349"/>
        <v>-3.0329283176378053E-2</v>
      </c>
      <c r="DH306" s="729">
        <f t="shared" si="350"/>
        <v>-2.9780192819548201E-2</v>
      </c>
      <c r="DI306" s="729">
        <f>DA306</f>
        <v>-2.9770417806681763E-2</v>
      </c>
    </row>
    <row r="307" spans="2:113" outlineLevel="1">
      <c r="F307" s="698"/>
      <c r="O307" s="706"/>
      <c r="P307" s="706"/>
      <c r="Q307" s="706"/>
      <c r="R307" s="706"/>
      <c r="S307" s="706"/>
      <c r="T307" s="706"/>
      <c r="U307" s="706"/>
      <c r="V307" s="706"/>
      <c r="W307" s="706"/>
      <c r="X307" s="706"/>
      <c r="Y307" s="706"/>
      <c r="Z307" s="731"/>
      <c r="AA307" s="731"/>
      <c r="AB307" s="731"/>
      <c r="AC307" s="731"/>
      <c r="AD307" s="731"/>
      <c r="AE307" s="731"/>
      <c r="AF307" s="731"/>
      <c r="AG307" s="731"/>
      <c r="AH307" s="731"/>
      <c r="AI307" s="731"/>
      <c r="AJ307" s="731"/>
      <c r="AK307" s="941"/>
      <c r="AL307" s="941"/>
      <c r="AM307" s="941"/>
      <c r="AN307" s="731"/>
      <c r="AO307" s="731"/>
      <c r="AP307" s="731"/>
      <c r="AQ307" s="731"/>
      <c r="AR307" s="731"/>
      <c r="AS307" s="731"/>
      <c r="AT307" s="731"/>
      <c r="AU307" s="731"/>
      <c r="AV307" s="731"/>
      <c r="AW307" s="731"/>
      <c r="AX307" s="731"/>
      <c r="AY307" s="731"/>
      <c r="AZ307" s="731"/>
      <c r="BA307" s="731"/>
      <c r="BB307" s="731"/>
      <c r="BC307" s="731"/>
      <c r="BD307" s="731"/>
      <c r="BE307" s="731"/>
      <c r="BF307" s="731"/>
      <c r="BG307" s="731"/>
      <c r="BH307" s="731"/>
      <c r="BI307" s="731"/>
      <c r="BJ307" s="731"/>
      <c r="BK307" s="731"/>
      <c r="BL307" s="731"/>
      <c r="BM307" s="731"/>
      <c r="BN307" s="731"/>
      <c r="BO307" s="731"/>
      <c r="BP307" s="731"/>
      <c r="BQ307" s="731"/>
      <c r="BR307" s="731"/>
      <c r="BS307" s="731"/>
      <c r="BT307" s="731"/>
      <c r="BU307" s="731"/>
      <c r="BV307" s="731"/>
      <c r="BW307" s="731"/>
      <c r="BX307" s="731"/>
      <c r="BY307" s="731"/>
      <c r="BZ307" s="731"/>
      <c r="CA307" s="731"/>
      <c r="CB307" s="731"/>
      <c r="CC307" s="731"/>
      <c r="CD307" s="731"/>
      <c r="CE307" s="731"/>
      <c r="CF307" s="731"/>
      <c r="CG307" s="731"/>
      <c r="CH307" s="731"/>
      <c r="CI307" s="731"/>
      <c r="CJ307" s="731"/>
      <c r="CK307" s="731"/>
      <c r="CL307" s="731"/>
      <c r="CM307" s="731"/>
      <c r="CN307" s="731"/>
      <c r="CO307" s="731"/>
      <c r="CP307" s="731"/>
      <c r="CQ307" s="731"/>
      <c r="CR307" s="731"/>
      <c r="CS307" s="731"/>
      <c r="CT307" s="731"/>
      <c r="CU307" s="731"/>
      <c r="CV307" s="731"/>
      <c r="CW307" s="731"/>
      <c r="CX307" s="731"/>
      <c r="CY307" s="731"/>
      <c r="CZ307" s="731"/>
      <c r="DA307" s="731"/>
      <c r="DI307" s="741"/>
    </row>
    <row r="308" spans="2:113" outlineLevel="1">
      <c r="F308" s="698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7"/>
      <c r="AA308" s="697"/>
      <c r="AB308" s="697"/>
      <c r="AC308" s="697"/>
      <c r="AD308" s="697"/>
      <c r="AE308" s="697"/>
      <c r="AF308" s="697"/>
      <c r="AG308" s="697"/>
      <c r="AH308" s="697"/>
      <c r="AI308" s="697"/>
      <c r="AJ308" s="697"/>
      <c r="AK308" s="697"/>
      <c r="AL308" s="697"/>
      <c r="AM308" s="697"/>
      <c r="AN308" s="697"/>
      <c r="AO308" s="697"/>
      <c r="AP308" s="697"/>
      <c r="AQ308" s="697"/>
      <c r="AR308" s="697"/>
      <c r="AS308" s="697"/>
      <c r="AT308" s="697"/>
      <c r="AU308" s="697"/>
      <c r="AV308" s="697"/>
      <c r="AW308" s="697"/>
      <c r="AX308" s="697"/>
      <c r="AY308" s="697"/>
      <c r="AZ308" s="697"/>
      <c r="BA308" s="697"/>
      <c r="BB308" s="697"/>
      <c r="BC308" s="697"/>
      <c r="BD308" s="697"/>
      <c r="BE308" s="697"/>
      <c r="BF308" s="697"/>
      <c r="BG308" s="697"/>
      <c r="BH308" s="697"/>
      <c r="BI308" s="697"/>
      <c r="BJ308" s="697"/>
      <c r="BK308" s="697"/>
      <c r="BL308" s="697"/>
      <c r="BM308" s="697"/>
      <c r="BN308" s="697"/>
      <c r="BO308" s="697"/>
      <c r="BP308" s="697"/>
      <c r="BQ308" s="697"/>
      <c r="BR308" s="697"/>
      <c r="BS308" s="697"/>
      <c r="BT308" s="697"/>
      <c r="BU308" s="697"/>
      <c r="BV308" s="697"/>
      <c r="BW308" s="697"/>
      <c r="BX308" s="697"/>
      <c r="BY308" s="697"/>
      <c r="BZ308" s="697"/>
      <c r="CA308" s="697"/>
      <c r="CB308" s="697"/>
      <c r="CC308" s="697"/>
      <c r="CD308" s="697"/>
      <c r="CE308" s="697"/>
      <c r="CF308" s="697"/>
      <c r="CG308" s="697"/>
      <c r="CH308" s="697"/>
      <c r="CI308" s="697"/>
      <c r="CJ308" s="697"/>
      <c r="CK308" s="697"/>
      <c r="CL308" s="697"/>
      <c r="CM308" s="697"/>
      <c r="CN308" s="697"/>
      <c r="CO308" s="697"/>
      <c r="CP308" s="697"/>
      <c r="CQ308" s="697"/>
      <c r="CR308" s="697"/>
      <c r="CS308" s="697"/>
      <c r="CT308" s="697"/>
      <c r="CU308" s="697"/>
      <c r="CV308" s="697"/>
      <c r="CW308" s="697"/>
      <c r="CX308" s="697"/>
      <c r="CY308" s="697"/>
      <c r="CZ308" s="697"/>
      <c r="DA308" s="697"/>
      <c r="DI308" s="729"/>
    </row>
    <row r="309" spans="2:113" outlineLevel="1">
      <c r="D309" s="921"/>
      <c r="E309" s="922" t="s">
        <v>835</v>
      </c>
      <c r="F309" s="921"/>
      <c r="G309" s="921"/>
      <c r="H309" s="923"/>
      <c r="O309" s="696"/>
      <c r="P309" s="696"/>
      <c r="Q309" s="696"/>
      <c r="R309" s="696"/>
      <c r="S309" s="696"/>
      <c r="T309" s="696"/>
      <c r="U309" s="696"/>
      <c r="V309" s="696"/>
      <c r="W309" s="696"/>
      <c r="X309" s="696"/>
      <c r="Y309" s="696"/>
      <c r="Z309" s="697"/>
      <c r="AA309" s="697"/>
      <c r="AB309" s="697"/>
      <c r="AC309" s="697"/>
      <c r="AD309" s="697"/>
      <c r="AE309" s="697"/>
      <c r="AF309" s="697"/>
      <c r="AG309" s="697"/>
      <c r="AH309" s="697"/>
      <c r="AI309" s="697"/>
      <c r="AJ309" s="697"/>
      <c r="AK309" s="697"/>
      <c r="AL309" s="697"/>
      <c r="AM309" s="697"/>
      <c r="AN309" s="697"/>
      <c r="AO309" s="697"/>
      <c r="AP309" s="697"/>
      <c r="AQ309" s="697"/>
      <c r="AR309" s="697"/>
      <c r="AS309" s="697"/>
      <c r="AT309" s="697"/>
      <c r="AU309" s="697"/>
      <c r="AV309" s="697"/>
      <c r="AW309" s="697"/>
      <c r="AX309" s="697"/>
      <c r="AY309" s="697"/>
      <c r="AZ309" s="697"/>
      <c r="BA309" s="697"/>
      <c r="BB309" s="697"/>
      <c r="BC309" s="697"/>
      <c r="BD309" s="697"/>
      <c r="BE309" s="697"/>
      <c r="BF309" s="697"/>
      <c r="BG309" s="697"/>
      <c r="BH309" s="697"/>
      <c r="BI309" s="697"/>
      <c r="BJ309" s="697"/>
      <c r="BK309" s="697"/>
      <c r="BL309" s="697"/>
      <c r="BM309" s="697"/>
      <c r="BN309" s="697"/>
      <c r="BO309" s="697"/>
      <c r="BP309" s="697"/>
      <c r="BQ309" s="697"/>
      <c r="BR309" s="697"/>
      <c r="BS309" s="697"/>
      <c r="BT309" s="697"/>
      <c r="BU309" s="697"/>
      <c r="BV309" s="697"/>
      <c r="BW309" s="697"/>
      <c r="BX309" s="697"/>
      <c r="BY309" s="697"/>
      <c r="BZ309" s="697"/>
      <c r="CA309" s="697"/>
      <c r="CB309" s="697"/>
      <c r="CC309" s="697"/>
      <c r="CD309" s="697"/>
      <c r="CE309" s="697"/>
      <c r="CF309" s="697"/>
      <c r="CG309" s="697"/>
      <c r="CH309" s="697"/>
      <c r="CI309" s="697"/>
      <c r="CJ309" s="697"/>
      <c r="CK309" s="697"/>
      <c r="CL309" s="697"/>
      <c r="CM309" s="697"/>
      <c r="CN309" s="697"/>
      <c r="CO309" s="697"/>
      <c r="CP309" s="697"/>
      <c r="CQ309" s="697"/>
      <c r="CR309" s="697"/>
      <c r="CS309" s="697"/>
      <c r="CT309" s="697"/>
      <c r="CU309" s="697"/>
      <c r="CV309" s="697"/>
      <c r="CW309" s="697"/>
      <c r="CX309" s="697"/>
      <c r="CY309" s="697"/>
      <c r="CZ309" s="697"/>
      <c r="DA309" s="697"/>
    </row>
    <row r="310" spans="2:113" ht="15" outlineLevel="2">
      <c r="E310" s="698"/>
      <c r="F310" s="126" t="s">
        <v>817</v>
      </c>
      <c r="I310" s="699" t="s">
        <v>743</v>
      </c>
      <c r="Q310" s="758"/>
      <c r="R310" s="758"/>
      <c r="S310" s="758"/>
      <c r="T310" s="758"/>
      <c r="U310" s="758"/>
      <c r="V310" s="758"/>
      <c r="W310" s="758"/>
      <c r="X310" s="758"/>
      <c r="Y310" s="758"/>
      <c r="Z310" s="885"/>
      <c r="AA310" s="885"/>
      <c r="AB310" s="885"/>
      <c r="AC310" s="885"/>
      <c r="AD310" s="885"/>
      <c r="AE310" s="885"/>
      <c r="AF310" s="885"/>
      <c r="AG310" s="885"/>
      <c r="AH310" s="925"/>
      <c r="AI310" s="925"/>
      <c r="AJ310" s="885"/>
      <c r="AK310" s="885"/>
      <c r="AL310" s="885"/>
      <c r="AM310" s="885"/>
      <c r="AN310" s="885"/>
      <c r="AO310" s="756"/>
      <c r="AP310" s="756"/>
      <c r="AQ310" s="756"/>
      <c r="AR310" s="756"/>
      <c r="AS310" s="754">
        <v>0</v>
      </c>
      <c r="AT310" s="756">
        <f>AS310+($BE310-$AS310)/12</f>
        <v>0.41666666666666669</v>
      </c>
      <c r="AU310" s="756">
        <f t="shared" ref="AU310:BD310" si="357">AT310+($BE310-$AS310)/12</f>
        <v>0.83333333333333337</v>
      </c>
      <c r="AV310" s="756">
        <f t="shared" si="357"/>
        <v>1.25</v>
      </c>
      <c r="AW310" s="756">
        <f t="shared" si="357"/>
        <v>1.6666666666666667</v>
      </c>
      <c r="AX310" s="756">
        <f t="shared" si="357"/>
        <v>2.0833333333333335</v>
      </c>
      <c r="AY310" s="756">
        <f t="shared" si="357"/>
        <v>2.5</v>
      </c>
      <c r="AZ310" s="756">
        <f t="shared" si="357"/>
        <v>2.9166666666666665</v>
      </c>
      <c r="BA310" s="756">
        <f t="shared" si="357"/>
        <v>3.333333333333333</v>
      </c>
      <c r="BB310" s="756">
        <f t="shared" si="357"/>
        <v>3.7499999999999996</v>
      </c>
      <c r="BC310" s="756">
        <f t="shared" si="357"/>
        <v>4.1666666666666661</v>
      </c>
      <c r="BD310" s="756">
        <f t="shared" si="357"/>
        <v>4.583333333333333</v>
      </c>
      <c r="BE310" s="754">
        <v>5</v>
      </c>
      <c r="BF310" s="756">
        <f>BE310+($BQ310-$BE310)/12</f>
        <v>5</v>
      </c>
      <c r="BG310" s="756">
        <f t="shared" ref="BG310:BP310" si="358">BF310+($BQ310-$BE310)/12</f>
        <v>5</v>
      </c>
      <c r="BH310" s="756">
        <f t="shared" si="358"/>
        <v>5</v>
      </c>
      <c r="BI310" s="756">
        <f t="shared" si="358"/>
        <v>5</v>
      </c>
      <c r="BJ310" s="756">
        <f t="shared" si="358"/>
        <v>5</v>
      </c>
      <c r="BK310" s="756">
        <f t="shared" si="358"/>
        <v>5</v>
      </c>
      <c r="BL310" s="756">
        <f t="shared" si="358"/>
        <v>5</v>
      </c>
      <c r="BM310" s="756">
        <f t="shared" si="358"/>
        <v>5</v>
      </c>
      <c r="BN310" s="756">
        <f t="shared" si="358"/>
        <v>5</v>
      </c>
      <c r="BO310" s="756">
        <f t="shared" si="358"/>
        <v>5</v>
      </c>
      <c r="BP310" s="756">
        <f t="shared" si="358"/>
        <v>5</v>
      </c>
      <c r="BQ310" s="754">
        <v>5</v>
      </c>
      <c r="BR310" s="756">
        <f>BQ310+($CC310-$BQ310)/12</f>
        <v>5.833333333333333</v>
      </c>
      <c r="BS310" s="756">
        <f t="shared" ref="BS310:CB310" si="359">BR310+($CC310-$BQ310)/12</f>
        <v>6.6666666666666661</v>
      </c>
      <c r="BT310" s="756">
        <f t="shared" si="359"/>
        <v>7.4999999999999991</v>
      </c>
      <c r="BU310" s="756">
        <f t="shared" si="359"/>
        <v>8.3333333333333321</v>
      </c>
      <c r="BV310" s="756">
        <f t="shared" si="359"/>
        <v>9.1666666666666661</v>
      </c>
      <c r="BW310" s="756">
        <f t="shared" si="359"/>
        <v>10</v>
      </c>
      <c r="BX310" s="756">
        <f t="shared" si="359"/>
        <v>10.833333333333334</v>
      </c>
      <c r="BY310" s="756">
        <f t="shared" si="359"/>
        <v>11.666666666666668</v>
      </c>
      <c r="BZ310" s="756">
        <f t="shared" si="359"/>
        <v>12.500000000000002</v>
      </c>
      <c r="CA310" s="756">
        <f t="shared" si="359"/>
        <v>13.333333333333336</v>
      </c>
      <c r="CB310" s="756">
        <f t="shared" si="359"/>
        <v>14.16666666666667</v>
      </c>
      <c r="CC310" s="754">
        <v>15</v>
      </c>
      <c r="CD310" s="756">
        <f>CC310+($CO310-$CC310)/12</f>
        <v>15.416666666666666</v>
      </c>
      <c r="CE310" s="756">
        <f t="shared" ref="CE310:CN310" si="360">CD310+($CO310-$CC310)/12</f>
        <v>15.833333333333332</v>
      </c>
      <c r="CF310" s="756">
        <f t="shared" si="360"/>
        <v>16.25</v>
      </c>
      <c r="CG310" s="756">
        <f t="shared" si="360"/>
        <v>16.666666666666668</v>
      </c>
      <c r="CH310" s="756">
        <f t="shared" si="360"/>
        <v>17.083333333333336</v>
      </c>
      <c r="CI310" s="756">
        <f t="shared" si="360"/>
        <v>17.500000000000004</v>
      </c>
      <c r="CJ310" s="756">
        <f t="shared" si="360"/>
        <v>17.916666666666671</v>
      </c>
      <c r="CK310" s="756">
        <f t="shared" si="360"/>
        <v>18.333333333333339</v>
      </c>
      <c r="CL310" s="756">
        <f t="shared" si="360"/>
        <v>18.750000000000007</v>
      </c>
      <c r="CM310" s="756">
        <f t="shared" si="360"/>
        <v>19.166666666666675</v>
      </c>
      <c r="CN310" s="756">
        <f t="shared" si="360"/>
        <v>19.583333333333343</v>
      </c>
      <c r="CO310" s="754">
        <v>20</v>
      </c>
      <c r="CP310" s="710">
        <f>CO310+($DA310-$CO310)/12</f>
        <v>20.083333333333332</v>
      </c>
      <c r="CQ310" s="710">
        <f t="shared" ref="CQ310:CZ310" si="361">CP310+($DA310-$CO310)/12</f>
        <v>20.166666666666664</v>
      </c>
      <c r="CR310" s="710">
        <f t="shared" si="361"/>
        <v>20.249999999999996</v>
      </c>
      <c r="CS310" s="710">
        <f t="shared" si="361"/>
        <v>20.333333333333329</v>
      </c>
      <c r="CT310" s="710">
        <f t="shared" si="361"/>
        <v>20.416666666666661</v>
      </c>
      <c r="CU310" s="710">
        <f t="shared" si="361"/>
        <v>20.499999999999993</v>
      </c>
      <c r="CV310" s="710">
        <f t="shared" si="361"/>
        <v>20.583333333333325</v>
      </c>
      <c r="CW310" s="710">
        <f t="shared" si="361"/>
        <v>20.666666666666657</v>
      </c>
      <c r="CX310" s="710">
        <f t="shared" si="361"/>
        <v>20.749999999999989</v>
      </c>
      <c r="CY310" s="710">
        <f t="shared" si="361"/>
        <v>20.833333333333321</v>
      </c>
      <c r="CZ310" s="710">
        <f t="shared" si="361"/>
        <v>20.916666666666654</v>
      </c>
      <c r="DA310" s="754">
        <f>CO310*1.05</f>
        <v>21</v>
      </c>
      <c r="DC310" s="12">
        <f>SUM(V310:AG310)</f>
        <v>0</v>
      </c>
      <c r="DD310" s="12">
        <f>SUM(AH310:AS310)</f>
        <v>0</v>
      </c>
      <c r="DE310" s="12">
        <f>SUM(AT310:BE310)</f>
        <v>32.5</v>
      </c>
      <c r="DF310" s="12">
        <f>SUM(BF310:BQ310)</f>
        <v>60</v>
      </c>
      <c r="DG310" s="12">
        <f>SUM(BR310:CC310)</f>
        <v>125.00000000000001</v>
      </c>
      <c r="DH310" s="12">
        <f>SUM(CD310:CO310)</f>
        <v>212.50000000000003</v>
      </c>
      <c r="DI310" s="12">
        <f>SUM(CP310:DA310)</f>
        <v>246.49999999999991</v>
      </c>
    </row>
    <row r="311" spans="2:113" ht="15" outlineLevel="2">
      <c r="E311" s="698"/>
      <c r="F311" s="126" t="s">
        <v>833</v>
      </c>
      <c r="I311" s="699" t="s">
        <v>743</v>
      </c>
      <c r="Q311" s="758"/>
      <c r="R311" s="758"/>
      <c r="S311" s="758"/>
      <c r="T311" s="758"/>
      <c r="U311" s="758"/>
      <c r="V311" s="758"/>
      <c r="W311" s="758"/>
      <c r="X311" s="758"/>
      <c r="Y311" s="758"/>
      <c r="Z311" s="885"/>
      <c r="AA311" s="885"/>
      <c r="AB311" s="885"/>
      <c r="AC311" s="885"/>
      <c r="AD311" s="885"/>
      <c r="AE311" s="885"/>
      <c r="AF311" s="885"/>
      <c r="AG311" s="885"/>
      <c r="AH311" s="925"/>
      <c r="AI311" s="925"/>
      <c r="AJ311" s="885"/>
      <c r="AK311" s="885"/>
      <c r="AL311" s="885"/>
      <c r="AM311" s="885"/>
      <c r="AN311" s="885"/>
      <c r="AO311" s="756"/>
      <c r="AP311" s="756"/>
      <c r="AQ311" s="756"/>
      <c r="AR311" s="756"/>
      <c r="AS311" s="756"/>
      <c r="AT311" s="756">
        <v>0.41666666666666669</v>
      </c>
      <c r="AU311" s="756">
        <v>0.875</v>
      </c>
      <c r="AV311" s="756">
        <v>1.3354166666666669</v>
      </c>
      <c r="AW311" s="756">
        <v>1.7959375</v>
      </c>
      <c r="AX311" s="756">
        <v>2.2564635416666667</v>
      </c>
      <c r="AY311" s="756">
        <v>2.71698984375</v>
      </c>
      <c r="AZ311" s="756">
        <v>3.1775161588541669</v>
      </c>
      <c r="BA311" s="756">
        <v>3.6380424746093749</v>
      </c>
      <c r="BB311" s="756">
        <v>4.0723121296553169</v>
      </c>
      <c r="BC311" s="756">
        <v>4.5066241739827682</v>
      </c>
      <c r="BD311" s="756">
        <v>4.9439937308520756</v>
      </c>
      <c r="BE311" s="756">
        <v>5.3595280069430098</v>
      </c>
      <c r="BF311" s="756">
        <v>5.3441094243953247</v>
      </c>
      <c r="BG311" s="756">
        <v>5.3794046685677337</v>
      </c>
      <c r="BH311" s="756">
        <v>5.3696116169725139</v>
      </c>
      <c r="BI311" s="756">
        <v>5.3593907936465</v>
      </c>
      <c r="BJ311" s="756">
        <v>5.3506236406560959</v>
      </c>
      <c r="BK311" s="756">
        <v>5.3515277533944072</v>
      </c>
      <c r="BL311" s="756">
        <v>5.3464017264203409</v>
      </c>
      <c r="BM311" s="756">
        <v>5.3340342271594032</v>
      </c>
      <c r="BN311" s="756">
        <v>5.3148431282342514</v>
      </c>
      <c r="BO311" s="756">
        <v>5.3157149773900629</v>
      </c>
      <c r="BP311" s="756">
        <v>5.3183923221141907</v>
      </c>
      <c r="BQ311" s="756">
        <v>5.3205068910490221</v>
      </c>
      <c r="BR311" s="756">
        <v>6.1554057072482102</v>
      </c>
      <c r="BS311" s="756">
        <v>7.0690330943829114</v>
      </c>
      <c r="BT311" s="756">
        <v>7.9862099755890776</v>
      </c>
      <c r="BU311" s="756">
        <v>8.9033071028364628</v>
      </c>
      <c r="BV311" s="756">
        <v>9.8198891937058228</v>
      </c>
      <c r="BW311" s="756">
        <v>10.735697130045596</v>
      </c>
      <c r="BX311" s="756">
        <v>11.65154498716811</v>
      </c>
      <c r="BY311" s="756">
        <v>12.567520274108066</v>
      </c>
      <c r="BZ311" s="756">
        <v>13.449369314215883</v>
      </c>
      <c r="CA311" s="756">
        <v>14.328720870900414</v>
      </c>
      <c r="CB311" s="756">
        <v>15.209593729751612</v>
      </c>
      <c r="CC311" s="756">
        <v>16.092020028946102</v>
      </c>
      <c r="CD311" s="756">
        <v>16.559201494515804</v>
      </c>
      <c r="CE311" s="756">
        <v>16.988097616284207</v>
      </c>
      <c r="CF311" s="756">
        <v>17.416425053799657</v>
      </c>
      <c r="CG311" s="756">
        <v>17.845838588975599</v>
      </c>
      <c r="CH311" s="756">
        <v>18.276374147419435</v>
      </c>
      <c r="CI311" s="756">
        <v>18.706652436965026</v>
      </c>
      <c r="CJ311" s="756">
        <v>19.136559632994388</v>
      </c>
      <c r="CK311" s="756">
        <v>19.566177048796568</v>
      </c>
      <c r="CL311" s="756">
        <v>20.01269464338715</v>
      </c>
      <c r="CM311" s="756">
        <v>20.460350673598828</v>
      </c>
      <c r="CN311" s="756">
        <v>20.907182286435077</v>
      </c>
      <c r="CO311" s="756">
        <v>21.353223491115688</v>
      </c>
      <c r="CP311" s="756">
        <v>21.465248793680676</v>
      </c>
      <c r="CQ311" s="756">
        <v>21.545019887471032</v>
      </c>
      <c r="CR311" s="756">
        <v>21.622793658326131</v>
      </c>
      <c r="CS311" s="756">
        <v>21.699938132676373</v>
      </c>
      <c r="CT311" s="756">
        <v>21.776525041830517</v>
      </c>
      <c r="CU311" s="756">
        <v>21.8532417520167</v>
      </c>
      <c r="CV311" s="756">
        <v>21.930141001932803</v>
      </c>
      <c r="CW311" s="756">
        <v>22.007179760776353</v>
      </c>
      <c r="CX311" s="756">
        <v>22.09800821344038</v>
      </c>
      <c r="CY311" s="756">
        <v>22.189931524311209</v>
      </c>
      <c r="CZ311" s="756">
        <v>22.28130765953604</v>
      </c>
      <c r="DA311" s="756">
        <v>22.372098484545589</v>
      </c>
      <c r="DC311" s="11">
        <f>AG311</f>
        <v>0</v>
      </c>
      <c r="DD311" s="11">
        <f>AS311</f>
        <v>0</v>
      </c>
      <c r="DE311" s="11">
        <f>BE311</f>
        <v>5.3595280069430098</v>
      </c>
      <c r="DF311" s="11">
        <f>BQ311</f>
        <v>5.3205068910490221</v>
      </c>
      <c r="DG311" s="11">
        <f>CC311</f>
        <v>16.092020028946102</v>
      </c>
      <c r="DH311" s="11">
        <f>CO311</f>
        <v>21.353223491115688</v>
      </c>
      <c r="DI311" s="11">
        <f>DA311</f>
        <v>22.372098484545589</v>
      </c>
    </row>
    <row r="312" spans="2:113" ht="15" outlineLevel="2">
      <c r="E312" s="698"/>
      <c r="F312" s="12" t="s">
        <v>795</v>
      </c>
      <c r="I312" s="609" t="s">
        <v>736</v>
      </c>
      <c r="Q312" s="758"/>
      <c r="R312" s="758"/>
      <c r="S312" s="758"/>
      <c r="T312" s="758"/>
      <c r="U312" s="758"/>
      <c r="V312" s="758"/>
      <c r="W312" s="758"/>
      <c r="X312" s="758"/>
      <c r="Y312" s="758"/>
      <c r="Z312" s="885"/>
      <c r="AA312" s="885"/>
      <c r="AB312" s="885"/>
      <c r="AC312" s="885"/>
      <c r="AD312" s="885"/>
      <c r="AE312" s="885"/>
      <c r="AF312" s="885"/>
      <c r="AG312" s="885"/>
      <c r="AH312" s="925"/>
      <c r="AI312" s="925"/>
      <c r="AJ312" s="885"/>
      <c r="AK312" s="885"/>
      <c r="AL312" s="885"/>
      <c r="AM312" s="885"/>
      <c r="AN312" s="885"/>
      <c r="AO312" s="759"/>
      <c r="AP312" s="759"/>
      <c r="AQ312" s="759"/>
      <c r="AR312" s="759"/>
      <c r="AS312" s="759"/>
      <c r="AT312" s="756">
        <v>1.875</v>
      </c>
      <c r="AU312" s="756">
        <v>3.75</v>
      </c>
      <c r="AV312" s="756">
        <v>5.625</v>
      </c>
      <c r="AW312" s="756">
        <v>7.5</v>
      </c>
      <c r="AX312" s="756">
        <v>9.375</v>
      </c>
      <c r="AY312" s="756">
        <v>11.25</v>
      </c>
      <c r="AZ312" s="756">
        <v>13.125</v>
      </c>
      <c r="BA312" s="756">
        <v>14.999999999999998</v>
      </c>
      <c r="BB312" s="756">
        <v>16.874999999999996</v>
      </c>
      <c r="BC312" s="756">
        <v>18.749999999999996</v>
      </c>
      <c r="BD312" s="756">
        <v>20.625</v>
      </c>
      <c r="BE312" s="756">
        <v>22.5</v>
      </c>
      <c r="BF312" s="756">
        <v>25</v>
      </c>
      <c r="BG312" s="756">
        <v>25</v>
      </c>
      <c r="BH312" s="756">
        <v>25</v>
      </c>
      <c r="BI312" s="756">
        <v>25</v>
      </c>
      <c r="BJ312" s="756">
        <v>25</v>
      </c>
      <c r="BK312" s="756">
        <v>25</v>
      </c>
      <c r="BL312" s="756">
        <v>25</v>
      </c>
      <c r="BM312" s="756">
        <v>25</v>
      </c>
      <c r="BN312" s="756">
        <v>25</v>
      </c>
      <c r="BO312" s="756">
        <v>25</v>
      </c>
      <c r="BP312" s="756">
        <v>25</v>
      </c>
      <c r="BQ312" s="756">
        <v>25</v>
      </c>
      <c r="BR312" s="756">
        <v>29.166666666666664</v>
      </c>
      <c r="BS312" s="756">
        <v>33.333333333333329</v>
      </c>
      <c r="BT312" s="756">
        <v>37.499999999999993</v>
      </c>
      <c r="BU312" s="756">
        <v>41.666666666666664</v>
      </c>
      <c r="BV312" s="756">
        <v>45.833333333333329</v>
      </c>
      <c r="BW312" s="756">
        <v>50</v>
      </c>
      <c r="BX312" s="756">
        <v>54.166666666666671</v>
      </c>
      <c r="BY312" s="756">
        <v>58.333333333333336</v>
      </c>
      <c r="BZ312" s="756">
        <v>62.500000000000007</v>
      </c>
      <c r="CA312" s="756">
        <v>66.666666666666671</v>
      </c>
      <c r="CB312" s="756">
        <v>70.833333333333343</v>
      </c>
      <c r="CC312" s="756">
        <v>75</v>
      </c>
      <c r="CD312" s="756">
        <v>77.083333333333329</v>
      </c>
      <c r="CE312" s="756">
        <v>79.166666666666657</v>
      </c>
      <c r="CF312" s="756">
        <v>81.25</v>
      </c>
      <c r="CG312" s="756">
        <v>83.333333333333343</v>
      </c>
      <c r="CH312" s="756">
        <v>85.416666666666671</v>
      </c>
      <c r="CI312" s="756">
        <v>87.500000000000014</v>
      </c>
      <c r="CJ312" s="756">
        <v>89.583333333333357</v>
      </c>
      <c r="CK312" s="756">
        <v>91.6666666666667</v>
      </c>
      <c r="CL312" s="756">
        <v>93.750000000000028</v>
      </c>
      <c r="CM312" s="756">
        <v>95.833333333333371</v>
      </c>
      <c r="CN312" s="756">
        <v>97.916666666666714</v>
      </c>
      <c r="CO312" s="756">
        <v>100</v>
      </c>
      <c r="CP312" s="756">
        <v>100.41666666666666</v>
      </c>
      <c r="CQ312" s="756">
        <v>100.83333333333333</v>
      </c>
      <c r="CR312" s="756">
        <v>101.24999999999999</v>
      </c>
      <c r="CS312" s="756">
        <v>101.66666666666664</v>
      </c>
      <c r="CT312" s="756">
        <v>102.0833333333333</v>
      </c>
      <c r="CU312" s="756">
        <v>102.49999999999997</v>
      </c>
      <c r="CV312" s="756">
        <v>102.91666666666663</v>
      </c>
      <c r="CW312" s="756">
        <v>103.33333333333329</v>
      </c>
      <c r="CX312" s="756">
        <v>103.74999999999994</v>
      </c>
      <c r="CY312" s="756">
        <v>104.16666666666661</v>
      </c>
      <c r="CZ312" s="756">
        <v>104.58333333333327</v>
      </c>
      <c r="DA312" s="756">
        <v>105</v>
      </c>
      <c r="DC312" s="12">
        <f>SUM(V312:AG312)</f>
        <v>0</v>
      </c>
      <c r="DD312" s="12">
        <f>SUM(AH312:AS312)</f>
        <v>0</v>
      </c>
      <c r="DE312" s="12">
        <f>SUM(AT312:BE312)</f>
        <v>146.25</v>
      </c>
      <c r="DF312" s="12">
        <f>SUM(BF312:BQ312)</f>
        <v>300</v>
      </c>
      <c r="DG312" s="12">
        <f>SUM(BR312:CC312)</f>
        <v>625</v>
      </c>
      <c r="DH312" s="12">
        <f>SUM(CD312:CO312)</f>
        <v>1062.5000000000002</v>
      </c>
      <c r="DI312" s="12">
        <f>SUM(CP312:DA312)</f>
        <v>1232.4999999999998</v>
      </c>
    </row>
    <row r="313" spans="2:113" ht="15" outlineLevel="2">
      <c r="E313" s="698"/>
      <c r="F313" s="12" t="s">
        <v>796</v>
      </c>
      <c r="I313" s="609" t="s">
        <v>736</v>
      </c>
      <c r="Q313" s="758"/>
      <c r="R313" s="758"/>
      <c r="S313" s="758"/>
      <c r="T313" s="758"/>
      <c r="U313" s="758"/>
      <c r="V313" s="758"/>
      <c r="W313" s="758"/>
      <c r="X313" s="758"/>
      <c r="Y313" s="758"/>
      <c r="Z313" s="885"/>
      <c r="AA313" s="885"/>
      <c r="AB313" s="885"/>
      <c r="AC313" s="885"/>
      <c r="AD313" s="885"/>
      <c r="AE313" s="885"/>
      <c r="AF313" s="885"/>
      <c r="AG313" s="885"/>
      <c r="AH313" s="307"/>
      <c r="AI313" s="307"/>
      <c r="AJ313" s="885"/>
      <c r="AK313" s="885"/>
      <c r="AL313" s="885"/>
      <c r="AM313" s="885"/>
      <c r="AN313" s="885"/>
      <c r="AO313" s="756"/>
      <c r="AP313" s="756"/>
      <c r="AQ313" s="756"/>
      <c r="AR313" s="756"/>
      <c r="AS313" s="756"/>
      <c r="AT313" s="756">
        <v>1.875</v>
      </c>
      <c r="AU313" s="756">
        <v>3.9375</v>
      </c>
      <c r="AV313" s="756">
        <v>6.0093750000000004</v>
      </c>
      <c r="AW313" s="756">
        <v>8.0817187500000003</v>
      </c>
      <c r="AX313" s="756">
        <v>10.1540859375</v>
      </c>
      <c r="AY313" s="756">
        <v>12.226454296875</v>
      </c>
      <c r="AZ313" s="756">
        <v>14.29882271484375</v>
      </c>
      <c r="BA313" s="756">
        <v>16.371191135742187</v>
      </c>
      <c r="BB313" s="756">
        <v>18.325404583448925</v>
      </c>
      <c r="BC313" s="756">
        <v>20.279808782922455</v>
      </c>
      <c r="BD313" s="756">
        <v>22.247971788834342</v>
      </c>
      <c r="BE313" s="756">
        <v>24.117876031243544</v>
      </c>
      <c r="BF313" s="756">
        <v>26.720547121976626</v>
      </c>
      <c r="BG313" s="756">
        <v>26.897023342838672</v>
      </c>
      <c r="BH313" s="756">
        <v>26.848058084862569</v>
      </c>
      <c r="BI313" s="756">
        <v>26.796953968232497</v>
      </c>
      <c r="BJ313" s="756">
        <v>26.753118203280476</v>
      </c>
      <c r="BK313" s="756">
        <v>26.75763876697204</v>
      </c>
      <c r="BL313" s="756">
        <v>26.732008632101707</v>
      </c>
      <c r="BM313" s="756">
        <v>26.670171135797016</v>
      </c>
      <c r="BN313" s="756">
        <v>26.574215641171261</v>
      </c>
      <c r="BO313" s="756">
        <v>26.578574886950314</v>
      </c>
      <c r="BP313" s="756">
        <v>26.591961610570952</v>
      </c>
      <c r="BQ313" s="756">
        <v>26.60253445524511</v>
      </c>
      <c r="BR313" s="756">
        <v>30.777028536241055</v>
      </c>
      <c r="BS313" s="756">
        <v>35.345165471914555</v>
      </c>
      <c r="BT313" s="756">
        <v>39.931049877945391</v>
      </c>
      <c r="BU313" s="756">
        <v>44.516535514182308</v>
      </c>
      <c r="BV313" s="756">
        <v>49.09944596852911</v>
      </c>
      <c r="BW313" s="756">
        <v>53.678485650227984</v>
      </c>
      <c r="BX313" s="756">
        <v>58.257724935840557</v>
      </c>
      <c r="BY313" s="756">
        <v>62.837601370540334</v>
      </c>
      <c r="BZ313" s="756">
        <v>67.246846571079416</v>
      </c>
      <c r="CA313" s="756">
        <v>71.643604354502074</v>
      </c>
      <c r="CB313" s="756">
        <v>76.047968648758058</v>
      </c>
      <c r="CC313" s="756">
        <v>80.460100144730504</v>
      </c>
      <c r="CD313" s="756">
        <v>82.796007472579035</v>
      </c>
      <c r="CE313" s="756">
        <v>84.940488081421037</v>
      </c>
      <c r="CF313" s="756">
        <v>87.082125268998269</v>
      </c>
      <c r="CG313" s="756">
        <v>89.229192944877994</v>
      </c>
      <c r="CH313" s="756">
        <v>91.381870737097174</v>
      </c>
      <c r="CI313" s="756">
        <v>93.533262184825134</v>
      </c>
      <c r="CJ313" s="756">
        <v>95.682798164971942</v>
      </c>
      <c r="CK313" s="756">
        <v>97.830885243982848</v>
      </c>
      <c r="CL313" s="756">
        <v>100.06347321693575</v>
      </c>
      <c r="CM313" s="756">
        <v>102.30175336799414</v>
      </c>
      <c r="CN313" s="756">
        <v>104.53591143217538</v>
      </c>
      <c r="CO313" s="756">
        <v>106.76611745557844</v>
      </c>
      <c r="CP313" s="756">
        <v>107.32624396840338</v>
      </c>
      <c r="CQ313" s="756">
        <v>107.72509943735517</v>
      </c>
      <c r="CR313" s="756">
        <v>108.11396829163066</v>
      </c>
      <c r="CS313" s="756">
        <v>108.49969066338186</v>
      </c>
      <c r="CT313" s="756">
        <v>108.88262520915258</v>
      </c>
      <c r="CU313" s="756">
        <v>109.26620876008352</v>
      </c>
      <c r="CV313" s="756">
        <v>109.65070500966401</v>
      </c>
      <c r="CW313" s="756">
        <v>110.03589880388176</v>
      </c>
      <c r="CX313" s="756">
        <v>110.49004106720189</v>
      </c>
      <c r="CY313" s="756">
        <v>110.94965762155604</v>
      </c>
      <c r="CZ313" s="756">
        <v>111.4065382976802</v>
      </c>
      <c r="DA313" s="756">
        <v>111.86049242272793</v>
      </c>
      <c r="DC313" s="11">
        <f>AG313</f>
        <v>0</v>
      </c>
      <c r="DD313" s="11">
        <f>AS313</f>
        <v>0</v>
      </c>
      <c r="DE313" s="11">
        <f>BE313</f>
        <v>24.117876031243544</v>
      </c>
      <c r="DF313" s="11">
        <f>BQ313</f>
        <v>26.60253445524511</v>
      </c>
      <c r="DG313" s="11">
        <f>CC313</f>
        <v>80.460100144730504</v>
      </c>
      <c r="DH313" s="11">
        <f>CO313</f>
        <v>106.76611745557844</v>
      </c>
      <c r="DI313" s="11">
        <f>DA313</f>
        <v>111.86049242272793</v>
      </c>
    </row>
    <row r="314" spans="2:113" ht="15" outlineLevel="2">
      <c r="E314" s="698"/>
      <c r="F314" s="12" t="s">
        <v>215</v>
      </c>
      <c r="I314" s="609" t="s">
        <v>736</v>
      </c>
      <c r="Q314" s="758"/>
      <c r="R314" s="758"/>
      <c r="S314" s="758"/>
      <c r="T314" s="758"/>
      <c r="U314" s="758"/>
      <c r="V314" s="758"/>
      <c r="W314" s="758"/>
      <c r="X314" s="758"/>
      <c r="Y314" s="758"/>
      <c r="Z314" s="885"/>
      <c r="AA314" s="885"/>
      <c r="AB314" s="885"/>
      <c r="AC314" s="885"/>
      <c r="AD314" s="885"/>
      <c r="AE314" s="885"/>
      <c r="AF314" s="885"/>
      <c r="AG314" s="930"/>
      <c r="AH314" s="712"/>
      <c r="AI314" s="712"/>
      <c r="AJ314" s="712"/>
      <c r="AK314" s="712"/>
      <c r="AL314" s="712"/>
      <c r="AM314" s="712"/>
      <c r="AN314" s="712"/>
      <c r="AO314" s="702"/>
      <c r="AP314" s="702"/>
      <c r="AQ314" s="702"/>
      <c r="AR314" s="702"/>
      <c r="AS314" s="702"/>
      <c r="AT314" s="702">
        <f t="shared" ref="AT314:DA314" si="362">AT318+AT320</f>
        <v>0.22125</v>
      </c>
      <c r="AU314" s="702">
        <f t="shared" si="362"/>
        <v>0.39392755681818181</v>
      </c>
      <c r="AV314" s="702">
        <f t="shared" si="362"/>
        <v>0.61178166622984653</v>
      </c>
      <c r="AW314" s="702">
        <f t="shared" si="362"/>
        <v>0.82463957719620451</v>
      </c>
      <c r="AX314" s="702">
        <f t="shared" si="362"/>
        <v>1.0332284701198999</v>
      </c>
      <c r="AY314" s="702">
        <f t="shared" si="362"/>
        <v>1.2382777855283971</v>
      </c>
      <c r="AZ314" s="702">
        <f t="shared" si="362"/>
        <v>1.4402701934726434</v>
      </c>
      <c r="BA314" s="702">
        <f t="shared" si="362"/>
        <v>1.6396288819346068</v>
      </c>
      <c r="BB314" s="702">
        <f t="shared" si="362"/>
        <v>1.8388285661760122</v>
      </c>
      <c r="BC314" s="702">
        <f t="shared" si="362"/>
        <v>2.0391454737858088</v>
      </c>
      <c r="BD314" s="702">
        <f t="shared" si="362"/>
        <v>2.2427354708208065</v>
      </c>
      <c r="BE314" s="702">
        <f t="shared" si="362"/>
        <v>2.4460585493568665</v>
      </c>
      <c r="BF314" s="702">
        <f t="shared" si="362"/>
        <v>2.7145008907720252</v>
      </c>
      <c r="BG314" s="702">
        <f t="shared" si="362"/>
        <v>2.7524100017479958</v>
      </c>
      <c r="BH314" s="702">
        <f t="shared" si="362"/>
        <v>2.7407629097506052</v>
      </c>
      <c r="BI314" s="702">
        <f t="shared" si="362"/>
        <v>2.7286558691974632</v>
      </c>
      <c r="BJ314" s="702">
        <f t="shared" si="362"/>
        <v>2.7195601023234084</v>
      </c>
      <c r="BK314" s="702">
        <f t="shared" si="362"/>
        <v>2.712205989293099</v>
      </c>
      <c r="BL314" s="702">
        <f t="shared" si="362"/>
        <v>2.7062988457423538</v>
      </c>
      <c r="BM314" s="702">
        <f t="shared" si="362"/>
        <v>2.7019598743250759</v>
      </c>
      <c r="BN314" s="702">
        <f t="shared" si="362"/>
        <v>2.7006994322101265</v>
      </c>
      <c r="BO314" s="702">
        <f t="shared" si="362"/>
        <v>2.7014817065440013</v>
      </c>
      <c r="BP314" s="702">
        <f t="shared" si="362"/>
        <v>2.7035239470201109</v>
      </c>
      <c r="BQ314" s="702">
        <f t="shared" si="362"/>
        <v>2.705024831133843</v>
      </c>
      <c r="BR314" s="702">
        <f t="shared" si="362"/>
        <v>3.1154184311907542</v>
      </c>
      <c r="BS314" s="702">
        <f t="shared" si="362"/>
        <v>3.6038122503980556</v>
      </c>
      <c r="BT314" s="702">
        <f t="shared" si="362"/>
        <v>4.0907901527045372</v>
      </c>
      <c r="BU314" s="702">
        <f t="shared" si="362"/>
        <v>4.5697928290737133</v>
      </c>
      <c r="BV314" s="702">
        <f t="shared" si="362"/>
        <v>5.0410704891769447</v>
      </c>
      <c r="BW314" s="702">
        <f t="shared" si="362"/>
        <v>5.5051716311853944</v>
      </c>
      <c r="BX314" s="702">
        <f t="shared" si="362"/>
        <v>5.9623867791432641</v>
      </c>
      <c r="BY314" s="702">
        <f t="shared" si="362"/>
        <v>6.4129916810247458</v>
      </c>
      <c r="BZ314" s="702">
        <f t="shared" si="362"/>
        <v>6.8603915036645642</v>
      </c>
      <c r="CA314" s="702">
        <f t="shared" si="362"/>
        <v>7.3063209610809086</v>
      </c>
      <c r="CB314" s="702">
        <f t="shared" si="362"/>
        <v>7.7539308806952842</v>
      </c>
      <c r="CC314" s="702">
        <f t="shared" si="362"/>
        <v>8.2031265856444904</v>
      </c>
      <c r="CD314" s="702">
        <f t="shared" si="362"/>
        <v>8.4491724480382651</v>
      </c>
      <c r="CE314" s="702">
        <f t="shared" si="362"/>
        <v>8.6553920714385111</v>
      </c>
      <c r="CF314" s="702">
        <f t="shared" si="362"/>
        <v>8.8631545212314329</v>
      </c>
      <c r="CG314" s="702">
        <f t="shared" si="362"/>
        <v>9.0752792138100631</v>
      </c>
      <c r="CH314" s="702">
        <f t="shared" si="362"/>
        <v>9.2912886009464621</v>
      </c>
      <c r="CI314" s="702">
        <f t="shared" si="362"/>
        <v>9.51077643738539</v>
      </c>
      <c r="CJ314" s="702">
        <f t="shared" si="362"/>
        <v>9.7335573097535182</v>
      </c>
      <c r="CK314" s="702">
        <f t="shared" si="362"/>
        <v>9.9595764499164723</v>
      </c>
      <c r="CL314" s="702">
        <f t="shared" si="362"/>
        <v>10.187162778861891</v>
      </c>
      <c r="CM314" s="702">
        <f t="shared" si="362"/>
        <v>10.415337140588624</v>
      </c>
      <c r="CN314" s="702">
        <f t="shared" si="362"/>
        <v>10.642634922143348</v>
      </c>
      <c r="CO314" s="702">
        <f t="shared" si="362"/>
        <v>10.869136684263518</v>
      </c>
      <c r="CP314" s="702">
        <f t="shared" si="362"/>
        <v>10.930527408131066</v>
      </c>
      <c r="CQ314" s="702">
        <f t="shared" si="362"/>
        <v>10.959937371764767</v>
      </c>
      <c r="CR314" s="702">
        <f t="shared" si="362"/>
        <v>10.990070328023181</v>
      </c>
      <c r="CS314" s="702">
        <f t="shared" si="362"/>
        <v>11.023479053515592</v>
      </c>
      <c r="CT314" s="702">
        <f t="shared" si="362"/>
        <v>11.060123966466495</v>
      </c>
      <c r="CU314" s="702">
        <f t="shared" si="362"/>
        <v>11.099838563753993</v>
      </c>
      <c r="CV314" s="702">
        <f t="shared" si="362"/>
        <v>11.142520200889695</v>
      </c>
      <c r="CW314" s="702">
        <f t="shared" si="362"/>
        <v>11.188017841559422</v>
      </c>
      <c r="CX314" s="702">
        <f t="shared" si="362"/>
        <v>11.234895167437212</v>
      </c>
      <c r="CY314" s="702">
        <f t="shared" si="362"/>
        <v>11.282253261609535</v>
      </c>
      <c r="CZ314" s="702">
        <f t="shared" si="362"/>
        <v>11.328896551921535</v>
      </c>
      <c r="DA314" s="702">
        <f t="shared" si="362"/>
        <v>11.374869270162097</v>
      </c>
      <c r="DC314" s="12">
        <f t="shared" ref="DC314:DC341" si="363">SUM(V314:AG314)</f>
        <v>0</v>
      </c>
      <c r="DD314" s="12">
        <f t="shared" ref="DD314:DD322" si="364">SUM(AH314:AS314)</f>
        <v>0</v>
      </c>
      <c r="DE314" s="12">
        <f t="shared" ref="DE314:DE322" si="365">SUM(AT314:BE314)</f>
        <v>15.969772191439272</v>
      </c>
      <c r="DF314" s="12">
        <f t="shared" ref="DF314:DF333" si="366">SUM(BF314:BQ314)</f>
        <v>32.587084400060107</v>
      </c>
      <c r="DG314" s="12">
        <f t="shared" ref="DG314:DG341" si="367">SUM(BR314:CC314)</f>
        <v>68.425204174982653</v>
      </c>
      <c r="DH314" s="12">
        <f t="shared" ref="DH314:DH341" si="368">SUM(CD314:CO314)</f>
        <v>115.65246857837748</v>
      </c>
      <c r="DI314" s="12">
        <f>SUM(CP314:DA314)</f>
        <v>133.61542898523459</v>
      </c>
    </row>
    <row r="315" spans="2:113" s="758" customFormat="1" outlineLevel="2">
      <c r="E315" s="698"/>
      <c r="F315" s="12" t="s">
        <v>99</v>
      </c>
      <c r="G315" s="126"/>
      <c r="H315" s="609"/>
      <c r="I315" s="609" t="s">
        <v>736</v>
      </c>
      <c r="J315" s="866"/>
      <c r="K315" s="866"/>
      <c r="L315" s="866"/>
      <c r="M315" s="866"/>
      <c r="AB315" s="885"/>
      <c r="AC315" s="885"/>
      <c r="AD315" s="885"/>
      <c r="AE315" s="885"/>
      <c r="AF315" s="885"/>
      <c r="AG315" s="886"/>
      <c r="AH315" s="886"/>
      <c r="AI315" s="886"/>
      <c r="AJ315" s="886"/>
      <c r="AK315" s="886"/>
      <c r="AL315" s="886"/>
      <c r="AM315" s="902"/>
      <c r="AN315" s="902"/>
      <c r="AO315" s="702"/>
      <c r="AP315" s="702"/>
      <c r="AQ315" s="702"/>
      <c r="AR315" s="702"/>
      <c r="AS315" s="702"/>
      <c r="AT315" s="702">
        <f t="shared" ref="AT315:DA315" si="369">AT319</f>
        <v>-7.8125E-3</v>
      </c>
      <c r="AU315" s="702">
        <f t="shared" si="369"/>
        <v>-1.2109375E-2</v>
      </c>
      <c r="AV315" s="702">
        <f t="shared" si="369"/>
        <v>-2.0722656250000002E-2</v>
      </c>
      <c r="AW315" s="702">
        <f t="shared" si="369"/>
        <v>-2.9356445312500003E-2</v>
      </c>
      <c r="AX315" s="702">
        <f t="shared" si="369"/>
        <v>-3.7991259765625E-2</v>
      </c>
      <c r="AY315" s="702">
        <f t="shared" si="369"/>
        <v>-4.6626125488281246E-2</v>
      </c>
      <c r="AZ315" s="702">
        <f t="shared" si="369"/>
        <v>-5.5260993774414069E-2</v>
      </c>
      <c r="BA315" s="702">
        <f t="shared" si="369"/>
        <v>-6.3895862188720717E-2</v>
      </c>
      <c r="BB315" s="702">
        <f t="shared" si="369"/>
        <v>-7.2284574414981484E-2</v>
      </c>
      <c r="BC315" s="702">
        <f t="shared" si="369"/>
        <v>-8.0427527846607047E-2</v>
      </c>
      <c r="BD315" s="702">
        <f t="shared" si="369"/>
        <v>-8.859954285782666E-2</v>
      </c>
      <c r="BE315" s="702">
        <f t="shared" si="369"/>
        <v>-9.6595516291828942E-2</v>
      </c>
      <c r="BF315" s="702">
        <f t="shared" si="369"/>
        <v>-0.10591338156920869</v>
      </c>
      <c r="BG315" s="702">
        <f t="shared" si="369"/>
        <v>-0.11170327180169855</v>
      </c>
      <c r="BH315" s="702">
        <f t="shared" si="369"/>
        <v>-0.11196891964104426</v>
      </c>
      <c r="BI315" s="702">
        <f t="shared" si="369"/>
        <v>-0.11176044177728139</v>
      </c>
      <c r="BJ315" s="702">
        <f t="shared" si="369"/>
        <v>-0.1115626503573187</v>
      </c>
      <c r="BK315" s="702">
        <f t="shared" si="369"/>
        <v>-0.11148074368802607</v>
      </c>
      <c r="BL315" s="702">
        <f t="shared" si="369"/>
        <v>-0.11143676541473697</v>
      </c>
      <c r="BM315" s="702">
        <f t="shared" si="369"/>
        <v>-0.11125454118312235</v>
      </c>
      <c r="BN315" s="702">
        <f t="shared" si="369"/>
        <v>-0.11092580578535059</v>
      </c>
      <c r="BO315" s="702">
        <f t="shared" si="369"/>
        <v>-0.11073498026691996</v>
      </c>
      <c r="BP315" s="702">
        <f t="shared" si="369"/>
        <v>-0.11077195103650266</v>
      </c>
      <c r="BQ315" s="702">
        <f t="shared" si="369"/>
        <v>-0.11082186680378348</v>
      </c>
      <c r="BR315" s="702">
        <f t="shared" si="369"/>
        <v>-0.11954075623226286</v>
      </c>
      <c r="BS315" s="702">
        <f t="shared" si="369"/>
        <v>-0.13775457085032419</v>
      </c>
      <c r="BT315" s="702">
        <f t="shared" si="369"/>
        <v>-0.15682544864554154</v>
      </c>
      <c r="BU315" s="702">
        <f t="shared" si="369"/>
        <v>-0.17593246956693273</v>
      </c>
      <c r="BV315" s="702">
        <f t="shared" si="369"/>
        <v>-0.19503329475564879</v>
      </c>
      <c r="BW315" s="702">
        <f t="shared" si="369"/>
        <v>-0.21412069087241062</v>
      </c>
      <c r="BX315" s="702">
        <f t="shared" si="369"/>
        <v>-0.23320043872097615</v>
      </c>
      <c r="BY315" s="702">
        <f t="shared" si="369"/>
        <v>-0.25228192980496017</v>
      </c>
      <c r="BZ315" s="702">
        <f t="shared" si="369"/>
        <v>-0.27100926654504115</v>
      </c>
      <c r="CA315" s="702">
        <f t="shared" si="369"/>
        <v>-0.28935510609496146</v>
      </c>
      <c r="CB315" s="702">
        <f t="shared" si="369"/>
        <v>-0.30769077709012532</v>
      </c>
      <c r="CC315" s="702">
        <f t="shared" si="369"/>
        <v>-0.32605847665310123</v>
      </c>
      <c r="CD315" s="702">
        <f t="shared" si="369"/>
        <v>-0.34011689086939484</v>
      </c>
      <c r="CE315" s="702">
        <f t="shared" si="369"/>
        <v>-0.34945103240416686</v>
      </c>
      <c r="CF315" s="702">
        <f t="shared" si="369"/>
        <v>-0.35838044448004025</v>
      </c>
      <c r="CG315" s="702">
        <f t="shared" si="369"/>
        <v>-0.36731524627890888</v>
      </c>
      <c r="CH315" s="702">
        <f t="shared" si="369"/>
        <v>-0.37627304933744826</v>
      </c>
      <c r="CI315" s="702">
        <f t="shared" si="369"/>
        <v>-0.38523986025400481</v>
      </c>
      <c r="CJ315" s="702">
        <f t="shared" si="369"/>
        <v>-0.39420012572874397</v>
      </c>
      <c r="CK315" s="702">
        <f t="shared" si="369"/>
        <v>-0.40315350710198916</v>
      </c>
      <c r="CL315" s="702">
        <f t="shared" si="369"/>
        <v>-0.41227991346024712</v>
      </c>
      <c r="CM315" s="702">
        <f t="shared" si="369"/>
        <v>-0.42159422205193725</v>
      </c>
      <c r="CN315" s="702">
        <f t="shared" si="369"/>
        <v>-0.43091180166701992</v>
      </c>
      <c r="CO315" s="702">
        <f t="shared" si="369"/>
        <v>-0.44021256018282046</v>
      </c>
      <c r="CP315" s="702">
        <f t="shared" si="369"/>
        <v>-0.44602575296662877</v>
      </c>
      <c r="CQ315" s="702">
        <f t="shared" si="369"/>
        <v>-0.4480236320953303</v>
      </c>
      <c r="CR315" s="702">
        <f t="shared" si="369"/>
        <v>-0.44966472443538713</v>
      </c>
      <c r="CS315" s="702">
        <f t="shared" si="369"/>
        <v>-0.4512784561562761</v>
      </c>
      <c r="CT315" s="702">
        <f t="shared" si="369"/>
        <v>-0.45287982473444677</v>
      </c>
      <c r="CU315" s="702">
        <f t="shared" si="369"/>
        <v>-0.4544767374359085</v>
      </c>
      <c r="CV315" s="702">
        <f t="shared" si="369"/>
        <v>-0.45607690368697401</v>
      </c>
      <c r="CW315" s="702">
        <f t="shared" si="369"/>
        <v>-0.45768042461155378</v>
      </c>
      <c r="CX315" s="702">
        <f t="shared" si="369"/>
        <v>-0.45942904139809099</v>
      </c>
      <c r="CY315" s="702">
        <f t="shared" si="369"/>
        <v>-0.46133270560157902</v>
      </c>
      <c r="CZ315" s="702">
        <f t="shared" si="369"/>
        <v>-0.46324207483174223</v>
      </c>
      <c r="DA315" s="702">
        <f t="shared" si="369"/>
        <v>-0.46513964733418361</v>
      </c>
      <c r="DC315" s="12">
        <f t="shared" si="363"/>
        <v>0</v>
      </c>
      <c r="DD315" s="12">
        <f t="shared" si="364"/>
        <v>0</v>
      </c>
      <c r="DE315" s="12">
        <f t="shared" si="365"/>
        <v>-0.61168237919078516</v>
      </c>
      <c r="DF315" s="12">
        <f t="shared" si="366"/>
        <v>-1.3303353193249936</v>
      </c>
      <c r="DG315" s="12">
        <f t="shared" si="367"/>
        <v>-2.678803225832286</v>
      </c>
      <c r="DH315" s="12">
        <f t="shared" si="368"/>
        <v>-4.679128653816722</v>
      </c>
      <c r="DI315" s="12">
        <f t="shared" ref="DI315:DI343" si="370">SUM(CP315:DA315)</f>
        <v>-5.4652499252881004</v>
      </c>
    </row>
    <row r="316" spans="2:113" outlineLevel="2">
      <c r="E316" s="698" t="s">
        <v>217</v>
      </c>
      <c r="F316" s="698"/>
      <c r="G316" s="698"/>
      <c r="H316" s="703"/>
      <c r="I316" s="609" t="s">
        <v>736</v>
      </c>
      <c r="Q316" s="758"/>
      <c r="R316" s="758"/>
      <c r="S316" s="758"/>
      <c r="T316" s="758"/>
      <c r="U316" s="758"/>
      <c r="V316" s="758"/>
      <c r="W316" s="758"/>
      <c r="X316" s="758"/>
      <c r="Y316" s="758"/>
      <c r="Z316" s="887"/>
      <c r="AA316" s="887"/>
      <c r="AB316" s="887"/>
      <c r="AC316" s="887"/>
      <c r="AD316" s="887"/>
      <c r="AE316" s="887"/>
      <c r="AF316" s="887"/>
      <c r="AG316" s="887"/>
      <c r="AH316" s="887"/>
      <c r="AI316" s="887"/>
      <c r="AJ316" s="887"/>
      <c r="AK316" s="887"/>
      <c r="AL316" s="887"/>
      <c r="AM316" s="887"/>
      <c r="AN316" s="887"/>
      <c r="AO316" s="705"/>
      <c r="AP316" s="705"/>
      <c r="AQ316" s="705"/>
      <c r="AR316" s="705"/>
      <c r="AS316" s="705"/>
      <c r="AT316" s="705">
        <f t="shared" ref="AT316:DA316" si="371">AT317+AT320</f>
        <v>0.2134375</v>
      </c>
      <c r="AU316" s="705">
        <f t="shared" si="371"/>
        <v>0.38181818181818183</v>
      </c>
      <c r="AV316" s="705">
        <f t="shared" si="371"/>
        <v>0.59105900997984651</v>
      </c>
      <c r="AW316" s="705">
        <f t="shared" si="371"/>
        <v>0.79528313188370447</v>
      </c>
      <c r="AX316" s="705">
        <f t="shared" si="371"/>
        <v>0.99523721035427481</v>
      </c>
      <c r="AY316" s="705">
        <f t="shared" si="371"/>
        <v>1.1916516600401159</v>
      </c>
      <c r="AZ316" s="705">
        <f t="shared" si="371"/>
        <v>1.3850091996982292</v>
      </c>
      <c r="BA316" s="705">
        <f t="shared" si="371"/>
        <v>1.5757330197458861</v>
      </c>
      <c r="BB316" s="705">
        <f t="shared" si="371"/>
        <v>1.7665439917610308</v>
      </c>
      <c r="BC316" s="705">
        <f t="shared" si="371"/>
        <v>1.9587179459392019</v>
      </c>
      <c r="BD316" s="705">
        <f t="shared" si="371"/>
        <v>2.1541359279629795</v>
      </c>
      <c r="BE316" s="705">
        <f t="shared" si="371"/>
        <v>2.3494630330650379</v>
      </c>
      <c r="BF316" s="705">
        <f t="shared" si="371"/>
        <v>2.6085875092028168</v>
      </c>
      <c r="BG316" s="705">
        <f t="shared" si="371"/>
        <v>2.640706729946297</v>
      </c>
      <c r="BH316" s="705">
        <f t="shared" si="371"/>
        <v>2.6287939901095609</v>
      </c>
      <c r="BI316" s="705">
        <f t="shared" si="371"/>
        <v>2.6168954274201814</v>
      </c>
      <c r="BJ316" s="705">
        <f t="shared" si="371"/>
        <v>2.6079974519660896</v>
      </c>
      <c r="BK316" s="705">
        <f t="shared" si="371"/>
        <v>2.6007252456050729</v>
      </c>
      <c r="BL316" s="705">
        <f t="shared" si="371"/>
        <v>2.5948620803276166</v>
      </c>
      <c r="BM316" s="705">
        <f t="shared" si="371"/>
        <v>2.5907053331419538</v>
      </c>
      <c r="BN316" s="705">
        <f t="shared" si="371"/>
        <v>2.5897736264247757</v>
      </c>
      <c r="BO316" s="705">
        <f t="shared" si="371"/>
        <v>2.5907467262770814</v>
      </c>
      <c r="BP316" s="705">
        <f t="shared" si="371"/>
        <v>2.5927519959836083</v>
      </c>
      <c r="BQ316" s="705">
        <f t="shared" si="371"/>
        <v>2.5942029643300595</v>
      </c>
      <c r="BR316" s="705">
        <f t="shared" si="371"/>
        <v>2.9958776749584914</v>
      </c>
      <c r="BS316" s="705">
        <f t="shared" si="371"/>
        <v>3.4660576795477311</v>
      </c>
      <c r="BT316" s="705">
        <f t="shared" si="371"/>
        <v>3.9339647040589956</v>
      </c>
      <c r="BU316" s="705">
        <f t="shared" si="371"/>
        <v>4.3938603595067809</v>
      </c>
      <c r="BV316" s="705">
        <f t="shared" si="371"/>
        <v>4.8460371944212959</v>
      </c>
      <c r="BW316" s="705">
        <f t="shared" si="371"/>
        <v>5.2910509403129833</v>
      </c>
      <c r="BX316" s="705">
        <f t="shared" si="371"/>
        <v>5.729186340422288</v>
      </c>
      <c r="BY316" s="705">
        <f t="shared" si="371"/>
        <v>6.1607097512197857</v>
      </c>
      <c r="BZ316" s="705">
        <f t="shared" si="371"/>
        <v>6.5893822371195236</v>
      </c>
      <c r="CA316" s="705">
        <f t="shared" si="371"/>
        <v>7.0169658549859468</v>
      </c>
      <c r="CB316" s="705">
        <f t="shared" si="371"/>
        <v>7.4462401036051595</v>
      </c>
      <c r="CC316" s="705">
        <f t="shared" si="371"/>
        <v>7.8770681089913896</v>
      </c>
      <c r="CD316" s="705">
        <f t="shared" si="371"/>
        <v>8.1090555571688707</v>
      </c>
      <c r="CE316" s="705">
        <f t="shared" si="371"/>
        <v>8.3059410390343444</v>
      </c>
      <c r="CF316" s="705">
        <f t="shared" si="371"/>
        <v>8.5047740767513922</v>
      </c>
      <c r="CG316" s="705">
        <f t="shared" si="371"/>
        <v>8.7079639675311533</v>
      </c>
      <c r="CH316" s="705">
        <f t="shared" si="371"/>
        <v>8.915015551609013</v>
      </c>
      <c r="CI316" s="705">
        <f t="shared" si="371"/>
        <v>9.1255365771313848</v>
      </c>
      <c r="CJ316" s="705">
        <f t="shared" si="371"/>
        <v>9.3393571840247738</v>
      </c>
      <c r="CK316" s="705">
        <f t="shared" si="371"/>
        <v>9.556422942814482</v>
      </c>
      <c r="CL316" s="705">
        <f t="shared" si="371"/>
        <v>9.7748828654016435</v>
      </c>
      <c r="CM316" s="705">
        <f t="shared" si="371"/>
        <v>9.9937429185366877</v>
      </c>
      <c r="CN316" s="705">
        <f t="shared" si="371"/>
        <v>10.211723120476327</v>
      </c>
      <c r="CO316" s="705">
        <f t="shared" si="371"/>
        <v>10.428924124080698</v>
      </c>
      <c r="CP316" s="705">
        <f t="shared" si="371"/>
        <v>10.484501655164438</v>
      </c>
      <c r="CQ316" s="705">
        <f t="shared" si="371"/>
        <v>10.511913739669437</v>
      </c>
      <c r="CR316" s="705">
        <f t="shared" si="371"/>
        <v>10.540405603587795</v>
      </c>
      <c r="CS316" s="705">
        <f t="shared" si="371"/>
        <v>10.572200597359316</v>
      </c>
      <c r="CT316" s="705">
        <f t="shared" si="371"/>
        <v>10.607244141732048</v>
      </c>
      <c r="CU316" s="705">
        <f t="shared" si="371"/>
        <v>10.645361826318084</v>
      </c>
      <c r="CV316" s="705">
        <f t="shared" si="371"/>
        <v>10.68644329720272</v>
      </c>
      <c r="CW316" s="705">
        <f t="shared" si="371"/>
        <v>10.730337416947869</v>
      </c>
      <c r="CX316" s="705">
        <f t="shared" si="371"/>
        <v>10.77546612603912</v>
      </c>
      <c r="CY316" s="705">
        <f t="shared" si="371"/>
        <v>10.820920556007955</v>
      </c>
      <c r="CZ316" s="705">
        <f t="shared" si="371"/>
        <v>10.865654477089793</v>
      </c>
      <c r="DA316" s="705">
        <f t="shared" si="371"/>
        <v>10.909729622827912</v>
      </c>
      <c r="DC316" s="14">
        <f t="shared" si="363"/>
        <v>0</v>
      </c>
      <c r="DD316" s="14">
        <f t="shared" si="364"/>
        <v>0</v>
      </c>
      <c r="DE316" s="14">
        <f t="shared" si="365"/>
        <v>15.35808981224849</v>
      </c>
      <c r="DF316" s="14">
        <f t="shared" si="366"/>
        <v>31.256749080735112</v>
      </c>
      <c r="DG316" s="14">
        <f t="shared" si="367"/>
        <v>65.74640094915037</v>
      </c>
      <c r="DH316" s="14">
        <f t="shared" si="368"/>
        <v>110.97333992456076</v>
      </c>
      <c r="DI316" s="14">
        <f t="shared" si="370"/>
        <v>128.15017905994648</v>
      </c>
    </row>
    <row r="317" spans="2:113" outlineLevel="2">
      <c r="E317" s="698"/>
      <c r="F317" s="14" t="s">
        <v>218</v>
      </c>
      <c r="G317" s="698"/>
      <c r="H317" s="703"/>
      <c r="I317" s="609" t="s">
        <v>736</v>
      </c>
      <c r="Q317" s="758"/>
      <c r="R317" s="758"/>
      <c r="S317" s="758"/>
      <c r="T317" s="758"/>
      <c r="U317" s="758"/>
      <c r="V317" s="758"/>
      <c r="W317" s="758"/>
      <c r="X317" s="758"/>
      <c r="Y317" s="758"/>
      <c r="Z317" s="887"/>
      <c r="AA317" s="887"/>
      <c r="AB317" s="887"/>
      <c r="AC317" s="887"/>
      <c r="AD317" s="887"/>
      <c r="AE317" s="887"/>
      <c r="AF317" s="887"/>
      <c r="AG317" s="887"/>
      <c r="AH317" s="887"/>
      <c r="AI317" s="887"/>
      <c r="AJ317" s="887"/>
      <c r="AK317" s="887"/>
      <c r="AL317" s="887"/>
      <c r="AM317" s="887"/>
      <c r="AN317" s="887"/>
      <c r="AO317" s="708"/>
      <c r="AP317" s="708"/>
      <c r="AQ317" s="708"/>
      <c r="AR317" s="708"/>
      <c r="AS317" s="708"/>
      <c r="AT317" s="708">
        <f t="shared" ref="AT317:DA317" si="372">AT318+AT319</f>
        <v>8.59375E-2</v>
      </c>
      <c r="AU317" s="708">
        <f t="shared" si="372"/>
        <v>0.1268181818181818</v>
      </c>
      <c r="AV317" s="708">
        <f t="shared" si="372"/>
        <v>0.20855900997984647</v>
      </c>
      <c r="AW317" s="708">
        <f t="shared" si="372"/>
        <v>0.28528313188370447</v>
      </c>
      <c r="AX317" s="708">
        <f t="shared" si="372"/>
        <v>0.35773721035427491</v>
      </c>
      <c r="AY317" s="708">
        <f t="shared" si="372"/>
        <v>0.42665166004011584</v>
      </c>
      <c r="AZ317" s="708">
        <f t="shared" si="372"/>
        <v>0.49250919969822937</v>
      </c>
      <c r="BA317" s="708">
        <f t="shared" si="372"/>
        <v>0.55573301974588607</v>
      </c>
      <c r="BB317" s="708">
        <f t="shared" si="372"/>
        <v>0.61904399176103109</v>
      </c>
      <c r="BC317" s="708">
        <f t="shared" si="372"/>
        <v>0.68371794593920221</v>
      </c>
      <c r="BD317" s="708">
        <f t="shared" si="372"/>
        <v>0.75163592796297962</v>
      </c>
      <c r="BE317" s="708">
        <f t="shared" si="372"/>
        <v>0.81946303306503765</v>
      </c>
      <c r="BF317" s="708">
        <f t="shared" si="372"/>
        <v>0.90858750920281672</v>
      </c>
      <c r="BG317" s="708">
        <f t="shared" si="372"/>
        <v>0.94070672994629723</v>
      </c>
      <c r="BH317" s="708">
        <f t="shared" si="372"/>
        <v>0.92879399010956099</v>
      </c>
      <c r="BI317" s="708">
        <f t="shared" si="372"/>
        <v>0.9168954274201816</v>
      </c>
      <c r="BJ317" s="708">
        <f t="shared" si="372"/>
        <v>0.90799745196608972</v>
      </c>
      <c r="BK317" s="708">
        <f t="shared" si="372"/>
        <v>0.90072524560507272</v>
      </c>
      <c r="BL317" s="708">
        <f t="shared" si="372"/>
        <v>0.89486208032761683</v>
      </c>
      <c r="BM317" s="708">
        <f t="shared" si="372"/>
        <v>0.89070533314195377</v>
      </c>
      <c r="BN317" s="708">
        <f t="shared" si="372"/>
        <v>0.88977362642477575</v>
      </c>
      <c r="BO317" s="708">
        <f t="shared" si="372"/>
        <v>0.8907467262770814</v>
      </c>
      <c r="BP317" s="708">
        <f t="shared" si="372"/>
        <v>0.89275199598360833</v>
      </c>
      <c r="BQ317" s="708">
        <f t="shared" si="372"/>
        <v>0.89420296433005952</v>
      </c>
      <c r="BR317" s="708">
        <f t="shared" si="372"/>
        <v>1.0125443416251585</v>
      </c>
      <c r="BS317" s="708">
        <f t="shared" si="372"/>
        <v>1.1993910128810648</v>
      </c>
      <c r="BT317" s="708">
        <f t="shared" si="372"/>
        <v>1.3839647040589964</v>
      </c>
      <c r="BU317" s="708">
        <f t="shared" si="372"/>
        <v>1.5605270261734479</v>
      </c>
      <c r="BV317" s="708">
        <f t="shared" si="372"/>
        <v>1.7293705277546298</v>
      </c>
      <c r="BW317" s="708">
        <f t="shared" si="372"/>
        <v>1.8910509403129838</v>
      </c>
      <c r="BX317" s="708">
        <f t="shared" si="372"/>
        <v>2.045853007088954</v>
      </c>
      <c r="BY317" s="708">
        <f t="shared" si="372"/>
        <v>2.1940430845531189</v>
      </c>
      <c r="BZ317" s="708">
        <f t="shared" si="372"/>
        <v>2.3393822371195228</v>
      </c>
      <c r="CA317" s="708">
        <f t="shared" si="372"/>
        <v>2.4836325216526127</v>
      </c>
      <c r="CB317" s="708">
        <f t="shared" si="372"/>
        <v>2.6295734369384922</v>
      </c>
      <c r="CC317" s="708">
        <f t="shared" si="372"/>
        <v>2.77706810899139</v>
      </c>
      <c r="CD317" s="708">
        <f t="shared" si="372"/>
        <v>2.8673888905022045</v>
      </c>
      <c r="CE317" s="708">
        <f t="shared" si="372"/>
        <v>2.9226077057010107</v>
      </c>
      <c r="CF317" s="708">
        <f t="shared" si="372"/>
        <v>2.9797740767513927</v>
      </c>
      <c r="CG317" s="708">
        <f t="shared" si="372"/>
        <v>3.0412973008644864</v>
      </c>
      <c r="CH317" s="708">
        <f t="shared" si="372"/>
        <v>3.1066822182756804</v>
      </c>
      <c r="CI317" s="708">
        <f t="shared" si="372"/>
        <v>3.1755365771313846</v>
      </c>
      <c r="CJ317" s="708">
        <f t="shared" si="372"/>
        <v>3.2476905173581061</v>
      </c>
      <c r="CK317" s="708">
        <f t="shared" si="372"/>
        <v>3.3230896094811468</v>
      </c>
      <c r="CL317" s="708">
        <f t="shared" si="372"/>
        <v>3.3998828654016418</v>
      </c>
      <c r="CM317" s="708">
        <f t="shared" si="372"/>
        <v>3.477076251870018</v>
      </c>
      <c r="CN317" s="708">
        <f t="shared" si="372"/>
        <v>3.5533897871429905</v>
      </c>
      <c r="CO317" s="708">
        <f t="shared" si="372"/>
        <v>3.6289241240806978</v>
      </c>
      <c r="CP317" s="708">
        <f t="shared" si="372"/>
        <v>3.6561683218311045</v>
      </c>
      <c r="CQ317" s="708">
        <f t="shared" si="372"/>
        <v>3.6552470730027706</v>
      </c>
      <c r="CR317" s="708">
        <f t="shared" si="372"/>
        <v>3.6554056035877944</v>
      </c>
      <c r="CS317" s="708">
        <f t="shared" si="372"/>
        <v>3.6588672640259845</v>
      </c>
      <c r="CT317" s="708">
        <f t="shared" si="372"/>
        <v>3.6655774750653829</v>
      </c>
      <c r="CU317" s="708">
        <f t="shared" si="372"/>
        <v>3.6753618263180865</v>
      </c>
      <c r="CV317" s="708">
        <f t="shared" si="372"/>
        <v>3.6881099638693891</v>
      </c>
      <c r="CW317" s="708">
        <f t="shared" si="372"/>
        <v>3.703670750281205</v>
      </c>
      <c r="CX317" s="708">
        <f t="shared" si="372"/>
        <v>3.7204661260391245</v>
      </c>
      <c r="CY317" s="708">
        <f t="shared" si="372"/>
        <v>3.7375872226746263</v>
      </c>
      <c r="CZ317" s="708">
        <f t="shared" si="372"/>
        <v>3.7539878104231303</v>
      </c>
      <c r="DA317" s="708">
        <f t="shared" si="372"/>
        <v>3.7697296228279131</v>
      </c>
      <c r="DC317" s="14">
        <f t="shared" si="363"/>
        <v>0</v>
      </c>
      <c r="DD317" s="14">
        <f t="shared" si="364"/>
        <v>0</v>
      </c>
      <c r="DE317" s="14">
        <f t="shared" si="365"/>
        <v>5.4130898122484892</v>
      </c>
      <c r="DF317" s="14">
        <f t="shared" si="366"/>
        <v>10.856749080735113</v>
      </c>
      <c r="DG317" s="14">
        <f t="shared" si="367"/>
        <v>23.246400949150374</v>
      </c>
      <c r="DH317" s="14">
        <f t="shared" si="368"/>
        <v>38.723339924560754</v>
      </c>
      <c r="DI317" s="14">
        <f t="shared" si="370"/>
        <v>44.340179059946514</v>
      </c>
    </row>
    <row r="318" spans="2:113" s="698" customFormat="1" outlineLevel="2">
      <c r="B318" s="126"/>
      <c r="E318" s="126"/>
      <c r="F318" s="126" t="s">
        <v>737</v>
      </c>
      <c r="G318" s="126"/>
      <c r="H318" s="609"/>
      <c r="I318" s="609" t="s">
        <v>736</v>
      </c>
      <c r="J318" s="703"/>
      <c r="K318" s="703"/>
      <c r="L318" s="703"/>
      <c r="M318" s="703"/>
      <c r="Q318" s="704"/>
      <c r="R318" s="704"/>
      <c r="S318" s="704"/>
      <c r="T318" s="704"/>
      <c r="U318" s="704"/>
      <c r="V318" s="704"/>
      <c r="W318" s="704"/>
      <c r="X318" s="704"/>
      <c r="Y318" s="704"/>
      <c r="Z318" s="705"/>
      <c r="AA318" s="705"/>
      <c r="AB318" s="705"/>
      <c r="AC318" s="705"/>
      <c r="AD318" s="705"/>
      <c r="AE318" s="705"/>
      <c r="AF318" s="705"/>
      <c r="AG318" s="705"/>
      <c r="AH318" s="705"/>
      <c r="AI318" s="705"/>
      <c r="AJ318" s="705"/>
      <c r="AK318" s="705"/>
      <c r="AL318" s="705"/>
      <c r="AM318" s="705"/>
      <c r="AN318" s="705"/>
      <c r="AO318" s="710"/>
      <c r="AP318" s="710"/>
      <c r="AQ318" s="710"/>
      <c r="AR318" s="710"/>
      <c r="AS318" s="710"/>
      <c r="AT318" s="710">
        <v>9.375E-2</v>
      </c>
      <c r="AU318" s="710">
        <v>0.13892755681818181</v>
      </c>
      <c r="AV318" s="710">
        <v>0.22928166622984647</v>
      </c>
      <c r="AW318" s="710">
        <v>0.31463957719620445</v>
      </c>
      <c r="AX318" s="710">
        <v>0.39572847011989992</v>
      </c>
      <c r="AY318" s="710">
        <v>0.47327778552839711</v>
      </c>
      <c r="AZ318" s="710">
        <v>0.54777019347264344</v>
      </c>
      <c r="BA318" s="710">
        <v>0.61962888193460675</v>
      </c>
      <c r="BB318" s="710">
        <v>0.69132856617601257</v>
      </c>
      <c r="BC318" s="710">
        <v>0.76414547378580921</v>
      </c>
      <c r="BD318" s="710">
        <v>0.8402354708208063</v>
      </c>
      <c r="BE318" s="710">
        <v>0.91605854935686659</v>
      </c>
      <c r="BF318" s="710">
        <v>1.0145008907720254</v>
      </c>
      <c r="BG318" s="710">
        <v>1.0524100017479958</v>
      </c>
      <c r="BH318" s="710">
        <v>1.0407629097506053</v>
      </c>
      <c r="BI318" s="710">
        <v>1.028655869197463</v>
      </c>
      <c r="BJ318" s="710">
        <v>1.0195601023234084</v>
      </c>
      <c r="BK318" s="710">
        <v>1.0122059892930988</v>
      </c>
      <c r="BL318" s="710">
        <v>1.0062988457423538</v>
      </c>
      <c r="BM318" s="710">
        <v>1.0019598743250762</v>
      </c>
      <c r="BN318" s="710">
        <v>1.0006994322101264</v>
      </c>
      <c r="BO318" s="710">
        <v>1.0014817065440014</v>
      </c>
      <c r="BP318" s="710">
        <v>1.0035239470201109</v>
      </c>
      <c r="BQ318" s="710">
        <v>1.005024831133843</v>
      </c>
      <c r="BR318" s="710">
        <v>1.1320850978574213</v>
      </c>
      <c r="BS318" s="710">
        <v>1.337145583731389</v>
      </c>
      <c r="BT318" s="710">
        <v>1.540790152704538</v>
      </c>
      <c r="BU318" s="710">
        <v>1.7364594957403805</v>
      </c>
      <c r="BV318" s="710">
        <v>1.9244038225102786</v>
      </c>
      <c r="BW318" s="710">
        <v>2.1051716311853945</v>
      </c>
      <c r="BX318" s="710">
        <v>2.2790534458099301</v>
      </c>
      <c r="BY318" s="710">
        <v>2.446325014358079</v>
      </c>
      <c r="BZ318" s="710">
        <v>2.6103915036645637</v>
      </c>
      <c r="CA318" s="710">
        <v>2.772987627747574</v>
      </c>
      <c r="CB318" s="710">
        <v>2.9372642140286174</v>
      </c>
      <c r="CC318" s="710">
        <v>3.1031265856444912</v>
      </c>
      <c r="CD318" s="710">
        <v>3.2075057813715993</v>
      </c>
      <c r="CE318" s="710">
        <v>3.2720587381051778</v>
      </c>
      <c r="CF318" s="710">
        <v>3.338154521231433</v>
      </c>
      <c r="CG318" s="710">
        <v>3.4086125471433952</v>
      </c>
      <c r="CH318" s="710">
        <v>3.4829552676131286</v>
      </c>
      <c r="CI318" s="710">
        <v>3.5607764373853894</v>
      </c>
      <c r="CJ318" s="710">
        <v>3.6418906430868501</v>
      </c>
      <c r="CK318" s="710">
        <v>3.7262431165831362</v>
      </c>
      <c r="CL318" s="710">
        <v>3.812162778861889</v>
      </c>
      <c r="CM318" s="710">
        <v>3.8986704739219551</v>
      </c>
      <c r="CN318" s="710">
        <v>3.9843015888100104</v>
      </c>
      <c r="CO318" s="710">
        <v>4.0691366842635182</v>
      </c>
      <c r="CP318" s="710">
        <v>4.1021940747977332</v>
      </c>
      <c r="CQ318" s="710">
        <v>4.103270705098101</v>
      </c>
      <c r="CR318" s="710">
        <v>4.1050703280231815</v>
      </c>
      <c r="CS318" s="710">
        <v>4.1101457201822607</v>
      </c>
      <c r="CT318" s="710">
        <v>4.1184572997998297</v>
      </c>
      <c r="CU318" s="710">
        <v>4.1298385637539949</v>
      </c>
      <c r="CV318" s="710">
        <v>4.1441868675563631</v>
      </c>
      <c r="CW318" s="710">
        <v>4.1613511748927587</v>
      </c>
      <c r="CX318" s="710">
        <v>4.1798951674372153</v>
      </c>
      <c r="CY318" s="710">
        <v>4.1989199282762053</v>
      </c>
      <c r="CZ318" s="710">
        <v>4.2172298852548726</v>
      </c>
      <c r="DA318" s="710">
        <v>4.2348692701620969</v>
      </c>
      <c r="DC318" s="12">
        <f t="shared" si="363"/>
        <v>0</v>
      </c>
      <c r="DD318" s="12">
        <f t="shared" si="364"/>
        <v>0</v>
      </c>
      <c r="DE318" s="12">
        <f t="shared" si="365"/>
        <v>6.0247721914392747</v>
      </c>
      <c r="DF318" s="12">
        <f t="shared" si="366"/>
        <v>12.18708440006011</v>
      </c>
      <c r="DG318" s="12">
        <f t="shared" si="367"/>
        <v>25.925204174982657</v>
      </c>
      <c r="DH318" s="12">
        <f t="shared" si="368"/>
        <v>43.40246857837748</v>
      </c>
      <c r="DI318" s="12">
        <f t="shared" si="370"/>
        <v>49.805428985234613</v>
      </c>
    </row>
    <row r="319" spans="2:113" s="698" customFormat="1" outlineLevel="2">
      <c r="B319" s="126"/>
      <c r="E319" s="126"/>
      <c r="F319" s="126" t="s">
        <v>798</v>
      </c>
      <c r="G319" s="126"/>
      <c r="H319" s="609"/>
      <c r="I319" s="609" t="s">
        <v>736</v>
      </c>
      <c r="J319" s="703"/>
      <c r="K319" s="703"/>
      <c r="L319" s="703"/>
      <c r="M319" s="703"/>
      <c r="Q319" s="704"/>
      <c r="R319" s="704"/>
      <c r="S319" s="704"/>
      <c r="T319" s="704"/>
      <c r="U319" s="704"/>
      <c r="V319" s="704"/>
      <c r="W319" s="704"/>
      <c r="X319" s="704"/>
      <c r="Y319" s="704"/>
      <c r="Z319" s="705"/>
      <c r="AA319" s="705"/>
      <c r="AB319" s="705"/>
      <c r="AC319" s="705"/>
      <c r="AD319" s="705"/>
      <c r="AE319" s="705"/>
      <c r="AF319" s="705"/>
      <c r="AG319" s="705"/>
      <c r="AH319" s="705"/>
      <c r="AI319" s="705"/>
      <c r="AJ319" s="705"/>
      <c r="AK319" s="705"/>
      <c r="AL319" s="705"/>
      <c r="AM319" s="705"/>
      <c r="AN319" s="705"/>
      <c r="AO319" s="710"/>
      <c r="AP319" s="710"/>
      <c r="AQ319" s="710"/>
      <c r="AR319" s="710"/>
      <c r="AS319" s="710"/>
      <c r="AT319" s="710">
        <v>-7.8125E-3</v>
      </c>
      <c r="AU319" s="710">
        <v>-1.2109375E-2</v>
      </c>
      <c r="AV319" s="710">
        <v>-2.0722656250000002E-2</v>
      </c>
      <c r="AW319" s="710">
        <v>-2.9356445312500003E-2</v>
      </c>
      <c r="AX319" s="710">
        <v>-3.7991259765625E-2</v>
      </c>
      <c r="AY319" s="710">
        <v>-4.6626125488281246E-2</v>
      </c>
      <c r="AZ319" s="710">
        <v>-5.5260993774414069E-2</v>
      </c>
      <c r="BA319" s="710">
        <v>-6.3895862188720717E-2</v>
      </c>
      <c r="BB319" s="710">
        <v>-7.2284574414981484E-2</v>
      </c>
      <c r="BC319" s="710">
        <v>-8.0427527846607047E-2</v>
      </c>
      <c r="BD319" s="710">
        <v>-8.859954285782666E-2</v>
      </c>
      <c r="BE319" s="710">
        <v>-9.6595516291828942E-2</v>
      </c>
      <c r="BF319" s="710">
        <v>-0.10591338156920869</v>
      </c>
      <c r="BG319" s="710">
        <v>-0.11170327180169855</v>
      </c>
      <c r="BH319" s="710">
        <v>-0.11196891964104426</v>
      </c>
      <c r="BI319" s="710">
        <v>-0.11176044177728139</v>
      </c>
      <c r="BJ319" s="710">
        <v>-0.1115626503573187</v>
      </c>
      <c r="BK319" s="710">
        <v>-0.11148074368802607</v>
      </c>
      <c r="BL319" s="710">
        <v>-0.11143676541473697</v>
      </c>
      <c r="BM319" s="710">
        <v>-0.11125454118312235</v>
      </c>
      <c r="BN319" s="710">
        <v>-0.11092580578535059</v>
      </c>
      <c r="BO319" s="710">
        <v>-0.11073498026691996</v>
      </c>
      <c r="BP319" s="710">
        <v>-0.11077195103650266</v>
      </c>
      <c r="BQ319" s="710">
        <v>-0.11082186680378348</v>
      </c>
      <c r="BR319" s="710">
        <v>-0.11954075623226286</v>
      </c>
      <c r="BS319" s="710">
        <v>-0.13775457085032419</v>
      </c>
      <c r="BT319" s="710">
        <v>-0.15682544864554154</v>
      </c>
      <c r="BU319" s="710">
        <v>-0.17593246956693273</v>
      </c>
      <c r="BV319" s="710">
        <v>-0.19503329475564879</v>
      </c>
      <c r="BW319" s="710">
        <v>-0.21412069087241062</v>
      </c>
      <c r="BX319" s="710">
        <v>-0.23320043872097615</v>
      </c>
      <c r="BY319" s="710">
        <v>-0.25228192980496017</v>
      </c>
      <c r="BZ319" s="710">
        <v>-0.27100926654504115</v>
      </c>
      <c r="CA319" s="710">
        <v>-0.28935510609496146</v>
      </c>
      <c r="CB319" s="710">
        <v>-0.30769077709012532</v>
      </c>
      <c r="CC319" s="710">
        <v>-0.32605847665310123</v>
      </c>
      <c r="CD319" s="710">
        <v>-0.34011689086939484</v>
      </c>
      <c r="CE319" s="710">
        <v>-0.34945103240416686</v>
      </c>
      <c r="CF319" s="710">
        <v>-0.35838044448004025</v>
      </c>
      <c r="CG319" s="710">
        <v>-0.36731524627890888</v>
      </c>
      <c r="CH319" s="710">
        <v>-0.37627304933744826</v>
      </c>
      <c r="CI319" s="710">
        <v>-0.38523986025400481</v>
      </c>
      <c r="CJ319" s="710">
        <v>-0.39420012572874397</v>
      </c>
      <c r="CK319" s="710">
        <v>-0.40315350710198916</v>
      </c>
      <c r="CL319" s="710">
        <v>-0.41227991346024712</v>
      </c>
      <c r="CM319" s="710">
        <v>-0.42159422205193725</v>
      </c>
      <c r="CN319" s="710">
        <v>-0.43091180166701992</v>
      </c>
      <c r="CO319" s="710">
        <v>-0.44021256018282046</v>
      </c>
      <c r="CP319" s="710">
        <v>-0.44602575296662877</v>
      </c>
      <c r="CQ319" s="710">
        <v>-0.4480236320953303</v>
      </c>
      <c r="CR319" s="710">
        <v>-0.44966472443538713</v>
      </c>
      <c r="CS319" s="710">
        <v>-0.4512784561562761</v>
      </c>
      <c r="CT319" s="710">
        <v>-0.45287982473444677</v>
      </c>
      <c r="CU319" s="710">
        <v>-0.4544767374359085</v>
      </c>
      <c r="CV319" s="710">
        <v>-0.45607690368697401</v>
      </c>
      <c r="CW319" s="710">
        <v>-0.45768042461155378</v>
      </c>
      <c r="CX319" s="710">
        <v>-0.45942904139809099</v>
      </c>
      <c r="CY319" s="710">
        <v>-0.46133270560157902</v>
      </c>
      <c r="CZ319" s="710">
        <v>-0.46324207483174223</v>
      </c>
      <c r="DA319" s="710">
        <v>-0.46513964733418361</v>
      </c>
      <c r="DC319" s="12">
        <f t="shared" si="363"/>
        <v>0</v>
      </c>
      <c r="DD319" s="12">
        <f t="shared" si="364"/>
        <v>0</v>
      </c>
      <c r="DE319" s="12">
        <f t="shared" si="365"/>
        <v>-0.61168237919078516</v>
      </c>
      <c r="DF319" s="12">
        <f t="shared" si="366"/>
        <v>-1.3303353193249936</v>
      </c>
      <c r="DG319" s="12">
        <f t="shared" si="367"/>
        <v>-2.678803225832286</v>
      </c>
      <c r="DH319" s="12">
        <f t="shared" si="368"/>
        <v>-4.679128653816722</v>
      </c>
      <c r="DI319" s="12">
        <f t="shared" si="370"/>
        <v>-5.4652499252881004</v>
      </c>
    </row>
    <row r="320" spans="2:113" ht="15" outlineLevel="2">
      <c r="E320" s="698"/>
      <c r="F320" s="698" t="s">
        <v>830</v>
      </c>
      <c r="G320" s="698"/>
      <c r="H320" s="703"/>
      <c r="I320" s="609" t="s">
        <v>736</v>
      </c>
      <c r="O320" s="716"/>
      <c r="P320" s="716"/>
      <c r="Q320" s="716"/>
      <c r="R320" s="716"/>
      <c r="S320" s="716"/>
      <c r="T320" s="716"/>
      <c r="U320" s="716"/>
      <c r="V320" s="716"/>
      <c r="W320" s="716"/>
      <c r="X320" s="716"/>
      <c r="Y320" s="716"/>
      <c r="Z320" s="712"/>
      <c r="AA320" s="712"/>
      <c r="AB320" s="712"/>
      <c r="AC320" s="712"/>
      <c r="AD320" s="712"/>
      <c r="AE320" s="712"/>
      <c r="AF320" s="712"/>
      <c r="AG320" s="712"/>
      <c r="AH320" s="927"/>
      <c r="AI320" s="712"/>
      <c r="AJ320" s="712"/>
      <c r="AK320" s="712"/>
      <c r="AL320" s="712"/>
      <c r="AM320" s="712"/>
      <c r="AN320" s="712"/>
      <c r="AO320" s="696"/>
      <c r="AP320" s="696"/>
      <c r="AQ320" s="696"/>
      <c r="AR320" s="696"/>
      <c r="AS320" s="696"/>
      <c r="AT320" s="696">
        <f>SUM(AT321:AT327)</f>
        <v>0.1275</v>
      </c>
      <c r="AU320" s="696">
        <f t="shared" ref="AU320:DA320" si="373">SUM(AU321:AU327)</f>
        <v>0.255</v>
      </c>
      <c r="AV320" s="696">
        <f t="shared" si="373"/>
        <v>0.38250000000000001</v>
      </c>
      <c r="AW320" s="696">
        <f t="shared" si="373"/>
        <v>0.51</v>
      </c>
      <c r="AX320" s="696">
        <f t="shared" si="373"/>
        <v>0.63749999999999996</v>
      </c>
      <c r="AY320" s="696">
        <f t="shared" si="373"/>
        <v>0.76500000000000001</v>
      </c>
      <c r="AZ320" s="696">
        <f t="shared" si="373"/>
        <v>0.89249999999999996</v>
      </c>
      <c r="BA320" s="696">
        <f t="shared" si="373"/>
        <v>1.02</v>
      </c>
      <c r="BB320" s="696">
        <f t="shared" si="373"/>
        <v>1.1474999999999997</v>
      </c>
      <c r="BC320" s="696">
        <f t="shared" si="373"/>
        <v>1.2749999999999997</v>
      </c>
      <c r="BD320" s="696">
        <f t="shared" si="373"/>
        <v>1.4025000000000001</v>
      </c>
      <c r="BE320" s="696">
        <f t="shared" si="373"/>
        <v>1.53</v>
      </c>
      <c r="BF320" s="696">
        <f t="shared" si="373"/>
        <v>1.7</v>
      </c>
      <c r="BG320" s="696">
        <f t="shared" si="373"/>
        <v>1.7</v>
      </c>
      <c r="BH320" s="696">
        <f t="shared" si="373"/>
        <v>1.7</v>
      </c>
      <c r="BI320" s="696">
        <f t="shared" si="373"/>
        <v>1.7</v>
      </c>
      <c r="BJ320" s="696">
        <f t="shared" si="373"/>
        <v>1.7</v>
      </c>
      <c r="BK320" s="696">
        <f t="shared" si="373"/>
        <v>1.7</v>
      </c>
      <c r="BL320" s="696">
        <f t="shared" si="373"/>
        <v>1.7</v>
      </c>
      <c r="BM320" s="696">
        <f t="shared" si="373"/>
        <v>1.7</v>
      </c>
      <c r="BN320" s="696">
        <f t="shared" si="373"/>
        <v>1.7</v>
      </c>
      <c r="BO320" s="696">
        <f t="shared" si="373"/>
        <v>1.7</v>
      </c>
      <c r="BP320" s="696">
        <f t="shared" si="373"/>
        <v>1.7</v>
      </c>
      <c r="BQ320" s="696">
        <f t="shared" si="373"/>
        <v>1.7</v>
      </c>
      <c r="BR320" s="696">
        <f t="shared" si="373"/>
        <v>1.9833333333333329</v>
      </c>
      <c r="BS320" s="696">
        <f t="shared" si="373"/>
        <v>2.2666666666666666</v>
      </c>
      <c r="BT320" s="696">
        <f t="shared" si="373"/>
        <v>2.5499999999999994</v>
      </c>
      <c r="BU320" s="696">
        <f t="shared" si="373"/>
        <v>2.833333333333333</v>
      </c>
      <c r="BV320" s="696">
        <f t="shared" si="373"/>
        <v>3.1166666666666663</v>
      </c>
      <c r="BW320" s="696">
        <f t="shared" si="373"/>
        <v>3.4</v>
      </c>
      <c r="BX320" s="696">
        <f t="shared" si="373"/>
        <v>3.6833333333333336</v>
      </c>
      <c r="BY320" s="696">
        <f t="shared" si="373"/>
        <v>3.9666666666666668</v>
      </c>
      <c r="BZ320" s="696">
        <f t="shared" si="373"/>
        <v>4.2500000000000009</v>
      </c>
      <c r="CA320" s="696">
        <f t="shared" si="373"/>
        <v>4.5333333333333341</v>
      </c>
      <c r="CB320" s="696">
        <f t="shared" si="373"/>
        <v>4.8166666666666673</v>
      </c>
      <c r="CC320" s="696">
        <f t="shared" si="373"/>
        <v>5.0999999999999996</v>
      </c>
      <c r="CD320" s="696">
        <f t="shared" si="373"/>
        <v>5.2416666666666663</v>
      </c>
      <c r="CE320" s="696">
        <f t="shared" si="373"/>
        <v>5.3833333333333329</v>
      </c>
      <c r="CF320" s="696">
        <f t="shared" si="373"/>
        <v>5.5249999999999995</v>
      </c>
      <c r="CG320" s="696">
        <f t="shared" si="373"/>
        <v>5.6666666666666679</v>
      </c>
      <c r="CH320" s="696">
        <f t="shared" si="373"/>
        <v>5.8083333333333336</v>
      </c>
      <c r="CI320" s="696">
        <f t="shared" si="373"/>
        <v>5.95</v>
      </c>
      <c r="CJ320" s="696">
        <f t="shared" si="373"/>
        <v>6.0916666666666686</v>
      </c>
      <c r="CK320" s="696">
        <f t="shared" si="373"/>
        <v>6.2333333333333352</v>
      </c>
      <c r="CL320" s="696">
        <f t="shared" si="373"/>
        <v>6.3750000000000018</v>
      </c>
      <c r="CM320" s="696">
        <f t="shared" si="373"/>
        <v>6.5166666666666693</v>
      </c>
      <c r="CN320" s="696">
        <f t="shared" si="373"/>
        <v>6.6583333333333368</v>
      </c>
      <c r="CO320" s="696">
        <f t="shared" si="373"/>
        <v>6.8</v>
      </c>
      <c r="CP320" s="696">
        <f t="shared" si="373"/>
        <v>6.8283333333333331</v>
      </c>
      <c r="CQ320" s="696">
        <f t="shared" si="373"/>
        <v>6.8566666666666665</v>
      </c>
      <c r="CR320" s="696">
        <f t="shared" si="373"/>
        <v>6.8849999999999998</v>
      </c>
      <c r="CS320" s="696">
        <f t="shared" si="373"/>
        <v>6.9133333333333313</v>
      </c>
      <c r="CT320" s="696">
        <f t="shared" si="373"/>
        <v>6.9416666666666647</v>
      </c>
      <c r="CU320" s="696">
        <f t="shared" si="373"/>
        <v>6.969999999999998</v>
      </c>
      <c r="CV320" s="696">
        <f t="shared" si="373"/>
        <v>6.9983333333333313</v>
      </c>
      <c r="CW320" s="696">
        <f t="shared" si="373"/>
        <v>7.0266666666666628</v>
      </c>
      <c r="CX320" s="696">
        <f t="shared" si="373"/>
        <v>7.0549999999999962</v>
      </c>
      <c r="CY320" s="696">
        <f t="shared" si="373"/>
        <v>7.0833333333333295</v>
      </c>
      <c r="CZ320" s="696">
        <f t="shared" si="373"/>
        <v>7.1116666666666619</v>
      </c>
      <c r="DA320" s="696">
        <f t="shared" si="373"/>
        <v>7.14</v>
      </c>
      <c r="DC320" s="14">
        <f t="shared" si="363"/>
        <v>0</v>
      </c>
      <c r="DD320" s="14">
        <f t="shared" si="364"/>
        <v>0</v>
      </c>
      <c r="DE320" s="14">
        <f t="shared" si="365"/>
        <v>9.9449999999999985</v>
      </c>
      <c r="DF320" s="14">
        <f t="shared" si="366"/>
        <v>20.399999999999995</v>
      </c>
      <c r="DG320" s="14">
        <f t="shared" si="367"/>
        <v>42.5</v>
      </c>
      <c r="DH320" s="14">
        <f t="shared" si="368"/>
        <v>72.25</v>
      </c>
      <c r="DI320" s="14">
        <f t="shared" si="370"/>
        <v>83.809999999999988</v>
      </c>
    </row>
    <row r="321" spans="2:113" ht="15" outlineLevel="2">
      <c r="F321" s="126" t="s">
        <v>540</v>
      </c>
      <c r="I321" s="609" t="s">
        <v>736</v>
      </c>
      <c r="O321" s="716"/>
      <c r="P321" s="716"/>
      <c r="Q321" s="716"/>
      <c r="R321" s="716"/>
      <c r="S321" s="716"/>
      <c r="T321" s="716"/>
      <c r="U321" s="716"/>
      <c r="V321" s="716"/>
      <c r="W321" s="716"/>
      <c r="X321" s="716"/>
      <c r="Y321" s="716"/>
      <c r="Z321" s="712"/>
      <c r="AA321" s="712"/>
      <c r="AB321" s="712"/>
      <c r="AC321" s="712"/>
      <c r="AD321" s="712"/>
      <c r="AE321" s="712"/>
      <c r="AF321" s="712"/>
      <c r="AG321" s="712"/>
      <c r="AH321" s="712"/>
      <c r="AI321" s="942"/>
      <c r="AJ321" s="712"/>
      <c r="AK321" s="712"/>
      <c r="AL321" s="712"/>
      <c r="AM321" s="712"/>
      <c r="AN321" s="712"/>
      <c r="AO321" s="710"/>
      <c r="AP321" s="710"/>
      <c r="AQ321" s="710"/>
      <c r="AR321" s="710"/>
      <c r="AS321" s="710"/>
      <c r="AT321" s="710">
        <v>0.1275</v>
      </c>
      <c r="AU321" s="710">
        <v>0.255</v>
      </c>
      <c r="AV321" s="710">
        <v>0.38250000000000001</v>
      </c>
      <c r="AW321" s="710">
        <v>0.51</v>
      </c>
      <c r="AX321" s="710">
        <v>0.63749999999999996</v>
      </c>
      <c r="AY321" s="710">
        <v>0.76500000000000001</v>
      </c>
      <c r="AZ321" s="710">
        <v>0.89249999999999996</v>
      </c>
      <c r="BA321" s="710">
        <v>1.02</v>
      </c>
      <c r="BB321" s="710">
        <v>1.1474999999999997</v>
      </c>
      <c r="BC321" s="710">
        <v>1.2749999999999997</v>
      </c>
      <c r="BD321" s="710">
        <v>1.4025000000000001</v>
      </c>
      <c r="BE321" s="710">
        <v>1.53</v>
      </c>
      <c r="BF321" s="710">
        <v>1.7</v>
      </c>
      <c r="BG321" s="710">
        <v>1.7</v>
      </c>
      <c r="BH321" s="710">
        <v>1.7</v>
      </c>
      <c r="BI321" s="710">
        <v>1.7</v>
      </c>
      <c r="BJ321" s="710">
        <v>1.7</v>
      </c>
      <c r="BK321" s="710">
        <v>1.7</v>
      </c>
      <c r="BL321" s="710">
        <v>1.7</v>
      </c>
      <c r="BM321" s="710">
        <v>1.7</v>
      </c>
      <c r="BN321" s="710">
        <v>1.7</v>
      </c>
      <c r="BO321" s="710">
        <v>1.7</v>
      </c>
      <c r="BP321" s="710">
        <v>1.7</v>
      </c>
      <c r="BQ321" s="710">
        <v>1.7</v>
      </c>
      <c r="BR321" s="710">
        <v>1.9833333333333329</v>
      </c>
      <c r="BS321" s="710">
        <v>2.2666666666666666</v>
      </c>
      <c r="BT321" s="710">
        <v>2.5499999999999994</v>
      </c>
      <c r="BU321" s="710">
        <v>2.833333333333333</v>
      </c>
      <c r="BV321" s="710">
        <v>3.1166666666666663</v>
      </c>
      <c r="BW321" s="710">
        <v>3.4</v>
      </c>
      <c r="BX321" s="710">
        <v>3.6833333333333336</v>
      </c>
      <c r="BY321" s="710">
        <v>3.9666666666666668</v>
      </c>
      <c r="BZ321" s="710">
        <v>4.2500000000000009</v>
      </c>
      <c r="CA321" s="710">
        <v>4.5333333333333341</v>
      </c>
      <c r="CB321" s="710">
        <v>4.8166666666666673</v>
      </c>
      <c r="CC321" s="710">
        <v>5.0999999999999996</v>
      </c>
      <c r="CD321" s="710">
        <v>5.2416666666666663</v>
      </c>
      <c r="CE321" s="710">
        <v>5.3833333333333329</v>
      </c>
      <c r="CF321" s="710">
        <v>5.5249999999999995</v>
      </c>
      <c r="CG321" s="710">
        <v>5.6666666666666679</v>
      </c>
      <c r="CH321" s="710">
        <v>5.8083333333333336</v>
      </c>
      <c r="CI321" s="710">
        <v>5.95</v>
      </c>
      <c r="CJ321" s="710">
        <v>6.0916666666666686</v>
      </c>
      <c r="CK321" s="710">
        <v>6.2333333333333352</v>
      </c>
      <c r="CL321" s="710">
        <v>6.3750000000000018</v>
      </c>
      <c r="CM321" s="710">
        <v>6.5166666666666693</v>
      </c>
      <c r="CN321" s="710">
        <v>6.6583333333333368</v>
      </c>
      <c r="CO321" s="710">
        <v>6.8</v>
      </c>
      <c r="CP321" s="710">
        <v>6.8283333333333331</v>
      </c>
      <c r="CQ321" s="710">
        <v>6.8566666666666665</v>
      </c>
      <c r="CR321" s="710">
        <v>6.8849999999999998</v>
      </c>
      <c r="CS321" s="710">
        <v>6.9133333333333313</v>
      </c>
      <c r="CT321" s="710">
        <v>6.9416666666666647</v>
      </c>
      <c r="CU321" s="710">
        <v>6.969999999999998</v>
      </c>
      <c r="CV321" s="710">
        <v>6.9983333333333313</v>
      </c>
      <c r="CW321" s="710">
        <v>7.0266666666666628</v>
      </c>
      <c r="CX321" s="710">
        <v>7.0549999999999962</v>
      </c>
      <c r="CY321" s="710">
        <v>7.0833333333333295</v>
      </c>
      <c r="CZ321" s="710">
        <v>7.1116666666666619</v>
      </c>
      <c r="DA321" s="710">
        <v>7.14</v>
      </c>
      <c r="DC321" s="12">
        <f t="shared" si="363"/>
        <v>0</v>
      </c>
      <c r="DD321" s="12">
        <f t="shared" si="364"/>
        <v>0</v>
      </c>
      <c r="DE321" s="12">
        <f t="shared" si="365"/>
        <v>9.9449999999999985</v>
      </c>
      <c r="DF321" s="12">
        <f t="shared" si="366"/>
        <v>20.399999999999995</v>
      </c>
      <c r="DG321" s="12">
        <f t="shared" si="367"/>
        <v>42.5</v>
      </c>
      <c r="DH321" s="12">
        <f t="shared" si="368"/>
        <v>72.25</v>
      </c>
      <c r="DI321" s="12">
        <f t="shared" si="370"/>
        <v>83.809999999999988</v>
      </c>
    </row>
    <row r="322" spans="2:113" s="698" customFormat="1" outlineLevel="2">
      <c r="B322" s="126"/>
      <c r="E322" s="126"/>
      <c r="F322" s="126" t="s">
        <v>799</v>
      </c>
      <c r="G322" s="126"/>
      <c r="H322" s="609"/>
      <c r="I322" s="609" t="s">
        <v>736</v>
      </c>
      <c r="J322" s="703"/>
      <c r="K322" s="703"/>
      <c r="L322" s="703"/>
      <c r="M322" s="703"/>
      <c r="O322" s="943"/>
      <c r="P322" s="943"/>
      <c r="Q322" s="943"/>
      <c r="R322" s="943"/>
      <c r="S322" s="943"/>
      <c r="T322" s="943"/>
      <c r="U322" s="943"/>
      <c r="V322" s="943"/>
      <c r="W322" s="943"/>
      <c r="X322" s="943"/>
      <c r="Y322" s="943"/>
      <c r="Z322" s="706"/>
      <c r="AA322" s="706"/>
      <c r="AB322" s="706"/>
      <c r="AC322" s="706"/>
      <c r="AD322" s="706"/>
      <c r="AE322" s="706"/>
      <c r="AF322" s="706"/>
      <c r="AG322" s="706"/>
      <c r="AH322" s="706"/>
      <c r="AI322" s="706"/>
      <c r="AJ322" s="706"/>
      <c r="AK322" s="706"/>
      <c r="AL322" s="706"/>
      <c r="AM322" s="706"/>
      <c r="AN322" s="706"/>
      <c r="AO322" s="710"/>
      <c r="AP322" s="710"/>
      <c r="AQ322" s="710"/>
      <c r="AR322" s="710"/>
      <c r="AS322" s="710"/>
      <c r="AT322" s="710"/>
      <c r="AU322" s="710"/>
      <c r="AV322" s="710"/>
      <c r="AW322" s="710"/>
      <c r="AX322" s="710"/>
      <c r="AY322" s="710"/>
      <c r="AZ322" s="710"/>
      <c r="BA322" s="710"/>
      <c r="BB322" s="710"/>
      <c r="BC322" s="710"/>
      <c r="BD322" s="710"/>
      <c r="BE322" s="710"/>
      <c r="BF322" s="710"/>
      <c r="BG322" s="710"/>
      <c r="BH322" s="710"/>
      <c r="BI322" s="710"/>
      <c r="BJ322" s="710"/>
      <c r="BK322" s="710"/>
      <c r="BL322" s="710"/>
      <c r="BM322" s="710"/>
      <c r="BN322" s="710"/>
      <c r="BO322" s="710"/>
      <c r="BP322" s="710"/>
      <c r="BQ322" s="710"/>
      <c r="BR322" s="710"/>
      <c r="BS322" s="710"/>
      <c r="BT322" s="710"/>
      <c r="BU322" s="710"/>
      <c r="BV322" s="710"/>
      <c r="BW322" s="710"/>
      <c r="BX322" s="710"/>
      <c r="BY322" s="710"/>
      <c r="BZ322" s="710"/>
      <c r="CA322" s="710"/>
      <c r="CB322" s="710"/>
      <c r="CC322" s="710"/>
      <c r="CD322" s="710"/>
      <c r="CE322" s="710"/>
      <c r="CF322" s="710"/>
      <c r="CG322" s="710"/>
      <c r="CH322" s="710"/>
      <c r="CI322" s="710"/>
      <c r="CJ322" s="710"/>
      <c r="CK322" s="710"/>
      <c r="CL322" s="710"/>
      <c r="CM322" s="710"/>
      <c r="CN322" s="710"/>
      <c r="CO322" s="710"/>
      <c r="CP322" s="710"/>
      <c r="CQ322" s="710"/>
      <c r="CR322" s="710"/>
      <c r="CS322" s="710"/>
      <c r="CT322" s="710"/>
      <c r="CU322" s="710"/>
      <c r="CV322" s="710"/>
      <c r="CW322" s="710"/>
      <c r="CX322" s="710"/>
      <c r="CY322" s="710"/>
      <c r="CZ322" s="710"/>
      <c r="DA322" s="710"/>
      <c r="DC322" s="12">
        <f t="shared" si="363"/>
        <v>0</v>
      </c>
      <c r="DD322" s="12">
        <f t="shared" si="364"/>
        <v>0</v>
      </c>
      <c r="DE322" s="12">
        <f t="shared" si="365"/>
        <v>0</v>
      </c>
      <c r="DF322" s="12">
        <f t="shared" si="366"/>
        <v>0</v>
      </c>
      <c r="DG322" s="12">
        <f t="shared" si="367"/>
        <v>0</v>
      </c>
      <c r="DH322" s="12">
        <f t="shared" si="368"/>
        <v>0</v>
      </c>
      <c r="DI322" s="12">
        <f t="shared" si="370"/>
        <v>0</v>
      </c>
    </row>
    <row r="323" spans="2:113" ht="15" outlineLevel="2">
      <c r="F323" s="126" t="s">
        <v>800</v>
      </c>
      <c r="I323" s="609" t="s">
        <v>736</v>
      </c>
      <c r="O323" s="716"/>
      <c r="P323" s="716"/>
      <c r="Q323" s="716"/>
      <c r="R323" s="716"/>
      <c r="S323" s="716"/>
      <c r="T323" s="716"/>
      <c r="U323" s="716"/>
      <c r="V323" s="716"/>
      <c r="W323" s="716"/>
      <c r="X323" s="716"/>
      <c r="Y323" s="716"/>
      <c r="Z323" s="712"/>
      <c r="AA323" s="712"/>
      <c r="AB323" s="712"/>
      <c r="AC323" s="712"/>
      <c r="AD323" s="712"/>
      <c r="AE323" s="712"/>
      <c r="AF323" s="712"/>
      <c r="AG323" s="712"/>
      <c r="AH323" s="712"/>
      <c r="AI323" s="875"/>
      <c r="AJ323" s="712"/>
      <c r="AK323" s="712"/>
      <c r="AL323" s="712"/>
      <c r="AM323" s="712"/>
      <c r="AN323" s="712"/>
      <c r="AO323" s="710"/>
      <c r="AP323" s="710"/>
      <c r="AQ323" s="710"/>
      <c r="AR323" s="710"/>
      <c r="AS323" s="710"/>
      <c r="AT323" s="710"/>
      <c r="AU323" s="710"/>
      <c r="AV323" s="710"/>
      <c r="AW323" s="710"/>
      <c r="AX323" s="710"/>
      <c r="AY323" s="710"/>
      <c r="AZ323" s="710"/>
      <c r="BA323" s="710"/>
      <c r="BB323" s="710"/>
      <c r="BC323" s="710"/>
      <c r="BD323" s="710"/>
      <c r="BE323" s="710"/>
      <c r="BF323" s="710"/>
      <c r="BG323" s="710"/>
      <c r="BH323" s="710"/>
      <c r="BI323" s="710"/>
      <c r="BJ323" s="710"/>
      <c r="BK323" s="710"/>
      <c r="BL323" s="710"/>
      <c r="BM323" s="710"/>
      <c r="BN323" s="710"/>
      <c r="BO323" s="710"/>
      <c r="BP323" s="710"/>
      <c r="BQ323" s="710"/>
      <c r="BR323" s="710"/>
      <c r="BS323" s="710"/>
      <c r="BT323" s="710"/>
      <c r="BU323" s="710"/>
      <c r="BV323" s="710"/>
      <c r="BW323" s="710"/>
      <c r="BX323" s="710"/>
      <c r="BY323" s="710"/>
      <c r="BZ323" s="710"/>
      <c r="CA323" s="710"/>
      <c r="CB323" s="710"/>
      <c r="CC323" s="710"/>
      <c r="CD323" s="710"/>
      <c r="CE323" s="710"/>
      <c r="CF323" s="710"/>
      <c r="CG323" s="710"/>
      <c r="CH323" s="710"/>
      <c r="CI323" s="710"/>
      <c r="CJ323" s="710"/>
      <c r="CK323" s="710"/>
      <c r="CL323" s="710"/>
      <c r="CM323" s="710"/>
      <c r="CN323" s="710"/>
      <c r="CO323" s="710"/>
      <c r="CP323" s="710"/>
      <c r="CQ323" s="710"/>
      <c r="CR323" s="710"/>
      <c r="CS323" s="710"/>
      <c r="CT323" s="710"/>
      <c r="CU323" s="710"/>
      <c r="CV323" s="710"/>
      <c r="CW323" s="710"/>
      <c r="CX323" s="710"/>
      <c r="CY323" s="710"/>
      <c r="CZ323" s="710"/>
      <c r="DA323" s="710"/>
      <c r="DC323" s="12">
        <f t="shared" si="363"/>
        <v>0</v>
      </c>
      <c r="DD323" s="12">
        <f t="shared" ref="DD323:DD341" si="374">SUM(AH323:AS323)</f>
        <v>0</v>
      </c>
      <c r="DE323" s="12">
        <f t="shared" ref="DE323:DE341" si="375">SUM(AT323:BE323)</f>
        <v>0</v>
      </c>
      <c r="DF323" s="12">
        <f t="shared" si="366"/>
        <v>0</v>
      </c>
      <c r="DG323" s="12">
        <f t="shared" si="367"/>
        <v>0</v>
      </c>
      <c r="DH323" s="12">
        <f t="shared" si="368"/>
        <v>0</v>
      </c>
      <c r="DI323" s="12">
        <f t="shared" si="370"/>
        <v>0</v>
      </c>
    </row>
    <row r="324" spans="2:113" outlineLevel="2">
      <c r="F324" s="126" t="s">
        <v>223</v>
      </c>
      <c r="I324" s="609" t="s">
        <v>736</v>
      </c>
      <c r="O324" s="716"/>
      <c r="P324" s="716"/>
      <c r="Q324" s="716"/>
      <c r="R324" s="716"/>
      <c r="S324" s="716"/>
      <c r="T324" s="716"/>
      <c r="U324" s="716"/>
      <c r="V324" s="716"/>
      <c r="W324" s="716"/>
      <c r="X324" s="716"/>
      <c r="Y324" s="716"/>
      <c r="Z324" s="716"/>
      <c r="AA324" s="716"/>
      <c r="AB324" s="716"/>
      <c r="AC324" s="716"/>
      <c r="AD324" s="716"/>
      <c r="AE324" s="716"/>
      <c r="AF324" s="716"/>
      <c r="AG324" s="716"/>
      <c r="AH324" s="716"/>
      <c r="AI324" s="716"/>
      <c r="AJ324" s="716"/>
      <c r="AK324" s="716"/>
      <c r="AL324" s="716"/>
      <c r="AM324" s="716"/>
      <c r="AN324" s="716"/>
      <c r="AO324" s="710"/>
      <c r="AP324" s="710"/>
      <c r="AQ324" s="710"/>
      <c r="AR324" s="710"/>
      <c r="AS324" s="710"/>
      <c r="AT324" s="710"/>
      <c r="AU324" s="710"/>
      <c r="AV324" s="710"/>
      <c r="AW324" s="710"/>
      <c r="AX324" s="710"/>
      <c r="AY324" s="710"/>
      <c r="AZ324" s="710"/>
      <c r="BA324" s="710"/>
      <c r="BB324" s="710"/>
      <c r="BC324" s="710"/>
      <c r="BD324" s="710"/>
      <c r="BE324" s="710"/>
      <c r="BF324" s="710"/>
      <c r="BG324" s="710"/>
      <c r="BH324" s="710"/>
      <c r="BI324" s="710"/>
      <c r="BJ324" s="710"/>
      <c r="BK324" s="710"/>
      <c r="BL324" s="710"/>
      <c r="BM324" s="710"/>
      <c r="BN324" s="710"/>
      <c r="BO324" s="710"/>
      <c r="BP324" s="710"/>
      <c r="BQ324" s="710"/>
      <c r="BR324" s="710"/>
      <c r="BS324" s="710"/>
      <c r="BT324" s="710"/>
      <c r="BU324" s="710"/>
      <c r="BV324" s="710"/>
      <c r="BW324" s="710"/>
      <c r="BX324" s="710"/>
      <c r="BY324" s="710"/>
      <c r="BZ324" s="710"/>
      <c r="CA324" s="710"/>
      <c r="CB324" s="710"/>
      <c r="CC324" s="710"/>
      <c r="CD324" s="710"/>
      <c r="CE324" s="710"/>
      <c r="CF324" s="710"/>
      <c r="CG324" s="710"/>
      <c r="CH324" s="710"/>
      <c r="CI324" s="710"/>
      <c r="CJ324" s="710"/>
      <c r="CK324" s="710"/>
      <c r="CL324" s="710"/>
      <c r="CM324" s="710"/>
      <c r="CN324" s="710"/>
      <c r="CO324" s="710"/>
      <c r="CP324" s="710"/>
      <c r="CQ324" s="710"/>
      <c r="CR324" s="710"/>
      <c r="CS324" s="710"/>
      <c r="CT324" s="710"/>
      <c r="CU324" s="710"/>
      <c r="CV324" s="710"/>
      <c r="CW324" s="710"/>
      <c r="CX324" s="710"/>
      <c r="CY324" s="710"/>
      <c r="CZ324" s="710"/>
      <c r="DA324" s="710"/>
      <c r="DC324" s="12">
        <f t="shared" si="363"/>
        <v>0</v>
      </c>
      <c r="DD324" s="12">
        <f t="shared" si="374"/>
        <v>0</v>
      </c>
      <c r="DE324" s="12">
        <f t="shared" si="375"/>
        <v>0</v>
      </c>
      <c r="DF324" s="12">
        <f t="shared" si="366"/>
        <v>0</v>
      </c>
      <c r="DG324" s="12">
        <f t="shared" si="367"/>
        <v>0</v>
      </c>
      <c r="DH324" s="12">
        <f t="shared" si="368"/>
        <v>0</v>
      </c>
      <c r="DI324" s="12">
        <f t="shared" si="370"/>
        <v>0</v>
      </c>
    </row>
    <row r="325" spans="2:113" outlineLevel="2">
      <c r="F325" s="126" t="s">
        <v>221</v>
      </c>
      <c r="I325" s="609" t="s">
        <v>736</v>
      </c>
      <c r="O325" s="716"/>
      <c r="P325" s="716"/>
      <c r="Q325" s="716"/>
      <c r="R325" s="716"/>
      <c r="S325" s="716"/>
      <c r="T325" s="716"/>
      <c r="U325" s="716"/>
      <c r="V325" s="716"/>
      <c r="W325" s="716"/>
      <c r="X325" s="716"/>
      <c r="Y325" s="716"/>
      <c r="Z325" s="716"/>
      <c r="AA325" s="716"/>
      <c r="AB325" s="716"/>
      <c r="AC325" s="716"/>
      <c r="AD325" s="716"/>
      <c r="AE325" s="716"/>
      <c r="AF325" s="716"/>
      <c r="AG325" s="716"/>
      <c r="AH325" s="716"/>
      <c r="AI325" s="716"/>
      <c r="AJ325" s="716"/>
      <c r="AK325" s="716"/>
      <c r="AL325" s="716"/>
      <c r="AM325" s="716"/>
      <c r="AN325" s="716"/>
      <c r="AO325" s="710"/>
      <c r="AP325" s="710"/>
      <c r="AQ325" s="710"/>
      <c r="AR325" s="710"/>
      <c r="AS325" s="710"/>
      <c r="AT325" s="710"/>
      <c r="AU325" s="710"/>
      <c r="AV325" s="710"/>
      <c r="AW325" s="710"/>
      <c r="AX325" s="710"/>
      <c r="AY325" s="710"/>
      <c r="AZ325" s="710"/>
      <c r="BA325" s="710"/>
      <c r="BB325" s="710"/>
      <c r="BC325" s="710"/>
      <c r="BD325" s="710"/>
      <c r="BE325" s="710"/>
      <c r="BF325" s="710"/>
      <c r="BG325" s="710"/>
      <c r="BH325" s="710"/>
      <c r="BI325" s="710"/>
      <c r="BJ325" s="710"/>
      <c r="BK325" s="710"/>
      <c r="BL325" s="710"/>
      <c r="BM325" s="710"/>
      <c r="BN325" s="710"/>
      <c r="BO325" s="710"/>
      <c r="BP325" s="710"/>
      <c r="BQ325" s="710"/>
      <c r="BR325" s="710"/>
      <c r="BS325" s="710"/>
      <c r="BT325" s="710"/>
      <c r="BU325" s="710"/>
      <c r="BV325" s="710"/>
      <c r="BW325" s="710"/>
      <c r="BX325" s="710"/>
      <c r="BY325" s="710"/>
      <c r="BZ325" s="710"/>
      <c r="CA325" s="710"/>
      <c r="CB325" s="710"/>
      <c r="CC325" s="710"/>
      <c r="CD325" s="710"/>
      <c r="CE325" s="710"/>
      <c r="CF325" s="710"/>
      <c r="CG325" s="710"/>
      <c r="CH325" s="710"/>
      <c r="CI325" s="710"/>
      <c r="CJ325" s="710"/>
      <c r="CK325" s="710"/>
      <c r="CL325" s="710"/>
      <c r="CM325" s="710"/>
      <c r="CN325" s="710"/>
      <c r="CO325" s="710"/>
      <c r="CP325" s="710"/>
      <c r="CQ325" s="710"/>
      <c r="CR325" s="710"/>
      <c r="CS325" s="710"/>
      <c r="CT325" s="710"/>
      <c r="CU325" s="710"/>
      <c r="CV325" s="710"/>
      <c r="CW325" s="710"/>
      <c r="CX325" s="710"/>
      <c r="CY325" s="710"/>
      <c r="CZ325" s="710"/>
      <c r="DA325" s="710"/>
      <c r="DC325" s="12">
        <f t="shared" si="363"/>
        <v>0</v>
      </c>
      <c r="DD325" s="12">
        <f t="shared" si="374"/>
        <v>0</v>
      </c>
      <c r="DE325" s="12">
        <f t="shared" si="375"/>
        <v>0</v>
      </c>
      <c r="DF325" s="12">
        <f t="shared" si="366"/>
        <v>0</v>
      </c>
      <c r="DG325" s="12">
        <f t="shared" si="367"/>
        <v>0</v>
      </c>
      <c r="DH325" s="12">
        <f t="shared" si="368"/>
        <v>0</v>
      </c>
      <c r="DI325" s="12">
        <f t="shared" si="370"/>
        <v>0</v>
      </c>
    </row>
    <row r="326" spans="2:113" outlineLevel="2">
      <c r="F326" s="126" t="s">
        <v>801</v>
      </c>
      <c r="I326" s="609" t="s">
        <v>736</v>
      </c>
      <c r="O326" s="716"/>
      <c r="P326" s="716"/>
      <c r="Q326" s="716"/>
      <c r="R326" s="716"/>
      <c r="S326" s="716"/>
      <c r="T326" s="716"/>
      <c r="U326" s="716"/>
      <c r="V326" s="716"/>
      <c r="W326" s="716"/>
      <c r="X326" s="716"/>
      <c r="Y326" s="716"/>
      <c r="Z326" s="716"/>
      <c r="AA326" s="716"/>
      <c r="AB326" s="716"/>
      <c r="AC326" s="716"/>
      <c r="AD326" s="716"/>
      <c r="AE326" s="716"/>
      <c r="AF326" s="716"/>
      <c r="AG326" s="716"/>
      <c r="AH326" s="716"/>
      <c r="AI326" s="716"/>
      <c r="AJ326" s="716"/>
      <c r="AK326" s="716"/>
      <c r="AL326" s="716"/>
      <c r="AM326" s="716"/>
      <c r="AN326" s="716"/>
      <c r="AO326" s="710"/>
      <c r="AP326" s="710"/>
      <c r="AQ326" s="710"/>
      <c r="AR326" s="710"/>
      <c r="AS326" s="710"/>
      <c r="AT326" s="710">
        <v>0</v>
      </c>
      <c r="AU326" s="710">
        <v>0</v>
      </c>
      <c r="AV326" s="710">
        <v>0</v>
      </c>
      <c r="AW326" s="710">
        <v>0</v>
      </c>
      <c r="AX326" s="710">
        <v>0</v>
      </c>
      <c r="AY326" s="710">
        <v>0</v>
      </c>
      <c r="AZ326" s="710">
        <v>0</v>
      </c>
      <c r="BA326" s="710">
        <v>0</v>
      </c>
      <c r="BB326" s="710">
        <v>0</v>
      </c>
      <c r="BC326" s="710">
        <v>0</v>
      </c>
      <c r="BD326" s="710">
        <v>0</v>
      </c>
      <c r="BE326" s="710">
        <v>0</v>
      </c>
      <c r="BF326" s="710">
        <v>0</v>
      </c>
      <c r="BG326" s="710">
        <v>0</v>
      </c>
      <c r="BH326" s="710">
        <v>0</v>
      </c>
      <c r="BI326" s="710">
        <v>0</v>
      </c>
      <c r="BJ326" s="710">
        <v>0</v>
      </c>
      <c r="BK326" s="710">
        <v>0</v>
      </c>
      <c r="BL326" s="710">
        <v>0</v>
      </c>
      <c r="BM326" s="710">
        <v>0</v>
      </c>
      <c r="BN326" s="710">
        <v>0</v>
      </c>
      <c r="BO326" s="710">
        <v>0</v>
      </c>
      <c r="BP326" s="710">
        <v>0</v>
      </c>
      <c r="BQ326" s="710">
        <v>0</v>
      </c>
      <c r="BR326" s="710">
        <v>0</v>
      </c>
      <c r="BS326" s="710">
        <v>0</v>
      </c>
      <c r="BT326" s="710">
        <v>0</v>
      </c>
      <c r="BU326" s="710">
        <v>0</v>
      </c>
      <c r="BV326" s="710">
        <v>0</v>
      </c>
      <c r="BW326" s="710">
        <v>0</v>
      </c>
      <c r="BX326" s="710">
        <v>0</v>
      </c>
      <c r="BY326" s="710">
        <v>0</v>
      </c>
      <c r="BZ326" s="710">
        <v>0</v>
      </c>
      <c r="CA326" s="710">
        <v>0</v>
      </c>
      <c r="CB326" s="710">
        <v>0</v>
      </c>
      <c r="CC326" s="710">
        <v>0</v>
      </c>
      <c r="CD326" s="710">
        <v>0</v>
      </c>
      <c r="CE326" s="710">
        <v>0</v>
      </c>
      <c r="CF326" s="710">
        <v>0</v>
      </c>
      <c r="CG326" s="710">
        <v>0</v>
      </c>
      <c r="CH326" s="710">
        <v>0</v>
      </c>
      <c r="CI326" s="710">
        <v>0</v>
      </c>
      <c r="CJ326" s="710">
        <v>0</v>
      </c>
      <c r="CK326" s="710">
        <v>0</v>
      </c>
      <c r="CL326" s="710">
        <v>0</v>
      </c>
      <c r="CM326" s="710">
        <v>0</v>
      </c>
      <c r="CN326" s="710">
        <v>0</v>
      </c>
      <c r="CO326" s="710">
        <v>0</v>
      </c>
      <c r="CP326" s="710">
        <v>0</v>
      </c>
      <c r="CQ326" s="710">
        <v>0</v>
      </c>
      <c r="CR326" s="710">
        <v>0</v>
      </c>
      <c r="CS326" s="710">
        <v>0</v>
      </c>
      <c r="CT326" s="710">
        <v>0</v>
      </c>
      <c r="CU326" s="710">
        <v>0</v>
      </c>
      <c r="CV326" s="710">
        <v>0</v>
      </c>
      <c r="CW326" s="710">
        <v>0</v>
      </c>
      <c r="CX326" s="710">
        <v>0</v>
      </c>
      <c r="CY326" s="710">
        <v>0</v>
      </c>
      <c r="CZ326" s="710">
        <v>0</v>
      </c>
      <c r="DA326" s="710">
        <v>0</v>
      </c>
      <c r="DC326" s="12">
        <f t="shared" si="363"/>
        <v>0</v>
      </c>
      <c r="DD326" s="12">
        <f t="shared" si="374"/>
        <v>0</v>
      </c>
      <c r="DE326" s="12">
        <f t="shared" si="375"/>
        <v>0</v>
      </c>
      <c r="DF326" s="12">
        <f t="shared" si="366"/>
        <v>0</v>
      </c>
      <c r="DG326" s="12">
        <f t="shared" si="367"/>
        <v>0</v>
      </c>
      <c r="DH326" s="12">
        <f t="shared" si="368"/>
        <v>0</v>
      </c>
      <c r="DI326" s="758">
        <f t="shared" si="370"/>
        <v>0</v>
      </c>
    </row>
    <row r="327" spans="2:113" outlineLevel="2">
      <c r="F327" s="126" t="s">
        <v>802</v>
      </c>
      <c r="I327" s="609" t="s">
        <v>736</v>
      </c>
      <c r="O327" s="716"/>
      <c r="P327" s="716"/>
      <c r="Q327" s="716"/>
      <c r="R327" s="716"/>
      <c r="S327" s="716"/>
      <c r="T327" s="716"/>
      <c r="U327" s="716"/>
      <c r="V327" s="716"/>
      <c r="W327" s="716"/>
      <c r="X327" s="716"/>
      <c r="Y327" s="716"/>
      <c r="Z327" s="716"/>
      <c r="AA327" s="716"/>
      <c r="AB327" s="716"/>
      <c r="AC327" s="716"/>
      <c r="AD327" s="716"/>
      <c r="AE327" s="716"/>
      <c r="AF327" s="716"/>
      <c r="AG327" s="716"/>
      <c r="AH327" s="716"/>
      <c r="AI327" s="716"/>
      <c r="AJ327" s="716"/>
      <c r="AK327" s="716"/>
      <c r="AL327" s="716"/>
      <c r="AM327" s="716"/>
      <c r="AN327" s="716"/>
      <c r="AO327" s="710"/>
      <c r="AP327" s="710"/>
      <c r="AQ327" s="710"/>
      <c r="AR327" s="710"/>
      <c r="AS327" s="710"/>
      <c r="AT327" s="710"/>
      <c r="AU327" s="710"/>
      <c r="AV327" s="710"/>
      <c r="AW327" s="710"/>
      <c r="AX327" s="710"/>
      <c r="AY327" s="710"/>
      <c r="AZ327" s="710"/>
      <c r="BA327" s="710"/>
      <c r="BB327" s="710"/>
      <c r="BC327" s="710"/>
      <c r="BD327" s="710"/>
      <c r="BE327" s="710"/>
      <c r="BF327" s="710"/>
      <c r="BG327" s="710"/>
      <c r="BH327" s="710"/>
      <c r="BI327" s="710"/>
      <c r="BJ327" s="710"/>
      <c r="BK327" s="710"/>
      <c r="BL327" s="710"/>
      <c r="BM327" s="710"/>
      <c r="BN327" s="710"/>
      <c r="BO327" s="710"/>
      <c r="BP327" s="710"/>
      <c r="BQ327" s="710"/>
      <c r="BR327" s="710"/>
      <c r="BS327" s="710"/>
      <c r="BT327" s="710"/>
      <c r="BU327" s="710"/>
      <c r="BV327" s="710"/>
      <c r="BW327" s="710"/>
      <c r="BX327" s="710"/>
      <c r="BY327" s="710"/>
      <c r="BZ327" s="710"/>
      <c r="CA327" s="710"/>
      <c r="CB327" s="710"/>
      <c r="CC327" s="710"/>
      <c r="CD327" s="710"/>
      <c r="CE327" s="710"/>
      <c r="CF327" s="710"/>
      <c r="CG327" s="710"/>
      <c r="CH327" s="710"/>
      <c r="CI327" s="710"/>
      <c r="CJ327" s="710"/>
      <c r="CK327" s="710"/>
      <c r="CL327" s="710"/>
      <c r="CM327" s="710"/>
      <c r="CN327" s="710"/>
      <c r="CO327" s="710"/>
      <c r="CP327" s="710"/>
      <c r="CQ327" s="710"/>
      <c r="CR327" s="710"/>
      <c r="CS327" s="710"/>
      <c r="CT327" s="710"/>
      <c r="CU327" s="710"/>
      <c r="CV327" s="710"/>
      <c r="CW327" s="710"/>
      <c r="CX327" s="710"/>
      <c r="CY327" s="710"/>
      <c r="CZ327" s="710"/>
      <c r="DA327" s="710"/>
      <c r="DC327" s="12">
        <f t="shared" si="363"/>
        <v>0</v>
      </c>
      <c r="DD327" s="12">
        <f t="shared" si="374"/>
        <v>0</v>
      </c>
      <c r="DE327" s="12">
        <f t="shared" si="375"/>
        <v>0</v>
      </c>
      <c r="DF327" s="12">
        <f t="shared" si="366"/>
        <v>0</v>
      </c>
      <c r="DG327" s="12">
        <f t="shared" si="367"/>
        <v>0</v>
      </c>
      <c r="DH327" s="12">
        <f t="shared" si="368"/>
        <v>0</v>
      </c>
      <c r="DI327" s="12">
        <f t="shared" si="370"/>
        <v>0</v>
      </c>
    </row>
    <row r="328" spans="2:113" outlineLevel="2">
      <c r="E328" s="720" t="s">
        <v>621</v>
      </c>
      <c r="I328" s="609" t="s">
        <v>736</v>
      </c>
      <c r="O328" s="716"/>
      <c r="P328" s="716"/>
      <c r="Q328" s="716"/>
      <c r="R328" s="716"/>
      <c r="S328" s="716"/>
      <c r="T328" s="716"/>
      <c r="U328" s="716"/>
      <c r="V328" s="716"/>
      <c r="W328" s="716"/>
      <c r="X328" s="716"/>
      <c r="Y328" s="716"/>
      <c r="Z328" s="712"/>
      <c r="AA328" s="712"/>
      <c r="AB328" s="712"/>
      <c r="AC328" s="712"/>
      <c r="AD328" s="712"/>
      <c r="AE328" s="712"/>
      <c r="AF328" s="712"/>
      <c r="AG328" s="712"/>
      <c r="AH328" s="939"/>
      <c r="AI328" s="939"/>
      <c r="AJ328" s="939"/>
      <c r="AK328" s="944"/>
      <c r="AL328" s="944"/>
      <c r="AM328" s="944"/>
      <c r="AN328" s="886"/>
      <c r="AO328" s="710"/>
      <c r="AP328" s="710"/>
      <c r="AQ328" s="710"/>
      <c r="AR328" s="710"/>
      <c r="AS328" s="710"/>
      <c r="AT328" s="714">
        <v>-1.6171874999999999E-2</v>
      </c>
      <c r="AU328" s="714">
        <v>-2.7737215909090913E-2</v>
      </c>
      <c r="AV328" s="714">
        <v>-3.4865203706095041E-2</v>
      </c>
      <c r="AW328" s="714">
        <v>-4.0579552798207387E-2</v>
      </c>
      <c r="AX328" s="714">
        <v>-6.6248778387488591E-2</v>
      </c>
      <c r="AY328" s="714">
        <v>-8.9441713366452527E-2</v>
      </c>
      <c r="AZ328" s="714">
        <v>-0.1097090631578979</v>
      </c>
      <c r="BA328" s="714">
        <v>-0.16816282804941657</v>
      </c>
      <c r="BB328" s="714">
        <v>-0.28915081494921591</v>
      </c>
      <c r="BC328" s="714">
        <v>-0.40086646724152397</v>
      </c>
      <c r="BD328" s="714">
        <v>-0.49911845587512188</v>
      </c>
      <c r="BE328" s="714">
        <v>-0.58414341394398051</v>
      </c>
      <c r="BF328" s="714">
        <v>-0.66446544266324892</v>
      </c>
      <c r="BG328" s="714">
        <v>-0.70642715664078326</v>
      </c>
      <c r="BH328" s="714">
        <v>-0.75532005731389862</v>
      </c>
      <c r="BI328" s="714">
        <v>-0.80657096997589772</v>
      </c>
      <c r="BJ328" s="714">
        <v>-0.84365018281999549</v>
      </c>
      <c r="BK328" s="714">
        <v>-0.84675655142973394</v>
      </c>
      <c r="BL328" s="714">
        <v>-0.87978775517943353</v>
      </c>
      <c r="BM328" s="714">
        <v>-0.94454049590652234</v>
      </c>
      <c r="BN328" s="714">
        <v>-0.99338707045306696</v>
      </c>
      <c r="BO328" s="714">
        <v>-0.98382273392631303</v>
      </c>
      <c r="BP328" s="714">
        <v>-0.97224262242118498</v>
      </c>
      <c r="BQ328" s="714">
        <v>-0.96338853571917027</v>
      </c>
      <c r="BR328" s="714">
        <v>-0.9930572382306021</v>
      </c>
      <c r="BS328" s="714">
        <v>-1.0075730763970938</v>
      </c>
      <c r="BT328" s="714">
        <v>-1.0157094266358868</v>
      </c>
      <c r="BU328" s="714">
        <v>-1.0231348175944681</v>
      </c>
      <c r="BV328" s="714">
        <v>-1.0626877309374254</v>
      </c>
      <c r="BW328" s="714">
        <v>-1.1035808971785461</v>
      </c>
      <c r="BX328" s="714">
        <v>-1.1422575401413937</v>
      </c>
      <c r="BY328" s="714">
        <v>-1.2378690707210287</v>
      </c>
      <c r="BZ328" s="714">
        <v>-1.4303244508591499</v>
      </c>
      <c r="CA328" s="714">
        <v>-1.6227322437715788</v>
      </c>
      <c r="CB328" s="714">
        <v>-1.807384816729092</v>
      </c>
      <c r="CC328" s="714">
        <v>-1.9846669980125897</v>
      </c>
      <c r="CD328" s="714">
        <v>-2.1371289267757834</v>
      </c>
      <c r="CE328" s="714">
        <v>-2.2928743036362267</v>
      </c>
      <c r="CF328" s="714">
        <v>-2.447057807641853</v>
      </c>
      <c r="CG328" s="714">
        <v>-2.5975113348565166</v>
      </c>
      <c r="CH328" s="714">
        <v>-2.7308433503123513</v>
      </c>
      <c r="CI328" s="714">
        <v>-2.8660289230541665</v>
      </c>
      <c r="CJ328" s="714">
        <v>-3.0036478955047512</v>
      </c>
      <c r="CK328" s="714">
        <v>-3.1136740271715371</v>
      </c>
      <c r="CL328" s="714">
        <v>-3.1758702015174203</v>
      </c>
      <c r="CM328" s="714">
        <v>-3.2384377675060638</v>
      </c>
      <c r="CN328" s="714">
        <v>-3.3050482712427134</v>
      </c>
      <c r="CO328" s="714">
        <v>-3.3753156720053297</v>
      </c>
      <c r="CP328" s="714">
        <v>-3.4344447597255079</v>
      </c>
      <c r="CQ328" s="714">
        <v>-3.5027257078632474</v>
      </c>
      <c r="CR328" s="714">
        <v>-3.5760183616955947</v>
      </c>
      <c r="CS328" s="714">
        <v>-3.6525203787751965</v>
      </c>
      <c r="CT328" s="714">
        <v>-3.7184136890865487</v>
      </c>
      <c r="CU328" s="714">
        <v>-3.783786383631738</v>
      </c>
      <c r="CV328" s="714">
        <v>-3.8491199373886236</v>
      </c>
      <c r="CW328" s="714">
        <v>-3.890914807383933</v>
      </c>
      <c r="CX328" s="714">
        <v>-3.8934391307426099</v>
      </c>
      <c r="CY328" s="714">
        <v>-3.8956459133090324</v>
      </c>
      <c r="CZ328" s="714">
        <v>-3.9007553531616193</v>
      </c>
      <c r="DA328" s="714">
        <v>-3.9087183678462707</v>
      </c>
      <c r="DC328" s="12">
        <f>SUM(V328:AG328)</f>
        <v>0</v>
      </c>
      <c r="DD328" s="12">
        <f>SUM(AH328:AS328)</f>
        <v>0</v>
      </c>
      <c r="DE328" s="12">
        <f>SUM(AT328:BE328)</f>
        <v>-2.326195382384491</v>
      </c>
      <c r="DF328" s="12">
        <f>SUM(BF328:BQ328)</f>
        <v>-10.360359574449248</v>
      </c>
      <c r="DG328" s="12">
        <f>SUM(BR328:CC328)</f>
        <v>-15.430978307208854</v>
      </c>
      <c r="DH328" s="12">
        <f>SUM(CD328:CO328)</f>
        <v>-34.283438481224714</v>
      </c>
      <c r="DI328" s="12">
        <f t="shared" si="370"/>
        <v>-45.006502790609922</v>
      </c>
    </row>
    <row r="329" spans="2:113" outlineLevel="2">
      <c r="E329" s="724" t="s">
        <v>701</v>
      </c>
      <c r="F329" s="698"/>
      <c r="G329" s="698"/>
      <c r="H329" s="703"/>
      <c r="I329" s="609" t="s">
        <v>736</v>
      </c>
      <c r="O329" s="716"/>
      <c r="P329" s="716"/>
      <c r="Q329" s="716"/>
      <c r="R329" s="716"/>
      <c r="S329" s="716"/>
      <c r="T329" s="716"/>
      <c r="U329" s="716"/>
      <c r="V329" s="716"/>
      <c r="W329" s="716"/>
      <c r="X329" s="716"/>
      <c r="Y329" s="716"/>
      <c r="Z329" s="716"/>
      <c r="AA329" s="716"/>
      <c r="AB329" s="716"/>
      <c r="AC329" s="716"/>
      <c r="AD329" s="716"/>
      <c r="AE329" s="716"/>
      <c r="AF329" s="716"/>
      <c r="AG329" s="716"/>
      <c r="AH329" s="716"/>
      <c r="AI329" s="716"/>
      <c r="AJ329" s="716"/>
      <c r="AK329" s="716"/>
      <c r="AL329" s="716"/>
      <c r="AM329" s="716"/>
      <c r="AN329" s="716"/>
      <c r="AO329" s="696"/>
      <c r="AP329" s="696"/>
      <c r="AQ329" s="696"/>
      <c r="AR329" s="696"/>
      <c r="AS329" s="696"/>
      <c r="AT329" s="696">
        <f t="shared" ref="AT329:DA329" si="376">SUM(AT330:AT338)</f>
        <v>-9.4667662470281105E-2</v>
      </c>
      <c r="AU329" s="696">
        <f t="shared" si="376"/>
        <v>-0.17530047349472616</v>
      </c>
      <c r="AV329" s="696">
        <f t="shared" si="376"/>
        <v>-0.26771507622373925</v>
      </c>
      <c r="AW329" s="696">
        <f t="shared" si="376"/>
        <v>-0.35818563826658123</v>
      </c>
      <c r="AX329" s="696">
        <f t="shared" si="376"/>
        <v>-0.41050201687000509</v>
      </c>
      <c r="AY329" s="696">
        <f t="shared" si="376"/>
        <v>-0.45928439660163922</v>
      </c>
      <c r="AZ329" s="696">
        <f t="shared" si="376"/>
        <v>-0.50938159916749659</v>
      </c>
      <c r="BA329" s="696">
        <f t="shared" si="376"/>
        <v>-0.56714833124054498</v>
      </c>
      <c r="BB329" s="696">
        <f t="shared" si="376"/>
        <v>-0.62789470349855159</v>
      </c>
      <c r="BC329" s="696">
        <f t="shared" si="376"/>
        <v>-0.69166163872745168</v>
      </c>
      <c r="BD329" s="696">
        <f t="shared" si="376"/>
        <v>-0.75878027258086389</v>
      </c>
      <c r="BE329" s="696">
        <f t="shared" si="376"/>
        <v>-0.80804694310566749</v>
      </c>
      <c r="BF329" s="696">
        <f t="shared" si="376"/>
        <v>-0.91020595798184289</v>
      </c>
      <c r="BG329" s="696">
        <f t="shared" si="376"/>
        <v>-0.92220474375615513</v>
      </c>
      <c r="BH329" s="696">
        <f t="shared" si="376"/>
        <v>-0.91060148690277021</v>
      </c>
      <c r="BI329" s="696">
        <f t="shared" si="376"/>
        <v>-0.88852549817345505</v>
      </c>
      <c r="BJ329" s="696">
        <f t="shared" si="376"/>
        <v>-0.85762349709110175</v>
      </c>
      <c r="BK329" s="696">
        <f t="shared" si="376"/>
        <v>-0.85892519371409004</v>
      </c>
      <c r="BL329" s="696">
        <f t="shared" si="376"/>
        <v>-0.84116241535169856</v>
      </c>
      <c r="BM329" s="696">
        <f t="shared" si="376"/>
        <v>-0.84287869567116314</v>
      </c>
      <c r="BN329" s="696">
        <f t="shared" si="376"/>
        <v>-0.84478204289669823</v>
      </c>
      <c r="BO329" s="696">
        <f t="shared" si="376"/>
        <v>-0.84664152106589385</v>
      </c>
      <c r="BP329" s="696">
        <f t="shared" si="376"/>
        <v>-0.84883886502375616</v>
      </c>
      <c r="BQ329" s="696">
        <f t="shared" si="376"/>
        <v>-0.85050005896460723</v>
      </c>
      <c r="BR329" s="696">
        <f t="shared" si="376"/>
        <v>-1.0343816738865652</v>
      </c>
      <c r="BS329" s="696">
        <f t="shared" si="376"/>
        <v>-1.2233550918988831</v>
      </c>
      <c r="BT329" s="696">
        <f t="shared" si="376"/>
        <v>-1.4107159599577601</v>
      </c>
      <c r="BU329" s="696">
        <f t="shared" si="376"/>
        <v>-1.5948805051646116</v>
      </c>
      <c r="BV329" s="696">
        <f t="shared" si="376"/>
        <v>-1.7231516968704375</v>
      </c>
      <c r="BW329" s="696">
        <f t="shared" si="376"/>
        <v>-1.8484398410590248</v>
      </c>
      <c r="BX329" s="696">
        <f t="shared" si="376"/>
        <v>-1.9734691765925816</v>
      </c>
      <c r="BY329" s="696">
        <f t="shared" si="376"/>
        <v>-2.0980376751833312</v>
      </c>
      <c r="BZ329" s="696">
        <f t="shared" si="376"/>
        <v>-2.2231283448775407</v>
      </c>
      <c r="CA329" s="696">
        <f t="shared" si="376"/>
        <v>-2.34914182002478</v>
      </c>
      <c r="CB329" s="696">
        <f t="shared" si="376"/>
        <v>-2.4768373675354693</v>
      </c>
      <c r="CC329" s="696">
        <f t="shared" si="376"/>
        <v>-2.6061512486390028</v>
      </c>
      <c r="CD329" s="696">
        <f t="shared" si="376"/>
        <v>-2.7164781172595145</v>
      </c>
      <c r="CE329" s="696">
        <f t="shared" si="376"/>
        <v>-2.7540444400814383</v>
      </c>
      <c r="CF329" s="696">
        <f t="shared" si="376"/>
        <v>-2.7915431741906707</v>
      </c>
      <c r="CG329" s="696">
        <f t="shared" si="376"/>
        <v>-2.8298386638225597</v>
      </c>
      <c r="CH329" s="696">
        <f t="shared" si="376"/>
        <v>-2.8953062071482809</v>
      </c>
      <c r="CI329" s="696">
        <f t="shared" si="376"/>
        <v>-2.9615732175968117</v>
      </c>
      <c r="CJ329" s="696">
        <f t="shared" si="376"/>
        <v>-3.0273734791734794</v>
      </c>
      <c r="CK329" s="696">
        <f t="shared" si="376"/>
        <v>-3.0929380853727722</v>
      </c>
      <c r="CL329" s="696">
        <f t="shared" si="376"/>
        <v>-3.157874680008689</v>
      </c>
      <c r="CM329" s="696">
        <f t="shared" si="376"/>
        <v>-3.2220235163769102</v>
      </c>
      <c r="CN329" s="696">
        <f t="shared" si="376"/>
        <v>-3.2850172421479664</v>
      </c>
      <c r="CO329" s="696">
        <f t="shared" si="376"/>
        <v>-3.3468989820387947</v>
      </c>
      <c r="CP329" s="696">
        <f t="shared" si="376"/>
        <v>-3.3809414255496226</v>
      </c>
      <c r="CQ329" s="696">
        <f t="shared" si="376"/>
        <v>-3.3668958302109688</v>
      </c>
      <c r="CR329" s="696">
        <f t="shared" si="376"/>
        <v>-3.353543873930763</v>
      </c>
      <c r="CS329" s="696">
        <f t="shared" si="376"/>
        <v>-3.3414775772921397</v>
      </c>
      <c r="CT329" s="696">
        <f t="shared" si="376"/>
        <v>-3.3517468430193298</v>
      </c>
      <c r="CU329" s="696">
        <f t="shared" si="376"/>
        <v>-3.3631671305272062</v>
      </c>
      <c r="CV329" s="696">
        <f t="shared" si="376"/>
        <v>-3.3746245915528386</v>
      </c>
      <c r="CW329" s="696">
        <f t="shared" si="376"/>
        <v>-3.3861720894099898</v>
      </c>
      <c r="CX329" s="696">
        <f t="shared" si="376"/>
        <v>-3.3973731079738845</v>
      </c>
      <c r="CY329" s="696">
        <f t="shared" si="376"/>
        <v>-3.4079784824761656</v>
      </c>
      <c r="CZ329" s="696">
        <f t="shared" si="376"/>
        <v>-3.4177121402252837</v>
      </c>
      <c r="DA329" s="696">
        <f t="shared" si="376"/>
        <v>-3.4266294303515266</v>
      </c>
      <c r="DC329" s="12">
        <f t="shared" si="363"/>
        <v>0</v>
      </c>
      <c r="DD329" s="12">
        <f t="shared" si="374"/>
        <v>0</v>
      </c>
      <c r="DE329" s="12">
        <f t="shared" si="375"/>
        <v>-5.7285687522475488</v>
      </c>
      <c r="DF329" s="12">
        <f t="shared" si="366"/>
        <v>-10.422889976593233</v>
      </c>
      <c r="DG329" s="12">
        <f t="shared" si="367"/>
        <v>-22.56169040168999</v>
      </c>
      <c r="DH329" s="12">
        <f t="shared" si="368"/>
        <v>-36.080909805217892</v>
      </c>
      <c r="DI329" s="12">
        <f t="shared" si="370"/>
        <v>-40.568262522519717</v>
      </c>
    </row>
    <row r="330" spans="2:113" outlineLevel="2">
      <c r="F330" s="126" t="s">
        <v>100</v>
      </c>
      <c r="I330" s="609" t="s">
        <v>736</v>
      </c>
      <c r="O330" s="716"/>
      <c r="P330" s="716"/>
      <c r="Q330" s="716"/>
      <c r="R330" s="716"/>
      <c r="S330" s="716"/>
      <c r="T330" s="716"/>
      <c r="U330" s="716"/>
      <c r="V330" s="716"/>
      <c r="W330" s="716"/>
      <c r="X330" s="716"/>
      <c r="Y330" s="716"/>
      <c r="Z330" s="716"/>
      <c r="AA330" s="716"/>
      <c r="AB330" s="716"/>
      <c r="AC330" s="716"/>
      <c r="AD330" s="716"/>
      <c r="AE330" s="716"/>
      <c r="AF330" s="716"/>
      <c r="AG330" s="716"/>
      <c r="AH330" s="716"/>
      <c r="AI330" s="716"/>
      <c r="AJ330" s="716"/>
      <c r="AK330" s="716"/>
      <c r="AL330" s="716"/>
      <c r="AM330" s="716"/>
      <c r="AN330" s="716"/>
      <c r="AO330" s="710"/>
      <c r="AP330" s="710"/>
      <c r="AQ330" s="710"/>
      <c r="AR330" s="710"/>
      <c r="AS330" s="710"/>
      <c r="AT330" s="710">
        <v>-1.5833333333333331E-2</v>
      </c>
      <c r="AU330" s="710">
        <v>-3.1666666666666662E-2</v>
      </c>
      <c r="AV330" s="710">
        <v>-4.7500000000000001E-2</v>
      </c>
      <c r="AW330" s="710">
        <v>-6.3333333333333325E-2</v>
      </c>
      <c r="AX330" s="710">
        <v>-7.9166666666666677E-2</v>
      </c>
      <c r="AY330" s="710">
        <v>-9.0000000000000011E-2</v>
      </c>
      <c r="AZ330" s="710">
        <v>-0.105</v>
      </c>
      <c r="BA330" s="710">
        <v>-0.11999999999999998</v>
      </c>
      <c r="BB330" s="710">
        <v>-0.13499999999999998</v>
      </c>
      <c r="BC330" s="710">
        <v>-0.14999999999999997</v>
      </c>
      <c r="BD330" s="710">
        <v>-0.16499999999999998</v>
      </c>
      <c r="BE330" s="710">
        <v>-0.16000000000000003</v>
      </c>
      <c r="BF330" s="710">
        <v>-0.16000000000000003</v>
      </c>
      <c r="BG330" s="710">
        <v>-0.16000000000000003</v>
      </c>
      <c r="BH330" s="710">
        <v>-0.16000000000000003</v>
      </c>
      <c r="BI330" s="710">
        <v>-0.16000000000000003</v>
      </c>
      <c r="BJ330" s="710">
        <v>-0.16000000000000003</v>
      </c>
      <c r="BK330" s="710">
        <v>-0.16000000000000003</v>
      </c>
      <c r="BL330" s="710">
        <v>-0.13999999999999999</v>
      </c>
      <c r="BM330" s="710">
        <v>-0.13999999999999999</v>
      </c>
      <c r="BN330" s="710">
        <v>-0.13999999999999999</v>
      </c>
      <c r="BO330" s="710">
        <v>-0.13999999999999999</v>
      </c>
      <c r="BP330" s="710">
        <v>-0.13999999999999999</v>
      </c>
      <c r="BQ330" s="710">
        <v>-0.13999999999999999</v>
      </c>
      <c r="BR330" s="710">
        <v>-0.13999999999999999</v>
      </c>
      <c r="BS330" s="710">
        <v>-0.15999999999999995</v>
      </c>
      <c r="BT330" s="710">
        <v>-0.17999999999999997</v>
      </c>
      <c r="BU330" s="710">
        <v>-0.19999999999999996</v>
      </c>
      <c r="BV330" s="710">
        <v>-0.21999999999999997</v>
      </c>
      <c r="BW330" s="710">
        <v>-0.24</v>
      </c>
      <c r="BX330" s="710">
        <v>-0.26</v>
      </c>
      <c r="BY330" s="710">
        <v>-0.28000000000000003</v>
      </c>
      <c r="BZ330" s="710">
        <v>-0.30000000000000004</v>
      </c>
      <c r="CA330" s="710">
        <v>-0.32000000000000006</v>
      </c>
      <c r="CB330" s="710">
        <v>-0.34</v>
      </c>
      <c r="CC330" s="710">
        <v>-0.36</v>
      </c>
      <c r="CD330" s="710">
        <v>-0.36999999999999994</v>
      </c>
      <c r="CE330" s="710">
        <v>-0.37999999999999995</v>
      </c>
      <c r="CF330" s="710">
        <v>-0.39</v>
      </c>
      <c r="CG330" s="710">
        <v>-0.4</v>
      </c>
      <c r="CH330" s="710">
        <v>-0.41000000000000009</v>
      </c>
      <c r="CI330" s="710">
        <v>-0.42000000000000004</v>
      </c>
      <c r="CJ330" s="710">
        <v>-0.4300000000000001</v>
      </c>
      <c r="CK330" s="710">
        <v>-0.44000000000000017</v>
      </c>
      <c r="CL330" s="710">
        <v>-0.45000000000000012</v>
      </c>
      <c r="CM330" s="710">
        <v>-0.46000000000000013</v>
      </c>
      <c r="CN330" s="710">
        <v>-0.4700000000000002</v>
      </c>
      <c r="CO330" s="710">
        <v>-0.48</v>
      </c>
      <c r="CP330" s="710">
        <v>-0.48199999999999993</v>
      </c>
      <c r="CQ330" s="710">
        <v>-0.48399999999999987</v>
      </c>
      <c r="CR330" s="710">
        <v>-0.48599999999999988</v>
      </c>
      <c r="CS330" s="710">
        <v>-0.48799999999999988</v>
      </c>
      <c r="CT330" s="710">
        <v>-0.48999999999999982</v>
      </c>
      <c r="CU330" s="710">
        <v>-0.49199999999999983</v>
      </c>
      <c r="CV330" s="710">
        <v>-0.49399999999999977</v>
      </c>
      <c r="CW330" s="710">
        <v>-0.49599999999999977</v>
      </c>
      <c r="CX330" s="710">
        <v>-0.49799999999999967</v>
      </c>
      <c r="CY330" s="710">
        <v>-0.49999999999999967</v>
      </c>
      <c r="CZ330" s="710">
        <v>-0.50199999999999967</v>
      </c>
      <c r="DA330" s="710">
        <v>-0.504</v>
      </c>
      <c r="DC330" s="14">
        <f t="shared" si="363"/>
        <v>0</v>
      </c>
      <c r="DD330" s="14">
        <f t="shared" si="374"/>
        <v>0</v>
      </c>
      <c r="DE330" s="14">
        <f t="shared" si="375"/>
        <v>-1.1625000000000001</v>
      </c>
      <c r="DF330" s="14">
        <f t="shared" si="366"/>
        <v>-1.7999999999999996</v>
      </c>
      <c r="DG330" s="14">
        <f t="shared" si="367"/>
        <v>-2.9999999999999996</v>
      </c>
      <c r="DH330" s="14">
        <f t="shared" si="368"/>
        <v>-5.1000000000000014</v>
      </c>
      <c r="DI330" s="14">
        <f t="shared" si="370"/>
        <v>-5.9159999999999986</v>
      </c>
    </row>
    <row r="331" spans="2:113" s="698" customFormat="1" outlineLevel="2">
      <c r="B331" s="126"/>
      <c r="E331" s="126"/>
      <c r="F331" s="126" t="s">
        <v>107</v>
      </c>
      <c r="G331" s="126"/>
      <c r="H331" s="609"/>
      <c r="I331" s="609" t="s">
        <v>736</v>
      </c>
      <c r="J331" s="703"/>
      <c r="K331" s="703"/>
      <c r="L331" s="703"/>
      <c r="M331" s="703"/>
      <c r="O331" s="943"/>
      <c r="P331" s="943"/>
      <c r="Q331" s="943"/>
      <c r="R331" s="943"/>
      <c r="S331" s="943"/>
      <c r="T331" s="943"/>
      <c r="U331" s="943"/>
      <c r="V331" s="943"/>
      <c r="W331" s="943"/>
      <c r="X331" s="943"/>
      <c r="Y331" s="943"/>
      <c r="Z331" s="706"/>
      <c r="AA331" s="706"/>
      <c r="AB331" s="706"/>
      <c r="AC331" s="706"/>
      <c r="AD331" s="706"/>
      <c r="AE331" s="706"/>
      <c r="AF331" s="706"/>
      <c r="AG331" s="706"/>
      <c r="AH331" s="707"/>
      <c r="AI331" s="707"/>
      <c r="AJ331" s="707"/>
      <c r="AK331" s="707"/>
      <c r="AL331" s="707"/>
      <c r="AM331" s="707"/>
      <c r="AN331" s="914"/>
      <c r="AO331" s="710"/>
      <c r="AP331" s="710"/>
      <c r="AQ331" s="710"/>
      <c r="AR331" s="710"/>
      <c r="AS331" s="710"/>
      <c r="AT331" s="710">
        <v>-2.7083333333333334E-3</v>
      </c>
      <c r="AU331" s="710">
        <v>-5.4166666666666669E-3</v>
      </c>
      <c r="AV331" s="710">
        <v>-8.1250000000000003E-3</v>
      </c>
      <c r="AW331" s="710">
        <v>-1.0833333333333334E-2</v>
      </c>
      <c r="AX331" s="710">
        <v>-1.3541666666666667E-2</v>
      </c>
      <c r="AY331" s="710">
        <v>-1.6250000000000001E-2</v>
      </c>
      <c r="AZ331" s="710">
        <v>-1.8958333333333331E-2</v>
      </c>
      <c r="BA331" s="710">
        <v>-2.1666666666666664E-2</v>
      </c>
      <c r="BB331" s="710">
        <v>-2.4374999999999997E-2</v>
      </c>
      <c r="BC331" s="710">
        <v>-2.7083333333333327E-2</v>
      </c>
      <c r="BD331" s="710">
        <v>-2.9791666666666664E-2</v>
      </c>
      <c r="BE331" s="710">
        <v>-3.2500000000000001E-2</v>
      </c>
      <c r="BF331" s="710">
        <v>-3.2500000000000001E-2</v>
      </c>
      <c r="BG331" s="710">
        <v>-3.2500000000000001E-2</v>
      </c>
      <c r="BH331" s="710">
        <v>-3.2500000000000001E-2</v>
      </c>
      <c r="BI331" s="710">
        <v>-3.2500000000000001E-2</v>
      </c>
      <c r="BJ331" s="710">
        <v>-3.2500000000000001E-2</v>
      </c>
      <c r="BK331" s="710">
        <v>-3.2500000000000001E-2</v>
      </c>
      <c r="BL331" s="710">
        <v>-3.2500000000000001E-2</v>
      </c>
      <c r="BM331" s="710">
        <v>-3.2500000000000001E-2</v>
      </c>
      <c r="BN331" s="710">
        <v>-3.2500000000000001E-2</v>
      </c>
      <c r="BO331" s="710">
        <v>-3.2500000000000001E-2</v>
      </c>
      <c r="BP331" s="710">
        <v>-3.2500000000000001E-2</v>
      </c>
      <c r="BQ331" s="710">
        <v>-3.2500000000000001E-2</v>
      </c>
      <c r="BR331" s="710">
        <v>-3.7916666666666661E-2</v>
      </c>
      <c r="BS331" s="710">
        <v>-4.3333333333333328E-2</v>
      </c>
      <c r="BT331" s="710">
        <v>-4.8749999999999995E-2</v>
      </c>
      <c r="BU331" s="710">
        <v>-5.4166666666666655E-2</v>
      </c>
      <c r="BV331" s="710">
        <v>-5.9583333333333328E-2</v>
      </c>
      <c r="BW331" s="710">
        <v>-6.5000000000000002E-2</v>
      </c>
      <c r="BX331" s="710">
        <v>-7.0416666666666669E-2</v>
      </c>
      <c r="BY331" s="710">
        <v>-7.5833333333333336E-2</v>
      </c>
      <c r="BZ331" s="710">
        <v>-8.1250000000000017E-2</v>
      </c>
      <c r="CA331" s="710">
        <v>-8.6666666666666697E-2</v>
      </c>
      <c r="CB331" s="710">
        <v>-9.2083333333333336E-2</v>
      </c>
      <c r="CC331" s="710">
        <v>-9.7500000000000003E-2</v>
      </c>
      <c r="CD331" s="710">
        <v>-0.10020833333333333</v>
      </c>
      <c r="CE331" s="710">
        <v>-0.10291666666666666</v>
      </c>
      <c r="CF331" s="710">
        <v>-0.105625</v>
      </c>
      <c r="CG331" s="710">
        <v>-0.10833333333333334</v>
      </c>
      <c r="CH331" s="710">
        <v>-0.11104166666666671</v>
      </c>
      <c r="CI331" s="710">
        <v>-0.11375000000000003</v>
      </c>
      <c r="CJ331" s="710">
        <v>-0.11645833333333337</v>
      </c>
      <c r="CK331" s="710">
        <v>-0.11916666666666671</v>
      </c>
      <c r="CL331" s="710">
        <v>-0.12187500000000004</v>
      </c>
      <c r="CM331" s="710">
        <v>-0.12458333333333338</v>
      </c>
      <c r="CN331" s="710">
        <v>-0.12729166666666672</v>
      </c>
      <c r="CO331" s="710">
        <v>-0.13</v>
      </c>
      <c r="CP331" s="710">
        <v>-0.13054166666666667</v>
      </c>
      <c r="CQ331" s="710">
        <v>-0.1310833333333333</v>
      </c>
      <c r="CR331" s="710">
        <v>-0.13162499999999999</v>
      </c>
      <c r="CS331" s="710">
        <v>-0.13216666666666663</v>
      </c>
      <c r="CT331" s="710">
        <v>-0.13270833333333329</v>
      </c>
      <c r="CU331" s="710">
        <v>-0.13324999999999998</v>
      </c>
      <c r="CV331" s="710">
        <v>-0.13379166666666664</v>
      </c>
      <c r="CW331" s="710">
        <v>-0.13433333333333328</v>
      </c>
      <c r="CX331" s="710">
        <v>-0.13487499999999994</v>
      </c>
      <c r="CY331" s="710">
        <v>-0.13541666666666657</v>
      </c>
      <c r="CZ331" s="710">
        <v>-0.13595833333333326</v>
      </c>
      <c r="DA331" s="710">
        <v>-0.13650000000000001</v>
      </c>
      <c r="DC331" s="12">
        <f t="shared" si="363"/>
        <v>0</v>
      </c>
      <c r="DD331" s="12">
        <f t="shared" si="374"/>
        <v>0</v>
      </c>
      <c r="DE331" s="12">
        <f t="shared" si="375"/>
        <v>-0.21124999999999999</v>
      </c>
      <c r="DF331" s="12">
        <f t="shared" si="366"/>
        <v>-0.3899999999999999</v>
      </c>
      <c r="DG331" s="12">
        <f t="shared" si="367"/>
        <v>-0.8125</v>
      </c>
      <c r="DH331" s="12">
        <f t="shared" si="368"/>
        <v>-1.3812500000000001</v>
      </c>
      <c r="DI331" s="12">
        <f t="shared" si="370"/>
        <v>-1.6022499999999995</v>
      </c>
    </row>
    <row r="332" spans="2:113" outlineLevel="2">
      <c r="F332" s="126" t="s">
        <v>806</v>
      </c>
      <c r="I332" s="609" t="s">
        <v>736</v>
      </c>
      <c r="O332" s="716"/>
      <c r="P332" s="716"/>
      <c r="Q332" s="716"/>
      <c r="R332" s="716"/>
      <c r="S332" s="716"/>
      <c r="T332" s="716"/>
      <c r="U332" s="716"/>
      <c r="V332" s="716"/>
      <c r="W332" s="716"/>
      <c r="X332" s="716"/>
      <c r="Y332" s="716"/>
      <c r="Z332" s="712"/>
      <c r="AA332" s="712"/>
      <c r="AB332" s="712"/>
      <c r="AC332" s="712"/>
      <c r="AD332" s="712"/>
      <c r="AE332" s="712"/>
      <c r="AF332" s="712"/>
      <c r="AG332" s="712"/>
      <c r="AH332" s="712"/>
      <c r="AI332" s="712"/>
      <c r="AJ332" s="712"/>
      <c r="AK332" s="712"/>
      <c r="AL332" s="712"/>
      <c r="AM332" s="712"/>
      <c r="AN332" s="712"/>
      <c r="AO332" s="739"/>
      <c r="AP332" s="739"/>
      <c r="AQ332" s="739"/>
      <c r="AR332" s="739"/>
      <c r="AS332" s="739"/>
      <c r="AT332" s="739">
        <v>-1.6666666666666668E-3</v>
      </c>
      <c r="AU332" s="739">
        <v>-3.3333333333333335E-3</v>
      </c>
      <c r="AV332" s="739">
        <v>-5.0000000000000001E-3</v>
      </c>
      <c r="AW332" s="739">
        <v>-6.6666666666666671E-3</v>
      </c>
      <c r="AX332" s="739">
        <v>-8.3333333333333332E-3</v>
      </c>
      <c r="AY332" s="739">
        <v>-0.01</v>
      </c>
      <c r="AZ332" s="739">
        <v>-1.1666666666666665E-2</v>
      </c>
      <c r="BA332" s="739">
        <v>-1.3333333333333332E-2</v>
      </c>
      <c r="BB332" s="739">
        <v>-1.4999999999999998E-2</v>
      </c>
      <c r="BC332" s="739">
        <v>-1.6666666666666663E-2</v>
      </c>
      <c r="BD332" s="739">
        <v>-1.8333333333333333E-2</v>
      </c>
      <c r="BE332" s="739">
        <v>-0.02</v>
      </c>
      <c r="BF332" s="739">
        <v>-0.02</v>
      </c>
      <c r="BG332" s="739">
        <v>-0.02</v>
      </c>
      <c r="BH332" s="739">
        <v>-0.02</v>
      </c>
      <c r="BI332" s="739">
        <v>-0.02</v>
      </c>
      <c r="BJ332" s="739">
        <v>-0.02</v>
      </c>
      <c r="BK332" s="739">
        <v>-0.02</v>
      </c>
      <c r="BL332" s="739">
        <v>-0.02</v>
      </c>
      <c r="BM332" s="739">
        <v>-0.02</v>
      </c>
      <c r="BN332" s="739">
        <v>-0.02</v>
      </c>
      <c r="BO332" s="739">
        <v>-0.02</v>
      </c>
      <c r="BP332" s="739">
        <v>-0.02</v>
      </c>
      <c r="BQ332" s="739">
        <v>-0.02</v>
      </c>
      <c r="BR332" s="739">
        <v>-2.3333333333333331E-2</v>
      </c>
      <c r="BS332" s="739">
        <v>-2.6666666666666665E-2</v>
      </c>
      <c r="BT332" s="739">
        <v>-2.9999999999999995E-2</v>
      </c>
      <c r="BU332" s="739">
        <v>-3.3333333333333326E-2</v>
      </c>
      <c r="BV332" s="739">
        <v>-3.6666666666666667E-2</v>
      </c>
      <c r="BW332" s="739">
        <v>-0.04</v>
      </c>
      <c r="BX332" s="739">
        <v>-4.3333333333333335E-2</v>
      </c>
      <c r="BY332" s="739">
        <v>-4.6666666666666669E-2</v>
      </c>
      <c r="BZ332" s="739">
        <v>-5.000000000000001E-2</v>
      </c>
      <c r="CA332" s="739">
        <v>-5.3333333333333344E-2</v>
      </c>
      <c r="CB332" s="739">
        <v>-5.6666666666666678E-2</v>
      </c>
      <c r="CC332" s="739">
        <v>-0.06</v>
      </c>
      <c r="CD332" s="739">
        <v>-6.1666666666666661E-2</v>
      </c>
      <c r="CE332" s="739">
        <v>-6.3333333333333325E-2</v>
      </c>
      <c r="CF332" s="739">
        <v>-6.5000000000000002E-2</v>
      </c>
      <c r="CG332" s="739">
        <v>-6.6666666666666666E-2</v>
      </c>
      <c r="CH332" s="739">
        <v>-6.8333333333333343E-2</v>
      </c>
      <c r="CI332" s="739">
        <v>-7.0000000000000021E-2</v>
      </c>
      <c r="CJ332" s="739">
        <v>-7.1666666666666684E-2</v>
      </c>
      <c r="CK332" s="739">
        <v>-7.3333333333333361E-2</v>
      </c>
      <c r="CL332" s="739">
        <v>-7.5000000000000025E-2</v>
      </c>
      <c r="CM332" s="739">
        <v>-7.6666666666666702E-2</v>
      </c>
      <c r="CN332" s="739">
        <v>-7.8333333333333366E-2</v>
      </c>
      <c r="CO332" s="739">
        <v>-0.08</v>
      </c>
      <c r="CP332" s="739">
        <v>-8.0333333333333326E-2</v>
      </c>
      <c r="CQ332" s="739">
        <v>-8.066666666666665E-2</v>
      </c>
      <c r="CR332" s="739">
        <v>-8.0999999999999989E-2</v>
      </c>
      <c r="CS332" s="739">
        <v>-8.1333333333333313E-2</v>
      </c>
      <c r="CT332" s="739">
        <v>-8.1666666666666637E-2</v>
      </c>
      <c r="CU332" s="739">
        <v>-8.1999999999999976E-2</v>
      </c>
      <c r="CV332" s="739">
        <v>-8.23333333333333E-2</v>
      </c>
      <c r="CW332" s="739">
        <v>-8.2666666666666624E-2</v>
      </c>
      <c r="CX332" s="739">
        <v>-8.2999999999999963E-2</v>
      </c>
      <c r="CY332" s="739">
        <v>-8.3333333333333287E-2</v>
      </c>
      <c r="CZ332" s="739">
        <v>-8.3666666666666611E-2</v>
      </c>
      <c r="DA332" s="739">
        <v>-8.4000000000000005E-2</v>
      </c>
      <c r="DC332" s="12">
        <f t="shared" si="363"/>
        <v>0</v>
      </c>
      <c r="DD332" s="12">
        <f t="shared" si="374"/>
        <v>0</v>
      </c>
      <c r="DE332" s="12">
        <f t="shared" si="375"/>
        <v>-0.12999999999999998</v>
      </c>
      <c r="DF332" s="12">
        <f t="shared" si="366"/>
        <v>-0.23999999999999996</v>
      </c>
      <c r="DG332" s="12">
        <f t="shared" si="367"/>
        <v>-0.5</v>
      </c>
      <c r="DH332" s="12">
        <f t="shared" si="368"/>
        <v>-0.85000000000000009</v>
      </c>
      <c r="DI332" s="12">
        <f t="shared" si="370"/>
        <v>-0.98599999999999965</v>
      </c>
    </row>
    <row r="333" spans="2:113" outlineLevel="2">
      <c r="F333" s="126" t="s">
        <v>807</v>
      </c>
      <c r="I333" s="609" t="s">
        <v>736</v>
      </c>
      <c r="O333" s="716"/>
      <c r="P333" s="716"/>
      <c r="Q333" s="716"/>
      <c r="R333" s="716"/>
      <c r="S333" s="716"/>
      <c r="T333" s="716"/>
      <c r="U333" s="716"/>
      <c r="V333" s="716"/>
      <c r="W333" s="716"/>
      <c r="X333" s="716"/>
      <c r="Y333" s="716"/>
      <c r="Z333" s="712"/>
      <c r="AA333" s="712"/>
      <c r="AB333" s="712"/>
      <c r="AC333" s="712"/>
      <c r="AD333" s="712"/>
      <c r="AE333" s="712"/>
      <c r="AF333" s="712"/>
      <c r="AG333" s="712"/>
      <c r="AH333" s="902"/>
      <c r="AI333" s="902"/>
      <c r="AJ333" s="902"/>
      <c r="AK333" s="902"/>
      <c r="AL333" s="902"/>
      <c r="AM333" s="902"/>
      <c r="AN333" s="712"/>
      <c r="AO333" s="710"/>
      <c r="AP333" s="739"/>
      <c r="AQ333" s="739"/>
      <c r="AR333" s="739"/>
      <c r="AS333" s="739"/>
      <c r="AT333" s="739">
        <v>-8.3333333333333339E-4</v>
      </c>
      <c r="AU333" s="739">
        <v>-1.6666666666666668E-3</v>
      </c>
      <c r="AV333" s="739">
        <v>-2.5000000000000001E-3</v>
      </c>
      <c r="AW333" s="739">
        <v>-3.3333333333333335E-3</v>
      </c>
      <c r="AX333" s="739">
        <v>-4.1666666666666666E-3</v>
      </c>
      <c r="AY333" s="739">
        <v>-5.0000000000000001E-3</v>
      </c>
      <c r="AZ333" s="739">
        <v>-5.8333333333333327E-3</v>
      </c>
      <c r="BA333" s="739">
        <v>-6.6666666666666662E-3</v>
      </c>
      <c r="BB333" s="739">
        <v>-7.4999999999999989E-3</v>
      </c>
      <c r="BC333" s="739">
        <v>-8.3333333333333315E-3</v>
      </c>
      <c r="BD333" s="739">
        <v>-9.1666666666666667E-3</v>
      </c>
      <c r="BE333" s="739">
        <v>-0.01</v>
      </c>
      <c r="BF333" s="739">
        <v>-0.01</v>
      </c>
      <c r="BG333" s="739">
        <v>-0.01</v>
      </c>
      <c r="BH333" s="739">
        <v>-0.01</v>
      </c>
      <c r="BI333" s="739">
        <v>-0.01</v>
      </c>
      <c r="BJ333" s="739">
        <v>-0.01</v>
      </c>
      <c r="BK333" s="739">
        <v>-0.01</v>
      </c>
      <c r="BL333" s="739">
        <v>-0.01</v>
      </c>
      <c r="BM333" s="739">
        <v>-0.01</v>
      </c>
      <c r="BN333" s="739">
        <v>-0.01</v>
      </c>
      <c r="BO333" s="739">
        <v>-0.01</v>
      </c>
      <c r="BP333" s="739">
        <v>-0.01</v>
      </c>
      <c r="BQ333" s="739">
        <v>-0.01</v>
      </c>
      <c r="BR333" s="739">
        <v>-1.1666666666666665E-2</v>
      </c>
      <c r="BS333" s="739">
        <v>-1.3333333333333332E-2</v>
      </c>
      <c r="BT333" s="739">
        <v>-1.4999999999999998E-2</v>
      </c>
      <c r="BU333" s="739">
        <v>-1.6666666666666663E-2</v>
      </c>
      <c r="BV333" s="739">
        <v>-1.8333333333333333E-2</v>
      </c>
      <c r="BW333" s="739">
        <v>-0.02</v>
      </c>
      <c r="BX333" s="739">
        <v>-2.1666666666666667E-2</v>
      </c>
      <c r="BY333" s="739">
        <v>-2.3333333333333334E-2</v>
      </c>
      <c r="BZ333" s="739">
        <v>-2.5000000000000005E-2</v>
      </c>
      <c r="CA333" s="739">
        <v>-2.6666666666666672E-2</v>
      </c>
      <c r="CB333" s="739">
        <v>-2.8333333333333339E-2</v>
      </c>
      <c r="CC333" s="739">
        <v>-0.03</v>
      </c>
      <c r="CD333" s="739">
        <v>-3.0833333333333331E-2</v>
      </c>
      <c r="CE333" s="739">
        <v>-3.1666666666666662E-2</v>
      </c>
      <c r="CF333" s="739">
        <v>-3.2500000000000001E-2</v>
      </c>
      <c r="CG333" s="739">
        <v>-3.3333333333333333E-2</v>
      </c>
      <c r="CH333" s="739">
        <v>-3.4166666666666672E-2</v>
      </c>
      <c r="CI333" s="739">
        <v>-3.500000000000001E-2</v>
      </c>
      <c r="CJ333" s="739">
        <v>-3.5833333333333342E-2</v>
      </c>
      <c r="CK333" s="739">
        <v>-3.6666666666666681E-2</v>
      </c>
      <c r="CL333" s="739">
        <v>-3.7500000000000012E-2</v>
      </c>
      <c r="CM333" s="739">
        <v>-3.8333333333333351E-2</v>
      </c>
      <c r="CN333" s="739">
        <v>-3.9166666666666683E-2</v>
      </c>
      <c r="CO333" s="739">
        <v>-0.04</v>
      </c>
      <c r="CP333" s="739">
        <v>-4.0166666666666663E-2</v>
      </c>
      <c r="CQ333" s="739">
        <v>-4.0333333333333325E-2</v>
      </c>
      <c r="CR333" s="739">
        <v>-4.0499999999999994E-2</v>
      </c>
      <c r="CS333" s="739">
        <v>-4.0666666666666657E-2</v>
      </c>
      <c r="CT333" s="739">
        <v>-4.0833333333333319E-2</v>
      </c>
      <c r="CU333" s="739">
        <v>-4.0999999999999988E-2</v>
      </c>
      <c r="CV333" s="739">
        <v>-4.116666666666665E-2</v>
      </c>
      <c r="CW333" s="739">
        <v>-4.1333333333333312E-2</v>
      </c>
      <c r="CX333" s="739">
        <v>-4.1499999999999981E-2</v>
      </c>
      <c r="CY333" s="739">
        <v>-4.1666666666666644E-2</v>
      </c>
      <c r="CZ333" s="739">
        <v>-4.1833333333333306E-2</v>
      </c>
      <c r="DA333" s="739">
        <v>-4.2000000000000003E-2</v>
      </c>
      <c r="DC333" s="12">
        <f t="shared" si="363"/>
        <v>0</v>
      </c>
      <c r="DD333" s="12">
        <f t="shared" si="374"/>
        <v>0</v>
      </c>
      <c r="DE333" s="12">
        <f t="shared" si="375"/>
        <v>-6.4999999999999988E-2</v>
      </c>
      <c r="DF333" s="12">
        <f t="shared" si="366"/>
        <v>-0.11999999999999998</v>
      </c>
      <c r="DG333" s="12">
        <f t="shared" si="367"/>
        <v>-0.25</v>
      </c>
      <c r="DH333" s="12">
        <f t="shared" si="368"/>
        <v>-0.42500000000000004</v>
      </c>
      <c r="DI333" s="12">
        <f t="shared" si="370"/>
        <v>-0.49299999999999983</v>
      </c>
    </row>
    <row r="334" spans="2:113" ht="15" outlineLevel="2">
      <c r="F334" s="126" t="s">
        <v>703</v>
      </c>
      <c r="I334" s="609" t="s">
        <v>736</v>
      </c>
      <c r="O334" s="716"/>
      <c r="P334" s="716"/>
      <c r="Q334" s="716"/>
      <c r="R334" s="716"/>
      <c r="S334" s="716"/>
      <c r="T334" s="716"/>
      <c r="U334" s="716"/>
      <c r="V334" s="716"/>
      <c r="W334" s="716"/>
      <c r="X334" s="716"/>
      <c r="Y334" s="716"/>
      <c r="Z334" s="712"/>
      <c r="AA334" s="712"/>
      <c r="AB334" s="712"/>
      <c r="AC334" s="712"/>
      <c r="AD334" s="712"/>
      <c r="AE334" s="712"/>
      <c r="AF334" s="712"/>
      <c r="AG334" s="930"/>
      <c r="AH334" s="934"/>
      <c r="AI334" s="934"/>
      <c r="AJ334" s="934"/>
      <c r="AK334" s="934"/>
      <c r="AL334" s="934"/>
      <c r="AM334" s="934"/>
      <c r="AN334" s="902"/>
      <c r="AO334" s="710"/>
      <c r="AP334" s="710"/>
      <c r="AQ334" s="710"/>
      <c r="AR334" s="710"/>
      <c r="AS334" s="710"/>
      <c r="AT334" s="749"/>
      <c r="AU334" s="749"/>
      <c r="AV334" s="749"/>
      <c r="AW334" s="749"/>
      <c r="AX334" s="749"/>
      <c r="AY334" s="749"/>
      <c r="AZ334" s="749"/>
      <c r="BA334" s="749"/>
      <c r="BB334" s="749"/>
      <c r="BC334" s="749"/>
      <c r="BD334" s="749"/>
      <c r="BE334" s="749"/>
      <c r="BF334" s="749"/>
      <c r="BG334" s="749"/>
      <c r="BH334" s="749"/>
      <c r="BI334" s="749"/>
      <c r="BJ334" s="749"/>
      <c r="BK334" s="749"/>
      <c r="BL334" s="749"/>
      <c r="BM334" s="749"/>
      <c r="BN334" s="749"/>
      <c r="BO334" s="749"/>
      <c r="BP334" s="749"/>
      <c r="BQ334" s="749"/>
      <c r="BR334" s="749"/>
      <c r="BS334" s="749"/>
      <c r="BT334" s="749"/>
      <c r="BU334" s="749"/>
      <c r="BV334" s="749"/>
      <c r="BW334" s="749"/>
      <c r="BX334" s="749"/>
      <c r="BY334" s="749"/>
      <c r="BZ334" s="749"/>
      <c r="CA334" s="749"/>
      <c r="CB334" s="749"/>
      <c r="CC334" s="749"/>
      <c r="CD334" s="749"/>
      <c r="CE334" s="749"/>
      <c r="CF334" s="749"/>
      <c r="CG334" s="749"/>
      <c r="CH334" s="749"/>
      <c r="CI334" s="749"/>
      <c r="CJ334" s="749"/>
      <c r="CK334" s="749"/>
      <c r="CL334" s="749"/>
      <c r="CM334" s="749"/>
      <c r="CN334" s="749"/>
      <c r="CO334" s="749"/>
      <c r="CP334" s="749"/>
      <c r="CQ334" s="749"/>
      <c r="CR334" s="749"/>
      <c r="CS334" s="749"/>
      <c r="CT334" s="749"/>
      <c r="CU334" s="749"/>
      <c r="CV334" s="749"/>
      <c r="CW334" s="749"/>
      <c r="CX334" s="749"/>
      <c r="CY334" s="749"/>
      <c r="CZ334" s="749"/>
      <c r="DA334" s="749"/>
      <c r="DC334" s="12">
        <f t="shared" si="363"/>
        <v>0</v>
      </c>
      <c r="DD334" s="12">
        <f t="shared" si="374"/>
        <v>0</v>
      </c>
      <c r="DE334" s="12">
        <f t="shared" si="375"/>
        <v>0</v>
      </c>
      <c r="DF334" s="12">
        <f t="shared" ref="DF334:DF341" si="377">SUM(BF334:BQ334)</f>
        <v>0</v>
      </c>
      <c r="DG334" s="12">
        <f t="shared" si="367"/>
        <v>0</v>
      </c>
      <c r="DH334" s="12">
        <f t="shared" si="368"/>
        <v>0</v>
      </c>
      <c r="DI334" s="12">
        <f t="shared" si="370"/>
        <v>0</v>
      </c>
    </row>
    <row r="335" spans="2:113" outlineLevel="2">
      <c r="F335" s="126" t="s">
        <v>163</v>
      </c>
      <c r="I335" s="609" t="s">
        <v>736</v>
      </c>
      <c r="O335" s="716"/>
      <c r="P335" s="716"/>
      <c r="Q335" s="716"/>
      <c r="R335" s="716"/>
      <c r="S335" s="716"/>
      <c r="T335" s="716"/>
      <c r="U335" s="716"/>
      <c r="V335" s="716"/>
      <c r="W335" s="716"/>
      <c r="X335" s="716"/>
      <c r="Y335" s="716"/>
      <c r="Z335" s="716"/>
      <c r="AA335" s="716"/>
      <c r="AB335" s="716"/>
      <c r="AC335" s="716"/>
      <c r="AD335" s="716"/>
      <c r="AE335" s="716"/>
      <c r="AF335" s="716"/>
      <c r="AG335" s="712"/>
      <c r="AH335" s="902"/>
      <c r="AI335" s="902"/>
      <c r="AJ335" s="902"/>
      <c r="AK335" s="902"/>
      <c r="AL335" s="902"/>
      <c r="AM335" s="902"/>
      <c r="AN335" s="716"/>
      <c r="AO335" s="710"/>
      <c r="AP335" s="710"/>
      <c r="AQ335" s="710"/>
      <c r="AR335" s="710"/>
      <c r="AS335" s="710"/>
      <c r="AT335" s="749">
        <v>-1.75E-4</v>
      </c>
      <c r="AU335" s="749">
        <v>-3.5E-4</v>
      </c>
      <c r="AV335" s="749">
        <v>-5.2499999999999997E-4</v>
      </c>
      <c r="AW335" s="749">
        <v>-6.9999999999999999E-4</v>
      </c>
      <c r="AX335" s="749">
        <v>-8.7500000000000013E-4</v>
      </c>
      <c r="AY335" s="749">
        <v>-1.0499999999999999E-3</v>
      </c>
      <c r="AZ335" s="749">
        <v>-1.225E-3</v>
      </c>
      <c r="BA335" s="749">
        <v>-1.3999999999999998E-3</v>
      </c>
      <c r="BB335" s="749">
        <v>-1.5749999999999998E-3</v>
      </c>
      <c r="BC335" s="749">
        <v>-1.7499999999999998E-3</v>
      </c>
      <c r="BD335" s="749">
        <v>-1.9249999999999998E-3</v>
      </c>
      <c r="BE335" s="749">
        <v>-2.0999999999999999E-3</v>
      </c>
      <c r="BF335" s="749">
        <v>-2.0999999999999999E-3</v>
      </c>
      <c r="BG335" s="749">
        <v>-2.0999999999999999E-3</v>
      </c>
      <c r="BH335" s="749">
        <v>-2.0999999999999999E-3</v>
      </c>
      <c r="BI335" s="749">
        <v>-2.0999999999999999E-3</v>
      </c>
      <c r="BJ335" s="749">
        <v>-2.0999999999999999E-3</v>
      </c>
      <c r="BK335" s="749">
        <v>-2.0999999999999999E-3</v>
      </c>
      <c r="BL335" s="749">
        <v>-2.0999999999999999E-3</v>
      </c>
      <c r="BM335" s="749">
        <v>-2.0999999999999999E-3</v>
      </c>
      <c r="BN335" s="749">
        <v>-2.0999999999999999E-3</v>
      </c>
      <c r="BO335" s="749">
        <v>-2.0999999999999999E-3</v>
      </c>
      <c r="BP335" s="749">
        <v>-2.0999999999999999E-3</v>
      </c>
      <c r="BQ335" s="749">
        <v>-2.0999999999999999E-3</v>
      </c>
      <c r="BR335" s="749">
        <v>-2.4499999999999999E-3</v>
      </c>
      <c r="BS335" s="749">
        <v>-2.7999999999999995E-3</v>
      </c>
      <c r="BT335" s="749">
        <v>-3.1499999999999996E-3</v>
      </c>
      <c r="BU335" s="749">
        <v>-3.4999999999999996E-3</v>
      </c>
      <c r="BV335" s="749">
        <v>-3.8499999999999997E-3</v>
      </c>
      <c r="BW335" s="749">
        <v>-4.1999999999999997E-3</v>
      </c>
      <c r="BX335" s="749">
        <v>-4.5500000000000002E-3</v>
      </c>
      <c r="BY335" s="749">
        <v>-4.9000000000000007E-3</v>
      </c>
      <c r="BZ335" s="749">
        <v>-5.2500000000000012E-3</v>
      </c>
      <c r="CA335" s="749">
        <v>-5.6000000000000008E-3</v>
      </c>
      <c r="CB335" s="749">
        <v>-5.9500000000000013E-3</v>
      </c>
      <c r="CC335" s="749">
        <v>-6.3E-3</v>
      </c>
      <c r="CD335" s="749">
        <v>-6.4749999999999999E-3</v>
      </c>
      <c r="CE335" s="749">
        <v>-6.6499999999999988E-3</v>
      </c>
      <c r="CF335" s="749">
        <v>-6.8250000000000003E-3</v>
      </c>
      <c r="CG335" s="749">
        <v>-7.000000000000001E-3</v>
      </c>
      <c r="CH335" s="749">
        <v>-7.1750000000000008E-3</v>
      </c>
      <c r="CI335" s="749">
        <v>-7.3500000000000015E-3</v>
      </c>
      <c r="CJ335" s="749">
        <v>-7.5250000000000022E-3</v>
      </c>
      <c r="CK335" s="749">
        <v>-7.7000000000000028E-3</v>
      </c>
      <c r="CL335" s="749">
        <v>-7.8750000000000035E-3</v>
      </c>
      <c r="CM335" s="749">
        <v>-8.0500000000000033E-3</v>
      </c>
      <c r="CN335" s="749">
        <v>-8.2250000000000031E-3</v>
      </c>
      <c r="CO335" s="749">
        <v>-8.3999999999999995E-3</v>
      </c>
      <c r="CP335" s="749">
        <v>-8.4349999999999998E-3</v>
      </c>
      <c r="CQ335" s="749">
        <v>-8.4699999999999984E-3</v>
      </c>
      <c r="CR335" s="749">
        <v>-8.5049999999999987E-3</v>
      </c>
      <c r="CS335" s="749">
        <v>-8.539999999999999E-3</v>
      </c>
      <c r="CT335" s="749">
        <v>-8.5749999999999976E-3</v>
      </c>
      <c r="CU335" s="749">
        <v>-8.6099999999999961E-3</v>
      </c>
      <c r="CV335" s="749">
        <v>-8.6449999999999964E-3</v>
      </c>
      <c r="CW335" s="749">
        <v>-8.6799999999999967E-3</v>
      </c>
      <c r="CX335" s="749">
        <v>-8.7149999999999971E-3</v>
      </c>
      <c r="CY335" s="749">
        <v>-8.7499999999999939E-3</v>
      </c>
      <c r="CZ335" s="749">
        <v>-8.7849999999999942E-3</v>
      </c>
      <c r="DA335" s="749">
        <v>-8.8199999999999997E-3</v>
      </c>
      <c r="DC335" s="12">
        <f t="shared" si="363"/>
        <v>0</v>
      </c>
      <c r="DD335" s="12">
        <f t="shared" si="374"/>
        <v>0</v>
      </c>
      <c r="DE335" s="12">
        <f t="shared" si="375"/>
        <v>-1.3649999999999999E-2</v>
      </c>
      <c r="DF335" s="12">
        <f t="shared" si="377"/>
        <v>-2.5200000000000004E-2</v>
      </c>
      <c r="DG335" s="12">
        <f t="shared" si="367"/>
        <v>-5.2500000000000005E-2</v>
      </c>
      <c r="DH335" s="12">
        <f t="shared" si="368"/>
        <v>-8.9250000000000038E-2</v>
      </c>
      <c r="DI335" s="12">
        <f t="shared" si="370"/>
        <v>-0.10352999999999996</v>
      </c>
    </row>
    <row r="336" spans="2:113" outlineLevel="2">
      <c r="F336" s="718" t="s">
        <v>152</v>
      </c>
      <c r="I336" s="609" t="s">
        <v>736</v>
      </c>
      <c r="O336" s="716"/>
      <c r="P336" s="716"/>
      <c r="Q336" s="716"/>
      <c r="R336" s="716"/>
      <c r="S336" s="716"/>
      <c r="T336" s="716"/>
      <c r="U336" s="716"/>
      <c r="V336" s="716"/>
      <c r="W336" s="716"/>
      <c r="X336" s="716"/>
      <c r="Y336" s="716"/>
      <c r="Z336" s="716"/>
      <c r="AA336" s="716"/>
      <c r="AB336" s="716"/>
      <c r="AC336" s="716"/>
      <c r="AD336" s="716"/>
      <c r="AE336" s="716"/>
      <c r="AF336" s="716"/>
      <c r="AG336" s="712"/>
      <c r="AH336" s="902"/>
      <c r="AI336" s="902"/>
      <c r="AJ336" s="902"/>
      <c r="AK336" s="902"/>
      <c r="AL336" s="902"/>
      <c r="AM336" s="902"/>
      <c r="AN336" s="716"/>
      <c r="AO336" s="710"/>
      <c r="AP336" s="710"/>
      <c r="AQ336" s="710"/>
      <c r="AR336" s="710"/>
      <c r="AS336" s="710"/>
      <c r="AT336" s="751">
        <f>AT310/(AT310+AT269)*AT257</f>
        <v>-1.3755563897677914E-3</v>
      </c>
      <c r="AU336" s="751">
        <f t="shared" ref="AU336:DA336" si="378">AU310/(AU310+AU269)*AU257</f>
        <v>-2.6754980703035365E-3</v>
      </c>
      <c r="AV336" s="751">
        <f t="shared" si="378"/>
        <v>-3.9058931018730028E-3</v>
      </c>
      <c r="AW336" s="751">
        <f t="shared" si="378"/>
        <v>-5.0721771801463342E-3</v>
      </c>
      <c r="AX336" s="751">
        <f t="shared" si="378"/>
        <v>-6.1792339195374637E-3</v>
      </c>
      <c r="AY336" s="751">
        <f t="shared" si="378"/>
        <v>-7.2314632083450838E-3</v>
      </c>
      <c r="AZ336" s="751">
        <f t="shared" si="378"/>
        <v>-2.4554083176670195E-3</v>
      </c>
      <c r="BA336" s="751">
        <f t="shared" si="378"/>
        <v>-2.7399713467048717E-3</v>
      </c>
      <c r="BB336" s="751">
        <f t="shared" si="378"/>
        <v>-3.0114158246949234E-3</v>
      </c>
      <c r="BC336" s="751">
        <f t="shared" si="378"/>
        <v>-3.2706284737067143E-3</v>
      </c>
      <c r="BD336" s="751">
        <f t="shared" si="378"/>
        <v>-3.5184178617719635E-3</v>
      </c>
      <c r="BE336" s="751">
        <f t="shared" si="378"/>
        <v>-3.7555228276877762E-3</v>
      </c>
      <c r="BF336" s="751">
        <f t="shared" si="378"/>
        <v>-3.7555228276877762E-3</v>
      </c>
      <c r="BG336" s="751">
        <f t="shared" si="378"/>
        <v>-3.7555228276877762E-3</v>
      </c>
      <c r="BH336" s="751">
        <f t="shared" si="378"/>
        <v>-3.7555228276877762E-3</v>
      </c>
      <c r="BI336" s="751">
        <f t="shared" si="378"/>
        <v>-3.7555228276877762E-3</v>
      </c>
      <c r="BJ336" s="751">
        <f t="shared" si="378"/>
        <v>-3.7555228276877762E-3</v>
      </c>
      <c r="BK336" s="751">
        <f t="shared" si="378"/>
        <v>-3.7555228276877762E-3</v>
      </c>
      <c r="BL336" s="751">
        <f t="shared" si="378"/>
        <v>-3.7555228276877762E-3</v>
      </c>
      <c r="BM336" s="751">
        <f t="shared" si="378"/>
        <v>-3.7555228276877762E-3</v>
      </c>
      <c r="BN336" s="751">
        <f t="shared" si="378"/>
        <v>-3.7555228276877762E-3</v>
      </c>
      <c r="BO336" s="751">
        <f t="shared" si="378"/>
        <v>-3.7555228276877762E-3</v>
      </c>
      <c r="BP336" s="751">
        <f t="shared" si="378"/>
        <v>-3.7555228276877762E-3</v>
      </c>
      <c r="BQ336" s="751">
        <f t="shared" si="378"/>
        <v>-3.7555228276877762E-3</v>
      </c>
      <c r="BR336" s="751">
        <f t="shared" si="378"/>
        <v>-4.2405093362474465E-3</v>
      </c>
      <c r="BS336" s="751">
        <f t="shared" si="378"/>
        <v>-4.695267906462899E-3</v>
      </c>
      <c r="BT336" s="751">
        <f t="shared" si="378"/>
        <v>-5.1225391723583773E-3</v>
      </c>
      <c r="BU336" s="751">
        <f t="shared" si="378"/>
        <v>-5.5247421786983287E-3</v>
      </c>
      <c r="BV336" s="751">
        <f t="shared" si="378"/>
        <v>-5.9040202062723649E-3</v>
      </c>
      <c r="BW336" s="751">
        <f t="shared" si="378"/>
        <v>-6.2622789783889996E-3</v>
      </c>
      <c r="BX336" s="751">
        <f t="shared" si="378"/>
        <v>-6.6012186865267459E-3</v>
      </c>
      <c r="BY336" s="751">
        <f t="shared" si="378"/>
        <v>-6.9223609710695752E-3</v>
      </c>
      <c r="BZ336" s="751">
        <f t="shared" si="378"/>
        <v>-7.227071760571367E-3</v>
      </c>
      <c r="CA336" s="751">
        <f t="shared" si="378"/>
        <v>-7.5165806927044998E-3</v>
      </c>
      <c r="CB336" s="751">
        <f t="shared" si="378"/>
        <v>-7.7919976992486652E-3</v>
      </c>
      <c r="CC336" s="751">
        <f t="shared" si="378"/>
        <v>-8.0543272267845877E-3</v>
      </c>
      <c r="CD336" s="751">
        <f t="shared" si="378"/>
        <v>-8.1213266813341192E-3</v>
      </c>
      <c r="CE336" s="751">
        <f t="shared" si="378"/>
        <v>-8.1858362224520014E-3</v>
      </c>
      <c r="CF336" s="751">
        <f t="shared" si="378"/>
        <v>-8.2479921177559517E-3</v>
      </c>
      <c r="CG336" s="751">
        <f t="shared" si="378"/>
        <v>-8.3079208694972276E-3</v>
      </c>
      <c r="CH336" s="751">
        <f t="shared" si="378"/>
        <v>-8.3657400739353821E-3</v>
      </c>
      <c r="CI336" s="751">
        <f t="shared" si="378"/>
        <v>-8.4215591915303215E-3</v>
      </c>
      <c r="CJ336" s="751">
        <f t="shared" si="378"/>
        <v>-8.4754802385656434E-3</v>
      </c>
      <c r="CK336" s="751">
        <f t="shared" si="378"/>
        <v>-8.5275984093976936E-3</v>
      </c>
      <c r="CL336" s="751">
        <f t="shared" si="378"/>
        <v>-8.578002637315325E-3</v>
      </c>
      <c r="CM336" s="751">
        <f t="shared" si="378"/>
        <v>-8.6267761009619706E-3</v>
      </c>
      <c r="CN336" s="751">
        <f t="shared" si="378"/>
        <v>-8.6739966823862584E-3</v>
      </c>
      <c r="CO336" s="751">
        <f t="shared" si="378"/>
        <v>-8.7197373820270836E-3</v>
      </c>
      <c r="CP336" s="751">
        <f t="shared" si="378"/>
        <v>-8.6397706970694384E-3</v>
      </c>
      <c r="CQ336" s="751">
        <f t="shared" si="378"/>
        <v>-8.5619004172313579E-3</v>
      </c>
      <c r="CR336" s="751">
        <f t="shared" si="378"/>
        <v>-8.4860451701646179E-3</v>
      </c>
      <c r="CS336" s="751">
        <f t="shared" si="378"/>
        <v>-8.4121277410395025E-3</v>
      </c>
      <c r="CT336" s="751">
        <f t="shared" si="378"/>
        <v>-8.340074810370926E-3</v>
      </c>
      <c r="CU336" s="751">
        <f t="shared" si="378"/>
        <v>-8.2698167114367872E-3</v>
      </c>
      <c r="CV336" s="751">
        <f t="shared" si="378"/>
        <v>-8.2012872056013274E-3</v>
      </c>
      <c r="CW336" s="751">
        <f t="shared" si="378"/>
        <v>-8.134423274020473E-3</v>
      </c>
      <c r="CX336" s="751">
        <f t="shared" si="378"/>
        <v>-8.0691649243522928E-3</v>
      </c>
      <c r="CY336" s="751">
        <f t="shared" si="378"/>
        <v>-8.0054550112264727E-3</v>
      </c>
      <c r="CZ336" s="751">
        <f t="shared" si="378"/>
        <v>-7.943239069343527E-3</v>
      </c>
      <c r="DA336" s="751">
        <f t="shared" si="378"/>
        <v>-7.8824651581792179E-3</v>
      </c>
      <c r="DC336" s="12">
        <f>SUM(V336:AG336)</f>
        <v>0</v>
      </c>
      <c r="DD336" s="12">
        <f>SUM(AH336:AS336)</f>
        <v>0</v>
      </c>
      <c r="DE336" s="12">
        <f>SUM(AT336:BE336)</f>
        <v>-4.5191186522206481E-2</v>
      </c>
      <c r="DF336" s="12">
        <f>SUM(BF336:BQ336)</f>
        <v>-4.5066273932253313E-2</v>
      </c>
      <c r="DG336" s="12">
        <f>SUM(BR336:CC336)</f>
        <v>-7.5862914815333859E-2</v>
      </c>
      <c r="DH336" s="12">
        <f>SUM(CD336:CO336)</f>
        <v>-0.10125196660715897</v>
      </c>
      <c r="DI336" s="12">
        <f t="shared" si="370"/>
        <v>-9.8945770190035948E-2</v>
      </c>
    </row>
    <row r="337" spans="3:113" outlineLevel="2">
      <c r="F337" s="126" t="s">
        <v>144</v>
      </c>
      <c r="H337" s="727"/>
      <c r="I337" s="609" t="s">
        <v>736</v>
      </c>
      <c r="O337" s="716"/>
      <c r="P337" s="716"/>
      <c r="Q337" s="716"/>
      <c r="R337" s="716"/>
      <c r="S337" s="716"/>
      <c r="T337" s="716"/>
      <c r="U337" s="716"/>
      <c r="V337" s="716"/>
      <c r="W337" s="716"/>
      <c r="X337" s="716"/>
      <c r="Y337" s="716"/>
      <c r="Z337" s="716"/>
      <c r="AA337" s="716"/>
      <c r="AB337" s="716"/>
      <c r="AC337" s="716"/>
      <c r="AD337" s="716"/>
      <c r="AE337" s="716"/>
      <c r="AF337" s="716"/>
      <c r="AG337" s="712"/>
      <c r="AH337" s="902"/>
      <c r="AI337" s="902"/>
      <c r="AJ337" s="902"/>
      <c r="AK337" s="902"/>
      <c r="AL337" s="902"/>
      <c r="AM337" s="902"/>
      <c r="AN337" s="716"/>
      <c r="AO337" s="710"/>
      <c r="AP337" s="710"/>
      <c r="AQ337" s="710"/>
      <c r="AR337" s="710"/>
      <c r="AS337" s="710"/>
      <c r="AT337" s="751">
        <f>AT258-AT296</f>
        <v>-8.0441894138466585E-3</v>
      </c>
      <c r="AU337" s="751">
        <f t="shared" ref="AU337:DA337" si="379">AU258-AU296</f>
        <v>-1.5646187545634738E-2</v>
      </c>
      <c r="AV337" s="751">
        <f t="shared" si="379"/>
        <v>-2.2841480127912317E-2</v>
      </c>
      <c r="AW337" s="751">
        <f t="shared" si="379"/>
        <v>-2.9661854854656888E-2</v>
      </c>
      <c r="AX337" s="751">
        <f t="shared" si="379"/>
        <v>-3.6135870874488218E-2</v>
      </c>
      <c r="AY337" s="751">
        <f t="shared" si="379"/>
        <v>-4.2289258528333762E-2</v>
      </c>
      <c r="AZ337" s="751">
        <f t="shared" si="379"/>
        <v>-4.8145261130725814E-2</v>
      </c>
      <c r="BA337" s="751">
        <f t="shared" si="379"/>
        <v>-5.3724928366762237E-2</v>
      </c>
      <c r="BB337" s="751">
        <f t="shared" si="379"/>
        <v>-5.9047369111665193E-2</v>
      </c>
      <c r="BC337" s="751">
        <f t="shared" si="379"/>
        <v>-6.412997007268062E-2</v>
      </c>
      <c r="BD337" s="751">
        <f t="shared" si="379"/>
        <v>-6.8988585524940471E-2</v>
      </c>
      <c r="BE337" s="751">
        <f t="shared" si="379"/>
        <v>-7.3637702503681957E-2</v>
      </c>
      <c r="BF337" s="751">
        <f t="shared" si="379"/>
        <v>-0.11045655375552277</v>
      </c>
      <c r="BG337" s="751">
        <f t="shared" si="379"/>
        <v>-0.11045655375552277</v>
      </c>
      <c r="BH337" s="751">
        <f t="shared" si="379"/>
        <v>-0.11045655375552277</v>
      </c>
      <c r="BI337" s="751">
        <f t="shared" si="379"/>
        <v>-0.11045655375552277</v>
      </c>
      <c r="BJ337" s="751">
        <f t="shared" si="379"/>
        <v>-0.11045655375552277</v>
      </c>
      <c r="BK337" s="751">
        <f t="shared" si="379"/>
        <v>-0.11045655375552277</v>
      </c>
      <c r="BL337" s="751">
        <f t="shared" si="379"/>
        <v>-0.11045655375552277</v>
      </c>
      <c r="BM337" s="751">
        <f t="shared" si="379"/>
        <v>-0.11045655375552277</v>
      </c>
      <c r="BN337" s="751">
        <f t="shared" si="379"/>
        <v>-0.11045655375552277</v>
      </c>
      <c r="BO337" s="751">
        <f t="shared" si="379"/>
        <v>-0.11045655375552277</v>
      </c>
      <c r="BP337" s="751">
        <f t="shared" si="379"/>
        <v>-0.11045655375552277</v>
      </c>
      <c r="BQ337" s="751">
        <f t="shared" si="379"/>
        <v>-0.11045655375552277</v>
      </c>
      <c r="BR337" s="751">
        <f t="shared" si="379"/>
        <v>-0.16213712168004957</v>
      </c>
      <c r="BS337" s="751">
        <f t="shared" si="379"/>
        <v>-0.17952494936475794</v>
      </c>
      <c r="BT337" s="751">
        <f t="shared" si="379"/>
        <v>-0.19586179188429087</v>
      </c>
      <c r="BU337" s="751">
        <f t="shared" si="379"/>
        <v>-0.21124014212670073</v>
      </c>
      <c r="BV337" s="751">
        <f t="shared" si="379"/>
        <v>-0.22574194906335499</v>
      </c>
      <c r="BW337" s="751">
        <f t="shared" si="379"/>
        <v>-0.23944007858546179</v>
      </c>
      <c r="BX337" s="751">
        <f t="shared" si="379"/>
        <v>-0.25239953801425807</v>
      </c>
      <c r="BY337" s="751">
        <f t="shared" si="379"/>
        <v>-0.26467850771736612</v>
      </c>
      <c r="BZ337" s="751">
        <f t="shared" si="379"/>
        <v>-0.27632921437478752</v>
      </c>
      <c r="CA337" s="751">
        <f t="shared" si="379"/>
        <v>-0.2873986735445837</v>
      </c>
      <c r="CB337" s="751">
        <f t="shared" si="379"/>
        <v>-0.29792932379480197</v>
      </c>
      <c r="CC337" s="751">
        <f t="shared" si="379"/>
        <v>-0.30795957043588129</v>
      </c>
      <c r="CD337" s="751">
        <f t="shared" si="379"/>
        <v>-0.37262557714356537</v>
      </c>
      <c r="CE337" s="751">
        <f t="shared" si="379"/>
        <v>-0.37558542667720962</v>
      </c>
      <c r="CF337" s="751">
        <f t="shared" si="379"/>
        <v>-0.3784372854029201</v>
      </c>
      <c r="CG337" s="751">
        <f t="shared" si="379"/>
        <v>-0.38118695754163734</v>
      </c>
      <c r="CH337" s="751">
        <f t="shared" si="379"/>
        <v>-0.38383983868644678</v>
      </c>
      <c r="CI337" s="751">
        <f t="shared" si="379"/>
        <v>-0.38640095114080308</v>
      </c>
      <c r="CJ337" s="751">
        <f t="shared" si="379"/>
        <v>-0.38887497565183526</v>
      </c>
      <c r="CK337" s="751">
        <f t="shared" si="379"/>
        <v>-0.39126627996059993</v>
      </c>
      <c r="CL337" s="751">
        <f t="shared" si="379"/>
        <v>-0.39357894453564457</v>
      </c>
      <c r="CM337" s="751">
        <f t="shared" si="379"/>
        <v>-0.3958167858088435</v>
      </c>
      <c r="CN337" s="751">
        <f t="shared" si="379"/>
        <v>-0.39798337719184018</v>
      </c>
      <c r="CO337" s="751">
        <f t="shared" si="379"/>
        <v>-0.40008206811653668</v>
      </c>
      <c r="CP337" s="751">
        <f t="shared" si="379"/>
        <v>-0.43605430929915157</v>
      </c>
      <c r="CQ337" s="751">
        <f t="shared" si="379"/>
        <v>-0.43212415046967667</v>
      </c>
      <c r="CR337" s="751">
        <f t="shared" si="379"/>
        <v>-0.42829569152948488</v>
      </c>
      <c r="CS337" s="751">
        <f t="shared" si="379"/>
        <v>-0.42456503540069956</v>
      </c>
      <c r="CT337" s="751">
        <f t="shared" si="379"/>
        <v>-0.42092848160577989</v>
      </c>
      <c r="CU337" s="751">
        <f t="shared" si="379"/>
        <v>-0.41738251402428039</v>
      </c>
      <c r="CV337" s="751">
        <f t="shared" si="379"/>
        <v>-0.41392378955329057</v>
      </c>
      <c r="CW337" s="751">
        <f t="shared" si="379"/>
        <v>-0.41054912759468043</v>
      </c>
      <c r="CX337" s="751">
        <f t="shared" si="379"/>
        <v>-0.40725550029966295</v>
      </c>
      <c r="CY337" s="751">
        <f t="shared" si="379"/>
        <v>-0.40404002350778323</v>
      </c>
      <c r="CZ337" s="751">
        <f t="shared" si="379"/>
        <v>-0.4008999483233382</v>
      </c>
      <c r="DA337" s="751">
        <f t="shared" si="379"/>
        <v>-0.39783265327751582</v>
      </c>
      <c r="DC337" s="12">
        <f>SUM(V337:AG337)</f>
        <v>0</v>
      </c>
      <c r="DD337" s="12">
        <f>SUM(AH337:AS337)</f>
        <v>0</v>
      </c>
      <c r="DE337" s="12">
        <f>SUM(AT337:BE337)</f>
        <v>-0.52229265805532887</v>
      </c>
      <c r="DF337" s="12">
        <f>SUM(BF337:BQ337)</f>
        <v>-1.3254786450662732</v>
      </c>
      <c r="DG337" s="12">
        <f>SUM(BR337:CC337)</f>
        <v>-2.9006408605862948</v>
      </c>
      <c r="DH337" s="12">
        <f>SUM(CD337:CO337)</f>
        <v>-4.6456784678578824</v>
      </c>
      <c r="DI337" s="12">
        <f t="shared" si="370"/>
        <v>-4.9938512248853444</v>
      </c>
    </row>
    <row r="338" spans="3:113" outlineLevel="2">
      <c r="F338" s="698" t="s">
        <v>808</v>
      </c>
      <c r="I338" s="609" t="s">
        <v>736</v>
      </c>
      <c r="O338" s="716"/>
      <c r="P338" s="716"/>
      <c r="Q338" s="716"/>
      <c r="R338" s="716"/>
      <c r="S338" s="716"/>
      <c r="T338" s="716"/>
      <c r="U338" s="716"/>
      <c r="V338" s="716"/>
      <c r="W338" s="716"/>
      <c r="X338" s="716"/>
      <c r="Y338" s="716"/>
      <c r="Z338" s="712"/>
      <c r="AA338" s="712"/>
      <c r="AB338" s="712"/>
      <c r="AC338" s="712"/>
      <c r="AD338" s="712"/>
      <c r="AE338" s="712"/>
      <c r="AF338" s="712"/>
      <c r="AG338" s="712"/>
      <c r="AH338" s="902"/>
      <c r="AI338" s="902"/>
      <c r="AJ338" s="902"/>
      <c r="AK338" s="902"/>
      <c r="AL338" s="902"/>
      <c r="AM338" s="902"/>
      <c r="AN338" s="716"/>
      <c r="AO338" s="714"/>
      <c r="AP338" s="714"/>
      <c r="AQ338" s="714"/>
      <c r="AR338" s="714"/>
      <c r="AS338" s="714"/>
      <c r="AT338" s="714">
        <v>-6.4031249999999998E-2</v>
      </c>
      <c r="AU338" s="714">
        <v>-0.11454545454545455</v>
      </c>
      <c r="AV338" s="714">
        <v>-0.17731770299395394</v>
      </c>
      <c r="AW338" s="714">
        <v>-0.23858493956511134</v>
      </c>
      <c r="AX338" s="714">
        <v>-0.26210357874264606</v>
      </c>
      <c r="AY338" s="714">
        <v>-0.28746367486496038</v>
      </c>
      <c r="AZ338" s="714">
        <v>-0.31609759638577045</v>
      </c>
      <c r="BA338" s="714">
        <v>-0.34761676486041121</v>
      </c>
      <c r="BB338" s="714">
        <v>-0.38238591856219151</v>
      </c>
      <c r="BC338" s="714">
        <v>-0.42042770684773106</v>
      </c>
      <c r="BD338" s="714">
        <v>-0.46205660252748482</v>
      </c>
      <c r="BE338" s="714">
        <v>-0.50605371777429775</v>
      </c>
      <c r="BF338" s="714">
        <v>-0.57139388139863234</v>
      </c>
      <c r="BG338" s="714">
        <v>-0.58339266717294458</v>
      </c>
      <c r="BH338" s="714">
        <v>-0.57178941031955965</v>
      </c>
      <c r="BI338" s="714">
        <v>-0.5497134215902445</v>
      </c>
      <c r="BJ338" s="714">
        <v>-0.5188114205078912</v>
      </c>
      <c r="BK338" s="714">
        <v>-0.52011311713087949</v>
      </c>
      <c r="BL338" s="714">
        <v>-0.52235033876848802</v>
      </c>
      <c r="BM338" s="714">
        <v>-0.5240666190879526</v>
      </c>
      <c r="BN338" s="714">
        <v>-0.52596996631348769</v>
      </c>
      <c r="BO338" s="714">
        <v>-0.52782944448268332</v>
      </c>
      <c r="BP338" s="714">
        <v>-0.53002678844054563</v>
      </c>
      <c r="BQ338" s="714">
        <v>-0.5316879823813967</v>
      </c>
      <c r="BR338" s="714">
        <v>-0.65263737620360152</v>
      </c>
      <c r="BS338" s="714">
        <v>-0.79300154129432898</v>
      </c>
      <c r="BT338" s="714">
        <v>-0.93283162890111093</v>
      </c>
      <c r="BU338" s="714">
        <v>-1.0704489541925459</v>
      </c>
      <c r="BV338" s="714">
        <v>-1.1530723942674768</v>
      </c>
      <c r="BW338" s="714">
        <v>-1.233537483495174</v>
      </c>
      <c r="BX338" s="714">
        <v>-1.31450175322513</v>
      </c>
      <c r="BY338" s="714">
        <v>-1.3957034731615618</v>
      </c>
      <c r="BZ338" s="714">
        <v>-1.4780720587421821</v>
      </c>
      <c r="CA338" s="714">
        <v>-1.561959899120825</v>
      </c>
      <c r="CB338" s="714">
        <v>-1.6480827127080853</v>
      </c>
      <c r="CC338" s="714">
        <v>-1.7363373509763369</v>
      </c>
      <c r="CD338" s="714">
        <v>-1.7665478801012815</v>
      </c>
      <c r="CE338" s="714">
        <v>-1.78570651051511</v>
      </c>
      <c r="CF338" s="714">
        <v>-1.8049078966699947</v>
      </c>
      <c r="CG338" s="714">
        <v>-1.8250104520780916</v>
      </c>
      <c r="CH338" s="714">
        <v>-1.8723839617212317</v>
      </c>
      <c r="CI338" s="714">
        <v>-1.9206507072644783</v>
      </c>
      <c r="CJ338" s="714">
        <v>-1.9685396899497452</v>
      </c>
      <c r="CK338" s="714">
        <v>-2.0162775403361075</v>
      </c>
      <c r="CL338" s="714">
        <v>-2.0634677328357287</v>
      </c>
      <c r="CM338" s="714">
        <v>-2.1099466211337714</v>
      </c>
      <c r="CN338" s="714">
        <v>-2.155343201607073</v>
      </c>
      <c r="CO338" s="714">
        <v>-2.1996971765402309</v>
      </c>
      <c r="CP338" s="714">
        <v>-2.1947706788867349</v>
      </c>
      <c r="CQ338" s="714">
        <v>-2.1816564459907277</v>
      </c>
      <c r="CR338" s="714">
        <v>-2.1691321372311139</v>
      </c>
      <c r="CS338" s="714">
        <v>-2.1577937474837343</v>
      </c>
      <c r="CT338" s="714">
        <v>-2.1686949532698461</v>
      </c>
      <c r="CU338" s="714">
        <v>-2.1806547997914891</v>
      </c>
      <c r="CV338" s="714">
        <v>-2.1925628481272801</v>
      </c>
      <c r="CW338" s="714">
        <v>-2.2044752052079559</v>
      </c>
      <c r="CX338" s="714">
        <v>-2.2159584427498698</v>
      </c>
      <c r="CY338" s="714">
        <v>-2.2267663372904898</v>
      </c>
      <c r="CZ338" s="714">
        <v>-2.2366256194992693</v>
      </c>
      <c r="DA338" s="714">
        <v>-2.2455943119158315</v>
      </c>
      <c r="DC338" s="12">
        <f t="shared" si="363"/>
        <v>0</v>
      </c>
      <c r="DD338" s="12">
        <f t="shared" si="374"/>
        <v>0</v>
      </c>
      <c r="DE338" s="12">
        <f t="shared" si="375"/>
        <v>-3.5786849076700129</v>
      </c>
      <c r="DF338" s="12">
        <f t="shared" si="377"/>
        <v>-6.4771450575947052</v>
      </c>
      <c r="DG338" s="12">
        <f t="shared" si="367"/>
        <v>-14.97018662628836</v>
      </c>
      <c r="DH338" s="12">
        <f t="shared" si="368"/>
        <v>-23.488479370752845</v>
      </c>
      <c r="DI338" s="12">
        <f t="shared" si="370"/>
        <v>-26.374685527444338</v>
      </c>
    </row>
    <row r="339" spans="3:113" outlineLevel="2">
      <c r="F339" s="698"/>
      <c r="G339" s="126" t="s">
        <v>834</v>
      </c>
      <c r="H339" s="703"/>
      <c r="I339" s="609" t="s">
        <v>736</v>
      </c>
      <c r="O339" s="716"/>
      <c r="P339" s="716"/>
      <c r="Q339" s="716"/>
      <c r="R339" s="716"/>
      <c r="S339" s="716"/>
      <c r="T339" s="716"/>
      <c r="U339" s="716"/>
      <c r="V339" s="716"/>
      <c r="W339" s="716"/>
      <c r="X339" s="716"/>
      <c r="Y339" s="716"/>
      <c r="Z339" s="712"/>
      <c r="AA339" s="712"/>
      <c r="AB339" s="712"/>
      <c r="AC339" s="712"/>
      <c r="AD339" s="712"/>
      <c r="AE339" s="712"/>
      <c r="AF339" s="712"/>
      <c r="AG339" s="712"/>
      <c r="AH339" s="902"/>
      <c r="AI339" s="902"/>
      <c r="AJ339" s="902"/>
      <c r="AK339" s="902"/>
      <c r="AL339" s="902"/>
      <c r="AM339" s="902"/>
      <c r="AN339" s="902"/>
      <c r="AO339" s="756"/>
      <c r="AP339" s="756"/>
      <c r="AQ339" s="756"/>
      <c r="AR339" s="756"/>
      <c r="AS339" s="756"/>
      <c r="AT339" s="756">
        <v>0</v>
      </c>
      <c r="AU339" s="756">
        <v>0</v>
      </c>
      <c r="AV339" s="756">
        <v>0</v>
      </c>
      <c r="AW339" s="756">
        <v>0</v>
      </c>
      <c r="AX339" s="756">
        <v>-0.12155861454545454</v>
      </c>
      <c r="AY339" s="756">
        <v>-0.23684305169752065</v>
      </c>
      <c r="AZ339" s="756">
        <v>-0.33798215052652503</v>
      </c>
      <c r="BA339" s="756">
        <v>-0.42647397042592455</v>
      </c>
      <c r="BB339" s="756">
        <v>-0.5038655343923184</v>
      </c>
      <c r="BC339" s="756">
        <v>-0.57140049140974991</v>
      </c>
      <c r="BD339" s="756">
        <v>-0.62994646663083653</v>
      </c>
      <c r="BE339" s="756">
        <v>-0.68025580821637532</v>
      </c>
      <c r="BF339" s="756">
        <v>-0.72298840050410085</v>
      </c>
      <c r="BG339" s="756">
        <v>-0.71630818125059714</v>
      </c>
      <c r="BH339" s="756">
        <v>-0.74288591811937865</v>
      </c>
      <c r="BI339" s="756">
        <v>-0.80531816116004273</v>
      </c>
      <c r="BJ339" s="756">
        <v>-0.90117495878560028</v>
      </c>
      <c r="BK339" s="756">
        <v>-0.89224775401480561</v>
      </c>
      <c r="BL339" s="756">
        <v>-0.87867722154507144</v>
      </c>
      <c r="BM339" s="756">
        <v>-0.86841956505204099</v>
      </c>
      <c r="BN339" s="756">
        <v>-0.86085615320127451</v>
      </c>
      <c r="BO339" s="756">
        <v>-0.85541921695777245</v>
      </c>
      <c r="BP339" s="756">
        <v>-0.84994777258994014</v>
      </c>
      <c r="BQ339" s="756">
        <v>-0.84570822735792206</v>
      </c>
      <c r="BR339" s="756">
        <v>-0.84409958464584156</v>
      </c>
      <c r="BS339" s="756">
        <v>-0.84635399693671787</v>
      </c>
      <c r="BT339" s="756">
        <v>-0.8482238529695203</v>
      </c>
      <c r="BU339" s="756">
        <v>-0.84944744674810735</v>
      </c>
      <c r="BV339" s="756">
        <v>-1.0262470753719857</v>
      </c>
      <c r="BW339" s="756">
        <v>-1.2079942467728182</v>
      </c>
      <c r="BX339" s="756">
        <v>-1.3813376685814946</v>
      </c>
      <c r="BY339" s="756">
        <v>-1.5470422954015286</v>
      </c>
      <c r="BZ339" s="756">
        <v>-1.7057925589168252</v>
      </c>
      <c r="CA339" s="756">
        <v>-1.8581950495662016</v>
      </c>
      <c r="CB339" s="756">
        <v>-2.0046605226327285</v>
      </c>
      <c r="CC339" s="756">
        <v>-2.1454074337039835</v>
      </c>
      <c r="CD339" s="756">
        <v>-2.2806340316416422</v>
      </c>
      <c r="CE339" s="756">
        <v>-2.4174437568699463</v>
      </c>
      <c r="CF339" s="756">
        <v>-2.5561028463771009</v>
      </c>
      <c r="CG339" s="756">
        <v>-2.6961666736360734</v>
      </c>
      <c r="CH339" s="756">
        <v>-2.7492283460667162</v>
      </c>
      <c r="CI339" s="756">
        <v>-2.8003459466063236</v>
      </c>
      <c r="CJ339" s="756">
        <v>-2.8559679040305999</v>
      </c>
      <c r="CK339" s="756">
        <v>-2.9154649096736502</v>
      </c>
      <c r="CL339" s="756">
        <v>-2.9782901067534104</v>
      </c>
      <c r="CM339" s="756">
        <v>-3.0439796377465451</v>
      </c>
      <c r="CN339" s="756">
        <v>-3.1124772116429873</v>
      </c>
      <c r="CO339" s="756">
        <v>-3.1837495642059346</v>
      </c>
      <c r="CP339" s="756">
        <v>-3.2577443800064207</v>
      </c>
      <c r="CQ339" s="756">
        <v>-3.3309424290071923</v>
      </c>
      <c r="CR339" s="756">
        <v>-3.4032315341629524</v>
      </c>
      <c r="CS339" s="756">
        <v>-3.4748452553700981</v>
      </c>
      <c r="CT339" s="756">
        <v>-3.4755566313162563</v>
      </c>
      <c r="CU339" s="756">
        <v>-3.4738280793566401</v>
      </c>
      <c r="CV339" s="756">
        <v>-3.4751676563337699</v>
      </c>
      <c r="CW339" s="756">
        <v>-3.4793914272986983</v>
      </c>
      <c r="CX339" s="756">
        <v>-3.4863609435039167</v>
      </c>
      <c r="CY339" s="756">
        <v>-3.4959842047910996</v>
      </c>
      <c r="CZ339" s="756">
        <v>-3.5081233031597154</v>
      </c>
      <c r="DA339" s="756">
        <v>-3.5226427022636129</v>
      </c>
      <c r="DC339" s="12">
        <f t="shared" si="363"/>
        <v>0</v>
      </c>
      <c r="DD339" s="12">
        <f t="shared" si="374"/>
        <v>0</v>
      </c>
      <c r="DE339" s="12">
        <f t="shared" si="375"/>
        <v>-3.5083260878447051</v>
      </c>
      <c r="DF339" s="12">
        <f t="shared" si="377"/>
        <v>-9.9399515305385489</v>
      </c>
      <c r="DG339" s="12">
        <f t="shared" si="367"/>
        <v>-16.264801732247754</v>
      </c>
      <c r="DH339" s="12">
        <f t="shared" si="368"/>
        <v>-33.589850935250922</v>
      </c>
      <c r="DI339" s="12">
        <f t="shared" si="370"/>
        <v>-41.383818546570367</v>
      </c>
    </row>
    <row r="340" spans="3:113" outlineLevel="2">
      <c r="F340" s="698"/>
      <c r="G340" s="126" t="s">
        <v>828</v>
      </c>
      <c r="H340" s="703"/>
      <c r="I340" s="609" t="s">
        <v>736</v>
      </c>
      <c r="O340" s="716"/>
      <c r="P340" s="716"/>
      <c r="Q340" s="716"/>
      <c r="R340" s="716"/>
      <c r="S340" s="716"/>
      <c r="T340" s="716"/>
      <c r="U340" s="716"/>
      <c r="V340" s="716"/>
      <c r="W340" s="716"/>
      <c r="X340" s="716"/>
      <c r="Y340" s="716"/>
      <c r="Z340" s="712"/>
      <c r="AA340" s="712"/>
      <c r="AB340" s="712"/>
      <c r="AC340" s="712"/>
      <c r="AD340" s="712"/>
      <c r="AE340" s="712"/>
      <c r="AF340" s="712"/>
      <c r="AG340" s="712"/>
      <c r="AH340" s="932"/>
      <c r="AI340" s="932"/>
      <c r="AJ340" s="932"/>
      <c r="AK340" s="932"/>
      <c r="AL340" s="932"/>
      <c r="AM340" s="932"/>
      <c r="AN340" s="945"/>
      <c r="AO340" s="756"/>
      <c r="AP340" s="756"/>
      <c r="AQ340" s="756"/>
      <c r="AR340" s="756"/>
      <c r="AS340" s="756"/>
      <c r="AT340" s="756">
        <v>0</v>
      </c>
      <c r="AU340" s="756">
        <v>0</v>
      </c>
      <c r="AV340" s="756">
        <v>0</v>
      </c>
      <c r="AW340" s="756">
        <v>0</v>
      </c>
      <c r="AX340" s="756">
        <v>0</v>
      </c>
      <c r="AY340" s="756">
        <v>3.4036412072727257E-3</v>
      </c>
      <c r="AZ340" s="756">
        <v>6.631605447530553E-3</v>
      </c>
      <c r="BA340" s="756">
        <v>9.4635002147426261E-3</v>
      </c>
      <c r="BB340" s="756">
        <v>1.1941271171926005E-2</v>
      </c>
      <c r="BC340" s="756">
        <v>1.4108234962984856E-2</v>
      </c>
      <c r="BD340" s="756">
        <v>1.5999213759473108E-2</v>
      </c>
      <c r="BE340" s="756">
        <v>1.7638501065663448E-2</v>
      </c>
      <c r="BF340" s="756">
        <v>1.9047162630058789E-2</v>
      </c>
      <c r="BG340" s="756">
        <v>2.024367521411552E-2</v>
      </c>
      <c r="BH340" s="756">
        <v>2.0056629075016374E-2</v>
      </c>
      <c r="BI340" s="756">
        <v>2.0800805707342995E-2</v>
      </c>
      <c r="BJ340" s="756">
        <v>2.2548908512481702E-2</v>
      </c>
      <c r="BK340" s="756">
        <v>2.5232898845997553E-2</v>
      </c>
      <c r="BL340" s="756">
        <v>2.4982937112414838E-2</v>
      </c>
      <c r="BM340" s="756">
        <v>2.4602962203262635E-2</v>
      </c>
      <c r="BN340" s="756">
        <v>2.4315747821457734E-2</v>
      </c>
      <c r="BO340" s="756">
        <v>2.4103972289635678E-2</v>
      </c>
      <c r="BP340" s="756">
        <v>2.3951738074817541E-2</v>
      </c>
      <c r="BQ340" s="756">
        <v>2.3798537632518268E-2</v>
      </c>
      <c r="BR340" s="756">
        <v>2.3679830366021726E-2</v>
      </c>
      <c r="BS340" s="756">
        <v>2.3634788370083371E-2</v>
      </c>
      <c r="BT340" s="756">
        <v>2.3697911914227987E-2</v>
      </c>
      <c r="BU340" s="756">
        <v>2.3750267883146492E-2</v>
      </c>
      <c r="BV340" s="756">
        <v>2.3784528508945968E-2</v>
      </c>
      <c r="BW340" s="756">
        <v>2.8734918110415286E-2</v>
      </c>
      <c r="BX340" s="756">
        <v>3.382383890963947E-2</v>
      </c>
      <c r="BY340" s="756">
        <v>3.8677454720282611E-2</v>
      </c>
      <c r="BZ340" s="756">
        <v>4.3317184271241871E-2</v>
      </c>
      <c r="CA340" s="756">
        <v>4.7762191649670882E-2</v>
      </c>
      <c r="CB340" s="756">
        <v>5.202946138785336E-2</v>
      </c>
      <c r="CC340" s="756">
        <v>5.6130494633716665E-2</v>
      </c>
      <c r="CD340" s="756">
        <v>6.0071408143709704E-2</v>
      </c>
      <c r="CE340" s="756">
        <v>6.3857752885969177E-2</v>
      </c>
      <c r="CF340" s="756">
        <v>6.7688425192358181E-2</v>
      </c>
      <c r="CG340" s="756">
        <v>7.1570879698558798E-2</v>
      </c>
      <c r="CH340" s="756">
        <v>7.5492666861808999E-2</v>
      </c>
      <c r="CI340" s="756">
        <v>7.697839368986692E-2</v>
      </c>
      <c r="CJ340" s="756">
        <v>7.840968650497615E-2</v>
      </c>
      <c r="CK340" s="756">
        <v>7.9967101312860223E-2</v>
      </c>
      <c r="CL340" s="756">
        <v>8.1633017470863933E-2</v>
      </c>
      <c r="CM340" s="756">
        <v>8.3392122989096151E-2</v>
      </c>
      <c r="CN340" s="756">
        <v>8.5231429856904128E-2</v>
      </c>
      <c r="CO340" s="756">
        <v>8.7149361926005753E-2</v>
      </c>
      <c r="CP340" s="756">
        <v>8.9144987797766362E-2</v>
      </c>
      <c r="CQ340" s="756">
        <v>9.1216842640182705E-2</v>
      </c>
      <c r="CR340" s="756">
        <v>9.3266388012203549E-2</v>
      </c>
      <c r="CS340" s="756">
        <v>9.5290482956563949E-2</v>
      </c>
      <c r="CT340" s="756">
        <v>9.7295667150362419E-2</v>
      </c>
      <c r="CU340" s="756">
        <v>9.7315585676852834E-2</v>
      </c>
      <c r="CV340" s="756">
        <v>9.7267186221984048E-2</v>
      </c>
      <c r="CW340" s="756">
        <v>9.7304694377349676E-2</v>
      </c>
      <c r="CX340" s="756">
        <v>9.7422959964362121E-2</v>
      </c>
      <c r="CY340" s="756">
        <v>9.7618106418110528E-2</v>
      </c>
      <c r="CZ340" s="756">
        <v>9.7887557734154029E-2</v>
      </c>
      <c r="DA340" s="756">
        <v>9.8227452488472977E-2</v>
      </c>
      <c r="DC340" s="12">
        <f t="shared" si="363"/>
        <v>0</v>
      </c>
      <c r="DD340" s="12">
        <f t="shared" si="374"/>
        <v>0</v>
      </c>
      <c r="DE340" s="12">
        <f t="shared" si="375"/>
        <v>7.9185967829593321E-2</v>
      </c>
      <c r="DF340" s="12">
        <f t="shared" si="377"/>
        <v>0.27368597511911963</v>
      </c>
      <c r="DG340" s="12">
        <f t="shared" si="367"/>
        <v>0.41902287072524569</v>
      </c>
      <c r="DH340" s="12">
        <f t="shared" si="368"/>
        <v>0.91144224653297812</v>
      </c>
      <c r="DI340" s="12">
        <f t="shared" si="370"/>
        <v>1.1492579114383652</v>
      </c>
    </row>
    <row r="341" spans="3:113" outlineLevel="2">
      <c r="E341" s="698" t="s">
        <v>820</v>
      </c>
      <c r="I341" s="609" t="s">
        <v>736</v>
      </c>
      <c r="O341" s="706"/>
      <c r="P341" s="706"/>
      <c r="Q341" s="706"/>
      <c r="R341" s="706"/>
      <c r="S341" s="706"/>
      <c r="T341" s="706"/>
      <c r="U341" s="706"/>
      <c r="V341" s="706"/>
      <c r="W341" s="706"/>
      <c r="X341" s="706"/>
      <c r="Y341" s="706"/>
      <c r="Z341" s="706"/>
      <c r="AA341" s="706"/>
      <c r="AB341" s="706"/>
      <c r="AC341" s="706"/>
      <c r="AD341" s="706"/>
      <c r="AE341" s="706"/>
      <c r="AF341" s="706"/>
      <c r="AG341" s="706"/>
      <c r="AH341" s="707"/>
      <c r="AI341" s="707"/>
      <c r="AJ341" s="707"/>
      <c r="AK341" s="707"/>
      <c r="AL341" s="707"/>
      <c r="AM341" s="707"/>
      <c r="AN341" s="706"/>
      <c r="AO341" s="696"/>
      <c r="AP341" s="696"/>
      <c r="AQ341" s="696"/>
      <c r="AR341" s="696"/>
      <c r="AS341" s="696"/>
      <c r="AT341" s="696">
        <f t="shared" ref="AT341:DA341" si="380">AT316+AT328+AT329</f>
        <v>0.10259796252971889</v>
      </c>
      <c r="AU341" s="696">
        <f t="shared" si="380"/>
        <v>0.17878049241436478</v>
      </c>
      <c r="AV341" s="696">
        <f t="shared" si="380"/>
        <v>0.28847873005001223</v>
      </c>
      <c r="AW341" s="696">
        <f t="shared" si="380"/>
        <v>0.39651794081891589</v>
      </c>
      <c r="AX341" s="696">
        <f t="shared" si="380"/>
        <v>0.51848641509678117</v>
      </c>
      <c r="AY341" s="696">
        <f t="shared" si="380"/>
        <v>0.64292555007202423</v>
      </c>
      <c r="AZ341" s="696">
        <f t="shared" si="380"/>
        <v>0.76591853737283477</v>
      </c>
      <c r="BA341" s="696">
        <f t="shared" si="380"/>
        <v>0.8404218604559246</v>
      </c>
      <c r="BB341" s="696">
        <f t="shared" si="380"/>
        <v>0.84949847331326334</v>
      </c>
      <c r="BC341" s="696">
        <f t="shared" si="380"/>
        <v>0.86618983997022614</v>
      </c>
      <c r="BD341" s="696">
        <f t="shared" si="380"/>
        <v>0.89623719950699376</v>
      </c>
      <c r="BE341" s="696">
        <f t="shared" si="380"/>
        <v>0.9572726760153899</v>
      </c>
      <c r="BF341" s="696">
        <f t="shared" si="380"/>
        <v>1.0339161085577249</v>
      </c>
      <c r="BG341" s="696">
        <f t="shared" si="380"/>
        <v>1.0120748295493587</v>
      </c>
      <c r="BH341" s="696">
        <f t="shared" si="380"/>
        <v>0.962872445892892</v>
      </c>
      <c r="BI341" s="696">
        <f t="shared" si="380"/>
        <v>0.92179895927082878</v>
      </c>
      <c r="BJ341" s="696">
        <f t="shared" si="380"/>
        <v>0.90672377205499244</v>
      </c>
      <c r="BK341" s="696">
        <f t="shared" si="380"/>
        <v>0.89504350046124892</v>
      </c>
      <c r="BL341" s="696">
        <f t="shared" si="380"/>
        <v>0.87391190979648448</v>
      </c>
      <c r="BM341" s="696">
        <f t="shared" si="380"/>
        <v>0.80328614156426825</v>
      </c>
      <c r="BN341" s="696">
        <f t="shared" si="380"/>
        <v>0.75160451307501053</v>
      </c>
      <c r="BO341" s="696">
        <f t="shared" si="380"/>
        <v>0.76028247128487447</v>
      </c>
      <c r="BP341" s="696">
        <f t="shared" si="380"/>
        <v>0.77167050853866725</v>
      </c>
      <c r="BQ341" s="696">
        <f t="shared" si="380"/>
        <v>0.78031436964628198</v>
      </c>
      <c r="BR341" s="696">
        <f t="shared" si="380"/>
        <v>0.96843876284132402</v>
      </c>
      <c r="BS341" s="696">
        <f t="shared" si="380"/>
        <v>1.2351295112517542</v>
      </c>
      <c r="BT341" s="696">
        <f t="shared" si="380"/>
        <v>1.5075393174653486</v>
      </c>
      <c r="BU341" s="696">
        <f t="shared" si="380"/>
        <v>1.775845036747701</v>
      </c>
      <c r="BV341" s="696">
        <f t="shared" si="380"/>
        <v>2.0601977666134328</v>
      </c>
      <c r="BW341" s="696">
        <f t="shared" si="380"/>
        <v>2.3390302020754126</v>
      </c>
      <c r="BX341" s="696">
        <f t="shared" si="380"/>
        <v>2.6134596236883127</v>
      </c>
      <c r="BY341" s="696">
        <f t="shared" si="380"/>
        <v>2.8248030053154256</v>
      </c>
      <c r="BZ341" s="696">
        <f t="shared" si="380"/>
        <v>2.9359294413828332</v>
      </c>
      <c r="CA341" s="696">
        <f t="shared" si="380"/>
        <v>3.0450917911895878</v>
      </c>
      <c r="CB341" s="696">
        <f t="shared" si="380"/>
        <v>3.1620179193405979</v>
      </c>
      <c r="CC341" s="696">
        <f t="shared" si="380"/>
        <v>3.2862498623397971</v>
      </c>
      <c r="CD341" s="696">
        <f t="shared" si="380"/>
        <v>3.2554485131335724</v>
      </c>
      <c r="CE341" s="696">
        <f t="shared" si="380"/>
        <v>3.2590222953166794</v>
      </c>
      <c r="CF341" s="696">
        <f t="shared" si="380"/>
        <v>3.2661730949188685</v>
      </c>
      <c r="CG341" s="696">
        <f t="shared" si="380"/>
        <v>3.280613968852077</v>
      </c>
      <c r="CH341" s="696">
        <f t="shared" si="380"/>
        <v>3.2888659941483804</v>
      </c>
      <c r="CI341" s="696">
        <f t="shared" si="380"/>
        <v>3.2979344364804066</v>
      </c>
      <c r="CJ341" s="696">
        <f t="shared" si="380"/>
        <v>3.3083358093465431</v>
      </c>
      <c r="CK341" s="696">
        <f t="shared" si="380"/>
        <v>3.3498108302701723</v>
      </c>
      <c r="CL341" s="696">
        <f t="shared" si="380"/>
        <v>3.4411379838755343</v>
      </c>
      <c r="CM341" s="696">
        <f t="shared" si="380"/>
        <v>3.5332816346537141</v>
      </c>
      <c r="CN341" s="696">
        <f t="shared" si="380"/>
        <v>3.6216576070856474</v>
      </c>
      <c r="CO341" s="696">
        <f t="shared" si="380"/>
        <v>3.7067094700365733</v>
      </c>
      <c r="CP341" s="696">
        <f t="shared" si="380"/>
        <v>3.6691154698893071</v>
      </c>
      <c r="CQ341" s="696">
        <f t="shared" si="380"/>
        <v>3.6422922015952208</v>
      </c>
      <c r="CR341" s="696">
        <f t="shared" si="380"/>
        <v>3.6108433679614369</v>
      </c>
      <c r="CS341" s="696">
        <f t="shared" si="380"/>
        <v>3.5782026412919796</v>
      </c>
      <c r="CT341" s="696">
        <f t="shared" si="380"/>
        <v>3.5370836096261695</v>
      </c>
      <c r="CU341" s="696">
        <f t="shared" si="380"/>
        <v>3.4984083121591394</v>
      </c>
      <c r="CV341" s="696">
        <f t="shared" si="380"/>
        <v>3.4626987682612578</v>
      </c>
      <c r="CW341" s="696">
        <f t="shared" si="380"/>
        <v>3.4532505201539463</v>
      </c>
      <c r="CX341" s="696">
        <f t="shared" si="380"/>
        <v>3.4846538873226254</v>
      </c>
      <c r="CY341" s="696">
        <f t="shared" si="380"/>
        <v>3.5172961602227577</v>
      </c>
      <c r="CZ341" s="696">
        <f t="shared" si="380"/>
        <v>3.5471869837028898</v>
      </c>
      <c r="DA341" s="696">
        <f t="shared" si="380"/>
        <v>3.5743818246301147</v>
      </c>
      <c r="DC341" s="14">
        <f t="shared" si="363"/>
        <v>0</v>
      </c>
      <c r="DD341" s="14">
        <f t="shared" si="374"/>
        <v>0</v>
      </c>
      <c r="DE341" s="14">
        <f t="shared" si="375"/>
        <v>7.3033256776164501</v>
      </c>
      <c r="DF341" s="14">
        <f t="shared" si="377"/>
        <v>10.473499529692631</v>
      </c>
      <c r="DG341" s="14">
        <f t="shared" si="367"/>
        <v>27.753732240251527</v>
      </c>
      <c r="DH341" s="14">
        <f t="shared" si="368"/>
        <v>40.608991638118162</v>
      </c>
      <c r="DI341" s="14">
        <f t="shared" si="370"/>
        <v>42.575413746816842</v>
      </c>
    </row>
    <row r="342" spans="3:113" outlineLevel="2">
      <c r="E342" s="229"/>
      <c r="F342" s="230" t="s">
        <v>423</v>
      </c>
      <c r="I342" s="609" t="s">
        <v>736</v>
      </c>
      <c r="O342" s="706"/>
      <c r="P342" s="706"/>
      <c r="Q342" s="706"/>
      <c r="R342" s="706"/>
      <c r="S342" s="706"/>
      <c r="T342" s="706"/>
      <c r="U342" s="706"/>
      <c r="V342" s="706"/>
      <c r="W342" s="706"/>
      <c r="X342" s="706"/>
      <c r="Y342" s="706"/>
      <c r="Z342" s="706"/>
      <c r="AA342" s="706"/>
      <c r="AB342" s="706"/>
      <c r="AC342" s="706"/>
      <c r="AD342" s="706"/>
      <c r="AE342" s="706"/>
      <c r="AF342" s="706"/>
      <c r="AG342" s="706"/>
      <c r="AH342" s="707"/>
      <c r="AI342" s="707"/>
      <c r="AJ342" s="707"/>
      <c r="AK342" s="707"/>
      <c r="AL342" s="707"/>
      <c r="AM342" s="707"/>
      <c r="AN342" s="706"/>
      <c r="AO342" s="696"/>
      <c r="AP342" s="696"/>
      <c r="AQ342" s="696"/>
      <c r="AR342" s="696"/>
      <c r="AS342" s="696"/>
      <c r="AT342" s="710">
        <v>0</v>
      </c>
      <c r="AU342" s="710">
        <v>0</v>
      </c>
      <c r="AV342" s="710">
        <v>0</v>
      </c>
      <c r="AW342" s="710">
        <v>0</v>
      </c>
      <c r="AX342" s="710">
        <v>0.12155861454545454</v>
      </c>
      <c r="AY342" s="710">
        <v>0.35499802503570244</v>
      </c>
      <c r="AZ342" s="710">
        <v>0.68634857011469685</v>
      </c>
      <c r="BA342" s="710">
        <v>1.1033590403258788</v>
      </c>
      <c r="BB342" s="710">
        <v>1.4771283302080893</v>
      </c>
      <c r="BC342" s="710">
        <v>1.8042091404048644</v>
      </c>
      <c r="BD342" s="710">
        <v>2.0896377429644457</v>
      </c>
      <c r="BE342" s="710">
        <v>2.3377223508611586</v>
      </c>
      <c r="BF342" s="710">
        <v>2.5519062893058675</v>
      </c>
      <c r="BG342" s="710">
        <v>2.692569517692073</v>
      </c>
      <c r="BH342" s="710">
        <v>2.8030908411712616</v>
      </c>
      <c r="BI342" s="710">
        <v>2.9263995510376453</v>
      </c>
      <c r="BJ342" s="710">
        <v>3.1022808760207785</v>
      </c>
      <c r="BK342" s="710">
        <v>3.2730441790140068</v>
      </c>
      <c r="BL342" s="710">
        <v>3.4046533510346277</v>
      </c>
      <c r="BM342" s="710">
        <v>3.4657007012358454</v>
      </c>
      <c r="BN342" s="710">
        <v>3.4262990466760588</v>
      </c>
      <c r="BO342" s="710">
        <v>3.3903494744418046</v>
      </c>
      <c r="BP342" s="710">
        <v>3.3622712496151173</v>
      </c>
      <c r="BQ342" s="710">
        <v>3.3400771221099377</v>
      </c>
      <c r="BR342" s="710">
        <v>3.3237446954781182</v>
      </c>
      <c r="BS342" s="710">
        <v>3.314996425161798</v>
      </c>
      <c r="BT342" s="710">
        <v>3.3133731312596684</v>
      </c>
      <c r="BU342" s="710">
        <v>3.3170419131327287</v>
      </c>
      <c r="BV342" s="710">
        <v>3.4990396637200094</v>
      </c>
      <c r="BW342" s="710">
        <v>3.8556429073599223</v>
      </c>
      <c r="BX342" s="710">
        <v>4.3786831519454044</v>
      </c>
      <c r="BY342" s="710">
        <v>5.0613850743874904</v>
      </c>
      <c r="BZ342" s="710">
        <v>5.7263482917715027</v>
      </c>
      <c r="CA342" s="710">
        <v>6.3626107418248541</v>
      </c>
      <c r="CB342" s="710">
        <v>6.9725815892085157</v>
      </c>
      <c r="CC342" s="710">
        <v>7.5581334171484968</v>
      </c>
      <c r="CD342" s="710">
        <v>8.1206656733792748</v>
      </c>
      <c r="CE342" s="710">
        <v>8.6680860891849072</v>
      </c>
      <c r="CF342" s="710">
        <v>9.2079704823706372</v>
      </c>
      <c r="CG342" s="710">
        <v>9.7472302507478794</v>
      </c>
      <c r="CH342" s="710">
        <v>10.204189651197108</v>
      </c>
      <c r="CI342" s="710">
        <v>10.577801872435977</v>
      </c>
      <c r="CJ342" s="710">
        <v>10.870828123283058</v>
      </c>
      <c r="CK342" s="710">
        <v>11.085651924869588</v>
      </c>
      <c r="CL342" s="710">
        <v>11.310059061775288</v>
      </c>
      <c r="CM342" s="710">
        <v>11.548710316431391</v>
      </c>
      <c r="CN342" s="710">
        <v>11.799955295499732</v>
      </c>
      <c r="CO342" s="710">
        <v>12.062723605576874</v>
      </c>
      <c r="CP342" s="710">
        <v>12.336425014021215</v>
      </c>
      <c r="CQ342" s="710">
        <v>12.617402392498585</v>
      </c>
      <c r="CR342" s="710">
        <v>12.902039688932351</v>
      </c>
      <c r="CS342" s="710">
        <v>13.18698988493772</v>
      </c>
      <c r="CT342" s="710">
        <v>13.398723311737372</v>
      </c>
      <c r="CU342" s="710">
        <v>13.537559764422166</v>
      </c>
      <c r="CV342" s="710">
        <v>13.607519183327561</v>
      </c>
      <c r="CW342" s="710">
        <v>13.612056328029178</v>
      </c>
      <c r="CX342" s="710">
        <v>13.62275326592933</v>
      </c>
      <c r="CY342" s="710">
        <v>13.644558471167667</v>
      </c>
      <c r="CZ342" s="710">
        <v>13.676931254636807</v>
      </c>
      <c r="DA342" s="710">
        <v>13.719378037077613</v>
      </c>
      <c r="DC342" s="11">
        <f>AG342</f>
        <v>0</v>
      </c>
      <c r="DD342" s="11">
        <f>AS342</f>
        <v>0</v>
      </c>
      <c r="DE342" s="11">
        <f>BE342</f>
        <v>2.3377223508611586</v>
      </c>
      <c r="DF342" s="11">
        <f>BQ342</f>
        <v>3.3400771221099377</v>
      </c>
      <c r="DG342" s="11">
        <f>CC342</f>
        <v>7.5581334171484968</v>
      </c>
      <c r="DH342" s="11">
        <f>CO342</f>
        <v>12.062723605576874</v>
      </c>
      <c r="DI342" s="12">
        <f t="shared" si="370"/>
        <v>159.86233659671757</v>
      </c>
    </row>
    <row r="343" spans="3:113" outlineLevel="2">
      <c r="E343" s="229"/>
      <c r="F343" s="230" t="s">
        <v>810</v>
      </c>
      <c r="I343" s="609" t="s">
        <v>736</v>
      </c>
      <c r="O343" s="706"/>
      <c r="P343" s="706"/>
      <c r="Q343" s="706"/>
      <c r="R343" s="706"/>
      <c r="S343" s="706"/>
      <c r="T343" s="706"/>
      <c r="U343" s="706"/>
      <c r="V343" s="706"/>
      <c r="W343" s="706"/>
      <c r="X343" s="706"/>
      <c r="Y343" s="706"/>
      <c r="Z343" s="706"/>
      <c r="AA343" s="706"/>
      <c r="AB343" s="706"/>
      <c r="AC343" s="706"/>
      <c r="AD343" s="706"/>
      <c r="AE343" s="706"/>
      <c r="AF343" s="706"/>
      <c r="AG343" s="706"/>
      <c r="AH343" s="707"/>
      <c r="AI343" s="707"/>
      <c r="AJ343" s="707"/>
      <c r="AK343" s="707"/>
      <c r="AL343" s="707"/>
      <c r="AM343" s="707"/>
      <c r="AN343" s="706"/>
      <c r="AO343" s="696"/>
      <c r="AP343" s="696"/>
      <c r="AQ343" s="696"/>
      <c r="AR343" s="696"/>
      <c r="AS343" s="696"/>
      <c r="AT343" s="710">
        <v>0</v>
      </c>
      <c r="AU343" s="710">
        <v>0.17301136363636363</v>
      </c>
      <c r="AV343" s="710">
        <v>0.46858148243801656</v>
      </c>
      <c r="AW343" s="710">
        <v>0.86346127295031927</v>
      </c>
      <c r="AX343" s="710">
        <v>1.3400830187974533</v>
      </c>
      <c r="AY343" s="710">
        <v>1.8844175919674595</v>
      </c>
      <c r="AZ343" s="710">
        <v>2.4874944011290401</v>
      </c>
      <c r="BA343" s="710">
        <v>3.1412488099301887</v>
      </c>
      <c r="BB343" s="710">
        <v>3.7200804440968143</v>
      </c>
      <c r="BC343" s="710">
        <v>4.2231959688501073</v>
      </c>
      <c r="BD343" s="710">
        <v>4.6655493821368816</v>
      </c>
      <c r="BE343" s="710">
        <v>5.0578242306313133</v>
      </c>
      <c r="BF343" s="710">
        <v>5.3917826357444349</v>
      </c>
      <c r="BG343" s="710">
        <v>5.7795455176708641</v>
      </c>
      <c r="BH343" s="710">
        <v>6.051763941262851</v>
      </c>
      <c r="BI343" s="710">
        <v>6.2434352561819946</v>
      </c>
      <c r="BJ343" s="710">
        <v>6.3786082713837846</v>
      </c>
      <c r="BK343" s="710">
        <v>6.5118087673501917</v>
      </c>
      <c r="BL343" s="710">
        <v>6.6156752936812273</v>
      </c>
      <c r="BM343" s="710">
        <v>6.6541782039767083</v>
      </c>
      <c r="BN343" s="710">
        <v>6.5962956287257857</v>
      </c>
      <c r="BO343" s="710">
        <v>6.5472980559001988</v>
      </c>
      <c r="BP343" s="710">
        <v>6.5164295341237084</v>
      </c>
      <c r="BQ343" s="710">
        <v>6.4980426931387463</v>
      </c>
      <c r="BR343" s="710">
        <v>6.4880911197041593</v>
      </c>
      <c r="BS343" s="710">
        <v>6.7546853004935032</v>
      </c>
      <c r="BT343" s="710">
        <v>7.2379246175206271</v>
      </c>
      <c r="BU343" s="710">
        <v>7.9015580925676705</v>
      </c>
      <c r="BV343" s="710">
        <v>8.7272103700917683</v>
      </c>
      <c r="BW343" s="710">
        <v>9.6992292413632004</v>
      </c>
      <c r="BX343" s="710">
        <v>10.811963438318779</v>
      </c>
      <c r="BY343" s="710">
        <v>12.060680158540004</v>
      </c>
      <c r="BZ343" s="710">
        <v>13.269418918494654</v>
      </c>
      <c r="CA343" s="710">
        <v>14.428201234031651</v>
      </c>
      <c r="CB343" s="710">
        <v>15.550819808279117</v>
      </c>
      <c r="CC343" s="710">
        <v>16.647958632159721</v>
      </c>
      <c r="CD343" s="710">
        <v>17.728016689580365</v>
      </c>
      <c r="CE343" s="710">
        <v>18.662659794193658</v>
      </c>
      <c r="CF343" s="710">
        <v>19.487851580575644</v>
      </c>
      <c r="CG343" s="710">
        <v>20.226760265101753</v>
      </c>
      <c r="CH343" s="710">
        <v>20.89250833379527</v>
      </c>
      <c r="CI343" s="710">
        <v>21.489177779869234</v>
      </c>
      <c r="CJ343" s="710">
        <v>22.017531760591339</v>
      </c>
      <c r="CK343" s="710">
        <v>22.4787641313408</v>
      </c>
      <c r="CL343" s="710">
        <v>22.960062874578021</v>
      </c>
      <c r="CM343" s="710">
        <v>23.465911456418144</v>
      </c>
      <c r="CN343" s="710">
        <v>23.989150587759283</v>
      </c>
      <c r="CO343" s="710">
        <v>24.5244224824242</v>
      </c>
      <c r="CP343" s="710">
        <v>25.067712342311921</v>
      </c>
      <c r="CQ343" s="710">
        <v>25.507478710184557</v>
      </c>
      <c r="CR343" s="710">
        <v>25.864642819917545</v>
      </c>
      <c r="CS343" s="710">
        <v>26.150398126143401</v>
      </c>
      <c r="CT343" s="710">
        <v>26.368380052808497</v>
      </c>
      <c r="CU343" s="710">
        <v>26.52420286584632</v>
      </c>
      <c r="CV343" s="710">
        <v>26.621394227896094</v>
      </c>
      <c r="CW343" s="710">
        <v>26.662946822422757</v>
      </c>
      <c r="CX343" s="710">
        <v>26.719979553945013</v>
      </c>
      <c r="CY343" s="710">
        <v>26.796954889175559</v>
      </c>
      <c r="CZ343" s="710">
        <v>26.888635699199327</v>
      </c>
      <c r="DA343" s="710">
        <v>26.990897413076564</v>
      </c>
      <c r="DC343" s="11">
        <f>AG343</f>
        <v>0</v>
      </c>
      <c r="DD343" s="11">
        <f>AS343</f>
        <v>0</v>
      </c>
      <c r="DE343" s="11">
        <f>BE343</f>
        <v>5.0578242306313133</v>
      </c>
      <c r="DF343" s="11">
        <f>BQ343</f>
        <v>6.4980426931387463</v>
      </c>
      <c r="DG343" s="11">
        <f>CC343</f>
        <v>16.647958632159721</v>
      </c>
      <c r="DH343" s="11">
        <f>CO343</f>
        <v>24.5244224824242</v>
      </c>
      <c r="DI343" s="14">
        <f t="shared" si="370"/>
        <v>316.16362352292754</v>
      </c>
    </row>
    <row r="344" spans="3:113" outlineLevel="2">
      <c r="E344" s="229" t="s">
        <v>811</v>
      </c>
      <c r="F344" s="229"/>
      <c r="I344" s="609" t="s">
        <v>812</v>
      </c>
      <c r="O344" s="706"/>
      <c r="P344" s="706"/>
      <c r="Q344" s="706"/>
      <c r="R344" s="706"/>
      <c r="S344" s="706"/>
      <c r="T344" s="706"/>
      <c r="U344" s="706"/>
      <c r="V344" s="706"/>
      <c r="W344" s="706"/>
      <c r="X344" s="706"/>
      <c r="Y344" s="706"/>
      <c r="Z344" s="706"/>
      <c r="AA344" s="706"/>
      <c r="AB344" s="706"/>
      <c r="AC344" s="706"/>
      <c r="AD344" s="706"/>
      <c r="AE344" s="706"/>
      <c r="AF344" s="706"/>
      <c r="AG344" s="706"/>
      <c r="AH344" s="707"/>
      <c r="AI344" s="707"/>
      <c r="AJ344" s="707"/>
      <c r="AK344" s="707"/>
      <c r="AL344" s="707"/>
      <c r="AM344" s="707"/>
      <c r="AN344" s="706"/>
      <c r="AO344" s="696"/>
      <c r="AP344" s="696"/>
      <c r="AQ344" s="696"/>
      <c r="AR344" s="696"/>
      <c r="AS344" s="696"/>
      <c r="AT344" s="753">
        <f t="shared" ref="AT344:DA344" si="381">AT342/AT313</f>
        <v>0</v>
      </c>
      <c r="AU344" s="753">
        <f t="shared" si="381"/>
        <v>0</v>
      </c>
      <c r="AV344" s="753">
        <f t="shared" si="381"/>
        <v>0</v>
      </c>
      <c r="AW344" s="753">
        <f t="shared" si="381"/>
        <v>0</v>
      </c>
      <c r="AX344" s="753">
        <f t="shared" si="381"/>
        <v>1.1971399030268897E-2</v>
      </c>
      <c r="AY344" s="753">
        <f t="shared" si="381"/>
        <v>2.9035239196570469E-2</v>
      </c>
      <c r="AZ344" s="753">
        <f t="shared" si="381"/>
        <v>4.8000355260170588E-2</v>
      </c>
      <c r="BA344" s="753">
        <f t="shared" si="381"/>
        <v>6.7396381312596412E-2</v>
      </c>
      <c r="BB344" s="753">
        <f t="shared" si="381"/>
        <v>8.0605496237840052E-2</v>
      </c>
      <c r="BC344" s="753">
        <f t="shared" si="381"/>
        <v>8.8965786596774107E-2</v>
      </c>
      <c r="BD344" s="753">
        <f t="shared" si="381"/>
        <v>9.3924864828045976E-2</v>
      </c>
      <c r="BE344" s="753">
        <f t="shared" si="381"/>
        <v>9.6929030891142826E-2</v>
      </c>
      <c r="BF344" s="753">
        <f t="shared" si="381"/>
        <v>9.5503519357469382E-2</v>
      </c>
      <c r="BG344" s="753">
        <f t="shared" si="381"/>
        <v>0.10010659853961011</v>
      </c>
      <c r="BH344" s="753">
        <f t="shared" si="381"/>
        <v>0.10440572023165043</v>
      </c>
      <c r="BI344" s="753">
        <f t="shared" si="381"/>
        <v>0.10920642527157604</v>
      </c>
      <c r="BJ344" s="753">
        <f t="shared" si="381"/>
        <v>0.11595959964174853</v>
      </c>
      <c r="BK344" s="753">
        <f t="shared" si="381"/>
        <v>0.1223218613390524</v>
      </c>
      <c r="BL344" s="753">
        <f t="shared" si="381"/>
        <v>0.12736242150341356</v>
      </c>
      <c r="BM344" s="753">
        <f t="shared" si="381"/>
        <v>0.12994669901402101</v>
      </c>
      <c r="BN344" s="753">
        <f t="shared" si="381"/>
        <v>0.12893321454679987</v>
      </c>
      <c r="BO344" s="753">
        <f t="shared" si="381"/>
        <v>0.12755949063719049</v>
      </c>
      <c r="BP344" s="753">
        <f t="shared" si="381"/>
        <v>0.12643938415880282</v>
      </c>
      <c r="BQ344" s="753">
        <f t="shared" si="381"/>
        <v>0.12555484620193355</v>
      </c>
      <c r="BR344" s="753">
        <f t="shared" si="381"/>
        <v>0.10799433387678377</v>
      </c>
      <c r="BS344" s="753">
        <f t="shared" si="381"/>
        <v>9.3789246164257198E-2</v>
      </c>
      <c r="BT344" s="753">
        <f t="shared" si="381"/>
        <v>8.2977360760296506E-2</v>
      </c>
      <c r="BU344" s="753">
        <f t="shared" si="381"/>
        <v>7.4512579984486169E-2</v>
      </c>
      <c r="BV344" s="753">
        <f t="shared" si="381"/>
        <v>7.1264341067366857E-2</v>
      </c>
      <c r="BW344" s="753">
        <f t="shared" si="381"/>
        <v>7.1828459030746639E-2</v>
      </c>
      <c r="BX344" s="753">
        <f t="shared" si="381"/>
        <v>7.5160558651537868E-2</v>
      </c>
      <c r="BY344" s="753">
        <f t="shared" si="381"/>
        <v>8.0547076336373022E-2</v>
      </c>
      <c r="BZ344" s="753">
        <f t="shared" si="381"/>
        <v>8.5154153447460107E-2</v>
      </c>
      <c r="CA344" s="753">
        <f t="shared" si="381"/>
        <v>8.8809193774531656E-2</v>
      </c>
      <c r="CB344" s="753">
        <f t="shared" si="381"/>
        <v>9.1686625074927433E-2</v>
      </c>
      <c r="CC344" s="753">
        <f t="shared" si="381"/>
        <v>9.3936415733426037E-2</v>
      </c>
      <c r="CD344" s="753">
        <f t="shared" si="381"/>
        <v>9.8080401715852472E-2</v>
      </c>
      <c r="CE344" s="753">
        <f t="shared" si="381"/>
        <v>0.1020489319637059</v>
      </c>
      <c r="CF344" s="753">
        <f t="shared" si="381"/>
        <v>0.10573892694886636</v>
      </c>
      <c r="CG344" s="753">
        <f t="shared" si="381"/>
        <v>0.10923813080736149</v>
      </c>
      <c r="CH344" s="753">
        <f t="shared" si="381"/>
        <v>0.11166536172753835</v>
      </c>
      <c r="CI344" s="753">
        <f t="shared" si="381"/>
        <v>0.11309133911670755</v>
      </c>
      <c r="CJ344" s="753">
        <f t="shared" si="381"/>
        <v>0.11361319204461463</v>
      </c>
      <c r="CK344" s="753">
        <f t="shared" si="381"/>
        <v>0.11331443947606942</v>
      </c>
      <c r="CL344" s="753">
        <f t="shared" si="381"/>
        <v>0.11302884757213344</v>
      </c>
      <c r="CM344" s="753">
        <f t="shared" si="381"/>
        <v>0.11288868407649884</v>
      </c>
      <c r="CN344" s="753">
        <f t="shared" si="381"/>
        <v>0.11287944146501021</v>
      </c>
      <c r="CO344" s="753">
        <f t="shared" si="381"/>
        <v>0.11298269425780835</v>
      </c>
      <c r="CP344" s="753">
        <f t="shared" si="381"/>
        <v>0.11494322877499591</v>
      </c>
      <c r="CQ344" s="753">
        <f t="shared" si="381"/>
        <v>0.1171259294110554</v>
      </c>
      <c r="CR344" s="753">
        <f t="shared" si="381"/>
        <v>0.11933739823636764</v>
      </c>
      <c r="CS344" s="753">
        <f t="shared" si="381"/>
        <v>0.1215394237929221</v>
      </c>
      <c r="CT344" s="753">
        <f t="shared" si="381"/>
        <v>0.12305657845776377</v>
      </c>
      <c r="CU344" s="753">
        <f t="shared" si="381"/>
        <v>0.12389520894009116</v>
      </c>
      <c r="CV344" s="753">
        <f t="shared" si="381"/>
        <v>0.12409878424519268</v>
      </c>
      <c r="CW344" s="753">
        <f t="shared" si="381"/>
        <v>0.12370559495578894</v>
      </c>
      <c r="CX344" s="753">
        <f t="shared" si="381"/>
        <v>0.1232939469869845</v>
      </c>
      <c r="CY344" s="753">
        <f t="shared" si="381"/>
        <v>0.1229797257933738</v>
      </c>
      <c r="CZ344" s="753">
        <f t="shared" si="381"/>
        <v>0.12276596565716646</v>
      </c>
      <c r="DA344" s="753">
        <f t="shared" si="381"/>
        <v>0.12264721654568808</v>
      </c>
      <c r="DC344" s="729">
        <f>AG344</f>
        <v>0</v>
      </c>
      <c r="DD344" s="729">
        <f>AS344</f>
        <v>0</v>
      </c>
      <c r="DE344" s="729">
        <f>BE344</f>
        <v>9.6929030891142826E-2</v>
      </c>
      <c r="DF344" s="729">
        <f>BQ344</f>
        <v>0.12555484620193355</v>
      </c>
      <c r="DG344" s="729">
        <f>CC344</f>
        <v>9.3936415733426037E-2</v>
      </c>
      <c r="DH344" s="729">
        <f>CO344</f>
        <v>0.11298269425780835</v>
      </c>
      <c r="DI344" s="729">
        <f>DA344</f>
        <v>0.12264721654568808</v>
      </c>
    </row>
    <row r="345" spans="3:113" outlineLevel="2">
      <c r="E345" s="229" t="s">
        <v>813</v>
      </c>
      <c r="F345" s="229"/>
      <c r="I345" s="609" t="s">
        <v>812</v>
      </c>
      <c r="O345" s="706"/>
      <c r="P345" s="706"/>
      <c r="Q345" s="706"/>
      <c r="R345" s="706"/>
      <c r="S345" s="706"/>
      <c r="T345" s="706"/>
      <c r="U345" s="706"/>
      <c r="V345" s="706"/>
      <c r="W345" s="706"/>
      <c r="X345" s="706"/>
      <c r="Y345" s="706"/>
      <c r="Z345" s="706"/>
      <c r="AA345" s="706"/>
      <c r="AB345" s="706"/>
      <c r="AC345" s="706"/>
      <c r="AD345" s="706"/>
      <c r="AE345" s="706"/>
      <c r="AF345" s="706"/>
      <c r="AG345" s="706"/>
      <c r="AH345" s="707"/>
      <c r="AI345" s="707"/>
      <c r="AJ345" s="707"/>
      <c r="AK345" s="707"/>
      <c r="AL345" s="707"/>
      <c r="AM345" s="707"/>
      <c r="AN345" s="706"/>
      <c r="AO345" s="696"/>
      <c r="AP345" s="696"/>
      <c r="AQ345" s="696"/>
      <c r="AR345" s="696"/>
      <c r="AS345" s="696"/>
      <c r="AT345" s="753">
        <f t="shared" ref="AT345:DA345" si="382">AT343/AT313</f>
        <v>0</v>
      </c>
      <c r="AU345" s="753">
        <f t="shared" si="382"/>
        <v>4.3939393939393938E-2</v>
      </c>
      <c r="AV345" s="753">
        <f t="shared" si="382"/>
        <v>7.7975077680793189E-2</v>
      </c>
      <c r="AW345" s="753">
        <f t="shared" si="382"/>
        <v>0.10684129201481049</v>
      </c>
      <c r="AX345" s="753">
        <f t="shared" si="382"/>
        <v>0.1319747564720129</v>
      </c>
      <c r="AY345" s="753">
        <f t="shared" si="382"/>
        <v>0.15412625330379751</v>
      </c>
      <c r="AZ345" s="753">
        <f t="shared" si="382"/>
        <v>0.17396497954665507</v>
      </c>
      <c r="BA345" s="753">
        <f t="shared" si="382"/>
        <v>0.19187661935435465</v>
      </c>
      <c r="BB345" s="753">
        <f t="shared" si="382"/>
        <v>0.20300127220420025</v>
      </c>
      <c r="BC345" s="753">
        <f t="shared" si="382"/>
        <v>0.2082463406857388</v>
      </c>
      <c r="BD345" s="753">
        <f t="shared" si="382"/>
        <v>0.20970672861417397</v>
      </c>
      <c r="BE345" s="753">
        <f t="shared" si="382"/>
        <v>0.20971267221372009</v>
      </c>
      <c r="BF345" s="753">
        <f t="shared" si="382"/>
        <v>0.2017841405391696</v>
      </c>
      <c r="BG345" s="753">
        <f t="shared" si="382"/>
        <v>0.21487677071186642</v>
      </c>
      <c r="BH345" s="753">
        <f t="shared" si="382"/>
        <v>0.22540788321204308</v>
      </c>
      <c r="BI345" s="753">
        <f t="shared" si="382"/>
        <v>0.23299048330580857</v>
      </c>
      <c r="BJ345" s="753">
        <f t="shared" si="382"/>
        <v>0.23842485286824014</v>
      </c>
      <c r="BK345" s="753">
        <f t="shared" si="382"/>
        <v>0.24336260848950403</v>
      </c>
      <c r="BL345" s="753">
        <f t="shared" si="382"/>
        <v>0.24748141393821979</v>
      </c>
      <c r="BM345" s="753">
        <f t="shared" si="382"/>
        <v>0.24949889410515977</v>
      </c>
      <c r="BN345" s="753">
        <f t="shared" si="382"/>
        <v>0.24822164905240654</v>
      </c>
      <c r="BO345" s="753">
        <f t="shared" si="382"/>
        <v>0.24633743847247525</v>
      </c>
      <c r="BP345" s="753">
        <f t="shared" si="382"/>
        <v>0.24505260760955933</v>
      </c>
      <c r="BQ345" s="753">
        <f t="shared" si="382"/>
        <v>0.24426404574612079</v>
      </c>
      <c r="BR345" s="753">
        <f t="shared" si="382"/>
        <v>0.21080953647179421</v>
      </c>
      <c r="BS345" s="753">
        <f t="shared" si="382"/>
        <v>0.1911063425593752</v>
      </c>
      <c r="BT345" s="753">
        <f t="shared" si="382"/>
        <v>0.18126056388810999</v>
      </c>
      <c r="BU345" s="753">
        <f t="shared" si="382"/>
        <v>0.17749714799909241</v>
      </c>
      <c r="BV345" s="753">
        <f t="shared" si="382"/>
        <v>0.17774559769341552</v>
      </c>
      <c r="BW345" s="753">
        <f t="shared" si="382"/>
        <v>0.18069118612182766</v>
      </c>
      <c r="BX345" s="753">
        <f t="shared" si="382"/>
        <v>0.18558849406196404</v>
      </c>
      <c r="BY345" s="753">
        <f t="shared" si="382"/>
        <v>0.19193412694766415</v>
      </c>
      <c r="BZ345" s="753">
        <f t="shared" si="382"/>
        <v>0.19732403220527192</v>
      </c>
      <c r="CA345" s="753">
        <f t="shared" si="382"/>
        <v>0.20138854492354955</v>
      </c>
      <c r="CB345" s="753">
        <f t="shared" si="382"/>
        <v>0.20448698478855526</v>
      </c>
      <c r="CC345" s="753">
        <f t="shared" si="382"/>
        <v>0.20690949429858532</v>
      </c>
      <c r="CD345" s="753">
        <f t="shared" si="382"/>
        <v>0.21411680624155283</v>
      </c>
      <c r="CE345" s="753">
        <f t="shared" si="382"/>
        <v>0.2197145344432713</v>
      </c>
      <c r="CF345" s="753">
        <f t="shared" si="382"/>
        <v>0.22378704608296268</v>
      </c>
      <c r="CG345" s="753">
        <f t="shared" si="382"/>
        <v>0.22668321428836621</v>
      </c>
      <c r="CH345" s="753">
        <f t="shared" si="382"/>
        <v>0.2286285908274123</v>
      </c>
      <c r="CI345" s="753">
        <f t="shared" si="382"/>
        <v>0.22974904625272061</v>
      </c>
      <c r="CJ345" s="753">
        <f t="shared" si="382"/>
        <v>0.23010961408789185</v>
      </c>
      <c r="CK345" s="753">
        <f t="shared" si="382"/>
        <v>0.22977165212479123</v>
      </c>
      <c r="CL345" s="753">
        <f t="shared" si="382"/>
        <v>0.22945498628456593</v>
      </c>
      <c r="CM345" s="753">
        <f t="shared" si="382"/>
        <v>0.22937936725295296</v>
      </c>
      <c r="CN345" s="753">
        <f t="shared" si="382"/>
        <v>0.22948238800523435</v>
      </c>
      <c r="CO345" s="753">
        <f t="shared" si="382"/>
        <v>0.22970229757233548</v>
      </c>
      <c r="CP345" s="753">
        <f t="shared" si="382"/>
        <v>0.23356554199075302</v>
      </c>
      <c r="CQ345" s="753">
        <f t="shared" si="382"/>
        <v>0.23678306024695564</v>
      </c>
      <c r="CR345" s="753">
        <f t="shared" si="382"/>
        <v>0.23923497794613635</v>
      </c>
      <c r="CS345" s="753">
        <f t="shared" si="382"/>
        <v>0.24101818139993131</v>
      </c>
      <c r="CT345" s="753">
        <f t="shared" si="382"/>
        <v>0.24217252295448874</v>
      </c>
      <c r="CU345" s="753">
        <f t="shared" si="382"/>
        <v>0.24274845047553242</v>
      </c>
      <c r="CV345" s="753">
        <f t="shared" si="382"/>
        <v>0.24278361206660579</v>
      </c>
      <c r="CW345" s="753">
        <f t="shared" si="382"/>
        <v>0.24231134668099935</v>
      </c>
      <c r="CX345" s="753">
        <f t="shared" si="382"/>
        <v>0.24183156505203465</v>
      </c>
      <c r="CY345" s="753">
        <f t="shared" si="382"/>
        <v>0.24152354737838566</v>
      </c>
      <c r="CZ345" s="753">
        <f t="shared" si="382"/>
        <v>0.24135599319451456</v>
      </c>
      <c r="DA345" s="753">
        <f t="shared" si="382"/>
        <v>0.24129070799256133</v>
      </c>
      <c r="DC345" s="729">
        <f>AG345</f>
        <v>0</v>
      </c>
      <c r="DD345" s="729">
        <f>AS345</f>
        <v>0</v>
      </c>
      <c r="DE345" s="729">
        <f>BE345</f>
        <v>0.20971267221372009</v>
      </c>
      <c r="DF345" s="729">
        <f>BQ345</f>
        <v>0.24426404574612079</v>
      </c>
      <c r="DG345" s="729">
        <f>CC345</f>
        <v>0.20690949429858532</v>
      </c>
      <c r="DH345" s="729">
        <f>CO345</f>
        <v>0.22970229757233548</v>
      </c>
      <c r="DI345" s="729">
        <f>DA345</f>
        <v>0.24129070799256133</v>
      </c>
    </row>
    <row r="346" spans="3:113" outlineLevel="2">
      <c r="E346" s="230" t="s">
        <v>814</v>
      </c>
      <c r="F346" s="229"/>
      <c r="I346" s="609" t="s">
        <v>812</v>
      </c>
      <c r="O346" s="706"/>
      <c r="P346" s="706"/>
      <c r="Q346" s="706"/>
      <c r="R346" s="706"/>
      <c r="S346" s="706"/>
      <c r="T346" s="706"/>
      <c r="U346" s="706"/>
      <c r="V346" s="706"/>
      <c r="W346" s="706"/>
      <c r="X346" s="706"/>
      <c r="Y346" s="706"/>
      <c r="Z346" s="722"/>
      <c r="AA346" s="722"/>
      <c r="AB346" s="722"/>
      <c r="AC346" s="722"/>
      <c r="AD346" s="722"/>
      <c r="AE346" s="722"/>
      <c r="AF346" s="722"/>
      <c r="AG346" s="722"/>
      <c r="AH346" s="722"/>
      <c r="AI346" s="722"/>
      <c r="AJ346" s="722"/>
      <c r="AK346" s="722"/>
      <c r="AL346" s="722"/>
      <c r="AM346" s="722"/>
      <c r="AN346" s="722"/>
      <c r="AO346" s="722"/>
      <c r="AP346" s="722"/>
      <c r="AQ346" s="722"/>
      <c r="AR346" s="722"/>
      <c r="AS346" s="722"/>
      <c r="AT346" s="722">
        <f>AT328</f>
        <v>-1.6171874999999999E-2</v>
      </c>
      <c r="AU346" s="722">
        <f t="shared" ref="AU346:BE346" si="383">AT346+AU328</f>
        <v>-4.3909090909090912E-2</v>
      </c>
      <c r="AV346" s="722">
        <f t="shared" si="383"/>
        <v>-7.8774294615185952E-2</v>
      </c>
      <c r="AW346" s="722">
        <f t="shared" si="383"/>
        <v>-0.11935384741339333</v>
      </c>
      <c r="AX346" s="722">
        <f t="shared" si="383"/>
        <v>-0.18560262580088194</v>
      </c>
      <c r="AY346" s="722">
        <f t="shared" si="383"/>
        <v>-0.27504433916733445</v>
      </c>
      <c r="AZ346" s="722">
        <f t="shared" si="383"/>
        <v>-0.38475340232523236</v>
      </c>
      <c r="BA346" s="722">
        <f t="shared" si="383"/>
        <v>-0.55291623037464888</v>
      </c>
      <c r="BB346" s="722">
        <f t="shared" si="383"/>
        <v>-0.84206704532386478</v>
      </c>
      <c r="BC346" s="722">
        <f t="shared" si="383"/>
        <v>-1.2429335125653886</v>
      </c>
      <c r="BD346" s="722">
        <f t="shared" si="383"/>
        <v>-1.7420519684405105</v>
      </c>
      <c r="BE346" s="722">
        <f t="shared" si="383"/>
        <v>-2.326195382384491</v>
      </c>
      <c r="BF346" s="722">
        <f>BF328</f>
        <v>-0.66446544266324892</v>
      </c>
      <c r="BG346" s="722">
        <f t="shared" ref="BG346:BQ346" si="384">BF346+BG328</f>
        <v>-1.3708925993040322</v>
      </c>
      <c r="BH346" s="722">
        <f t="shared" si="384"/>
        <v>-2.1262126566179309</v>
      </c>
      <c r="BI346" s="722">
        <f t="shared" si="384"/>
        <v>-2.9327836265938285</v>
      </c>
      <c r="BJ346" s="722">
        <f t="shared" si="384"/>
        <v>-3.7764338094138239</v>
      </c>
      <c r="BK346" s="722">
        <f t="shared" si="384"/>
        <v>-4.6231903608435578</v>
      </c>
      <c r="BL346" s="722">
        <f t="shared" si="384"/>
        <v>-5.5029781160229909</v>
      </c>
      <c r="BM346" s="722">
        <f t="shared" si="384"/>
        <v>-6.4475186119295129</v>
      </c>
      <c r="BN346" s="722">
        <f t="shared" si="384"/>
        <v>-7.4409056823825797</v>
      </c>
      <c r="BO346" s="722">
        <f t="shared" si="384"/>
        <v>-8.4247284163088931</v>
      </c>
      <c r="BP346" s="722">
        <f t="shared" si="384"/>
        <v>-9.3969710387300776</v>
      </c>
      <c r="BQ346" s="722">
        <f t="shared" si="384"/>
        <v>-10.360359574449248</v>
      </c>
      <c r="BR346" s="722">
        <f>BR328</f>
        <v>-0.9930572382306021</v>
      </c>
      <c r="BS346" s="722">
        <f t="shared" ref="BS346:CC346" si="385">BR346+BS328</f>
        <v>-2.000630314627696</v>
      </c>
      <c r="BT346" s="722">
        <f t="shared" si="385"/>
        <v>-3.0163397412635828</v>
      </c>
      <c r="BU346" s="722">
        <f t="shared" si="385"/>
        <v>-4.0394745588580507</v>
      </c>
      <c r="BV346" s="722">
        <f t="shared" si="385"/>
        <v>-5.1021622897954764</v>
      </c>
      <c r="BW346" s="722">
        <f t="shared" si="385"/>
        <v>-6.2057431869740221</v>
      </c>
      <c r="BX346" s="722">
        <f t="shared" si="385"/>
        <v>-7.3480007271154157</v>
      </c>
      <c r="BY346" s="722">
        <f t="shared" si="385"/>
        <v>-8.5858697978364447</v>
      </c>
      <c r="BZ346" s="722">
        <f t="shared" si="385"/>
        <v>-10.016194248695594</v>
      </c>
      <c r="CA346" s="722">
        <f t="shared" si="385"/>
        <v>-11.638926492467172</v>
      </c>
      <c r="CB346" s="722">
        <f t="shared" si="385"/>
        <v>-13.446311309196265</v>
      </c>
      <c r="CC346" s="722">
        <f t="shared" si="385"/>
        <v>-15.430978307208854</v>
      </c>
      <c r="CD346" s="722">
        <f>CD328</f>
        <v>-2.1371289267757834</v>
      </c>
      <c r="CE346" s="722">
        <f t="shared" ref="CE346:CO346" si="386">CD346+CE328</f>
        <v>-4.4300032304120105</v>
      </c>
      <c r="CF346" s="722">
        <f t="shared" si="386"/>
        <v>-6.8770610380538635</v>
      </c>
      <c r="CG346" s="722">
        <f t="shared" si="386"/>
        <v>-9.4745723729103801</v>
      </c>
      <c r="CH346" s="722">
        <f t="shared" si="386"/>
        <v>-12.205415723222732</v>
      </c>
      <c r="CI346" s="722">
        <f t="shared" si="386"/>
        <v>-15.071444646276898</v>
      </c>
      <c r="CJ346" s="722">
        <f t="shared" si="386"/>
        <v>-18.07509254178165</v>
      </c>
      <c r="CK346" s="722">
        <f t="shared" si="386"/>
        <v>-21.188766568953188</v>
      </c>
      <c r="CL346" s="722">
        <f t="shared" si="386"/>
        <v>-24.364636770470607</v>
      </c>
      <c r="CM346" s="722">
        <f t="shared" si="386"/>
        <v>-27.603074537976671</v>
      </c>
      <c r="CN346" s="722">
        <f t="shared" si="386"/>
        <v>-30.908122809219385</v>
      </c>
      <c r="CO346" s="722">
        <f t="shared" si="386"/>
        <v>-34.283438481224714</v>
      </c>
      <c r="CP346" s="722">
        <f>CP328</f>
        <v>-3.4344447597255079</v>
      </c>
      <c r="CQ346" s="722">
        <f t="shared" ref="CQ346:DA346" si="387">CP346+CQ328</f>
        <v>-6.9371704675887553</v>
      </c>
      <c r="CR346" s="722">
        <f t="shared" si="387"/>
        <v>-10.513188829284349</v>
      </c>
      <c r="CS346" s="722">
        <f t="shared" si="387"/>
        <v>-14.165709208059546</v>
      </c>
      <c r="CT346" s="722">
        <f t="shared" si="387"/>
        <v>-17.884122897146096</v>
      </c>
      <c r="CU346" s="722">
        <f t="shared" si="387"/>
        <v>-21.667909280777835</v>
      </c>
      <c r="CV346" s="722">
        <f t="shared" si="387"/>
        <v>-25.517029218166456</v>
      </c>
      <c r="CW346" s="722">
        <f t="shared" si="387"/>
        <v>-29.407944025550389</v>
      </c>
      <c r="CX346" s="722">
        <f t="shared" si="387"/>
        <v>-33.301383156292999</v>
      </c>
      <c r="CY346" s="722">
        <f t="shared" si="387"/>
        <v>-37.197029069602031</v>
      </c>
      <c r="CZ346" s="722">
        <f t="shared" si="387"/>
        <v>-41.097784422763652</v>
      </c>
      <c r="DA346" s="722">
        <f t="shared" si="387"/>
        <v>-45.006502790609922</v>
      </c>
      <c r="DC346" s="729"/>
      <c r="DD346" s="729"/>
      <c r="DE346" s="729"/>
      <c r="DF346" s="729"/>
      <c r="DG346" s="729"/>
      <c r="DH346" s="729"/>
      <c r="DI346" s="12">
        <f>DA346</f>
        <v>-45.006502790609922</v>
      </c>
    </row>
    <row r="347" spans="3:113" outlineLevel="2">
      <c r="E347" s="230" t="s">
        <v>815</v>
      </c>
      <c r="F347" s="229"/>
      <c r="I347" s="609" t="s">
        <v>812</v>
      </c>
      <c r="O347" s="706"/>
      <c r="P347" s="706"/>
      <c r="Q347" s="706"/>
      <c r="R347" s="706"/>
      <c r="S347" s="706"/>
      <c r="T347" s="706"/>
      <c r="U347" s="706"/>
      <c r="V347" s="706"/>
      <c r="W347" s="706"/>
      <c r="X347" s="706"/>
      <c r="Y347" s="706"/>
      <c r="Z347" s="919"/>
      <c r="AA347" s="919"/>
      <c r="AB347" s="919"/>
      <c r="AC347" s="919"/>
      <c r="AD347" s="919"/>
      <c r="AE347" s="919"/>
      <c r="AF347" s="919"/>
      <c r="AG347" s="919"/>
      <c r="AH347" s="919"/>
      <c r="AI347" s="919"/>
      <c r="AJ347" s="919"/>
      <c r="AK347" s="919"/>
      <c r="AL347" s="919"/>
      <c r="AM347" s="919"/>
      <c r="AN347" s="919"/>
      <c r="AO347" s="919"/>
      <c r="AP347" s="919"/>
      <c r="AQ347" s="919"/>
      <c r="AR347" s="919"/>
      <c r="AS347" s="919"/>
      <c r="AT347" s="919">
        <f>AT346/SUM($AS313:AT313)</f>
        <v>-8.624999999999999E-3</v>
      </c>
      <c r="AU347" s="919">
        <f>AU346/SUM($AS313:AU313)</f>
        <v>-7.5542521994134901E-3</v>
      </c>
      <c r="AV347" s="919">
        <f>AV346/SUM($AS313:AV313)</f>
        <v>-6.6634349132591872E-3</v>
      </c>
      <c r="AW347" s="919">
        <f>AW346/SUM($AS313:AW313)</f>
        <v>-5.9965978462253001E-3</v>
      </c>
      <c r="AX347" s="919">
        <f>AX346/SUM($AS313:AX313)</f>
        <v>-6.1748820178580844E-3</v>
      </c>
      <c r="AY347" s="919">
        <f>AY346/SUM($AS313:AY313)</f>
        <v>-6.5046700322388051E-3</v>
      </c>
      <c r="AZ347" s="919">
        <f>AZ346/SUM($AS313:AZ313)</f>
        <v>-6.799810840046553E-3</v>
      </c>
      <c r="BA347" s="919">
        <f>BA346/SUM($AS313:BA313)</f>
        <v>-7.5789553683153505E-3</v>
      </c>
      <c r="BB347" s="919">
        <f>BB346/SUM($AS313:BB313)</f>
        <v>-9.2251443287536452E-3</v>
      </c>
      <c r="BC347" s="919">
        <f>BC346/SUM($AS313:BC313)</f>
        <v>-1.1141454192465783E-2</v>
      </c>
      <c r="BD347" s="919">
        <f>BD346/SUM($AS313:BD313)</f>
        <v>-1.3019106871882215E-2</v>
      </c>
      <c r="BE347" s="919">
        <f>BE346/SUM($AS313:BE313)</f>
        <v>-1.4729728057976637E-2</v>
      </c>
      <c r="BF347" s="919">
        <f>BF346/SUM($BE313:BF313)</f>
        <v>-1.3070142649008595E-2</v>
      </c>
      <c r="BG347" s="919">
        <f>BG346/SUM($BE313:BG313)</f>
        <v>-1.7635360200491494E-2</v>
      </c>
      <c r="BH347" s="919">
        <f>BH346/SUM($BE313:BH313)</f>
        <v>-2.0330286933278041E-2</v>
      </c>
      <c r="BI347" s="919">
        <f>BI346/SUM($BE313:BI313)</f>
        <v>-2.2322829886429224E-2</v>
      </c>
      <c r="BJ347" s="919">
        <f>BJ346/SUM($BE313:BJ313)</f>
        <v>-2.3881290026886638E-2</v>
      </c>
      <c r="BK347" s="919">
        <f>BK346/SUM($BE313:BK313)</f>
        <v>-2.5004921666266517E-2</v>
      </c>
      <c r="BL347" s="919">
        <f>BL346/SUM($BE313:BL313)</f>
        <v>-2.600365880487307E-2</v>
      </c>
      <c r="BM347" s="919">
        <f>BM346/SUM($BE313:BM313)</f>
        <v>-2.7057059656042423E-2</v>
      </c>
      <c r="BN347" s="919">
        <f>BN346/SUM($BE313:BN313)</f>
        <v>-2.8092924069873862E-2</v>
      </c>
      <c r="BO347" s="919">
        <f>BO346/SUM($BE313:BO313)</f>
        <v>-2.8906634659629019E-2</v>
      </c>
      <c r="BP347" s="919">
        <f>BP346/SUM($BE313:BP313)</f>
        <v>-2.9546678959059783E-2</v>
      </c>
      <c r="BQ347" s="919">
        <f>BQ346/SUM($BE313:BQ313)</f>
        <v>-3.0061336688102451E-2</v>
      </c>
      <c r="BR347" s="919">
        <f>BR346/SUM($BQ313:BR313)</f>
        <v>-1.7306810760792119E-2</v>
      </c>
      <c r="BS347" s="919">
        <f>BS346/SUM($BQ313:BS313)</f>
        <v>-2.1576016967441027E-2</v>
      </c>
      <c r="BT347" s="919">
        <f>BT346/SUM($BQ313:BT313)</f>
        <v>-2.2738095384748504E-2</v>
      </c>
      <c r="BU347" s="919">
        <f>BU346/SUM($BQ313:BU313)</f>
        <v>-2.2799694099790095E-2</v>
      </c>
      <c r="BV347" s="919">
        <f>BV346/SUM($BQ313:BV313)</f>
        <v>-2.2548824889870357E-2</v>
      </c>
      <c r="BW347" s="919">
        <f>BW346/SUM($BQ313:BW313)</f>
        <v>-2.216730753873921E-2</v>
      </c>
      <c r="BX347" s="919">
        <f>BX346/SUM($BQ313:BX313)</f>
        <v>-2.1726279005799015E-2</v>
      </c>
      <c r="BY347" s="919">
        <f>BY346/SUM($BQ313:BY313)</f>
        <v>-2.140871362751786E-2</v>
      </c>
      <c r="BZ347" s="919">
        <f>BZ346/SUM($BQ313:BZ313)</f>
        <v>-2.1388760219415274E-2</v>
      </c>
      <c r="CA347" s="919">
        <f>CA346/SUM($BQ313:CA313)</f>
        <v>-2.1556121471819876E-2</v>
      </c>
      <c r="CB347" s="919">
        <f>CB346/SUM($BQ313:CB313)</f>
        <v>-2.1828994743220274E-2</v>
      </c>
      <c r="CC347" s="919">
        <f>CC346/SUM($BQ313:CC313)</f>
        <v>-2.2156808415129896E-2</v>
      </c>
      <c r="CD347" s="919">
        <f>CD346/SUM($CC313:CD313)</f>
        <v>-1.3090652214895696E-2</v>
      </c>
      <c r="CE347" s="919">
        <f>CE346/SUM($CC313:CE313)</f>
        <v>-1.7848767095054351E-2</v>
      </c>
      <c r="CF347" s="919">
        <f>CF346/SUM($CC313:CF313)</f>
        <v>-2.0511474805810278E-2</v>
      </c>
      <c r="CG347" s="919">
        <f>CG346/SUM($CC313:CG313)</f>
        <v>-2.23189534573928E-2</v>
      </c>
      <c r="CH347" s="919">
        <f>CH346/SUM($CC313:CH313)</f>
        <v>-2.365895989103636E-2</v>
      </c>
      <c r="CI347" s="919">
        <f>CI346/SUM($CC313:CI313)</f>
        <v>-2.4730677194702656E-2</v>
      </c>
      <c r="CJ347" s="919">
        <f>CJ346/SUM($CC313:CJ313)</f>
        <v>-2.5634580495917516E-2</v>
      </c>
      <c r="CK347" s="919">
        <f>CK346/SUM($CC313:CK313)</f>
        <v>-2.6389086176849662E-2</v>
      </c>
      <c r="CL347" s="919">
        <f>CL346/SUM($CC313:CL313)</f>
        <v>-2.6981872957616181E-2</v>
      </c>
      <c r="CM347" s="919">
        <f>CM346/SUM($CC313:CM313)</f>
        <v>-2.7457496079148682E-2</v>
      </c>
      <c r="CN347" s="919">
        <f>CN346/SUM($CC313:CN313)</f>
        <v>-2.7849223470506217E-2</v>
      </c>
      <c r="CO347" s="919">
        <f>CO346/SUM($CC313:CO313)</f>
        <v>-2.8179620388998957E-2</v>
      </c>
      <c r="CP347" s="919">
        <f>CP346/SUM($CO313:CP313)</f>
        <v>-1.6041883684603027E-2</v>
      </c>
      <c r="CQ347" s="919">
        <f>CQ346/SUM($CO313:CQ313)</f>
        <v>-2.1556227710645595E-2</v>
      </c>
      <c r="CR347" s="919">
        <f>CR346/SUM($CO313:CR313)</f>
        <v>-2.4453175823867961E-2</v>
      </c>
      <c r="CS347" s="919">
        <f>CS346/SUM($CO313:CS313)</f>
        <v>-2.6309231927179936E-2</v>
      </c>
      <c r="CT347" s="919">
        <f>CT346/SUM($CO313:CT313)</f>
        <v>-2.7628214346725358E-2</v>
      </c>
      <c r="CU347" s="919">
        <f>CU346/SUM($CO313:CU313)</f>
        <v>-2.8639285474537583E-2</v>
      </c>
      <c r="CV347" s="919">
        <f>CV346/SUM($CO313:CV313)</f>
        <v>-2.9457545699958773E-2</v>
      </c>
      <c r="CW347" s="919">
        <f>CW346/SUM($CO313:CW313)</f>
        <v>-3.0122863265818946E-2</v>
      </c>
      <c r="CX347" s="919">
        <f>CX346/SUM($CO313:CX313)</f>
        <v>-3.064290863028615E-2</v>
      </c>
      <c r="CY347" s="919">
        <f>CY346/SUM($CO313:CY313)</f>
        <v>-3.1056888009325961E-2</v>
      </c>
      <c r="CZ347" s="919">
        <f>CZ346/SUM($CO313:CZ313)</f>
        <v>-3.1393616037321007E-2</v>
      </c>
      <c r="DA347" s="919">
        <f>DA346/SUM($CO313:DA313)</f>
        <v>-3.1673011169243127E-2</v>
      </c>
      <c r="DC347" s="729">
        <f>AG347</f>
        <v>0</v>
      </c>
      <c r="DD347" s="729">
        <f>AS347</f>
        <v>0</v>
      </c>
      <c r="DE347" s="729">
        <f>BE347</f>
        <v>-1.4729728057976637E-2</v>
      </c>
      <c r="DF347" s="729">
        <f>BQ347</f>
        <v>-3.0061336688102451E-2</v>
      </c>
      <c r="DG347" s="729">
        <f>CC347</f>
        <v>-2.2156808415129896E-2</v>
      </c>
      <c r="DH347" s="729">
        <f>CO347</f>
        <v>-2.8179620388998957E-2</v>
      </c>
      <c r="DI347" s="729">
        <f>DA347</f>
        <v>-3.1673011169243127E-2</v>
      </c>
    </row>
    <row r="348" spans="3:113" outlineLevel="1">
      <c r="F348" s="698"/>
      <c r="O348" s="696"/>
      <c r="P348" s="696"/>
      <c r="Q348" s="696"/>
      <c r="R348" s="696"/>
      <c r="S348" s="696"/>
      <c r="T348" s="696"/>
      <c r="U348" s="696"/>
      <c r="V348" s="696"/>
      <c r="W348" s="696"/>
      <c r="X348" s="696"/>
      <c r="Y348" s="696"/>
      <c r="Z348" s="697"/>
      <c r="AA348" s="697"/>
      <c r="AB348" s="697"/>
      <c r="AC348" s="697"/>
      <c r="AD348" s="697"/>
      <c r="AE348" s="697"/>
      <c r="AF348" s="697"/>
      <c r="AG348" s="697"/>
      <c r="AH348" s="697"/>
      <c r="AI348" s="697"/>
      <c r="AJ348" s="697"/>
      <c r="AK348" s="697"/>
      <c r="AL348" s="697"/>
      <c r="AM348" s="697"/>
      <c r="AN348" s="697"/>
      <c r="AO348" s="697"/>
      <c r="AP348" s="697"/>
      <c r="AQ348" s="697"/>
      <c r="AR348" s="697"/>
      <c r="AS348" s="697"/>
      <c r="AT348" s="697"/>
      <c r="AU348" s="697"/>
      <c r="AV348" s="697"/>
      <c r="AW348" s="697"/>
      <c r="AX348" s="697"/>
      <c r="AY348" s="697"/>
      <c r="AZ348" s="697"/>
      <c r="BA348" s="697"/>
      <c r="BB348" s="697"/>
      <c r="BC348" s="697"/>
      <c r="BD348" s="697"/>
      <c r="BE348" s="697"/>
      <c r="BF348" s="697"/>
      <c r="BG348" s="697"/>
      <c r="BH348" s="697"/>
      <c r="BI348" s="697"/>
      <c r="BJ348" s="697"/>
      <c r="BK348" s="697"/>
      <c r="BL348" s="697"/>
      <c r="BM348" s="697"/>
      <c r="BN348" s="697"/>
      <c r="BO348" s="697"/>
      <c r="BP348" s="697"/>
      <c r="BQ348" s="697"/>
      <c r="BR348" s="697"/>
      <c r="BS348" s="697"/>
      <c r="BT348" s="697"/>
      <c r="BU348" s="697"/>
      <c r="BV348" s="697"/>
      <c r="BW348" s="697"/>
      <c r="BX348" s="697"/>
      <c r="BY348" s="697"/>
      <c r="BZ348" s="697"/>
      <c r="CA348" s="697"/>
      <c r="CB348" s="697"/>
      <c r="CC348" s="697"/>
      <c r="CD348" s="697"/>
      <c r="CE348" s="697"/>
      <c r="CF348" s="697"/>
      <c r="CG348" s="697"/>
      <c r="CH348" s="697"/>
      <c r="CI348" s="697"/>
      <c r="CJ348" s="697"/>
      <c r="CK348" s="697"/>
      <c r="CL348" s="697"/>
      <c r="CM348" s="697"/>
      <c r="CN348" s="697"/>
      <c r="CO348" s="697"/>
      <c r="CP348" s="697"/>
      <c r="CQ348" s="697"/>
      <c r="CR348" s="697"/>
      <c r="CS348" s="697"/>
      <c r="CT348" s="697"/>
      <c r="CU348" s="697"/>
      <c r="CV348" s="697"/>
      <c r="CW348" s="697"/>
      <c r="CX348" s="697"/>
      <c r="CY348" s="697"/>
      <c r="CZ348" s="697"/>
      <c r="DA348" s="697"/>
    </row>
    <row r="349" spans="3:113">
      <c r="F349" s="698"/>
      <c r="O349" s="696"/>
      <c r="P349" s="696"/>
      <c r="Q349" s="696"/>
      <c r="R349" s="696"/>
      <c r="S349" s="696"/>
      <c r="T349" s="696"/>
      <c r="U349" s="696"/>
      <c r="V349" s="696"/>
      <c r="W349" s="696"/>
      <c r="X349" s="696"/>
      <c r="Y349" s="696"/>
      <c r="Z349" s="697"/>
      <c r="AA349" s="697"/>
      <c r="AB349" s="697"/>
      <c r="AC349" s="697"/>
      <c r="AD349" s="697"/>
      <c r="AE349" s="697"/>
      <c r="AF349" s="697"/>
      <c r="AG349" s="697"/>
      <c r="AH349" s="697"/>
      <c r="AI349" s="697"/>
      <c r="AJ349" s="697"/>
      <c r="AK349" s="697"/>
      <c r="AL349" s="697"/>
      <c r="AM349" s="697"/>
      <c r="AN349" s="697"/>
      <c r="AO349" s="697"/>
      <c r="AP349" s="697"/>
      <c r="AQ349" s="697"/>
      <c r="AR349" s="697"/>
      <c r="AS349" s="697"/>
      <c r="AT349" s="697"/>
      <c r="AU349" s="697"/>
      <c r="AV349" s="697"/>
      <c r="AW349" s="697"/>
      <c r="AX349" s="697"/>
      <c r="AY349" s="697"/>
      <c r="AZ349" s="697"/>
      <c r="BA349" s="697"/>
      <c r="BB349" s="697"/>
      <c r="BC349" s="697"/>
      <c r="BD349" s="697"/>
      <c r="BE349" s="697"/>
      <c r="BF349" s="697"/>
      <c r="BG349" s="697"/>
      <c r="BH349" s="697"/>
      <c r="BI349" s="697"/>
      <c r="BJ349" s="697"/>
      <c r="BK349" s="697"/>
      <c r="BL349" s="697"/>
      <c r="BM349" s="697"/>
      <c r="BN349" s="697"/>
      <c r="BO349" s="697"/>
      <c r="BP349" s="697"/>
      <c r="BQ349" s="697"/>
      <c r="BR349" s="697"/>
      <c r="BS349" s="697"/>
      <c r="BT349" s="697"/>
      <c r="BU349" s="697"/>
      <c r="BV349" s="697"/>
      <c r="BW349" s="697"/>
      <c r="BX349" s="697"/>
      <c r="BY349" s="697"/>
      <c r="BZ349" s="697"/>
      <c r="CA349" s="697"/>
      <c r="CB349" s="697"/>
      <c r="CC349" s="697"/>
      <c r="CD349" s="697"/>
      <c r="CE349" s="697"/>
      <c r="CF349" s="697"/>
      <c r="CG349" s="697"/>
      <c r="CH349" s="697"/>
      <c r="CI349" s="697"/>
      <c r="CJ349" s="697"/>
      <c r="CK349" s="697"/>
      <c r="CL349" s="697"/>
      <c r="CM349" s="697"/>
      <c r="CN349" s="697"/>
      <c r="CO349" s="697"/>
      <c r="CP349" s="697"/>
      <c r="CQ349" s="697"/>
      <c r="CR349" s="697"/>
      <c r="CS349" s="697"/>
      <c r="CT349" s="697"/>
      <c r="CU349" s="697"/>
      <c r="CV349" s="697"/>
      <c r="CW349" s="697"/>
      <c r="CX349" s="697"/>
      <c r="CY349" s="697"/>
      <c r="CZ349" s="697"/>
      <c r="DA349" s="697"/>
    </row>
    <row r="350" spans="3:113">
      <c r="C350" s="694"/>
      <c r="D350" s="693" t="s">
        <v>836</v>
      </c>
      <c r="E350" s="694"/>
      <c r="F350" s="694"/>
      <c r="G350" s="694"/>
      <c r="H350" s="695"/>
      <c r="I350" s="695"/>
      <c r="O350" s="696"/>
      <c r="P350" s="696"/>
      <c r="Q350" s="696"/>
      <c r="R350" s="696"/>
      <c r="S350" s="696"/>
      <c r="T350" s="696"/>
      <c r="U350" s="696"/>
      <c r="V350" s="696"/>
      <c r="W350" s="696"/>
      <c r="X350" s="696"/>
      <c r="Y350" s="696"/>
      <c r="Z350" s="696"/>
      <c r="AA350" s="696"/>
      <c r="AB350" s="696"/>
      <c r="AC350" s="696"/>
      <c r="AD350" s="696"/>
      <c r="AE350" s="696"/>
      <c r="AF350" s="696"/>
      <c r="AG350" s="696"/>
      <c r="AH350" s="696"/>
      <c r="AI350" s="696"/>
      <c r="AJ350" s="696"/>
      <c r="AK350" s="697"/>
      <c r="AL350" s="697"/>
      <c r="AM350" s="697"/>
      <c r="AN350" s="697"/>
      <c r="AO350" s="697"/>
      <c r="AP350" s="697"/>
      <c r="AQ350" s="697"/>
      <c r="AR350" s="697"/>
      <c r="AS350" s="697"/>
      <c r="AT350" s="697"/>
      <c r="AU350" s="697"/>
      <c r="AV350" s="697"/>
      <c r="AW350" s="697"/>
      <c r="AX350" s="697"/>
      <c r="AY350" s="697"/>
      <c r="AZ350" s="697"/>
      <c r="BA350" s="697"/>
      <c r="BB350" s="697"/>
      <c r="BC350" s="697"/>
      <c r="BD350" s="697"/>
      <c r="BE350" s="697"/>
      <c r="BF350" s="697"/>
      <c r="BG350" s="697"/>
      <c r="BH350" s="697"/>
      <c r="BI350" s="697"/>
      <c r="BJ350" s="697"/>
      <c r="BK350" s="697"/>
      <c r="BL350" s="697"/>
      <c r="BM350" s="697"/>
      <c r="BN350" s="697"/>
      <c r="BO350" s="697"/>
      <c r="BP350" s="697"/>
      <c r="BQ350" s="697"/>
      <c r="BR350" s="697"/>
      <c r="BS350" s="697"/>
      <c r="BT350" s="697"/>
      <c r="BU350" s="697"/>
      <c r="BV350" s="697"/>
      <c r="BW350" s="697"/>
      <c r="BX350" s="697"/>
      <c r="BY350" s="697"/>
      <c r="BZ350" s="697"/>
      <c r="CA350" s="697"/>
      <c r="CB350" s="697"/>
      <c r="CC350" s="697"/>
      <c r="CD350" s="697"/>
      <c r="CE350" s="697"/>
      <c r="CF350" s="697"/>
      <c r="CG350" s="697"/>
      <c r="CH350" s="697"/>
      <c r="CI350" s="697"/>
      <c r="CJ350" s="697"/>
      <c r="CK350" s="697"/>
      <c r="CL350" s="697"/>
      <c r="CM350" s="697"/>
      <c r="CN350" s="697"/>
      <c r="CO350" s="697"/>
      <c r="CP350" s="697"/>
      <c r="CQ350" s="697"/>
      <c r="CR350" s="697"/>
      <c r="CS350" s="697"/>
      <c r="CT350" s="697"/>
      <c r="CU350" s="697"/>
      <c r="CV350" s="697"/>
      <c r="CW350" s="697"/>
      <c r="CX350" s="697"/>
      <c r="CY350" s="697"/>
      <c r="CZ350" s="697"/>
      <c r="DA350" s="697"/>
    </row>
    <row r="351" spans="3:113" outlineLevel="1">
      <c r="E351" s="698" t="s">
        <v>561</v>
      </c>
      <c r="V351" s="696"/>
      <c r="W351" s="696"/>
      <c r="X351" s="696"/>
      <c r="Y351" s="696"/>
      <c r="Z351" s="696"/>
      <c r="AA351" s="696"/>
      <c r="AB351" s="696"/>
      <c r="AC351" s="696"/>
      <c r="AD351" s="696"/>
      <c r="AE351" s="696"/>
      <c r="AF351" s="696"/>
      <c r="AG351" s="696"/>
      <c r="AH351" s="696"/>
      <c r="AI351" s="696"/>
      <c r="AJ351" s="696"/>
    </row>
    <row r="352" spans="3:113" ht="15" outlineLevel="1">
      <c r="E352" s="698"/>
      <c r="F352" s="698" t="s">
        <v>793</v>
      </c>
      <c r="I352" s="699" t="s">
        <v>743</v>
      </c>
      <c r="P352" s="12"/>
      <c r="Q352" s="12"/>
      <c r="R352" s="12"/>
      <c r="S352" s="12"/>
      <c r="T352" s="12"/>
      <c r="U352" s="12"/>
      <c r="V352" s="700">
        <v>1.2999999999999999E-2</v>
      </c>
      <c r="W352" s="700">
        <v>0.02</v>
      </c>
      <c r="X352" s="700">
        <v>0.64400000000000002</v>
      </c>
      <c r="Y352" s="700">
        <v>0.70199999999999996</v>
      </c>
      <c r="Z352" s="700">
        <v>0.71499999999999997</v>
      </c>
      <c r="AA352" s="700">
        <v>0.93799999999999994</v>
      </c>
      <c r="AB352" s="700">
        <v>1.2230000000000001</v>
      </c>
      <c r="AC352" s="700">
        <v>1.133</v>
      </c>
      <c r="AD352" s="700">
        <v>1.3089999999999999</v>
      </c>
      <c r="AE352" s="700">
        <v>2.1960000000000002</v>
      </c>
      <c r="AF352" s="700">
        <v>2.0099999999999998</v>
      </c>
      <c r="AG352" s="700">
        <v>2.3029999999999999</v>
      </c>
      <c r="AH352" s="616">
        <v>2.1819999999999999</v>
      </c>
      <c r="AI352" s="616">
        <v>1.528</v>
      </c>
      <c r="AJ352" s="721">
        <v>1.86</v>
      </c>
      <c r="AK352" s="721">
        <v>1.67</v>
      </c>
      <c r="AL352" s="721">
        <v>1.9279999999999999</v>
      </c>
      <c r="AM352" s="721">
        <v>2.601</v>
      </c>
      <c r="AN352" s="721">
        <v>3.125</v>
      </c>
      <c r="AO352" s="721">
        <v>3.4790000000000001</v>
      </c>
      <c r="AP352" s="721">
        <v>4.125</v>
      </c>
      <c r="AQ352" s="721">
        <v>4.5250000000000004</v>
      </c>
      <c r="AR352" s="739">
        <v>5.2656852270500005</v>
      </c>
      <c r="AS352" s="738">
        <v>3.6</v>
      </c>
      <c r="AT352" s="756">
        <v>5</v>
      </c>
      <c r="AU352" s="756">
        <f>AT352</f>
        <v>5</v>
      </c>
      <c r="AV352" s="756">
        <f t="shared" ref="AV352:BE352" si="388">AU352</f>
        <v>5</v>
      </c>
      <c r="AW352" s="756">
        <f t="shared" si="388"/>
        <v>5</v>
      </c>
      <c r="AX352" s="756">
        <f t="shared" si="388"/>
        <v>5</v>
      </c>
      <c r="AY352" s="756">
        <f t="shared" si="388"/>
        <v>5</v>
      </c>
      <c r="AZ352" s="756">
        <f t="shared" si="388"/>
        <v>5</v>
      </c>
      <c r="BA352" s="756">
        <f t="shared" si="388"/>
        <v>5</v>
      </c>
      <c r="BB352" s="756">
        <f t="shared" si="388"/>
        <v>5</v>
      </c>
      <c r="BC352" s="756">
        <f t="shared" si="388"/>
        <v>5</v>
      </c>
      <c r="BD352" s="756">
        <f t="shared" si="388"/>
        <v>5</v>
      </c>
      <c r="BE352" s="756">
        <f t="shared" si="388"/>
        <v>5</v>
      </c>
      <c r="BF352" s="739">
        <f>BE352+($BQ$352-$BE$352)/12</f>
        <v>5.0625</v>
      </c>
      <c r="BG352" s="739">
        <f t="shared" ref="BG352:BP352" si="389">BF352+($BQ$352-$BE$352)/12</f>
        <v>5.125</v>
      </c>
      <c r="BH352" s="739">
        <f t="shared" si="389"/>
        <v>5.1875</v>
      </c>
      <c r="BI352" s="739">
        <f t="shared" si="389"/>
        <v>5.25</v>
      </c>
      <c r="BJ352" s="739">
        <f t="shared" si="389"/>
        <v>5.3125</v>
      </c>
      <c r="BK352" s="739">
        <f t="shared" si="389"/>
        <v>5.375</v>
      </c>
      <c r="BL352" s="739">
        <f t="shared" si="389"/>
        <v>5.4375</v>
      </c>
      <c r="BM352" s="739">
        <f t="shared" si="389"/>
        <v>5.5</v>
      </c>
      <c r="BN352" s="739">
        <f t="shared" si="389"/>
        <v>5.5625</v>
      </c>
      <c r="BO352" s="739">
        <f t="shared" si="389"/>
        <v>5.625</v>
      </c>
      <c r="BP352" s="739">
        <f t="shared" si="389"/>
        <v>5.6875</v>
      </c>
      <c r="BQ352" s="738">
        <f>BE352*1.15</f>
        <v>5.75</v>
      </c>
      <c r="BR352" s="739">
        <f>BQ352+($CC$352-$BQ$352)/12</f>
        <v>5.604166666666667</v>
      </c>
      <c r="BS352" s="739">
        <f t="shared" ref="BS352:CB352" si="390">BR352+($CC$352-$BQ$352)/12</f>
        <v>5.4583333333333339</v>
      </c>
      <c r="BT352" s="739">
        <f t="shared" si="390"/>
        <v>5.3125000000000009</v>
      </c>
      <c r="BU352" s="739">
        <f t="shared" si="390"/>
        <v>5.1666666666666679</v>
      </c>
      <c r="BV352" s="739">
        <f t="shared" si="390"/>
        <v>5.0208333333333348</v>
      </c>
      <c r="BW352" s="739">
        <f t="shared" si="390"/>
        <v>4.8750000000000018</v>
      </c>
      <c r="BX352" s="739">
        <f t="shared" si="390"/>
        <v>4.7291666666666687</v>
      </c>
      <c r="BY352" s="739">
        <f t="shared" si="390"/>
        <v>4.5833333333333357</v>
      </c>
      <c r="BZ352" s="739">
        <f t="shared" si="390"/>
        <v>4.4375000000000027</v>
      </c>
      <c r="CA352" s="739">
        <f t="shared" si="390"/>
        <v>4.2916666666666696</v>
      </c>
      <c r="CB352" s="739">
        <f t="shared" si="390"/>
        <v>4.1458333333333366</v>
      </c>
      <c r="CC352" s="738">
        <v>4</v>
      </c>
      <c r="CD352" s="739">
        <f>CC352+($CO$352-$CC$352)/12</f>
        <v>4</v>
      </c>
      <c r="CE352" s="739">
        <f t="shared" ref="CE352:CN352" si="391">CD352+($CO$352-$CC$352)/12</f>
        <v>4</v>
      </c>
      <c r="CF352" s="739">
        <f t="shared" si="391"/>
        <v>4</v>
      </c>
      <c r="CG352" s="739">
        <f t="shared" si="391"/>
        <v>4</v>
      </c>
      <c r="CH352" s="739">
        <f t="shared" si="391"/>
        <v>4</v>
      </c>
      <c r="CI352" s="739">
        <f t="shared" si="391"/>
        <v>4</v>
      </c>
      <c r="CJ352" s="739">
        <f t="shared" si="391"/>
        <v>4</v>
      </c>
      <c r="CK352" s="739">
        <f t="shared" si="391"/>
        <v>4</v>
      </c>
      <c r="CL352" s="739">
        <f t="shared" si="391"/>
        <v>4</v>
      </c>
      <c r="CM352" s="739">
        <f t="shared" si="391"/>
        <v>4</v>
      </c>
      <c r="CN352" s="739">
        <f t="shared" si="391"/>
        <v>4</v>
      </c>
      <c r="CO352" s="738">
        <v>4</v>
      </c>
      <c r="CP352" s="710">
        <f>CO352+($DA352-$CO352)/12</f>
        <v>4</v>
      </c>
      <c r="CQ352" s="710">
        <f t="shared" ref="CQ352:CZ352" si="392">CP352+($DA352-$CO352)/12</f>
        <v>4</v>
      </c>
      <c r="CR352" s="710">
        <f t="shared" si="392"/>
        <v>4</v>
      </c>
      <c r="CS352" s="710">
        <f t="shared" si="392"/>
        <v>4</v>
      </c>
      <c r="CT352" s="710">
        <f t="shared" si="392"/>
        <v>4</v>
      </c>
      <c r="CU352" s="710">
        <f t="shared" si="392"/>
        <v>4</v>
      </c>
      <c r="CV352" s="710">
        <f t="shared" si="392"/>
        <v>4</v>
      </c>
      <c r="CW352" s="710">
        <f t="shared" si="392"/>
        <v>4</v>
      </c>
      <c r="CX352" s="710">
        <f t="shared" si="392"/>
        <v>4</v>
      </c>
      <c r="CY352" s="710">
        <f t="shared" si="392"/>
        <v>4</v>
      </c>
      <c r="CZ352" s="710">
        <f t="shared" si="392"/>
        <v>4</v>
      </c>
      <c r="DA352" s="738">
        <v>4</v>
      </c>
      <c r="DC352" s="11">
        <f>AG352</f>
        <v>2.3029999999999999</v>
      </c>
      <c r="DD352" s="12">
        <f>SUM(AH352:AS352)</f>
        <v>35.888685227049997</v>
      </c>
      <c r="DE352" s="12">
        <f>SUM(AT352:BE352)</f>
        <v>60</v>
      </c>
      <c r="DF352" s="12">
        <f>SUM(BF352:BQ352)</f>
        <v>64.875</v>
      </c>
      <c r="DG352" s="12">
        <f>SUM(BR352:CC352)</f>
        <v>57.625000000000021</v>
      </c>
      <c r="DH352" s="12">
        <f>SUM(CD352:CO352)</f>
        <v>48</v>
      </c>
      <c r="DI352" s="12">
        <f>SUM(CP352:DA352)</f>
        <v>48</v>
      </c>
    </row>
    <row r="353" spans="2:113" ht="15" outlineLevel="1">
      <c r="E353" s="698"/>
      <c r="F353" s="698" t="s">
        <v>794</v>
      </c>
      <c r="I353" s="699" t="s">
        <v>743</v>
      </c>
      <c r="V353" s="700">
        <v>2.5000000000000001E-2</v>
      </c>
      <c r="W353" s="700">
        <v>3.2000000000000001E-2</v>
      </c>
      <c r="X353" s="700">
        <v>0.69499999999999995</v>
      </c>
      <c r="Y353" s="700">
        <v>1.3939999999999999</v>
      </c>
      <c r="Z353" s="700">
        <v>2.0760000000000001</v>
      </c>
      <c r="AA353" s="700">
        <v>2.9430000000000001</v>
      </c>
      <c r="AB353" s="700">
        <v>4.0090000000000003</v>
      </c>
      <c r="AC353" s="700">
        <v>5.0270000000000001</v>
      </c>
      <c r="AD353" s="700">
        <v>6.21</v>
      </c>
      <c r="AE353" s="700">
        <v>8.2759999999999998</v>
      </c>
      <c r="AF353" s="700">
        <v>10.012</v>
      </c>
      <c r="AG353" s="700">
        <v>12.048</v>
      </c>
      <c r="AH353" s="616">
        <v>13.976000000000001</v>
      </c>
      <c r="AI353" s="616">
        <v>15.18</v>
      </c>
      <c r="AJ353" s="721">
        <v>16.234999999999999</v>
      </c>
      <c r="AK353" s="721">
        <v>17.036999999999999</v>
      </c>
      <c r="AL353" s="721">
        <v>18.117000000000001</v>
      </c>
      <c r="AM353" s="721">
        <v>19.614000000000001</v>
      </c>
      <c r="AN353" s="721">
        <v>21.276</v>
      </c>
      <c r="AO353" s="721">
        <v>23.244</v>
      </c>
      <c r="AP353" s="721">
        <v>23.745999999999999</v>
      </c>
      <c r="AQ353" s="721">
        <v>27.893000000000001</v>
      </c>
      <c r="AR353" s="739">
        <v>24.668107440820002</v>
      </c>
      <c r="AS353" s="739">
        <v>26.77438153164</v>
      </c>
      <c r="AT353" s="756">
        <v>28.335457244236068</v>
      </c>
      <c r="AU353" s="756">
        <v>29.878433740296778</v>
      </c>
      <c r="AV353" s="756">
        <v>31.404172887276196</v>
      </c>
      <c r="AW353" s="756">
        <v>32.913482685912506</v>
      </c>
      <c r="AX353" s="756">
        <v>34.407121413821542</v>
      </c>
      <c r="AY353" s="756">
        <v>35.885801392400012</v>
      </c>
      <c r="AZ353" s="756">
        <v>37.350192416394044</v>
      </c>
      <c r="BA353" s="756">
        <v>38.800924880858837</v>
      </c>
      <c r="BB353" s="756">
        <v>40.238592636208708</v>
      </c>
      <c r="BC353" s="756">
        <v>41.66375559854859</v>
      </c>
      <c r="BD353" s="756">
        <v>43.076942139414108</v>
      </c>
      <c r="BE353" s="756">
        <v>44.478651276366662</v>
      </c>
      <c r="BF353" s="739">
        <v>45.595923699297956</v>
      </c>
      <c r="BG353" s="739">
        <v>46.734005225311996</v>
      </c>
      <c r="BH353" s="739">
        <v>47.892652181678422</v>
      </c>
      <c r="BI353" s="739">
        <v>49.071639639723067</v>
      </c>
      <c r="BJ353" s="739">
        <v>50.270759646520744</v>
      </c>
      <c r="BK353" s="739">
        <v>51.489819653066654</v>
      </c>
      <c r="BL353" s="739">
        <v>52.728641113919984</v>
      </c>
      <c r="BM353" s="739">
        <v>53.987058236885694</v>
      </c>
      <c r="BN353" s="739">
        <v>55.264916864308752</v>
      </c>
      <c r="BO353" s="739">
        <v>56.562073470096536</v>
      </c>
      <c r="BP353" s="739">
        <v>57.878394258738957</v>
      </c>
      <c r="BQ353" s="739">
        <v>59.213754354426648</v>
      </c>
      <c r="BR353" s="739">
        <v>60.804720423791927</v>
      </c>
      <c r="BS353" s="739">
        <v>62.327132882953606</v>
      </c>
      <c r="BT353" s="739">
        <v>63.781948658405724</v>
      </c>
      <c r="BU353" s="739">
        <v>65.170083956365943</v>
      </c>
      <c r="BV353" s="739">
        <v>66.492416405948063</v>
      </c>
      <c r="BW353" s="739">
        <v>67.749787068386112</v>
      </c>
      <c r="BX353" s="739">
        <v>68.943002321976635</v>
      </c>
      <c r="BY353" s="739">
        <v>70.072835631616329</v>
      </c>
      <c r="BZ353" s="739">
        <v>71.140029211094941</v>
      </c>
      <c r="CA353" s="739">
        <v>72.145295585650658</v>
      </c>
      <c r="CB353" s="739">
        <v>73.089319061700309</v>
      </c>
      <c r="CC353" s="739">
        <v>73.972757110115012</v>
      </c>
      <c r="CD353" s="739">
        <v>74.50068816649015</v>
      </c>
      <c r="CE353" s="739">
        <v>75.036392621254578</v>
      </c>
      <c r="CF353" s="739">
        <v>75.579542020955216</v>
      </c>
      <c r="CG353" s="739">
        <v>76.129826159553062</v>
      </c>
      <c r="CH353" s="739">
        <v>76.686951828600286</v>
      </c>
      <c r="CI353" s="739">
        <v>77.250641668754326</v>
      </c>
      <c r="CJ353" s="739">
        <v>77.820633113170942</v>
      </c>
      <c r="CK353" s="739">
        <v>78.39667741431343</v>
      </c>
      <c r="CL353" s="739">
        <v>78.978538746595078</v>
      </c>
      <c r="CM353" s="739">
        <v>79.565993378048987</v>
      </c>
      <c r="CN353" s="739">
        <v>80.158828904909114</v>
      </c>
      <c r="CO353" s="739">
        <v>80.756843543597753</v>
      </c>
      <c r="CP353" s="739">
        <v>80.089431613485374</v>
      </c>
      <c r="CQ353" s="739">
        <v>79.432960862555163</v>
      </c>
      <c r="CR353" s="739">
        <v>78.787164432778283</v>
      </c>
      <c r="CS353" s="739">
        <v>78.151784074449424</v>
      </c>
      <c r="CT353" s="739">
        <v>77.526569801853825</v>
      </c>
      <c r="CU353" s="739">
        <v>76.911279565331171</v>
      </c>
      <c r="CV353" s="739">
        <v>76.3056789388325</v>
      </c>
      <c r="CW353" s="739">
        <v>75.709540822122861</v>
      </c>
      <c r="CX353" s="739">
        <v>75.122645156835091</v>
      </c>
      <c r="CY353" s="739">
        <v>74.544778655628662</v>
      </c>
      <c r="CZ353" s="739">
        <v>73.975734543753632</v>
      </c>
      <c r="DA353" s="739">
        <v>73.415312312361593</v>
      </c>
      <c r="DC353" s="11">
        <f>AG353</f>
        <v>12.048</v>
      </c>
      <c r="DD353" s="11">
        <f>AS353</f>
        <v>26.77438153164</v>
      </c>
      <c r="DE353" s="11">
        <f>BE353</f>
        <v>44.478651276366662</v>
      </c>
      <c r="DF353" s="11">
        <f>BQ353</f>
        <v>59.213754354426648</v>
      </c>
      <c r="DG353" s="11">
        <f>CC353</f>
        <v>73.972757110115012</v>
      </c>
      <c r="DH353" s="11">
        <f>CO353</f>
        <v>80.756843543597753</v>
      </c>
      <c r="DI353" s="11">
        <f>DA353</f>
        <v>73.415312312361593</v>
      </c>
    </row>
    <row r="354" spans="2:113" ht="15" outlineLevel="1">
      <c r="E354" s="698"/>
      <c r="F354" s="698" t="s">
        <v>795</v>
      </c>
      <c r="I354" s="609" t="s">
        <v>736</v>
      </c>
      <c r="V354" s="700">
        <v>1.801964103</v>
      </c>
      <c r="W354" s="700">
        <v>3.9256032539999999</v>
      </c>
      <c r="X354" s="700">
        <v>9.6652761409999997</v>
      </c>
      <c r="Y354" s="700">
        <v>15.744796961</v>
      </c>
      <c r="Z354" s="700">
        <v>16.266874431000002</v>
      </c>
      <c r="AA354" s="700">
        <v>19.167730124999999</v>
      </c>
      <c r="AB354" s="700">
        <v>32.655630961999996</v>
      </c>
      <c r="AC354" s="700">
        <v>26.057729962</v>
      </c>
      <c r="AD354" s="700">
        <v>27.967269999999999</v>
      </c>
      <c r="AE354" s="700">
        <v>44.5</v>
      </c>
      <c r="AF354" s="700">
        <v>47.287999999999997</v>
      </c>
      <c r="AG354" s="700">
        <v>75.810236516000003</v>
      </c>
      <c r="AH354" s="746">
        <f>65441115374/10^9</f>
        <v>65.441115374000006</v>
      </c>
      <c r="AI354" s="946">
        <f>53871347840/10^9</f>
        <v>53.871347839999999</v>
      </c>
      <c r="AJ354" s="746">
        <v>64.693977570000001</v>
      </c>
      <c r="AK354" s="746">
        <v>62.554321729000002</v>
      </c>
      <c r="AL354" s="746">
        <v>64.150901501000007</v>
      </c>
      <c r="AM354" s="746">
        <v>71.426343974000005</v>
      </c>
      <c r="AN354" s="746">
        <v>81.514133475999998</v>
      </c>
      <c r="AO354" s="746">
        <v>84.72</v>
      </c>
      <c r="AP354" s="746">
        <v>91.059626577000003</v>
      </c>
      <c r="AQ354" s="721">
        <v>105.31370454100001</v>
      </c>
      <c r="AR354" s="947">
        <f>AQ354</f>
        <v>105.31370454100001</v>
      </c>
      <c r="AS354" s="947">
        <f>AR354</f>
        <v>105.31370454100001</v>
      </c>
      <c r="AT354" s="756">
        <v>101.66666666666666</v>
      </c>
      <c r="AU354" s="756">
        <v>103.33333333333331</v>
      </c>
      <c r="AV354" s="756">
        <v>104.99999999999999</v>
      </c>
      <c r="AW354" s="756">
        <v>106.66666666666664</v>
      </c>
      <c r="AX354" s="756">
        <v>108.3333333333333</v>
      </c>
      <c r="AY354" s="756">
        <v>109.99999999999997</v>
      </c>
      <c r="AZ354" s="756">
        <v>111.66666666666663</v>
      </c>
      <c r="BA354" s="756">
        <v>113.33333333333329</v>
      </c>
      <c r="BB354" s="756">
        <v>114.99999999999994</v>
      </c>
      <c r="BC354" s="756">
        <v>116.6666666666666</v>
      </c>
      <c r="BD354" s="756">
        <v>118.33333333333327</v>
      </c>
      <c r="BE354" s="756">
        <v>120</v>
      </c>
      <c r="BF354" s="739">
        <v>124.03125</v>
      </c>
      <c r="BG354" s="739">
        <v>128.125</v>
      </c>
      <c r="BH354" s="739">
        <v>132.28125</v>
      </c>
      <c r="BI354" s="739">
        <v>136.5</v>
      </c>
      <c r="BJ354" s="739">
        <v>140.78125</v>
      </c>
      <c r="BK354" s="739">
        <v>145.125</v>
      </c>
      <c r="BL354" s="739">
        <v>149.53125</v>
      </c>
      <c r="BM354" s="739">
        <v>154</v>
      </c>
      <c r="BN354" s="739">
        <v>158.53125</v>
      </c>
      <c r="BO354" s="739">
        <v>163.125</v>
      </c>
      <c r="BP354" s="739">
        <v>167.78125</v>
      </c>
      <c r="BQ354" s="739">
        <v>172.5</v>
      </c>
      <c r="BR354" s="739">
        <v>169.99305555555557</v>
      </c>
      <c r="BS354" s="739">
        <v>167.38888888888891</v>
      </c>
      <c r="BT354" s="739">
        <v>164.6875</v>
      </c>
      <c r="BU354" s="739">
        <v>161.88888888888891</v>
      </c>
      <c r="BV354" s="739">
        <v>158.99305555555557</v>
      </c>
      <c r="BW354" s="739">
        <v>156.00000000000003</v>
      </c>
      <c r="BX354" s="739">
        <v>152.90972222222226</v>
      </c>
      <c r="BY354" s="739">
        <v>149.72222222222226</v>
      </c>
      <c r="BZ354" s="739">
        <v>146.43750000000006</v>
      </c>
      <c r="CA354" s="739">
        <v>143.05555555555563</v>
      </c>
      <c r="CB354" s="739">
        <v>139.576388888889</v>
      </c>
      <c r="CC354" s="739">
        <v>136</v>
      </c>
      <c r="CD354" s="739">
        <v>138</v>
      </c>
      <c r="CE354" s="739">
        <v>140</v>
      </c>
      <c r="CF354" s="739">
        <v>142</v>
      </c>
      <c r="CG354" s="739">
        <v>144</v>
      </c>
      <c r="CH354" s="739">
        <v>146</v>
      </c>
      <c r="CI354" s="739">
        <v>148</v>
      </c>
      <c r="CJ354" s="739">
        <v>150</v>
      </c>
      <c r="CK354" s="739">
        <v>152</v>
      </c>
      <c r="CL354" s="739">
        <v>154</v>
      </c>
      <c r="CM354" s="739">
        <v>156</v>
      </c>
      <c r="CN354" s="739">
        <v>158</v>
      </c>
      <c r="CO354" s="739">
        <v>160</v>
      </c>
      <c r="CP354" s="739">
        <v>161.33333333333334</v>
      </c>
      <c r="CQ354" s="739">
        <v>162.66666666666669</v>
      </c>
      <c r="CR354" s="739">
        <v>164.00000000000003</v>
      </c>
      <c r="CS354" s="739">
        <v>165.33333333333337</v>
      </c>
      <c r="CT354" s="739">
        <v>166.66666666666671</v>
      </c>
      <c r="CU354" s="739">
        <v>168.00000000000006</v>
      </c>
      <c r="CV354" s="739">
        <v>169.3333333333334</v>
      </c>
      <c r="CW354" s="739">
        <v>170.66666666666674</v>
      </c>
      <c r="CX354" s="739">
        <v>172.00000000000009</v>
      </c>
      <c r="CY354" s="739">
        <v>173.33333333333343</v>
      </c>
      <c r="CZ354" s="739">
        <v>174.66666666666677</v>
      </c>
      <c r="DA354" s="739">
        <v>176</v>
      </c>
      <c r="DC354" s="12">
        <f>SUM(V354:AG354)</f>
        <v>320.85111245500002</v>
      </c>
      <c r="DD354" s="12">
        <f>SUM(AH354:AS354)</f>
        <v>955.37288166400003</v>
      </c>
      <c r="DE354" s="12">
        <f>SUM(AT354:BE354)</f>
        <v>1329.9999999999995</v>
      </c>
      <c r="DF354" s="12">
        <f>SUM(BF354:BQ354)</f>
        <v>1772.3125</v>
      </c>
      <c r="DG354" s="12">
        <f>SUM(BR354:CC354)</f>
        <v>1846.6527777777778</v>
      </c>
      <c r="DH354" s="12">
        <f>SUM(CD354:CO354)</f>
        <v>1788</v>
      </c>
      <c r="DI354" s="12">
        <f>SUM(CP354:DA354)</f>
        <v>2024.0000000000007</v>
      </c>
    </row>
    <row r="355" spans="2:113" ht="15" outlineLevel="1">
      <c r="B355" s="948"/>
      <c r="E355" s="698"/>
      <c r="F355" s="698" t="s">
        <v>796</v>
      </c>
      <c r="I355" s="609" t="s">
        <v>736</v>
      </c>
      <c r="V355" s="949">
        <v>1.0069512839999999</v>
      </c>
      <c r="W355" s="700">
        <v>1.9892109410000001</v>
      </c>
      <c r="X355" s="700">
        <v>8.0831360209999996</v>
      </c>
      <c r="Y355" s="700">
        <v>15.950361705000001</v>
      </c>
      <c r="Z355" s="700">
        <v>23.106711790999999</v>
      </c>
      <c r="AA355" s="700">
        <v>29.671450772</v>
      </c>
      <c r="AB355" s="700">
        <v>38.219642428</v>
      </c>
      <c r="AC355" s="700">
        <v>45.254433585999998</v>
      </c>
      <c r="AD355" s="700">
        <v>55.922960000000003</v>
      </c>
      <c r="AE355" s="700">
        <v>76.06</v>
      </c>
      <c r="AF355" s="700">
        <v>90.863</v>
      </c>
      <c r="AG355" s="700">
        <v>116.663647023</v>
      </c>
      <c r="AH355" s="616">
        <f>127569838447/10^9</f>
        <v>127.569838447</v>
      </c>
      <c r="AI355" s="616">
        <f>136503937637/10^9</f>
        <v>136.50393763700001</v>
      </c>
      <c r="AJ355" s="721">
        <v>146.302217746</v>
      </c>
      <c r="AK355" s="721">
        <v>153.724431229</v>
      </c>
      <c r="AL355" s="721">
        <v>162.07837324499999</v>
      </c>
      <c r="AM355" s="721">
        <v>173.55881885400001</v>
      </c>
      <c r="AN355" s="721">
        <v>183.47028781899999</v>
      </c>
      <c r="AO355" s="721">
        <v>196.75579557399999</v>
      </c>
      <c r="AP355" s="721">
        <v>212.67796063500001</v>
      </c>
      <c r="AQ355" s="721">
        <v>225.61833350000001</v>
      </c>
      <c r="AR355" s="739">
        <v>246.6810744082</v>
      </c>
      <c r="AS355" s="739">
        <v>267.7438153164</v>
      </c>
      <c r="AT355" s="756">
        <v>288.07714864973332</v>
      </c>
      <c r="AU355" s="756">
        <v>308.7438153164</v>
      </c>
      <c r="AV355" s="756">
        <v>329.7438153164</v>
      </c>
      <c r="AW355" s="756">
        <v>351.07714864973332</v>
      </c>
      <c r="AX355" s="756">
        <v>372.7438153164</v>
      </c>
      <c r="AY355" s="756">
        <v>394.7438153164</v>
      </c>
      <c r="AZ355" s="756">
        <v>417.07714864973332</v>
      </c>
      <c r="BA355" s="756">
        <v>439.74381531639995</v>
      </c>
      <c r="BB355" s="756">
        <v>462.74381531639995</v>
      </c>
      <c r="BC355" s="756">
        <v>486.07714864973326</v>
      </c>
      <c r="BD355" s="756">
        <v>509.74381531639995</v>
      </c>
      <c r="BE355" s="756">
        <v>533.74381531639995</v>
      </c>
      <c r="BF355" s="739">
        <v>558.55006531639992</v>
      </c>
      <c r="BG355" s="739">
        <v>584.17506531639992</v>
      </c>
      <c r="BH355" s="739">
        <v>610.63131531639988</v>
      </c>
      <c r="BI355" s="739">
        <v>637.93131531639983</v>
      </c>
      <c r="BJ355" s="739">
        <v>666.08756531639983</v>
      </c>
      <c r="BK355" s="739">
        <v>695.11256531639981</v>
      </c>
      <c r="BL355" s="739">
        <v>725.01881531639981</v>
      </c>
      <c r="BM355" s="739">
        <v>755.81881531639976</v>
      </c>
      <c r="BN355" s="739">
        <v>787.52506531639972</v>
      </c>
      <c r="BO355" s="739">
        <v>820.15006531639972</v>
      </c>
      <c r="BP355" s="739">
        <v>853.7063153163997</v>
      </c>
      <c r="BQ355" s="739">
        <v>888.2063153163997</v>
      </c>
      <c r="BR355" s="739">
        <v>922.20492642751083</v>
      </c>
      <c r="BS355" s="739">
        <v>955.68270420528859</v>
      </c>
      <c r="BT355" s="739">
        <v>988.62020420528859</v>
      </c>
      <c r="BU355" s="739">
        <v>1020.9979819830663</v>
      </c>
      <c r="BV355" s="739">
        <v>1052.7965930941775</v>
      </c>
      <c r="BW355" s="739">
        <v>1083.9965930941776</v>
      </c>
      <c r="BX355" s="739">
        <v>1114.578537538622</v>
      </c>
      <c r="BY355" s="739">
        <v>1144.5229819830663</v>
      </c>
      <c r="BZ355" s="739">
        <v>1173.8104819830662</v>
      </c>
      <c r="CA355" s="739">
        <v>1202.4215930941773</v>
      </c>
      <c r="CB355" s="739">
        <v>1230.3368708719552</v>
      </c>
      <c r="CC355" s="739">
        <v>1257.5368708719552</v>
      </c>
      <c r="CD355" s="739">
        <v>1285.1368708719551</v>
      </c>
      <c r="CE355" s="739">
        <v>1313.1368708719551</v>
      </c>
      <c r="CF355" s="739">
        <v>1341.5368708719552</v>
      </c>
      <c r="CG355" s="739">
        <v>1370.3368708719552</v>
      </c>
      <c r="CH355" s="739">
        <v>1399.5368708719552</v>
      </c>
      <c r="CI355" s="739">
        <v>1429.1368708719551</v>
      </c>
      <c r="CJ355" s="739">
        <v>1459.1368708719551</v>
      </c>
      <c r="CK355" s="739">
        <v>1489.5368708719552</v>
      </c>
      <c r="CL355" s="739">
        <v>1520.3368708719552</v>
      </c>
      <c r="CM355" s="739">
        <v>1551.5368708719552</v>
      </c>
      <c r="CN355" s="739">
        <v>1583.1368708719551</v>
      </c>
      <c r="CO355" s="739">
        <v>1615.1368708719551</v>
      </c>
      <c r="CP355" s="739">
        <v>1615.1368708719551</v>
      </c>
      <c r="CQ355" s="739">
        <v>1615.1368708719551</v>
      </c>
      <c r="CR355" s="739">
        <v>1615.1368708719551</v>
      </c>
      <c r="CS355" s="739">
        <v>1615.1368708719551</v>
      </c>
      <c r="CT355" s="739">
        <v>1615.1368708719551</v>
      </c>
      <c r="CU355" s="739">
        <v>1615.1368708719551</v>
      </c>
      <c r="CV355" s="739">
        <v>1615.1368708719551</v>
      </c>
      <c r="CW355" s="739">
        <v>1615.1368708719551</v>
      </c>
      <c r="CX355" s="739">
        <v>1615.1368708719551</v>
      </c>
      <c r="CY355" s="739">
        <v>1615.1368708719551</v>
      </c>
      <c r="CZ355" s="739">
        <v>1615.1368708719551</v>
      </c>
      <c r="DA355" s="739">
        <v>1615.1368708719551</v>
      </c>
      <c r="DC355" s="11">
        <f>AG355</f>
        <v>116.663647023</v>
      </c>
      <c r="DD355" s="13">
        <f>AS355</f>
        <v>267.7438153164</v>
      </c>
      <c r="DE355" s="13">
        <f>BE355</f>
        <v>533.74381531639995</v>
      </c>
      <c r="DF355" s="13">
        <f>BQ355</f>
        <v>888.2063153163997</v>
      </c>
      <c r="DG355" s="13">
        <f>CC355</f>
        <v>1257.5368708719552</v>
      </c>
      <c r="DH355" s="13">
        <f>CO355</f>
        <v>1615.1368708719551</v>
      </c>
      <c r="DI355" s="13">
        <f>DA355</f>
        <v>1615.1368708719551</v>
      </c>
    </row>
    <row r="356" spans="2:113" ht="15" outlineLevel="1">
      <c r="E356" s="698"/>
      <c r="G356" s="126" t="s">
        <v>837</v>
      </c>
      <c r="I356" s="609" t="s">
        <v>736</v>
      </c>
      <c r="V356" s="700"/>
      <c r="W356" s="700"/>
      <c r="X356" s="12"/>
      <c r="Y356" s="12"/>
      <c r="Z356" s="700">
        <v>8.9534691790000007</v>
      </c>
      <c r="AA356" s="700">
        <v>10.051221264</v>
      </c>
      <c r="AB356" s="700">
        <v>11.786819396</v>
      </c>
      <c r="AC356" s="700">
        <v>12.700084994999999</v>
      </c>
      <c r="AD356" s="700">
        <v>14.522325601</v>
      </c>
      <c r="AE356" s="700">
        <v>16.497695508</v>
      </c>
      <c r="AF356" s="700">
        <v>15.588103143</v>
      </c>
      <c r="AG356" s="700">
        <v>23.261244961999999</v>
      </c>
      <c r="AH356" s="616">
        <f>17356926828/10^9</f>
        <v>17.356926827999999</v>
      </c>
      <c r="AI356" s="616">
        <f>15767102414/10^9</f>
        <v>15.767102414</v>
      </c>
      <c r="AJ356" s="721">
        <v>15.684967973999999</v>
      </c>
      <c r="AK356" s="721">
        <v>16.184994618000001</v>
      </c>
      <c r="AL356" s="721">
        <v>16.151599857000001</v>
      </c>
      <c r="AM356" s="721">
        <v>17.072942405999999</v>
      </c>
      <c r="AN356" s="721">
        <v>15.823014319</v>
      </c>
      <c r="AO356" s="721">
        <v>14.424975828999999</v>
      </c>
      <c r="AP356" s="721">
        <v>15.161092524000001</v>
      </c>
      <c r="AQ356" s="721">
        <v>14.84264937</v>
      </c>
      <c r="AR356" s="739">
        <f t="shared" ref="AR356:DA356" si="393">AQ356*1.01</f>
        <v>14.991075863700001</v>
      </c>
      <c r="AS356" s="739">
        <f t="shared" si="393"/>
        <v>15.140986622337001</v>
      </c>
      <c r="AT356" s="756">
        <f t="shared" si="393"/>
        <v>15.292396488560371</v>
      </c>
      <c r="AU356" s="756">
        <f t="shared" si="393"/>
        <v>15.445320453445975</v>
      </c>
      <c r="AV356" s="756">
        <f t="shared" si="393"/>
        <v>15.599773657980435</v>
      </c>
      <c r="AW356" s="756">
        <f t="shared" si="393"/>
        <v>15.75577139456024</v>
      </c>
      <c r="AX356" s="756">
        <f t="shared" si="393"/>
        <v>15.913329108505842</v>
      </c>
      <c r="AY356" s="756">
        <f t="shared" si="393"/>
        <v>16.072462399590901</v>
      </c>
      <c r="AZ356" s="756">
        <f t="shared" si="393"/>
        <v>16.233187023586808</v>
      </c>
      <c r="BA356" s="756">
        <f t="shared" si="393"/>
        <v>16.395518893822675</v>
      </c>
      <c r="BB356" s="756">
        <f t="shared" si="393"/>
        <v>16.559474082760904</v>
      </c>
      <c r="BC356" s="756">
        <f t="shared" si="393"/>
        <v>16.725068823588511</v>
      </c>
      <c r="BD356" s="756">
        <f t="shared" si="393"/>
        <v>16.892319511824397</v>
      </c>
      <c r="BE356" s="756">
        <f t="shared" si="393"/>
        <v>17.06124270694264</v>
      </c>
      <c r="BF356" s="739">
        <f t="shared" si="393"/>
        <v>17.231855134012065</v>
      </c>
      <c r="BG356" s="739">
        <f t="shared" si="393"/>
        <v>17.404173685352184</v>
      </c>
      <c r="BH356" s="739">
        <f t="shared" si="393"/>
        <v>17.578215422205705</v>
      </c>
      <c r="BI356" s="739">
        <f t="shared" si="393"/>
        <v>17.753997576427761</v>
      </c>
      <c r="BJ356" s="739">
        <f t="shared" si="393"/>
        <v>17.93153755219204</v>
      </c>
      <c r="BK356" s="739">
        <f t="shared" si="393"/>
        <v>18.11085292771396</v>
      </c>
      <c r="BL356" s="739">
        <f t="shared" si="393"/>
        <v>18.2919614569911</v>
      </c>
      <c r="BM356" s="739">
        <f t="shared" si="393"/>
        <v>18.474881071561011</v>
      </c>
      <c r="BN356" s="739">
        <f t="shared" si="393"/>
        <v>18.659629882276622</v>
      </c>
      <c r="BO356" s="739">
        <f t="shared" si="393"/>
        <v>18.846226181099389</v>
      </c>
      <c r="BP356" s="739">
        <f t="shared" si="393"/>
        <v>19.034688442910383</v>
      </c>
      <c r="BQ356" s="739">
        <f t="shared" si="393"/>
        <v>19.225035327339487</v>
      </c>
      <c r="BR356" s="739">
        <f t="shared" si="393"/>
        <v>19.417285680612881</v>
      </c>
      <c r="BS356" s="739">
        <f t="shared" si="393"/>
        <v>19.611458537419011</v>
      </c>
      <c r="BT356" s="739">
        <f t="shared" si="393"/>
        <v>19.807573122793201</v>
      </c>
      <c r="BU356" s="739">
        <f t="shared" si="393"/>
        <v>20.005648854021132</v>
      </c>
      <c r="BV356" s="739">
        <f t="shared" si="393"/>
        <v>20.205705342561345</v>
      </c>
      <c r="BW356" s="739">
        <f t="shared" si="393"/>
        <v>20.407762395986957</v>
      </c>
      <c r="BX356" s="739">
        <f t="shared" si="393"/>
        <v>20.611840019946825</v>
      </c>
      <c r="BY356" s="739">
        <f t="shared" si="393"/>
        <v>20.817958420146294</v>
      </c>
      <c r="BZ356" s="739">
        <f t="shared" si="393"/>
        <v>21.026138004347757</v>
      </c>
      <c r="CA356" s="739">
        <f t="shared" si="393"/>
        <v>21.236399384391234</v>
      </c>
      <c r="CB356" s="739">
        <f t="shared" si="393"/>
        <v>21.448763378235146</v>
      </c>
      <c r="CC356" s="739">
        <f t="shared" si="393"/>
        <v>21.663251012017497</v>
      </c>
      <c r="CD356" s="739">
        <f t="shared" si="393"/>
        <v>21.879883522137671</v>
      </c>
      <c r="CE356" s="739">
        <f t="shared" si="393"/>
        <v>22.098682357359049</v>
      </c>
      <c r="CF356" s="739">
        <f t="shared" si="393"/>
        <v>22.319669180932639</v>
      </c>
      <c r="CG356" s="739">
        <f t="shared" si="393"/>
        <v>22.542865872741967</v>
      </c>
      <c r="CH356" s="739">
        <f t="shared" si="393"/>
        <v>22.768294531469387</v>
      </c>
      <c r="CI356" s="739">
        <f t="shared" si="393"/>
        <v>22.995977476784081</v>
      </c>
      <c r="CJ356" s="739">
        <f t="shared" si="393"/>
        <v>23.225937251551922</v>
      </c>
      <c r="CK356" s="739">
        <f t="shared" si="393"/>
        <v>23.45819662406744</v>
      </c>
      <c r="CL356" s="739">
        <f t="shared" si="393"/>
        <v>23.692778590308116</v>
      </c>
      <c r="CM356" s="739">
        <f t="shared" si="393"/>
        <v>23.929706376211197</v>
      </c>
      <c r="CN356" s="739">
        <f t="shared" si="393"/>
        <v>24.169003439973309</v>
      </c>
      <c r="CO356" s="739">
        <f t="shared" si="393"/>
        <v>24.410693474373044</v>
      </c>
      <c r="CP356" s="739">
        <f t="shared" si="393"/>
        <v>24.654800409116774</v>
      </c>
      <c r="CQ356" s="739">
        <f t="shared" si="393"/>
        <v>24.901348413207941</v>
      </c>
      <c r="CR356" s="739">
        <f t="shared" si="393"/>
        <v>25.150361897340019</v>
      </c>
      <c r="CS356" s="739">
        <f t="shared" si="393"/>
        <v>25.401865516313421</v>
      </c>
      <c r="CT356" s="739">
        <f t="shared" si="393"/>
        <v>25.655884171476554</v>
      </c>
      <c r="CU356" s="739">
        <f t="shared" si="393"/>
        <v>25.912443013191321</v>
      </c>
      <c r="CV356" s="739">
        <f t="shared" si="393"/>
        <v>26.171567443323234</v>
      </c>
      <c r="CW356" s="739">
        <f t="shared" si="393"/>
        <v>26.433283117756467</v>
      </c>
      <c r="CX356" s="739">
        <f t="shared" si="393"/>
        <v>26.697615948934033</v>
      </c>
      <c r="CY356" s="739">
        <f t="shared" si="393"/>
        <v>26.964592108423375</v>
      </c>
      <c r="CZ356" s="739">
        <f t="shared" si="393"/>
        <v>27.234238029507608</v>
      </c>
      <c r="DA356" s="739">
        <f t="shared" si="393"/>
        <v>27.506580409802684</v>
      </c>
      <c r="DC356" s="11">
        <f>AG356</f>
        <v>23.261244961999999</v>
      </c>
      <c r="DD356" s="11">
        <f>AS356</f>
        <v>15.140986622337001</v>
      </c>
      <c r="DE356" s="11">
        <f>BE356</f>
        <v>17.06124270694264</v>
      </c>
      <c r="DF356" s="11">
        <f>BQ356</f>
        <v>19.225035327339487</v>
      </c>
      <c r="DG356" s="11">
        <f>CC356</f>
        <v>21.663251012017497</v>
      </c>
      <c r="DH356" s="11">
        <f>CO356</f>
        <v>24.410693474373044</v>
      </c>
      <c r="DI356" s="11">
        <f>DA356</f>
        <v>27.506580409802684</v>
      </c>
    </row>
    <row r="357" spans="2:113" outlineLevel="1">
      <c r="E357" s="698"/>
      <c r="G357" s="126" t="s">
        <v>838</v>
      </c>
      <c r="I357" s="609" t="s">
        <v>736</v>
      </c>
      <c r="V357" s="700"/>
      <c r="W357" s="700"/>
      <c r="X357" s="12"/>
      <c r="Y357" s="12"/>
      <c r="Z357" s="700">
        <v>14.153242612</v>
      </c>
      <c r="AA357" s="700">
        <v>19.620229508000001</v>
      </c>
      <c r="AB357" s="700">
        <v>26.432823032000002</v>
      </c>
      <c r="AC357" s="700">
        <v>32.554348591</v>
      </c>
      <c r="AD357" s="700">
        <v>41.400634398999998</v>
      </c>
      <c r="AE357" s="700">
        <v>59.563717582000002</v>
      </c>
      <c r="AF357" s="700">
        <v>75.275165314999995</v>
      </c>
      <c r="AG357" s="700">
        <v>93.402402061000004</v>
      </c>
      <c r="AH357" s="721">
        <f>110212911619/10^9</f>
        <v>110.212911619</v>
      </c>
      <c r="AI357" s="721">
        <f>113951516043/10^9</f>
        <v>113.951516043</v>
      </c>
      <c r="AJ357" s="721">
        <v>120.715441629</v>
      </c>
      <c r="AK357" s="721">
        <v>137.53943661100001</v>
      </c>
      <c r="AL357" s="721">
        <v>145.92677338799999</v>
      </c>
      <c r="AM357" s="721">
        <v>156.485876448</v>
      </c>
      <c r="AN357" s="721">
        <v>167.64727350000001</v>
      </c>
      <c r="AO357" s="721">
        <f>AO355-AO356</f>
        <v>182.33081974499999</v>
      </c>
      <c r="AP357" s="721">
        <v>197.51686811100001</v>
      </c>
      <c r="AQ357" s="721">
        <v>210.77568413</v>
      </c>
      <c r="AR357" s="739">
        <f t="shared" ref="AR357:DA357" si="394">AR355-AR356</f>
        <v>231.68999854450001</v>
      </c>
      <c r="AS357" s="739">
        <f t="shared" si="394"/>
        <v>252.60282869406299</v>
      </c>
      <c r="AT357" s="756">
        <f t="shared" si="394"/>
        <v>272.78475216117295</v>
      </c>
      <c r="AU357" s="756">
        <f t="shared" si="394"/>
        <v>293.29849486295404</v>
      </c>
      <c r="AV357" s="756">
        <f t="shared" si="394"/>
        <v>314.14404165841955</v>
      </c>
      <c r="AW357" s="756">
        <f t="shared" si="394"/>
        <v>335.3213772551731</v>
      </c>
      <c r="AX357" s="756">
        <f t="shared" si="394"/>
        <v>356.83048620789418</v>
      </c>
      <c r="AY357" s="756">
        <f t="shared" si="394"/>
        <v>378.6713529168091</v>
      </c>
      <c r="AZ357" s="756">
        <f t="shared" si="394"/>
        <v>400.84396162614649</v>
      </c>
      <c r="BA357" s="756">
        <f t="shared" si="394"/>
        <v>423.34829642257728</v>
      </c>
      <c r="BB357" s="756">
        <f t="shared" si="394"/>
        <v>446.18434123363903</v>
      </c>
      <c r="BC357" s="756">
        <f t="shared" si="394"/>
        <v>469.35207982614475</v>
      </c>
      <c r="BD357" s="756">
        <f t="shared" si="394"/>
        <v>492.85149580457556</v>
      </c>
      <c r="BE357" s="756">
        <f t="shared" si="394"/>
        <v>516.68257260945734</v>
      </c>
      <c r="BF357" s="739">
        <f t="shared" si="394"/>
        <v>541.31821018238782</v>
      </c>
      <c r="BG357" s="739">
        <f t="shared" si="394"/>
        <v>566.77089163104779</v>
      </c>
      <c r="BH357" s="739">
        <f t="shared" si="394"/>
        <v>593.05309989419413</v>
      </c>
      <c r="BI357" s="739">
        <f t="shared" si="394"/>
        <v>620.17731773997207</v>
      </c>
      <c r="BJ357" s="739">
        <f t="shared" si="394"/>
        <v>648.15602776420781</v>
      </c>
      <c r="BK357" s="739">
        <f t="shared" si="394"/>
        <v>677.00171238868586</v>
      </c>
      <c r="BL357" s="739">
        <f t="shared" si="394"/>
        <v>706.72685385940872</v>
      </c>
      <c r="BM357" s="739">
        <f t="shared" si="394"/>
        <v>737.34393424483881</v>
      </c>
      <c r="BN357" s="739">
        <f t="shared" si="394"/>
        <v>768.86543543412313</v>
      </c>
      <c r="BO357" s="739">
        <f t="shared" si="394"/>
        <v>801.30383913530034</v>
      </c>
      <c r="BP357" s="739">
        <f t="shared" si="394"/>
        <v>834.67162687348934</v>
      </c>
      <c r="BQ357" s="739">
        <f t="shared" si="394"/>
        <v>868.98127998906023</v>
      </c>
      <c r="BR357" s="739">
        <f t="shared" si="394"/>
        <v>902.78764074689798</v>
      </c>
      <c r="BS357" s="739">
        <f t="shared" si="394"/>
        <v>936.07124566786956</v>
      </c>
      <c r="BT357" s="739">
        <f t="shared" si="394"/>
        <v>968.81263108249539</v>
      </c>
      <c r="BU357" s="739">
        <f t="shared" si="394"/>
        <v>1000.9923331290452</v>
      </c>
      <c r="BV357" s="739">
        <f t="shared" si="394"/>
        <v>1032.5908877516163</v>
      </c>
      <c r="BW357" s="739">
        <f t="shared" si="394"/>
        <v>1063.5888306981906</v>
      </c>
      <c r="BX357" s="739">
        <f t="shared" si="394"/>
        <v>1093.9666975186751</v>
      </c>
      <c r="BY357" s="739">
        <f t="shared" si="394"/>
        <v>1123.7050235629199</v>
      </c>
      <c r="BZ357" s="739">
        <f t="shared" si="394"/>
        <v>1152.7843439787184</v>
      </c>
      <c r="CA357" s="739">
        <f t="shared" si="394"/>
        <v>1181.1851937097861</v>
      </c>
      <c r="CB357" s="739">
        <f t="shared" si="394"/>
        <v>1208.8881074937201</v>
      </c>
      <c r="CC357" s="739">
        <f t="shared" si="394"/>
        <v>1235.8736198599377</v>
      </c>
      <c r="CD357" s="739">
        <f t="shared" si="394"/>
        <v>1263.2569873498176</v>
      </c>
      <c r="CE357" s="739">
        <f t="shared" si="394"/>
        <v>1291.0381885145962</v>
      </c>
      <c r="CF357" s="739">
        <f t="shared" si="394"/>
        <v>1319.2172016910226</v>
      </c>
      <c r="CG357" s="739">
        <f t="shared" si="394"/>
        <v>1347.7940049992133</v>
      </c>
      <c r="CH357" s="739">
        <f t="shared" si="394"/>
        <v>1376.7685763404859</v>
      </c>
      <c r="CI357" s="739">
        <f t="shared" si="394"/>
        <v>1406.1408933951711</v>
      </c>
      <c r="CJ357" s="739">
        <f t="shared" si="394"/>
        <v>1435.9109336204033</v>
      </c>
      <c r="CK357" s="739">
        <f t="shared" si="394"/>
        <v>1466.0786742478879</v>
      </c>
      <c r="CL357" s="739">
        <f t="shared" si="394"/>
        <v>1496.6440922816471</v>
      </c>
      <c r="CM357" s="739">
        <f t="shared" si="394"/>
        <v>1527.607164495744</v>
      </c>
      <c r="CN357" s="739">
        <f t="shared" si="394"/>
        <v>1558.9678674319819</v>
      </c>
      <c r="CO357" s="739">
        <f t="shared" si="394"/>
        <v>1590.726177397582</v>
      </c>
      <c r="CP357" s="739">
        <f t="shared" si="394"/>
        <v>1590.4820704628382</v>
      </c>
      <c r="CQ357" s="739">
        <f t="shared" si="394"/>
        <v>1590.2355224587473</v>
      </c>
      <c r="CR357" s="739">
        <f t="shared" si="394"/>
        <v>1589.9865089746152</v>
      </c>
      <c r="CS357" s="739">
        <f t="shared" si="394"/>
        <v>1589.7350053556418</v>
      </c>
      <c r="CT357" s="739">
        <f t="shared" si="394"/>
        <v>1589.4809867004785</v>
      </c>
      <c r="CU357" s="739">
        <f t="shared" si="394"/>
        <v>1589.2244278587639</v>
      </c>
      <c r="CV357" s="739">
        <f t="shared" si="394"/>
        <v>1588.9653034286318</v>
      </c>
      <c r="CW357" s="739">
        <f t="shared" si="394"/>
        <v>1588.7035877541987</v>
      </c>
      <c r="CX357" s="739">
        <f t="shared" si="394"/>
        <v>1588.4392549230211</v>
      </c>
      <c r="CY357" s="739">
        <f t="shared" si="394"/>
        <v>1588.1722787635317</v>
      </c>
      <c r="CZ357" s="739">
        <f t="shared" si="394"/>
        <v>1587.9026328424475</v>
      </c>
      <c r="DA357" s="739">
        <f t="shared" si="394"/>
        <v>1587.6302904621525</v>
      </c>
      <c r="DC357" s="11">
        <f>AG357</f>
        <v>93.402402061000004</v>
      </c>
      <c r="DD357" s="11">
        <f>AS357</f>
        <v>252.60282869406299</v>
      </c>
      <c r="DE357" s="11">
        <f>BE357</f>
        <v>516.68257260945734</v>
      </c>
      <c r="DF357" s="11">
        <f>BQ357</f>
        <v>868.98127998906023</v>
      </c>
      <c r="DG357" s="11">
        <f>CC357</f>
        <v>1235.8736198599377</v>
      </c>
      <c r="DH357" s="11">
        <f>CO357</f>
        <v>1590.726177397582</v>
      </c>
      <c r="DI357" s="11">
        <f>DA357</f>
        <v>1587.6302904621525</v>
      </c>
    </row>
    <row r="358" spans="2:113" outlineLevel="1">
      <c r="E358" s="698"/>
      <c r="F358" s="698" t="s">
        <v>215</v>
      </c>
      <c r="I358" s="609" t="s">
        <v>736</v>
      </c>
      <c r="P358" s="12"/>
      <c r="Q358" s="12"/>
      <c r="R358" s="12"/>
      <c r="S358" s="12"/>
      <c r="T358" s="12"/>
      <c r="U358" s="12"/>
      <c r="V358" s="702">
        <f t="shared" ref="V358:CG358" si="395">V362+V367+V368</f>
        <v>9.9054480000000007E-3</v>
      </c>
      <c r="W358" s="702">
        <f t="shared" si="395"/>
        <v>5.4255120000000004E-3</v>
      </c>
      <c r="X358" s="702">
        <f t="shared" si="395"/>
        <v>9.8192231000000005E-2</v>
      </c>
      <c r="Y358" s="702">
        <f t="shared" si="395"/>
        <v>0.330242639</v>
      </c>
      <c r="Z358" s="702">
        <f t="shared" si="395"/>
        <v>0.49646132700000001</v>
      </c>
      <c r="AA358" s="702">
        <f t="shared" si="395"/>
        <v>0.644578129</v>
      </c>
      <c r="AB358" s="702">
        <f t="shared" si="395"/>
        <v>0.883022529</v>
      </c>
      <c r="AC358" s="702">
        <f t="shared" si="395"/>
        <v>0.99823030000000001</v>
      </c>
      <c r="AD358" s="702">
        <f t="shared" si="395"/>
        <v>1.1744224050000001</v>
      </c>
      <c r="AE358" s="702">
        <f t="shared" si="395"/>
        <v>1.5448001010000001</v>
      </c>
      <c r="AF358" s="702">
        <f t="shared" si="395"/>
        <v>1.9618856410000001</v>
      </c>
      <c r="AG358" s="702">
        <f t="shared" si="395"/>
        <v>2.4487111590000001</v>
      </c>
      <c r="AH358" s="702">
        <f t="shared" si="395"/>
        <v>2.8978985339999999</v>
      </c>
      <c r="AI358" s="702">
        <f t="shared" si="395"/>
        <v>2.8750231470000003</v>
      </c>
      <c r="AJ358" s="702">
        <f t="shared" si="395"/>
        <v>3.3103046979999999</v>
      </c>
      <c r="AK358" s="702">
        <f t="shared" si="395"/>
        <v>3.311334982</v>
      </c>
      <c r="AL358" s="702">
        <f t="shared" si="395"/>
        <v>3.6050447390000002</v>
      </c>
      <c r="AM358" s="702">
        <f t="shared" si="395"/>
        <v>3.8787619289999999</v>
      </c>
      <c r="AN358" s="702">
        <f t="shared" si="395"/>
        <v>4.3492384350000002</v>
      </c>
      <c r="AO358" s="702">
        <f t="shared" si="395"/>
        <v>4.7810904750000001</v>
      </c>
      <c r="AP358" s="702">
        <f t="shared" si="395"/>
        <v>5.1508829069999997</v>
      </c>
      <c r="AQ358" s="702">
        <f t="shared" si="395"/>
        <v>5.9590263941847317</v>
      </c>
      <c r="AR358" s="702">
        <f t="shared" si="395"/>
        <v>7.0911203319223981</v>
      </c>
      <c r="AS358" s="702">
        <f t="shared" si="395"/>
        <v>7.5654415695486827</v>
      </c>
      <c r="AT358" s="702">
        <f t="shared" si="395"/>
        <v>8.7333645879998638</v>
      </c>
      <c r="AU358" s="702">
        <f t="shared" si="395"/>
        <v>9.2564433211306305</v>
      </c>
      <c r="AV358" s="702">
        <f t="shared" si="395"/>
        <v>9.7873750440958585</v>
      </c>
      <c r="AW358" s="702">
        <f t="shared" si="395"/>
        <v>10.395353061240703</v>
      </c>
      <c r="AX358" s="702">
        <f t="shared" si="395"/>
        <v>11.036513577393027</v>
      </c>
      <c r="AY358" s="702">
        <f t="shared" si="395"/>
        <v>11.630066227746692</v>
      </c>
      <c r="AZ358" s="702">
        <f t="shared" si="395"/>
        <v>12.281236847637489</v>
      </c>
      <c r="BA358" s="702">
        <f t="shared" si="395"/>
        <v>12.940265582402665</v>
      </c>
      <c r="BB358" s="702">
        <f t="shared" si="395"/>
        <v>13.619353330266607</v>
      </c>
      <c r="BC358" s="702">
        <f t="shared" si="395"/>
        <v>14.30625722086527</v>
      </c>
      <c r="BD358" s="702">
        <f t="shared" si="395"/>
        <v>15.001367536849063</v>
      </c>
      <c r="BE358" s="702">
        <f t="shared" si="395"/>
        <v>15.678756605292646</v>
      </c>
      <c r="BF358" s="702">
        <f t="shared" si="395"/>
        <v>16.680411793698276</v>
      </c>
      <c r="BG358" s="702">
        <f t="shared" si="395"/>
        <v>17.48612535501368</v>
      </c>
      <c r="BH358" s="702">
        <f t="shared" si="395"/>
        <v>18.316479483433294</v>
      </c>
      <c r="BI358" s="702">
        <f t="shared" si="395"/>
        <v>19.172213016566815</v>
      </c>
      <c r="BJ358" s="702">
        <f t="shared" si="395"/>
        <v>20.05431899572217</v>
      </c>
      <c r="BK358" s="702">
        <f t="shared" si="395"/>
        <v>20.963502085428953</v>
      </c>
      <c r="BL358" s="702">
        <f t="shared" si="395"/>
        <v>21.900460798853342</v>
      </c>
      <c r="BM358" s="702">
        <f t="shared" si="395"/>
        <v>22.799550438552647</v>
      </c>
      <c r="BN358" s="702">
        <f t="shared" si="395"/>
        <v>23.726582277723494</v>
      </c>
      <c r="BO358" s="702">
        <f t="shared" si="395"/>
        <v>24.68127363632836</v>
      </c>
      <c r="BP358" s="702">
        <f t="shared" si="395"/>
        <v>25.663920644910135</v>
      </c>
      <c r="BQ358" s="702">
        <f t="shared" si="395"/>
        <v>26.674839338657911</v>
      </c>
      <c r="BR358" s="702">
        <f t="shared" si="395"/>
        <v>27.670765904463678</v>
      </c>
      <c r="BS358" s="702">
        <f t="shared" si="395"/>
        <v>28.646347638051253</v>
      </c>
      <c r="BT358" s="702">
        <f t="shared" si="395"/>
        <v>29.60203075267216</v>
      </c>
      <c r="BU358" s="702">
        <f t="shared" si="395"/>
        <v>30.537022449753923</v>
      </c>
      <c r="BV358" s="702">
        <f t="shared" si="395"/>
        <v>31.451726124217306</v>
      </c>
      <c r="BW358" s="702">
        <f t="shared" si="395"/>
        <v>32.346513495882895</v>
      </c>
      <c r="BX358" s="702">
        <f t="shared" si="395"/>
        <v>33.221750845935013</v>
      </c>
      <c r="BY358" s="702">
        <f t="shared" si="395"/>
        <v>34.077809315131489</v>
      </c>
      <c r="BZ358" s="702">
        <f t="shared" si="395"/>
        <v>34.91403947670117</v>
      </c>
      <c r="CA358" s="702">
        <f t="shared" si="395"/>
        <v>35.729822491427385</v>
      </c>
      <c r="CB358" s="702">
        <f t="shared" si="395"/>
        <v>36.524559757489996</v>
      </c>
      <c r="CC358" s="702">
        <f t="shared" si="395"/>
        <v>37.297649233372482</v>
      </c>
      <c r="CD358" s="702">
        <f t="shared" si="395"/>
        <v>38.078727794932654</v>
      </c>
      <c r="CE358" s="702">
        <f t="shared" si="395"/>
        <v>38.875323356380726</v>
      </c>
      <c r="CF358" s="702">
        <f t="shared" si="395"/>
        <v>39.686636733179</v>
      </c>
      <c r="CG358" s="702">
        <f t="shared" si="395"/>
        <v>40.511921434527643</v>
      </c>
      <c r="CH358" s="702">
        <f t="shared" ref="CH358:DA358" si="396">CH362+CH367+CH368</f>
        <v>41.350454911147885</v>
      </c>
      <c r="CI358" s="702">
        <f t="shared" si="396"/>
        <v>42.201529814225687</v>
      </c>
      <c r="CJ358" s="702">
        <f t="shared" si="396"/>
        <v>43.064445778726856</v>
      </c>
      <c r="CK358" s="702">
        <f t="shared" si="396"/>
        <v>43.938501273963503</v>
      </c>
      <c r="CL358" s="702">
        <f t="shared" si="396"/>
        <v>44.823795805313615</v>
      </c>
      <c r="CM358" s="702">
        <f t="shared" si="396"/>
        <v>45.720402879443618</v>
      </c>
      <c r="CN358" s="702">
        <f t="shared" si="396"/>
        <v>46.62837911006082</v>
      </c>
      <c r="CO358" s="702">
        <f t="shared" si="396"/>
        <v>47.547766090385537</v>
      </c>
      <c r="CP358" s="702">
        <f t="shared" si="396"/>
        <v>47.836255083473652</v>
      </c>
      <c r="CQ358" s="702">
        <f t="shared" si="396"/>
        <v>47.699474121176571</v>
      </c>
      <c r="CR358" s="702">
        <f t="shared" si="396"/>
        <v>47.586180624810346</v>
      </c>
      <c r="CS358" s="702">
        <f t="shared" si="396"/>
        <v>47.495176427703669</v>
      </c>
      <c r="CT358" s="702">
        <f t="shared" si="396"/>
        <v>47.42556111904976</v>
      </c>
      <c r="CU358" s="702">
        <f t="shared" si="396"/>
        <v>47.376716712777281</v>
      </c>
      <c r="CV358" s="702">
        <f t="shared" si="396"/>
        <v>47.348281512330253</v>
      </c>
      <c r="CW358" s="702">
        <f t="shared" si="396"/>
        <v>47.340132999968766</v>
      </c>
      <c r="CX358" s="702">
        <f t="shared" si="396"/>
        <v>47.329039834669729</v>
      </c>
      <c r="CY358" s="702">
        <f t="shared" si="396"/>
        <v>47.315759138295014</v>
      </c>
      <c r="CZ358" s="702">
        <f t="shared" si="396"/>
        <v>47.300789311628357</v>
      </c>
      <c r="DA358" s="702">
        <f t="shared" si="396"/>
        <v>47.284579624908751</v>
      </c>
      <c r="DC358" s="12">
        <f t="shared" ref="DC358:DC389" si="397">SUM(V358:AG358)</f>
        <v>10.595877420999999</v>
      </c>
      <c r="DD358" s="12">
        <f t="shared" ref="DD358:DD389" si="398">SUM(AH358:AS358)</f>
        <v>54.775168141655811</v>
      </c>
      <c r="DE358" s="12">
        <f t="shared" ref="DE358:DE389" si="399">SUM(AT358:BE358)</f>
        <v>144.66635294292053</v>
      </c>
      <c r="DF358" s="12">
        <f>SUM(BF358:BQ358)</f>
        <v>258.11967786488907</v>
      </c>
      <c r="DG358" s="12">
        <f>SUM(BR358:CC358)</f>
        <v>392.02003748509878</v>
      </c>
      <c r="DH358" s="12">
        <f t="shared" ref="DH358:DH389" si="400">SUM(CD358:CO358)</f>
        <v>512.42788498228754</v>
      </c>
      <c r="DI358" s="12">
        <f t="shared" ref="DI358:DI389" si="401">SUM(CP358:DA358)</f>
        <v>569.33794651079211</v>
      </c>
    </row>
    <row r="359" spans="2:113" outlineLevel="1">
      <c r="E359" s="698"/>
      <c r="F359" s="698" t="s">
        <v>99</v>
      </c>
      <c r="I359" s="609" t="s">
        <v>736</v>
      </c>
      <c r="P359" s="12"/>
      <c r="Q359" s="12"/>
      <c r="R359" s="12"/>
      <c r="S359" s="12"/>
      <c r="T359" s="12"/>
      <c r="U359" s="12"/>
      <c r="V359" s="702">
        <f t="shared" ref="V359:CG359" si="402">V363</f>
        <v>-3.6021450000000002E-3</v>
      </c>
      <c r="W359" s="702">
        <f t="shared" si="402"/>
        <v>-3.6021450000000002E-3</v>
      </c>
      <c r="X359" s="702">
        <f t="shared" si="402"/>
        <v>-2.1943925999999999E-2</v>
      </c>
      <c r="Y359" s="702">
        <f t="shared" si="402"/>
        <v>-7.8901974999999999E-2</v>
      </c>
      <c r="Z359" s="702">
        <f t="shared" si="402"/>
        <v>-9.7973850000000001E-2</v>
      </c>
      <c r="AA359" s="702">
        <f t="shared" si="402"/>
        <v>-0.16851664300635599</v>
      </c>
      <c r="AB359" s="702">
        <f t="shared" si="402"/>
        <v>-0.19694715900000001</v>
      </c>
      <c r="AC359" s="702">
        <f t="shared" si="402"/>
        <v>-0.23871535894895302</v>
      </c>
      <c r="AD359" s="702">
        <f t="shared" si="402"/>
        <v>-0.240516491</v>
      </c>
      <c r="AE359" s="702">
        <f t="shared" si="402"/>
        <v>-0.30379897900000002</v>
      </c>
      <c r="AF359" s="702">
        <f t="shared" si="402"/>
        <v>-0.34831251400000002</v>
      </c>
      <c r="AG359" s="702">
        <f t="shared" si="402"/>
        <v>-0.43527123299999998</v>
      </c>
      <c r="AH359" s="702">
        <f t="shared" si="402"/>
        <v>-0.51359021299999996</v>
      </c>
      <c r="AI359" s="702">
        <f t="shared" si="402"/>
        <v>-0.53160798600000003</v>
      </c>
      <c r="AJ359" s="702">
        <f t="shared" si="402"/>
        <v>-0.45930960199999998</v>
      </c>
      <c r="AK359" s="702">
        <f t="shared" si="402"/>
        <v>-0.45248962199999998</v>
      </c>
      <c r="AL359" s="702">
        <f t="shared" si="402"/>
        <v>-0.65268509500000005</v>
      </c>
      <c r="AM359" s="702">
        <f t="shared" si="402"/>
        <v>-0.58825256800000003</v>
      </c>
      <c r="AN359" s="702">
        <f t="shared" si="402"/>
        <v>-0.68852067900000002</v>
      </c>
      <c r="AO359" s="702">
        <f t="shared" si="402"/>
        <v>-0.69619361000000002</v>
      </c>
      <c r="AP359" s="702">
        <f t="shared" si="402"/>
        <v>-0.68818583700000002</v>
      </c>
      <c r="AQ359" s="702">
        <f t="shared" si="402"/>
        <v>-0.74889370300000002</v>
      </c>
      <c r="AR359" s="702">
        <f t="shared" si="402"/>
        <v>-0.98395709980875001</v>
      </c>
      <c r="AS359" s="702">
        <f t="shared" si="402"/>
        <v>-1.0717185202595834</v>
      </c>
      <c r="AT359" s="702">
        <f t="shared" si="402"/>
        <v>-1.1579603415961113</v>
      </c>
      <c r="AU359" s="702">
        <f t="shared" si="402"/>
        <v>-1.243377008262778</v>
      </c>
      <c r="AV359" s="702">
        <f t="shared" si="402"/>
        <v>-1.3301825638183333</v>
      </c>
      <c r="AW359" s="702">
        <f t="shared" si="402"/>
        <v>-1.4183770082627778</v>
      </c>
      <c r="AX359" s="702">
        <f t="shared" si="402"/>
        <v>-1.5079603415961111</v>
      </c>
      <c r="AY359" s="702">
        <f t="shared" si="402"/>
        <v>-1.5989325638183336</v>
      </c>
      <c r="AZ359" s="702">
        <f t="shared" si="402"/>
        <v>-1.6912936749294447</v>
      </c>
      <c r="BA359" s="702">
        <f t="shared" si="402"/>
        <v>-1.7850436749294445</v>
      </c>
      <c r="BB359" s="702">
        <f t="shared" si="402"/>
        <v>-1.8801825638183332</v>
      </c>
      <c r="BC359" s="702">
        <f t="shared" si="402"/>
        <v>-1.9767103415961109</v>
      </c>
      <c r="BD359" s="702">
        <f t="shared" si="402"/>
        <v>-2.0746270082627776</v>
      </c>
      <c r="BE359" s="702">
        <f t="shared" si="402"/>
        <v>-2.1739325638183331</v>
      </c>
      <c r="BF359" s="702">
        <f t="shared" si="402"/>
        <v>-2.275612251318333</v>
      </c>
      <c r="BG359" s="702">
        <f t="shared" si="402"/>
        <v>-2.3806773554849996</v>
      </c>
      <c r="BH359" s="702">
        <f t="shared" si="402"/>
        <v>-2.4891799596516662</v>
      </c>
      <c r="BI359" s="702">
        <f t="shared" si="402"/>
        <v>-2.6011721471516664</v>
      </c>
      <c r="BJ359" s="702">
        <f t="shared" si="402"/>
        <v>-2.7167060013183328</v>
      </c>
      <c r="BK359" s="702">
        <f t="shared" si="402"/>
        <v>-2.8358336054849995</v>
      </c>
      <c r="BL359" s="702">
        <f t="shared" si="402"/>
        <v>-2.9586070429849993</v>
      </c>
      <c r="BM359" s="702">
        <f t="shared" si="402"/>
        <v>-3.085078397151666</v>
      </c>
      <c r="BN359" s="702">
        <f t="shared" si="402"/>
        <v>-3.2152997513183323</v>
      </c>
      <c r="BO359" s="702">
        <f t="shared" si="402"/>
        <v>-3.3493231888183321</v>
      </c>
      <c r="BP359" s="702">
        <f t="shared" si="402"/>
        <v>-3.4872007929849986</v>
      </c>
      <c r="BQ359" s="702">
        <f t="shared" si="402"/>
        <v>-3.628984647151666</v>
      </c>
      <c r="BR359" s="702">
        <f t="shared" si="402"/>
        <v>-3.7716900869664802</v>
      </c>
      <c r="BS359" s="702">
        <f t="shared" si="402"/>
        <v>-3.9122658971516651</v>
      </c>
      <c r="BT359" s="702">
        <f t="shared" si="402"/>
        <v>-4.0506310591887029</v>
      </c>
      <c r="BU359" s="702">
        <f t="shared" si="402"/>
        <v>-4.1867045545590731</v>
      </c>
      <c r="BV359" s="702">
        <f t="shared" si="402"/>
        <v>-4.320405364744258</v>
      </c>
      <c r="BW359" s="702">
        <f t="shared" si="402"/>
        <v>-4.4516524712257404</v>
      </c>
      <c r="BX359" s="702">
        <f t="shared" si="402"/>
        <v>-4.5803648554849987</v>
      </c>
      <c r="BY359" s="702">
        <f t="shared" si="402"/>
        <v>-4.7064614990035176</v>
      </c>
      <c r="BZ359" s="702">
        <f t="shared" si="402"/>
        <v>-4.8298613832627764</v>
      </c>
      <c r="CA359" s="702">
        <f t="shared" si="402"/>
        <v>-4.9504834897442569</v>
      </c>
      <c r="CB359" s="702">
        <f t="shared" si="402"/>
        <v>-5.0682467999294429</v>
      </c>
      <c r="CC359" s="702">
        <f t="shared" si="402"/>
        <v>-5.1830702952998138</v>
      </c>
      <c r="CD359" s="702">
        <f t="shared" si="402"/>
        <v>-5.2972369619664805</v>
      </c>
      <c r="CE359" s="702">
        <f t="shared" si="402"/>
        <v>-5.4130702952998133</v>
      </c>
      <c r="CF359" s="702">
        <f t="shared" si="402"/>
        <v>-5.5305702952998139</v>
      </c>
      <c r="CG359" s="702">
        <f t="shared" si="402"/>
        <v>-5.6497369619664815</v>
      </c>
      <c r="CH359" s="702">
        <f t="shared" ref="CH359:DA359" si="403">CH363</f>
        <v>-5.7705702952998132</v>
      </c>
      <c r="CI359" s="702">
        <f t="shared" si="403"/>
        <v>-5.8930702952998137</v>
      </c>
      <c r="CJ359" s="702">
        <f t="shared" si="403"/>
        <v>-6.0172369619664794</v>
      </c>
      <c r="CK359" s="702">
        <f t="shared" si="403"/>
        <v>-6.1430702952998137</v>
      </c>
      <c r="CL359" s="702">
        <f t="shared" si="403"/>
        <v>-6.2705702952998132</v>
      </c>
      <c r="CM359" s="702">
        <f t="shared" si="403"/>
        <v>-6.3997369619664815</v>
      </c>
      <c r="CN359" s="702">
        <f t="shared" si="403"/>
        <v>-6.5305702952998139</v>
      </c>
      <c r="CO359" s="702">
        <f t="shared" si="403"/>
        <v>-6.6630702952998133</v>
      </c>
      <c r="CP359" s="702">
        <f t="shared" si="403"/>
        <v>-6.7297369619664806</v>
      </c>
      <c r="CQ359" s="702">
        <f t="shared" si="403"/>
        <v>-6.7297369619664806</v>
      </c>
      <c r="CR359" s="702">
        <f t="shared" si="403"/>
        <v>-6.7297369619664806</v>
      </c>
      <c r="CS359" s="702">
        <f t="shared" si="403"/>
        <v>-6.7297369619664806</v>
      </c>
      <c r="CT359" s="702">
        <f t="shared" si="403"/>
        <v>-6.7297369619664806</v>
      </c>
      <c r="CU359" s="702">
        <f t="shared" si="403"/>
        <v>-6.7297369619664806</v>
      </c>
      <c r="CV359" s="702">
        <f t="shared" si="403"/>
        <v>-6.7297369619664806</v>
      </c>
      <c r="CW359" s="702">
        <f t="shared" si="403"/>
        <v>-6.7297369619664806</v>
      </c>
      <c r="CX359" s="702">
        <f t="shared" si="403"/>
        <v>-6.7297369619664806</v>
      </c>
      <c r="CY359" s="702">
        <f t="shared" si="403"/>
        <v>-6.7297369619664806</v>
      </c>
      <c r="CZ359" s="702">
        <f t="shared" si="403"/>
        <v>-6.7297369619664806</v>
      </c>
      <c r="DA359" s="702">
        <f t="shared" si="403"/>
        <v>-6.7297369619664806</v>
      </c>
      <c r="DC359" s="12">
        <f t="shared" si="397"/>
        <v>-2.1381024189553091</v>
      </c>
      <c r="DD359" s="12">
        <f t="shared" si="398"/>
        <v>-8.0754045350683334</v>
      </c>
      <c r="DE359" s="12">
        <f t="shared" si="399"/>
        <v>-19.838579654708887</v>
      </c>
      <c r="DF359" s="12">
        <f>SUM(BF359:BQ359)</f>
        <v>-35.023675140819996</v>
      </c>
      <c r="DG359" s="12">
        <f t="shared" ref="DG359:DG389" si="404">SUM(BR359:CC359)</f>
        <v>-54.011837756560723</v>
      </c>
      <c r="DH359" s="12">
        <f t="shared" si="400"/>
        <v>-71.57851021026444</v>
      </c>
      <c r="DI359" s="12">
        <f t="shared" si="401"/>
        <v>-80.756843543597768</v>
      </c>
    </row>
    <row r="360" spans="2:113" s="698" customFormat="1" outlineLevel="1">
      <c r="B360" s="126"/>
      <c r="E360" s="698" t="s">
        <v>217</v>
      </c>
      <c r="H360" s="703"/>
      <c r="I360" s="609" t="s">
        <v>736</v>
      </c>
      <c r="J360" s="703"/>
      <c r="K360" s="703"/>
      <c r="L360" s="703"/>
      <c r="M360" s="703"/>
      <c r="P360" s="704"/>
      <c r="Q360" s="704"/>
      <c r="R360" s="704"/>
      <c r="S360" s="704"/>
      <c r="T360" s="704"/>
      <c r="U360" s="704"/>
      <c r="V360" s="705">
        <f>V361+V364</f>
        <v>6.3033029999999997E-3</v>
      </c>
      <c r="W360" s="705">
        <f>W361+W364</f>
        <v>1.8233669999999998E-3</v>
      </c>
      <c r="X360" s="705">
        <f>X361+X364</f>
        <v>7.6248305000000002E-2</v>
      </c>
      <c r="Y360" s="705">
        <f t="shared" ref="Y360:CJ360" si="405">Y361+Y364</f>
        <v>0.25134066399999999</v>
      </c>
      <c r="Z360" s="705">
        <f t="shared" si="405"/>
        <v>0.39848747700000003</v>
      </c>
      <c r="AA360" s="705">
        <f t="shared" si="405"/>
        <v>0.47606148599364406</v>
      </c>
      <c r="AB360" s="705">
        <f t="shared" si="405"/>
        <v>0.68607536999999996</v>
      </c>
      <c r="AC360" s="705">
        <f t="shared" si="405"/>
        <v>0.759514941051047</v>
      </c>
      <c r="AD360" s="705">
        <f t="shared" si="405"/>
        <v>0.93390591400000011</v>
      </c>
      <c r="AE360" s="705">
        <f t="shared" si="405"/>
        <v>1.2410011220000001</v>
      </c>
      <c r="AF360" s="705">
        <f t="shared" si="405"/>
        <v>1.613573127</v>
      </c>
      <c r="AG360" s="705">
        <f>AG361+AG364</f>
        <v>2.0134399260000002</v>
      </c>
      <c r="AH360" s="705">
        <f t="shared" si="405"/>
        <v>2.3843083209999998</v>
      </c>
      <c r="AI360" s="705">
        <f t="shared" si="405"/>
        <v>2.3434151610000002</v>
      </c>
      <c r="AJ360" s="705">
        <f t="shared" si="405"/>
        <v>2.8509950960000001</v>
      </c>
      <c r="AK360" s="705">
        <f t="shared" si="405"/>
        <v>2.8588453600000001</v>
      </c>
      <c r="AL360" s="705">
        <f t="shared" si="405"/>
        <v>2.9523596440000004</v>
      </c>
      <c r="AM360" s="705">
        <f t="shared" si="405"/>
        <v>3.2905093609999998</v>
      </c>
      <c r="AN360" s="705">
        <f t="shared" si="405"/>
        <v>3.6607177560000004</v>
      </c>
      <c r="AO360" s="705">
        <f t="shared" si="405"/>
        <v>4.0848968650000002</v>
      </c>
      <c r="AP360" s="705">
        <f t="shared" si="405"/>
        <v>4.4626970699999999</v>
      </c>
      <c r="AQ360" s="705">
        <f t="shared" si="405"/>
        <v>5.2101326911847314</v>
      </c>
      <c r="AR360" s="705">
        <f t="shared" si="405"/>
        <v>6.1071632321136473</v>
      </c>
      <c r="AS360" s="705">
        <f t="shared" si="405"/>
        <v>6.4937230492890992</v>
      </c>
      <c r="AT360" s="705">
        <f t="shared" si="405"/>
        <v>7.5754042464037532</v>
      </c>
      <c r="AU360" s="705">
        <f t="shared" si="405"/>
        <v>8.0130663128678528</v>
      </c>
      <c r="AV360" s="705">
        <f t="shared" si="405"/>
        <v>8.4571924802775253</v>
      </c>
      <c r="AW360" s="705">
        <f t="shared" si="405"/>
        <v>8.9769760529779248</v>
      </c>
      <c r="AX360" s="705">
        <f t="shared" si="405"/>
        <v>9.5285532357969149</v>
      </c>
      <c r="AY360" s="705">
        <f t="shared" si="405"/>
        <v>10.031133663928358</v>
      </c>
      <c r="AZ360" s="705">
        <f t="shared" si="405"/>
        <v>10.589943172708045</v>
      </c>
      <c r="BA360" s="705">
        <f t="shared" si="405"/>
        <v>11.155221907473221</v>
      </c>
      <c r="BB360" s="705">
        <f t="shared" si="405"/>
        <v>11.739170766448273</v>
      </c>
      <c r="BC360" s="705">
        <f t="shared" si="405"/>
        <v>12.329546879269159</v>
      </c>
      <c r="BD360" s="705">
        <f t="shared" si="405"/>
        <v>12.926740528586283</v>
      </c>
      <c r="BE360" s="705">
        <f t="shared" si="405"/>
        <v>13.504824041474313</v>
      </c>
      <c r="BF360" s="705">
        <f t="shared" si="405"/>
        <v>14.404799542379946</v>
      </c>
      <c r="BG360" s="705">
        <f t="shared" si="405"/>
        <v>15.105447999528682</v>
      </c>
      <c r="BH360" s="705">
        <f t="shared" si="405"/>
        <v>15.827299523781626</v>
      </c>
      <c r="BI360" s="705">
        <f t="shared" si="405"/>
        <v>16.57104086941515</v>
      </c>
      <c r="BJ360" s="705">
        <f t="shared" si="405"/>
        <v>17.337612994403838</v>
      </c>
      <c r="BK360" s="705">
        <f t="shared" si="405"/>
        <v>18.127668479943953</v>
      </c>
      <c r="BL360" s="705">
        <f t="shared" si="405"/>
        <v>18.941853755868344</v>
      </c>
      <c r="BM360" s="705">
        <f t="shared" si="405"/>
        <v>19.714472041400978</v>
      </c>
      <c r="BN360" s="705">
        <f t="shared" si="405"/>
        <v>20.511282526405161</v>
      </c>
      <c r="BO360" s="705">
        <f t="shared" si="405"/>
        <v>21.331950447510028</v>
      </c>
      <c r="BP360" s="705">
        <f t="shared" si="405"/>
        <v>22.176719851925135</v>
      </c>
      <c r="BQ360" s="705">
        <f t="shared" si="405"/>
        <v>23.045854691506246</v>
      </c>
      <c r="BR360" s="705">
        <f t="shared" si="405"/>
        <v>23.899075817497199</v>
      </c>
      <c r="BS360" s="705">
        <f t="shared" si="405"/>
        <v>24.734081740899583</v>
      </c>
      <c r="BT360" s="705">
        <f t="shared" si="405"/>
        <v>25.551399693483457</v>
      </c>
      <c r="BU360" s="705">
        <f t="shared" si="405"/>
        <v>26.350317895194848</v>
      </c>
      <c r="BV360" s="705">
        <f t="shared" si="405"/>
        <v>27.131320759473049</v>
      </c>
      <c r="BW360" s="705">
        <f t="shared" si="405"/>
        <v>27.894861024657153</v>
      </c>
      <c r="BX360" s="705">
        <f t="shared" si="405"/>
        <v>28.641385990450015</v>
      </c>
      <c r="BY360" s="705">
        <f t="shared" si="405"/>
        <v>29.371347816127972</v>
      </c>
      <c r="BZ360" s="705">
        <f t="shared" si="405"/>
        <v>30.084178093438393</v>
      </c>
      <c r="CA360" s="705">
        <f t="shared" si="405"/>
        <v>30.779339001683127</v>
      </c>
      <c r="CB360" s="705">
        <f t="shared" si="405"/>
        <v>31.456312957560552</v>
      </c>
      <c r="CC360" s="705">
        <f t="shared" si="405"/>
        <v>32.114578938072675</v>
      </c>
      <c r="CD360" s="705">
        <f t="shared" si="405"/>
        <v>32.781490832966171</v>
      </c>
      <c r="CE360" s="705">
        <f t="shared" si="405"/>
        <v>33.462253061080908</v>
      </c>
      <c r="CF360" s="705">
        <f t="shared" si="405"/>
        <v>34.156066437879183</v>
      </c>
      <c r="CG360" s="705">
        <f t="shared" si="405"/>
        <v>34.862184472561161</v>
      </c>
      <c r="CH360" s="705">
        <f t="shared" si="405"/>
        <v>35.579884615848073</v>
      </c>
      <c r="CI360" s="705">
        <f t="shared" si="405"/>
        <v>36.308459518925872</v>
      </c>
      <c r="CJ360" s="705">
        <f t="shared" si="405"/>
        <v>37.047208816760374</v>
      </c>
      <c r="CK360" s="705">
        <f>CK361+CK364</f>
        <v>37.795430978663688</v>
      </c>
      <c r="CL360" s="705">
        <f>CL361+CL364</f>
        <v>38.553225510013803</v>
      </c>
      <c r="CM360" s="705">
        <f>CM361+CM364</f>
        <v>39.320665917477143</v>
      </c>
      <c r="CN360" s="705">
        <f>CN361+CN364</f>
        <v>40.097808814761002</v>
      </c>
      <c r="CO360" s="705">
        <f>CO361+CO364</f>
        <v>40.884695795085726</v>
      </c>
      <c r="CP360" s="705">
        <f t="shared" ref="CP360:CV360" si="406">CP361+CP364</f>
        <v>41.106518121507172</v>
      </c>
      <c r="CQ360" s="705">
        <f t="shared" si="406"/>
        <v>40.969737159210091</v>
      </c>
      <c r="CR360" s="705">
        <f t="shared" si="406"/>
        <v>40.856443662843866</v>
      </c>
      <c r="CS360" s="705">
        <f t="shared" si="406"/>
        <v>40.765439465737188</v>
      </c>
      <c r="CT360" s="705">
        <f t="shared" si="406"/>
        <v>40.69582415708328</v>
      </c>
      <c r="CU360" s="705">
        <f t="shared" si="406"/>
        <v>40.646979750810807</v>
      </c>
      <c r="CV360" s="705">
        <f t="shared" si="406"/>
        <v>40.618544550363772</v>
      </c>
      <c r="CW360" s="705">
        <f>CW361+CW364</f>
        <v>40.610396038002285</v>
      </c>
      <c r="CX360" s="705">
        <f>CX361+CX364</f>
        <v>40.599302872703255</v>
      </c>
      <c r="CY360" s="705">
        <f>CY361+CY364</f>
        <v>40.586022176328534</v>
      </c>
      <c r="CZ360" s="705">
        <f>CZ361+CZ364</f>
        <v>40.571052349661876</v>
      </c>
      <c r="DA360" s="705">
        <f>DA361+DA364</f>
        <v>40.554842662942271</v>
      </c>
      <c r="DC360" s="14">
        <f t="shared" si="397"/>
        <v>8.4577750020446913</v>
      </c>
      <c r="DD360" s="14">
        <f t="shared" si="398"/>
        <v>46.699763606587481</v>
      </c>
      <c r="DE360" s="14">
        <f t="shared" si="399"/>
        <v>124.82777328821162</v>
      </c>
      <c r="DF360" s="14">
        <f>SUM(BF360:BQ360)</f>
        <v>223.09600272406905</v>
      </c>
      <c r="DG360" s="14">
        <f t="shared" si="404"/>
        <v>338.00819972853805</v>
      </c>
      <c r="DH360" s="14">
        <f t="shared" si="400"/>
        <v>440.84937477202305</v>
      </c>
      <c r="DI360" s="14">
        <f t="shared" si="401"/>
        <v>488.58110296719445</v>
      </c>
    </row>
    <row r="361" spans="2:113" s="698" customFormat="1" outlineLevel="1">
      <c r="B361" s="126"/>
      <c r="E361" s="698" t="s">
        <v>218</v>
      </c>
      <c r="H361" s="703"/>
      <c r="I361" s="609" t="s">
        <v>736</v>
      </c>
      <c r="J361" s="703"/>
      <c r="K361" s="703"/>
      <c r="L361" s="703"/>
      <c r="M361" s="703"/>
      <c r="P361" s="14"/>
      <c r="Q361" s="14"/>
      <c r="R361" s="14"/>
      <c r="S361" s="14"/>
      <c r="T361" s="14"/>
      <c r="U361" s="14"/>
      <c r="V361" s="708">
        <f>V362+V363</f>
        <v>1.4033029999999998E-3</v>
      </c>
      <c r="W361" s="708">
        <f t="shared" ref="W361:CH361" si="407">W362+W363</f>
        <v>2.7033669999999999E-3</v>
      </c>
      <c r="X361" s="708">
        <f t="shared" si="407"/>
        <v>4.4883050000000015E-3</v>
      </c>
      <c r="Y361" s="708">
        <f t="shared" si="407"/>
        <v>0.17174066399999999</v>
      </c>
      <c r="Z361" s="708">
        <f t="shared" si="407"/>
        <v>0.30945747700000004</v>
      </c>
      <c r="AA361" s="708">
        <f t="shared" si="407"/>
        <v>0.35852148599364403</v>
      </c>
      <c r="AB361" s="708">
        <f t="shared" si="407"/>
        <v>0.53032536999999991</v>
      </c>
      <c r="AC361" s="708">
        <f t="shared" si="407"/>
        <v>0.64351494105104701</v>
      </c>
      <c r="AD361" s="708">
        <f t="shared" si="407"/>
        <v>0.79870591400000013</v>
      </c>
      <c r="AE361" s="708">
        <f t="shared" si="407"/>
        <v>1.0134011220000001</v>
      </c>
      <c r="AF361" s="708">
        <f t="shared" si="407"/>
        <v>1.412273127</v>
      </c>
      <c r="AG361" s="708">
        <f t="shared" si="407"/>
        <v>1.771139926</v>
      </c>
      <c r="AH361" s="708">
        <f t="shared" si="407"/>
        <v>2.1629083209999997</v>
      </c>
      <c r="AI361" s="708">
        <f t="shared" si="407"/>
        <v>2.2099151610000001</v>
      </c>
      <c r="AJ361" s="708">
        <f t="shared" si="407"/>
        <v>2.7007950960000002</v>
      </c>
      <c r="AK361" s="708">
        <f t="shared" si="407"/>
        <v>2.7279453600000001</v>
      </c>
      <c r="AL361" s="708">
        <f t="shared" si="407"/>
        <v>2.7847596440000002</v>
      </c>
      <c r="AM361" s="708">
        <f t="shared" si="407"/>
        <v>2.9873254469999999</v>
      </c>
      <c r="AN361" s="708">
        <f t="shared" si="407"/>
        <v>3.3483177560000001</v>
      </c>
      <c r="AO361" s="708">
        <f t="shared" si="407"/>
        <v>3.7372968650000002</v>
      </c>
      <c r="AP361" s="708">
        <f t="shared" si="407"/>
        <v>4.0501970700000003</v>
      </c>
      <c r="AQ361" s="708">
        <f t="shared" si="407"/>
        <v>4.7576326911847318</v>
      </c>
      <c r="AR361" s="708">
        <f t="shared" si="407"/>
        <v>5.0872325605922475</v>
      </c>
      <c r="AS361" s="708">
        <f t="shared" si="407"/>
        <v>5.5982354186562988</v>
      </c>
      <c r="AT361" s="708">
        <f t="shared" si="407"/>
        <v>6.5086951015190317</v>
      </c>
      <c r="AU361" s="708">
        <f t="shared" si="407"/>
        <v>6.9154976380619164</v>
      </c>
      <c r="AV361" s="708">
        <f t="shared" si="407"/>
        <v>7.3291090225320019</v>
      </c>
      <c r="AW361" s="708">
        <f t="shared" si="407"/>
        <v>7.8187063992596757</v>
      </c>
      <c r="AX361" s="708">
        <f t="shared" si="407"/>
        <v>8.3404108075204846</v>
      </c>
      <c r="AY361" s="708">
        <f t="shared" si="407"/>
        <v>8.8134176360803576</v>
      </c>
      <c r="AZ361" s="708">
        <f t="shared" si="407"/>
        <v>9.3429393243801648</v>
      </c>
      <c r="BA361" s="708">
        <f t="shared" si="407"/>
        <v>9.8792034098560446</v>
      </c>
      <c r="BB361" s="708">
        <f t="shared" si="407"/>
        <v>10.434398913724099</v>
      </c>
      <c r="BC361" s="708">
        <f t="shared" si="407"/>
        <v>10.996271767298188</v>
      </c>
      <c r="BD361" s="708">
        <f t="shared" si="407"/>
        <v>11.565201685798002</v>
      </c>
      <c r="BE361" s="708">
        <f t="shared" si="407"/>
        <v>12.11525101594698</v>
      </c>
      <c r="BF361" s="708">
        <f t="shared" si="407"/>
        <v>12.986631068393987</v>
      </c>
      <c r="BG361" s="708">
        <f t="shared" si="407"/>
        <v>13.658267895022442</v>
      </c>
      <c r="BH361" s="708">
        <f t="shared" si="407"/>
        <v>14.350696480148057</v>
      </c>
      <c r="BI361" s="708">
        <f t="shared" si="407"/>
        <v>15.064608076620688</v>
      </c>
      <c r="BJ361" s="708">
        <f t="shared" si="407"/>
        <v>15.800947801473423</v>
      </c>
      <c r="BK361" s="708">
        <f t="shared" si="407"/>
        <v>16.560372086882619</v>
      </c>
      <c r="BL361" s="708">
        <f t="shared" si="407"/>
        <v>17.343530933589946</v>
      </c>
      <c r="BM361" s="708">
        <f t="shared" si="407"/>
        <v>18.084730876663265</v>
      </c>
      <c r="BN361" s="708">
        <f t="shared" si="407"/>
        <v>18.849734189118987</v>
      </c>
      <c r="BO361" s="708">
        <f t="shared" si="407"/>
        <v>19.638208978108096</v>
      </c>
      <c r="BP361" s="708">
        <f t="shared" si="407"/>
        <v>20.450401966750356</v>
      </c>
      <c r="BQ361" s="708">
        <f t="shared" si="407"/>
        <v>21.286579604417714</v>
      </c>
      <c r="BR361" s="708">
        <f t="shared" si="407"/>
        <v>22.122564742354694</v>
      </c>
      <c r="BS361" s="708">
        <f t="shared" si="407"/>
        <v>22.941705749907179</v>
      </c>
      <c r="BT361" s="708">
        <f t="shared" si="407"/>
        <v>23.744510720315343</v>
      </c>
      <c r="BU361" s="708">
        <f t="shared" si="407"/>
        <v>24.530249549400864</v>
      </c>
      <c r="BV361" s="708">
        <f t="shared" si="407"/>
        <v>25.299389098020754</v>
      </c>
      <c r="BW361" s="708">
        <f t="shared" si="407"/>
        <v>26.052365283289433</v>
      </c>
      <c r="BX361" s="708">
        <f t="shared" si="407"/>
        <v>26.789609277343814</v>
      </c>
      <c r="BY361" s="708">
        <f t="shared" si="407"/>
        <v>27.511557770162312</v>
      </c>
      <c r="BZ361" s="708">
        <f t="shared" si="407"/>
        <v>28.217627509216495</v>
      </c>
      <c r="CA361" s="708">
        <f t="shared" si="407"/>
        <v>28.907266423303447</v>
      </c>
      <c r="CB361" s="708">
        <f t="shared" si="407"/>
        <v>29.579943242993213</v>
      </c>
      <c r="CC361" s="708">
        <f t="shared" si="407"/>
        <v>30.235123795870372</v>
      </c>
      <c r="CD361" s="708">
        <f t="shared" si="407"/>
        <v>30.89147706963637</v>
      </c>
      <c r="CE361" s="708">
        <f t="shared" si="407"/>
        <v>31.561525208655819</v>
      </c>
      <c r="CF361" s="708">
        <f t="shared" si="407"/>
        <v>32.244475597460081</v>
      </c>
      <c r="CG361" s="708">
        <f t="shared" si="407"/>
        <v>32.9395879493701</v>
      </c>
      <c r="CH361" s="708">
        <f t="shared" si="407"/>
        <v>33.646145579276066</v>
      </c>
      <c r="CI361" s="708">
        <f t="shared" ref="CI361:DA361" si="408">CI362+CI363</f>
        <v>34.363446685550784</v>
      </c>
      <c r="CJ361" s="708">
        <f t="shared" si="408"/>
        <v>35.090796154496957</v>
      </c>
      <c r="CK361" s="708">
        <f t="shared" si="408"/>
        <v>35.82749743037742</v>
      </c>
      <c r="CL361" s="708">
        <f t="shared" si="408"/>
        <v>36.573654735081902</v>
      </c>
      <c r="CM361" s="708">
        <f t="shared" si="408"/>
        <v>37.329346049916161</v>
      </c>
      <c r="CN361" s="708">
        <f t="shared" si="408"/>
        <v>38.094632236662818</v>
      </c>
      <c r="CO361" s="708">
        <f t="shared" si="408"/>
        <v>38.86955892421377</v>
      </c>
      <c r="CP361" s="708">
        <f t="shared" si="408"/>
        <v>39.104729489237464</v>
      </c>
      <c r="CQ361" s="708">
        <f t="shared" si="408"/>
        <v>38.981077941958986</v>
      </c>
      <c r="CR361" s="708">
        <f t="shared" si="408"/>
        <v>38.880700374188301</v>
      </c>
      <c r="CS361" s="708">
        <f t="shared" si="408"/>
        <v>38.802403784248199</v>
      </c>
      <c r="CT361" s="708">
        <f t="shared" si="408"/>
        <v>38.745292761046201</v>
      </c>
      <c r="CU361" s="708">
        <f t="shared" si="408"/>
        <v>38.708754159504181</v>
      </c>
      <c r="CV361" s="708">
        <f t="shared" si="408"/>
        <v>38.692430971587122</v>
      </c>
      <c r="CW361" s="708">
        <f t="shared" si="408"/>
        <v>38.696205221559829</v>
      </c>
      <c r="CX361" s="708">
        <f t="shared" si="408"/>
        <v>38.69684996956655</v>
      </c>
      <c r="CY361" s="708">
        <f t="shared" si="408"/>
        <v>38.695126603215961</v>
      </c>
      <c r="CZ361" s="708">
        <f t="shared" si="408"/>
        <v>38.691537658786807</v>
      </c>
      <c r="DA361" s="708">
        <f t="shared" si="408"/>
        <v>38.686536416695041</v>
      </c>
      <c r="DC361" s="14">
        <f t="shared" si="397"/>
        <v>7.0176750020446912</v>
      </c>
      <c r="DD361" s="14">
        <f t="shared" si="398"/>
        <v>42.152561390433277</v>
      </c>
      <c r="DE361" s="14">
        <f t="shared" si="399"/>
        <v>110.05910272197694</v>
      </c>
      <c r="DF361" s="14">
        <f t="shared" ref="DF361:DF389" si="409">SUM(BF361:BQ361)</f>
        <v>204.07470995718958</v>
      </c>
      <c r="DG361" s="14">
        <f t="shared" si="404"/>
        <v>315.93191316217798</v>
      </c>
      <c r="DH361" s="14">
        <f t="shared" si="400"/>
        <v>417.43214362069824</v>
      </c>
      <c r="DI361" s="14">
        <f t="shared" si="401"/>
        <v>465.38164535159456</v>
      </c>
    </row>
    <row r="362" spans="2:113" ht="15" outlineLevel="1">
      <c r="F362" s="126" t="s">
        <v>737</v>
      </c>
      <c r="I362" s="609" t="s">
        <v>736</v>
      </c>
      <c r="O362" s="710"/>
      <c r="P362" s="710"/>
      <c r="Q362" s="710"/>
      <c r="R362" s="710"/>
      <c r="S362" s="710"/>
      <c r="T362" s="710"/>
      <c r="U362" s="710"/>
      <c r="V362" s="711">
        <v>5.005448E-3</v>
      </c>
      <c r="W362" s="711">
        <v>6.3055120000000001E-3</v>
      </c>
      <c r="X362" s="712">
        <f>26432231/10^9</f>
        <v>2.6432231E-2</v>
      </c>
      <c r="Y362" s="712">
        <f>250642639/10^9</f>
        <v>0.250642639</v>
      </c>
      <c r="Z362" s="712">
        <f>407431327/10^9</f>
        <v>0.40743132700000001</v>
      </c>
      <c r="AA362" s="712">
        <f>527038129/10^9</f>
        <v>0.52703812900000002</v>
      </c>
      <c r="AB362" s="712">
        <f>727272529/10^9</f>
        <v>0.72727252899999995</v>
      </c>
      <c r="AC362" s="712">
        <f>882230300/10^9</f>
        <v>0.88223030000000002</v>
      </c>
      <c r="AD362" s="712">
        <f>1039222405/10^9</f>
        <v>1.0392224050000001</v>
      </c>
      <c r="AE362" s="712">
        <f>1317200101/10^9</f>
        <v>1.3172001010000001</v>
      </c>
      <c r="AF362" s="712">
        <f>1760585641/10^9</f>
        <v>1.760585641</v>
      </c>
      <c r="AG362" s="930">
        <f>2206411159/10^9</f>
        <v>2.206411159</v>
      </c>
      <c r="AH362" s="879">
        <f>2676498534/10^9</f>
        <v>2.6764985339999998</v>
      </c>
      <c r="AI362" s="713">
        <f>2741523147/10^9</f>
        <v>2.7415231470000001</v>
      </c>
      <c r="AJ362" s="713">
        <v>3.160104698</v>
      </c>
      <c r="AK362" s="713">
        <v>3.180434982</v>
      </c>
      <c r="AL362" s="713">
        <v>3.437444739</v>
      </c>
      <c r="AM362" s="713">
        <v>3.5755780150000001</v>
      </c>
      <c r="AN362" s="713">
        <v>4.0368384349999999</v>
      </c>
      <c r="AO362" s="950">
        <v>4.4334904750000002</v>
      </c>
      <c r="AP362" s="713">
        <v>4.7383829070000001</v>
      </c>
      <c r="AQ362" s="710">
        <v>5.506526394184732</v>
      </c>
      <c r="AR362" s="710">
        <v>6.0711896604009974</v>
      </c>
      <c r="AS362" s="710">
        <v>6.6699539389158824</v>
      </c>
      <c r="AT362" s="710">
        <v>7.6666554431151432</v>
      </c>
      <c r="AU362" s="710">
        <v>8.1588746463246942</v>
      </c>
      <c r="AV362" s="710">
        <v>8.659291586350335</v>
      </c>
      <c r="AW362" s="710">
        <v>9.2370834075224533</v>
      </c>
      <c r="AX362" s="710">
        <v>9.8483711491165966</v>
      </c>
      <c r="AY362" s="710">
        <v>10.412350199898691</v>
      </c>
      <c r="AZ362" s="710">
        <v>11.034232999309609</v>
      </c>
      <c r="BA362" s="710">
        <v>11.664247084785488</v>
      </c>
      <c r="BB362" s="710">
        <v>12.314581477542433</v>
      </c>
      <c r="BC362" s="710">
        <v>12.972982108894298</v>
      </c>
      <c r="BD362" s="710">
        <v>13.63982869406078</v>
      </c>
      <c r="BE362" s="710">
        <v>14.289183579765313</v>
      </c>
      <c r="BF362" s="710">
        <v>15.262243319712319</v>
      </c>
      <c r="BG362" s="710">
        <v>16.038945250507442</v>
      </c>
      <c r="BH362" s="710">
        <v>16.839876439799724</v>
      </c>
      <c r="BI362" s="710">
        <v>17.665780223772355</v>
      </c>
      <c r="BJ362" s="710">
        <v>18.517653802791756</v>
      </c>
      <c r="BK362" s="710">
        <v>19.396205692367619</v>
      </c>
      <c r="BL362" s="710">
        <v>20.302137976574944</v>
      </c>
      <c r="BM362" s="710">
        <v>21.169809273814931</v>
      </c>
      <c r="BN362" s="710">
        <v>22.065033940437321</v>
      </c>
      <c r="BO362" s="710">
        <v>22.987532166926428</v>
      </c>
      <c r="BP362" s="710">
        <v>23.937602759735356</v>
      </c>
      <c r="BQ362" s="710">
        <v>24.915564251569378</v>
      </c>
      <c r="BR362" s="710">
        <v>25.894254829321174</v>
      </c>
      <c r="BS362" s="710">
        <v>26.853971647058845</v>
      </c>
      <c r="BT362" s="710">
        <v>27.795141779504046</v>
      </c>
      <c r="BU362" s="710">
        <v>28.716954103959939</v>
      </c>
      <c r="BV362" s="710">
        <v>29.619794462765011</v>
      </c>
      <c r="BW362" s="710">
        <v>30.504017754515171</v>
      </c>
      <c r="BX362" s="710">
        <v>31.369974132828812</v>
      </c>
      <c r="BY362" s="710">
        <v>32.218019269165829</v>
      </c>
      <c r="BZ362" s="710">
        <v>33.047488892479272</v>
      </c>
      <c r="CA362" s="710">
        <v>33.857749913047705</v>
      </c>
      <c r="CB362" s="710">
        <v>34.648190042922657</v>
      </c>
      <c r="CC362" s="710">
        <v>35.418194091170186</v>
      </c>
      <c r="CD362" s="710">
        <v>36.188714031602849</v>
      </c>
      <c r="CE362" s="710">
        <v>36.974595503955634</v>
      </c>
      <c r="CF362" s="710">
        <v>37.775045892759898</v>
      </c>
      <c r="CG362" s="710">
        <v>38.589324911336583</v>
      </c>
      <c r="CH362" s="710">
        <v>39.416715874575878</v>
      </c>
      <c r="CI362" s="710">
        <v>40.256516980850598</v>
      </c>
      <c r="CJ362" s="710">
        <v>41.108033116463439</v>
      </c>
      <c r="CK362" s="710">
        <v>41.970567725677235</v>
      </c>
      <c r="CL362" s="710">
        <v>42.844225030381715</v>
      </c>
      <c r="CM362" s="710">
        <v>43.729083011882643</v>
      </c>
      <c r="CN362" s="710">
        <v>44.625202531962636</v>
      </c>
      <c r="CO362" s="710">
        <v>45.532629219513581</v>
      </c>
      <c r="CP362" s="710">
        <v>45.834466451203944</v>
      </c>
      <c r="CQ362" s="710">
        <v>45.710814903925467</v>
      </c>
      <c r="CR362" s="710">
        <v>45.610437336154781</v>
      </c>
      <c r="CS362" s="710">
        <v>45.532140746214679</v>
      </c>
      <c r="CT362" s="710">
        <v>45.475029723012682</v>
      </c>
      <c r="CU362" s="710">
        <v>45.438491121470662</v>
      </c>
      <c r="CV362" s="710">
        <v>45.422167933553602</v>
      </c>
      <c r="CW362" s="710">
        <v>45.42594218352631</v>
      </c>
      <c r="CX362" s="710">
        <v>45.426586931533031</v>
      </c>
      <c r="CY362" s="710">
        <v>45.424863565182442</v>
      </c>
      <c r="CZ362" s="710">
        <v>45.421274620753287</v>
      </c>
      <c r="DA362" s="710">
        <v>45.416273378661522</v>
      </c>
      <c r="DC362" s="12">
        <f t="shared" si="397"/>
        <v>9.1557774209999998</v>
      </c>
      <c r="DD362" s="12">
        <f t="shared" si="398"/>
        <v>50.227965925501607</v>
      </c>
      <c r="DE362" s="12">
        <f t="shared" si="399"/>
        <v>129.89768237668585</v>
      </c>
      <c r="DF362" s="12">
        <f t="shared" si="409"/>
        <v>239.0983850980096</v>
      </c>
      <c r="DG362" s="12">
        <f t="shared" si="404"/>
        <v>369.9437509187386</v>
      </c>
      <c r="DH362" s="12">
        <f t="shared" si="400"/>
        <v>489.01065383096272</v>
      </c>
      <c r="DI362" s="12">
        <f t="shared" si="401"/>
        <v>546.13848889519249</v>
      </c>
    </row>
    <row r="363" spans="2:113" ht="15" outlineLevel="1">
      <c r="F363" s="126" t="s">
        <v>798</v>
      </c>
      <c r="I363" s="609" t="s">
        <v>736</v>
      </c>
      <c r="O363" s="710"/>
      <c r="P363" s="710"/>
      <c r="Q363" s="710"/>
      <c r="R363" s="710"/>
      <c r="S363" s="710"/>
      <c r="T363" s="710"/>
      <c r="U363" s="710"/>
      <c r="V363" s="711">
        <v>-3.6021450000000002E-3</v>
      </c>
      <c r="W363" s="711">
        <v>-3.6021450000000002E-3</v>
      </c>
      <c r="X363" s="712">
        <v>-2.1943925999999999E-2</v>
      </c>
      <c r="Y363" s="712">
        <v>-7.8901974999999999E-2</v>
      </c>
      <c r="Z363" s="712">
        <v>-9.7973850000000001E-2</v>
      </c>
      <c r="AA363" s="712">
        <v>-0.16851664300635599</v>
      </c>
      <c r="AB363" s="712">
        <v>-0.19694715900000001</v>
      </c>
      <c r="AC363" s="712">
        <v>-0.23871535894895302</v>
      </c>
      <c r="AD363" s="712">
        <v>-0.240516491</v>
      </c>
      <c r="AE363" s="712">
        <v>-0.30379897900000002</v>
      </c>
      <c r="AF363" s="712">
        <v>-0.34831251400000002</v>
      </c>
      <c r="AG363" s="713">
        <v>-0.43527123299999998</v>
      </c>
      <c r="AH363" s="713">
        <v>-0.51359021299999996</v>
      </c>
      <c r="AI363" s="878">
        <v>-0.53160798600000003</v>
      </c>
      <c r="AJ363" s="713">
        <v>-0.45930960199999998</v>
      </c>
      <c r="AK363" s="713">
        <v>-0.45248962199999998</v>
      </c>
      <c r="AL363" s="713">
        <v>-0.65268509500000005</v>
      </c>
      <c r="AM363" s="713">
        <v>-0.58825256800000003</v>
      </c>
      <c r="AN363" s="713">
        <v>-0.68852067900000002</v>
      </c>
      <c r="AO363" s="713">
        <v>-0.69619361000000002</v>
      </c>
      <c r="AP363" s="713">
        <v>-0.68818583700000002</v>
      </c>
      <c r="AQ363" s="721">
        <v>-0.74889370300000002</v>
      </c>
      <c r="AR363" s="710">
        <v>-0.98395709980875001</v>
      </c>
      <c r="AS363" s="710">
        <v>-1.0717185202595834</v>
      </c>
      <c r="AT363" s="710">
        <v>-1.1579603415961113</v>
      </c>
      <c r="AU363" s="710">
        <v>-1.243377008262778</v>
      </c>
      <c r="AV363" s="710">
        <v>-1.3301825638183333</v>
      </c>
      <c r="AW363" s="710">
        <v>-1.4183770082627778</v>
      </c>
      <c r="AX363" s="710">
        <v>-1.5079603415961111</v>
      </c>
      <c r="AY363" s="710">
        <v>-1.5989325638183336</v>
      </c>
      <c r="AZ363" s="710">
        <v>-1.6912936749294447</v>
      </c>
      <c r="BA363" s="710">
        <v>-1.7850436749294445</v>
      </c>
      <c r="BB363" s="710">
        <v>-1.8801825638183332</v>
      </c>
      <c r="BC363" s="710">
        <v>-1.9767103415961109</v>
      </c>
      <c r="BD363" s="710">
        <v>-2.0746270082627776</v>
      </c>
      <c r="BE363" s="710">
        <v>-2.1739325638183331</v>
      </c>
      <c r="BF363" s="710">
        <v>-2.275612251318333</v>
      </c>
      <c r="BG363" s="710">
        <v>-2.3806773554849996</v>
      </c>
      <c r="BH363" s="710">
        <v>-2.4891799596516662</v>
      </c>
      <c r="BI363" s="710">
        <v>-2.6011721471516664</v>
      </c>
      <c r="BJ363" s="710">
        <v>-2.7167060013183328</v>
      </c>
      <c r="BK363" s="710">
        <v>-2.8358336054849995</v>
      </c>
      <c r="BL363" s="710">
        <v>-2.9586070429849993</v>
      </c>
      <c r="BM363" s="710">
        <v>-3.085078397151666</v>
      </c>
      <c r="BN363" s="710">
        <v>-3.2152997513183323</v>
      </c>
      <c r="BO363" s="710">
        <v>-3.3493231888183321</v>
      </c>
      <c r="BP363" s="710">
        <v>-3.4872007929849986</v>
      </c>
      <c r="BQ363" s="710">
        <v>-3.628984647151666</v>
      </c>
      <c r="BR363" s="710">
        <v>-3.7716900869664802</v>
      </c>
      <c r="BS363" s="710">
        <v>-3.9122658971516651</v>
      </c>
      <c r="BT363" s="710">
        <v>-4.0506310591887029</v>
      </c>
      <c r="BU363" s="710">
        <v>-4.1867045545590731</v>
      </c>
      <c r="BV363" s="710">
        <v>-4.320405364744258</v>
      </c>
      <c r="BW363" s="710">
        <v>-4.4516524712257404</v>
      </c>
      <c r="BX363" s="710">
        <v>-4.5803648554849987</v>
      </c>
      <c r="BY363" s="710">
        <v>-4.7064614990035176</v>
      </c>
      <c r="BZ363" s="710">
        <v>-4.8298613832627764</v>
      </c>
      <c r="CA363" s="710">
        <v>-4.9504834897442569</v>
      </c>
      <c r="CB363" s="710">
        <v>-5.0682467999294429</v>
      </c>
      <c r="CC363" s="710">
        <v>-5.1830702952998138</v>
      </c>
      <c r="CD363" s="710">
        <v>-5.2972369619664805</v>
      </c>
      <c r="CE363" s="710">
        <v>-5.4130702952998133</v>
      </c>
      <c r="CF363" s="710">
        <v>-5.5305702952998139</v>
      </c>
      <c r="CG363" s="710">
        <v>-5.6497369619664815</v>
      </c>
      <c r="CH363" s="710">
        <v>-5.7705702952998132</v>
      </c>
      <c r="CI363" s="710">
        <v>-5.8930702952998137</v>
      </c>
      <c r="CJ363" s="710">
        <v>-6.0172369619664794</v>
      </c>
      <c r="CK363" s="710">
        <v>-6.1430702952998137</v>
      </c>
      <c r="CL363" s="710">
        <v>-6.2705702952998132</v>
      </c>
      <c r="CM363" s="710">
        <v>-6.3997369619664815</v>
      </c>
      <c r="CN363" s="710">
        <v>-6.5305702952998139</v>
      </c>
      <c r="CO363" s="710">
        <v>-6.6630702952998133</v>
      </c>
      <c r="CP363" s="710">
        <v>-6.7297369619664806</v>
      </c>
      <c r="CQ363" s="710">
        <v>-6.7297369619664806</v>
      </c>
      <c r="CR363" s="710">
        <v>-6.7297369619664806</v>
      </c>
      <c r="CS363" s="710">
        <v>-6.7297369619664806</v>
      </c>
      <c r="CT363" s="710">
        <v>-6.7297369619664806</v>
      </c>
      <c r="CU363" s="710">
        <v>-6.7297369619664806</v>
      </c>
      <c r="CV363" s="710">
        <v>-6.7297369619664806</v>
      </c>
      <c r="CW363" s="710">
        <v>-6.7297369619664806</v>
      </c>
      <c r="CX363" s="710">
        <v>-6.7297369619664806</v>
      </c>
      <c r="CY363" s="710">
        <v>-6.7297369619664806</v>
      </c>
      <c r="CZ363" s="710">
        <v>-6.7297369619664806</v>
      </c>
      <c r="DA363" s="710">
        <v>-6.7297369619664806</v>
      </c>
      <c r="DC363" s="12">
        <f t="shared" si="397"/>
        <v>-2.1381024189553091</v>
      </c>
      <c r="DD363" s="12">
        <f t="shared" si="398"/>
        <v>-8.0754045350683334</v>
      </c>
      <c r="DE363" s="12">
        <f t="shared" si="399"/>
        <v>-19.838579654708887</v>
      </c>
      <c r="DF363" s="12">
        <f t="shared" si="409"/>
        <v>-35.023675140819996</v>
      </c>
      <c r="DG363" s="12">
        <f t="shared" si="404"/>
        <v>-54.011837756560723</v>
      </c>
      <c r="DH363" s="12">
        <f t="shared" si="400"/>
        <v>-71.57851021026444</v>
      </c>
      <c r="DI363" s="12">
        <f t="shared" si="401"/>
        <v>-80.756843543597768</v>
      </c>
    </row>
    <row r="364" spans="2:113" s="698" customFormat="1" outlineLevel="1">
      <c r="B364" s="126"/>
      <c r="E364" s="698" t="s">
        <v>220</v>
      </c>
      <c r="H364" s="703"/>
      <c r="I364" s="609" t="s">
        <v>736</v>
      </c>
      <c r="J364" s="703"/>
      <c r="K364" s="703"/>
      <c r="L364" s="703"/>
      <c r="M364" s="703"/>
      <c r="O364" s="714"/>
      <c r="P364" s="714"/>
      <c r="Q364" s="714"/>
      <c r="R364" s="714"/>
      <c r="S364" s="714"/>
      <c r="T364" s="714"/>
      <c r="U364" s="714"/>
      <c r="V364" s="696">
        <f t="shared" ref="V364:AF364" si="410">SUM(V367:V368)</f>
        <v>4.8999999999999998E-3</v>
      </c>
      <c r="W364" s="696">
        <f t="shared" si="410"/>
        <v>-8.8000000000000003E-4</v>
      </c>
      <c r="X364" s="696">
        <f t="shared" si="410"/>
        <v>7.1760000000000004E-2</v>
      </c>
      <c r="Y364" s="696">
        <f t="shared" si="410"/>
        <v>7.9600000000000004E-2</v>
      </c>
      <c r="Z364" s="696">
        <f t="shared" si="410"/>
        <v>8.9029999999999998E-2</v>
      </c>
      <c r="AA364" s="696">
        <f t="shared" si="410"/>
        <v>0.11754000000000001</v>
      </c>
      <c r="AB364" s="696">
        <f t="shared" si="410"/>
        <v>0.15575</v>
      </c>
      <c r="AC364" s="696">
        <f t="shared" si="410"/>
        <v>0.11600000000000001</v>
      </c>
      <c r="AD364" s="696">
        <f t="shared" si="410"/>
        <v>0.13519999999999999</v>
      </c>
      <c r="AE364" s="696">
        <f t="shared" si="410"/>
        <v>0.2276</v>
      </c>
      <c r="AF364" s="696">
        <f t="shared" si="410"/>
        <v>0.20130000000000001</v>
      </c>
      <c r="AG364" s="696">
        <f>SUM(AG365:AG375)</f>
        <v>0.24229999999999999</v>
      </c>
      <c r="AH364" s="696">
        <f t="shared" ref="AH364:CS364" si="411">SUM(AH365:AH375)</f>
        <v>0.22140000000000001</v>
      </c>
      <c r="AI364" s="696">
        <f t="shared" si="411"/>
        <v>0.13350000000000001</v>
      </c>
      <c r="AJ364" s="696">
        <f t="shared" si="411"/>
        <v>0.1502</v>
      </c>
      <c r="AK364" s="696">
        <f t="shared" si="411"/>
        <v>0.13089999999999999</v>
      </c>
      <c r="AL364" s="696">
        <f t="shared" si="411"/>
        <v>0.1676</v>
      </c>
      <c r="AM364" s="696">
        <f t="shared" si="411"/>
        <v>0.303183914</v>
      </c>
      <c r="AN364" s="696">
        <f t="shared" si="411"/>
        <v>0.31240000000000001</v>
      </c>
      <c r="AO364" s="696">
        <f t="shared" si="411"/>
        <v>0.34760000000000002</v>
      </c>
      <c r="AP364" s="696">
        <f t="shared" si="411"/>
        <v>0.41249999999999998</v>
      </c>
      <c r="AQ364" s="696">
        <f t="shared" si="411"/>
        <v>0.45250000000000007</v>
      </c>
      <c r="AR364" s="696">
        <f t="shared" si="411"/>
        <v>1.0199306715214</v>
      </c>
      <c r="AS364" s="696">
        <f t="shared" si="411"/>
        <v>0.89548763063280001</v>
      </c>
      <c r="AT364" s="696">
        <f t="shared" si="411"/>
        <v>1.0667091448847215</v>
      </c>
      <c r="AU364" s="696">
        <f t="shared" si="411"/>
        <v>1.0975686748059355</v>
      </c>
      <c r="AV364" s="696">
        <f t="shared" si="411"/>
        <v>1.1280834577455239</v>
      </c>
      <c r="AW364" s="696">
        <f t="shared" si="411"/>
        <v>1.15826965371825</v>
      </c>
      <c r="AX364" s="696">
        <f t="shared" si="411"/>
        <v>1.1881424282764308</v>
      </c>
      <c r="AY364" s="696">
        <f t="shared" si="411"/>
        <v>1.2177160278480001</v>
      </c>
      <c r="AZ364" s="696">
        <f t="shared" si="411"/>
        <v>1.2470038483278809</v>
      </c>
      <c r="BA364" s="696">
        <f t="shared" si="411"/>
        <v>1.2760184976171769</v>
      </c>
      <c r="BB364" s="696">
        <f t="shared" si="411"/>
        <v>1.3047718527241741</v>
      </c>
      <c r="BC364" s="696">
        <f t="shared" si="411"/>
        <v>1.3332751119709718</v>
      </c>
      <c r="BD364" s="696">
        <f t="shared" si="411"/>
        <v>1.3615388427882822</v>
      </c>
      <c r="BE364" s="696">
        <f t="shared" si="411"/>
        <v>1.3895730255273331</v>
      </c>
      <c r="BF364" s="696">
        <f t="shared" si="411"/>
        <v>1.418168473985959</v>
      </c>
      <c r="BG364" s="696">
        <f t="shared" si="411"/>
        <v>1.44718010450624</v>
      </c>
      <c r="BH364" s="696">
        <f t="shared" si="411"/>
        <v>1.4766030436335684</v>
      </c>
      <c r="BI364" s="696">
        <f t="shared" si="411"/>
        <v>1.5064327927944614</v>
      </c>
      <c r="BJ364" s="696">
        <f t="shared" si="411"/>
        <v>1.5366651929304149</v>
      </c>
      <c r="BK364" s="696">
        <f t="shared" si="411"/>
        <v>1.5672963930613331</v>
      </c>
      <c r="BL364" s="696">
        <f t="shared" si="411"/>
        <v>1.5983228222783996</v>
      </c>
      <c r="BM364" s="696">
        <f t="shared" si="411"/>
        <v>1.629741164737714</v>
      </c>
      <c r="BN364" s="696">
        <f t="shared" si="411"/>
        <v>1.6615483372861748</v>
      </c>
      <c r="BO364" s="696">
        <f t="shared" si="411"/>
        <v>1.6937414694019308</v>
      </c>
      <c r="BP364" s="696">
        <f t="shared" si="411"/>
        <v>1.7263178851747791</v>
      </c>
      <c r="BQ364" s="696">
        <f t="shared" si="411"/>
        <v>1.759275087088533</v>
      </c>
      <c r="BR364" s="696">
        <f t="shared" si="411"/>
        <v>1.7765110751425053</v>
      </c>
      <c r="BS364" s="696">
        <f t="shared" si="411"/>
        <v>1.7923759909924055</v>
      </c>
      <c r="BT364" s="696">
        <f t="shared" si="411"/>
        <v>1.8068889731681148</v>
      </c>
      <c r="BU364" s="696">
        <f t="shared" si="411"/>
        <v>1.8200683457939855</v>
      </c>
      <c r="BV364" s="696">
        <f t="shared" si="411"/>
        <v>1.8319316614522947</v>
      </c>
      <c r="BW364" s="696">
        <f t="shared" si="411"/>
        <v>1.8424957413677223</v>
      </c>
      <c r="BX364" s="696">
        <f t="shared" si="411"/>
        <v>1.8517767131061995</v>
      </c>
      <c r="BY364" s="696">
        <f t="shared" si="411"/>
        <v>1.85979004596566</v>
      </c>
      <c r="BZ364" s="696">
        <f t="shared" si="411"/>
        <v>1.8665505842218992</v>
      </c>
      <c r="CA364" s="696">
        <f t="shared" si="411"/>
        <v>1.8720725783796801</v>
      </c>
      <c r="CB364" s="696">
        <f t="shared" si="411"/>
        <v>1.8763697145673395</v>
      </c>
      <c r="CC364" s="696">
        <f t="shared" si="411"/>
        <v>1.8794551422023003</v>
      </c>
      <c r="CD364" s="696">
        <f t="shared" si="411"/>
        <v>1.8900137633298031</v>
      </c>
      <c r="CE364" s="696">
        <f t="shared" si="411"/>
        <v>1.9007278524250917</v>
      </c>
      <c r="CF364" s="696">
        <f t="shared" si="411"/>
        <v>1.9115908404191044</v>
      </c>
      <c r="CG364" s="696">
        <f t="shared" si="411"/>
        <v>1.9225965231910616</v>
      </c>
      <c r="CH364" s="696">
        <f t="shared" si="411"/>
        <v>1.9337390365720055</v>
      </c>
      <c r="CI364" s="696">
        <f t="shared" si="411"/>
        <v>1.9450128333750865</v>
      </c>
      <c r="CJ364" s="696">
        <f t="shared" si="411"/>
        <v>1.956412662263419</v>
      </c>
      <c r="CK364" s="696">
        <f t="shared" si="411"/>
        <v>1.9679335482862688</v>
      </c>
      <c r="CL364" s="696">
        <f t="shared" si="411"/>
        <v>1.9795707749319016</v>
      </c>
      <c r="CM364" s="696">
        <f t="shared" si="411"/>
        <v>1.9913198675609798</v>
      </c>
      <c r="CN364" s="696">
        <f t="shared" si="411"/>
        <v>2.0031765780981825</v>
      </c>
      <c r="CO364" s="696">
        <f t="shared" si="411"/>
        <v>2.015136870871955</v>
      </c>
      <c r="CP364" s="696">
        <f t="shared" si="411"/>
        <v>2.0017886322697076</v>
      </c>
      <c r="CQ364" s="696">
        <f t="shared" si="411"/>
        <v>1.9886592172511031</v>
      </c>
      <c r="CR364" s="696">
        <f t="shared" si="411"/>
        <v>1.9757432886555657</v>
      </c>
      <c r="CS364" s="696">
        <f t="shared" si="411"/>
        <v>1.9630356814889884</v>
      </c>
      <c r="CT364" s="696">
        <f t="shared" ref="CT364:DA364" si="412">SUM(CT365:CT375)</f>
        <v>1.9505313960370767</v>
      </c>
      <c r="CU364" s="696">
        <f t="shared" si="412"/>
        <v>1.9382255913066233</v>
      </c>
      <c r="CV364" s="696">
        <f t="shared" si="412"/>
        <v>1.9261135787766501</v>
      </c>
      <c r="CW364" s="696">
        <f t="shared" si="412"/>
        <v>1.9141908164424573</v>
      </c>
      <c r="CX364" s="696">
        <f t="shared" si="412"/>
        <v>1.9024529031367021</v>
      </c>
      <c r="CY364" s="696">
        <f t="shared" si="412"/>
        <v>1.8908955731125734</v>
      </c>
      <c r="CZ364" s="696">
        <f t="shared" si="412"/>
        <v>1.8795146908750726</v>
      </c>
      <c r="DA364" s="696">
        <f t="shared" si="412"/>
        <v>1.868306246247232</v>
      </c>
      <c r="DC364" s="14">
        <f t="shared" si="397"/>
        <v>1.4400999999999999</v>
      </c>
      <c r="DD364" s="14">
        <f t="shared" si="398"/>
        <v>4.5472022161542007</v>
      </c>
      <c r="DE364" s="14">
        <f t="shared" si="399"/>
        <v>14.768670566234679</v>
      </c>
      <c r="DF364" s="14">
        <f t="shared" si="409"/>
        <v>19.021292766879508</v>
      </c>
      <c r="DG364" s="14">
        <f t="shared" si="404"/>
        <v>22.076286566360103</v>
      </c>
      <c r="DH364" s="14">
        <f t="shared" si="400"/>
        <v>23.417231151324856</v>
      </c>
      <c r="DI364" s="14">
        <f t="shared" si="401"/>
        <v>23.199457615599751</v>
      </c>
    </row>
    <row r="365" spans="2:113" s="698" customFormat="1" outlineLevel="1">
      <c r="B365" s="126"/>
      <c r="F365" s="126" t="s">
        <v>540</v>
      </c>
      <c r="H365" s="703"/>
      <c r="I365" s="609" t="s">
        <v>736</v>
      </c>
      <c r="J365" s="703"/>
      <c r="K365" s="703"/>
      <c r="L365" s="703"/>
      <c r="M365" s="703"/>
      <c r="O365" s="714"/>
      <c r="P365" s="714"/>
      <c r="Q365" s="714"/>
      <c r="R365" s="714"/>
      <c r="S365" s="714"/>
      <c r="T365" s="714"/>
      <c r="U365" s="714"/>
      <c r="V365" s="696"/>
      <c r="W365" s="696"/>
      <c r="X365" s="696"/>
      <c r="Y365" s="696"/>
      <c r="Z365" s="696"/>
      <c r="AA365" s="696"/>
      <c r="AB365" s="696"/>
      <c r="AC365" s="696"/>
      <c r="AD365" s="696"/>
      <c r="AE365" s="696"/>
      <c r="AF365" s="696"/>
      <c r="AG365" s="696"/>
      <c r="AH365" s="696"/>
      <c r="AI365" s="696"/>
      <c r="AJ365" s="696"/>
      <c r="AK365" s="696"/>
      <c r="AL365" s="696"/>
      <c r="AM365" s="696"/>
      <c r="AN365" s="696"/>
      <c r="AO365" s="696"/>
      <c r="AP365" s="696"/>
      <c r="AQ365" s="696"/>
      <c r="AR365" s="696"/>
      <c r="AS365" s="696"/>
      <c r="AT365" s="696"/>
      <c r="AU365" s="696"/>
      <c r="AV365" s="696"/>
      <c r="AW365" s="696"/>
      <c r="AX365" s="696"/>
      <c r="AY365" s="696"/>
      <c r="AZ365" s="696"/>
      <c r="BA365" s="696"/>
      <c r="BB365" s="696"/>
      <c r="BC365" s="696"/>
      <c r="BD365" s="696"/>
      <c r="BE365" s="696"/>
      <c r="BF365" s="696"/>
      <c r="BG365" s="696"/>
      <c r="BH365" s="696"/>
      <c r="BI365" s="696"/>
      <c r="BJ365" s="696"/>
      <c r="BK365" s="696"/>
      <c r="BL365" s="696"/>
      <c r="BM365" s="696"/>
      <c r="BN365" s="696"/>
      <c r="BO365" s="696"/>
      <c r="BP365" s="696"/>
      <c r="BQ365" s="696"/>
      <c r="BR365" s="696"/>
      <c r="BS365" s="696"/>
      <c r="BT365" s="696"/>
      <c r="BU365" s="696"/>
      <c r="BV365" s="696"/>
      <c r="BW365" s="696"/>
      <c r="BX365" s="696"/>
      <c r="BY365" s="696"/>
      <c r="BZ365" s="696"/>
      <c r="CA365" s="696"/>
      <c r="CB365" s="696"/>
      <c r="CC365" s="696"/>
      <c r="CD365" s="696"/>
      <c r="CE365" s="696"/>
      <c r="CF365" s="696"/>
      <c r="CG365" s="696"/>
      <c r="CH365" s="696"/>
      <c r="CI365" s="696"/>
      <c r="CJ365" s="696"/>
      <c r="CK365" s="696"/>
      <c r="CL365" s="696"/>
      <c r="CM365" s="696"/>
      <c r="CN365" s="696"/>
      <c r="CO365" s="696"/>
      <c r="CP365" s="696"/>
      <c r="CQ365" s="696"/>
      <c r="CR365" s="696"/>
      <c r="CS365" s="696"/>
      <c r="CT365" s="696"/>
      <c r="CU365" s="696"/>
      <c r="CV365" s="696"/>
      <c r="CW365" s="696"/>
      <c r="CX365" s="696"/>
      <c r="CY365" s="696"/>
      <c r="CZ365" s="696"/>
      <c r="DA365" s="696"/>
      <c r="DC365" s="12">
        <f>SUM(V365:AG365)</f>
        <v>0</v>
      </c>
      <c r="DD365" s="12">
        <f>SUM(AH365:AS365)</f>
        <v>0</v>
      </c>
      <c r="DE365" s="12">
        <f>SUM(AT365:BE365)</f>
        <v>0</v>
      </c>
      <c r="DF365" s="12">
        <f>SUM(BF365:BQ365)</f>
        <v>0</v>
      </c>
      <c r="DG365" s="12">
        <f>SUM(BR365:CC365)</f>
        <v>0</v>
      </c>
      <c r="DH365" s="12">
        <f>SUM(CD365:CO365)</f>
        <v>0</v>
      </c>
      <c r="DI365" s="12">
        <f t="shared" si="401"/>
        <v>0</v>
      </c>
    </row>
    <row r="366" spans="2:113" s="698" customFormat="1" outlineLevel="1">
      <c r="B366" s="126"/>
      <c r="F366" s="126" t="s">
        <v>799</v>
      </c>
      <c r="H366" s="703"/>
      <c r="I366" s="609" t="s">
        <v>736</v>
      </c>
      <c r="J366" s="703"/>
      <c r="K366" s="703"/>
      <c r="L366" s="703"/>
      <c r="M366" s="703"/>
      <c r="O366" s="714"/>
      <c r="P366" s="714"/>
      <c r="Q366" s="714"/>
      <c r="R366" s="714"/>
      <c r="S366" s="714"/>
      <c r="T366" s="714"/>
      <c r="U366" s="714"/>
      <c r="V366" s="696"/>
      <c r="W366" s="696"/>
      <c r="X366" s="696"/>
      <c r="Y366" s="696"/>
      <c r="Z366" s="696"/>
      <c r="AA366" s="696"/>
      <c r="AB366" s="696"/>
      <c r="AC366" s="696"/>
      <c r="AD366" s="696"/>
      <c r="AE366" s="696"/>
      <c r="AF366" s="696"/>
      <c r="AG366" s="696"/>
      <c r="AH366" s="696"/>
      <c r="AI366" s="696"/>
      <c r="AJ366" s="696"/>
      <c r="AK366" s="696"/>
      <c r="AL366" s="696"/>
      <c r="AM366" s="696"/>
      <c r="AN366" s="696"/>
      <c r="AO366" s="696"/>
      <c r="AP366" s="696"/>
      <c r="AQ366" s="696"/>
      <c r="AR366" s="696"/>
      <c r="AS366" s="696"/>
      <c r="AT366" s="696"/>
      <c r="AU366" s="696"/>
      <c r="AV366" s="696"/>
      <c r="AW366" s="696"/>
      <c r="AX366" s="696"/>
      <c r="AY366" s="696"/>
      <c r="AZ366" s="696"/>
      <c r="BA366" s="696"/>
      <c r="BB366" s="696"/>
      <c r="BC366" s="696"/>
      <c r="BD366" s="696"/>
      <c r="BE366" s="696"/>
      <c r="BF366" s="696"/>
      <c r="BG366" s="696"/>
      <c r="BH366" s="696"/>
      <c r="BI366" s="696"/>
      <c r="BJ366" s="696"/>
      <c r="BK366" s="696"/>
      <c r="BL366" s="696"/>
      <c r="BM366" s="696"/>
      <c r="BN366" s="696"/>
      <c r="BO366" s="696"/>
      <c r="BP366" s="696"/>
      <c r="BQ366" s="696"/>
      <c r="BR366" s="696"/>
      <c r="BS366" s="696"/>
      <c r="BT366" s="696"/>
      <c r="BU366" s="696"/>
      <c r="BV366" s="696"/>
      <c r="BW366" s="696"/>
      <c r="BX366" s="696"/>
      <c r="BY366" s="696"/>
      <c r="BZ366" s="696"/>
      <c r="CA366" s="696"/>
      <c r="CB366" s="696"/>
      <c r="CC366" s="696"/>
      <c r="CD366" s="696"/>
      <c r="CE366" s="696"/>
      <c r="CF366" s="696"/>
      <c r="CG366" s="696"/>
      <c r="CH366" s="696"/>
      <c r="CI366" s="696"/>
      <c r="CJ366" s="696"/>
      <c r="CK366" s="696"/>
      <c r="CL366" s="696"/>
      <c r="CM366" s="696"/>
      <c r="CN366" s="696"/>
      <c r="CO366" s="696"/>
      <c r="CP366" s="696"/>
      <c r="CQ366" s="696"/>
      <c r="CR366" s="696"/>
      <c r="CS366" s="696"/>
      <c r="CT366" s="696"/>
      <c r="CU366" s="696"/>
      <c r="CV366" s="696"/>
      <c r="CW366" s="696"/>
      <c r="CX366" s="696"/>
      <c r="CY366" s="696"/>
      <c r="CZ366" s="696"/>
      <c r="DA366" s="696"/>
      <c r="DC366" s="12">
        <f>SUM(V366:AG366)</f>
        <v>0</v>
      </c>
      <c r="DD366" s="12">
        <f>SUM(AH366:AS366)</f>
        <v>0</v>
      </c>
      <c r="DE366" s="12">
        <f>SUM(AT366:BE366)</f>
        <v>0</v>
      </c>
      <c r="DF366" s="12">
        <f>SUM(BF366:BQ366)</f>
        <v>0</v>
      </c>
      <c r="DG366" s="12">
        <f>SUM(BR366:CC366)</f>
        <v>0</v>
      </c>
      <c r="DH366" s="12">
        <f>SUM(CD366:CO366)</f>
        <v>0</v>
      </c>
      <c r="DI366" s="12">
        <f t="shared" si="401"/>
        <v>0</v>
      </c>
    </row>
    <row r="367" spans="2:113" ht="15" outlineLevel="1">
      <c r="F367" s="126" t="s">
        <v>800</v>
      </c>
      <c r="I367" s="609" t="s">
        <v>736</v>
      </c>
      <c r="O367" s="710"/>
      <c r="P367" s="710"/>
      <c r="Q367" s="710"/>
      <c r="R367" s="710"/>
      <c r="S367" s="710"/>
      <c r="T367" s="710"/>
      <c r="U367" s="710"/>
      <c r="V367" s="712">
        <v>4.8999999999999998E-3</v>
      </c>
      <c r="W367" s="712">
        <v>-8.8000000000000003E-4</v>
      </c>
      <c r="X367" s="712">
        <v>7.1760000000000004E-2</v>
      </c>
      <c r="Y367" s="712">
        <v>7.9600000000000004E-2</v>
      </c>
      <c r="Z367" s="712">
        <v>8.9029999999999998E-2</v>
      </c>
      <c r="AA367" s="712">
        <v>0.11754000000000001</v>
      </c>
      <c r="AB367" s="712">
        <v>0.15575</v>
      </c>
      <c r="AC367" s="712">
        <v>0.11600000000000001</v>
      </c>
      <c r="AD367" s="712">
        <v>0.13519999999999999</v>
      </c>
      <c r="AE367" s="712">
        <v>0.2276</v>
      </c>
      <c r="AF367" s="712">
        <v>0.20130000000000001</v>
      </c>
      <c r="AG367" s="930">
        <f>242300000/10^9</f>
        <v>0.24229999999999999</v>
      </c>
      <c r="AH367" s="713">
        <f>221400000/10^9</f>
        <v>0.22140000000000001</v>
      </c>
      <c r="AI367" s="931">
        <f>133500000/10^9</f>
        <v>0.13350000000000001</v>
      </c>
      <c r="AJ367" s="713">
        <v>0.1502</v>
      </c>
      <c r="AK367" s="713">
        <v>0.13089999999999999</v>
      </c>
      <c r="AL367" s="713">
        <v>0.1676</v>
      </c>
      <c r="AM367" s="713">
        <v>0.303183914</v>
      </c>
      <c r="AN367" s="713">
        <v>0.31240000000000001</v>
      </c>
      <c r="AO367" s="713">
        <v>0.34760000000000002</v>
      </c>
      <c r="AP367" s="713">
        <v>0.41249999999999998</v>
      </c>
      <c r="AQ367" s="710">
        <v>0.45250000000000007</v>
      </c>
      <c r="AR367" s="710">
        <v>0.5265685227050001</v>
      </c>
      <c r="AS367" s="710">
        <v>0.36</v>
      </c>
      <c r="AT367" s="710">
        <v>0.5</v>
      </c>
      <c r="AU367" s="710">
        <v>0.5</v>
      </c>
      <c r="AV367" s="710">
        <v>0.5</v>
      </c>
      <c r="AW367" s="710">
        <v>0.5</v>
      </c>
      <c r="AX367" s="710">
        <v>0.5</v>
      </c>
      <c r="AY367" s="710">
        <v>0.5</v>
      </c>
      <c r="AZ367" s="710">
        <v>0.5</v>
      </c>
      <c r="BA367" s="710">
        <v>0.5</v>
      </c>
      <c r="BB367" s="710">
        <v>0.5</v>
      </c>
      <c r="BC367" s="710">
        <v>0.5</v>
      </c>
      <c r="BD367" s="710">
        <v>0.5</v>
      </c>
      <c r="BE367" s="710">
        <v>0.5</v>
      </c>
      <c r="BF367" s="710">
        <v>0.50624999999999998</v>
      </c>
      <c r="BG367" s="710">
        <v>0.51249999999999996</v>
      </c>
      <c r="BH367" s="710">
        <v>0.51875000000000004</v>
      </c>
      <c r="BI367" s="710">
        <v>0.52500000000000002</v>
      </c>
      <c r="BJ367" s="710">
        <v>0.53125</v>
      </c>
      <c r="BK367" s="710">
        <v>0.53749999999999998</v>
      </c>
      <c r="BL367" s="710">
        <v>0.54374999999999996</v>
      </c>
      <c r="BM367" s="710">
        <v>0.55000000000000004</v>
      </c>
      <c r="BN367" s="710">
        <v>0.55625000000000002</v>
      </c>
      <c r="BO367" s="710">
        <v>0.5625</v>
      </c>
      <c r="BP367" s="710">
        <v>0.56874999999999998</v>
      </c>
      <c r="BQ367" s="710">
        <v>0.57499999999999996</v>
      </c>
      <c r="BR367" s="710">
        <v>0.56041666666666679</v>
      </c>
      <c r="BS367" s="710">
        <v>0.54583333333333339</v>
      </c>
      <c r="BT367" s="710">
        <v>0.53125000000000011</v>
      </c>
      <c r="BU367" s="710">
        <v>0.51666666666666672</v>
      </c>
      <c r="BV367" s="710">
        <v>0.50208333333333344</v>
      </c>
      <c r="BW367" s="710">
        <v>0.48750000000000016</v>
      </c>
      <c r="BX367" s="710">
        <v>0.47291666666666687</v>
      </c>
      <c r="BY367" s="710">
        <v>0.45833333333333359</v>
      </c>
      <c r="BZ367" s="710">
        <v>0.44375000000000031</v>
      </c>
      <c r="CA367" s="710">
        <v>0.42916666666666697</v>
      </c>
      <c r="CB367" s="710">
        <v>0.41458333333333364</v>
      </c>
      <c r="CC367" s="710">
        <v>0.4</v>
      </c>
      <c r="CD367" s="710">
        <v>0.4</v>
      </c>
      <c r="CE367" s="710">
        <v>0.4</v>
      </c>
      <c r="CF367" s="710">
        <v>0.4</v>
      </c>
      <c r="CG367" s="710">
        <v>0.4</v>
      </c>
      <c r="CH367" s="710">
        <v>0.4</v>
      </c>
      <c r="CI367" s="710">
        <v>0.4</v>
      </c>
      <c r="CJ367" s="710">
        <v>0.4</v>
      </c>
      <c r="CK367" s="710">
        <v>0.4</v>
      </c>
      <c r="CL367" s="710">
        <v>0.4</v>
      </c>
      <c r="CM367" s="710">
        <v>0.4</v>
      </c>
      <c r="CN367" s="710">
        <v>0.4</v>
      </c>
      <c r="CO367" s="710">
        <v>0.4</v>
      </c>
      <c r="CP367" s="710">
        <v>0.4</v>
      </c>
      <c r="CQ367" s="710">
        <v>0.4</v>
      </c>
      <c r="CR367" s="710">
        <v>0.4</v>
      </c>
      <c r="CS367" s="710">
        <v>0.4</v>
      </c>
      <c r="CT367" s="710">
        <v>0.4</v>
      </c>
      <c r="CU367" s="710">
        <v>0.4</v>
      </c>
      <c r="CV367" s="710">
        <v>0.4</v>
      </c>
      <c r="CW367" s="710">
        <v>0.4</v>
      </c>
      <c r="CX367" s="710">
        <v>0.4</v>
      </c>
      <c r="CY367" s="710">
        <v>0.4</v>
      </c>
      <c r="CZ367" s="710">
        <v>0.4</v>
      </c>
      <c r="DA367" s="710">
        <v>0.4</v>
      </c>
      <c r="DC367" s="12">
        <f t="shared" si="397"/>
        <v>1.4400999999999999</v>
      </c>
      <c r="DD367" s="12">
        <f t="shared" si="398"/>
        <v>3.5183524367049999</v>
      </c>
      <c r="DE367" s="702">
        <f t="shared" si="399"/>
        <v>6</v>
      </c>
      <c r="DF367" s="12">
        <f t="shared" si="409"/>
        <v>6.4874999999999998</v>
      </c>
      <c r="DG367" s="12">
        <f t="shared" si="404"/>
        <v>5.7625000000000028</v>
      </c>
      <c r="DH367" s="12">
        <f t="shared" si="400"/>
        <v>4.8</v>
      </c>
      <c r="DI367" s="12">
        <f t="shared" si="401"/>
        <v>4.8</v>
      </c>
    </row>
    <row r="368" spans="2:113" outlineLevel="1">
      <c r="F368" s="126" t="s">
        <v>223</v>
      </c>
      <c r="I368" s="609" t="s">
        <v>736</v>
      </c>
      <c r="O368" s="710"/>
      <c r="P368" s="710"/>
      <c r="Q368" s="710"/>
      <c r="R368" s="710"/>
      <c r="S368" s="710"/>
      <c r="T368" s="710"/>
      <c r="U368" s="710"/>
      <c r="V368" s="716"/>
      <c r="W368" s="716"/>
      <c r="X368" s="716"/>
      <c r="Y368" s="716"/>
      <c r="Z368" s="716"/>
      <c r="AA368" s="716"/>
      <c r="AB368" s="716"/>
      <c r="AC368" s="716"/>
      <c r="AD368" s="716"/>
      <c r="AE368" s="710"/>
      <c r="AF368" s="710"/>
      <c r="AG368" s="710"/>
      <c r="AH368" s="951"/>
      <c r="AI368" s="951"/>
      <c r="AJ368" s="710"/>
      <c r="AK368" s="710"/>
      <c r="AL368" s="710"/>
      <c r="AM368" s="710"/>
      <c r="AN368" s="710"/>
      <c r="AO368" s="710"/>
      <c r="AP368" s="710"/>
      <c r="AQ368" s="710"/>
      <c r="AR368" s="710">
        <v>0.4933621488164</v>
      </c>
      <c r="AS368" s="710">
        <v>0.53548763063280003</v>
      </c>
      <c r="AT368" s="710">
        <v>0.56670914488472135</v>
      </c>
      <c r="AU368" s="710">
        <v>0.59756867480593556</v>
      </c>
      <c r="AV368" s="710">
        <v>0.62808345774552388</v>
      </c>
      <c r="AW368" s="710">
        <v>0.65826965371825008</v>
      </c>
      <c r="AX368" s="710">
        <v>0.6881424282764308</v>
      </c>
      <c r="AY368" s="710">
        <v>0.71771602784800026</v>
      </c>
      <c r="AZ368" s="710">
        <v>0.74700384832788091</v>
      </c>
      <c r="BA368" s="710">
        <v>0.77601849761717678</v>
      </c>
      <c r="BB368" s="710">
        <v>0.80477185272417406</v>
      </c>
      <c r="BC368" s="710">
        <v>0.83327511197097182</v>
      </c>
      <c r="BD368" s="710">
        <v>0.86153884278828219</v>
      </c>
      <c r="BE368" s="710">
        <v>0.88957302552733319</v>
      </c>
      <c r="BF368" s="710">
        <v>0.91191847398595904</v>
      </c>
      <c r="BG368" s="710">
        <v>0.93468010450623995</v>
      </c>
      <c r="BH368" s="710">
        <v>0.95785304363356838</v>
      </c>
      <c r="BI368" s="710">
        <v>0.98143279279446127</v>
      </c>
      <c r="BJ368" s="710">
        <v>1.0054151929304149</v>
      </c>
      <c r="BK368" s="710">
        <v>1.029796393061333</v>
      </c>
      <c r="BL368" s="710">
        <v>1.0545728222783997</v>
      </c>
      <c r="BM368" s="710">
        <v>1.079741164737714</v>
      </c>
      <c r="BN368" s="710">
        <v>1.1052983372861749</v>
      </c>
      <c r="BO368" s="710">
        <v>1.1312414694019308</v>
      </c>
      <c r="BP368" s="710">
        <v>1.157567885174779</v>
      </c>
      <c r="BQ368" s="710">
        <v>1.184275087088533</v>
      </c>
      <c r="BR368" s="710">
        <v>1.2160944084758385</v>
      </c>
      <c r="BS368" s="710">
        <v>1.2465426576590721</v>
      </c>
      <c r="BT368" s="710">
        <v>1.2756389731681146</v>
      </c>
      <c r="BU368" s="710">
        <v>1.3034016791273189</v>
      </c>
      <c r="BV368" s="710">
        <v>1.3298483281189613</v>
      </c>
      <c r="BW368" s="710">
        <v>1.3549957413677223</v>
      </c>
      <c r="BX368" s="710">
        <v>1.3788600464395326</v>
      </c>
      <c r="BY368" s="710">
        <v>1.4014567126323265</v>
      </c>
      <c r="BZ368" s="710">
        <v>1.4228005842218989</v>
      </c>
      <c r="CA368" s="710">
        <v>1.4429059117130132</v>
      </c>
      <c r="CB368" s="710">
        <v>1.4617863812340059</v>
      </c>
      <c r="CC368" s="710">
        <v>1.4794551422023003</v>
      </c>
      <c r="CD368" s="710">
        <v>1.490013763329803</v>
      </c>
      <c r="CE368" s="710">
        <v>1.5007278524250915</v>
      </c>
      <c r="CF368" s="710">
        <v>1.5115908404191043</v>
      </c>
      <c r="CG368" s="710">
        <v>1.5225965231910614</v>
      </c>
      <c r="CH368" s="710">
        <v>1.5337390365720056</v>
      </c>
      <c r="CI368" s="710">
        <v>1.5450128333750865</v>
      </c>
      <c r="CJ368" s="710">
        <v>1.5564126622634189</v>
      </c>
      <c r="CK368" s="710">
        <v>1.5679335482862686</v>
      </c>
      <c r="CL368" s="710">
        <v>1.5795707749319015</v>
      </c>
      <c r="CM368" s="710">
        <v>1.5913198675609797</v>
      </c>
      <c r="CN368" s="710">
        <v>1.6031765780981824</v>
      </c>
      <c r="CO368" s="710">
        <v>1.6151368708719551</v>
      </c>
      <c r="CP368" s="710">
        <v>1.6017886322697075</v>
      </c>
      <c r="CQ368" s="710">
        <v>1.5886592172511032</v>
      </c>
      <c r="CR368" s="710">
        <v>1.5757432886555658</v>
      </c>
      <c r="CS368" s="710">
        <v>1.5630356814889885</v>
      </c>
      <c r="CT368" s="710">
        <v>1.5505313960370766</v>
      </c>
      <c r="CU368" s="710">
        <v>1.5382255913066234</v>
      </c>
      <c r="CV368" s="710">
        <v>1.52611357877665</v>
      </c>
      <c r="CW368" s="710">
        <v>1.5141908164424571</v>
      </c>
      <c r="CX368" s="710">
        <v>1.502452903136702</v>
      </c>
      <c r="CY368" s="710">
        <v>1.4908955731125733</v>
      </c>
      <c r="CZ368" s="710">
        <v>1.4795146908750725</v>
      </c>
      <c r="DA368" s="710">
        <v>1.4683062462472318</v>
      </c>
      <c r="DC368" s="12">
        <f t="shared" si="397"/>
        <v>0</v>
      </c>
      <c r="DD368" s="12">
        <f t="shared" si="398"/>
        <v>1.0288497794492</v>
      </c>
      <c r="DE368" s="702">
        <f t="shared" si="399"/>
        <v>8.7686705662346789</v>
      </c>
      <c r="DF368" s="12">
        <f t="shared" si="409"/>
        <v>12.533792766879507</v>
      </c>
      <c r="DG368" s="12">
        <f t="shared" si="404"/>
        <v>16.313786566360104</v>
      </c>
      <c r="DH368" s="12">
        <f t="shared" si="400"/>
        <v>18.617231151324859</v>
      </c>
      <c r="DI368" s="12">
        <f t="shared" si="401"/>
        <v>18.399457615599751</v>
      </c>
    </row>
    <row r="369" spans="2:113" outlineLevel="1">
      <c r="F369" s="126" t="s">
        <v>221</v>
      </c>
      <c r="I369" s="609" t="s">
        <v>736</v>
      </c>
      <c r="O369" s="710"/>
      <c r="P369" s="710"/>
      <c r="Q369" s="710"/>
      <c r="R369" s="710"/>
      <c r="S369" s="710"/>
      <c r="T369" s="710"/>
      <c r="U369" s="710"/>
      <c r="V369" s="716"/>
      <c r="W369" s="716"/>
      <c r="X369" s="716"/>
      <c r="Y369" s="716"/>
      <c r="Z369" s="716"/>
      <c r="AA369" s="716"/>
      <c r="AB369" s="716"/>
      <c r="AC369" s="716"/>
      <c r="AD369" s="716"/>
      <c r="AE369" s="710"/>
      <c r="AF369" s="710"/>
      <c r="AG369" s="710"/>
      <c r="AH369" s="951"/>
      <c r="AI369" s="951"/>
      <c r="AJ369" s="710"/>
      <c r="AK369" s="710"/>
      <c r="AL369" s="710"/>
      <c r="AM369" s="710"/>
      <c r="AN369" s="710"/>
      <c r="AO369" s="710"/>
      <c r="AP369" s="710"/>
      <c r="AQ369" s="710"/>
      <c r="AR369" s="710"/>
      <c r="AS369" s="710"/>
      <c r="AT369" s="710"/>
      <c r="AU369" s="710"/>
      <c r="AV369" s="710"/>
      <c r="AW369" s="710"/>
      <c r="AX369" s="710"/>
      <c r="AY369" s="710"/>
      <c r="AZ369" s="710"/>
      <c r="BA369" s="710"/>
      <c r="BB369" s="710"/>
      <c r="BC369" s="710"/>
      <c r="BD369" s="710"/>
      <c r="BE369" s="710"/>
      <c r="BF369" s="710"/>
      <c r="BG369" s="710"/>
      <c r="BH369" s="710"/>
      <c r="BI369" s="710"/>
      <c r="BJ369" s="710"/>
      <c r="BK369" s="710"/>
      <c r="BL369" s="710"/>
      <c r="BM369" s="710"/>
      <c r="BN369" s="710"/>
      <c r="BO369" s="710"/>
      <c r="BP369" s="710"/>
      <c r="BQ369" s="710"/>
      <c r="BR369" s="710"/>
      <c r="BS369" s="710"/>
      <c r="BT369" s="710"/>
      <c r="BU369" s="710"/>
      <c r="BV369" s="710"/>
      <c r="BW369" s="710"/>
      <c r="BX369" s="710"/>
      <c r="BY369" s="710"/>
      <c r="BZ369" s="710"/>
      <c r="CA369" s="710"/>
      <c r="CB369" s="710"/>
      <c r="CC369" s="710"/>
      <c r="CD369" s="710"/>
      <c r="CE369" s="710"/>
      <c r="CF369" s="710"/>
      <c r="CG369" s="710"/>
      <c r="CH369" s="710"/>
      <c r="CI369" s="710"/>
      <c r="CJ369" s="710"/>
      <c r="CK369" s="710"/>
      <c r="CL369" s="710"/>
      <c r="CM369" s="710"/>
      <c r="CN369" s="710"/>
      <c r="CO369" s="710"/>
      <c r="CP369" s="710"/>
      <c r="CQ369" s="710"/>
      <c r="CR369" s="710"/>
      <c r="CS369" s="710"/>
      <c r="CT369" s="710"/>
      <c r="CU369" s="710"/>
      <c r="CV369" s="710"/>
      <c r="CW369" s="710"/>
      <c r="CX369" s="710"/>
      <c r="CY369" s="710"/>
      <c r="CZ369" s="710"/>
      <c r="DA369" s="710"/>
      <c r="DC369" s="12">
        <f>SUM(V369:AG369)</f>
        <v>0</v>
      </c>
      <c r="DD369" s="12">
        <f t="shared" si="398"/>
        <v>0</v>
      </c>
      <c r="DE369" s="12">
        <f t="shared" si="399"/>
        <v>0</v>
      </c>
      <c r="DF369" s="12">
        <f t="shared" si="409"/>
        <v>0</v>
      </c>
      <c r="DG369" s="12">
        <f t="shared" si="404"/>
        <v>0</v>
      </c>
      <c r="DH369" s="12">
        <f t="shared" si="400"/>
        <v>0</v>
      </c>
      <c r="DI369" s="12">
        <f t="shared" si="401"/>
        <v>0</v>
      </c>
    </row>
    <row r="370" spans="2:113" outlineLevel="1">
      <c r="F370" s="126" t="s">
        <v>801</v>
      </c>
      <c r="I370" s="609" t="s">
        <v>736</v>
      </c>
      <c r="O370" s="710"/>
      <c r="P370" s="710"/>
      <c r="Q370" s="710"/>
      <c r="R370" s="710"/>
      <c r="S370" s="710"/>
      <c r="T370" s="710"/>
      <c r="U370" s="710"/>
      <c r="V370" s="716"/>
      <c r="W370" s="716"/>
      <c r="X370" s="716"/>
      <c r="Y370" s="716"/>
      <c r="Z370" s="716"/>
      <c r="AA370" s="716"/>
      <c r="AB370" s="716"/>
      <c r="AC370" s="716"/>
      <c r="AD370" s="716"/>
      <c r="AE370" s="710"/>
      <c r="AF370" s="710"/>
      <c r="AG370" s="710"/>
      <c r="AH370" s="951"/>
      <c r="AI370" s="951"/>
      <c r="AJ370" s="710"/>
      <c r="AK370" s="710"/>
      <c r="AL370" s="710"/>
      <c r="AM370" s="710"/>
      <c r="AN370" s="710"/>
      <c r="AO370" s="710">
        <v>0</v>
      </c>
      <c r="AP370" s="710">
        <v>0</v>
      </c>
      <c r="AQ370" s="710">
        <v>0</v>
      </c>
      <c r="AR370" s="710">
        <v>0</v>
      </c>
      <c r="AS370" s="710">
        <v>0</v>
      </c>
      <c r="AT370" s="710">
        <v>0</v>
      </c>
      <c r="AU370" s="710">
        <v>0</v>
      </c>
      <c r="AV370" s="710">
        <v>0</v>
      </c>
      <c r="AW370" s="710">
        <v>0</v>
      </c>
      <c r="AX370" s="710">
        <v>0</v>
      </c>
      <c r="AY370" s="710">
        <v>0</v>
      </c>
      <c r="AZ370" s="710">
        <v>0</v>
      </c>
      <c r="BA370" s="710">
        <v>0</v>
      </c>
      <c r="BB370" s="710">
        <v>0</v>
      </c>
      <c r="BC370" s="710">
        <v>0</v>
      </c>
      <c r="BD370" s="710">
        <v>0</v>
      </c>
      <c r="BE370" s="710">
        <v>0</v>
      </c>
      <c r="BF370" s="710">
        <v>0</v>
      </c>
      <c r="BG370" s="710">
        <v>0</v>
      </c>
      <c r="BH370" s="710">
        <v>0</v>
      </c>
      <c r="BI370" s="710">
        <v>0</v>
      </c>
      <c r="BJ370" s="710">
        <v>0</v>
      </c>
      <c r="BK370" s="710">
        <v>0</v>
      </c>
      <c r="BL370" s="710">
        <v>0</v>
      </c>
      <c r="BM370" s="710">
        <v>0</v>
      </c>
      <c r="BN370" s="710">
        <v>0</v>
      </c>
      <c r="BO370" s="710">
        <v>0</v>
      </c>
      <c r="BP370" s="710">
        <v>0</v>
      </c>
      <c r="BQ370" s="710">
        <v>0</v>
      </c>
      <c r="BR370" s="710">
        <v>0</v>
      </c>
      <c r="BS370" s="710">
        <v>0</v>
      </c>
      <c r="BT370" s="710">
        <v>0</v>
      </c>
      <c r="BU370" s="710">
        <v>0</v>
      </c>
      <c r="BV370" s="710">
        <v>0</v>
      </c>
      <c r="BW370" s="710">
        <v>0</v>
      </c>
      <c r="BX370" s="710">
        <v>0</v>
      </c>
      <c r="BY370" s="710">
        <v>0</v>
      </c>
      <c r="BZ370" s="710">
        <v>0</v>
      </c>
      <c r="CA370" s="710">
        <v>0</v>
      </c>
      <c r="CB370" s="710">
        <v>0</v>
      </c>
      <c r="CC370" s="710">
        <v>0</v>
      </c>
      <c r="CD370" s="710">
        <v>0</v>
      </c>
      <c r="CE370" s="710">
        <v>0</v>
      </c>
      <c r="CF370" s="710">
        <v>0</v>
      </c>
      <c r="CG370" s="710">
        <v>0</v>
      </c>
      <c r="CH370" s="710">
        <v>0</v>
      </c>
      <c r="CI370" s="710">
        <v>0</v>
      </c>
      <c r="CJ370" s="710">
        <v>0</v>
      </c>
      <c r="CK370" s="710">
        <v>0</v>
      </c>
      <c r="CL370" s="710">
        <v>0</v>
      </c>
      <c r="CM370" s="710">
        <v>0</v>
      </c>
      <c r="CN370" s="710">
        <v>0</v>
      </c>
      <c r="CO370" s="710">
        <v>0</v>
      </c>
      <c r="CP370" s="710">
        <v>0</v>
      </c>
      <c r="CQ370" s="710">
        <v>0</v>
      </c>
      <c r="CR370" s="710">
        <v>0</v>
      </c>
      <c r="CS370" s="710">
        <v>0</v>
      </c>
      <c r="CT370" s="710">
        <v>0</v>
      </c>
      <c r="CU370" s="710">
        <v>0</v>
      </c>
      <c r="CV370" s="710">
        <v>0</v>
      </c>
      <c r="CW370" s="710">
        <v>0</v>
      </c>
      <c r="CX370" s="710">
        <v>0</v>
      </c>
      <c r="CY370" s="710">
        <v>0</v>
      </c>
      <c r="CZ370" s="710">
        <v>0</v>
      </c>
      <c r="DA370" s="710">
        <v>0</v>
      </c>
      <c r="DC370" s="12">
        <f>SUM(V370:AG370)</f>
        <v>0</v>
      </c>
      <c r="DD370" s="12">
        <f t="shared" si="398"/>
        <v>0</v>
      </c>
      <c r="DE370" s="12">
        <f t="shared" si="399"/>
        <v>0</v>
      </c>
      <c r="DF370" s="12">
        <f t="shared" si="409"/>
        <v>0</v>
      </c>
      <c r="DG370" s="12">
        <f t="shared" si="404"/>
        <v>0</v>
      </c>
      <c r="DH370" s="12">
        <f t="shared" si="400"/>
        <v>0</v>
      </c>
      <c r="DI370" s="12">
        <f t="shared" si="401"/>
        <v>0</v>
      </c>
    </row>
    <row r="371" spans="2:113" outlineLevel="1">
      <c r="F371" s="126" t="s">
        <v>802</v>
      </c>
      <c r="I371" s="609" t="s">
        <v>736</v>
      </c>
      <c r="O371" s="710"/>
      <c r="P371" s="710"/>
      <c r="Q371" s="710"/>
      <c r="R371" s="710"/>
      <c r="S371" s="710"/>
      <c r="T371" s="710"/>
      <c r="U371" s="710"/>
      <c r="V371" s="716"/>
      <c r="W371" s="716"/>
      <c r="X371" s="716"/>
      <c r="Y371" s="716"/>
      <c r="Z371" s="716"/>
      <c r="AA371" s="716"/>
      <c r="AB371" s="716"/>
      <c r="AC371" s="716"/>
      <c r="AD371" s="716"/>
      <c r="AE371" s="710"/>
      <c r="AF371" s="710"/>
      <c r="AG371" s="710"/>
      <c r="AH371" s="951"/>
      <c r="AI371" s="951"/>
      <c r="AJ371" s="710"/>
      <c r="AK371" s="710"/>
      <c r="AL371" s="710"/>
      <c r="AM371" s="710"/>
      <c r="AN371" s="710"/>
      <c r="AO371" s="710"/>
      <c r="AP371" s="710"/>
      <c r="AQ371" s="710"/>
      <c r="AR371" s="710"/>
      <c r="AS371" s="710"/>
      <c r="AT371" s="710"/>
      <c r="AU371" s="710"/>
      <c r="AV371" s="710"/>
      <c r="AW371" s="710"/>
      <c r="AX371" s="710"/>
      <c r="AY371" s="710"/>
      <c r="AZ371" s="710"/>
      <c r="BA371" s="710"/>
      <c r="BB371" s="710"/>
      <c r="BC371" s="710"/>
      <c r="BD371" s="710"/>
      <c r="BE371" s="710"/>
      <c r="BF371" s="710"/>
      <c r="BG371" s="710"/>
      <c r="BH371" s="710"/>
      <c r="BI371" s="710"/>
      <c r="BJ371" s="710"/>
      <c r="BK371" s="710"/>
      <c r="BL371" s="710"/>
      <c r="BM371" s="710"/>
      <c r="BN371" s="710"/>
      <c r="BO371" s="710"/>
      <c r="BP371" s="710"/>
      <c r="BQ371" s="710"/>
      <c r="BR371" s="710"/>
      <c r="BS371" s="710"/>
      <c r="BT371" s="710"/>
      <c r="BU371" s="710"/>
      <c r="BV371" s="710"/>
      <c r="BW371" s="710"/>
      <c r="BX371" s="710"/>
      <c r="BY371" s="710"/>
      <c r="BZ371" s="710"/>
      <c r="CA371" s="710"/>
      <c r="CB371" s="710"/>
      <c r="CC371" s="710"/>
      <c r="CD371" s="710"/>
      <c r="CE371" s="710"/>
      <c r="CF371" s="710"/>
      <c r="CG371" s="710"/>
      <c r="CH371" s="710"/>
      <c r="CI371" s="710"/>
      <c r="CJ371" s="710"/>
      <c r="CK371" s="710"/>
      <c r="CL371" s="710"/>
      <c r="CM371" s="710"/>
      <c r="CN371" s="710"/>
      <c r="CO371" s="710"/>
      <c r="CP371" s="710"/>
      <c r="CQ371" s="710"/>
      <c r="CR371" s="710"/>
      <c r="CS371" s="710"/>
      <c r="CT371" s="710"/>
      <c r="CU371" s="710"/>
      <c r="CV371" s="710"/>
      <c r="CW371" s="710"/>
      <c r="CX371" s="710"/>
      <c r="CY371" s="710"/>
      <c r="CZ371" s="710"/>
      <c r="DA371" s="710"/>
      <c r="DC371" s="12">
        <f>SUM(V371:AG371)</f>
        <v>0</v>
      </c>
      <c r="DD371" s="12">
        <f t="shared" si="398"/>
        <v>0</v>
      </c>
      <c r="DE371" s="12">
        <f t="shared" si="399"/>
        <v>0</v>
      </c>
      <c r="DF371" s="12">
        <f t="shared" si="409"/>
        <v>0</v>
      </c>
      <c r="DG371" s="12">
        <f t="shared" si="404"/>
        <v>0</v>
      </c>
      <c r="DH371" s="12">
        <f t="shared" si="400"/>
        <v>0</v>
      </c>
      <c r="DI371" s="12">
        <f t="shared" si="401"/>
        <v>0</v>
      </c>
    </row>
    <row r="372" spans="2:113" outlineLevel="1">
      <c r="F372" s="126" t="s">
        <v>222</v>
      </c>
      <c r="I372" s="609" t="s">
        <v>736</v>
      </c>
      <c r="O372" s="710"/>
      <c r="P372" s="710"/>
      <c r="Q372" s="710"/>
      <c r="R372" s="710"/>
      <c r="S372" s="710"/>
      <c r="T372" s="710"/>
      <c r="U372" s="710"/>
      <c r="V372" s="716"/>
      <c r="W372" s="716"/>
      <c r="X372" s="716"/>
      <c r="Y372" s="716"/>
      <c r="Z372" s="716"/>
      <c r="AA372" s="716"/>
      <c r="AB372" s="716"/>
      <c r="AC372" s="716"/>
      <c r="AD372" s="716"/>
      <c r="AE372" s="710"/>
      <c r="AF372" s="710"/>
      <c r="AG372" s="710"/>
      <c r="AH372" s="951"/>
      <c r="AI372" s="951"/>
      <c r="AJ372" s="710"/>
      <c r="AK372" s="710"/>
      <c r="AL372" s="710"/>
      <c r="AM372" s="710"/>
      <c r="AN372" s="710"/>
      <c r="AO372" s="710"/>
      <c r="AP372" s="710"/>
      <c r="AQ372" s="710"/>
      <c r="AR372" s="710"/>
      <c r="AS372" s="710"/>
      <c r="AT372" s="710"/>
      <c r="AU372" s="710"/>
      <c r="AV372" s="710"/>
      <c r="AW372" s="710"/>
      <c r="AX372" s="710"/>
      <c r="AY372" s="710"/>
      <c r="AZ372" s="710"/>
      <c r="BA372" s="710"/>
      <c r="BB372" s="710"/>
      <c r="BC372" s="710"/>
      <c r="BD372" s="710"/>
      <c r="BE372" s="710"/>
      <c r="BF372" s="710"/>
      <c r="BG372" s="710"/>
      <c r="BH372" s="710"/>
      <c r="BI372" s="710"/>
      <c r="BJ372" s="710"/>
      <c r="BK372" s="710"/>
      <c r="BL372" s="710"/>
      <c r="BM372" s="710"/>
      <c r="BN372" s="710"/>
      <c r="BO372" s="710"/>
      <c r="BP372" s="710"/>
      <c r="BQ372" s="710"/>
      <c r="BR372" s="710"/>
      <c r="BS372" s="710"/>
      <c r="BT372" s="710"/>
      <c r="BU372" s="710"/>
      <c r="BV372" s="710"/>
      <c r="BW372" s="710"/>
      <c r="BX372" s="710"/>
      <c r="BY372" s="710"/>
      <c r="BZ372" s="710"/>
      <c r="CA372" s="710"/>
      <c r="CB372" s="710"/>
      <c r="CC372" s="710"/>
      <c r="CD372" s="710"/>
      <c r="CE372" s="710"/>
      <c r="CF372" s="710"/>
      <c r="CG372" s="710"/>
      <c r="CH372" s="710"/>
      <c r="CI372" s="710"/>
      <c r="CJ372" s="710"/>
      <c r="CK372" s="710"/>
      <c r="CL372" s="710"/>
      <c r="CM372" s="710"/>
      <c r="CN372" s="710"/>
      <c r="CO372" s="710"/>
      <c r="CP372" s="710"/>
      <c r="CQ372" s="710"/>
      <c r="CR372" s="710"/>
      <c r="CS372" s="710"/>
      <c r="CT372" s="710"/>
      <c r="CU372" s="710"/>
      <c r="CV372" s="710"/>
      <c r="CW372" s="710"/>
      <c r="CX372" s="710"/>
      <c r="CY372" s="710"/>
      <c r="CZ372" s="710"/>
      <c r="DA372" s="710"/>
      <c r="DC372" s="12">
        <f>SUM(V372:AG372)</f>
        <v>0</v>
      </c>
      <c r="DD372" s="12">
        <f t="shared" si="398"/>
        <v>0</v>
      </c>
      <c r="DE372" s="12">
        <f t="shared" si="399"/>
        <v>0</v>
      </c>
      <c r="DF372" s="12">
        <f t="shared" si="409"/>
        <v>0</v>
      </c>
      <c r="DG372" s="12">
        <f t="shared" si="404"/>
        <v>0</v>
      </c>
      <c r="DH372" s="12">
        <f t="shared" si="400"/>
        <v>0</v>
      </c>
      <c r="DI372" s="12">
        <f t="shared" si="401"/>
        <v>0</v>
      </c>
    </row>
    <row r="373" spans="2:113" outlineLevel="1">
      <c r="F373" s="126" t="s">
        <v>803</v>
      </c>
      <c r="I373" s="609" t="s">
        <v>736</v>
      </c>
      <c r="O373" s="710"/>
      <c r="P373" s="710"/>
      <c r="Q373" s="710"/>
      <c r="R373" s="710"/>
      <c r="S373" s="710"/>
      <c r="T373" s="710"/>
      <c r="U373" s="710"/>
      <c r="V373" s="716"/>
      <c r="W373" s="716"/>
      <c r="X373" s="716"/>
      <c r="Y373" s="716"/>
      <c r="Z373" s="716"/>
      <c r="AA373" s="716"/>
      <c r="AB373" s="716"/>
      <c r="AC373" s="716"/>
      <c r="AD373" s="716"/>
      <c r="AE373" s="710"/>
      <c r="AF373" s="710"/>
      <c r="AG373" s="710"/>
      <c r="AH373" s="951"/>
      <c r="AI373" s="951"/>
      <c r="AJ373" s="710"/>
      <c r="AK373" s="710"/>
      <c r="AL373" s="710"/>
      <c r="AM373" s="710"/>
      <c r="AN373" s="710"/>
      <c r="AO373" s="710"/>
      <c r="AP373" s="710"/>
      <c r="AQ373" s="710"/>
      <c r="AR373" s="710"/>
      <c r="AS373" s="710"/>
      <c r="AT373" s="710"/>
      <c r="AU373" s="710"/>
      <c r="AV373" s="710"/>
      <c r="AW373" s="710"/>
      <c r="AX373" s="710"/>
      <c r="AY373" s="710"/>
      <c r="AZ373" s="710"/>
      <c r="BA373" s="710"/>
      <c r="BB373" s="710"/>
      <c r="BC373" s="710"/>
      <c r="BD373" s="710"/>
      <c r="BE373" s="710"/>
      <c r="BF373" s="710"/>
      <c r="BG373" s="710"/>
      <c r="BH373" s="710"/>
      <c r="BI373" s="710"/>
      <c r="BJ373" s="710"/>
      <c r="BK373" s="710"/>
      <c r="BL373" s="710"/>
      <c r="BM373" s="710"/>
      <c r="BN373" s="710"/>
      <c r="BO373" s="710"/>
      <c r="BP373" s="710"/>
      <c r="BQ373" s="710"/>
      <c r="BR373" s="710"/>
      <c r="BS373" s="710"/>
      <c r="BT373" s="710"/>
      <c r="BU373" s="710"/>
      <c r="BV373" s="710"/>
      <c r="BW373" s="710"/>
      <c r="BX373" s="710"/>
      <c r="BY373" s="710"/>
      <c r="BZ373" s="710"/>
      <c r="CA373" s="710"/>
      <c r="CB373" s="710"/>
      <c r="CC373" s="710"/>
      <c r="CD373" s="710"/>
      <c r="CE373" s="710"/>
      <c r="CF373" s="710"/>
      <c r="CG373" s="710"/>
      <c r="CH373" s="710"/>
      <c r="CI373" s="710"/>
      <c r="CJ373" s="710"/>
      <c r="CK373" s="710"/>
      <c r="CL373" s="710"/>
      <c r="CM373" s="710"/>
      <c r="CN373" s="710"/>
      <c r="CO373" s="710"/>
      <c r="CP373" s="710"/>
      <c r="CQ373" s="710"/>
      <c r="CR373" s="710"/>
      <c r="CS373" s="710"/>
      <c r="CT373" s="710"/>
      <c r="CU373" s="710"/>
      <c r="CV373" s="710"/>
      <c r="CW373" s="710"/>
      <c r="CX373" s="710"/>
      <c r="CY373" s="710"/>
      <c r="CZ373" s="710"/>
      <c r="DA373" s="710"/>
      <c r="DC373" s="12"/>
      <c r="DD373" s="12"/>
      <c r="DE373" s="12"/>
      <c r="DF373" s="12"/>
      <c r="DG373" s="12"/>
      <c r="DH373" s="12"/>
      <c r="DI373" s="12">
        <f t="shared" si="401"/>
        <v>0</v>
      </c>
    </row>
    <row r="374" spans="2:113" outlineLevel="1">
      <c r="F374" s="126" t="s">
        <v>224</v>
      </c>
      <c r="I374" s="609" t="s">
        <v>736</v>
      </c>
      <c r="O374" s="710"/>
      <c r="P374" s="710"/>
      <c r="Q374" s="710"/>
      <c r="R374" s="710"/>
      <c r="S374" s="710"/>
      <c r="T374" s="710"/>
      <c r="U374" s="710"/>
      <c r="V374" s="716"/>
      <c r="W374" s="716"/>
      <c r="X374" s="716"/>
      <c r="Y374" s="716"/>
      <c r="Z374" s="716"/>
      <c r="AA374" s="716"/>
      <c r="AB374" s="716"/>
      <c r="AC374" s="716"/>
      <c r="AD374" s="716"/>
      <c r="AE374" s="710"/>
      <c r="AF374" s="710"/>
      <c r="AG374" s="710"/>
      <c r="AH374" s="951"/>
      <c r="AI374" s="951"/>
      <c r="AJ374" s="710"/>
      <c r="AK374" s="710"/>
      <c r="AL374" s="710"/>
      <c r="AM374" s="710"/>
      <c r="AN374" s="710"/>
      <c r="AO374" s="710"/>
      <c r="AP374" s="710"/>
      <c r="AQ374" s="710"/>
      <c r="AR374" s="710"/>
      <c r="AS374" s="710"/>
      <c r="AT374" s="710"/>
      <c r="AU374" s="710"/>
      <c r="AV374" s="710"/>
      <c r="AW374" s="710"/>
      <c r="AX374" s="710"/>
      <c r="AY374" s="710"/>
      <c r="AZ374" s="710"/>
      <c r="BA374" s="710"/>
      <c r="BB374" s="710"/>
      <c r="BC374" s="710"/>
      <c r="BD374" s="710"/>
      <c r="BE374" s="710"/>
      <c r="BF374" s="710"/>
      <c r="BG374" s="710"/>
      <c r="BH374" s="710"/>
      <c r="BI374" s="710"/>
      <c r="BJ374" s="710"/>
      <c r="BK374" s="710"/>
      <c r="BL374" s="710"/>
      <c r="BM374" s="710"/>
      <c r="BN374" s="710"/>
      <c r="BO374" s="710"/>
      <c r="BP374" s="710"/>
      <c r="BQ374" s="710"/>
      <c r="BR374" s="710"/>
      <c r="BS374" s="710"/>
      <c r="BT374" s="710"/>
      <c r="BU374" s="710"/>
      <c r="BV374" s="710"/>
      <c r="BW374" s="710"/>
      <c r="BX374" s="710"/>
      <c r="BY374" s="710"/>
      <c r="BZ374" s="710"/>
      <c r="CA374" s="710"/>
      <c r="CB374" s="710"/>
      <c r="CC374" s="710"/>
      <c r="CD374" s="710"/>
      <c r="CE374" s="710"/>
      <c r="CF374" s="710"/>
      <c r="CG374" s="710"/>
      <c r="CH374" s="710"/>
      <c r="CI374" s="710"/>
      <c r="CJ374" s="710"/>
      <c r="CK374" s="710"/>
      <c r="CL374" s="710"/>
      <c r="CM374" s="710"/>
      <c r="CN374" s="710"/>
      <c r="CO374" s="710"/>
      <c r="CP374" s="710"/>
      <c r="CQ374" s="710"/>
      <c r="CR374" s="710"/>
      <c r="CS374" s="710"/>
      <c r="CT374" s="710"/>
      <c r="CU374" s="710"/>
      <c r="CV374" s="710"/>
      <c r="CW374" s="710"/>
      <c r="CX374" s="710"/>
      <c r="CY374" s="710"/>
      <c r="CZ374" s="710"/>
      <c r="DA374" s="710"/>
      <c r="DC374" s="12"/>
      <c r="DD374" s="12"/>
      <c r="DE374" s="12"/>
      <c r="DF374" s="12"/>
      <c r="DG374" s="12"/>
      <c r="DH374" s="12"/>
      <c r="DI374" s="12">
        <f t="shared" si="401"/>
        <v>0</v>
      </c>
    </row>
    <row r="375" spans="2:113" outlineLevel="1">
      <c r="F375" s="126" t="s">
        <v>804</v>
      </c>
      <c r="G375" s="230"/>
      <c r="H375" s="232"/>
      <c r="I375" s="609" t="s">
        <v>736</v>
      </c>
      <c r="O375" s="710"/>
      <c r="P375" s="710"/>
      <c r="Q375" s="710"/>
      <c r="R375" s="710"/>
      <c r="S375" s="710"/>
      <c r="T375" s="710"/>
      <c r="U375" s="710"/>
      <c r="V375" s="716"/>
      <c r="W375" s="716"/>
      <c r="X375" s="716"/>
      <c r="Y375" s="716"/>
      <c r="Z375" s="716"/>
      <c r="AA375" s="716"/>
      <c r="AB375" s="716"/>
      <c r="AC375" s="716"/>
      <c r="AD375" s="716"/>
      <c r="AE375" s="710"/>
      <c r="AF375" s="710"/>
      <c r="AG375" s="710"/>
      <c r="AH375" s="951"/>
      <c r="AI375" s="951"/>
      <c r="AJ375" s="710"/>
      <c r="AK375" s="710"/>
      <c r="AL375" s="710"/>
      <c r="AM375" s="710"/>
      <c r="AN375" s="710"/>
      <c r="AO375" s="710"/>
      <c r="AP375" s="710"/>
      <c r="AQ375" s="710"/>
      <c r="AR375" s="710"/>
      <c r="AS375" s="710"/>
      <c r="AT375" s="710"/>
      <c r="AU375" s="710"/>
      <c r="AV375" s="710"/>
      <c r="AW375" s="710"/>
      <c r="AX375" s="710"/>
      <c r="AY375" s="710"/>
      <c r="AZ375" s="710"/>
      <c r="BA375" s="710"/>
      <c r="BB375" s="710"/>
      <c r="BC375" s="710"/>
      <c r="BD375" s="710"/>
      <c r="BE375" s="710"/>
      <c r="BF375" s="710"/>
      <c r="BG375" s="710"/>
      <c r="BH375" s="710"/>
      <c r="BI375" s="710"/>
      <c r="BJ375" s="710"/>
      <c r="BK375" s="710"/>
      <c r="BL375" s="710"/>
      <c r="BM375" s="710"/>
      <c r="BN375" s="710"/>
      <c r="BO375" s="710"/>
      <c r="BP375" s="710"/>
      <c r="BQ375" s="710"/>
      <c r="BR375" s="710"/>
      <c r="BS375" s="710"/>
      <c r="BT375" s="710"/>
      <c r="BU375" s="710"/>
      <c r="BV375" s="710"/>
      <c r="BW375" s="710"/>
      <c r="BX375" s="710"/>
      <c r="BY375" s="710"/>
      <c r="BZ375" s="710"/>
      <c r="CA375" s="710"/>
      <c r="CB375" s="710"/>
      <c r="CC375" s="710"/>
      <c r="CD375" s="710"/>
      <c r="CE375" s="710"/>
      <c r="CF375" s="710"/>
      <c r="CG375" s="710"/>
      <c r="CH375" s="710"/>
      <c r="CI375" s="710"/>
      <c r="CJ375" s="710"/>
      <c r="CK375" s="710"/>
      <c r="CL375" s="710"/>
      <c r="CM375" s="710"/>
      <c r="CN375" s="710"/>
      <c r="CO375" s="710"/>
      <c r="CP375" s="710"/>
      <c r="CQ375" s="710"/>
      <c r="CR375" s="710"/>
      <c r="CS375" s="710"/>
      <c r="CT375" s="710"/>
      <c r="CU375" s="710"/>
      <c r="CV375" s="710"/>
      <c r="CW375" s="710"/>
      <c r="CX375" s="710"/>
      <c r="CY375" s="710"/>
      <c r="CZ375" s="710"/>
      <c r="DA375" s="710"/>
      <c r="DC375" s="12">
        <f>SUM(V375:AG375)</f>
        <v>0</v>
      </c>
      <c r="DD375" s="12">
        <f t="shared" si="398"/>
        <v>0</v>
      </c>
      <c r="DE375" s="12">
        <f t="shared" si="399"/>
        <v>0</v>
      </c>
      <c r="DF375" s="12">
        <f t="shared" si="409"/>
        <v>0</v>
      </c>
      <c r="DG375" s="12">
        <f t="shared" si="404"/>
        <v>0</v>
      </c>
      <c r="DH375" s="12">
        <f t="shared" si="400"/>
        <v>0</v>
      </c>
      <c r="DI375" s="12">
        <f t="shared" si="401"/>
        <v>0</v>
      </c>
    </row>
    <row r="376" spans="2:113" outlineLevel="1">
      <c r="E376" s="720" t="s">
        <v>621</v>
      </c>
      <c r="I376" s="609" t="s">
        <v>736</v>
      </c>
      <c r="O376" s="710"/>
      <c r="P376" s="710"/>
      <c r="Q376" s="710"/>
      <c r="R376" s="710"/>
      <c r="S376" s="710"/>
      <c r="T376" s="710"/>
      <c r="U376" s="710"/>
      <c r="V376" s="896">
        <v>-1.669418E-3</v>
      </c>
      <c r="W376" s="896">
        <v>-7.5521349999999998E-3</v>
      </c>
      <c r="X376" s="896">
        <v>-7.3669479999999999E-3</v>
      </c>
      <c r="Y376" s="896">
        <v>-5.3355647999999999E-2</v>
      </c>
      <c r="Z376" s="896">
        <v>-8.3481786000000002E-2</v>
      </c>
      <c r="AA376" s="896">
        <v>-0.16389096</v>
      </c>
      <c r="AB376" s="896">
        <v>-8.3682008000000002E-2</v>
      </c>
      <c r="AC376" s="896">
        <v>-0.170786466</v>
      </c>
      <c r="AD376" s="896">
        <v>-0.203728881</v>
      </c>
      <c r="AE376" s="896">
        <v>-0.280400967</v>
      </c>
      <c r="AF376" s="896">
        <v>-0.41408121599999997</v>
      </c>
      <c r="AG376" s="746">
        <v>-0.25977420200000001</v>
      </c>
      <c r="AH376" s="952">
        <v>-0.89482663699999998</v>
      </c>
      <c r="AI376" s="952">
        <v>-0.69609173300000005</v>
      </c>
      <c r="AJ376" s="952">
        <v>-0.73489177299999997</v>
      </c>
      <c r="AK376" s="952">
        <v>-0.78806089499999998</v>
      </c>
      <c r="AL376" s="952">
        <v>-0.85405014800000001</v>
      </c>
      <c r="AM376" s="952">
        <v>-1.385444887</v>
      </c>
      <c r="AN376" s="746">
        <v>-2.1913334280000001</v>
      </c>
      <c r="AO376" s="746">
        <v>-2.1512608929999999</v>
      </c>
      <c r="AP376" s="746">
        <v>-1.9406706380000001</v>
      </c>
      <c r="AQ376" s="953">
        <v>-2.0816759290148523</v>
      </c>
      <c r="AR376" s="953">
        <v>-2.2119676906356389</v>
      </c>
      <c r="AS376" s="953">
        <v>-2.141877057748792</v>
      </c>
      <c r="AT376" s="714">
        <v>-9.9154663857765648</v>
      </c>
      <c r="AU376" s="714">
        <v>-3.1033384770969961</v>
      </c>
      <c r="AV376" s="714">
        <v>-4.2428653028551651</v>
      </c>
      <c r="AW376" s="714">
        <v>-5.5179956486807242</v>
      </c>
      <c r="AX376" s="714">
        <v>-5.3582392929268252</v>
      </c>
      <c r="AY376" s="714">
        <v>-5.5205811366036768</v>
      </c>
      <c r="AZ376" s="714">
        <v>-6.6495726129777211</v>
      </c>
      <c r="BA376" s="714">
        <v>-7.0926747489523061</v>
      </c>
      <c r="BB376" s="714">
        <v>-7.7186479886690478</v>
      </c>
      <c r="BC376" s="714">
        <v>-8.1740174405119514</v>
      </c>
      <c r="BD376" s="714">
        <v>-8.4229331619215078</v>
      </c>
      <c r="BE376" s="714">
        <v>-8.5390870704074544</v>
      </c>
      <c r="BF376" s="953">
        <v>-8.8908797306267733</v>
      </c>
      <c r="BG376" s="953">
        <v>-9.4017019207267545</v>
      </c>
      <c r="BH376" s="953">
        <v>-9.9122167557750007</v>
      </c>
      <c r="BI376" s="953">
        <v>-10.127139991592806</v>
      </c>
      <c r="BJ376" s="953">
        <v>-10.655278286438712</v>
      </c>
      <c r="BK376" s="953">
        <v>-11.186707802099038</v>
      </c>
      <c r="BL376" s="953">
        <v>-11.133116486384322</v>
      </c>
      <c r="BM376" s="953">
        <v>-10.682013009107237</v>
      </c>
      <c r="BN376" s="953">
        <v>-11.198664225795291</v>
      </c>
      <c r="BO376" s="953">
        <v>-11.727342554738916</v>
      </c>
      <c r="BP376" s="953">
        <v>-12.272243690640693</v>
      </c>
      <c r="BQ376" s="953">
        <v>-12.828268823695199</v>
      </c>
      <c r="BR376" s="953">
        <v>-13.388880266810304</v>
      </c>
      <c r="BS376" s="953">
        <v>-13.964532971663095</v>
      </c>
      <c r="BT376" s="953">
        <v>-14.545191313026903</v>
      </c>
      <c r="BU376" s="953">
        <v>-15.123935625928194</v>
      </c>
      <c r="BV376" s="953">
        <v>-15.713938767398025</v>
      </c>
      <c r="BW376" s="953">
        <v>-16.315390756765556</v>
      </c>
      <c r="BX376" s="953">
        <v>-16.928546688007657</v>
      </c>
      <c r="BY376" s="953">
        <v>-17.544420088271622</v>
      </c>
      <c r="BZ376" s="953">
        <v>-18.148105894132527</v>
      </c>
      <c r="CA376" s="953">
        <v>-18.739809922441211</v>
      </c>
      <c r="CB376" s="953">
        <v>-19.319472418330598</v>
      </c>
      <c r="CC376" s="953">
        <v>-19.886894147869512</v>
      </c>
      <c r="CD376" s="953">
        <v>-20.451893837398551</v>
      </c>
      <c r="CE376" s="953">
        <v>-21.006509648804439</v>
      </c>
      <c r="CF376" s="953">
        <v>-21.550430065031247</v>
      </c>
      <c r="CG376" s="953">
        <v>-22.083465638576854</v>
      </c>
      <c r="CH376" s="953">
        <v>-22.60882121477233</v>
      </c>
      <c r="CI376" s="953">
        <v>-23.125981710306789</v>
      </c>
      <c r="CJ376" s="953">
        <v>-23.634508067991547</v>
      </c>
      <c r="CK376" s="953">
        <v>-24.141089129545069</v>
      </c>
      <c r="CL376" s="953">
        <v>-24.657083172700627</v>
      </c>
      <c r="CM376" s="953">
        <v>-25.182041045122215</v>
      </c>
      <c r="CN376" s="953">
        <v>-25.715581477119667</v>
      </c>
      <c r="CO376" s="953">
        <v>-26.257339743698978</v>
      </c>
      <c r="CP376" s="953">
        <v>-26.527574834380442</v>
      </c>
      <c r="CQ376" s="953">
        <v>-27.034871771096952</v>
      </c>
      <c r="CR376" s="953">
        <v>-27.559419206221261</v>
      </c>
      <c r="CS376" s="953">
        <v>-28.092862344757201</v>
      </c>
      <c r="CT376" s="953">
        <v>-28.530724724575144</v>
      </c>
      <c r="CU376" s="953">
        <v>-28.980118496079669</v>
      </c>
      <c r="CV376" s="953">
        <v>-29.439055195397327</v>
      </c>
      <c r="CW376" s="953">
        <v>-29.704111724836814</v>
      </c>
      <c r="CX376" s="953">
        <v>-29.643142919220228</v>
      </c>
      <c r="CY376" s="953">
        <v>-29.595076423808205</v>
      </c>
      <c r="CZ376" s="953">
        <v>-29.5581084963706</v>
      </c>
      <c r="DA376" s="953">
        <v>-29.531820084724913</v>
      </c>
      <c r="DC376" s="12">
        <f>SUM(V376:AG376)</f>
        <v>-1.7297706350000002</v>
      </c>
      <c r="DD376" s="12">
        <f>SUM(AH376:AS376)</f>
        <v>-18.072151709399286</v>
      </c>
      <c r="DE376" s="702">
        <f>SUM(AT376:BE376)</f>
        <v>-80.255419267379949</v>
      </c>
      <c r="DF376" s="12">
        <f>SUM(BF376:BQ376)</f>
        <v>-130.01557327762075</v>
      </c>
      <c r="DG376" s="12">
        <f>SUM(BR376:CC376)</f>
        <v>-199.61911886064524</v>
      </c>
      <c r="DH376" s="12">
        <f>SUM(CD376:CO376)</f>
        <v>-280.41474475106833</v>
      </c>
      <c r="DI376" s="12">
        <f t="shared" si="401"/>
        <v>-344.19688622146879</v>
      </c>
    </row>
    <row r="377" spans="2:113" s="698" customFormat="1" outlineLevel="1">
      <c r="B377" s="126"/>
      <c r="E377" s="724" t="s">
        <v>701</v>
      </c>
      <c r="H377" s="703"/>
      <c r="I377" s="609" t="s">
        <v>736</v>
      </c>
      <c r="J377" s="703"/>
      <c r="K377" s="703"/>
      <c r="L377" s="703"/>
      <c r="M377" s="703"/>
      <c r="O377" s="714"/>
      <c r="P377" s="714"/>
      <c r="Q377" s="714"/>
      <c r="R377" s="714"/>
      <c r="S377" s="714"/>
      <c r="T377" s="714"/>
      <c r="U377" s="714"/>
      <c r="V377" s="696">
        <f t="shared" ref="V377:CG377" si="413">SUM(V378:V386)</f>
        <v>-1.1859145708658901E-3</v>
      </c>
      <c r="W377" s="696">
        <f t="shared" si="413"/>
        <v>-4.9339318060683598E-4</v>
      </c>
      <c r="X377" s="696">
        <f t="shared" si="413"/>
        <v>-0.10011664525883479</v>
      </c>
      <c r="Y377" s="696">
        <f t="shared" si="413"/>
        <v>-0.1176473412276836</v>
      </c>
      <c r="Z377" s="696">
        <f t="shared" si="413"/>
        <v>-0.160756963986599</v>
      </c>
      <c r="AA377" s="696">
        <f t="shared" si="413"/>
        <v>-0.13623734499999998</v>
      </c>
      <c r="AB377" s="696">
        <f t="shared" si="413"/>
        <v>-0.20157457155363767</v>
      </c>
      <c r="AC377" s="696">
        <f t="shared" si="413"/>
        <v>-0.28001182289498777</v>
      </c>
      <c r="AD377" s="696">
        <f t="shared" si="413"/>
        <v>-0.17818574339578613</v>
      </c>
      <c r="AE377" s="696">
        <f t="shared" si="413"/>
        <v>-0.35999650170514091</v>
      </c>
      <c r="AF377" s="696">
        <f t="shared" si="413"/>
        <v>-0.31678229390067253</v>
      </c>
      <c r="AG377" s="872">
        <f t="shared" si="413"/>
        <v>-0.33070303999824829</v>
      </c>
      <c r="AH377" s="872">
        <f t="shared" si="413"/>
        <v>-0.45236053382233549</v>
      </c>
      <c r="AI377" s="872">
        <f t="shared" si="413"/>
        <v>-0.34616137212899134</v>
      </c>
      <c r="AJ377" s="872">
        <f t="shared" si="413"/>
        <v>-0.3387768716791657</v>
      </c>
      <c r="AK377" s="872">
        <f t="shared" si="413"/>
        <v>-0.36239781021612877</v>
      </c>
      <c r="AL377" s="872">
        <f t="shared" si="413"/>
        <v>-0.45313914114120907</v>
      </c>
      <c r="AM377" s="872">
        <f t="shared" si="413"/>
        <v>-0.41659336949972847</v>
      </c>
      <c r="AN377" s="872">
        <f t="shared" si="413"/>
        <v>-0.31218014324073645</v>
      </c>
      <c r="AO377" s="872">
        <f t="shared" si="413"/>
        <v>-0.25113566763518647</v>
      </c>
      <c r="AP377" s="696">
        <f t="shared" si="413"/>
        <v>-0.26515873857607825</v>
      </c>
      <c r="AQ377" s="696">
        <f t="shared" si="413"/>
        <v>-0.58228331999999994</v>
      </c>
      <c r="AR377" s="696">
        <f t="shared" si="413"/>
        <v>-0.68030576680170007</v>
      </c>
      <c r="AS377" s="696">
        <f t="shared" si="413"/>
        <v>-0.52344167953334442</v>
      </c>
      <c r="AT377" s="696">
        <f t="shared" si="413"/>
        <v>-0.70598905555968883</v>
      </c>
      <c r="AU377" s="696">
        <f t="shared" si="413"/>
        <v>-0.72225546448493994</v>
      </c>
      <c r="AV377" s="696">
        <f t="shared" si="413"/>
        <v>-0.73833327957389239</v>
      </c>
      <c r="AW377" s="696">
        <f t="shared" si="413"/>
        <v>-0.75423148148541796</v>
      </c>
      <c r="AX377" s="696">
        <f t="shared" si="413"/>
        <v>-0.76995848958720825</v>
      </c>
      <c r="AY377" s="696">
        <f t="shared" si="413"/>
        <v>-0.78552220513202053</v>
      </c>
      <c r="AZ377" s="696">
        <f t="shared" si="413"/>
        <v>-0.76093005050880813</v>
      </c>
      <c r="BA377" s="696">
        <f t="shared" si="413"/>
        <v>-0.77618900497882592</v>
      </c>
      <c r="BB377" s="696">
        <f t="shared" si="413"/>
        <v>-0.79130563725854919</v>
      </c>
      <c r="BC377" s="696">
        <f t="shared" si="413"/>
        <v>-0.80628613526929471</v>
      </c>
      <c r="BD377" s="696">
        <f t="shared" si="413"/>
        <v>-0.8211363333368763</v>
      </c>
      <c r="BE377" s="696">
        <f t="shared" si="413"/>
        <v>-0.83586173709269507</v>
      </c>
      <c r="BF377" s="696">
        <f t="shared" si="413"/>
        <v>-0.85509254629974052</v>
      </c>
      <c r="BG377" s="696">
        <f t="shared" si="413"/>
        <v>-0.87135952494668467</v>
      </c>
      <c r="BH377" s="696">
        <f t="shared" si="413"/>
        <v>-0.88784333444775121</v>
      </c>
      <c r="BI377" s="696">
        <f t="shared" si="413"/>
        <v>-0.90454143573308909</v>
      </c>
      <c r="BJ377" s="696">
        <f t="shared" si="413"/>
        <v>-0.92145148504591423</v>
      </c>
      <c r="BK377" s="696">
        <f t="shared" si="413"/>
        <v>-0.93857131551674622</v>
      </c>
      <c r="BL377" s="696">
        <f t="shared" si="413"/>
        <v>-0.95589892078495453</v>
      </c>
      <c r="BM377" s="696">
        <f t="shared" si="413"/>
        <v>-0.97343244040704624</v>
      </c>
      <c r="BN377" s="696">
        <f t="shared" si="413"/>
        <v>-0.99117014682834892</v>
      </c>
      <c r="BO377" s="696">
        <f t="shared" si="413"/>
        <v>-1.009110433726097</v>
      </c>
      <c r="BP377" s="696">
        <f t="shared" si="413"/>
        <v>-1.0272518055584059</v>
      </c>
      <c r="BQ377" s="696">
        <f t="shared" si="413"/>
        <v>-1.0455928681760598</v>
      </c>
      <c r="BR377" s="696">
        <f t="shared" si="413"/>
        <v>-1.048715653706459</v>
      </c>
      <c r="BS377" s="696">
        <f t="shared" si="413"/>
        <v>-1.0545018534825785</v>
      </c>
      <c r="BT377" s="696">
        <f t="shared" si="413"/>
        <v>-1.0595737246403765</v>
      </c>
      <c r="BU377" s="696">
        <f t="shared" si="413"/>
        <v>-1.0639412383539211</v>
      </c>
      <c r="BV377" s="696">
        <f t="shared" si="413"/>
        <v>-1.0676139414919996</v>
      </c>
      <c r="BW377" s="696">
        <f t="shared" si="413"/>
        <v>-1.0706009789499786</v>
      </c>
      <c r="BX377" s="696">
        <f t="shared" si="413"/>
        <v>-1.0729111145859167</v>
      </c>
      <c r="BY377" s="696">
        <f t="shared" si="413"/>
        <v>-1.0745527508616632</v>
      </c>
      <c r="BZ377" s="696">
        <f t="shared" si="413"/>
        <v>-1.0755339472814422</v>
      </c>
      <c r="CA377" s="696">
        <f t="shared" si="413"/>
        <v>-1.0758624377129429</v>
      </c>
      <c r="CB377" s="696">
        <f t="shared" si="413"/>
        <v>-1.0755456466691466</v>
      </c>
      <c r="CC377" s="696">
        <f t="shared" si="413"/>
        <v>-1.0745907046229171</v>
      </c>
      <c r="CD377" s="696">
        <f t="shared" si="413"/>
        <v>-1.0837961290873985</v>
      </c>
      <c r="CE377" s="696">
        <f t="shared" si="413"/>
        <v>-1.0892971706948273</v>
      </c>
      <c r="CF377" s="696">
        <f t="shared" si="413"/>
        <v>-1.0948792111134726</v>
      </c>
      <c r="CG377" s="696">
        <f t="shared" si="413"/>
        <v>-1.1005388278583534</v>
      </c>
      <c r="CH377" s="696">
        <f t="shared" ref="CH377:DA377" si="414">SUM(CH378:CH386)</f>
        <v>-1.106272788582543</v>
      </c>
      <c r="CI377" s="696">
        <f t="shared" si="414"/>
        <v>-1.112078038054015</v>
      </c>
      <c r="CJ377" s="696">
        <f t="shared" si="414"/>
        <v>-1.11795168618842</v>
      </c>
      <c r="CK377" s="696">
        <f t="shared" si="414"/>
        <v>-1.1238909970392412</v>
      </c>
      <c r="CL377" s="696">
        <f t="shared" si="414"/>
        <v>-1.1298933786571461</v>
      </c>
      <c r="CM377" s="696">
        <f t="shared" si="414"/>
        <v>-1.1359563737395206</v>
      </c>
      <c r="CN377" s="696">
        <f t="shared" si="414"/>
        <v>-1.1420776509992705</v>
      </c>
      <c r="CO377" s="696">
        <f t="shared" si="414"/>
        <v>-1.1482549971891531</v>
      </c>
      <c r="CP377" s="696">
        <f t="shared" si="414"/>
        <v>-1.1544863097242886</v>
      </c>
      <c r="CQ377" s="696">
        <f t="shared" si="414"/>
        <v>-1.1475318774125176</v>
      </c>
      <c r="CR377" s="696">
        <f t="shared" si="414"/>
        <v>-1.1406914521878246</v>
      </c>
      <c r="CS377" s="696">
        <f t="shared" si="414"/>
        <v>-1.1339622533895497</v>
      </c>
      <c r="CT377" s="696">
        <f t="shared" si="414"/>
        <v>-1.1273415900557631</v>
      </c>
      <c r="CU377" s="696">
        <f t="shared" si="414"/>
        <v>-1.1208268573353168</v>
      </c>
      <c r="CV377" s="696">
        <f t="shared" si="414"/>
        <v>-1.1144155330707508</v>
      </c>
      <c r="CW377" s="696">
        <f t="shared" si="414"/>
        <v>-1.1081051745426347</v>
      </c>
      <c r="CX377" s="696">
        <f t="shared" si="414"/>
        <v>-1.1018934153665203</v>
      </c>
      <c r="CY377" s="696">
        <f t="shared" si="414"/>
        <v>-1.0957779625342219</v>
      </c>
      <c r="CZ377" s="696">
        <f t="shared" si="414"/>
        <v>-1.0897565935916507</v>
      </c>
      <c r="DA377" s="696">
        <f t="shared" si="414"/>
        <v>-1.0838271539459128</v>
      </c>
      <c r="DC377" s="14">
        <f t="shared" si="397"/>
        <v>-2.1836915766730636</v>
      </c>
      <c r="DD377" s="14">
        <f t="shared" si="398"/>
        <v>-4.9839344142746036</v>
      </c>
      <c r="DE377" s="708">
        <f t="shared" si="399"/>
        <v>-9.2679988742682173</v>
      </c>
      <c r="DF377" s="14">
        <f t="shared" si="409"/>
        <v>-11.381316257470838</v>
      </c>
      <c r="DG377" s="14">
        <f t="shared" si="404"/>
        <v>-12.813943992359341</v>
      </c>
      <c r="DH377" s="14">
        <f t="shared" si="400"/>
        <v>-13.384887249203363</v>
      </c>
      <c r="DI377" s="14">
        <f t="shared" si="401"/>
        <v>-13.41861617315695</v>
      </c>
    </row>
    <row r="378" spans="2:113" ht="15" outlineLevel="1">
      <c r="F378" s="126" t="s">
        <v>839</v>
      </c>
      <c r="I378" s="609" t="s">
        <v>736</v>
      </c>
      <c r="O378" s="710"/>
      <c r="P378" s="710"/>
      <c r="Q378" s="710"/>
      <c r="R378" s="710"/>
      <c r="S378" s="710"/>
      <c r="T378" s="710"/>
      <c r="U378" s="710"/>
      <c r="V378" s="713">
        <v>-1.1276045708658901E-3</v>
      </c>
      <c r="W378" s="713">
        <v>-4.6840318060683601E-4</v>
      </c>
      <c r="X378" s="713">
        <v>-9.5468505258834796E-2</v>
      </c>
      <c r="Y378" s="713">
        <v>-9.7582551227683598E-2</v>
      </c>
      <c r="Z378" s="713">
        <v>-0.131047883986599</v>
      </c>
      <c r="AA378" s="713">
        <v>-0.11404375999999999</v>
      </c>
      <c r="AB378" s="713">
        <v>-0.14059846021501199</v>
      </c>
      <c r="AC378" s="713">
        <v>-0.13201081992090599</v>
      </c>
      <c r="AD378" s="713">
        <v>-0.12957275100000001</v>
      </c>
      <c r="AE378" s="713">
        <v>-0.16502438699999999</v>
      </c>
      <c r="AF378" s="713">
        <v>-0.15932970900000001</v>
      </c>
      <c r="AG378" s="713">
        <v>-0.19956867</v>
      </c>
      <c r="AH378" s="954">
        <v>-0.25259309800000002</v>
      </c>
      <c r="AI378" s="954">
        <v>-0.202350473</v>
      </c>
      <c r="AJ378" s="954">
        <v>-0.22327446100000001</v>
      </c>
      <c r="AK378" s="954">
        <v>-0.227303687</v>
      </c>
      <c r="AL378" s="954">
        <v>-0.27067391899999999</v>
      </c>
      <c r="AM378" s="954">
        <v>-0.240814905</v>
      </c>
      <c r="AN378" s="954">
        <v>-0.13532084699999999</v>
      </c>
      <c r="AO378" s="954">
        <v>-0.146986741</v>
      </c>
      <c r="AP378" s="954">
        <v>-0.127385161</v>
      </c>
      <c r="AQ378" s="739">
        <v>-0.22625000000000001</v>
      </c>
      <c r="AR378" s="710">
        <v>-0.26328426135249999</v>
      </c>
      <c r="AS378" s="710">
        <v>-0.18</v>
      </c>
      <c r="AT378" s="710">
        <v>-0.25</v>
      </c>
      <c r="AU378" s="710">
        <v>-0.25</v>
      </c>
      <c r="AV378" s="710">
        <v>-0.25</v>
      </c>
      <c r="AW378" s="710">
        <v>-0.25</v>
      </c>
      <c r="AX378" s="710">
        <v>-0.25</v>
      </c>
      <c r="AY378" s="710">
        <v>-0.25</v>
      </c>
      <c r="AZ378" s="710">
        <v>-0.25</v>
      </c>
      <c r="BA378" s="710">
        <v>-0.25</v>
      </c>
      <c r="BB378" s="710">
        <v>-0.25</v>
      </c>
      <c r="BC378" s="710">
        <v>-0.25</v>
      </c>
      <c r="BD378" s="710">
        <v>-0.25</v>
      </c>
      <c r="BE378" s="710">
        <v>-0.25</v>
      </c>
      <c r="BF378" s="710">
        <v>-0.25312499999999999</v>
      </c>
      <c r="BG378" s="710">
        <v>-0.25624999999999998</v>
      </c>
      <c r="BH378" s="710">
        <v>-0.25937500000000002</v>
      </c>
      <c r="BI378" s="710">
        <v>-0.26250000000000001</v>
      </c>
      <c r="BJ378" s="710">
        <v>-0.265625</v>
      </c>
      <c r="BK378" s="710">
        <v>-0.26874999999999999</v>
      </c>
      <c r="BL378" s="710">
        <v>-0.27187499999999998</v>
      </c>
      <c r="BM378" s="710">
        <v>-0.27500000000000002</v>
      </c>
      <c r="BN378" s="710">
        <v>-0.27812500000000001</v>
      </c>
      <c r="BO378" s="710">
        <v>-0.28125</v>
      </c>
      <c r="BP378" s="710">
        <v>-0.28437499999999999</v>
      </c>
      <c r="BQ378" s="710">
        <v>-0.28749999999999998</v>
      </c>
      <c r="BR378" s="710">
        <v>-0.28020833333333334</v>
      </c>
      <c r="BS378" s="710">
        <v>-0.2729166666666667</v>
      </c>
      <c r="BT378" s="710">
        <v>-0.265625</v>
      </c>
      <c r="BU378" s="710">
        <v>-0.25833333333333336</v>
      </c>
      <c r="BV378" s="710">
        <v>-0.25104166666666672</v>
      </c>
      <c r="BW378" s="710">
        <v>-0.24375000000000005</v>
      </c>
      <c r="BX378" s="710">
        <v>-0.23645833333333344</v>
      </c>
      <c r="BY378" s="710">
        <v>-0.22916666666666677</v>
      </c>
      <c r="BZ378" s="710">
        <v>-0.22187500000000016</v>
      </c>
      <c r="CA378" s="710">
        <v>-0.21458333333333349</v>
      </c>
      <c r="CB378" s="710">
        <v>-0.20729166666666679</v>
      </c>
      <c r="CC378" s="710">
        <v>-0.2</v>
      </c>
      <c r="CD378" s="710">
        <v>-0.2</v>
      </c>
      <c r="CE378" s="710">
        <v>-0.2</v>
      </c>
      <c r="CF378" s="710">
        <v>-0.2</v>
      </c>
      <c r="CG378" s="710">
        <v>-0.2</v>
      </c>
      <c r="CH378" s="710">
        <v>-0.2</v>
      </c>
      <c r="CI378" s="710">
        <v>-0.2</v>
      </c>
      <c r="CJ378" s="710">
        <v>-0.2</v>
      </c>
      <c r="CK378" s="710">
        <v>-0.2</v>
      </c>
      <c r="CL378" s="710">
        <v>-0.2</v>
      </c>
      <c r="CM378" s="710">
        <v>-0.2</v>
      </c>
      <c r="CN378" s="710">
        <v>-0.2</v>
      </c>
      <c r="CO378" s="710">
        <v>-0.2</v>
      </c>
      <c r="CP378" s="710">
        <v>-0.2</v>
      </c>
      <c r="CQ378" s="710">
        <v>-0.2</v>
      </c>
      <c r="CR378" s="710">
        <v>-0.2</v>
      </c>
      <c r="CS378" s="710">
        <v>-0.2</v>
      </c>
      <c r="CT378" s="710">
        <v>-0.2</v>
      </c>
      <c r="CU378" s="710">
        <v>-0.2</v>
      </c>
      <c r="CV378" s="710">
        <v>-0.2</v>
      </c>
      <c r="CW378" s="710">
        <v>-0.2</v>
      </c>
      <c r="CX378" s="710">
        <v>-0.2</v>
      </c>
      <c r="CY378" s="710">
        <v>-0.2</v>
      </c>
      <c r="CZ378" s="710">
        <v>-0.2</v>
      </c>
      <c r="DA378" s="710">
        <v>-0.2</v>
      </c>
      <c r="DC378" s="12">
        <f t="shared" si="397"/>
        <v>-1.3658435053605085</v>
      </c>
      <c r="DD378" s="12">
        <f t="shared" si="398"/>
        <v>-2.4962375533525005</v>
      </c>
      <c r="DE378" s="702">
        <f t="shared" si="399"/>
        <v>-3</v>
      </c>
      <c r="DF378" s="12">
        <f t="shared" si="409"/>
        <v>-3.2437499999999999</v>
      </c>
      <c r="DG378" s="12">
        <f t="shared" si="404"/>
        <v>-2.8812500000000014</v>
      </c>
      <c r="DH378" s="12">
        <f t="shared" si="400"/>
        <v>-2.4</v>
      </c>
      <c r="DI378" s="12">
        <f t="shared" si="401"/>
        <v>-2.4</v>
      </c>
    </row>
    <row r="379" spans="2:113" s="702" customFormat="1" ht="15" outlineLevel="1">
      <c r="B379" s="126"/>
      <c r="F379" s="126" t="s">
        <v>840</v>
      </c>
      <c r="H379" s="725"/>
      <c r="I379" s="609" t="s">
        <v>736</v>
      </c>
      <c r="J379" s="725"/>
      <c r="K379" s="725"/>
      <c r="L379" s="725"/>
      <c r="M379" s="725"/>
      <c r="O379" s="710"/>
      <c r="P379" s="710"/>
      <c r="Q379" s="710"/>
      <c r="R379" s="710"/>
      <c r="S379" s="710"/>
      <c r="T379" s="710"/>
      <c r="U379" s="710"/>
      <c r="V379" s="713">
        <v>0</v>
      </c>
      <c r="W379" s="713">
        <v>0</v>
      </c>
      <c r="X379" s="713">
        <v>0</v>
      </c>
      <c r="Y379" s="713">
        <v>0</v>
      </c>
      <c r="Z379" s="713">
        <v>0</v>
      </c>
      <c r="AA379" s="713">
        <v>0</v>
      </c>
      <c r="AB379" s="721">
        <v>-7.9847023386256707E-3</v>
      </c>
      <c r="AC379" s="721">
        <v>-1.2877472974081801E-2</v>
      </c>
      <c r="AD379" s="721">
        <v>-1.2278632395786099E-2</v>
      </c>
      <c r="AE379" s="721">
        <v>-1.8734363705140901E-2</v>
      </c>
      <c r="AF379" s="721">
        <v>-3.5163545900672499E-2</v>
      </c>
      <c r="AG379" s="721">
        <v>-6.3344369998248301E-2</v>
      </c>
      <c r="AH379" s="954">
        <v>-1.3066030023511286E-2</v>
      </c>
      <c r="AI379" s="954">
        <v>-6.9890319145951244E-2</v>
      </c>
      <c r="AJ379" s="954">
        <v>-5.9738313000000001E-2</v>
      </c>
      <c r="AK379" s="954">
        <v>-7.7581478764768605E-2</v>
      </c>
      <c r="AL379" s="954">
        <v>-0.10039659924107111</v>
      </c>
      <c r="AM379" s="954">
        <v>-0.10532818125403841</v>
      </c>
      <c r="AN379" s="954">
        <v>-0.12337314451136557</v>
      </c>
      <c r="AO379" s="954">
        <v>-8.1461552635186465E-2</v>
      </c>
      <c r="AP379" s="954">
        <v>-0.1160801983021794</v>
      </c>
      <c r="AQ379" s="739">
        <v>-0.23745999999999998</v>
      </c>
      <c r="AR379" s="739">
        <v>-0.27893000000000001</v>
      </c>
      <c r="AS379" s="739">
        <v>-0.2466810744082</v>
      </c>
      <c r="AT379" s="710">
        <v>-0.26774381531640001</v>
      </c>
      <c r="AU379" s="710">
        <v>-0.28335457244236067</v>
      </c>
      <c r="AV379" s="710">
        <v>-0.29878433740296778</v>
      </c>
      <c r="AW379" s="710">
        <v>-0.31404172887276194</v>
      </c>
      <c r="AX379" s="710">
        <v>-0.32913482685912504</v>
      </c>
      <c r="AY379" s="710">
        <v>-0.3440712141382154</v>
      </c>
      <c r="AZ379" s="710">
        <v>-0.35885801392400013</v>
      </c>
      <c r="BA379" s="710">
        <v>-0.37350192416394046</v>
      </c>
      <c r="BB379" s="710">
        <v>-0.38800924880858839</v>
      </c>
      <c r="BC379" s="710">
        <v>-0.40238592636208703</v>
      </c>
      <c r="BD379" s="710">
        <v>-0.41663755598548591</v>
      </c>
      <c r="BE379" s="710">
        <v>-0.43076942139414109</v>
      </c>
      <c r="BF379" s="739">
        <v>-0.4447865127636666</v>
      </c>
      <c r="BG379" s="739">
        <v>-0.45595923699297952</v>
      </c>
      <c r="BH379" s="739">
        <v>-0.46734005225311998</v>
      </c>
      <c r="BI379" s="739">
        <v>-0.47892652181678419</v>
      </c>
      <c r="BJ379" s="739">
        <v>-0.49071639639723064</v>
      </c>
      <c r="BK379" s="739">
        <v>-0.50270759646520746</v>
      </c>
      <c r="BL379" s="739">
        <v>-0.51489819653066649</v>
      </c>
      <c r="BM379" s="739">
        <v>-0.52728641113919983</v>
      </c>
      <c r="BN379" s="739">
        <v>-0.53987058236885699</v>
      </c>
      <c r="BO379" s="739">
        <v>-0.55264916864308744</v>
      </c>
      <c r="BP379" s="739">
        <v>-0.56562073470096541</v>
      </c>
      <c r="BQ379" s="739">
        <v>-0.57878394258738952</v>
      </c>
      <c r="BR379" s="739">
        <v>-0.59213754354426651</v>
      </c>
      <c r="BS379" s="739">
        <v>-0.60804720423791925</v>
      </c>
      <c r="BT379" s="739">
        <v>-0.62327132882953606</v>
      </c>
      <c r="BU379" s="739">
        <v>-0.63781948658405729</v>
      </c>
      <c r="BV379" s="739">
        <v>-0.65170083956365943</v>
      </c>
      <c r="BW379" s="739">
        <v>-0.66492416405948063</v>
      </c>
      <c r="BX379" s="739">
        <v>-0.67749787068386114</v>
      </c>
      <c r="BY379" s="739">
        <v>-0.68943002321976632</v>
      </c>
      <c r="BZ379" s="739">
        <v>-0.70072835631616326</v>
      </c>
      <c r="CA379" s="739">
        <v>-0.71140029211094946</v>
      </c>
      <c r="CB379" s="739">
        <v>-0.72145295585650659</v>
      </c>
      <c r="CC379" s="739">
        <v>-0.73089319061700297</v>
      </c>
      <c r="CD379" s="739">
        <v>-0.73972757110115017</v>
      </c>
      <c r="CE379" s="739">
        <v>-0.74500688166490148</v>
      </c>
      <c r="CF379" s="739">
        <v>-0.75036392621254577</v>
      </c>
      <c r="CG379" s="739">
        <v>-0.75579542020955215</v>
      </c>
      <c r="CH379" s="739">
        <v>-0.76129826159553071</v>
      </c>
      <c r="CI379" s="739">
        <v>-0.7668695182860028</v>
      </c>
      <c r="CJ379" s="739">
        <v>-0.77250641668754327</v>
      </c>
      <c r="CK379" s="739">
        <v>-0.77820633113170945</v>
      </c>
      <c r="CL379" s="739">
        <v>-0.78396677414313432</v>
      </c>
      <c r="CM379" s="739">
        <v>-0.78978538746595073</v>
      </c>
      <c r="CN379" s="739">
        <v>-0.79565993378048983</v>
      </c>
      <c r="CO379" s="739">
        <v>-0.80158828904909118</v>
      </c>
      <c r="CP379" s="739">
        <v>-0.80756843543597756</v>
      </c>
      <c r="CQ379" s="739">
        <v>-0.80089431613485373</v>
      </c>
      <c r="CR379" s="739">
        <v>-0.79432960862555158</v>
      </c>
      <c r="CS379" s="739">
        <v>-0.78787164432778289</v>
      </c>
      <c r="CT379" s="739">
        <v>-0.78151784074449426</v>
      </c>
      <c r="CU379" s="739">
        <v>-0.77526569801853829</v>
      </c>
      <c r="CV379" s="739">
        <v>-0.7691127956533117</v>
      </c>
      <c r="CW379" s="739">
        <v>-0.763056789388325</v>
      </c>
      <c r="CX379" s="739">
        <v>-0.75709540822122856</v>
      </c>
      <c r="CY379" s="739">
        <v>-0.75122645156835099</v>
      </c>
      <c r="CZ379" s="739">
        <v>-0.74544778655628663</v>
      </c>
      <c r="DA379" s="739">
        <v>-0.73975734543753624</v>
      </c>
      <c r="DC379" s="12">
        <f t="shared" si="397"/>
        <v>-0.15038308731255529</v>
      </c>
      <c r="DD379" s="12">
        <f t="shared" si="398"/>
        <v>-1.5099868912862722</v>
      </c>
      <c r="DE379" s="702">
        <f t="shared" si="399"/>
        <v>-4.2072925856700731</v>
      </c>
      <c r="DF379" s="12">
        <f t="shared" si="409"/>
        <v>-6.1195453526591539</v>
      </c>
      <c r="DG379" s="12">
        <f t="shared" si="404"/>
        <v>-8.009303255623168</v>
      </c>
      <c r="DH379" s="12">
        <f t="shared" si="400"/>
        <v>-9.2407747113276013</v>
      </c>
      <c r="DI379" s="12">
        <f t="shared" si="401"/>
        <v>-9.2731441201122369</v>
      </c>
    </row>
    <row r="380" spans="2:113" s="702" customFormat="1" ht="15" outlineLevel="1">
      <c r="B380" s="126"/>
      <c r="F380" s="126" t="s">
        <v>806</v>
      </c>
      <c r="G380" s="126"/>
      <c r="H380" s="725"/>
      <c r="I380" s="609" t="s">
        <v>736</v>
      </c>
      <c r="J380" s="725"/>
      <c r="K380" s="725"/>
      <c r="L380" s="725"/>
      <c r="M380" s="725"/>
      <c r="O380" s="710"/>
      <c r="P380" s="710"/>
      <c r="Q380" s="710"/>
      <c r="R380" s="710"/>
      <c r="S380" s="710"/>
      <c r="T380" s="710"/>
      <c r="U380" s="710"/>
      <c r="V380" s="721">
        <v>-5.8310000000000002E-5</v>
      </c>
      <c r="W380" s="721">
        <v>-2.499E-5</v>
      </c>
      <c r="X380" s="721">
        <v>-4.6481400000000003E-3</v>
      </c>
      <c r="Y380" s="721">
        <v>-5.7393699999999997E-3</v>
      </c>
      <c r="Z380" s="721">
        <v>-5.5477800000000004E-3</v>
      </c>
      <c r="AA380" s="721">
        <v>-7.5636399999999999E-3</v>
      </c>
      <c r="AB380" s="721">
        <v>-1.131214E-2</v>
      </c>
      <c r="AC380" s="721">
        <v>-9.67113E-3</v>
      </c>
      <c r="AD380" s="721">
        <v>-2.54061E-3</v>
      </c>
      <c r="AE380" s="721">
        <v>-8.3299999999999997E-4</v>
      </c>
      <c r="AF380" s="721">
        <v>-8.5798999999999999E-4</v>
      </c>
      <c r="AG380" s="721">
        <v>-2.072504E-2</v>
      </c>
      <c r="AH380" s="748">
        <v>-1.9258959999999999E-2</v>
      </c>
      <c r="AI380" s="748">
        <v>-1.445255E-2</v>
      </c>
      <c r="AJ380" s="748">
        <v>-2.0216910000000001E-2</v>
      </c>
      <c r="AK380" s="748">
        <v>-1.6539214999999999E-2</v>
      </c>
      <c r="AL380" s="748">
        <v>-1.6193519999999999E-2</v>
      </c>
      <c r="AM380" s="748">
        <v>-3.0036314000000001E-2</v>
      </c>
      <c r="AN380" s="748">
        <v>-3.2868730999999998E-2</v>
      </c>
      <c r="AO380" s="955">
        <v>-2.611188E-3</v>
      </c>
      <c r="AP380" s="748">
        <v>-3.2067749999999998E-3</v>
      </c>
      <c r="AQ380" s="739">
        <v>-1.8100000000000002E-2</v>
      </c>
      <c r="AR380" s="739">
        <v>-2.1062740908200001E-2</v>
      </c>
      <c r="AS380" s="739">
        <v>-1.44E-2</v>
      </c>
      <c r="AT380" s="710">
        <v>-0.02</v>
      </c>
      <c r="AU380" s="710">
        <v>-0.02</v>
      </c>
      <c r="AV380" s="710">
        <v>-0.02</v>
      </c>
      <c r="AW380" s="710">
        <v>-0.02</v>
      </c>
      <c r="AX380" s="710">
        <v>-0.02</v>
      </c>
      <c r="AY380" s="710">
        <v>-0.02</v>
      </c>
      <c r="AZ380" s="710">
        <v>-0.02</v>
      </c>
      <c r="BA380" s="710">
        <v>-0.02</v>
      </c>
      <c r="BB380" s="710">
        <v>-0.02</v>
      </c>
      <c r="BC380" s="710">
        <v>-0.02</v>
      </c>
      <c r="BD380" s="710">
        <v>-0.02</v>
      </c>
      <c r="BE380" s="710">
        <v>-0.02</v>
      </c>
      <c r="BF380" s="739">
        <v>-2.0250000000000001E-2</v>
      </c>
      <c r="BG380" s="739">
        <v>-2.0500000000000001E-2</v>
      </c>
      <c r="BH380" s="739">
        <v>-2.0750000000000001E-2</v>
      </c>
      <c r="BI380" s="739">
        <v>-2.1000000000000001E-2</v>
      </c>
      <c r="BJ380" s="739">
        <v>-2.1250000000000002E-2</v>
      </c>
      <c r="BK380" s="739">
        <v>-2.1499999999999998E-2</v>
      </c>
      <c r="BL380" s="739">
        <v>-2.1749999999999999E-2</v>
      </c>
      <c r="BM380" s="739">
        <v>-2.1999999999999999E-2</v>
      </c>
      <c r="BN380" s="739">
        <v>-2.2249999999999999E-2</v>
      </c>
      <c r="BO380" s="739">
        <v>-2.2499999999999999E-2</v>
      </c>
      <c r="BP380" s="739">
        <v>-2.2749999999999999E-2</v>
      </c>
      <c r="BQ380" s="739">
        <v>-2.3E-2</v>
      </c>
      <c r="BR380" s="739">
        <v>-2.2416666666666668E-2</v>
      </c>
      <c r="BS380" s="739">
        <v>-2.1833333333333337E-2</v>
      </c>
      <c r="BT380" s="739">
        <v>-2.1250000000000005E-2</v>
      </c>
      <c r="BU380" s="739">
        <v>-2.066666666666667E-2</v>
      </c>
      <c r="BV380" s="739">
        <v>-2.0083333333333338E-2</v>
      </c>
      <c r="BW380" s="739">
        <v>-1.9500000000000007E-2</v>
      </c>
      <c r="BX380" s="739">
        <v>-1.8916666666666675E-2</v>
      </c>
      <c r="BY380" s="739">
        <v>-1.8333333333333344E-2</v>
      </c>
      <c r="BZ380" s="739">
        <v>-1.7750000000000012E-2</v>
      </c>
      <c r="CA380" s="739">
        <v>-1.7166666666666677E-2</v>
      </c>
      <c r="CB380" s="739">
        <v>-1.6583333333333346E-2</v>
      </c>
      <c r="CC380" s="739">
        <v>-1.6E-2</v>
      </c>
      <c r="CD380" s="739">
        <v>-1.6E-2</v>
      </c>
      <c r="CE380" s="739">
        <v>-1.6E-2</v>
      </c>
      <c r="CF380" s="739">
        <v>-1.6E-2</v>
      </c>
      <c r="CG380" s="739">
        <v>-1.6E-2</v>
      </c>
      <c r="CH380" s="739">
        <v>-1.6E-2</v>
      </c>
      <c r="CI380" s="739">
        <v>-1.6E-2</v>
      </c>
      <c r="CJ380" s="739">
        <v>-1.6E-2</v>
      </c>
      <c r="CK380" s="739">
        <v>-1.6E-2</v>
      </c>
      <c r="CL380" s="739">
        <v>-1.6E-2</v>
      </c>
      <c r="CM380" s="739">
        <v>-1.6E-2</v>
      </c>
      <c r="CN380" s="739">
        <v>-1.6E-2</v>
      </c>
      <c r="CO380" s="739">
        <v>-1.6E-2</v>
      </c>
      <c r="CP380" s="739">
        <v>-1.6E-2</v>
      </c>
      <c r="CQ380" s="739">
        <v>-1.6E-2</v>
      </c>
      <c r="CR380" s="739">
        <v>-1.6E-2</v>
      </c>
      <c r="CS380" s="739">
        <v>-1.6E-2</v>
      </c>
      <c r="CT380" s="739">
        <v>-1.6E-2</v>
      </c>
      <c r="CU380" s="739">
        <v>-1.6E-2</v>
      </c>
      <c r="CV380" s="739">
        <v>-1.6E-2</v>
      </c>
      <c r="CW380" s="739">
        <v>-1.6E-2</v>
      </c>
      <c r="CX380" s="739">
        <v>-1.6E-2</v>
      </c>
      <c r="CY380" s="739">
        <v>-1.6E-2</v>
      </c>
      <c r="CZ380" s="739">
        <v>-1.6E-2</v>
      </c>
      <c r="DA380" s="739">
        <v>-1.6E-2</v>
      </c>
      <c r="DC380" s="12">
        <f t="shared" si="397"/>
        <v>-6.952214000000001E-2</v>
      </c>
      <c r="DD380" s="12">
        <f t="shared" si="398"/>
        <v>-0.20894690390819998</v>
      </c>
      <c r="DE380" s="702">
        <f t="shared" si="399"/>
        <v>-0.23999999999999996</v>
      </c>
      <c r="DF380" s="12">
        <f t="shared" si="409"/>
        <v>-0.25949999999999995</v>
      </c>
      <c r="DG380" s="12">
        <f t="shared" si="404"/>
        <v>-0.23050000000000009</v>
      </c>
      <c r="DH380" s="12">
        <f t="shared" si="400"/>
        <v>-0.19200000000000006</v>
      </c>
      <c r="DI380" s="12">
        <f t="shared" si="401"/>
        <v>-0.19200000000000006</v>
      </c>
    </row>
    <row r="381" spans="2:113" s="702" customFormat="1" ht="15" outlineLevel="1">
      <c r="B381" s="126"/>
      <c r="F381" s="126" t="s">
        <v>807</v>
      </c>
      <c r="H381" s="725"/>
      <c r="I381" s="609" t="s">
        <v>736</v>
      </c>
      <c r="J381" s="725"/>
      <c r="K381" s="725"/>
      <c r="L381" s="725"/>
      <c r="M381" s="725"/>
      <c r="O381" s="710"/>
      <c r="P381" s="710"/>
      <c r="Q381" s="710"/>
      <c r="R381" s="710"/>
      <c r="S381" s="710"/>
      <c r="T381" s="710"/>
      <c r="U381" s="710"/>
      <c r="V381" s="713">
        <v>0</v>
      </c>
      <c r="W381" s="713">
        <v>0</v>
      </c>
      <c r="X381" s="713">
        <v>0</v>
      </c>
      <c r="Y381" s="721">
        <v>-1.432542E-2</v>
      </c>
      <c r="Z381" s="721">
        <v>-2.41613E-2</v>
      </c>
      <c r="AA381" s="721">
        <v>-1.4629945E-2</v>
      </c>
      <c r="AB381" s="721">
        <v>-1.554087E-2</v>
      </c>
      <c r="AC381" s="721">
        <v>-0.1024456</v>
      </c>
      <c r="AD381" s="721">
        <v>-7.9193700000000002E-3</v>
      </c>
      <c r="AE381" s="721">
        <v>-0.14605723000000001</v>
      </c>
      <c r="AF381" s="721">
        <v>-9.4206159999999997E-2</v>
      </c>
      <c r="AG381" s="721">
        <v>0</v>
      </c>
      <c r="AH381" s="956">
        <v>-0.1375660625</v>
      </c>
      <c r="AI381" s="956">
        <v>-4.0460287499999997E-2</v>
      </c>
      <c r="AJ381" s="956">
        <v>-5.4098875000000001E-3</v>
      </c>
      <c r="AK381" s="956">
        <v>-1.50315025E-2</v>
      </c>
      <c r="AL381" s="956">
        <v>-4.0819775000000003E-2</v>
      </c>
      <c r="AM381" s="956">
        <v>-1.8559775000000001E-2</v>
      </c>
      <c r="AN381" s="956">
        <v>-1.0819775E-2</v>
      </c>
      <c r="AO381" s="956">
        <v>-1.0819775E-2</v>
      </c>
      <c r="AP381" s="956">
        <v>-1.0819775E-2</v>
      </c>
      <c r="AQ381" s="739">
        <v>-9.0499999999999997E-2</v>
      </c>
      <c r="AR381" s="710">
        <v>-0.105313704541</v>
      </c>
      <c r="AS381" s="710">
        <v>-7.1999999999999995E-2</v>
      </c>
      <c r="AT381" s="710">
        <v>-0.1</v>
      </c>
      <c r="AU381" s="710">
        <v>-0.1</v>
      </c>
      <c r="AV381" s="710">
        <v>-0.1</v>
      </c>
      <c r="AW381" s="710">
        <v>-0.1</v>
      </c>
      <c r="AX381" s="710">
        <v>-0.1</v>
      </c>
      <c r="AY381" s="710">
        <v>-0.1</v>
      </c>
      <c r="AZ381" s="710">
        <v>-0.1</v>
      </c>
      <c r="BA381" s="710">
        <v>-0.1</v>
      </c>
      <c r="BB381" s="710">
        <v>-0.1</v>
      </c>
      <c r="BC381" s="710">
        <v>-0.1</v>
      </c>
      <c r="BD381" s="710">
        <v>-0.1</v>
      </c>
      <c r="BE381" s="710">
        <v>-0.1</v>
      </c>
      <c r="BF381" s="710">
        <v>-0.10125000000000001</v>
      </c>
      <c r="BG381" s="710">
        <v>-0.10249999999999999</v>
      </c>
      <c r="BH381" s="710">
        <v>-0.10375</v>
      </c>
      <c r="BI381" s="710">
        <v>-0.105</v>
      </c>
      <c r="BJ381" s="710">
        <v>-0.10625</v>
      </c>
      <c r="BK381" s="710">
        <v>-0.1075</v>
      </c>
      <c r="BL381" s="710">
        <v>-0.10875</v>
      </c>
      <c r="BM381" s="710">
        <v>-0.11</v>
      </c>
      <c r="BN381" s="710">
        <v>-0.11125</v>
      </c>
      <c r="BO381" s="710">
        <v>-0.1125</v>
      </c>
      <c r="BP381" s="710">
        <v>-0.11375</v>
      </c>
      <c r="BQ381" s="710">
        <v>-0.115</v>
      </c>
      <c r="BR381" s="710">
        <v>-0.11208333333333334</v>
      </c>
      <c r="BS381" s="710">
        <v>-0.10916666666666669</v>
      </c>
      <c r="BT381" s="710">
        <v>-0.10625000000000001</v>
      </c>
      <c r="BU381" s="710">
        <v>-0.10333333333333336</v>
      </c>
      <c r="BV381" s="710">
        <v>-0.1004166666666667</v>
      </c>
      <c r="BW381" s="710">
        <v>-9.7500000000000031E-2</v>
      </c>
      <c r="BX381" s="710">
        <v>-9.4583333333333366E-2</v>
      </c>
      <c r="BY381" s="710">
        <v>-9.1666666666666716E-2</v>
      </c>
      <c r="BZ381" s="710">
        <v>-8.8750000000000051E-2</v>
      </c>
      <c r="CA381" s="710">
        <v>-8.58333333333334E-2</v>
      </c>
      <c r="CB381" s="710">
        <v>-8.2916666666666722E-2</v>
      </c>
      <c r="CC381" s="710">
        <v>-0.08</v>
      </c>
      <c r="CD381" s="710">
        <v>-0.08</v>
      </c>
      <c r="CE381" s="710">
        <v>-0.08</v>
      </c>
      <c r="CF381" s="710">
        <v>-0.08</v>
      </c>
      <c r="CG381" s="710">
        <v>-0.08</v>
      </c>
      <c r="CH381" s="710">
        <v>-0.08</v>
      </c>
      <c r="CI381" s="710">
        <v>-0.08</v>
      </c>
      <c r="CJ381" s="710">
        <v>-0.08</v>
      </c>
      <c r="CK381" s="710">
        <v>-0.08</v>
      </c>
      <c r="CL381" s="710">
        <v>-0.08</v>
      </c>
      <c r="CM381" s="710">
        <v>-0.08</v>
      </c>
      <c r="CN381" s="710">
        <v>-0.08</v>
      </c>
      <c r="CO381" s="710">
        <v>-0.08</v>
      </c>
      <c r="CP381" s="710">
        <v>-0.08</v>
      </c>
      <c r="CQ381" s="710">
        <v>-0.08</v>
      </c>
      <c r="CR381" s="710">
        <v>-0.08</v>
      </c>
      <c r="CS381" s="710">
        <v>-0.08</v>
      </c>
      <c r="CT381" s="710">
        <v>-0.08</v>
      </c>
      <c r="CU381" s="710">
        <v>-0.08</v>
      </c>
      <c r="CV381" s="710">
        <v>-0.08</v>
      </c>
      <c r="CW381" s="710">
        <v>-0.08</v>
      </c>
      <c r="CX381" s="710">
        <v>-0.08</v>
      </c>
      <c r="CY381" s="710">
        <v>-0.08</v>
      </c>
      <c r="CZ381" s="710">
        <v>-0.08</v>
      </c>
      <c r="DA381" s="710">
        <v>-0.08</v>
      </c>
      <c r="DC381" s="12">
        <f t="shared" si="397"/>
        <v>-0.41928589500000002</v>
      </c>
      <c r="DD381" s="12">
        <f t="shared" si="398"/>
        <v>-0.55812031954099983</v>
      </c>
      <c r="DE381" s="702">
        <f t="shared" si="399"/>
        <v>-1.2</v>
      </c>
      <c r="DF381" s="12">
        <f t="shared" si="409"/>
        <v>-1.2974999999999999</v>
      </c>
      <c r="DG381" s="12">
        <f t="shared" si="404"/>
        <v>-1.1525000000000005</v>
      </c>
      <c r="DH381" s="12">
        <f t="shared" si="400"/>
        <v>-0.95999999999999985</v>
      </c>
      <c r="DI381" s="12">
        <f t="shared" si="401"/>
        <v>-0.95999999999999985</v>
      </c>
    </row>
    <row r="382" spans="2:113" s="702" customFormat="1" ht="15" outlineLevel="1">
      <c r="B382" s="126"/>
      <c r="F382" s="126" t="s">
        <v>703</v>
      </c>
      <c r="H382" s="725"/>
      <c r="I382" s="609" t="s">
        <v>736</v>
      </c>
      <c r="J382" s="725"/>
      <c r="K382" s="725"/>
      <c r="L382" s="725"/>
      <c r="M382" s="725"/>
      <c r="O382" s="710"/>
      <c r="P382" s="710"/>
      <c r="Q382" s="710"/>
      <c r="R382" s="710"/>
      <c r="S382" s="710"/>
      <c r="T382" s="710"/>
      <c r="U382" s="710"/>
      <c r="V382" s="713"/>
      <c r="W382" s="713"/>
      <c r="X382" s="713"/>
      <c r="Y382" s="713"/>
      <c r="Z382" s="713"/>
      <c r="AA382" s="713"/>
      <c r="AB382" s="721">
        <v>-1.1070231E-2</v>
      </c>
      <c r="AC382" s="721">
        <v>-9.833451E-3</v>
      </c>
      <c r="AD382" s="721">
        <v>-1.0716975E-2</v>
      </c>
      <c r="AE382" s="721">
        <v>-1.3973174999999999E-2</v>
      </c>
      <c r="AF382" s="721">
        <v>-1.178685E-2</v>
      </c>
      <c r="AG382" s="721">
        <v>-9.2208600000000009E-3</v>
      </c>
      <c r="AH382" s="957">
        <v>-4.5046940000000001E-3</v>
      </c>
      <c r="AI382" s="957">
        <v>-3.1812310000000001E-3</v>
      </c>
      <c r="AJ382" s="957">
        <v>-3.4000520000000002E-3</v>
      </c>
      <c r="AK382" s="957">
        <v>-3.712426E-3</v>
      </c>
      <c r="AL382" s="957">
        <v>-4.2643439999999998E-3</v>
      </c>
      <c r="AM382" s="957">
        <v>-4.2443009999999998E-3</v>
      </c>
      <c r="AN382" s="958"/>
      <c r="AO382" s="748"/>
      <c r="AP382" s="710"/>
      <c r="AQ382" s="710"/>
      <c r="AR382" s="710"/>
      <c r="AS382" s="710"/>
      <c r="AT382" s="710"/>
      <c r="AU382" s="710"/>
      <c r="AV382" s="710"/>
      <c r="AW382" s="710"/>
      <c r="AX382" s="710"/>
      <c r="AY382" s="710"/>
      <c r="AZ382" s="710"/>
      <c r="BA382" s="710"/>
      <c r="BB382" s="710"/>
      <c r="BC382" s="710"/>
      <c r="BD382" s="710"/>
      <c r="BE382" s="710"/>
      <c r="BF382" s="710"/>
      <c r="BG382" s="710"/>
      <c r="BH382" s="710"/>
      <c r="BI382" s="710"/>
      <c r="BJ382" s="710"/>
      <c r="BK382" s="710"/>
      <c r="BL382" s="710"/>
      <c r="BM382" s="710"/>
      <c r="BN382" s="710"/>
      <c r="BO382" s="710"/>
      <c r="BP382" s="710"/>
      <c r="BQ382" s="710"/>
      <c r="BR382" s="710"/>
      <c r="BS382" s="710"/>
      <c r="BT382" s="710"/>
      <c r="BU382" s="710"/>
      <c r="BV382" s="710"/>
      <c r="BW382" s="710"/>
      <c r="BX382" s="710"/>
      <c r="BY382" s="710"/>
      <c r="BZ382" s="710"/>
      <c r="CA382" s="710"/>
      <c r="CB382" s="710"/>
      <c r="CC382" s="710"/>
      <c r="CD382" s="710"/>
      <c r="CE382" s="710"/>
      <c r="CF382" s="710"/>
      <c r="CG382" s="710"/>
      <c r="CH382" s="710"/>
      <c r="CI382" s="710"/>
      <c r="CJ382" s="710"/>
      <c r="CK382" s="710"/>
      <c r="CL382" s="710"/>
      <c r="CM382" s="710"/>
      <c r="CN382" s="710"/>
      <c r="CO382" s="710"/>
      <c r="CP382" s="710"/>
      <c r="CQ382" s="710"/>
      <c r="CR382" s="710"/>
      <c r="CS382" s="710"/>
      <c r="CT382" s="710"/>
      <c r="CU382" s="710"/>
      <c r="CV382" s="710"/>
      <c r="CW382" s="710"/>
      <c r="CX382" s="710"/>
      <c r="CY382" s="710"/>
      <c r="CZ382" s="710"/>
      <c r="DA382" s="710"/>
      <c r="DC382" s="12">
        <f>SUM(V382:AG382)</f>
        <v>-6.6601542E-2</v>
      </c>
      <c r="DD382" s="12">
        <f t="shared" si="398"/>
        <v>-2.3307047999999997E-2</v>
      </c>
      <c r="DE382" s="702">
        <f t="shared" si="399"/>
        <v>0</v>
      </c>
      <c r="DF382" s="12">
        <f t="shared" si="409"/>
        <v>0</v>
      </c>
      <c r="DG382" s="12">
        <f t="shared" si="404"/>
        <v>0</v>
      </c>
      <c r="DH382" s="12">
        <f t="shared" si="400"/>
        <v>0</v>
      </c>
      <c r="DI382" s="12">
        <f t="shared" si="401"/>
        <v>0</v>
      </c>
    </row>
    <row r="383" spans="2:113" s="702" customFormat="1" ht="15" outlineLevel="1">
      <c r="B383" s="126"/>
      <c r="F383" s="126" t="s">
        <v>163</v>
      </c>
      <c r="H383" s="725"/>
      <c r="I383" s="609" t="s">
        <v>736</v>
      </c>
      <c r="J383" s="725"/>
      <c r="K383" s="725"/>
      <c r="L383" s="725"/>
      <c r="M383" s="725"/>
      <c r="O383" s="710"/>
      <c r="P383" s="710"/>
      <c r="Q383" s="710"/>
      <c r="R383" s="710"/>
      <c r="S383" s="710"/>
      <c r="T383" s="710"/>
      <c r="U383" s="710"/>
      <c r="V383" s="713"/>
      <c r="W383" s="713"/>
      <c r="X383" s="713"/>
      <c r="Y383" s="713"/>
      <c r="Z383" s="713"/>
      <c r="AA383" s="713"/>
      <c r="AB383" s="721">
        <v>-1.5068168E-2</v>
      </c>
      <c r="AC383" s="721">
        <v>-1.3173349000000001E-2</v>
      </c>
      <c r="AD383" s="721">
        <v>-1.5157405000000001E-2</v>
      </c>
      <c r="AE383" s="721">
        <v>-1.5374346000000001E-2</v>
      </c>
      <c r="AF383" s="721">
        <v>-1.5438039000000001E-2</v>
      </c>
      <c r="AG383" s="721">
        <v>-3.7844099999999999E-2</v>
      </c>
      <c r="AH383" s="957">
        <v>-2.5371689298824215E-2</v>
      </c>
      <c r="AI383" s="957">
        <v>-1.5826511483040019E-2</v>
      </c>
      <c r="AJ383" s="957">
        <v>-2.6737248179165733E-2</v>
      </c>
      <c r="AK383" s="957">
        <v>-2.2229500951360164E-2</v>
      </c>
      <c r="AL383" s="957">
        <v>-2.0790983900137981E-2</v>
      </c>
      <c r="AM383" s="957">
        <v>-1.760989324569007E-2</v>
      </c>
      <c r="AN383" s="748">
        <v>-9.7976457293709081E-3</v>
      </c>
      <c r="AO383" s="959">
        <v>-9.2564110000000008E-3</v>
      </c>
      <c r="AP383" s="748">
        <v>-7.6668292738988975E-3</v>
      </c>
      <c r="AQ383" s="749">
        <v>-9.9733199999999991E-3</v>
      </c>
      <c r="AR383" s="749">
        <v>-1.1715060000000001E-2</v>
      </c>
      <c r="AS383" s="749">
        <v>-1.03606051251444E-2</v>
      </c>
      <c r="AT383" s="739">
        <v>-1.1245240243288799E-2</v>
      </c>
      <c r="AU383" s="739">
        <v>-1.190089204257915E-2</v>
      </c>
      <c r="AV383" s="739">
        <v>-1.2548942170924645E-2</v>
      </c>
      <c r="AW383" s="739">
        <v>-1.3189752612656003E-2</v>
      </c>
      <c r="AX383" s="739">
        <v>-1.3823662728083252E-2</v>
      </c>
      <c r="AY383" s="739">
        <v>-1.4450990993805046E-2</v>
      </c>
      <c r="AZ383" s="739">
        <v>-1.5072036584808003E-2</v>
      </c>
      <c r="BA383" s="739">
        <v>-1.5687080814885498E-2</v>
      </c>
      <c r="BB383" s="739">
        <v>-1.6296388449960713E-2</v>
      </c>
      <c r="BC383" s="739">
        <v>-1.6900208907207656E-2</v>
      </c>
      <c r="BD383" s="739">
        <v>-1.7498777351390406E-2</v>
      </c>
      <c r="BE383" s="739">
        <v>-1.8092315698553924E-2</v>
      </c>
      <c r="BF383" s="749">
        <v>-1.8681033536074001E-2</v>
      </c>
      <c r="BG383" s="749">
        <v>-1.9150287953705141E-2</v>
      </c>
      <c r="BH383" s="749">
        <v>-1.9628282194631037E-2</v>
      </c>
      <c r="BI383" s="749">
        <v>-2.0114913916304936E-2</v>
      </c>
      <c r="BJ383" s="749">
        <v>-2.0610088648683689E-2</v>
      </c>
      <c r="BK383" s="749">
        <v>-2.111371905153871E-2</v>
      </c>
      <c r="BL383" s="749">
        <v>-2.1625724254287992E-2</v>
      </c>
      <c r="BM383" s="749">
        <v>-2.2146029267846392E-2</v>
      </c>
      <c r="BN383" s="749">
        <v>-2.2674564459491991E-2</v>
      </c>
      <c r="BO383" s="749">
        <v>-2.3211265083009674E-2</v>
      </c>
      <c r="BP383" s="749">
        <v>-2.3756070857440543E-2</v>
      </c>
      <c r="BQ383" s="749">
        <v>-2.4308925588670361E-2</v>
      </c>
      <c r="BR383" s="749">
        <v>-2.4869776828859189E-2</v>
      </c>
      <c r="BS383" s="749">
        <v>-2.5537982577992609E-2</v>
      </c>
      <c r="BT383" s="749">
        <v>-2.6177395810840512E-2</v>
      </c>
      <c r="BU383" s="749">
        <v>-2.6788418436530403E-2</v>
      </c>
      <c r="BV383" s="749">
        <v>-2.7371435261673696E-2</v>
      </c>
      <c r="BW383" s="749">
        <v>-2.7926814890498187E-2</v>
      </c>
      <c r="BX383" s="749">
        <v>-2.8454910568722163E-2</v>
      </c>
      <c r="BY383" s="749">
        <v>-2.8956060975230187E-2</v>
      </c>
      <c r="BZ383" s="749">
        <v>-2.9430590965278856E-2</v>
      </c>
      <c r="CA383" s="749">
        <v>-2.9878812268659873E-2</v>
      </c>
      <c r="CB383" s="749">
        <v>-3.0301024145973271E-2</v>
      </c>
      <c r="CC383" s="749">
        <v>-3.0697514005914125E-2</v>
      </c>
      <c r="CD383" s="749">
        <v>-3.1068557986248302E-2</v>
      </c>
      <c r="CE383" s="749">
        <v>-3.1290289029925859E-2</v>
      </c>
      <c r="CF383" s="749">
        <v>-3.1515284900926921E-2</v>
      </c>
      <c r="CG383" s="749">
        <v>-3.1743407648801188E-2</v>
      </c>
      <c r="CH383" s="749">
        <v>-3.1974526987012281E-2</v>
      </c>
      <c r="CI383" s="749">
        <v>-3.2208519768012117E-2</v>
      </c>
      <c r="CJ383" s="749">
        <v>-3.2445269500876811E-2</v>
      </c>
      <c r="CK383" s="749">
        <v>-3.2684665907531794E-2</v>
      </c>
      <c r="CL383" s="749">
        <v>-3.2926604514011637E-2</v>
      </c>
      <c r="CM383" s="749">
        <v>-3.317098627356993E-2</v>
      </c>
      <c r="CN383" s="749">
        <v>-3.341771721878057E-2</v>
      </c>
      <c r="CO383" s="749">
        <v>-3.3666708140061827E-2</v>
      </c>
      <c r="CP383" s="749">
        <v>-3.3917874288311056E-2</v>
      </c>
      <c r="CQ383" s="749">
        <v>-3.3637561277663861E-2</v>
      </c>
      <c r="CR383" s="749">
        <v>-3.3361843562273161E-2</v>
      </c>
      <c r="CS383" s="749">
        <v>-3.3090609061766876E-2</v>
      </c>
      <c r="CT383" s="749">
        <v>-3.2823749311268753E-2</v>
      </c>
      <c r="CU383" s="749">
        <v>-3.2561159316778603E-2</v>
      </c>
      <c r="CV383" s="749">
        <v>-3.2302737417439095E-2</v>
      </c>
      <c r="CW383" s="749">
        <v>-3.2048385154309647E-2</v>
      </c>
      <c r="CX383" s="749">
        <v>-3.1798007145291601E-2</v>
      </c>
      <c r="CY383" s="749">
        <v>-3.1551510965870735E-2</v>
      </c>
      <c r="CZ383" s="749">
        <v>-3.1308807035364039E-2</v>
      </c>
      <c r="DA383" s="749">
        <v>-3.1069808508376526E-2</v>
      </c>
      <c r="DC383" s="12">
        <f>SUM(V383:AG383)</f>
        <v>-0.112055407</v>
      </c>
      <c r="DD383" s="12">
        <f t="shared" si="398"/>
        <v>-0.18733569818663237</v>
      </c>
      <c r="DE383" s="702">
        <f t="shared" si="399"/>
        <v>-0.17670628859814311</v>
      </c>
      <c r="DF383" s="12">
        <f t="shared" si="409"/>
        <v>-0.25702090481168444</v>
      </c>
      <c r="DG383" s="12">
        <f t="shared" si="404"/>
        <v>-0.33639073673617303</v>
      </c>
      <c r="DH383" s="12">
        <f t="shared" si="400"/>
        <v>-0.38811253787575928</v>
      </c>
      <c r="DI383" s="12">
        <f t="shared" si="401"/>
        <v>-0.389472053044714</v>
      </c>
    </row>
    <row r="384" spans="2:113" s="702" customFormat="1" ht="15" outlineLevel="1">
      <c r="B384" s="126"/>
      <c r="F384" s="718" t="s">
        <v>152</v>
      </c>
      <c r="G384" s="126"/>
      <c r="H384" s="609"/>
      <c r="I384" s="609" t="s">
        <v>736</v>
      </c>
      <c r="J384" s="725"/>
      <c r="K384" s="725"/>
      <c r="L384" s="725"/>
      <c r="M384" s="725"/>
      <c r="O384" s="710"/>
      <c r="P384" s="710"/>
      <c r="Q384" s="710"/>
      <c r="R384" s="710"/>
      <c r="S384" s="710"/>
      <c r="T384" s="710"/>
      <c r="U384" s="710"/>
      <c r="V384" s="713"/>
      <c r="W384" s="713"/>
      <c r="X384" s="713"/>
      <c r="Y384" s="713"/>
      <c r="Z384" s="713"/>
      <c r="AA384" s="713"/>
      <c r="AB384" s="721"/>
      <c r="AC384" s="721"/>
      <c r="AD384" s="721"/>
      <c r="AE384" s="721"/>
      <c r="AF384" s="721"/>
      <c r="AG384" s="721"/>
      <c r="AH384" s="957"/>
      <c r="AI384" s="957"/>
      <c r="AJ384" s="957"/>
      <c r="AK384" s="957"/>
      <c r="AL384" s="957"/>
      <c r="AM384" s="957"/>
      <c r="AN384" s="748"/>
      <c r="AO384" s="959"/>
      <c r="AP384" s="748"/>
      <c r="AQ384" s="749"/>
      <c r="AR384" s="749"/>
      <c r="AS384" s="749"/>
      <c r="AT384" s="772">
        <v>-5.7000000000000009E-2</v>
      </c>
      <c r="AU384" s="772">
        <v>-5.7000000000000009E-2</v>
      </c>
      <c r="AV384" s="772">
        <v>-5.7000000000000009E-2</v>
      </c>
      <c r="AW384" s="772">
        <v>-5.7000000000000009E-2</v>
      </c>
      <c r="AX384" s="772">
        <v>-5.7000000000000009E-2</v>
      </c>
      <c r="AY384" s="772">
        <v>-5.7000000000000009E-2</v>
      </c>
      <c r="AZ384" s="772">
        <v>-1.7000000000000001E-2</v>
      </c>
      <c r="BA384" s="772">
        <v>-1.7000000000000001E-2</v>
      </c>
      <c r="BB384" s="772">
        <v>-1.7000000000000001E-2</v>
      </c>
      <c r="BC384" s="772">
        <v>-1.7000000000000001E-2</v>
      </c>
      <c r="BD384" s="772">
        <v>-1.7000000000000001E-2</v>
      </c>
      <c r="BE384" s="772">
        <v>-1.7000000000000001E-2</v>
      </c>
      <c r="BF384" s="751">
        <v>-1.7000000000000001E-2</v>
      </c>
      <c r="BG384" s="751">
        <v>-1.7000000000000001E-2</v>
      </c>
      <c r="BH384" s="751">
        <v>-1.7000000000000001E-2</v>
      </c>
      <c r="BI384" s="751">
        <v>-1.7000000000000001E-2</v>
      </c>
      <c r="BJ384" s="751">
        <v>-1.7000000000000001E-2</v>
      </c>
      <c r="BK384" s="751">
        <v>-1.7000000000000001E-2</v>
      </c>
      <c r="BL384" s="751">
        <v>-1.7000000000000001E-2</v>
      </c>
      <c r="BM384" s="751">
        <v>-1.7000000000000001E-2</v>
      </c>
      <c r="BN384" s="751">
        <v>-1.7000000000000001E-2</v>
      </c>
      <c r="BO384" s="751">
        <v>-1.7000000000000001E-2</v>
      </c>
      <c r="BP384" s="751">
        <v>-1.7000000000000001E-2</v>
      </c>
      <c r="BQ384" s="751">
        <v>-1.7000000000000001E-2</v>
      </c>
      <c r="BR384" s="751">
        <v>-1.7000000000000001E-2</v>
      </c>
      <c r="BS384" s="751">
        <v>-1.7000000000000001E-2</v>
      </c>
      <c r="BT384" s="751">
        <v>-1.7000000000000001E-2</v>
      </c>
      <c r="BU384" s="751">
        <v>-1.7000000000000001E-2</v>
      </c>
      <c r="BV384" s="751">
        <v>-1.7000000000000001E-2</v>
      </c>
      <c r="BW384" s="751">
        <v>-1.7000000000000001E-2</v>
      </c>
      <c r="BX384" s="751">
        <v>-1.7000000000000001E-2</v>
      </c>
      <c r="BY384" s="751">
        <v>-1.7000000000000001E-2</v>
      </c>
      <c r="BZ384" s="751">
        <v>-1.7000000000000001E-2</v>
      </c>
      <c r="CA384" s="751">
        <v>-1.7000000000000001E-2</v>
      </c>
      <c r="CB384" s="751">
        <v>-1.7000000000000001E-2</v>
      </c>
      <c r="CC384" s="751">
        <v>-1.7000000000000001E-2</v>
      </c>
      <c r="CD384" s="751">
        <v>-1.7000000000000001E-2</v>
      </c>
      <c r="CE384" s="751">
        <v>-1.7000000000000001E-2</v>
      </c>
      <c r="CF384" s="751">
        <v>-1.7000000000000001E-2</v>
      </c>
      <c r="CG384" s="751">
        <v>-1.7000000000000001E-2</v>
      </c>
      <c r="CH384" s="751">
        <v>-1.7000000000000001E-2</v>
      </c>
      <c r="CI384" s="751">
        <v>-1.7000000000000001E-2</v>
      </c>
      <c r="CJ384" s="751">
        <v>-1.7000000000000001E-2</v>
      </c>
      <c r="CK384" s="751">
        <v>-1.7000000000000001E-2</v>
      </c>
      <c r="CL384" s="751">
        <v>-1.7000000000000001E-2</v>
      </c>
      <c r="CM384" s="751">
        <v>-1.7000000000000001E-2</v>
      </c>
      <c r="CN384" s="751">
        <v>-1.7000000000000001E-2</v>
      </c>
      <c r="CO384" s="751">
        <v>-1.7000000000000001E-2</v>
      </c>
      <c r="CP384" s="751">
        <v>-1.7000000000000001E-2</v>
      </c>
      <c r="CQ384" s="751">
        <v>-1.7000000000000001E-2</v>
      </c>
      <c r="CR384" s="751">
        <v>-1.7000000000000001E-2</v>
      </c>
      <c r="CS384" s="751">
        <v>-1.7000000000000001E-2</v>
      </c>
      <c r="CT384" s="751">
        <v>-1.7000000000000001E-2</v>
      </c>
      <c r="CU384" s="751">
        <v>-1.7000000000000001E-2</v>
      </c>
      <c r="CV384" s="751">
        <v>-1.7000000000000001E-2</v>
      </c>
      <c r="CW384" s="751">
        <v>-1.7000000000000001E-2</v>
      </c>
      <c r="CX384" s="751">
        <v>-1.7000000000000001E-2</v>
      </c>
      <c r="CY384" s="751">
        <v>-1.7000000000000001E-2</v>
      </c>
      <c r="CZ384" s="751">
        <v>-1.7000000000000001E-2</v>
      </c>
      <c r="DA384" s="751">
        <v>-1.7000000000000001E-2</v>
      </c>
      <c r="DC384" s="12">
        <f>SUM(V384:AG384)</f>
        <v>0</v>
      </c>
      <c r="DD384" s="12">
        <f t="shared" si="398"/>
        <v>0</v>
      </c>
      <c r="DE384" s="702">
        <f t="shared" si="399"/>
        <v>-0.44400000000000012</v>
      </c>
      <c r="DF384" s="12">
        <f t="shared" si="409"/>
        <v>-0.20400000000000007</v>
      </c>
      <c r="DG384" s="12">
        <f>SUM(BR384:CC384)</f>
        <v>-0.20400000000000007</v>
      </c>
      <c r="DH384" s="12">
        <f>SUM(CD384:CO384)</f>
        <v>-0.20400000000000007</v>
      </c>
      <c r="DI384" s="12">
        <f t="shared" si="401"/>
        <v>-0.20400000000000007</v>
      </c>
    </row>
    <row r="385" spans="2:113" s="702" customFormat="1" ht="15" outlineLevel="1">
      <c r="B385" s="126"/>
      <c r="F385" s="126" t="s">
        <v>144</v>
      </c>
      <c r="G385" s="718"/>
      <c r="H385" s="727"/>
      <c r="I385" s="609" t="s">
        <v>736</v>
      </c>
      <c r="J385" s="725"/>
      <c r="K385" s="725"/>
      <c r="L385" s="725"/>
      <c r="M385" s="725"/>
      <c r="O385" s="710"/>
      <c r="P385" s="710"/>
      <c r="Q385" s="710"/>
      <c r="R385" s="710"/>
      <c r="S385" s="710"/>
      <c r="T385" s="710"/>
      <c r="U385" s="710"/>
      <c r="V385" s="713"/>
      <c r="W385" s="713"/>
      <c r="X385" s="713"/>
      <c r="Y385" s="713"/>
      <c r="Z385" s="713"/>
      <c r="AA385" s="713"/>
      <c r="AB385" s="721"/>
      <c r="AC385" s="721"/>
      <c r="AD385" s="721"/>
      <c r="AE385" s="721"/>
      <c r="AF385" s="721"/>
      <c r="AG385" s="721"/>
      <c r="AH385" s="957"/>
      <c r="AI385" s="957"/>
      <c r="AJ385" s="957"/>
      <c r="AK385" s="957"/>
      <c r="AL385" s="957"/>
      <c r="AM385" s="957"/>
      <c r="AN385" s="748"/>
      <c r="AO385" s="959"/>
      <c r="AP385" s="748"/>
      <c r="AQ385" s="749"/>
      <c r="AR385" s="749"/>
      <c r="AS385" s="749"/>
      <c r="AT385" s="710"/>
      <c r="AU385" s="710"/>
      <c r="AV385" s="710"/>
      <c r="AW385" s="710"/>
      <c r="AX385" s="710"/>
      <c r="AY385" s="710"/>
      <c r="AZ385" s="710"/>
      <c r="BA385" s="710"/>
      <c r="BB385" s="710"/>
      <c r="BC385" s="710"/>
      <c r="BD385" s="710"/>
      <c r="BE385" s="710"/>
      <c r="BF385" s="749"/>
      <c r="BG385" s="749"/>
      <c r="BH385" s="749"/>
      <c r="BI385" s="749"/>
      <c r="BJ385" s="749"/>
      <c r="BK385" s="749"/>
      <c r="BL385" s="749"/>
      <c r="BM385" s="749"/>
      <c r="BN385" s="749"/>
      <c r="BO385" s="749"/>
      <c r="BP385" s="749"/>
      <c r="BQ385" s="749"/>
      <c r="BR385" s="749"/>
      <c r="BS385" s="749"/>
      <c r="BT385" s="749"/>
      <c r="BU385" s="749"/>
      <c r="BV385" s="749"/>
      <c r="BW385" s="749"/>
      <c r="BX385" s="749"/>
      <c r="BY385" s="749"/>
      <c r="BZ385" s="749"/>
      <c r="CA385" s="749"/>
      <c r="CB385" s="749"/>
      <c r="CC385" s="749"/>
      <c r="CD385" s="749"/>
      <c r="CE385" s="749"/>
      <c r="CF385" s="749"/>
      <c r="CG385" s="749"/>
      <c r="CH385" s="749"/>
      <c r="CI385" s="749"/>
      <c r="CJ385" s="749"/>
      <c r="CK385" s="749"/>
      <c r="CL385" s="749"/>
      <c r="CM385" s="749"/>
      <c r="CN385" s="749"/>
      <c r="CO385" s="749"/>
      <c r="CP385" s="749"/>
      <c r="CQ385" s="749"/>
      <c r="CR385" s="749"/>
      <c r="CS385" s="749"/>
      <c r="CT385" s="749"/>
      <c r="CU385" s="749"/>
      <c r="CV385" s="749"/>
      <c r="CW385" s="749"/>
      <c r="CX385" s="749"/>
      <c r="CY385" s="749"/>
      <c r="CZ385" s="749"/>
      <c r="DA385" s="749"/>
      <c r="DC385" s="12">
        <f>SUM(V385:AG385)</f>
        <v>0</v>
      </c>
      <c r="DD385" s="12">
        <f t="shared" si="398"/>
        <v>0</v>
      </c>
      <c r="DE385" s="702">
        <f t="shared" si="399"/>
        <v>0</v>
      </c>
      <c r="DF385" s="12">
        <f t="shared" si="409"/>
        <v>0</v>
      </c>
      <c r="DG385" s="12">
        <f>SUM(BR385:CC385)</f>
        <v>0</v>
      </c>
      <c r="DH385" s="12">
        <f>SUM(CD385:CO385)</f>
        <v>0</v>
      </c>
      <c r="DI385" s="12">
        <f t="shared" si="401"/>
        <v>0</v>
      </c>
    </row>
    <row r="386" spans="2:113" s="702" customFormat="1" outlineLevel="1">
      <c r="B386" s="126"/>
      <c r="F386" s="698" t="s">
        <v>808</v>
      </c>
      <c r="I386" s="609" t="s">
        <v>736</v>
      </c>
      <c r="J386" s="725"/>
      <c r="K386" s="725"/>
      <c r="L386" s="725"/>
      <c r="M386" s="725"/>
      <c r="O386" s="710"/>
      <c r="P386" s="710"/>
      <c r="Q386" s="710"/>
      <c r="R386" s="710"/>
      <c r="S386" s="710"/>
      <c r="T386" s="710"/>
      <c r="U386" s="710"/>
      <c r="V386" s="713"/>
      <c r="W386" s="713"/>
      <c r="X386" s="713"/>
      <c r="Y386" s="713"/>
      <c r="Z386" s="713"/>
      <c r="AA386" s="713"/>
      <c r="AB386" s="713"/>
      <c r="AC386" s="713"/>
      <c r="AD386" s="713"/>
      <c r="AE386" s="713"/>
      <c r="AF386" s="713"/>
      <c r="AG386" s="713"/>
      <c r="AH386" s="713"/>
      <c r="AI386" s="713"/>
      <c r="AJ386" s="713"/>
      <c r="AK386" s="710"/>
      <c r="AL386" s="710"/>
      <c r="AM386" s="710"/>
      <c r="AN386" s="710"/>
      <c r="AO386" s="749"/>
      <c r="AP386" s="710"/>
      <c r="AQ386" s="710"/>
      <c r="AR386" s="710"/>
      <c r="AS386" s="710"/>
      <c r="AT386" s="710"/>
      <c r="AU386" s="710"/>
      <c r="AV386" s="710"/>
      <c r="AW386" s="710"/>
      <c r="AX386" s="710"/>
      <c r="AY386" s="710"/>
      <c r="AZ386" s="710"/>
      <c r="BA386" s="710"/>
      <c r="BB386" s="710"/>
      <c r="BC386" s="710"/>
      <c r="BD386" s="710"/>
      <c r="BE386" s="710"/>
      <c r="BF386" s="710"/>
      <c r="BG386" s="710"/>
      <c r="BH386" s="710"/>
      <c r="BI386" s="710"/>
      <c r="BJ386" s="710"/>
      <c r="BK386" s="710"/>
      <c r="BL386" s="710"/>
      <c r="BM386" s="710"/>
      <c r="BN386" s="710"/>
      <c r="BO386" s="710"/>
      <c r="BP386" s="710"/>
      <c r="BQ386" s="710"/>
      <c r="BR386" s="710"/>
      <c r="BS386" s="710"/>
      <c r="BT386" s="710"/>
      <c r="BU386" s="710"/>
      <c r="BV386" s="710"/>
      <c r="BW386" s="710"/>
      <c r="BX386" s="710"/>
      <c r="BY386" s="710"/>
      <c r="BZ386" s="710"/>
      <c r="CA386" s="710"/>
      <c r="CB386" s="710"/>
      <c r="CC386" s="710"/>
      <c r="CD386" s="710"/>
      <c r="CE386" s="710"/>
      <c r="CF386" s="710"/>
      <c r="CG386" s="710"/>
      <c r="CH386" s="710"/>
      <c r="CI386" s="710"/>
      <c r="CJ386" s="710"/>
      <c r="CK386" s="710"/>
      <c r="CL386" s="710"/>
      <c r="CM386" s="710"/>
      <c r="CN386" s="710"/>
      <c r="CO386" s="710"/>
      <c r="CP386" s="710"/>
      <c r="CQ386" s="710"/>
      <c r="CR386" s="710"/>
      <c r="CS386" s="710"/>
      <c r="CT386" s="710"/>
      <c r="CU386" s="710"/>
      <c r="CV386" s="710"/>
      <c r="CW386" s="710"/>
      <c r="CX386" s="710"/>
      <c r="CY386" s="710"/>
      <c r="CZ386" s="710"/>
      <c r="DA386" s="710"/>
      <c r="DC386" s="12">
        <f t="shared" si="397"/>
        <v>0</v>
      </c>
      <c r="DD386" s="12">
        <f t="shared" si="398"/>
        <v>0</v>
      </c>
      <c r="DE386" s="702">
        <f t="shared" si="399"/>
        <v>0</v>
      </c>
      <c r="DF386" s="12">
        <f t="shared" si="409"/>
        <v>0</v>
      </c>
      <c r="DG386" s="12">
        <f t="shared" si="404"/>
        <v>0</v>
      </c>
      <c r="DH386" s="12">
        <f t="shared" si="400"/>
        <v>0</v>
      </c>
      <c r="DI386" s="12">
        <f t="shared" si="401"/>
        <v>0</v>
      </c>
    </row>
    <row r="387" spans="2:113" s="702" customFormat="1" hidden="1" outlineLevel="1">
      <c r="B387" s="126"/>
      <c r="F387" s="698"/>
      <c r="G387" s="702" t="s">
        <v>841</v>
      </c>
      <c r="I387" s="609"/>
      <c r="J387" s="725"/>
      <c r="K387" s="725"/>
      <c r="L387" s="725"/>
      <c r="M387" s="725"/>
      <c r="O387" s="710"/>
      <c r="P387" s="710"/>
      <c r="Q387" s="710"/>
      <c r="R387" s="710"/>
      <c r="S387" s="710"/>
      <c r="T387" s="710"/>
      <c r="U387" s="710"/>
      <c r="V387" s="713"/>
      <c r="W387" s="713"/>
      <c r="X387" s="713"/>
      <c r="Y387" s="713"/>
      <c r="Z387" s="713"/>
      <c r="AA387" s="713"/>
      <c r="AB387" s="713"/>
      <c r="AC387" s="713"/>
      <c r="AD387" s="713"/>
      <c r="AE387" s="713"/>
      <c r="AF387" s="713"/>
      <c r="AG387" s="713"/>
      <c r="AH387" s="713"/>
      <c r="AI387" s="713"/>
      <c r="AJ387" s="713"/>
      <c r="AK387" s="710"/>
      <c r="AL387" s="710"/>
      <c r="AM387" s="710"/>
      <c r="AN387" s="710"/>
      <c r="AO387" s="710"/>
      <c r="AP387" s="710"/>
      <c r="AQ387" s="710"/>
      <c r="AR387" s="710"/>
      <c r="AS387" s="710"/>
      <c r="AT387" s="710"/>
      <c r="AU387" s="710"/>
      <c r="AV387" s="710"/>
      <c r="AW387" s="710"/>
      <c r="AX387" s="710"/>
      <c r="AY387" s="710"/>
      <c r="AZ387" s="710"/>
      <c r="BA387" s="710"/>
      <c r="BB387" s="710"/>
      <c r="BC387" s="710"/>
      <c r="BD387" s="710"/>
      <c r="BE387" s="710"/>
      <c r="BF387" s="710"/>
      <c r="BG387" s="710"/>
      <c r="BH387" s="710"/>
      <c r="BI387" s="710"/>
      <c r="BJ387" s="710"/>
      <c r="BK387" s="710"/>
      <c r="BL387" s="710"/>
      <c r="BM387" s="710"/>
      <c r="BN387" s="710"/>
      <c r="BO387" s="710"/>
      <c r="BP387" s="710"/>
      <c r="BQ387" s="710"/>
      <c r="BR387" s="710"/>
      <c r="BS387" s="710"/>
      <c r="BT387" s="710"/>
      <c r="BU387" s="710"/>
      <c r="BV387" s="710"/>
      <c r="BW387" s="710"/>
      <c r="BX387" s="710"/>
      <c r="BY387" s="710"/>
      <c r="BZ387" s="710"/>
      <c r="CA387" s="710"/>
      <c r="CB387" s="710"/>
      <c r="CC387" s="710"/>
      <c r="CD387" s="710"/>
      <c r="CE387" s="710"/>
      <c r="CF387" s="710"/>
      <c r="CG387" s="710"/>
      <c r="CH387" s="710"/>
      <c r="CI387" s="710"/>
      <c r="CJ387" s="710"/>
      <c r="CK387" s="710"/>
      <c r="CL387" s="710"/>
      <c r="CM387" s="710"/>
      <c r="CN387" s="710"/>
      <c r="CO387" s="710"/>
      <c r="CP387" s="710"/>
      <c r="CQ387" s="710"/>
      <c r="CR387" s="710"/>
      <c r="CS387" s="710"/>
      <c r="CT387" s="710"/>
      <c r="CU387" s="710"/>
      <c r="CV387" s="710"/>
      <c r="CW387" s="710"/>
      <c r="CX387" s="710"/>
      <c r="CY387" s="710"/>
      <c r="CZ387" s="710"/>
      <c r="DA387" s="710"/>
      <c r="DC387" s="12">
        <f>SUM(V387:AG387)</f>
        <v>0</v>
      </c>
      <c r="DD387" s="12">
        <f t="shared" si="398"/>
        <v>0</v>
      </c>
      <c r="DE387" s="12">
        <f t="shared" si="399"/>
        <v>0</v>
      </c>
      <c r="DF387" s="12">
        <f t="shared" si="409"/>
        <v>0</v>
      </c>
      <c r="DG387" s="12">
        <f t="shared" si="404"/>
        <v>0</v>
      </c>
      <c r="DH387" s="12">
        <f t="shared" si="400"/>
        <v>0</v>
      </c>
      <c r="DI387" s="12">
        <f t="shared" si="401"/>
        <v>0</v>
      </c>
    </row>
    <row r="388" spans="2:113" s="702" customFormat="1" hidden="1" outlineLevel="1">
      <c r="B388" s="126"/>
      <c r="F388" s="698"/>
      <c r="G388" s="702" t="s">
        <v>841</v>
      </c>
      <c r="I388" s="609"/>
      <c r="J388" s="725"/>
      <c r="K388" s="725"/>
      <c r="L388" s="725"/>
      <c r="M388" s="725"/>
      <c r="O388" s="710"/>
      <c r="P388" s="710"/>
      <c r="Q388" s="710"/>
      <c r="R388" s="710"/>
      <c r="S388" s="710"/>
      <c r="T388" s="710"/>
      <c r="U388" s="710"/>
      <c r="V388" s="713"/>
      <c r="W388" s="713"/>
      <c r="X388" s="713"/>
      <c r="Y388" s="713"/>
      <c r="Z388" s="713"/>
      <c r="AA388" s="713"/>
      <c r="AB388" s="713"/>
      <c r="AC388" s="713"/>
      <c r="AD388" s="713"/>
      <c r="AE388" s="713"/>
      <c r="AF388" s="713"/>
      <c r="AG388" s="713"/>
      <c r="AH388" s="713"/>
      <c r="AI388" s="713"/>
      <c r="AJ388" s="713"/>
      <c r="AK388" s="710"/>
      <c r="AL388" s="710"/>
      <c r="AM388" s="710"/>
      <c r="AN388" s="710"/>
      <c r="AO388" s="710"/>
      <c r="AP388" s="710"/>
      <c r="AQ388" s="710"/>
      <c r="AR388" s="710"/>
      <c r="AS388" s="710"/>
      <c r="AT388" s="710"/>
      <c r="AU388" s="710"/>
      <c r="AV388" s="710"/>
      <c r="AW388" s="710"/>
      <c r="AX388" s="710"/>
      <c r="AY388" s="710"/>
      <c r="AZ388" s="710"/>
      <c r="BA388" s="710"/>
      <c r="BB388" s="710"/>
      <c r="BC388" s="710"/>
      <c r="BD388" s="710"/>
      <c r="BE388" s="710"/>
      <c r="BF388" s="710"/>
      <c r="BG388" s="710"/>
      <c r="BH388" s="710"/>
      <c r="BI388" s="710"/>
      <c r="BJ388" s="710"/>
      <c r="BK388" s="710"/>
      <c r="BL388" s="710"/>
      <c r="BM388" s="710"/>
      <c r="BN388" s="710"/>
      <c r="BO388" s="710"/>
      <c r="BP388" s="710"/>
      <c r="BQ388" s="710"/>
      <c r="BR388" s="710"/>
      <c r="BS388" s="710"/>
      <c r="BT388" s="710"/>
      <c r="BU388" s="710"/>
      <c r="BV388" s="710"/>
      <c r="BW388" s="710"/>
      <c r="BX388" s="710"/>
      <c r="BY388" s="710"/>
      <c r="BZ388" s="710"/>
      <c r="CA388" s="710"/>
      <c r="CB388" s="710"/>
      <c r="CC388" s="710"/>
      <c r="CD388" s="710"/>
      <c r="CE388" s="710"/>
      <c r="CF388" s="710"/>
      <c r="CG388" s="710"/>
      <c r="CH388" s="710"/>
      <c r="CI388" s="710"/>
      <c r="CJ388" s="710"/>
      <c r="CK388" s="710"/>
      <c r="CL388" s="710"/>
      <c r="CM388" s="710"/>
      <c r="CN388" s="710"/>
      <c r="CO388" s="710"/>
      <c r="CP388" s="710"/>
      <c r="CQ388" s="710"/>
      <c r="CR388" s="710"/>
      <c r="CS388" s="710"/>
      <c r="CT388" s="710"/>
      <c r="CU388" s="710"/>
      <c r="CV388" s="710"/>
      <c r="CW388" s="710"/>
      <c r="CX388" s="710"/>
      <c r="CY388" s="710"/>
      <c r="CZ388" s="710"/>
      <c r="DA388" s="710"/>
      <c r="DC388" s="12">
        <f>SUM(V388:AG388)</f>
        <v>0</v>
      </c>
      <c r="DD388" s="12">
        <f t="shared" si="398"/>
        <v>0</v>
      </c>
      <c r="DE388" s="12">
        <f t="shared" si="399"/>
        <v>0</v>
      </c>
      <c r="DF388" s="12">
        <f t="shared" si="409"/>
        <v>0</v>
      </c>
      <c r="DG388" s="12">
        <f t="shared" si="404"/>
        <v>0</v>
      </c>
      <c r="DH388" s="12">
        <f t="shared" si="400"/>
        <v>0</v>
      </c>
      <c r="DI388" s="12">
        <f t="shared" si="401"/>
        <v>0</v>
      </c>
    </row>
    <row r="389" spans="2:113" outlineLevel="1">
      <c r="E389" s="698" t="s">
        <v>820</v>
      </c>
      <c r="I389" s="609" t="s">
        <v>736</v>
      </c>
      <c r="O389" s="696"/>
      <c r="P389" s="696"/>
      <c r="Q389" s="696"/>
      <c r="R389" s="696"/>
      <c r="S389" s="696"/>
      <c r="T389" s="696"/>
      <c r="U389" s="696"/>
      <c r="V389" s="855">
        <f t="shared" ref="V389:CG389" si="415">V360+V376+V377</f>
        <v>3.44797042913411E-3</v>
      </c>
      <c r="W389" s="855">
        <f t="shared" si="415"/>
        <v>-6.2221611806068363E-3</v>
      </c>
      <c r="X389" s="855">
        <f t="shared" si="415"/>
        <v>-3.1235288258834787E-2</v>
      </c>
      <c r="Y389" s="855">
        <f t="shared" si="415"/>
        <v>8.0337674772316389E-2</v>
      </c>
      <c r="Z389" s="855">
        <f t="shared" si="415"/>
        <v>0.15424872701340103</v>
      </c>
      <c r="AA389" s="855">
        <f t="shared" si="415"/>
        <v>0.17593318099364405</v>
      </c>
      <c r="AB389" s="855">
        <f t="shared" si="415"/>
        <v>0.40081879044636226</v>
      </c>
      <c r="AC389" s="855">
        <f t="shared" si="415"/>
        <v>0.3087166521560592</v>
      </c>
      <c r="AD389" s="855">
        <f t="shared" si="415"/>
        <v>0.55199128960421406</v>
      </c>
      <c r="AE389" s="855">
        <f t="shared" si="415"/>
        <v>0.6006036532948591</v>
      </c>
      <c r="AF389" s="855">
        <f t="shared" si="415"/>
        <v>0.88270961709932738</v>
      </c>
      <c r="AG389" s="855">
        <f t="shared" si="415"/>
        <v>1.422962684001752</v>
      </c>
      <c r="AH389" s="855">
        <f t="shared" si="415"/>
        <v>1.0371211501776643</v>
      </c>
      <c r="AI389" s="855">
        <f t="shared" si="415"/>
        <v>1.3011620558710089</v>
      </c>
      <c r="AJ389" s="855">
        <f t="shared" si="415"/>
        <v>1.7773264513208342</v>
      </c>
      <c r="AK389" s="855">
        <f t="shared" si="415"/>
        <v>1.7083866547838713</v>
      </c>
      <c r="AL389" s="855">
        <f t="shared" si="415"/>
        <v>1.6451703548587915</v>
      </c>
      <c r="AM389" s="855">
        <f t="shared" si="415"/>
        <v>1.4884711045002712</v>
      </c>
      <c r="AN389" s="916">
        <f t="shared" si="415"/>
        <v>1.1572041847592638</v>
      </c>
      <c r="AO389" s="916">
        <f t="shared" si="415"/>
        <v>1.6825003043648139</v>
      </c>
      <c r="AP389" s="916">
        <f t="shared" si="415"/>
        <v>2.2568676934239216</v>
      </c>
      <c r="AQ389" s="916">
        <f t="shared" si="415"/>
        <v>2.546173442169879</v>
      </c>
      <c r="AR389" s="916">
        <f t="shared" si="415"/>
        <v>3.2148897746763083</v>
      </c>
      <c r="AS389" s="916">
        <f t="shared" si="415"/>
        <v>3.8284043120069624</v>
      </c>
      <c r="AT389" s="916">
        <f t="shared" si="415"/>
        <v>-3.0460511949325006</v>
      </c>
      <c r="AU389" s="916">
        <f t="shared" si="415"/>
        <v>4.1874723712859172</v>
      </c>
      <c r="AV389" s="916">
        <f t="shared" si="415"/>
        <v>3.4759938978484679</v>
      </c>
      <c r="AW389" s="916">
        <f t="shared" si="415"/>
        <v>2.7047489228117825</v>
      </c>
      <c r="AX389" s="916">
        <f t="shared" si="415"/>
        <v>3.4003554532828817</v>
      </c>
      <c r="AY389" s="916">
        <f t="shared" si="415"/>
        <v>3.7250303221926608</v>
      </c>
      <c r="AZ389" s="916">
        <f t="shared" si="415"/>
        <v>3.1794405092215161</v>
      </c>
      <c r="BA389" s="916">
        <f t="shared" si="415"/>
        <v>3.2863581535420892</v>
      </c>
      <c r="BB389" s="916">
        <f t="shared" si="415"/>
        <v>3.2292171405206762</v>
      </c>
      <c r="BC389" s="916">
        <f t="shared" si="415"/>
        <v>3.3492433034879134</v>
      </c>
      <c r="BD389" s="916">
        <f t="shared" si="415"/>
        <v>3.6826710333278987</v>
      </c>
      <c r="BE389" s="916">
        <f t="shared" si="415"/>
        <v>4.1298752339741638</v>
      </c>
      <c r="BF389" s="916">
        <f t="shared" si="415"/>
        <v>4.6588272654534322</v>
      </c>
      <c r="BG389" s="916">
        <f t="shared" si="415"/>
        <v>4.8323865538552431</v>
      </c>
      <c r="BH389" s="916">
        <f t="shared" si="415"/>
        <v>5.0272394335588739</v>
      </c>
      <c r="BI389" s="916">
        <f t="shared" si="415"/>
        <v>5.5393594420892551</v>
      </c>
      <c r="BJ389" s="916">
        <f t="shared" si="415"/>
        <v>5.7608832229192117</v>
      </c>
      <c r="BK389" s="916">
        <f t="shared" si="415"/>
        <v>6.0023893623281683</v>
      </c>
      <c r="BL389" s="916">
        <f t="shared" si="415"/>
        <v>6.8528383486990672</v>
      </c>
      <c r="BM389" s="916">
        <f t="shared" si="415"/>
        <v>8.0590265918866937</v>
      </c>
      <c r="BN389" s="916">
        <f t="shared" si="415"/>
        <v>8.321448153781521</v>
      </c>
      <c r="BO389" s="916">
        <f t="shared" si="415"/>
        <v>8.5954974590450153</v>
      </c>
      <c r="BP389" s="916">
        <f t="shared" si="415"/>
        <v>8.8772243557260371</v>
      </c>
      <c r="BQ389" s="916">
        <f t="shared" si="415"/>
        <v>9.1719929996349876</v>
      </c>
      <c r="BR389" s="916">
        <f t="shared" si="415"/>
        <v>9.4614798969804355</v>
      </c>
      <c r="BS389" s="916">
        <f t="shared" si="415"/>
        <v>9.7150469157539092</v>
      </c>
      <c r="BT389" s="916">
        <f t="shared" si="415"/>
        <v>9.9466346558161778</v>
      </c>
      <c r="BU389" s="916">
        <f t="shared" si="415"/>
        <v>10.162441030912733</v>
      </c>
      <c r="BV389" s="916">
        <f t="shared" si="415"/>
        <v>10.349768050583023</v>
      </c>
      <c r="BW389" s="916">
        <f t="shared" si="415"/>
        <v>10.508869288941618</v>
      </c>
      <c r="BX389" s="916">
        <f t="shared" si="415"/>
        <v>10.639928187856441</v>
      </c>
      <c r="BY389" s="916">
        <f t="shared" si="415"/>
        <v>10.752374976994687</v>
      </c>
      <c r="BZ389" s="916">
        <f t="shared" si="415"/>
        <v>10.860538252024423</v>
      </c>
      <c r="CA389" s="916">
        <f t="shared" si="415"/>
        <v>10.963666641528974</v>
      </c>
      <c r="CB389" s="916">
        <f t="shared" si="415"/>
        <v>11.061294892560808</v>
      </c>
      <c r="CC389" s="916">
        <f t="shared" si="415"/>
        <v>11.153094085580246</v>
      </c>
      <c r="CD389" s="916">
        <f t="shared" si="415"/>
        <v>11.245800866480222</v>
      </c>
      <c r="CE389" s="916">
        <f t="shared" si="415"/>
        <v>11.366446241581642</v>
      </c>
      <c r="CF389" s="916">
        <f t="shared" si="415"/>
        <v>11.510757161734464</v>
      </c>
      <c r="CG389" s="916">
        <f t="shared" si="415"/>
        <v>11.678180006125954</v>
      </c>
      <c r="CH389" s="916">
        <f t="shared" ref="CH389:DA389" si="416">CH360+CH376+CH377</f>
        <v>11.864790612493199</v>
      </c>
      <c r="CI389" s="916">
        <f t="shared" si="416"/>
        <v>12.070399770565068</v>
      </c>
      <c r="CJ389" s="916">
        <f t="shared" si="416"/>
        <v>12.294749062580408</v>
      </c>
      <c r="CK389" s="916">
        <f t="shared" si="416"/>
        <v>12.530450852079378</v>
      </c>
      <c r="CL389" s="916">
        <f t="shared" si="416"/>
        <v>12.76624895865603</v>
      </c>
      <c r="CM389" s="916">
        <f t="shared" si="416"/>
        <v>13.002668498615407</v>
      </c>
      <c r="CN389" s="916">
        <f t="shared" si="416"/>
        <v>13.240149686642065</v>
      </c>
      <c r="CO389" s="916">
        <f t="shared" si="416"/>
        <v>13.479101054197596</v>
      </c>
      <c r="CP389" s="916">
        <f t="shared" si="416"/>
        <v>13.424456977402441</v>
      </c>
      <c r="CQ389" s="916">
        <f t="shared" si="416"/>
        <v>12.78733351070062</v>
      </c>
      <c r="CR389" s="916">
        <f t="shared" si="416"/>
        <v>12.15633300443478</v>
      </c>
      <c r="CS389" s="916">
        <f t="shared" si="416"/>
        <v>11.538614867590438</v>
      </c>
      <c r="CT389" s="916">
        <f t="shared" si="416"/>
        <v>11.037757842452372</v>
      </c>
      <c r="CU389" s="916">
        <f t="shared" si="416"/>
        <v>10.546034397395822</v>
      </c>
      <c r="CV389" s="916">
        <f t="shared" si="416"/>
        <v>10.065073821895695</v>
      </c>
      <c r="CW389" s="916">
        <f t="shared" si="416"/>
        <v>9.798179138622837</v>
      </c>
      <c r="CX389" s="916">
        <f t="shared" si="416"/>
        <v>9.8542665381165069</v>
      </c>
      <c r="CY389" s="916">
        <f t="shared" si="416"/>
        <v>9.8951677899861075</v>
      </c>
      <c r="CZ389" s="916">
        <f t="shared" si="416"/>
        <v>9.9231872596996258</v>
      </c>
      <c r="DA389" s="916">
        <f t="shared" si="416"/>
        <v>9.9391954242714444</v>
      </c>
      <c r="DC389" s="14">
        <f t="shared" si="397"/>
        <v>4.5443127903716283</v>
      </c>
      <c r="DD389" s="14">
        <f t="shared" si="398"/>
        <v>23.643677482913592</v>
      </c>
      <c r="DE389" s="708">
        <f t="shared" si="399"/>
        <v>35.304355146563466</v>
      </c>
      <c r="DF389" s="14">
        <f t="shared" si="409"/>
        <v>81.699113188977492</v>
      </c>
      <c r="DG389" s="14">
        <f t="shared" si="404"/>
        <v>125.57513687553347</v>
      </c>
      <c r="DH389" s="14">
        <f t="shared" si="400"/>
        <v>147.04974277175143</v>
      </c>
      <c r="DI389" s="14">
        <f t="shared" si="401"/>
        <v>130.96560057256869</v>
      </c>
    </row>
    <row r="390" spans="2:113" outlineLevel="1">
      <c r="E390" s="229"/>
      <c r="F390" s="230" t="s">
        <v>423</v>
      </c>
      <c r="I390" s="609" t="s">
        <v>736</v>
      </c>
      <c r="O390" s="696"/>
      <c r="P390" s="696"/>
      <c r="Q390" s="696"/>
      <c r="R390" s="696"/>
      <c r="S390" s="696"/>
      <c r="T390" s="696"/>
      <c r="U390" s="696"/>
      <c r="V390" s="739">
        <v>0</v>
      </c>
      <c r="W390" s="739">
        <v>0</v>
      </c>
      <c r="X390" s="739">
        <v>0</v>
      </c>
      <c r="Y390" s="739">
        <v>0</v>
      </c>
      <c r="Z390" s="739">
        <v>0</v>
      </c>
      <c r="AA390" s="739">
        <v>0</v>
      </c>
      <c r="AB390" s="739">
        <v>0</v>
      </c>
      <c r="AC390" s="739">
        <v>0.18497353641299075</v>
      </c>
      <c r="AD390" s="739">
        <v>0.37214824294121018</v>
      </c>
      <c r="AE390" s="739">
        <v>0.37214824294121018</v>
      </c>
      <c r="AF390" s="739">
        <v>0.37214824294121018</v>
      </c>
      <c r="AG390" s="739">
        <v>0.37214824294121018</v>
      </c>
      <c r="AH390" s="739">
        <v>1.147849733429924</v>
      </c>
      <c r="AI390" s="739">
        <v>2.068220067726628</v>
      </c>
      <c r="AJ390" s="739">
        <v>2.068220067726628</v>
      </c>
      <c r="AK390" s="739">
        <v>4.3398290520926155</v>
      </c>
      <c r="AL390" s="739">
        <v>6.4991809745875901</v>
      </c>
      <c r="AM390" s="739">
        <v>8.6894329739597786</v>
      </c>
      <c r="AN390" s="739">
        <v>11.025363113511144</v>
      </c>
      <c r="AO390" s="739">
        <v>13.467194763293087</v>
      </c>
      <c r="AP390" s="739">
        <v>15.667114420979347</v>
      </c>
      <c r="AQ390" s="739">
        <v>17.576797977369228</v>
      </c>
      <c r="AR390" s="739">
        <v>19.095453777956752</v>
      </c>
      <c r="AS390" s="739">
        <v>22.573473012225939</v>
      </c>
      <c r="AT390" s="739">
        <v>13.118935999672273</v>
      </c>
      <c r="AU390" s="739">
        <v>14.590070899465454</v>
      </c>
      <c r="AV390" s="739">
        <v>17.449712580857064</v>
      </c>
      <c r="AW390" s="739">
        <v>18.662172303154225</v>
      </c>
      <c r="AX390" s="739">
        <v>20.483363749049946</v>
      </c>
      <c r="AY390" s="739">
        <v>23.520541962081978</v>
      </c>
      <c r="AZ390" s="739">
        <v>25.37981046807208</v>
      </c>
      <c r="BA390" s="739">
        <v>26.60142269777954</v>
      </c>
      <c r="BB390" s="739">
        <v>27.578129364673533</v>
      </c>
      <c r="BC390" s="739">
        <v>28.570250936238779</v>
      </c>
      <c r="BD390" s="739">
        <v>29.598237169570911</v>
      </c>
      <c r="BE390" s="739">
        <v>31.290246706157113</v>
      </c>
      <c r="BF390" s="739">
        <v>33.008938607679568</v>
      </c>
      <c r="BG390" s="739">
        <v>34.783658507481455</v>
      </c>
      <c r="BH390" s="739">
        <v>36.587960775755846</v>
      </c>
      <c r="BI390" s="739">
        <v>36.659703535632545</v>
      </c>
      <c r="BJ390" s="739">
        <v>36.75115346250918</v>
      </c>
      <c r="BK390" s="739">
        <v>36.845266449195933</v>
      </c>
      <c r="BL390" s="739">
        <v>36.933031729894729</v>
      </c>
      <c r="BM390" s="739">
        <v>38.732354103165576</v>
      </c>
      <c r="BN390" s="739">
        <v>40.579831674526275</v>
      </c>
      <c r="BO390" s="739">
        <v>42.484430966615292</v>
      </c>
      <c r="BP390" s="739">
        <v>44.44778208367228</v>
      </c>
      <c r="BQ390" s="739">
        <v>46.439331384422289</v>
      </c>
      <c r="BR390" s="739">
        <v>48.460646228416664</v>
      </c>
      <c r="BS390" s="739">
        <v>50.512494481557603</v>
      </c>
      <c r="BT390" s="739">
        <v>52.595146074074989</v>
      </c>
      <c r="BU390" s="739">
        <v>54.739894756021748</v>
      </c>
      <c r="BV390" s="739">
        <v>56.920040633858555</v>
      </c>
      <c r="BW390" s="739">
        <v>59.10981346981653</v>
      </c>
      <c r="BX390" s="739">
        <v>61.283692006112794</v>
      </c>
      <c r="BY390" s="739">
        <v>63.415531792985334</v>
      </c>
      <c r="BZ390" s="739">
        <v>65.505479296248041</v>
      </c>
      <c r="CA390" s="739">
        <v>67.553520978138849</v>
      </c>
      <c r="CB390" s="739">
        <v>69.559599161200566</v>
      </c>
      <c r="CC390" s="739">
        <v>71.524193837494892</v>
      </c>
      <c r="CD390" s="739">
        <v>73.447275947622202</v>
      </c>
      <c r="CE390" s="739">
        <v>75.328349144934606</v>
      </c>
      <c r="CF390" s="739">
        <v>77.166468574885158</v>
      </c>
      <c r="CG390" s="739">
        <v>78.960238347642473</v>
      </c>
      <c r="CH390" s="739">
        <v>80.729428213951238</v>
      </c>
      <c r="CI390" s="739">
        <v>82.493244963726994</v>
      </c>
      <c r="CJ390" s="739">
        <v>84.270658959199181</v>
      </c>
      <c r="CK390" s="739">
        <v>86.080636921467701</v>
      </c>
      <c r="CL390" s="739">
        <v>87.921639831238707</v>
      </c>
      <c r="CM390" s="739">
        <v>89.792286358282638</v>
      </c>
      <c r="CN390" s="739">
        <v>91.69124180067854</v>
      </c>
      <c r="CO390" s="739">
        <v>93.617192960289771</v>
      </c>
      <c r="CP390" s="739">
        <v>95.569218550709053</v>
      </c>
      <c r="CQ390" s="739">
        <v>97.546761824331043</v>
      </c>
      <c r="CR390" s="739">
        <v>99.54961550661551</v>
      </c>
      <c r="CS390" s="739">
        <v>101.57791518822758</v>
      </c>
      <c r="CT390" s="739">
        <v>103.02834491634351</v>
      </c>
      <c r="CU390" s="739">
        <v>103.92068263830531</v>
      </c>
      <c r="CV390" s="739">
        <v>104.26516490230816</v>
      </c>
      <c r="CW390" s="739">
        <v>104.06552426451312</v>
      </c>
      <c r="CX390" s="739">
        <v>103.91053858375273</v>
      </c>
      <c r="CY390" s="739">
        <v>103.79586160465188</v>
      </c>
      <c r="CZ390" s="739">
        <v>103.72010200712405</v>
      </c>
      <c r="DA390" s="739">
        <v>103.68236456772132</v>
      </c>
      <c r="DC390" s="11">
        <f t="shared" ref="DC390:DC395" si="417">AG390</f>
        <v>0.37214824294121018</v>
      </c>
      <c r="DD390" s="11">
        <f t="shared" ref="DD390:DD395" si="418">AS390</f>
        <v>22.573473012225939</v>
      </c>
      <c r="DE390" s="873">
        <f t="shared" ref="DE390:DE395" si="419">BE390</f>
        <v>31.290246706157113</v>
      </c>
      <c r="DF390" s="11">
        <f t="shared" ref="DF390:DF395" si="420">BQ390</f>
        <v>46.439331384422289</v>
      </c>
      <c r="DG390" s="11">
        <f t="shared" ref="DG390:DG395" si="421">CC390</f>
        <v>71.524193837494892</v>
      </c>
      <c r="DH390" s="11">
        <f t="shared" ref="DH390:DH395" si="422">CO390</f>
        <v>93.617192960289771</v>
      </c>
      <c r="DI390" s="11">
        <f t="shared" ref="DI390:DI395" si="423">DA390</f>
        <v>103.68236456772132</v>
      </c>
    </row>
    <row r="391" spans="2:113" outlineLevel="1">
      <c r="E391" s="229"/>
      <c r="F391" s="230" t="s">
        <v>810</v>
      </c>
      <c r="I391" s="609" t="s">
        <v>736</v>
      </c>
      <c r="O391" s="696"/>
      <c r="P391" s="696"/>
      <c r="Q391" s="696"/>
      <c r="R391" s="696"/>
      <c r="S391" s="696"/>
      <c r="T391" s="696"/>
      <c r="U391" s="696"/>
      <c r="V391" s="739">
        <v>0</v>
      </c>
      <c r="W391" s="739">
        <v>0</v>
      </c>
      <c r="X391" s="739">
        <v>0</v>
      </c>
      <c r="Y391" s="739">
        <v>4.2840620911299997E-2</v>
      </c>
      <c r="Z391" s="739">
        <v>0.25246705221290633</v>
      </c>
      <c r="AA391" s="739">
        <v>0.399617278491114</v>
      </c>
      <c r="AB391" s="739">
        <v>0.85202278457352942</v>
      </c>
      <c r="AC391" s="739">
        <v>0.78319205901890132</v>
      </c>
      <c r="AD391" s="739">
        <v>1.0703467349148132</v>
      </c>
      <c r="AE391" s="739">
        <v>1.836585943814218</v>
      </c>
      <c r="AF391" s="739">
        <v>2.0700082940753539</v>
      </c>
      <c r="AG391" s="739">
        <v>3.5599423283861613</v>
      </c>
      <c r="AH391" s="739">
        <v>4.4207771253745962</v>
      </c>
      <c r="AI391" s="739">
        <v>6.8468136334106164</v>
      </c>
      <c r="AJ391" s="739">
        <v>9.9331958353372087</v>
      </c>
      <c r="AK391" s="739">
        <v>12.537575462195825</v>
      </c>
      <c r="AL391" s="739">
        <v>15.147848652265207</v>
      </c>
      <c r="AM391" s="739">
        <v>17.271462033089385</v>
      </c>
      <c r="AN391" s="739">
        <v>19.556527576456769</v>
      </c>
      <c r="AO391" s="739">
        <v>22.157623255803767</v>
      </c>
      <c r="AP391" s="739">
        <v>26.030496893993128</v>
      </c>
      <c r="AQ391" s="739">
        <v>30.765931355139685</v>
      </c>
      <c r="AR391" s="739">
        <v>33.349939643526156</v>
      </c>
      <c r="AS391" s="739">
        <v>38.140500146902298</v>
      </c>
      <c r="AT391" s="739">
        <v>30.068953479234409</v>
      </c>
      <c r="AU391" s="739">
        <v>34.572533140042559</v>
      </c>
      <c r="AV391" s="739">
        <v>39.12784766483378</v>
      </c>
      <c r="AW391" s="739">
        <v>42.029580783512877</v>
      </c>
      <c r="AX391" s="739">
        <v>44.375649306515506</v>
      </c>
      <c r="AY391" s="739">
        <v>48.154099655329098</v>
      </c>
      <c r="AZ391" s="739">
        <v>50.778793885779152</v>
      </c>
      <c r="BA391" s="739">
        <v>53.474129061431611</v>
      </c>
      <c r="BB391" s="739">
        <v>55.94280751548856</v>
      </c>
      <c r="BC391" s="739">
        <v>58.484267734146862</v>
      </c>
      <c r="BD391" s="739">
        <v>61.088901355574848</v>
      </c>
      <c r="BE391" s="739">
        <v>64.384818486688928</v>
      </c>
      <c r="BF391" s="739">
        <v>65.362371439777249</v>
      </c>
      <c r="BG391" s="739">
        <v>66.837540008648659</v>
      </c>
      <c r="BH391" s="739">
        <v>68.396845525112539</v>
      </c>
      <c r="BI391" s="739">
        <v>70.031519509000915</v>
      </c>
      <c r="BJ391" s="739">
        <v>71.726218239428732</v>
      </c>
      <c r="BK391" s="739">
        <v>73.473197862260903</v>
      </c>
      <c r="BL391" s="739">
        <v>75.264918937289679</v>
      </c>
      <c r="BM391" s="739">
        <v>78.820726725603947</v>
      </c>
      <c r="BN391" s="739">
        <v>82.435337671997829</v>
      </c>
      <c r="BO391" s="739">
        <v>86.126910740020165</v>
      </c>
      <c r="BP391" s="739">
        <v>89.898518801913085</v>
      </c>
      <c r="BQ391" s="739">
        <v>93.752712159584561</v>
      </c>
      <c r="BR391" s="739">
        <v>97.691386805493281</v>
      </c>
      <c r="BS391" s="739">
        <v>101.6795147283225</v>
      </c>
      <c r="BT391" s="739">
        <v>105.68900578405035</v>
      </c>
      <c r="BU391" s="739">
        <v>109.72389846683475</v>
      </c>
      <c r="BV391" s="739">
        <v>113.75737792814685</v>
      </c>
      <c r="BW391" s="739">
        <v>117.76355452897971</v>
      </c>
      <c r="BX391" s="739">
        <v>121.71676467707499</v>
      </c>
      <c r="BY391" s="739">
        <v>125.59128981701578</v>
      </c>
      <c r="BZ391" s="739">
        <v>129.38768139808204</v>
      </c>
      <c r="CA391" s="739">
        <v>133.10567087502619</v>
      </c>
      <c r="CB391" s="739">
        <v>136.74444171796719</v>
      </c>
      <c r="CC391" s="739">
        <v>140.30324078195932</v>
      </c>
      <c r="CD391" s="739">
        <v>143.78083098955958</v>
      </c>
      <c r="CE391" s="739">
        <v>147.20389738355101</v>
      </c>
      <c r="CF391" s="739">
        <v>150.59279940747109</v>
      </c>
      <c r="CG391" s="739">
        <v>153.96653556976463</v>
      </c>
      <c r="CH391" s="739">
        <v>157.34348111677303</v>
      </c>
      <c r="CI391" s="739">
        <v>160.74161258576848</v>
      </c>
      <c r="CJ391" s="739">
        <v>164.17871864925957</v>
      </c>
      <c r="CK391" s="739">
        <v>167.67260897605834</v>
      </c>
      <c r="CL391" s="739">
        <v>171.22059838218482</v>
      </c>
      <c r="CM391" s="739">
        <v>174.82067493112061</v>
      </c>
      <c r="CN391" s="739">
        <v>178.47126597739606</v>
      </c>
      <c r="CO391" s="739">
        <v>182.17118943327401</v>
      </c>
      <c r="CP391" s="739">
        <v>185.91962364663127</v>
      </c>
      <c r="CQ391" s="739">
        <v>188.90608624771326</v>
      </c>
      <c r="CR391" s="739">
        <v>191.30267115035073</v>
      </c>
      <c r="CS391" s="739">
        <v>193.13935702047877</v>
      </c>
      <c r="CT391" s="739">
        <v>194.43859782184796</v>
      </c>
      <c r="CU391" s="739">
        <v>195.21570637624234</v>
      </c>
      <c r="CV391" s="739">
        <v>195.47951174165149</v>
      </c>
      <c r="CW391" s="739">
        <v>195.232788375247</v>
      </c>
      <c r="CX391" s="739">
        <v>195.06377418709422</v>
      </c>
      <c r="CY391" s="739">
        <v>194.95319196700942</v>
      </c>
      <c r="CZ391" s="739">
        <v>194.88831429738173</v>
      </c>
      <c r="DA391" s="739">
        <v>194.8576555165339</v>
      </c>
      <c r="DC391" s="11">
        <f t="shared" si="417"/>
        <v>3.5599423283861613</v>
      </c>
      <c r="DD391" s="11">
        <f t="shared" si="418"/>
        <v>38.140500146902298</v>
      </c>
      <c r="DE391" s="873">
        <f t="shared" si="419"/>
        <v>64.384818486688928</v>
      </c>
      <c r="DF391" s="11">
        <f t="shared" si="420"/>
        <v>93.752712159584561</v>
      </c>
      <c r="DG391" s="11">
        <f t="shared" si="421"/>
        <v>140.30324078195932</v>
      </c>
      <c r="DH391" s="11">
        <f t="shared" si="422"/>
        <v>182.17118943327401</v>
      </c>
      <c r="DI391" s="11">
        <f t="shared" si="423"/>
        <v>194.8576555165339</v>
      </c>
    </row>
    <row r="392" spans="2:113" outlineLevel="1">
      <c r="E392" s="230" t="s">
        <v>811</v>
      </c>
      <c r="F392" s="229"/>
      <c r="I392" s="609" t="s">
        <v>812</v>
      </c>
      <c r="O392" s="696"/>
      <c r="P392" s="696"/>
      <c r="Q392" s="696"/>
      <c r="R392" s="696"/>
      <c r="S392" s="696"/>
      <c r="T392" s="696"/>
      <c r="U392" s="696"/>
      <c r="V392" s="753">
        <f t="shared" ref="V392:CG392" si="424">V390/V355</f>
        <v>0</v>
      </c>
      <c r="W392" s="753">
        <f t="shared" si="424"/>
        <v>0</v>
      </c>
      <c r="X392" s="753">
        <f t="shared" si="424"/>
        <v>0</v>
      </c>
      <c r="Y392" s="753">
        <f t="shared" si="424"/>
        <v>0</v>
      </c>
      <c r="Z392" s="753">
        <f t="shared" si="424"/>
        <v>0</v>
      </c>
      <c r="AA392" s="753">
        <f t="shared" si="424"/>
        <v>0</v>
      </c>
      <c r="AB392" s="753">
        <f t="shared" si="424"/>
        <v>0</v>
      </c>
      <c r="AC392" s="753">
        <f t="shared" si="424"/>
        <v>4.0874124755417227E-3</v>
      </c>
      <c r="AD392" s="753">
        <f t="shared" si="424"/>
        <v>6.654659248029971E-3</v>
      </c>
      <c r="AE392" s="753">
        <f t="shared" si="424"/>
        <v>4.8928246508179096E-3</v>
      </c>
      <c r="AF392" s="753">
        <f t="shared" si="424"/>
        <v>4.095707195901634E-3</v>
      </c>
      <c r="AG392" s="753">
        <f t="shared" si="424"/>
        <v>3.1899246460882708E-3</v>
      </c>
      <c r="AH392" s="753">
        <f t="shared" si="424"/>
        <v>8.9978144317146586E-3</v>
      </c>
      <c r="AI392" s="753">
        <f t="shared" si="424"/>
        <v>1.5151358294341449E-2</v>
      </c>
      <c r="AJ392" s="753">
        <f t="shared" si="424"/>
        <v>1.4136628272562016E-2</v>
      </c>
      <c r="AK392" s="753">
        <f t="shared" si="424"/>
        <v>2.8231225299690098E-2</v>
      </c>
      <c r="AL392" s="753">
        <f t="shared" si="424"/>
        <v>4.0099001763568634E-2</v>
      </c>
      <c r="AM392" s="753">
        <f t="shared" si="424"/>
        <v>5.0066214043951549E-2</v>
      </c>
      <c r="AN392" s="753">
        <f t="shared" si="424"/>
        <v>6.0093452975819493E-2</v>
      </c>
      <c r="AO392" s="753">
        <f t="shared" si="424"/>
        <v>6.8446241819738754E-2</v>
      </c>
      <c r="AP392" s="753">
        <f t="shared" si="424"/>
        <v>7.3665904893019926E-2</v>
      </c>
      <c r="AQ392" s="753">
        <f t="shared" si="424"/>
        <v>7.7905007561671527E-2</v>
      </c>
      <c r="AR392" s="753">
        <f t="shared" si="424"/>
        <v>7.7409480333129249E-2</v>
      </c>
      <c r="AS392" s="753">
        <f t="shared" si="424"/>
        <v>8.4309969907429103E-2</v>
      </c>
      <c r="AT392" s="753">
        <f t="shared" si="424"/>
        <v>4.553966207025778E-2</v>
      </c>
      <c r="AU392" s="753">
        <f t="shared" si="424"/>
        <v>4.7256236969519798E-2</v>
      </c>
      <c r="AV392" s="753">
        <f t="shared" si="424"/>
        <v>5.2918998841914568E-2</v>
      </c>
      <c r="AW392" s="753">
        <f t="shared" si="424"/>
        <v>5.3156898348212675E-2</v>
      </c>
      <c r="AX392" s="753">
        <f t="shared" si="424"/>
        <v>5.4952927204607913E-2</v>
      </c>
      <c r="AY392" s="753">
        <f t="shared" si="424"/>
        <v>5.9584320385689893E-2</v>
      </c>
      <c r="AZ392" s="753">
        <f t="shared" si="424"/>
        <v>6.0851596761505547E-2</v>
      </c>
      <c r="BA392" s="753">
        <f t="shared" si="424"/>
        <v>6.049300017702252E-2</v>
      </c>
      <c r="BB392" s="753">
        <f t="shared" si="424"/>
        <v>5.959697018493279E-2</v>
      </c>
      <c r="BC392" s="753">
        <f t="shared" si="424"/>
        <v>5.8777194146245444E-2</v>
      </c>
      <c r="BD392" s="753">
        <f t="shared" si="424"/>
        <v>5.8064926498812293E-2</v>
      </c>
      <c r="BE392" s="753">
        <f t="shared" si="424"/>
        <v>5.8624092323408851E-2</v>
      </c>
      <c r="BF392" s="753">
        <f t="shared" si="424"/>
        <v>5.9097546768669892E-2</v>
      </c>
      <c r="BG392" s="753">
        <f t="shared" si="424"/>
        <v>5.9543209857206056E-2</v>
      </c>
      <c r="BH392" s="753">
        <f t="shared" si="424"/>
        <v>5.9918251583277737E-2</v>
      </c>
      <c r="BI392" s="753">
        <f t="shared" si="424"/>
        <v>5.746653700085274E-2</v>
      </c>
      <c r="BJ392" s="753">
        <f t="shared" si="424"/>
        <v>5.517465777198817E-2</v>
      </c>
      <c r="BK392" s="753">
        <f t="shared" si="424"/>
        <v>5.3006186749659435E-2</v>
      </c>
      <c r="BL392" s="753">
        <f t="shared" si="424"/>
        <v>5.0940790707310224E-2</v>
      </c>
      <c r="BM392" s="753">
        <f t="shared" si="424"/>
        <v>5.1245554249600804E-2</v>
      </c>
      <c r="BN392" s="753">
        <f t="shared" si="424"/>
        <v>5.1528304890489721E-2</v>
      </c>
      <c r="BO392" s="753">
        <f t="shared" si="424"/>
        <v>5.1800801784031479E-2</v>
      </c>
      <c r="BP392" s="753">
        <f t="shared" si="424"/>
        <v>5.2064487852826871E-2</v>
      </c>
      <c r="BQ392" s="753">
        <f t="shared" si="424"/>
        <v>5.2284396748383311E-2</v>
      </c>
      <c r="BR392" s="753">
        <f t="shared" si="424"/>
        <v>5.2548674204275003E-2</v>
      </c>
      <c r="BS392" s="753">
        <f t="shared" si="424"/>
        <v>5.2854879824954015E-2</v>
      </c>
      <c r="BT392" s="753">
        <f t="shared" si="424"/>
        <v>5.3200557555218166E-2</v>
      </c>
      <c r="BU392" s="753">
        <f t="shared" si="424"/>
        <v>5.361410670930164E-2</v>
      </c>
      <c r="BV392" s="753">
        <f t="shared" si="424"/>
        <v>5.4065563098537495E-2</v>
      </c>
      <c r="BW392" s="753">
        <f t="shared" si="424"/>
        <v>5.4529519600326891E-2</v>
      </c>
      <c r="BX392" s="753">
        <f t="shared" si="424"/>
        <v>5.498373595228969E-2</v>
      </c>
      <c r="BY392" s="753">
        <f t="shared" si="424"/>
        <v>5.5407827358003717E-2</v>
      </c>
      <c r="BZ392" s="753">
        <f t="shared" si="424"/>
        <v>5.580583944486623E-2</v>
      </c>
      <c r="CA392" s="753">
        <f t="shared" si="424"/>
        <v>5.6181227421493798E-2</v>
      </c>
      <c r="CB392" s="753">
        <f t="shared" si="424"/>
        <v>5.6537035350247455E-2</v>
      </c>
      <c r="CC392" s="753">
        <f t="shared" si="424"/>
        <v>5.6876418890128608E-2</v>
      </c>
      <c r="CD392" s="753">
        <f t="shared" si="424"/>
        <v>5.7151325755511795E-2</v>
      </c>
      <c r="CE392" s="753">
        <f t="shared" si="424"/>
        <v>5.7365192323717736E-2</v>
      </c>
      <c r="CF392" s="753">
        <f t="shared" si="424"/>
        <v>5.7520945007444688E-2</v>
      </c>
      <c r="CG392" s="753">
        <f t="shared" si="424"/>
        <v>5.7621041968606963E-2</v>
      </c>
      <c r="CH392" s="753">
        <f t="shared" ref="CH392:DA392" si="425">CH390/CH355</f>
        <v>5.7682959194675795E-2</v>
      </c>
      <c r="CI392" s="753">
        <f t="shared" si="425"/>
        <v>5.7722424384303812E-2</v>
      </c>
      <c r="CJ392" s="753">
        <f t="shared" si="425"/>
        <v>5.775377254968582E-2</v>
      </c>
      <c r="CK392" s="753">
        <f t="shared" si="425"/>
        <v>5.7790202179471548E-2</v>
      </c>
      <c r="CL392" s="753">
        <f t="shared" si="425"/>
        <v>5.7830367411146992E-2</v>
      </c>
      <c r="CM392" s="753">
        <f t="shared" si="425"/>
        <v>5.7873124412325352E-2</v>
      </c>
      <c r="CN392" s="753">
        <f t="shared" si="425"/>
        <v>5.7917444465921085E-2</v>
      </c>
      <c r="CO392" s="753">
        <f t="shared" si="425"/>
        <v>5.7962389843623077E-2</v>
      </c>
      <c r="CP392" s="753">
        <f t="shared" si="425"/>
        <v>5.9170971992679865E-2</v>
      </c>
      <c r="CQ392" s="753">
        <f t="shared" si="425"/>
        <v>6.0395353225803708E-2</v>
      </c>
      <c r="CR392" s="753">
        <f t="shared" si="425"/>
        <v>6.1635405210502189E-2</v>
      </c>
      <c r="CS392" s="753">
        <f t="shared" si="425"/>
        <v>6.2891211896728763E-2</v>
      </c>
      <c r="CT392" s="753">
        <f t="shared" si="425"/>
        <v>6.3789234692365207E-2</v>
      </c>
      <c r="CU392" s="753">
        <f t="shared" si="425"/>
        <v>6.4341718966642258E-2</v>
      </c>
      <c r="CV392" s="753">
        <f t="shared" si="425"/>
        <v>6.4555002602360939E-2</v>
      </c>
      <c r="CW392" s="753">
        <f t="shared" si="425"/>
        <v>6.443139658395132E-2</v>
      </c>
      <c r="CX392" s="753">
        <f t="shared" si="425"/>
        <v>6.433543835059323E-2</v>
      </c>
      <c r="CY392" s="753">
        <f t="shared" si="425"/>
        <v>6.4264436950545359E-2</v>
      </c>
      <c r="CZ392" s="753">
        <f t="shared" si="425"/>
        <v>6.4217530958307734E-2</v>
      </c>
      <c r="DA392" s="753">
        <f t="shared" si="425"/>
        <v>6.4194166102930272E-2</v>
      </c>
      <c r="DC392" s="729">
        <f t="shared" si="417"/>
        <v>3.1899246460882708E-3</v>
      </c>
      <c r="DD392" s="729">
        <f t="shared" si="418"/>
        <v>8.4309969907429103E-2</v>
      </c>
      <c r="DE392" s="729">
        <f t="shared" si="419"/>
        <v>5.8624092323408851E-2</v>
      </c>
      <c r="DF392" s="729">
        <f t="shared" si="420"/>
        <v>5.2284396748383311E-2</v>
      </c>
      <c r="DG392" s="729">
        <f t="shared" si="421"/>
        <v>5.6876418890128608E-2</v>
      </c>
      <c r="DH392" s="729">
        <f t="shared" si="422"/>
        <v>5.7962389843623077E-2</v>
      </c>
      <c r="DI392" s="729">
        <f t="shared" si="423"/>
        <v>6.4194166102930272E-2</v>
      </c>
    </row>
    <row r="393" spans="2:113" outlineLevel="1">
      <c r="E393" s="230" t="s">
        <v>813</v>
      </c>
      <c r="F393" s="229"/>
      <c r="I393" s="609" t="s">
        <v>812</v>
      </c>
      <c r="O393" s="696"/>
      <c r="P393" s="696"/>
      <c r="Q393" s="696"/>
      <c r="R393" s="696"/>
      <c r="S393" s="696"/>
      <c r="T393" s="696"/>
      <c r="U393" s="696"/>
      <c r="V393" s="753">
        <f t="shared" ref="V393:CG393" si="426">V391/V355</f>
        <v>0</v>
      </c>
      <c r="W393" s="753">
        <f t="shared" si="426"/>
        <v>0</v>
      </c>
      <c r="X393" s="753">
        <f t="shared" si="426"/>
        <v>0</v>
      </c>
      <c r="Y393" s="753">
        <f t="shared" si="426"/>
        <v>2.6858714368759823E-3</v>
      </c>
      <c r="Z393" s="753">
        <f t="shared" si="426"/>
        <v>1.0926134990407487E-2</v>
      </c>
      <c r="AA393" s="753">
        <f t="shared" si="426"/>
        <v>1.3468073454238377E-2</v>
      </c>
      <c r="AB393" s="753">
        <f t="shared" si="426"/>
        <v>2.2292798426322563E-2</v>
      </c>
      <c r="AC393" s="753">
        <f t="shared" si="426"/>
        <v>1.7306416122313178E-2</v>
      </c>
      <c r="AD393" s="753">
        <f t="shared" si="426"/>
        <v>1.9139665262976301E-2</v>
      </c>
      <c r="AE393" s="753">
        <f t="shared" si="426"/>
        <v>2.4146541464820117E-2</v>
      </c>
      <c r="AF393" s="753">
        <f t="shared" si="426"/>
        <v>2.2781641527083125E-2</v>
      </c>
      <c r="AG393" s="753">
        <f t="shared" si="426"/>
        <v>3.0514581184696944E-2</v>
      </c>
      <c r="AH393" s="753">
        <f t="shared" si="426"/>
        <v>3.4653780072091626E-2</v>
      </c>
      <c r="AI393" s="753">
        <f t="shared" si="426"/>
        <v>5.0158359912064229E-2</v>
      </c>
      <c r="AJ393" s="753">
        <f t="shared" si="426"/>
        <v>6.7895046215789776E-2</v>
      </c>
      <c r="AK393" s="753">
        <f t="shared" si="426"/>
        <v>8.1558769559009564E-2</v>
      </c>
      <c r="AL393" s="753">
        <f t="shared" si="426"/>
        <v>9.3460023993253566E-2</v>
      </c>
      <c r="AM393" s="753">
        <f t="shared" si="426"/>
        <v>9.9513595143893949E-2</v>
      </c>
      <c r="AN393" s="753">
        <f t="shared" si="426"/>
        <v>0.10659234151172196</v>
      </c>
      <c r="AO393" s="753">
        <f t="shared" si="426"/>
        <v>0.11261484415827674</v>
      </c>
      <c r="AP393" s="753">
        <f t="shared" si="426"/>
        <v>0.12239395570783623</v>
      </c>
      <c r="AQ393" s="753">
        <f t="shared" si="426"/>
        <v>0.13636272761113929</v>
      </c>
      <c r="AR393" s="753">
        <f t="shared" si="426"/>
        <v>0.13519456133201257</v>
      </c>
      <c r="AS393" s="753">
        <f t="shared" si="426"/>
        <v>0.14245147026769098</v>
      </c>
      <c r="AT393" s="753">
        <f t="shared" si="426"/>
        <v>0.10437812794306219</v>
      </c>
      <c r="AU393" s="753">
        <f t="shared" si="426"/>
        <v>0.1119780589114399</v>
      </c>
      <c r="AV393" s="753">
        <f t="shared" si="426"/>
        <v>0.11866135420095546</v>
      </c>
      <c r="AW393" s="753">
        <f t="shared" si="426"/>
        <v>0.11971608219208089</v>
      </c>
      <c r="AX393" s="753">
        <f t="shared" si="426"/>
        <v>0.11905133628802844</v>
      </c>
      <c r="AY393" s="753">
        <f t="shared" si="426"/>
        <v>0.12198823081428653</v>
      </c>
      <c r="AZ393" s="753">
        <f t="shared" si="426"/>
        <v>0.12174916331468408</v>
      </c>
      <c r="BA393" s="753">
        <f t="shared" si="426"/>
        <v>0.12160291333024538</v>
      </c>
      <c r="BB393" s="753">
        <f t="shared" si="426"/>
        <v>0.12089369033973539</v>
      </c>
      <c r="BC393" s="753">
        <f t="shared" si="426"/>
        <v>0.12031889978084645</v>
      </c>
      <c r="BD393" s="753">
        <f t="shared" si="426"/>
        <v>0.11984235908317344</v>
      </c>
      <c r="BE393" s="753">
        <f t="shared" si="426"/>
        <v>0.1206286923409539</v>
      </c>
      <c r="BF393" s="753">
        <f t="shared" si="426"/>
        <v>0.11702150890046294</v>
      </c>
      <c r="BG393" s="753">
        <f t="shared" si="426"/>
        <v>0.11441354480347124</v>
      </c>
      <c r="BH393" s="753">
        <f t="shared" si="426"/>
        <v>0.11201005223532071</v>
      </c>
      <c r="BI393" s="753">
        <f t="shared" si="426"/>
        <v>0.10977909036220745</v>
      </c>
      <c r="BJ393" s="753">
        <f t="shared" si="426"/>
        <v>0.10768286629905467</v>
      </c>
      <c r="BK393" s="753">
        <f t="shared" si="426"/>
        <v>0.10569971185719759</v>
      </c>
      <c r="BL393" s="753">
        <f t="shared" si="426"/>
        <v>0.10381098717340723</v>
      </c>
      <c r="BM393" s="753">
        <f t="shared" si="426"/>
        <v>0.10428521376860422</v>
      </c>
      <c r="BN393" s="753">
        <f t="shared" si="426"/>
        <v>0.10467646212489531</v>
      </c>
      <c r="BO393" s="753">
        <f t="shared" si="426"/>
        <v>0.10501359980602318</v>
      </c>
      <c r="BP393" s="753">
        <f t="shared" si="426"/>
        <v>0.10530379966627633</v>
      </c>
      <c r="BQ393" s="753">
        <f t="shared" si="426"/>
        <v>0.10555285471730481</v>
      </c>
      <c r="BR393" s="753">
        <f t="shared" si="426"/>
        <v>0.10593240613443224</v>
      </c>
      <c r="BS393" s="753">
        <f t="shared" si="426"/>
        <v>0.10639463734239654</v>
      </c>
      <c r="BT393" s="753">
        <f t="shared" si="426"/>
        <v>0.10690556933237008</v>
      </c>
      <c r="BU393" s="753">
        <f t="shared" si="426"/>
        <v>0.10746730199575906</v>
      </c>
      <c r="BV393" s="753">
        <f t="shared" si="426"/>
        <v>0.10805257033916971</v>
      </c>
      <c r="BW393" s="753">
        <f t="shared" si="426"/>
        <v>0.10863830687219551</v>
      </c>
      <c r="BX393" s="753">
        <f t="shared" si="426"/>
        <v>0.10920429613319851</v>
      </c>
      <c r="BY393" s="753">
        <f t="shared" si="426"/>
        <v>0.10973243158421257</v>
      </c>
      <c r="BZ393" s="753">
        <f t="shared" si="426"/>
        <v>0.11022876638440909</v>
      </c>
      <c r="CA393" s="753">
        <f t="shared" si="426"/>
        <v>0.11069800445990573</v>
      </c>
      <c r="CB393" s="753">
        <f t="shared" si="426"/>
        <v>0.11114390290608352</v>
      </c>
      <c r="CC393" s="753">
        <f t="shared" si="426"/>
        <v>0.11156988238816042</v>
      </c>
      <c r="CD393" s="753">
        <f t="shared" si="426"/>
        <v>0.11187978047194726</v>
      </c>
      <c r="CE393" s="753">
        <f t="shared" si="426"/>
        <v>0.11210095508612443</v>
      </c>
      <c r="CF393" s="753">
        <f t="shared" si="426"/>
        <v>0.11225393999763174</v>
      </c>
      <c r="CG393" s="753">
        <f t="shared" si="426"/>
        <v>0.11235670501355964</v>
      </c>
      <c r="CH393" s="753">
        <f t="shared" ref="CH393:DA393" si="427">CH391/CH355</f>
        <v>0.11242539185033627</v>
      </c>
      <c r="CI393" s="753">
        <f t="shared" si="427"/>
        <v>0.11247461027836729</v>
      </c>
      <c r="CJ393" s="753">
        <f t="shared" si="427"/>
        <v>0.11251769585614624</v>
      </c>
      <c r="CK393" s="753">
        <f t="shared" si="427"/>
        <v>0.1125669409431302</v>
      </c>
      <c r="CL393" s="753">
        <f t="shared" si="427"/>
        <v>0.11262017100459129</v>
      </c>
      <c r="CM393" s="753">
        <f t="shared" si="427"/>
        <v>0.11267581081258633</v>
      </c>
      <c r="CN393" s="753">
        <f t="shared" si="427"/>
        <v>0.11273268234798815</v>
      </c>
      <c r="CO393" s="753">
        <f t="shared" si="427"/>
        <v>0.1127899391801552</v>
      </c>
      <c r="CP393" s="753">
        <f t="shared" si="427"/>
        <v>0.1151107543884252</v>
      </c>
      <c r="CQ393" s="753">
        <f t="shared" si="427"/>
        <v>0.11695980053116461</v>
      </c>
      <c r="CR393" s="753">
        <f t="shared" si="427"/>
        <v>0.11844362827719561</v>
      </c>
      <c r="CS393" s="753">
        <f t="shared" si="427"/>
        <v>0.11958079869491783</v>
      </c>
      <c r="CT393" s="753">
        <f t="shared" si="427"/>
        <v>0.12038521398925001</v>
      </c>
      <c r="CU393" s="753">
        <f t="shared" si="427"/>
        <v>0.1208663549800905</v>
      </c>
      <c r="CV393" s="753">
        <f t="shared" si="427"/>
        <v>0.12102968811313126</v>
      </c>
      <c r="CW393" s="753">
        <f t="shared" si="427"/>
        <v>0.12087693117292761</v>
      </c>
      <c r="CX393" s="753">
        <f t="shared" si="427"/>
        <v>0.12077228729338969</v>
      </c>
      <c r="CY393" s="753">
        <f t="shared" si="427"/>
        <v>0.12070382113297996</v>
      </c>
      <c r="CZ393" s="753">
        <f t="shared" si="427"/>
        <v>0.12066365260559524</v>
      </c>
      <c r="DA393" s="753">
        <f t="shared" si="427"/>
        <v>0.1206446704490977</v>
      </c>
      <c r="DC393" s="729">
        <f t="shared" si="417"/>
        <v>3.0514581184696944E-2</v>
      </c>
      <c r="DD393" s="729">
        <f t="shared" si="418"/>
        <v>0.14245147026769098</v>
      </c>
      <c r="DE393" s="729">
        <f t="shared" si="419"/>
        <v>0.1206286923409539</v>
      </c>
      <c r="DF393" s="729">
        <f t="shared" si="420"/>
        <v>0.10555285471730481</v>
      </c>
      <c r="DG393" s="729">
        <f t="shared" si="421"/>
        <v>0.11156988238816042</v>
      </c>
      <c r="DH393" s="729">
        <f t="shared" si="422"/>
        <v>0.1127899391801552</v>
      </c>
      <c r="DI393" s="729">
        <f t="shared" si="423"/>
        <v>0.1206446704490977</v>
      </c>
    </row>
    <row r="394" spans="2:113" outlineLevel="1">
      <c r="E394" s="230" t="s">
        <v>814</v>
      </c>
      <c r="F394" s="229"/>
      <c r="I394" s="609" t="s">
        <v>812</v>
      </c>
      <c r="O394" s="696"/>
      <c r="P394" s="696"/>
      <c r="Q394" s="696"/>
      <c r="R394" s="696"/>
      <c r="S394" s="696"/>
      <c r="T394" s="696"/>
      <c r="U394" s="696"/>
      <c r="V394" s="753"/>
      <c r="W394" s="753"/>
      <c r="X394" s="753"/>
      <c r="Y394" s="753"/>
      <c r="Z394" s="753"/>
      <c r="AA394" s="753"/>
      <c r="AB394" s="753"/>
      <c r="AC394" s="753"/>
      <c r="AD394" s="753"/>
      <c r="AE394" s="753"/>
      <c r="AF394" s="753"/>
      <c r="AG394" s="753"/>
      <c r="AH394" s="739">
        <f>AH376</f>
        <v>-0.89482663699999998</v>
      </c>
      <c r="AI394" s="739">
        <f>AH394+AI376</f>
        <v>-1.59091837</v>
      </c>
      <c r="AJ394" s="739">
        <f t="shared" ref="AJ394:AS394" si="428">AI394+AJ376</f>
        <v>-2.325810143</v>
      </c>
      <c r="AK394" s="739">
        <f t="shared" si="428"/>
        <v>-3.1138710380000001</v>
      </c>
      <c r="AL394" s="739">
        <f t="shared" si="428"/>
        <v>-3.9679211859999999</v>
      </c>
      <c r="AM394" s="739">
        <f t="shared" si="428"/>
        <v>-5.3533660730000001</v>
      </c>
      <c r="AN394" s="739">
        <f t="shared" si="428"/>
        <v>-7.5446995010000002</v>
      </c>
      <c r="AO394" s="739">
        <f t="shared" si="428"/>
        <v>-9.6959603940000001</v>
      </c>
      <c r="AP394" s="739">
        <f t="shared" si="428"/>
        <v>-11.636631032</v>
      </c>
      <c r="AQ394" s="739">
        <f t="shared" si="428"/>
        <v>-13.718306961014854</v>
      </c>
      <c r="AR394" s="739">
        <f t="shared" si="428"/>
        <v>-15.930274651650493</v>
      </c>
      <c r="AS394" s="739">
        <f t="shared" si="428"/>
        <v>-18.072151709399286</v>
      </c>
      <c r="AT394" s="739">
        <f>AT376</f>
        <v>-9.9154663857765648</v>
      </c>
      <c r="AU394" s="739">
        <f>AT394+AU376</f>
        <v>-13.01880486287356</v>
      </c>
      <c r="AV394" s="739">
        <f t="shared" ref="AV394:BE394" si="429">AU394+AV376</f>
        <v>-17.261670165728724</v>
      </c>
      <c r="AW394" s="739">
        <f t="shared" si="429"/>
        <v>-22.779665814409448</v>
      </c>
      <c r="AX394" s="739">
        <f t="shared" si="429"/>
        <v>-28.137905107336273</v>
      </c>
      <c r="AY394" s="739">
        <f t="shared" si="429"/>
        <v>-33.658486243939947</v>
      </c>
      <c r="AZ394" s="739">
        <f t="shared" si="429"/>
        <v>-40.308058856917668</v>
      </c>
      <c r="BA394" s="739">
        <f t="shared" si="429"/>
        <v>-47.400733605869974</v>
      </c>
      <c r="BB394" s="739">
        <f t="shared" si="429"/>
        <v>-55.119381594539021</v>
      </c>
      <c r="BC394" s="739">
        <f t="shared" si="429"/>
        <v>-63.293399035050975</v>
      </c>
      <c r="BD394" s="739">
        <f t="shared" si="429"/>
        <v>-71.716332196972488</v>
      </c>
      <c r="BE394" s="739">
        <f t="shared" si="429"/>
        <v>-80.255419267379949</v>
      </c>
      <c r="BF394" s="739">
        <f>BF376</f>
        <v>-8.8908797306267733</v>
      </c>
      <c r="BG394" s="739">
        <f>BF394+BG376</f>
        <v>-18.29258165135353</v>
      </c>
      <c r="BH394" s="739">
        <f t="shared" ref="BH394:BQ394" si="430">BG394+BH376</f>
        <v>-28.204798407128528</v>
      </c>
      <c r="BI394" s="739">
        <f t="shared" si="430"/>
        <v>-38.331938398721334</v>
      </c>
      <c r="BJ394" s="739">
        <f t="shared" si="430"/>
        <v>-48.98721668516005</v>
      </c>
      <c r="BK394" s="739">
        <f t="shared" si="430"/>
        <v>-60.173924487259086</v>
      </c>
      <c r="BL394" s="739">
        <f t="shared" si="430"/>
        <v>-71.30704097364341</v>
      </c>
      <c r="BM394" s="739">
        <f t="shared" si="430"/>
        <v>-81.989053982750647</v>
      </c>
      <c r="BN394" s="739">
        <f t="shared" si="430"/>
        <v>-93.187718208545931</v>
      </c>
      <c r="BO394" s="739">
        <f t="shared" si="430"/>
        <v>-104.91506076328484</v>
      </c>
      <c r="BP394" s="739">
        <f t="shared" si="430"/>
        <v>-117.18730445392553</v>
      </c>
      <c r="BQ394" s="739">
        <f t="shared" si="430"/>
        <v>-130.01557327762075</v>
      </c>
      <c r="BR394" s="739">
        <f>BR376</f>
        <v>-13.388880266810304</v>
      </c>
      <c r="BS394" s="739">
        <f>BR394+BS376</f>
        <v>-27.353413238473401</v>
      </c>
      <c r="BT394" s="739">
        <f t="shared" ref="BT394:CC394" si="431">BS394+BT376</f>
        <v>-41.898604551500306</v>
      </c>
      <c r="BU394" s="739">
        <f t="shared" si="431"/>
        <v>-57.022540177428496</v>
      </c>
      <c r="BV394" s="739">
        <f t="shared" si="431"/>
        <v>-72.736478944826516</v>
      </c>
      <c r="BW394" s="739">
        <f t="shared" si="431"/>
        <v>-89.051869701592068</v>
      </c>
      <c r="BX394" s="739">
        <f t="shared" si="431"/>
        <v>-105.98041638959972</v>
      </c>
      <c r="BY394" s="739">
        <f t="shared" si="431"/>
        <v>-123.52483647787135</v>
      </c>
      <c r="BZ394" s="739">
        <f t="shared" si="431"/>
        <v>-141.67294237200389</v>
      </c>
      <c r="CA394" s="739">
        <f t="shared" si="431"/>
        <v>-160.41275229444511</v>
      </c>
      <c r="CB394" s="739">
        <f t="shared" si="431"/>
        <v>-179.73222471277572</v>
      </c>
      <c r="CC394" s="739">
        <f t="shared" si="431"/>
        <v>-199.61911886064524</v>
      </c>
      <c r="CD394" s="739">
        <f>CD376</f>
        <v>-20.451893837398551</v>
      </c>
      <c r="CE394" s="739">
        <f>CD394+CE376</f>
        <v>-41.45840348620299</v>
      </c>
      <c r="CF394" s="739">
        <f t="shared" ref="CF394:CO394" si="432">CE394+CF376</f>
        <v>-63.008833551234233</v>
      </c>
      <c r="CG394" s="739">
        <f t="shared" si="432"/>
        <v>-85.092299189811087</v>
      </c>
      <c r="CH394" s="739">
        <f t="shared" si="432"/>
        <v>-107.70112040458342</v>
      </c>
      <c r="CI394" s="739">
        <f t="shared" si="432"/>
        <v>-130.82710211489021</v>
      </c>
      <c r="CJ394" s="739">
        <f t="shared" si="432"/>
        <v>-154.46161018288177</v>
      </c>
      <c r="CK394" s="739">
        <f t="shared" si="432"/>
        <v>-178.60269931242684</v>
      </c>
      <c r="CL394" s="739">
        <f t="shared" si="432"/>
        <v>-203.25978248512746</v>
      </c>
      <c r="CM394" s="739">
        <f t="shared" si="432"/>
        <v>-228.44182353024968</v>
      </c>
      <c r="CN394" s="739">
        <f t="shared" si="432"/>
        <v>-254.15740500736933</v>
      </c>
      <c r="CO394" s="739">
        <f t="shared" si="432"/>
        <v>-280.41474475106833</v>
      </c>
      <c r="CP394" s="739">
        <f>CP376</f>
        <v>-26.527574834380442</v>
      </c>
      <c r="CQ394" s="739">
        <f>CP394+CQ376</f>
        <v>-53.56244660547739</v>
      </c>
      <c r="CR394" s="739">
        <f t="shared" ref="CR394:DA394" si="433">CQ394+CR376</f>
        <v>-81.121865811698655</v>
      </c>
      <c r="CS394" s="739">
        <f t="shared" si="433"/>
        <v>-109.21472815645586</v>
      </c>
      <c r="CT394" s="739">
        <f t="shared" si="433"/>
        <v>-137.74545288103101</v>
      </c>
      <c r="CU394" s="739">
        <f t="shared" si="433"/>
        <v>-166.72557137711067</v>
      </c>
      <c r="CV394" s="739">
        <f t="shared" si="433"/>
        <v>-196.16462657250798</v>
      </c>
      <c r="CW394" s="739">
        <f t="shared" si="433"/>
        <v>-225.86873829734481</v>
      </c>
      <c r="CX394" s="739">
        <f t="shared" si="433"/>
        <v>-255.51188121656503</v>
      </c>
      <c r="CY394" s="739">
        <f t="shared" si="433"/>
        <v>-285.10695764037325</v>
      </c>
      <c r="CZ394" s="739">
        <f t="shared" si="433"/>
        <v>-314.66506613674386</v>
      </c>
      <c r="DA394" s="739">
        <f t="shared" si="433"/>
        <v>-344.19688622146879</v>
      </c>
      <c r="DC394" s="12">
        <f t="shared" si="417"/>
        <v>0</v>
      </c>
      <c r="DD394" s="12">
        <f t="shared" si="418"/>
        <v>-18.072151709399286</v>
      </c>
      <c r="DE394" s="12">
        <f t="shared" si="419"/>
        <v>-80.255419267379949</v>
      </c>
      <c r="DF394" s="12">
        <f t="shared" si="420"/>
        <v>-130.01557327762075</v>
      </c>
      <c r="DG394" s="12">
        <f t="shared" si="421"/>
        <v>-199.61911886064524</v>
      </c>
      <c r="DH394" s="12">
        <f t="shared" si="422"/>
        <v>-280.41474475106833</v>
      </c>
      <c r="DI394" s="12">
        <f t="shared" si="423"/>
        <v>-344.19688622146879</v>
      </c>
    </row>
    <row r="395" spans="2:113" outlineLevel="1">
      <c r="E395" s="230" t="s">
        <v>815</v>
      </c>
      <c r="F395" s="229"/>
      <c r="I395" s="609" t="s">
        <v>812</v>
      </c>
      <c r="O395" s="696"/>
      <c r="P395" s="696"/>
      <c r="Q395" s="696"/>
      <c r="R395" s="696"/>
      <c r="S395" s="696"/>
      <c r="T395" s="696"/>
      <c r="U395" s="696"/>
      <c r="V395" s="753"/>
      <c r="W395" s="753"/>
      <c r="X395" s="753"/>
      <c r="Y395" s="753"/>
      <c r="Z395" s="753"/>
      <c r="AA395" s="753"/>
      <c r="AB395" s="753"/>
      <c r="AC395" s="753"/>
      <c r="AD395" s="753"/>
      <c r="AE395" s="753"/>
      <c r="AF395" s="753"/>
      <c r="AG395" s="753"/>
      <c r="AH395" s="753">
        <f>AH394/AVERAGE($AG355:AH355)</f>
        <v>-7.3276326976868568E-3</v>
      </c>
      <c r="AI395" s="753">
        <f>AI394/AVERAGE($AG355:AI355)</f>
        <v>-1.2535555530769812E-2</v>
      </c>
      <c r="AJ395" s="753">
        <f>AJ394/AVERAGE($AG355:AJ355)</f>
        <v>-1.7651880144998099E-2</v>
      </c>
      <c r="AK395" s="753">
        <f>AK394/AVERAGE($AG355:AK355)</f>
        <v>-2.2870412568019052E-2</v>
      </c>
      <c r="AL395" s="753">
        <f>AL394/AVERAGE($AG355:AL355)</f>
        <v>-2.8246711171224091E-2</v>
      </c>
      <c r="AM395" s="753">
        <f>AM394/AVERAGE($AG355:AM355)</f>
        <v>-3.6868866491616976E-2</v>
      </c>
      <c r="AN395" s="753">
        <f>AN394/AVERAGE($AG355:AN355)</f>
        <v>-5.030338114725133E-2</v>
      </c>
      <c r="AO395" s="753">
        <f>AO394/AVERAGE($AG355:AO355)</f>
        <v>-6.2481694703730814E-2</v>
      </c>
      <c r="AP395" s="753">
        <f>AP394/AVERAGE($AG355:AP355)</f>
        <v>-7.2308411416044091E-2</v>
      </c>
      <c r="AQ395" s="753">
        <f>AQ394/AVERAGE($AG355:AQ355)</f>
        <v>-8.2238504720892794E-2</v>
      </c>
      <c r="AR395" s="753">
        <f>AR394/AVERAGE($AG355:AR355)</f>
        <v>-9.1834580475192815E-2</v>
      </c>
      <c r="AS395" s="753">
        <f>AS394/AVERAGE($AG355:AS355)</f>
        <v>-0.10000132763563559</v>
      </c>
      <c r="AT395" s="753">
        <f>AT394/AVERAGE($AS355:AT355)</f>
        <v>-3.5678634051596235E-2</v>
      </c>
      <c r="AU395" s="753">
        <f>AU394/AVERAGE($AS355:AU355)</f>
        <v>-4.5174653796366752E-2</v>
      </c>
      <c r="AV395" s="753">
        <f>AV394/AVERAGE($AS355:AV355)</f>
        <v>-5.7813098704277338E-2</v>
      </c>
      <c r="AW395" s="753">
        <f>AW394/AVERAGE($AS355:AW355)</f>
        <v>-7.3702199965047788E-2</v>
      </c>
      <c r="AX395" s="753">
        <f>AX394/AVERAGE($AS355:AX355)</f>
        <v>-8.8016698293474888E-2</v>
      </c>
      <c r="AY395" s="753">
        <f>AY394/AVERAGE($AS355:AY355)</f>
        <v>-0.10186869993326944</v>
      </c>
      <c r="AZ395" s="753">
        <f>AZ394/AVERAGE($AS355:AZ355)</f>
        <v>-0.11812099457258789</v>
      </c>
      <c r="BA395" s="753">
        <f>BA394/AVERAGE($AS355:BA355)</f>
        <v>-0.1345891928312935</v>
      </c>
      <c r="BB395" s="753">
        <f>BB394/AVERAGE($AS355:BB355)</f>
        <v>-0.15174210618432094</v>
      </c>
      <c r="BC395" s="753">
        <f>BC394/AVERAGE($AS355:BC355)</f>
        <v>-0.16904814923935152</v>
      </c>
      <c r="BD395" s="753">
        <f>BD394/AVERAGE($AS355:BD355)</f>
        <v>-0.18594377812133037</v>
      </c>
      <c r="BE395" s="753">
        <f>BE394/AVERAGE($AS355:BE355)</f>
        <v>-0.20211543157366191</v>
      </c>
      <c r="BF395" s="753">
        <f>BF394/AVERAGE($BE355:BF355)</f>
        <v>-1.6279281406348281E-2</v>
      </c>
      <c r="BG395" s="753">
        <f>BG394/AVERAGE($BE355:BG355)</f>
        <v>-3.2734125548021624E-2</v>
      </c>
      <c r="BH395" s="753">
        <f>BH394/AVERAGE($BE355:BH355)</f>
        <v>-4.9328486179300253E-2</v>
      </c>
      <c r="BI395" s="753">
        <f>BI394/AVERAGE($BE355:BI355)</f>
        <v>-6.5523973665121138E-2</v>
      </c>
      <c r="BJ395" s="753">
        <f>BJ394/AVERAGE($BE355:BJ355)</f>
        <v>-8.1847270585286555E-2</v>
      </c>
      <c r="BK395" s="753">
        <f>BK394/AVERAGE($BE355:BK355)</f>
        <v>-9.827221209292053E-2</v>
      </c>
      <c r="BL395" s="753">
        <f>BL394/AVERAGE($BE355:BL355)</f>
        <v>-0.11383512463092904</v>
      </c>
      <c r="BM395" s="753">
        <f>BM394/AVERAGE($BE355:BM355)</f>
        <v>-0.12795086076078935</v>
      </c>
      <c r="BN395" s="753">
        <f>BN394/AVERAGE($BE355:BN355)</f>
        <v>-0.14217160128712594</v>
      </c>
      <c r="BO395" s="753">
        <f>BO394/AVERAGE($BE355:BO355)</f>
        <v>-0.15648890254145092</v>
      </c>
      <c r="BP395" s="753">
        <f>BP394/AVERAGE($BE355:BP355)</f>
        <v>-0.17090065802134277</v>
      </c>
      <c r="BQ395" s="753">
        <f>BQ394/AVERAGE($BE355:BQ355)</f>
        <v>-0.18539717291478258</v>
      </c>
      <c r="BR395" s="753">
        <f>BR394/AVERAGE($BQ355:BR355)</f>
        <v>-1.4790982245462892E-2</v>
      </c>
      <c r="BS395" s="753">
        <f>BS394/AVERAGE($BQ355:BS355)</f>
        <v>-2.9666468789172239E-2</v>
      </c>
      <c r="BT395" s="753">
        <f>BT394/AVERAGE($BQ355:BT355)</f>
        <v>-4.4635732975599633E-2</v>
      </c>
      <c r="BU395" s="753">
        <f>BU394/AVERAGE($BQ355:BU355)</f>
        <v>-5.9700562554537664E-2</v>
      </c>
      <c r="BV395" s="753">
        <f>BV394/AVERAGE($BQ355:BV355)</f>
        <v>-7.4876592665923794E-2</v>
      </c>
      <c r="BW395" s="753">
        <f>BW394/AVERAGE($BQ355:BW355)</f>
        <v>-9.017903917679912E-2</v>
      </c>
      <c r="BX395" s="753">
        <f>BX394/AVERAGE($BQ355:BX355)</f>
        <v>-0.10562283219420579</v>
      </c>
      <c r="BY395" s="753">
        <f>BY394/AVERAGE($BQ355:BY355)</f>
        <v>-0.12121360498284754</v>
      </c>
      <c r="BZ395" s="753">
        <f>BZ394/AVERAGE($BQ355:BZ355)</f>
        <v>-0.13694270418694221</v>
      </c>
      <c r="CA395" s="753">
        <f>CA394/AVERAGE($BQ355:CA355)</f>
        <v>-0.15280264026405377</v>
      </c>
      <c r="CB395" s="753">
        <f>CB394/AVERAGE($BQ355:CB355)</f>
        <v>-0.16878674491927045</v>
      </c>
      <c r="CC395" s="753">
        <f>CC394/AVERAGE($BQ355:CC355)</f>
        <v>-0.18488897635883048</v>
      </c>
      <c r="CD395" s="753">
        <f>CD394/AVERAGE($CC355:CD355)</f>
        <v>-1.6086919451468028E-2</v>
      </c>
      <c r="CE395" s="753">
        <f>CE394/AVERAGE($CC355:CE355)</f>
        <v>-3.2256566246190742E-2</v>
      </c>
      <c r="CF395" s="753">
        <f>CF394/AVERAGE($CC355:CF355)</f>
        <v>-4.8493069783319895E-2</v>
      </c>
      <c r="CG395" s="753">
        <f>CG394/AVERAGE($CC355:CG355)</f>
        <v>-6.478105112749892E-2</v>
      </c>
      <c r="CH395" s="753">
        <f>CH394/AVERAGE($CC355:CH355)</f>
        <v>-8.1108168602247552E-2</v>
      </c>
      <c r="CI395" s="753">
        <f>CI394/AVERAGE($CC355:CI355)</f>
        <v>-9.7462198166327313E-2</v>
      </c>
      <c r="CJ395" s="753">
        <f>CJ394/AVERAGE($CC355:CJ355)</f>
        <v>-0.11383109523999164</v>
      </c>
      <c r="CK395" s="753">
        <f>CK394/AVERAGE($CC355:CK355)</f>
        <v>-0.13020819345996132</v>
      </c>
      <c r="CL395" s="753">
        <f>CL394/AVERAGE($CC355:CL355)</f>
        <v>-0.14659529562838305</v>
      </c>
      <c r="CM395" s="753">
        <f>CM394/AVERAGE($CC355:CM355)</f>
        <v>-0.16299380221665263</v>
      </c>
      <c r="CN395" s="753">
        <f>CN394/AVERAGE($CC355:CN355)</f>
        <v>-0.17940477907484781</v>
      </c>
      <c r="CO395" s="753">
        <f>CO394/AVERAGE($CC355:CO355)</f>
        <v>-0.19582898551967179</v>
      </c>
      <c r="CP395" s="753">
        <f>CP394/AVERAGE($CO355:CP355)</f>
        <v>-1.6424350971604745E-2</v>
      </c>
      <c r="CQ395" s="753">
        <f>CQ394/AVERAGE($CO355:CQ355)</f>
        <v>-3.3162791074517986E-2</v>
      </c>
      <c r="CR395" s="753">
        <f>CR394/AVERAGE($CO355:CR355)</f>
        <v>-5.0226000826731072E-2</v>
      </c>
      <c r="CS395" s="753">
        <f>CS394/AVERAGE($CO355:CS355)</f>
        <v>-6.7619487936954034E-2</v>
      </c>
      <c r="CT395" s="753">
        <f>CT394/AVERAGE($CO355:CT355)</f>
        <v>-8.5284074288185338E-2</v>
      </c>
      <c r="CU395" s="753">
        <f>CU394/AVERAGE($CO355:CU355)</f>
        <v>-0.10322689945595848</v>
      </c>
      <c r="CV395" s="753">
        <f>CV394/AVERAGE($CO355:CV355)</f>
        <v>-0.12145387187316557</v>
      </c>
      <c r="CW395" s="753">
        <f>CW394/AVERAGE($CO355:CW355)</f>
        <v>-0.139844952072332</v>
      </c>
      <c r="CX395" s="753">
        <f>CX394/AVERAGE($CO355:CX355)</f>
        <v>-0.15819828388823992</v>
      </c>
      <c r="CY395" s="753">
        <f>CY394/AVERAGE($CO355:CY355)</f>
        <v>-0.17652185569044324</v>
      </c>
      <c r="CZ395" s="753">
        <f>CZ394/AVERAGE($CO355:CZ355)</f>
        <v>-0.19482253907488806</v>
      </c>
      <c r="DA395" s="753">
        <f>DA394/AVERAGE($CO355:DA355)</f>
        <v>-0.21310694618447357</v>
      </c>
      <c r="DC395" s="729">
        <f t="shared" si="417"/>
        <v>0</v>
      </c>
      <c r="DD395" s="729">
        <f t="shared" si="418"/>
        <v>-0.10000132763563559</v>
      </c>
      <c r="DE395" s="729">
        <f t="shared" si="419"/>
        <v>-0.20211543157366191</v>
      </c>
      <c r="DF395" s="729">
        <f t="shared" si="420"/>
        <v>-0.18539717291478258</v>
      </c>
      <c r="DG395" s="729">
        <f t="shared" si="421"/>
        <v>-0.18488897635883048</v>
      </c>
      <c r="DH395" s="729">
        <f t="shared" si="422"/>
        <v>-0.19582898551967179</v>
      </c>
      <c r="DI395" s="729">
        <f t="shared" si="423"/>
        <v>-0.21310694618447357</v>
      </c>
    </row>
    <row r="396" spans="2:113">
      <c r="F396" s="698"/>
      <c r="O396" s="960"/>
      <c r="P396" s="960"/>
      <c r="Q396" s="960"/>
      <c r="R396" s="960"/>
      <c r="S396" s="960"/>
      <c r="T396" s="960"/>
      <c r="U396" s="960"/>
      <c r="V396" s="960"/>
      <c r="W396" s="960"/>
      <c r="X396" s="960"/>
      <c r="Y396" s="960"/>
      <c r="Z396" s="961"/>
      <c r="AA396" s="961"/>
      <c r="AB396" s="961"/>
      <c r="AC396" s="961"/>
      <c r="AD396" s="961"/>
      <c r="AE396" s="961"/>
      <c r="AF396" s="961"/>
      <c r="AG396" s="961"/>
      <c r="AH396" s="961"/>
      <c r="AI396" s="961"/>
      <c r="AJ396" s="961"/>
      <c r="AK396" s="961"/>
      <c r="AL396" s="961"/>
      <c r="AM396" s="961"/>
      <c r="AN396" s="961"/>
      <c r="AO396" s="961"/>
      <c r="AP396" s="961"/>
      <c r="AQ396" s="961"/>
      <c r="AR396" s="961"/>
      <c r="AS396" s="961"/>
      <c r="AT396" s="961"/>
      <c r="AU396" s="961"/>
      <c r="AV396" s="961"/>
      <c r="AW396" s="961"/>
      <c r="AX396" s="961"/>
      <c r="AY396" s="961"/>
      <c r="AZ396" s="961"/>
      <c r="BA396" s="961"/>
      <c r="BB396" s="961"/>
      <c r="BC396" s="961"/>
      <c r="BD396" s="961"/>
      <c r="BE396" s="961"/>
      <c r="BF396" s="961"/>
      <c r="BG396" s="961"/>
      <c r="BH396" s="961"/>
      <c r="BI396" s="961"/>
      <c r="BJ396" s="961"/>
      <c r="BK396" s="961"/>
      <c r="BL396" s="961"/>
      <c r="BM396" s="961"/>
      <c r="BN396" s="961"/>
      <c r="BO396" s="961"/>
      <c r="BP396" s="961"/>
      <c r="BQ396" s="961"/>
      <c r="BR396" s="961"/>
      <c r="BS396" s="961"/>
      <c r="BT396" s="961"/>
      <c r="BU396" s="961"/>
      <c r="BV396" s="961"/>
      <c r="BW396" s="961"/>
      <c r="BX396" s="961"/>
      <c r="BY396" s="961"/>
      <c r="BZ396" s="961"/>
      <c r="CA396" s="961"/>
      <c r="CB396" s="961"/>
      <c r="CC396" s="961"/>
      <c r="CD396" s="961"/>
      <c r="CE396" s="961"/>
      <c r="CF396" s="961"/>
      <c r="CG396" s="961"/>
      <c r="CH396" s="961"/>
      <c r="CI396" s="961"/>
      <c r="CJ396" s="961"/>
      <c r="CK396" s="961"/>
      <c r="CL396" s="961"/>
      <c r="CM396" s="961"/>
      <c r="CN396" s="961"/>
      <c r="CO396" s="961"/>
      <c r="CP396" s="961"/>
      <c r="CQ396" s="961"/>
      <c r="CR396" s="961"/>
      <c r="CS396" s="961"/>
      <c r="CT396" s="961"/>
      <c r="CU396" s="961"/>
      <c r="CV396" s="961"/>
      <c r="CW396" s="961"/>
      <c r="CX396" s="961"/>
      <c r="CY396" s="961"/>
      <c r="CZ396" s="961"/>
      <c r="DA396" s="961"/>
      <c r="DC396" s="962"/>
      <c r="DD396" s="962"/>
      <c r="DE396" s="962"/>
      <c r="DF396" s="962"/>
      <c r="DG396" s="962"/>
      <c r="DH396" s="962"/>
    </row>
    <row r="397" spans="2:113">
      <c r="C397" s="694"/>
      <c r="D397" s="693" t="s">
        <v>842</v>
      </c>
      <c r="E397" s="694"/>
      <c r="F397" s="694"/>
      <c r="G397" s="694"/>
      <c r="H397" s="695"/>
      <c r="I397" s="695"/>
      <c r="O397" s="696"/>
      <c r="P397" s="696"/>
      <c r="Q397" s="696"/>
      <c r="R397" s="696"/>
      <c r="S397" s="696"/>
      <c r="T397" s="696"/>
      <c r="U397" s="696"/>
      <c r="V397" s="696"/>
      <c r="W397" s="696"/>
      <c r="X397" s="696"/>
      <c r="Y397" s="696"/>
      <c r="Z397" s="697"/>
      <c r="AA397" s="697"/>
      <c r="AB397" s="697"/>
      <c r="AC397" s="697"/>
      <c r="AD397" s="697"/>
      <c r="AE397" s="697"/>
      <c r="AF397" s="697"/>
      <c r="AG397" s="697"/>
      <c r="AH397" s="697"/>
      <c r="AI397" s="697"/>
      <c r="AJ397" s="697"/>
      <c r="AK397" s="697"/>
      <c r="AL397" s="697"/>
      <c r="AM397" s="697"/>
      <c r="AN397" s="697"/>
      <c r="AO397" s="697"/>
      <c r="AP397" s="697"/>
      <c r="AQ397" s="697"/>
      <c r="AR397" s="697"/>
      <c r="AS397" s="697"/>
      <c r="AT397" s="697"/>
      <c r="AU397" s="697"/>
      <c r="AV397" s="697"/>
      <c r="AW397" s="697"/>
      <c r="AX397" s="697"/>
      <c r="AY397" s="697"/>
      <c r="AZ397" s="697"/>
      <c r="BA397" s="697"/>
      <c r="BB397" s="697"/>
      <c r="BC397" s="697"/>
      <c r="BD397" s="697"/>
      <c r="BE397" s="697"/>
      <c r="BF397" s="697"/>
      <c r="BG397" s="697"/>
      <c r="BH397" s="697"/>
      <c r="BI397" s="697"/>
      <c r="BJ397" s="697"/>
      <c r="BK397" s="697"/>
      <c r="BL397" s="697"/>
      <c r="BM397" s="697"/>
      <c r="BN397" s="697"/>
      <c r="BO397" s="697"/>
      <c r="BP397" s="697"/>
      <c r="BQ397" s="697"/>
      <c r="BR397" s="697"/>
      <c r="BS397" s="697"/>
      <c r="BT397" s="697"/>
      <c r="BU397" s="697"/>
      <c r="BV397" s="697"/>
      <c r="BW397" s="697"/>
      <c r="BX397" s="697"/>
      <c r="BY397" s="697"/>
      <c r="BZ397" s="697"/>
      <c r="CA397" s="697"/>
      <c r="CB397" s="697"/>
      <c r="CC397" s="697"/>
      <c r="CD397" s="697"/>
      <c r="CE397" s="697"/>
      <c r="CF397" s="697"/>
      <c r="CG397" s="697"/>
      <c r="CH397" s="697"/>
      <c r="CI397" s="697"/>
      <c r="CJ397" s="697"/>
      <c r="CK397" s="697"/>
      <c r="CL397" s="697"/>
      <c r="CM397" s="697"/>
      <c r="CN397" s="697"/>
      <c r="CO397" s="697"/>
      <c r="CP397" s="697"/>
      <c r="CQ397" s="697"/>
      <c r="CR397" s="697"/>
      <c r="CS397" s="697"/>
      <c r="CT397" s="697"/>
      <c r="CU397" s="697"/>
      <c r="CV397" s="697"/>
      <c r="CW397" s="697"/>
      <c r="CX397" s="697"/>
      <c r="CY397" s="697"/>
      <c r="CZ397" s="697"/>
      <c r="DA397" s="697"/>
    </row>
    <row r="398" spans="2:113" outlineLevel="2">
      <c r="E398" s="698" t="s">
        <v>816</v>
      </c>
    </row>
    <row r="399" spans="2:113" outlineLevel="2">
      <c r="E399" s="698" t="s">
        <v>793</v>
      </c>
      <c r="I399" s="699" t="s">
        <v>743</v>
      </c>
      <c r="P399" s="12"/>
      <c r="Q399" s="12"/>
      <c r="R399" s="12"/>
      <c r="S399" s="12"/>
      <c r="T399" s="12"/>
      <c r="U399" s="12"/>
      <c r="V399" s="700"/>
      <c r="W399" s="700"/>
      <c r="X399" s="700"/>
      <c r="Y399" s="700"/>
      <c r="Z399" s="700"/>
      <c r="AA399" s="700"/>
      <c r="AB399" s="700"/>
      <c r="AC399" s="700"/>
      <c r="AD399" s="700"/>
      <c r="AE399" s="700"/>
      <c r="AF399" s="700"/>
      <c r="AG399" s="700"/>
      <c r="AH399" s="701"/>
      <c r="AI399" s="701"/>
      <c r="AJ399" s="701"/>
      <c r="AK399" s="701">
        <f t="shared" ref="AK399:CV402" si="434">AK442+AK490+AK539</f>
        <v>0.34699999999999998</v>
      </c>
      <c r="AL399" s="701">
        <f t="shared" si="434"/>
        <v>5.5110000000000001</v>
      </c>
      <c r="AM399" s="701">
        <f t="shared" si="434"/>
        <v>6.1260000000000003</v>
      </c>
      <c r="AN399" s="701">
        <f t="shared" si="434"/>
        <v>8.577</v>
      </c>
      <c r="AO399" s="701">
        <f t="shared" si="434"/>
        <v>8.1079999999999988</v>
      </c>
      <c r="AP399" s="701">
        <f t="shared" si="434"/>
        <v>5.6420000000000003</v>
      </c>
      <c r="AQ399" s="701">
        <f t="shared" si="434"/>
        <v>5.7130000000000001</v>
      </c>
      <c r="AR399" s="701">
        <f t="shared" si="434"/>
        <v>9.4379999999999988</v>
      </c>
      <c r="AS399" s="701">
        <f t="shared" si="434"/>
        <v>11.375</v>
      </c>
      <c r="AT399" s="701">
        <f t="shared" si="434"/>
        <v>11.639583333333333</v>
      </c>
      <c r="AU399" s="701">
        <f t="shared" si="434"/>
        <v>11.904166666666665</v>
      </c>
      <c r="AV399" s="701">
        <f t="shared" si="434"/>
        <v>12.168749999999999</v>
      </c>
      <c r="AW399" s="701">
        <f t="shared" si="434"/>
        <v>12.433333333333332</v>
      </c>
      <c r="AX399" s="701">
        <f t="shared" si="434"/>
        <v>12.697916666666664</v>
      </c>
      <c r="AY399" s="701">
        <f t="shared" si="434"/>
        <v>12.962499999999999</v>
      </c>
      <c r="AZ399" s="701">
        <f t="shared" si="434"/>
        <v>13.227083333333331</v>
      </c>
      <c r="BA399" s="701">
        <f t="shared" si="434"/>
        <v>13.491666666666664</v>
      </c>
      <c r="BB399" s="701">
        <f t="shared" si="434"/>
        <v>13.756249999999996</v>
      </c>
      <c r="BC399" s="701">
        <f t="shared" si="434"/>
        <v>14.020833333333329</v>
      </c>
      <c r="BD399" s="701">
        <f t="shared" si="434"/>
        <v>14.285416666666663</v>
      </c>
      <c r="BE399" s="701">
        <f t="shared" si="434"/>
        <v>14.55</v>
      </c>
      <c r="BF399" s="701">
        <f t="shared" si="434"/>
        <v>14.4375</v>
      </c>
      <c r="BG399" s="701">
        <f t="shared" si="434"/>
        <v>14.324999999999999</v>
      </c>
      <c r="BH399" s="701">
        <f t="shared" si="434"/>
        <v>14.2125</v>
      </c>
      <c r="BI399" s="701">
        <f t="shared" si="434"/>
        <v>14.1</v>
      </c>
      <c r="BJ399" s="701">
        <f t="shared" si="434"/>
        <v>13.987500000000001</v>
      </c>
      <c r="BK399" s="701">
        <f t="shared" si="434"/>
        <v>13.875</v>
      </c>
      <c r="BL399" s="701">
        <f t="shared" si="434"/>
        <v>13.762500000000001</v>
      </c>
      <c r="BM399" s="701">
        <f t="shared" si="434"/>
        <v>13.650000000000002</v>
      </c>
      <c r="BN399" s="701">
        <f t="shared" si="434"/>
        <v>13.537500000000001</v>
      </c>
      <c r="BO399" s="701">
        <f t="shared" si="434"/>
        <v>13.425000000000001</v>
      </c>
      <c r="BP399" s="701">
        <f t="shared" si="434"/>
        <v>13.3125</v>
      </c>
      <c r="BQ399" s="701">
        <f t="shared" si="434"/>
        <v>13.2</v>
      </c>
      <c r="BR399" s="701">
        <f t="shared" si="434"/>
        <v>13.266666666666666</v>
      </c>
      <c r="BS399" s="701">
        <f t="shared" si="434"/>
        <v>13.333333333333332</v>
      </c>
      <c r="BT399" s="701">
        <f t="shared" si="434"/>
        <v>13.399999999999999</v>
      </c>
      <c r="BU399" s="701">
        <f t="shared" si="434"/>
        <v>13.466666666666665</v>
      </c>
      <c r="BV399" s="701">
        <f t="shared" si="434"/>
        <v>13.533333333333331</v>
      </c>
      <c r="BW399" s="701">
        <f t="shared" si="434"/>
        <v>13.599999999999998</v>
      </c>
      <c r="BX399" s="701">
        <f t="shared" si="434"/>
        <v>13.666666666666664</v>
      </c>
      <c r="BY399" s="701">
        <f t="shared" si="434"/>
        <v>13.733333333333331</v>
      </c>
      <c r="BZ399" s="701">
        <f t="shared" si="434"/>
        <v>13.799999999999997</v>
      </c>
      <c r="CA399" s="701">
        <f t="shared" si="434"/>
        <v>13.866666666666664</v>
      </c>
      <c r="CB399" s="701">
        <f t="shared" si="434"/>
        <v>13.93333333333333</v>
      </c>
      <c r="CC399" s="701">
        <f t="shared" si="434"/>
        <v>14</v>
      </c>
      <c r="CD399" s="701">
        <f t="shared" si="434"/>
        <v>14</v>
      </c>
      <c r="CE399" s="701">
        <f t="shared" si="434"/>
        <v>14</v>
      </c>
      <c r="CF399" s="701">
        <f t="shared" si="434"/>
        <v>14</v>
      </c>
      <c r="CG399" s="701">
        <f t="shared" si="434"/>
        <v>14</v>
      </c>
      <c r="CH399" s="701">
        <f t="shared" si="434"/>
        <v>14</v>
      </c>
      <c r="CI399" s="701">
        <f t="shared" si="434"/>
        <v>14</v>
      </c>
      <c r="CJ399" s="701">
        <f t="shared" si="434"/>
        <v>14</v>
      </c>
      <c r="CK399" s="701">
        <f t="shared" si="434"/>
        <v>14</v>
      </c>
      <c r="CL399" s="701">
        <f t="shared" si="434"/>
        <v>14</v>
      </c>
      <c r="CM399" s="701">
        <f t="shared" si="434"/>
        <v>14</v>
      </c>
      <c r="CN399" s="701">
        <f t="shared" si="434"/>
        <v>14</v>
      </c>
      <c r="CO399" s="701">
        <f t="shared" si="434"/>
        <v>14</v>
      </c>
      <c r="CP399" s="701">
        <f t="shared" si="434"/>
        <v>14</v>
      </c>
      <c r="CQ399" s="701">
        <f t="shared" si="434"/>
        <v>14</v>
      </c>
      <c r="CR399" s="701">
        <f t="shared" si="434"/>
        <v>14</v>
      </c>
      <c r="CS399" s="701">
        <f t="shared" si="434"/>
        <v>14</v>
      </c>
      <c r="CT399" s="701">
        <f t="shared" si="434"/>
        <v>14</v>
      </c>
      <c r="CU399" s="701">
        <f t="shared" si="434"/>
        <v>14</v>
      </c>
      <c r="CV399" s="701">
        <f t="shared" si="434"/>
        <v>14</v>
      </c>
      <c r="CW399" s="701">
        <f t="shared" ref="CW399:DA401" si="435">CW442+CW490+CW539</f>
        <v>14</v>
      </c>
      <c r="CX399" s="701">
        <f t="shared" si="435"/>
        <v>14</v>
      </c>
      <c r="CY399" s="701">
        <f t="shared" si="435"/>
        <v>14</v>
      </c>
      <c r="CZ399" s="701">
        <f t="shared" si="435"/>
        <v>14</v>
      </c>
      <c r="DA399" s="701">
        <f t="shared" si="435"/>
        <v>14</v>
      </c>
      <c r="DC399" s="11">
        <f>AG399</f>
        <v>0</v>
      </c>
      <c r="DD399" s="12">
        <f>SUM(AH399:AS399)</f>
        <v>60.837000000000003</v>
      </c>
      <c r="DE399" s="12">
        <f>SUM(AT399:BE399)</f>
        <v>157.13749999999996</v>
      </c>
      <c r="DF399" s="12">
        <f>SUM(BF399:BQ399)</f>
        <v>165.82500000000002</v>
      </c>
      <c r="DG399" s="12">
        <f>SUM(BR399:CC399)</f>
        <v>163.6</v>
      </c>
      <c r="DH399" s="12">
        <f>SUM(CD399:CO399)</f>
        <v>168</v>
      </c>
      <c r="DI399" s="12">
        <f>SUM(CP399:DA399)</f>
        <v>168</v>
      </c>
    </row>
    <row r="400" spans="2:113" outlineLevel="2">
      <c r="E400" s="698" t="s">
        <v>194</v>
      </c>
      <c r="I400" s="699" t="s">
        <v>743</v>
      </c>
      <c r="P400" s="12"/>
      <c r="Q400" s="12"/>
      <c r="R400" s="12"/>
      <c r="S400" s="12"/>
      <c r="T400" s="12"/>
      <c r="U400" s="12"/>
      <c r="V400" s="700"/>
      <c r="W400" s="700"/>
      <c r="X400" s="700"/>
      <c r="Y400" s="700"/>
      <c r="Z400" s="700"/>
      <c r="AA400" s="700"/>
      <c r="AB400" s="700"/>
      <c r="AC400" s="700"/>
      <c r="AD400" s="700"/>
      <c r="AE400" s="700"/>
      <c r="AF400" s="700"/>
      <c r="AG400" s="700"/>
      <c r="AH400" s="701"/>
      <c r="AI400" s="701"/>
      <c r="AJ400" s="701"/>
      <c r="AK400" s="701">
        <f t="shared" si="434"/>
        <v>0.34699999999999998</v>
      </c>
      <c r="AL400" s="701">
        <f t="shared" si="434"/>
        <v>5.8579999999999997</v>
      </c>
      <c r="AM400" s="701">
        <f t="shared" si="434"/>
        <v>11.984</v>
      </c>
      <c r="AN400" s="701">
        <f t="shared" si="434"/>
        <v>20.561</v>
      </c>
      <c r="AO400" s="701">
        <f t="shared" si="434"/>
        <v>28.669</v>
      </c>
      <c r="AP400" s="701">
        <f t="shared" si="434"/>
        <v>34.311</v>
      </c>
      <c r="AQ400" s="701">
        <f t="shared" si="434"/>
        <v>40.024000000000001</v>
      </c>
      <c r="AR400" s="701">
        <f t="shared" si="434"/>
        <v>49.462000000000003</v>
      </c>
      <c r="AS400" s="701">
        <f t="shared" si="434"/>
        <v>60.837000000000003</v>
      </c>
      <c r="AT400" s="701">
        <f t="shared" si="434"/>
        <v>72.476583333333338</v>
      </c>
      <c r="AU400" s="701">
        <f t="shared" si="434"/>
        <v>84.380750000000006</v>
      </c>
      <c r="AV400" s="701">
        <f t="shared" si="434"/>
        <v>96.549499999999995</v>
      </c>
      <c r="AW400" s="701">
        <f t="shared" si="434"/>
        <v>108.98283333333333</v>
      </c>
      <c r="AX400" s="701">
        <f t="shared" si="434"/>
        <v>121.68075</v>
      </c>
      <c r="AY400" s="701">
        <f t="shared" si="434"/>
        <v>134.64325000000002</v>
      </c>
      <c r="AZ400" s="701">
        <f t="shared" si="434"/>
        <v>147.87033333333332</v>
      </c>
      <c r="BA400" s="701">
        <f t="shared" si="434"/>
        <v>161.36199999999999</v>
      </c>
      <c r="BB400" s="701">
        <f t="shared" si="434"/>
        <v>175.11825000000002</v>
      </c>
      <c r="BC400" s="701">
        <f t="shared" si="434"/>
        <v>189.13908333333333</v>
      </c>
      <c r="BD400" s="701">
        <f t="shared" si="434"/>
        <v>203.42449999999999</v>
      </c>
      <c r="BE400" s="701">
        <f t="shared" si="434"/>
        <v>217.97450000000001</v>
      </c>
      <c r="BF400" s="701">
        <f t="shared" si="434"/>
        <v>232.41199999999998</v>
      </c>
      <c r="BG400" s="701">
        <f t="shared" si="434"/>
        <v>246.73699999999999</v>
      </c>
      <c r="BH400" s="701">
        <f t="shared" si="434"/>
        <v>260.9495</v>
      </c>
      <c r="BI400" s="701">
        <f t="shared" si="434"/>
        <v>275.04949999999997</v>
      </c>
      <c r="BJ400" s="701">
        <f t="shared" si="434"/>
        <v>289.03699999999998</v>
      </c>
      <c r="BK400" s="701">
        <f t="shared" si="434"/>
        <v>302.91200000000003</v>
      </c>
      <c r="BL400" s="701">
        <f t="shared" si="434"/>
        <v>316.67449999999997</v>
      </c>
      <c r="BM400" s="701">
        <f t="shared" si="434"/>
        <v>330.3245</v>
      </c>
      <c r="BN400" s="701">
        <f t="shared" si="434"/>
        <v>343.86200000000002</v>
      </c>
      <c r="BO400" s="701">
        <f t="shared" si="434"/>
        <v>357.28699999999998</v>
      </c>
      <c r="BP400" s="701">
        <f t="shared" si="434"/>
        <v>370.59949999999998</v>
      </c>
      <c r="BQ400" s="701">
        <f t="shared" si="434"/>
        <v>383.79949999999997</v>
      </c>
      <c r="BR400" s="701">
        <f t="shared" si="434"/>
        <v>397.06616666666667</v>
      </c>
      <c r="BS400" s="701">
        <f t="shared" si="434"/>
        <v>410.39949999999999</v>
      </c>
      <c r="BT400" s="701">
        <f t="shared" si="434"/>
        <v>423.79949999999997</v>
      </c>
      <c r="BU400" s="701">
        <f t="shared" si="434"/>
        <v>437.26616666666666</v>
      </c>
      <c r="BV400" s="701">
        <f t="shared" si="434"/>
        <v>450.79949999999997</v>
      </c>
      <c r="BW400" s="701">
        <f t="shared" si="434"/>
        <v>464.39949999999999</v>
      </c>
      <c r="BX400" s="701">
        <f t="shared" si="434"/>
        <v>478.06616666666662</v>
      </c>
      <c r="BY400" s="701">
        <f t="shared" si="434"/>
        <v>491.79949999999997</v>
      </c>
      <c r="BZ400" s="701">
        <f t="shared" si="434"/>
        <v>505.59949999999998</v>
      </c>
      <c r="CA400" s="701">
        <f t="shared" si="434"/>
        <v>519.4661666666666</v>
      </c>
      <c r="CB400" s="701">
        <f t="shared" si="434"/>
        <v>533.39949999999999</v>
      </c>
      <c r="CC400" s="701">
        <f t="shared" si="434"/>
        <v>547.39949999999999</v>
      </c>
      <c r="CD400" s="701">
        <f t="shared" si="434"/>
        <v>561.39949999999999</v>
      </c>
      <c r="CE400" s="701">
        <f t="shared" si="434"/>
        <v>575.39949999999999</v>
      </c>
      <c r="CF400" s="701">
        <f t="shared" si="434"/>
        <v>589.39949999999999</v>
      </c>
      <c r="CG400" s="701">
        <f t="shared" si="434"/>
        <v>603.39949999999999</v>
      </c>
      <c r="CH400" s="701">
        <f t="shared" si="434"/>
        <v>617.39949999999999</v>
      </c>
      <c r="CI400" s="701">
        <f t="shared" si="434"/>
        <v>631.39949999999999</v>
      </c>
      <c r="CJ400" s="701">
        <f t="shared" si="434"/>
        <v>645.39949999999999</v>
      </c>
      <c r="CK400" s="701">
        <f t="shared" si="434"/>
        <v>659.39949999999999</v>
      </c>
      <c r="CL400" s="701">
        <f t="shared" si="434"/>
        <v>673.39949999999999</v>
      </c>
      <c r="CM400" s="701">
        <f t="shared" si="434"/>
        <v>687.39949999999999</v>
      </c>
      <c r="CN400" s="701">
        <f t="shared" si="434"/>
        <v>701.39949999999999</v>
      </c>
      <c r="CO400" s="701">
        <f t="shared" si="434"/>
        <v>715.39949999999999</v>
      </c>
      <c r="CP400" s="701">
        <f t="shared" si="434"/>
        <v>729.39949999999999</v>
      </c>
      <c r="CQ400" s="701">
        <f t="shared" si="434"/>
        <v>743.39949999999999</v>
      </c>
      <c r="CR400" s="701">
        <f t="shared" si="434"/>
        <v>757.39949999999999</v>
      </c>
      <c r="CS400" s="701">
        <f t="shared" si="434"/>
        <v>771.39949999999999</v>
      </c>
      <c r="CT400" s="701">
        <f t="shared" si="434"/>
        <v>785.39949999999999</v>
      </c>
      <c r="CU400" s="701">
        <f t="shared" si="434"/>
        <v>799.39949999999999</v>
      </c>
      <c r="CV400" s="701">
        <f t="shared" si="434"/>
        <v>813.39949999999999</v>
      </c>
      <c r="CW400" s="701">
        <f t="shared" si="435"/>
        <v>827.39949999999999</v>
      </c>
      <c r="CX400" s="701">
        <f t="shared" si="435"/>
        <v>841.39949999999999</v>
      </c>
      <c r="CY400" s="701">
        <f t="shared" si="435"/>
        <v>855.39949999999999</v>
      </c>
      <c r="CZ400" s="701">
        <f t="shared" si="435"/>
        <v>869.39949999999999</v>
      </c>
      <c r="DA400" s="701">
        <f t="shared" si="435"/>
        <v>883.39949999999999</v>
      </c>
      <c r="DC400" s="12">
        <f>SUM(V400:AG400)</f>
        <v>0</v>
      </c>
      <c r="DD400" s="12">
        <f>SUM(AH400:AS400)</f>
        <v>252.053</v>
      </c>
      <c r="DE400" s="12">
        <f>SUM(AT400:BE400)</f>
        <v>1713.6023333333335</v>
      </c>
      <c r="DF400" s="12">
        <f>SUM(BF400:BQ400)</f>
        <v>3709.6439999999998</v>
      </c>
      <c r="DG400" s="12">
        <f>SUM(BR400:CC400)</f>
        <v>5659.4606666666659</v>
      </c>
      <c r="DH400" s="12">
        <f>SUM(CD400:CO400)</f>
        <v>7660.7939999999981</v>
      </c>
      <c r="DI400" s="12">
        <f>DA400</f>
        <v>883.39949999999999</v>
      </c>
    </row>
    <row r="401" spans="2:113" outlineLevel="2">
      <c r="E401" s="698" t="s">
        <v>843</v>
      </c>
      <c r="F401" s="12"/>
      <c r="I401" s="699" t="s">
        <v>743</v>
      </c>
      <c r="V401" s="700"/>
      <c r="W401" s="700"/>
      <c r="X401" s="700"/>
      <c r="Y401" s="700"/>
      <c r="Z401" s="700"/>
      <c r="AA401" s="700"/>
      <c r="AB401" s="700"/>
      <c r="AC401" s="700"/>
      <c r="AD401" s="700"/>
      <c r="AE401" s="700"/>
      <c r="AF401" s="700"/>
      <c r="AG401" s="700"/>
      <c r="AH401" s="701"/>
      <c r="AI401" s="701"/>
      <c r="AJ401" s="701"/>
      <c r="AK401" s="701">
        <f t="shared" si="434"/>
        <v>3.2000000000000001E-2</v>
      </c>
      <c r="AL401" s="701">
        <f t="shared" si="434"/>
        <v>1.2809999999999999</v>
      </c>
      <c r="AM401" s="701">
        <f t="shared" si="434"/>
        <v>3.5570000000000004</v>
      </c>
      <c r="AN401" s="701">
        <f t="shared" si="434"/>
        <v>6.931</v>
      </c>
      <c r="AO401" s="701">
        <f t="shared" si="434"/>
        <v>13.348000000000001</v>
      </c>
      <c r="AP401" s="701">
        <f t="shared" si="434"/>
        <v>10.637</v>
      </c>
      <c r="AQ401" s="701">
        <f t="shared" si="434"/>
        <v>12.311800000000002</v>
      </c>
      <c r="AR401" s="701">
        <f t="shared" si="434"/>
        <v>15.0824</v>
      </c>
      <c r="AS401" s="701">
        <f t="shared" si="434"/>
        <v>18.79175</v>
      </c>
      <c r="AT401" s="701">
        <f t="shared" si="434"/>
        <v>22.073183333333333</v>
      </c>
      <c r="AU401" s="701">
        <f t="shared" si="434"/>
        <v>25.779849999999996</v>
      </c>
      <c r="AV401" s="701">
        <f t="shared" si="434"/>
        <v>29.571099999999998</v>
      </c>
      <c r="AW401" s="701">
        <f t="shared" si="434"/>
        <v>33.446933333333334</v>
      </c>
      <c r="AX401" s="701">
        <f t="shared" si="434"/>
        <v>37.407350000000001</v>
      </c>
      <c r="AY401" s="701">
        <f t="shared" si="434"/>
        <v>41.452350000000003</v>
      </c>
      <c r="AZ401" s="701">
        <f t="shared" si="434"/>
        <v>45.581933333333332</v>
      </c>
      <c r="BA401" s="701">
        <f t="shared" si="434"/>
        <v>49.796099999999996</v>
      </c>
      <c r="BB401" s="701">
        <f t="shared" si="434"/>
        <v>54.094850000000001</v>
      </c>
      <c r="BC401" s="701">
        <f t="shared" si="434"/>
        <v>58.478183333333334</v>
      </c>
      <c r="BD401" s="701">
        <f t="shared" si="434"/>
        <v>62.946100000000001</v>
      </c>
      <c r="BE401" s="701">
        <f t="shared" si="434"/>
        <v>67.498599999999996</v>
      </c>
      <c r="BF401" s="701">
        <f t="shared" si="434"/>
        <v>85.751200000000011</v>
      </c>
      <c r="BG401" s="701">
        <f t="shared" si="434"/>
        <v>91.413700000000006</v>
      </c>
      <c r="BH401" s="701">
        <f t="shared" si="434"/>
        <v>97.069950000000006</v>
      </c>
      <c r="BI401" s="701">
        <f t="shared" si="434"/>
        <v>102.71994999999998</v>
      </c>
      <c r="BJ401" s="701">
        <f t="shared" si="434"/>
        <v>108.36369999999999</v>
      </c>
      <c r="BK401" s="701">
        <f t="shared" si="434"/>
        <v>114.0012</v>
      </c>
      <c r="BL401" s="701">
        <f t="shared" si="434"/>
        <v>119.63244999999998</v>
      </c>
      <c r="BM401" s="701">
        <f t="shared" si="434"/>
        <v>125.25745000000001</v>
      </c>
      <c r="BN401" s="701">
        <f t="shared" si="434"/>
        <v>130.87619999999998</v>
      </c>
      <c r="BO401" s="701">
        <f t="shared" si="434"/>
        <v>136.48869999999999</v>
      </c>
      <c r="BP401" s="701">
        <f t="shared" si="434"/>
        <v>142.09494999999998</v>
      </c>
      <c r="BQ401" s="701">
        <f t="shared" si="434"/>
        <v>147.69495000000001</v>
      </c>
      <c r="BR401" s="701">
        <f t="shared" si="434"/>
        <v>153.32828333333333</v>
      </c>
      <c r="BS401" s="701">
        <f t="shared" si="434"/>
        <v>158.99494999999999</v>
      </c>
      <c r="BT401" s="701">
        <f t="shared" si="434"/>
        <v>164.69495000000001</v>
      </c>
      <c r="BU401" s="701">
        <f t="shared" si="434"/>
        <v>170.42828333333333</v>
      </c>
      <c r="BV401" s="701">
        <f t="shared" si="434"/>
        <v>176.19495000000001</v>
      </c>
      <c r="BW401" s="701">
        <f t="shared" si="434"/>
        <v>181.99494999999999</v>
      </c>
      <c r="BX401" s="701">
        <f t="shared" si="434"/>
        <v>187.82828333333333</v>
      </c>
      <c r="BY401" s="701">
        <f t="shared" si="434"/>
        <v>193.69494999999998</v>
      </c>
      <c r="BZ401" s="701">
        <f t="shared" si="434"/>
        <v>199.59494999999998</v>
      </c>
      <c r="CA401" s="701">
        <f t="shared" si="434"/>
        <v>205.52828333333332</v>
      </c>
      <c r="CB401" s="701">
        <f t="shared" si="434"/>
        <v>211.49494999999996</v>
      </c>
      <c r="CC401" s="701">
        <f t="shared" si="434"/>
        <v>217.49494999999996</v>
      </c>
      <c r="CD401" s="701">
        <f t="shared" si="434"/>
        <v>223.49494999999996</v>
      </c>
      <c r="CE401" s="701">
        <f t="shared" si="434"/>
        <v>229.49494999999996</v>
      </c>
      <c r="CF401" s="701">
        <f t="shared" si="434"/>
        <v>235.49494999999996</v>
      </c>
      <c r="CG401" s="701">
        <f t="shared" si="434"/>
        <v>241.49494999999996</v>
      </c>
      <c r="CH401" s="701">
        <f t="shared" si="434"/>
        <v>247.49494999999996</v>
      </c>
      <c r="CI401" s="701">
        <f t="shared" si="434"/>
        <v>253.49494999999996</v>
      </c>
      <c r="CJ401" s="701">
        <f t="shared" si="434"/>
        <v>259.49494999999996</v>
      </c>
      <c r="CK401" s="701">
        <f t="shared" si="434"/>
        <v>265.49494999999996</v>
      </c>
      <c r="CL401" s="701">
        <f t="shared" si="434"/>
        <v>271.49494999999996</v>
      </c>
      <c r="CM401" s="701">
        <f t="shared" si="434"/>
        <v>277.49494999999996</v>
      </c>
      <c r="CN401" s="701">
        <f t="shared" si="434"/>
        <v>283.49494999999996</v>
      </c>
      <c r="CO401" s="701">
        <f t="shared" si="434"/>
        <v>289.49494999999996</v>
      </c>
      <c r="CP401" s="701">
        <f t="shared" si="434"/>
        <v>295.49494999999996</v>
      </c>
      <c r="CQ401" s="701">
        <f t="shared" si="434"/>
        <v>301.49494999999996</v>
      </c>
      <c r="CR401" s="701">
        <f t="shared" si="434"/>
        <v>307.49494999999996</v>
      </c>
      <c r="CS401" s="701">
        <f t="shared" si="434"/>
        <v>313.49494999999996</v>
      </c>
      <c r="CT401" s="701">
        <f t="shared" si="434"/>
        <v>319.49494999999996</v>
      </c>
      <c r="CU401" s="701">
        <f t="shared" si="434"/>
        <v>325.49494999999996</v>
      </c>
      <c r="CV401" s="701">
        <f t="shared" si="434"/>
        <v>331.49494999999996</v>
      </c>
      <c r="CW401" s="701">
        <f t="shared" si="435"/>
        <v>337.49494999999996</v>
      </c>
      <c r="CX401" s="701">
        <f t="shared" si="435"/>
        <v>343.49494999999996</v>
      </c>
      <c r="CY401" s="701">
        <f t="shared" si="435"/>
        <v>349.49494999999996</v>
      </c>
      <c r="CZ401" s="701">
        <f t="shared" si="435"/>
        <v>355.49494999999996</v>
      </c>
      <c r="DA401" s="701">
        <f t="shared" si="435"/>
        <v>361.49494999999996</v>
      </c>
      <c r="DC401" s="11">
        <f>AG401</f>
        <v>0</v>
      </c>
      <c r="DD401" s="11">
        <f>AS401</f>
        <v>18.79175</v>
      </c>
      <c r="DE401" s="11">
        <f>BE401</f>
        <v>67.498599999999996</v>
      </c>
      <c r="DF401" s="11">
        <f>BQ401</f>
        <v>147.69495000000001</v>
      </c>
      <c r="DG401" s="11">
        <f>CC401</f>
        <v>217.49494999999996</v>
      </c>
      <c r="DH401" s="11">
        <f>CO401</f>
        <v>289.49494999999996</v>
      </c>
      <c r="DI401" s="11">
        <f>SUM(CP401:DA401)</f>
        <v>3941.9393999999988</v>
      </c>
    </row>
    <row r="402" spans="2:113" outlineLevel="2">
      <c r="E402" s="698" t="s">
        <v>795</v>
      </c>
      <c r="I402" s="609" t="s">
        <v>736</v>
      </c>
      <c r="V402" s="700"/>
      <c r="W402" s="700"/>
      <c r="X402" s="700"/>
      <c r="Y402" s="700"/>
      <c r="Z402" s="700"/>
      <c r="AA402" s="700"/>
      <c r="AB402" s="700"/>
      <c r="AC402" s="700"/>
      <c r="AD402" s="700"/>
      <c r="AE402" s="700"/>
      <c r="AF402" s="700"/>
      <c r="AG402" s="700"/>
      <c r="AH402" s="701"/>
      <c r="AI402" s="701"/>
      <c r="AJ402" s="701"/>
      <c r="AK402" s="701">
        <f t="shared" si="434"/>
        <v>2.0056899999999999E-2</v>
      </c>
      <c r="AL402" s="701">
        <f t="shared" si="434"/>
        <v>1.0980000000000001</v>
      </c>
      <c r="AM402" s="701">
        <f t="shared" si="434"/>
        <v>2.7368178800000003</v>
      </c>
      <c r="AN402" s="701">
        <f t="shared" si="434"/>
        <v>5.0356150660000001</v>
      </c>
      <c r="AO402" s="701">
        <f t="shared" si="434"/>
        <v>7.1883971720000002</v>
      </c>
      <c r="AP402" s="701">
        <f t="shared" si="434"/>
        <v>7.9208724949999993</v>
      </c>
      <c r="AQ402" s="701">
        <f t="shared" si="434"/>
        <v>8.6182600000000011</v>
      </c>
      <c r="AR402" s="701">
        <f t="shared" si="434"/>
        <v>11.037839999999999</v>
      </c>
      <c r="AS402" s="701">
        <f t="shared" si="434"/>
        <v>16.042584999999999</v>
      </c>
      <c r="AT402" s="701">
        <f t="shared" si="434"/>
        <v>19.121505833333334</v>
      </c>
      <c r="AU402" s="701">
        <f t="shared" si="434"/>
        <v>22.702547499999994</v>
      </c>
      <c r="AV402" s="701">
        <f t="shared" si="434"/>
        <v>26.374734999999998</v>
      </c>
      <c r="AW402" s="701">
        <f t="shared" si="434"/>
        <v>30.138068333333329</v>
      </c>
      <c r="AX402" s="701">
        <f t="shared" si="434"/>
        <v>33.992547500000001</v>
      </c>
      <c r="AY402" s="701">
        <f t="shared" si="434"/>
        <v>37.9381725</v>
      </c>
      <c r="AZ402" s="701">
        <f t="shared" si="434"/>
        <v>41.974943333333336</v>
      </c>
      <c r="BA402" s="701">
        <f t="shared" si="434"/>
        <v>46.10286</v>
      </c>
      <c r="BB402" s="701">
        <f t="shared" si="434"/>
        <v>50.321922499999999</v>
      </c>
      <c r="BC402" s="701">
        <f t="shared" si="434"/>
        <v>54.632130833333335</v>
      </c>
      <c r="BD402" s="701">
        <f t="shared" si="434"/>
        <v>59.033484999999999</v>
      </c>
      <c r="BE402" s="701">
        <f t="shared" si="434"/>
        <v>63.525984999999999</v>
      </c>
      <c r="BF402" s="701">
        <f t="shared" si="434"/>
        <v>85.17530166666667</v>
      </c>
      <c r="BG402" s="701">
        <f t="shared" si="434"/>
        <v>91.146135000000001</v>
      </c>
      <c r="BH402" s="701">
        <f t="shared" si="434"/>
        <v>97.154885000000007</v>
      </c>
      <c r="BI402" s="701">
        <f t="shared" si="434"/>
        <v>103.20155166666666</v>
      </c>
      <c r="BJ402" s="701">
        <f t="shared" si="434"/>
        <v>109.286135</v>
      </c>
      <c r="BK402" s="701">
        <f t="shared" si="434"/>
        <v>115.408635</v>
      </c>
      <c r="BL402" s="701">
        <f t="shared" si="434"/>
        <v>121.56905166666667</v>
      </c>
      <c r="BM402" s="701">
        <f t="shared" si="434"/>
        <v>127.767385</v>
      </c>
      <c r="BN402" s="701">
        <f t="shared" si="434"/>
        <v>134.003635</v>
      </c>
      <c r="BO402" s="701">
        <f t="shared" si="434"/>
        <v>140.27780166666665</v>
      </c>
      <c r="BP402" s="701">
        <f t="shared" si="434"/>
        <v>146.58988499999998</v>
      </c>
      <c r="BQ402" s="701">
        <f t="shared" si="434"/>
        <v>152.939885</v>
      </c>
      <c r="BR402" s="701">
        <f t="shared" si="434"/>
        <v>159.33988499999998</v>
      </c>
      <c r="BS402" s="701">
        <f t="shared" si="434"/>
        <v>165.78988499999997</v>
      </c>
      <c r="BT402" s="701">
        <f t="shared" si="434"/>
        <v>172.28988499999997</v>
      </c>
      <c r="BU402" s="701">
        <f t="shared" si="434"/>
        <v>178.83988499999998</v>
      </c>
      <c r="BV402" s="701">
        <f t="shared" si="434"/>
        <v>185.439885</v>
      </c>
      <c r="BW402" s="701">
        <f t="shared" si="434"/>
        <v>192.08988499999998</v>
      </c>
      <c r="BX402" s="701">
        <f t="shared" si="434"/>
        <v>198.78988499999997</v>
      </c>
      <c r="BY402" s="701">
        <f t="shared" si="434"/>
        <v>205.53988499999997</v>
      </c>
      <c r="BZ402" s="701">
        <f t="shared" si="434"/>
        <v>212.33988499999998</v>
      </c>
      <c r="CA402" s="701">
        <f t="shared" si="434"/>
        <v>219.18988499999998</v>
      </c>
      <c r="CB402" s="701">
        <f t="shared" si="434"/>
        <v>226.08988499999998</v>
      </c>
      <c r="CC402" s="701">
        <f t="shared" si="434"/>
        <v>233.03988499999997</v>
      </c>
      <c r="CD402" s="701">
        <f t="shared" si="434"/>
        <v>239.98988499999996</v>
      </c>
      <c r="CE402" s="701">
        <f t="shared" si="434"/>
        <v>246.93988499999998</v>
      </c>
      <c r="CF402" s="701">
        <f t="shared" si="434"/>
        <v>253.88988499999999</v>
      </c>
      <c r="CG402" s="701">
        <f t="shared" si="434"/>
        <v>260.83988499999998</v>
      </c>
      <c r="CH402" s="701">
        <f t="shared" si="434"/>
        <v>267.78988499999997</v>
      </c>
      <c r="CI402" s="701">
        <f t="shared" si="434"/>
        <v>274.73988499999996</v>
      </c>
      <c r="CJ402" s="701">
        <f t="shared" si="434"/>
        <v>281.689885</v>
      </c>
      <c r="CK402" s="701">
        <f t="shared" si="434"/>
        <v>288.63988499999999</v>
      </c>
      <c r="CL402" s="701">
        <f t="shared" si="434"/>
        <v>295.58988499999998</v>
      </c>
      <c r="CM402" s="701">
        <f t="shared" si="434"/>
        <v>302.53988499999997</v>
      </c>
      <c r="CN402" s="701">
        <f t="shared" si="434"/>
        <v>309.48988499999996</v>
      </c>
      <c r="CO402" s="701">
        <f t="shared" si="434"/>
        <v>316.43988499999995</v>
      </c>
      <c r="CP402" s="701">
        <f t="shared" si="434"/>
        <v>323.38988499999994</v>
      </c>
      <c r="CQ402" s="701">
        <f t="shared" si="434"/>
        <v>330.33988499999998</v>
      </c>
      <c r="CR402" s="701">
        <f t="shared" si="434"/>
        <v>337.28988499999997</v>
      </c>
      <c r="CS402" s="701">
        <f t="shared" si="434"/>
        <v>344.23988499999996</v>
      </c>
      <c r="CT402" s="701">
        <f t="shared" si="434"/>
        <v>351.18988499999995</v>
      </c>
      <c r="CU402" s="701">
        <f t="shared" si="434"/>
        <v>358.13988499999994</v>
      </c>
      <c r="CV402" s="701">
        <f t="shared" ref="CV402:DA403" si="436">CV445+CV493+CV542</f>
        <v>365.08988499999998</v>
      </c>
      <c r="CW402" s="701">
        <f t="shared" si="436"/>
        <v>372.03988499999997</v>
      </c>
      <c r="CX402" s="701">
        <f t="shared" si="436"/>
        <v>378.98988499999996</v>
      </c>
      <c r="CY402" s="701">
        <f t="shared" si="436"/>
        <v>385.93988499999995</v>
      </c>
      <c r="CZ402" s="701">
        <f t="shared" si="436"/>
        <v>392.88988499999994</v>
      </c>
      <c r="DA402" s="701">
        <f t="shared" si="436"/>
        <v>399.83988499999998</v>
      </c>
      <c r="DC402" s="12">
        <f>SUM(V402:AG402)</f>
        <v>0</v>
      </c>
      <c r="DD402" s="12">
        <f>SUM(AH402:AS402)</f>
        <v>59.698444512999998</v>
      </c>
      <c r="DE402" s="12">
        <f>SUM(AT402:BE402)</f>
        <v>485.85890333333333</v>
      </c>
      <c r="DF402" s="12">
        <f>SUM(BF402:BQ402)</f>
        <v>1424.5202866666666</v>
      </c>
      <c r="DG402" s="12">
        <f>SUM(BR402:CC402)</f>
        <v>2348.77862</v>
      </c>
      <c r="DH402" s="12">
        <f>SUM(CD402:CO402)</f>
        <v>3338.5786199999998</v>
      </c>
      <c r="DI402" s="12">
        <f>SUM(CP402:DA402)</f>
        <v>4339.3786199999995</v>
      </c>
    </row>
    <row r="403" spans="2:113" outlineLevel="2">
      <c r="E403" s="698" t="s">
        <v>796</v>
      </c>
      <c r="I403" s="609" t="s">
        <v>736</v>
      </c>
      <c r="V403" s="700"/>
      <c r="W403" s="700"/>
      <c r="X403" s="700"/>
      <c r="Y403" s="700"/>
      <c r="Z403" s="700"/>
      <c r="AA403" s="700"/>
      <c r="AB403" s="700"/>
      <c r="AC403" s="700"/>
      <c r="AD403" s="700"/>
      <c r="AE403" s="700"/>
      <c r="AF403" s="700"/>
      <c r="AG403" s="700"/>
      <c r="AH403" s="701"/>
      <c r="AI403" s="701"/>
      <c r="AJ403" s="701"/>
      <c r="AK403" s="701">
        <f t="shared" ref="AK403:CV403" si="437">AK446+AK494+AK543</f>
        <v>1.9035494E-2</v>
      </c>
      <c r="AL403" s="701">
        <f t="shared" si="437"/>
        <v>0.932348391</v>
      </c>
      <c r="AM403" s="701">
        <f t="shared" si="437"/>
        <v>2.7813506760000002</v>
      </c>
      <c r="AN403" s="701">
        <f t="shared" si="437"/>
        <v>5.6146401800000003</v>
      </c>
      <c r="AO403" s="701">
        <f t="shared" si="437"/>
        <v>8.6527679000000006</v>
      </c>
      <c r="AP403" s="701">
        <f t="shared" si="437"/>
        <v>11.217143425</v>
      </c>
      <c r="AQ403" s="701">
        <f t="shared" si="437"/>
        <v>14.758809007</v>
      </c>
      <c r="AR403" s="701">
        <f t="shared" si="437"/>
        <v>16.20342315245</v>
      </c>
      <c r="AS403" s="701">
        <f t="shared" si="437"/>
        <v>21.800063103357498</v>
      </c>
      <c r="AT403" s="701">
        <f t="shared" si="437"/>
        <v>30.824735595974531</v>
      </c>
      <c r="AU403" s="701">
        <f t="shared" si="437"/>
        <v>38.998687320212831</v>
      </c>
      <c r="AV403" s="701">
        <f t="shared" si="437"/>
        <v>46.621649036772574</v>
      </c>
      <c r="AW403" s="701">
        <f t="shared" si="437"/>
        <v>54.109035899266097</v>
      </c>
      <c r="AX403" s="701">
        <f t="shared" si="437"/>
        <v>61.906016392118772</v>
      </c>
      <c r="AY403" s="701">
        <f t="shared" si="437"/>
        <v>69.542290195069569</v>
      </c>
      <c r="AZ403" s="701">
        <f t="shared" si="437"/>
        <v>77.754458399250225</v>
      </c>
      <c r="BA403" s="701">
        <f t="shared" si="437"/>
        <v>86.27011546506732</v>
      </c>
      <c r="BB403" s="701">
        <f t="shared" si="437"/>
        <v>94.451184367215021</v>
      </c>
      <c r="BC403" s="701">
        <f t="shared" si="437"/>
        <v>102.70136108796464</v>
      </c>
      <c r="BD403" s="701">
        <f t="shared" si="437"/>
        <v>111.19333979636851</v>
      </c>
      <c r="BE403" s="701">
        <f t="shared" si="437"/>
        <v>120.03094827204075</v>
      </c>
      <c r="BF403" s="701">
        <f t="shared" si="437"/>
        <v>146.13448411280879</v>
      </c>
      <c r="BG403" s="701">
        <f t="shared" si="437"/>
        <v>165.13608786104757</v>
      </c>
      <c r="BH403" s="701">
        <f t="shared" si="437"/>
        <v>180.6061719055682</v>
      </c>
      <c r="BI403" s="701">
        <f t="shared" si="437"/>
        <v>194.51091001941231</v>
      </c>
      <c r="BJ403" s="701">
        <f t="shared" si="437"/>
        <v>207.8017151859878</v>
      </c>
      <c r="BK403" s="701">
        <f t="shared" si="437"/>
        <v>220.81578177637067</v>
      </c>
      <c r="BL403" s="701">
        <f t="shared" si="437"/>
        <v>233.69098189863803</v>
      </c>
      <c r="BM403" s="701">
        <f t="shared" si="437"/>
        <v>246.36767747061316</v>
      </c>
      <c r="BN403" s="701">
        <f t="shared" si="437"/>
        <v>258.70170040575954</v>
      </c>
      <c r="BO403" s="701">
        <f t="shared" si="437"/>
        <v>271.08385976988751</v>
      </c>
      <c r="BP403" s="701">
        <f t="shared" si="437"/>
        <v>283.40700115428632</v>
      </c>
      <c r="BQ403" s="701">
        <f t="shared" si="437"/>
        <v>295.9228498047043</v>
      </c>
      <c r="BR403" s="701">
        <f t="shared" si="437"/>
        <v>308.41840067529569</v>
      </c>
      <c r="BS403" s="701">
        <f t="shared" si="437"/>
        <v>320.95464863143872</v>
      </c>
      <c r="BT403" s="701">
        <f t="shared" si="437"/>
        <v>333.57816735739863</v>
      </c>
      <c r="BU403" s="701">
        <f t="shared" si="437"/>
        <v>346.29427471882815</v>
      </c>
      <c r="BV403" s="701">
        <f t="shared" si="437"/>
        <v>359.1048429481981</v>
      </c>
      <c r="BW403" s="701">
        <f t="shared" si="437"/>
        <v>372.01776890723391</v>
      </c>
      <c r="BX403" s="701">
        <f t="shared" si="437"/>
        <v>385.02585046618663</v>
      </c>
      <c r="BY403" s="701">
        <f t="shared" si="437"/>
        <v>398.1369778765021</v>
      </c>
      <c r="BZ403" s="701">
        <f t="shared" si="437"/>
        <v>411.34702336836011</v>
      </c>
      <c r="CA403" s="701">
        <f t="shared" si="437"/>
        <v>424.65182149538475</v>
      </c>
      <c r="CB403" s="701">
        <f t="shared" si="437"/>
        <v>438.04914219772093</v>
      </c>
      <c r="CC403" s="701">
        <f t="shared" si="437"/>
        <v>451.53771606807834</v>
      </c>
      <c r="CD403" s="701">
        <f t="shared" si="437"/>
        <v>465.40762830748218</v>
      </c>
      <c r="CE403" s="701">
        <f t="shared" si="437"/>
        <v>479.14176403235228</v>
      </c>
      <c r="CF403" s="701">
        <f t="shared" si="437"/>
        <v>492.80109955417663</v>
      </c>
      <c r="CG403" s="701">
        <f t="shared" si="437"/>
        <v>506.41885228246133</v>
      </c>
      <c r="CH403" s="701">
        <f t="shared" si="437"/>
        <v>520.0136119302208</v>
      </c>
      <c r="CI403" s="701">
        <f t="shared" si="437"/>
        <v>533.59546062440529</v>
      </c>
      <c r="CJ403" s="701">
        <f t="shared" si="437"/>
        <v>547.59231375236334</v>
      </c>
      <c r="CK403" s="701">
        <f t="shared" si="437"/>
        <v>561.38879499468476</v>
      </c>
      <c r="CL403" s="701">
        <f t="shared" si="437"/>
        <v>575.08815903196319</v>
      </c>
      <c r="CM403" s="701">
        <f t="shared" si="437"/>
        <v>588.7363953824937</v>
      </c>
      <c r="CN403" s="701">
        <f t="shared" si="437"/>
        <v>602.35769282201932</v>
      </c>
      <c r="CO403" s="701">
        <f t="shared" si="437"/>
        <v>615.9644555001862</v>
      </c>
      <c r="CP403" s="701">
        <f t="shared" si="437"/>
        <v>629.56329194347859</v>
      </c>
      <c r="CQ403" s="701">
        <f t="shared" si="437"/>
        <v>643.14884993239957</v>
      </c>
      <c r="CR403" s="701">
        <f t="shared" si="437"/>
        <v>656.74021236617045</v>
      </c>
      <c r="CS403" s="701">
        <f t="shared" si="437"/>
        <v>670.33626920116808</v>
      </c>
      <c r="CT403" s="701">
        <f t="shared" si="437"/>
        <v>683.93573534363065</v>
      </c>
      <c r="CU403" s="701">
        <f t="shared" si="437"/>
        <v>697.5374441026122</v>
      </c>
      <c r="CV403" s="701">
        <f t="shared" si="437"/>
        <v>711.14053015814886</v>
      </c>
      <c r="CW403" s="701">
        <f t="shared" si="436"/>
        <v>724.74438661628619</v>
      </c>
      <c r="CX403" s="701">
        <f t="shared" si="436"/>
        <v>738.34879603347144</v>
      </c>
      <c r="CY403" s="701">
        <f t="shared" si="436"/>
        <v>751.95304875496186</v>
      </c>
      <c r="CZ403" s="701">
        <f t="shared" si="436"/>
        <v>765.5570677532678</v>
      </c>
      <c r="DA403" s="701">
        <f t="shared" si="436"/>
        <v>783.08455668362592</v>
      </c>
      <c r="DC403" s="11">
        <f>AG403</f>
        <v>0</v>
      </c>
      <c r="DD403" s="11">
        <f>AS403</f>
        <v>21.800063103357498</v>
      </c>
      <c r="DE403" s="11">
        <f>BE403</f>
        <v>120.03094827204075</v>
      </c>
      <c r="DF403" s="11">
        <f>BQ403</f>
        <v>295.9228498047043</v>
      </c>
      <c r="DG403" s="11">
        <f>CC403</f>
        <v>451.53771606807834</v>
      </c>
      <c r="DH403" s="11">
        <f>CO403</f>
        <v>615.9644555001862</v>
      </c>
      <c r="DI403" s="11">
        <f>DA403</f>
        <v>783.08455668362592</v>
      </c>
    </row>
    <row r="404" spans="2:113" outlineLevel="2">
      <c r="E404" s="698" t="s">
        <v>215</v>
      </c>
      <c r="I404" s="609" t="s">
        <v>736</v>
      </c>
      <c r="P404" s="12"/>
      <c r="Q404" s="12"/>
      <c r="R404" s="12"/>
      <c r="S404" s="12"/>
      <c r="T404" s="12"/>
      <c r="U404" s="12"/>
      <c r="V404" s="702"/>
      <c r="W404" s="702"/>
      <c r="X404" s="702"/>
      <c r="Y404" s="702"/>
      <c r="Z404" s="702"/>
      <c r="AA404" s="702"/>
      <c r="AB404" s="702"/>
      <c r="AC404" s="702"/>
      <c r="AD404" s="702"/>
      <c r="AE404" s="702"/>
      <c r="AF404" s="702"/>
      <c r="AG404" s="702"/>
      <c r="AH404" s="701"/>
      <c r="AI404" s="701"/>
      <c r="AJ404" s="701"/>
      <c r="AK404" s="701">
        <f>AK408+AK410</f>
        <v>1.0214060000000001E-3</v>
      </c>
      <c r="AL404" s="701">
        <f t="shared" ref="AL404:CW404" si="438">AL408+AL410</f>
        <v>4.9043436999999995E-2</v>
      </c>
      <c r="AM404" s="701">
        <f t="shared" si="438"/>
        <v>0.117522401</v>
      </c>
      <c r="AN404" s="701">
        <f t="shared" si="438"/>
        <v>0.21274689499999999</v>
      </c>
      <c r="AO404" s="701">
        <f t="shared" si="438"/>
        <v>0.31997071799999999</v>
      </c>
      <c r="AP404" s="701">
        <f t="shared" si="438"/>
        <v>0.39170544100000004</v>
      </c>
      <c r="AQ404" s="701">
        <f t="shared" si="438"/>
        <v>0.49900950063905536</v>
      </c>
      <c r="AR404" s="701">
        <f t="shared" si="438"/>
        <v>0.60082673277362997</v>
      </c>
      <c r="AS404" s="701">
        <f t="shared" si="438"/>
        <v>0.74385699825312601</v>
      </c>
      <c r="AT404" s="701">
        <f t="shared" si="438"/>
        <v>0.90247627068583447</v>
      </c>
      <c r="AU404" s="701">
        <f t="shared" si="438"/>
        <v>1.1216932164869282</v>
      </c>
      <c r="AV404" s="701">
        <f t="shared" si="438"/>
        <v>1.4016528441613685</v>
      </c>
      <c r="AW404" s="701">
        <f t="shared" si="438"/>
        <v>1.6370787934671678</v>
      </c>
      <c r="AX404" s="701">
        <f t="shared" si="438"/>
        <v>1.8642399924983</v>
      </c>
      <c r="AY404" s="701">
        <f t="shared" si="438"/>
        <v>2.0893811984604067</v>
      </c>
      <c r="AZ404" s="701">
        <f t="shared" si="438"/>
        <v>2.3259798820606514</v>
      </c>
      <c r="BA404" s="701">
        <f t="shared" si="438"/>
        <v>2.5601171349351342</v>
      </c>
      <c r="BB404" s="701">
        <f t="shared" si="438"/>
        <v>2.8069381459573775</v>
      </c>
      <c r="BC404" s="701">
        <f t="shared" si="438"/>
        <v>3.0770235817792977</v>
      </c>
      <c r="BD404" s="701">
        <f t="shared" si="438"/>
        <v>3.3718356357260633</v>
      </c>
      <c r="BE404" s="701">
        <f t="shared" si="438"/>
        <v>3.68882448032842</v>
      </c>
      <c r="BF404" s="701">
        <f t="shared" si="438"/>
        <v>4.4060336003017362</v>
      </c>
      <c r="BG404" s="701">
        <f t="shared" si="438"/>
        <v>5.3392955820148948</v>
      </c>
      <c r="BH404" s="701">
        <f t="shared" si="438"/>
        <v>6.1517076564743487</v>
      </c>
      <c r="BI404" s="701">
        <f t="shared" si="438"/>
        <v>6.7627493560328613</v>
      </c>
      <c r="BJ404" s="701">
        <f t="shared" si="438"/>
        <v>7.2830750057122202</v>
      </c>
      <c r="BK404" s="701">
        <f t="shared" si="438"/>
        <v>7.7556853543734068</v>
      </c>
      <c r="BL404" s="701">
        <f t="shared" si="438"/>
        <v>8.2089897328503234</v>
      </c>
      <c r="BM404" s="701">
        <f t="shared" si="438"/>
        <v>8.6216912875047349</v>
      </c>
      <c r="BN404" s="701">
        <f t="shared" si="438"/>
        <v>9.0265005519358716</v>
      </c>
      <c r="BO404" s="701">
        <f t="shared" si="438"/>
        <v>9.4660319896459608</v>
      </c>
      <c r="BP404" s="701">
        <f t="shared" si="438"/>
        <v>9.9139995663744394</v>
      </c>
      <c r="BQ404" s="701">
        <f t="shared" si="438"/>
        <v>10.361103361737875</v>
      </c>
      <c r="BR404" s="701">
        <f t="shared" si="438"/>
        <v>10.806530573778705</v>
      </c>
      <c r="BS404" s="701">
        <f t="shared" si="438"/>
        <v>11.244119702457262</v>
      </c>
      <c r="BT404" s="701">
        <f t="shared" si="438"/>
        <v>11.686668696982306</v>
      </c>
      <c r="BU404" s="701">
        <f t="shared" si="438"/>
        <v>12.133219121561199</v>
      </c>
      <c r="BV404" s="701">
        <f t="shared" si="438"/>
        <v>12.583477660584327</v>
      </c>
      <c r="BW404" s="701">
        <f t="shared" si="438"/>
        <v>13.03812613901378</v>
      </c>
      <c r="BX404" s="701">
        <f t="shared" si="438"/>
        <v>13.534944640562415</v>
      </c>
      <c r="BY404" s="701">
        <f t="shared" si="438"/>
        <v>14.075418524033052</v>
      </c>
      <c r="BZ404" s="701">
        <f t="shared" si="438"/>
        <v>14.609447325749386</v>
      </c>
      <c r="CA404" s="701">
        <f t="shared" si="438"/>
        <v>15.14412504963143</v>
      </c>
      <c r="CB404" s="701">
        <f t="shared" si="438"/>
        <v>15.682062431196256</v>
      </c>
      <c r="CC404" s="701">
        <f t="shared" si="438"/>
        <v>16.224910121326388</v>
      </c>
      <c r="CD404" s="701">
        <f t="shared" si="438"/>
        <v>16.822652451694807</v>
      </c>
      <c r="CE404" s="701">
        <f t="shared" si="438"/>
        <v>17.450215220403042</v>
      </c>
      <c r="CF404" s="701">
        <f t="shared" si="438"/>
        <v>18.03291828293554</v>
      </c>
      <c r="CG404" s="701">
        <f t="shared" si="438"/>
        <v>18.61059357539056</v>
      </c>
      <c r="CH404" s="701">
        <f t="shared" si="438"/>
        <v>19.18714276371886</v>
      </c>
      <c r="CI404" s="701">
        <f t="shared" si="438"/>
        <v>19.765192642932803</v>
      </c>
      <c r="CJ404" s="701">
        <f t="shared" si="438"/>
        <v>20.346321635882937</v>
      </c>
      <c r="CK404" s="701">
        <f t="shared" si="438"/>
        <v>20.897148580259163</v>
      </c>
      <c r="CL404" s="701">
        <f t="shared" si="438"/>
        <v>21.408800937691005</v>
      </c>
      <c r="CM404" s="701">
        <f t="shared" si="438"/>
        <v>21.920831847901361</v>
      </c>
      <c r="CN404" s="701">
        <f t="shared" si="438"/>
        <v>22.433181232964451</v>
      </c>
      <c r="CO404" s="701">
        <f t="shared" si="438"/>
        <v>22.946241322482596</v>
      </c>
      <c r="CP404" s="701">
        <f t="shared" si="438"/>
        <v>23.460243038272914</v>
      </c>
      <c r="CQ404" s="701">
        <f t="shared" si="438"/>
        <v>23.975335044568375</v>
      </c>
      <c r="CR404" s="701">
        <f t="shared" si="438"/>
        <v>24.491768908797674</v>
      </c>
      <c r="CS404" s="701">
        <f t="shared" si="438"/>
        <v>25.00904377481897</v>
      </c>
      <c r="CT404" s="701">
        <f t="shared" si="438"/>
        <v>25.526302350652632</v>
      </c>
      <c r="CU404" s="701">
        <f t="shared" si="438"/>
        <v>26.043527185393462</v>
      </c>
      <c r="CV404" s="701">
        <f t="shared" si="438"/>
        <v>26.560698570285098</v>
      </c>
      <c r="CW404" s="701">
        <f t="shared" si="438"/>
        <v>27.077811131020152</v>
      </c>
      <c r="CX404" s="701">
        <f t="shared" ref="CX404:DA404" si="439">CX408+CX410</f>
        <v>27.594870893155445</v>
      </c>
      <c r="CY404" s="701">
        <f t="shared" si="439"/>
        <v>28.111888599237286</v>
      </c>
      <c r="CZ404" s="701">
        <f t="shared" si="439"/>
        <v>28.628884900358816</v>
      </c>
      <c r="DA404" s="701">
        <f t="shared" si="439"/>
        <v>29.157982701204251</v>
      </c>
      <c r="DC404" s="12">
        <f t="shared" ref="DC404:DC418" si="440">SUM(V404:AG404)</f>
        <v>0</v>
      </c>
      <c r="DD404" s="12">
        <f t="shared" ref="DD404:DD429" si="441">SUM(AH404:AS404)</f>
        <v>2.9357035296658114</v>
      </c>
      <c r="DE404" s="12">
        <f t="shared" ref="DE404:DE429" si="442">SUM(AT404:BE404)</f>
        <v>26.847241176546952</v>
      </c>
      <c r="DF404" s="12">
        <f>SUM(BF404:BQ404)</f>
        <v>93.29686304495867</v>
      </c>
      <c r="DG404" s="12">
        <f>SUM(BR404:CC404)</f>
        <v>160.7630499868765</v>
      </c>
      <c r="DH404" s="12">
        <f t="shared" ref="DH404:DH433" si="443">SUM(CD404:CO404)</f>
        <v>239.82124049425713</v>
      </c>
      <c r="DI404" s="12">
        <f>SUM(CP404:DA404)</f>
        <v>315.63835709776504</v>
      </c>
    </row>
    <row r="405" spans="2:113" outlineLevel="2">
      <c r="E405" s="698" t="s">
        <v>99</v>
      </c>
      <c r="I405" s="609" t="s">
        <v>736</v>
      </c>
      <c r="P405" s="12"/>
      <c r="Q405" s="12"/>
      <c r="R405" s="12"/>
      <c r="S405" s="12"/>
      <c r="T405" s="12"/>
      <c r="U405" s="12"/>
      <c r="V405" s="702"/>
      <c r="W405" s="702"/>
      <c r="X405" s="702"/>
      <c r="Y405" s="702"/>
      <c r="Z405" s="702"/>
      <c r="AA405" s="702"/>
      <c r="AB405" s="702"/>
      <c r="AC405" s="702"/>
      <c r="AD405" s="702"/>
      <c r="AE405" s="702"/>
      <c r="AF405" s="702"/>
      <c r="AG405" s="702"/>
      <c r="AH405" s="701"/>
      <c r="AI405" s="701"/>
      <c r="AJ405" s="701"/>
      <c r="AK405" s="701">
        <f>AK409</f>
        <v>0</v>
      </c>
      <c r="AL405" s="701">
        <f t="shared" ref="AL405:CW405" si="444">AL409</f>
        <v>-1.4697512062999999E-3</v>
      </c>
      <c r="AM405" s="701">
        <f t="shared" si="444"/>
        <v>-6.5800579691995516E-3</v>
      </c>
      <c r="AN405" s="701">
        <f t="shared" si="444"/>
        <v>-1.6513969692799963E-2</v>
      </c>
      <c r="AO405" s="701">
        <f t="shared" si="444"/>
        <v>-2.7999430607000001E-2</v>
      </c>
      <c r="AP405" s="701">
        <f t="shared" si="444"/>
        <v>-3.6271073322799996E-2</v>
      </c>
      <c r="AQ405" s="701">
        <f t="shared" si="444"/>
        <v>-4.6364326999999997E-2</v>
      </c>
      <c r="AR405" s="701">
        <f t="shared" si="444"/>
        <v>-7.3619865365406253E-2</v>
      </c>
      <c r="AS405" s="701">
        <f t="shared" si="444"/>
        <v>-8.7091322669558852E-2</v>
      </c>
      <c r="AT405" s="701">
        <f t="shared" si="444"/>
        <v>-0.12059849701930256</v>
      </c>
      <c r="AU405" s="701">
        <f t="shared" si="444"/>
        <v>-0.16001201084959604</v>
      </c>
      <c r="AV405" s="701">
        <f t="shared" si="444"/>
        <v>-0.19621327081809156</v>
      </c>
      <c r="AW405" s="701">
        <f t="shared" si="444"/>
        <v>-0.23084115297842198</v>
      </c>
      <c r="AX405" s="701">
        <f t="shared" si="444"/>
        <v>-0.26586782816775695</v>
      </c>
      <c r="AY405" s="701">
        <f t="shared" si="444"/>
        <v>-0.30123570259563998</v>
      </c>
      <c r="AZ405" s="701">
        <f t="shared" si="444"/>
        <v>-0.3375550488619829</v>
      </c>
      <c r="BA405" s="701">
        <f t="shared" si="444"/>
        <v>-0.37588964843906103</v>
      </c>
      <c r="BB405" s="701">
        <f t="shared" si="444"/>
        <v>-0.41415297878231377</v>
      </c>
      <c r="BC405" s="701">
        <f t="shared" si="444"/>
        <v>-0.45180791666812009</v>
      </c>
      <c r="BD405" s="701">
        <f t="shared" si="444"/>
        <v>-0.49017535619326347</v>
      </c>
      <c r="BE405" s="701">
        <f t="shared" si="444"/>
        <v>-0.52988899349010454</v>
      </c>
      <c r="BF405" s="701">
        <f t="shared" si="444"/>
        <v>-0.6099624492152802</v>
      </c>
      <c r="BG405" s="701">
        <f t="shared" si="444"/>
        <v>-0.71332839410675419</v>
      </c>
      <c r="BH405" s="701">
        <f t="shared" si="444"/>
        <v>-0.79232601196516117</v>
      </c>
      <c r="BI405" s="701">
        <f t="shared" si="444"/>
        <v>-0.85964331274474703</v>
      </c>
      <c r="BJ405" s="701">
        <f t="shared" si="444"/>
        <v>-0.92196643276237533</v>
      </c>
      <c r="BK405" s="701">
        <f t="shared" si="444"/>
        <v>-0.98224843053873823</v>
      </c>
      <c r="BL405" s="701">
        <f t="shared" si="444"/>
        <v>-1.0415780000885615</v>
      </c>
      <c r="BM405" s="701">
        <f t="shared" si="444"/>
        <v>-1.1001344277212006</v>
      </c>
      <c r="BN405" s="701">
        <f t="shared" si="444"/>
        <v>-1.1574506576333541</v>
      </c>
      <c r="BO405" s="701">
        <f t="shared" si="444"/>
        <v>-1.2140919087358579</v>
      </c>
      <c r="BP405" s="701">
        <f t="shared" si="444"/>
        <v>-1.2707082229512316</v>
      </c>
      <c r="BQ405" s="701">
        <f t="shared" si="444"/>
        <v>-1.3276309084476867</v>
      </c>
      <c r="BR405" s="701">
        <f t="shared" si="444"/>
        <v>-1.3849486990166666</v>
      </c>
      <c r="BS405" s="701">
        <f t="shared" si="444"/>
        <v>-1.4423132379945998</v>
      </c>
      <c r="BT405" s="701">
        <f t="shared" si="444"/>
        <v>-1.4999710366410854</v>
      </c>
      <c r="BU405" s="701">
        <f t="shared" si="444"/>
        <v>-1.5580410130913531</v>
      </c>
      <c r="BV405" s="701">
        <f t="shared" si="444"/>
        <v>-1.616539644653602</v>
      </c>
      <c r="BW405" s="701">
        <f t="shared" si="444"/>
        <v>-1.675489318835365</v>
      </c>
      <c r="BX405" s="701">
        <f t="shared" si="444"/>
        <v>-1.7348916277307551</v>
      </c>
      <c r="BY405" s="701">
        <f t="shared" si="444"/>
        <v>-1.7947481482853282</v>
      </c>
      <c r="BZ405" s="701">
        <f t="shared" si="444"/>
        <v>-1.8550675028528096</v>
      </c>
      <c r="CA405" s="701">
        <f t="shared" si="444"/>
        <v>-1.9158306861460821</v>
      </c>
      <c r="CB405" s="701">
        <f t="shared" si="444"/>
        <v>-1.9770230417967007</v>
      </c>
      <c r="CC405" s="701">
        <f t="shared" si="444"/>
        <v>-2.0386365501924564</v>
      </c>
      <c r="CD405" s="701">
        <f t="shared" si="444"/>
        <v>-2.1013330808606594</v>
      </c>
      <c r="CE405" s="701">
        <f t="shared" si="444"/>
        <v>-2.164592357445454</v>
      </c>
      <c r="CF405" s="701">
        <f t="shared" si="444"/>
        <v>-2.2273690623857951</v>
      </c>
      <c r="CG405" s="701">
        <f t="shared" si="444"/>
        <v>-2.2898790562922953</v>
      </c>
      <c r="CH405" s="701">
        <f t="shared" si="444"/>
        <v>-2.3522410638207298</v>
      </c>
      <c r="CI405" s="701">
        <f t="shared" si="444"/>
        <v>-2.414520791271018</v>
      </c>
      <c r="CJ405" s="701">
        <f t="shared" si="444"/>
        <v>-2.4777219829467612</v>
      </c>
      <c r="CK405" s="701">
        <f t="shared" si="444"/>
        <v>-2.5414150408786522</v>
      </c>
      <c r="CL405" s="701">
        <f t="shared" si="444"/>
        <v>-2.6044263529777352</v>
      </c>
      <c r="CM405" s="701">
        <f t="shared" si="444"/>
        <v>-2.6670979371997974</v>
      </c>
      <c r="CN405" s="701">
        <f t="shared" si="444"/>
        <v>-2.7295906188020091</v>
      </c>
      <c r="CO405" s="701">
        <f t="shared" si="444"/>
        <v>-2.7919882565717211</v>
      </c>
      <c r="CP405" s="701">
        <f t="shared" si="444"/>
        <v>-2.8543344212250652</v>
      </c>
      <c r="CQ405" s="701">
        <f t="shared" si="444"/>
        <v>-2.9166319917988877</v>
      </c>
      <c r="CR405" s="701">
        <f t="shared" si="444"/>
        <v>-2.978912434434223</v>
      </c>
      <c r="CS405" s="701">
        <f t="shared" si="444"/>
        <v>-3.0412169369251507</v>
      </c>
      <c r="CT405" s="701">
        <f t="shared" si="444"/>
        <v>-3.103540010415164</v>
      </c>
      <c r="CU405" s="701">
        <f t="shared" si="444"/>
        <v>-3.1658760362309732</v>
      </c>
      <c r="CV405" s="701">
        <f t="shared" si="444"/>
        <v>-3.228220357680911</v>
      </c>
      <c r="CW405" s="701">
        <f t="shared" si="444"/>
        <v>-3.2905696009414136</v>
      </c>
      <c r="CX405" s="701">
        <f t="shared" ref="CX405:DA405" si="445">CX409</f>
        <v>-3.3529218769056941</v>
      </c>
      <c r="CY405" s="701">
        <f t="shared" si="445"/>
        <v>-3.4152750609734932</v>
      </c>
      <c r="CZ405" s="701">
        <f t="shared" si="445"/>
        <v>-3.4776273503313595</v>
      </c>
      <c r="DA405" s="701">
        <f t="shared" si="445"/>
        <v>-3.5489703893345479</v>
      </c>
      <c r="DC405" s="12">
        <f t="shared" si="440"/>
        <v>0</v>
      </c>
      <c r="DD405" s="12">
        <f t="shared" si="441"/>
        <v>-0.29590979783306459</v>
      </c>
      <c r="DE405" s="12">
        <f t="shared" si="442"/>
        <v>-3.8742384048636551</v>
      </c>
      <c r="DF405" s="12">
        <f>SUM(BF405:BQ405)</f>
        <v>-11.991069156910948</v>
      </c>
      <c r="DG405" s="12">
        <f t="shared" ref="DG405:DG433" si="446">SUM(BR405:CC405)</f>
        <v>-20.493500507236806</v>
      </c>
      <c r="DH405" s="12">
        <f t="shared" si="443"/>
        <v>-29.362175601452627</v>
      </c>
      <c r="DI405" s="12">
        <f t="shared" ref="DI405:DI435" si="447">SUM(CP405:DA405)</f>
        <v>-38.374096467196885</v>
      </c>
    </row>
    <row r="406" spans="2:113" s="698" customFormat="1" outlineLevel="2">
      <c r="B406" s="126"/>
      <c r="E406" s="698" t="s">
        <v>217</v>
      </c>
      <c r="H406" s="703"/>
      <c r="I406" s="609" t="s">
        <v>736</v>
      </c>
      <c r="J406" s="703"/>
      <c r="K406" s="703"/>
      <c r="L406" s="703"/>
      <c r="M406" s="703"/>
      <c r="P406" s="704"/>
      <c r="Q406" s="704"/>
      <c r="R406" s="704"/>
      <c r="S406" s="704"/>
      <c r="T406" s="704"/>
      <c r="U406" s="704"/>
      <c r="V406" s="705"/>
      <c r="W406" s="705"/>
      <c r="X406" s="705"/>
      <c r="Y406" s="705"/>
      <c r="Z406" s="705"/>
      <c r="AA406" s="705"/>
      <c r="AB406" s="705"/>
      <c r="AC406" s="705"/>
      <c r="AD406" s="705"/>
      <c r="AE406" s="705"/>
      <c r="AF406" s="705"/>
      <c r="AG406" s="705"/>
      <c r="AH406" s="706"/>
      <c r="AI406" s="706"/>
      <c r="AJ406" s="706"/>
      <c r="AK406" s="706">
        <f>AK407+AK410</f>
        <v>1.0214060000000001E-3</v>
      </c>
      <c r="AL406" s="706">
        <f t="shared" ref="AL406:CJ406" si="448">AL407+AL410</f>
        <v>4.7573685793699992E-2</v>
      </c>
      <c r="AM406" s="706">
        <f>AM407+AM410</f>
        <v>0.11094234303080044</v>
      </c>
      <c r="AN406" s="706">
        <f t="shared" si="448"/>
        <v>0.19623292530720002</v>
      </c>
      <c r="AO406" s="707">
        <f t="shared" si="448"/>
        <v>0.29197128739299999</v>
      </c>
      <c r="AP406" s="706">
        <f t="shared" si="448"/>
        <v>0.35543436767720005</v>
      </c>
      <c r="AQ406" s="706">
        <f t="shared" si="448"/>
        <v>0.45264517363905538</v>
      </c>
      <c r="AR406" s="706">
        <f t="shared" si="448"/>
        <v>0.52720686740822365</v>
      </c>
      <c r="AS406" s="706">
        <f>AS407+AS410</f>
        <v>0.65676567558356724</v>
      </c>
      <c r="AT406" s="706">
        <f t="shared" si="448"/>
        <v>0.78187777366653188</v>
      </c>
      <c r="AU406" s="706">
        <f t="shared" si="448"/>
        <v>0.96168120563733217</v>
      </c>
      <c r="AV406" s="706">
        <f t="shared" si="448"/>
        <v>1.205439573343277</v>
      </c>
      <c r="AW406" s="706">
        <f t="shared" si="448"/>
        <v>1.4062376404887458</v>
      </c>
      <c r="AX406" s="706">
        <f t="shared" si="448"/>
        <v>1.5983721643305429</v>
      </c>
      <c r="AY406" s="706">
        <f t="shared" si="448"/>
        <v>1.7881454958647667</v>
      </c>
      <c r="AZ406" s="706">
        <f t="shared" si="448"/>
        <v>1.9884248331986683</v>
      </c>
      <c r="BA406" s="706">
        <f t="shared" si="448"/>
        <v>2.1842274864960727</v>
      </c>
      <c r="BB406" s="706">
        <f t="shared" si="448"/>
        <v>2.3927851671750635</v>
      </c>
      <c r="BC406" s="706">
        <f t="shared" si="448"/>
        <v>2.6252156651111775</v>
      </c>
      <c r="BD406" s="706">
        <f t="shared" si="448"/>
        <v>2.8816602795327997</v>
      </c>
      <c r="BE406" s="706">
        <f t="shared" si="448"/>
        <v>3.1589354868383159</v>
      </c>
      <c r="BF406" s="706">
        <f t="shared" si="448"/>
        <v>3.7960711510864558</v>
      </c>
      <c r="BG406" s="706">
        <f t="shared" si="448"/>
        <v>4.6259671879081408</v>
      </c>
      <c r="BH406" s="706">
        <f t="shared" si="448"/>
        <v>5.3593816445091873</v>
      </c>
      <c r="BI406" s="706">
        <f t="shared" si="448"/>
        <v>5.9031060432881146</v>
      </c>
      <c r="BJ406" s="706">
        <f t="shared" si="448"/>
        <v>6.3611085729498456</v>
      </c>
      <c r="BK406" s="706">
        <f t="shared" si="448"/>
        <v>6.7734369238346694</v>
      </c>
      <c r="BL406" s="706">
        <f t="shared" si="448"/>
        <v>7.167411732761761</v>
      </c>
      <c r="BM406" s="706">
        <f t="shared" si="448"/>
        <v>7.5215568597835345</v>
      </c>
      <c r="BN406" s="706">
        <f t="shared" si="448"/>
        <v>7.8690498943025178</v>
      </c>
      <c r="BO406" s="706">
        <f t="shared" si="448"/>
        <v>8.2519400809101029</v>
      </c>
      <c r="BP406" s="706">
        <f t="shared" si="448"/>
        <v>8.6432913434232077</v>
      </c>
      <c r="BQ406" s="706">
        <f t="shared" si="448"/>
        <v>9.0334724532901873</v>
      </c>
      <c r="BR406" s="706">
        <f t="shared" si="448"/>
        <v>9.4215818747620386</v>
      </c>
      <c r="BS406" s="706">
        <f t="shared" si="448"/>
        <v>9.801806464462663</v>
      </c>
      <c r="BT406" s="706">
        <f t="shared" si="448"/>
        <v>10.18669766034122</v>
      </c>
      <c r="BU406" s="706">
        <f t="shared" si="448"/>
        <v>10.575178108469846</v>
      </c>
      <c r="BV406" s="706">
        <f t="shared" si="448"/>
        <v>10.966938015930726</v>
      </c>
      <c r="BW406" s="706">
        <f t="shared" si="448"/>
        <v>11.362636820178414</v>
      </c>
      <c r="BX406" s="706">
        <f t="shared" si="448"/>
        <v>11.800053012831661</v>
      </c>
      <c r="BY406" s="706">
        <f t="shared" si="448"/>
        <v>12.280670375747725</v>
      </c>
      <c r="BZ406" s="706">
        <f t="shared" si="448"/>
        <v>12.754379822896578</v>
      </c>
      <c r="CA406" s="706">
        <f t="shared" si="448"/>
        <v>13.228294363485348</v>
      </c>
      <c r="CB406" s="706">
        <f t="shared" si="448"/>
        <v>13.705039389399555</v>
      </c>
      <c r="CC406" s="706">
        <f t="shared" si="448"/>
        <v>14.186273571133931</v>
      </c>
      <c r="CD406" s="706">
        <f t="shared" si="448"/>
        <v>14.721319370834149</v>
      </c>
      <c r="CE406" s="706">
        <f t="shared" si="448"/>
        <v>15.285622862957586</v>
      </c>
      <c r="CF406" s="706">
        <f t="shared" si="448"/>
        <v>15.805549220549747</v>
      </c>
      <c r="CG406" s="706">
        <f t="shared" si="448"/>
        <v>16.320714519098267</v>
      </c>
      <c r="CH406" s="706">
        <f t="shared" si="448"/>
        <v>16.834901699898133</v>
      </c>
      <c r="CI406" s="706">
        <f t="shared" si="448"/>
        <v>17.350671851661787</v>
      </c>
      <c r="CJ406" s="706">
        <f t="shared" si="448"/>
        <v>17.868599652936176</v>
      </c>
      <c r="CK406" s="706">
        <f>CK407+CK410</f>
        <v>18.355733539380513</v>
      </c>
      <c r="CL406" s="706">
        <f>CL407+CL410</f>
        <v>18.804374584713269</v>
      </c>
      <c r="CM406" s="706">
        <f>CM407+CM410</f>
        <v>19.253733910701563</v>
      </c>
      <c r="CN406" s="706">
        <f>CN407+CN410</f>
        <v>19.703590614162444</v>
      </c>
      <c r="CO406" s="706">
        <f>CO407+CO410</f>
        <v>20.154253065910876</v>
      </c>
      <c r="CP406" s="706">
        <f t="shared" ref="CP406:CV406" si="449">CP407+CP410</f>
        <v>20.605908617047845</v>
      </c>
      <c r="CQ406" s="706">
        <f t="shared" si="449"/>
        <v>21.058703052769484</v>
      </c>
      <c r="CR406" s="706">
        <f t="shared" si="449"/>
        <v>21.512856474363449</v>
      </c>
      <c r="CS406" s="706">
        <f t="shared" si="449"/>
        <v>21.967826837893821</v>
      </c>
      <c r="CT406" s="706">
        <f t="shared" si="449"/>
        <v>22.422762340237469</v>
      </c>
      <c r="CU406" s="706">
        <f t="shared" si="449"/>
        <v>22.877651149162489</v>
      </c>
      <c r="CV406" s="706">
        <f t="shared" si="449"/>
        <v>23.332478212604187</v>
      </c>
      <c r="CW406" s="706">
        <f>CW407+CW410</f>
        <v>23.787241530078738</v>
      </c>
      <c r="CX406" s="706">
        <f>CX407+CX410</f>
        <v>24.241949016249748</v>
      </c>
      <c r="CY406" s="706">
        <f>CY407+CY410</f>
        <v>24.696613538263794</v>
      </c>
      <c r="CZ406" s="706">
        <f>CZ407+CZ410</f>
        <v>25.151257550027456</v>
      </c>
      <c r="DA406" s="706">
        <f>DA407+DA410</f>
        <v>25.609012311869705</v>
      </c>
      <c r="DC406" s="14">
        <f t="shared" si="440"/>
        <v>0</v>
      </c>
      <c r="DD406" s="14">
        <f t="shared" si="441"/>
        <v>2.6397937318327469</v>
      </c>
      <c r="DE406" s="14">
        <f t="shared" si="442"/>
        <v>22.973002771683291</v>
      </c>
      <c r="DF406" s="14">
        <f>SUM(BF406:BQ406)</f>
        <v>81.305793888047731</v>
      </c>
      <c r="DG406" s="14">
        <f t="shared" si="446"/>
        <v>140.26954947963972</v>
      </c>
      <c r="DH406" s="14">
        <f t="shared" si="443"/>
        <v>210.45906489280446</v>
      </c>
      <c r="DI406" s="14">
        <f t="shared" si="447"/>
        <v>277.26426063056823</v>
      </c>
    </row>
    <row r="407" spans="2:113" s="698" customFormat="1" outlineLevel="2">
      <c r="B407" s="126"/>
      <c r="F407" s="698" t="s">
        <v>218</v>
      </c>
      <c r="H407" s="703"/>
      <c r="I407" s="609" t="s">
        <v>736</v>
      </c>
      <c r="J407" s="703"/>
      <c r="K407" s="703"/>
      <c r="L407" s="703"/>
      <c r="M407" s="703"/>
      <c r="P407" s="14"/>
      <c r="Q407" s="14"/>
      <c r="R407" s="14"/>
      <c r="S407" s="14"/>
      <c r="T407" s="14"/>
      <c r="U407" s="14"/>
      <c r="V407" s="708"/>
      <c r="W407" s="708"/>
      <c r="X407" s="708"/>
      <c r="Y407" s="708"/>
      <c r="Z407" s="708"/>
      <c r="AA407" s="708"/>
      <c r="AB407" s="708"/>
      <c r="AC407" s="708"/>
      <c r="AD407" s="708"/>
      <c r="AE407" s="708"/>
      <c r="AF407" s="708"/>
      <c r="AG407" s="708"/>
      <c r="AH407" s="696"/>
      <c r="AI407" s="696"/>
      <c r="AJ407" s="696"/>
      <c r="AK407" s="696">
        <f t="shared" ref="AK407:CV407" si="450">AK408+AK409</f>
        <v>0</v>
      </c>
      <c r="AL407" s="696">
        <f t="shared" si="450"/>
        <v>-1.4697512062999999E-3</v>
      </c>
      <c r="AM407" s="696">
        <f t="shared" si="450"/>
        <v>-6.5800579691995516E-3</v>
      </c>
      <c r="AN407" s="696">
        <f t="shared" si="450"/>
        <v>-1.6513969692799963E-2</v>
      </c>
      <c r="AO407" s="709">
        <f t="shared" si="450"/>
        <v>-2.7992409607000002E-2</v>
      </c>
      <c r="AP407" s="696">
        <f t="shared" si="450"/>
        <v>-2.8459984322799996E-2</v>
      </c>
      <c r="AQ407" s="696">
        <f t="shared" si="450"/>
        <v>4.3570100174147725E-3</v>
      </c>
      <c r="AR407" s="696">
        <f t="shared" si="450"/>
        <v>2.916159538124144E-2</v>
      </c>
      <c r="AS407" s="696">
        <f t="shared" si="450"/>
        <v>3.4171971332223786E-2</v>
      </c>
      <c r="AT407" s="696">
        <f t="shared" si="450"/>
        <v>1.9585206881545025E-2</v>
      </c>
      <c r="AU407" s="696">
        <f t="shared" si="450"/>
        <v>7.5674119009785712E-2</v>
      </c>
      <c r="AV407" s="696">
        <f t="shared" si="450"/>
        <v>0.15268910786752024</v>
      </c>
      <c r="AW407" s="696">
        <f t="shared" si="450"/>
        <v>0.19364785775644214</v>
      </c>
      <c r="AX407" s="696">
        <f t="shared" si="450"/>
        <v>0.22661723919685001</v>
      </c>
      <c r="AY407" s="696">
        <f t="shared" si="450"/>
        <v>0.26368821644367385</v>
      </c>
      <c r="AZ407" s="696">
        <f t="shared" si="450"/>
        <v>0.29577825722127332</v>
      </c>
      <c r="BA407" s="696">
        <f t="shared" si="450"/>
        <v>0.32582033783995823</v>
      </c>
      <c r="BB407" s="696">
        <f t="shared" si="450"/>
        <v>0.36442763643665282</v>
      </c>
      <c r="BC407" s="696">
        <f t="shared" si="450"/>
        <v>0.40865270594969877</v>
      </c>
      <c r="BD407" s="696">
        <f t="shared" si="450"/>
        <v>0.45528741618305812</v>
      </c>
      <c r="BE407" s="696">
        <f t="shared" si="450"/>
        <v>0.50402943129609734</v>
      </c>
      <c r="BF407" s="696">
        <f t="shared" si="450"/>
        <v>0.58725099001183056</v>
      </c>
      <c r="BG407" s="696">
        <f t="shared" si="450"/>
        <v>0.64477665296433206</v>
      </c>
      <c r="BH407" s="696">
        <f t="shared" si="450"/>
        <v>0.75289858266799459</v>
      </c>
      <c r="BI407" s="696">
        <f t="shared" si="450"/>
        <v>0.84219458399282987</v>
      </c>
      <c r="BJ407" s="696">
        <f t="shared" si="450"/>
        <v>0.91261034606879732</v>
      </c>
      <c r="BK407" s="696">
        <f t="shared" si="450"/>
        <v>0.97614611334332357</v>
      </c>
      <c r="BL407" s="696">
        <f t="shared" si="450"/>
        <v>1.0310580868478789</v>
      </c>
      <c r="BM407" s="696">
        <f t="shared" si="450"/>
        <v>1.0734520109191614</v>
      </c>
      <c r="BN407" s="696">
        <f t="shared" si="450"/>
        <v>1.1173792451001361</v>
      </c>
      <c r="BO407" s="696">
        <f t="shared" si="450"/>
        <v>1.1597734383328966</v>
      </c>
      <c r="BP407" s="696">
        <f t="shared" si="450"/>
        <v>1.1972779718655033</v>
      </c>
      <c r="BQ407" s="696">
        <f t="shared" si="450"/>
        <v>1.2345133580167451</v>
      </c>
      <c r="BR407" s="696">
        <f t="shared" si="450"/>
        <v>1.2676700883440393</v>
      </c>
      <c r="BS407" s="696">
        <f t="shared" si="450"/>
        <v>1.301154832932194</v>
      </c>
      <c r="BT407" s="696">
        <f t="shared" si="450"/>
        <v>1.3337399733236237</v>
      </c>
      <c r="BU407" s="696">
        <f t="shared" si="450"/>
        <v>1.365718062872908</v>
      </c>
      <c r="BV407" s="696">
        <f t="shared" si="450"/>
        <v>1.3973535307367433</v>
      </c>
      <c r="BW407" s="696">
        <f t="shared" si="450"/>
        <v>1.4287446670855797</v>
      </c>
      <c r="BX407" s="696">
        <f t="shared" si="450"/>
        <v>1.4696959335533974</v>
      </c>
      <c r="BY407" s="696">
        <f t="shared" si="450"/>
        <v>1.508454474411109</v>
      </c>
      <c r="BZ407" s="696">
        <f t="shared" si="450"/>
        <v>1.5462597254666828</v>
      </c>
      <c r="CA407" s="696">
        <f t="shared" si="450"/>
        <v>1.5834205128780725</v>
      </c>
      <c r="CB407" s="696">
        <f t="shared" si="450"/>
        <v>1.620279120501912</v>
      </c>
      <c r="CC407" s="696">
        <f t="shared" si="450"/>
        <v>1.6568017825635626</v>
      </c>
      <c r="CD407" s="696">
        <f t="shared" si="450"/>
        <v>1.7056529168900125</v>
      </c>
      <c r="CE407" s="696">
        <f t="shared" si="450"/>
        <v>1.7464620494654732</v>
      </c>
      <c r="CF407" s="696">
        <f t="shared" si="450"/>
        <v>1.7884438762158577</v>
      </c>
      <c r="CG407" s="696">
        <f t="shared" si="450"/>
        <v>1.8286090325462405</v>
      </c>
      <c r="CH407" s="696">
        <f t="shared" si="450"/>
        <v>1.8681532841147575</v>
      </c>
      <c r="CI407" s="696">
        <f t="shared" si="450"/>
        <v>1.9074519303714954</v>
      </c>
      <c r="CJ407" s="696">
        <f t="shared" si="450"/>
        <v>1.9468430230694809</v>
      </c>
      <c r="CK407" s="696">
        <f t="shared" si="450"/>
        <v>1.9795125613574882</v>
      </c>
      <c r="CL407" s="696">
        <f t="shared" si="450"/>
        <v>2.0147527519429316</v>
      </c>
      <c r="CM407" s="696">
        <f t="shared" si="450"/>
        <v>2.0481727346774128</v>
      </c>
      <c r="CN407" s="696">
        <f t="shared" si="450"/>
        <v>2.0807638632036141</v>
      </c>
      <c r="CO407" s="696">
        <f t="shared" si="450"/>
        <v>2.1129733759313991</v>
      </c>
      <c r="CP407" s="696">
        <f t="shared" si="450"/>
        <v>2.1450467531468629</v>
      </c>
      <c r="CQ407" s="696">
        <f t="shared" si="450"/>
        <v>2.1771081686062828</v>
      </c>
      <c r="CR407" s="696">
        <f t="shared" si="450"/>
        <v>2.2093757117132213</v>
      </c>
      <c r="CS407" s="696">
        <f t="shared" si="450"/>
        <v>2.2416227839000507</v>
      </c>
      <c r="CT407" s="696">
        <f t="shared" si="450"/>
        <v>2.2739543078434203</v>
      </c>
      <c r="CU407" s="696">
        <f t="shared" si="450"/>
        <v>2.3063365265350337</v>
      </c>
      <c r="CV407" s="696">
        <f t="shared" si="450"/>
        <v>2.3387455896282683</v>
      </c>
      <c r="CW407" s="696">
        <f t="shared" ref="CW407:DA407" si="451">CW408+CW409</f>
        <v>2.3711649306121556</v>
      </c>
      <c r="CX407" s="696">
        <f t="shared" si="451"/>
        <v>2.4035846743874965</v>
      </c>
      <c r="CY407" s="696">
        <f t="shared" si="451"/>
        <v>2.4359962695597552</v>
      </c>
      <c r="CZ407" s="696">
        <f t="shared" si="451"/>
        <v>2.4684045319199486</v>
      </c>
      <c r="DA407" s="696">
        <f t="shared" si="451"/>
        <v>2.5023061503239483</v>
      </c>
      <c r="DC407" s="14">
        <f t="shared" si="440"/>
        <v>0</v>
      </c>
      <c r="DD407" s="14">
        <f t="shared" si="441"/>
        <v>-1.3325596067219517E-2</v>
      </c>
      <c r="DE407" s="14">
        <f t="shared" si="442"/>
        <v>3.2858975320825552</v>
      </c>
      <c r="DF407" s="14">
        <f t="shared" ref="DF407:DF429" si="452">SUM(BF407:BQ407)</f>
        <v>11.529331380131428</v>
      </c>
      <c r="DG407" s="14">
        <f t="shared" si="446"/>
        <v>17.479292704669827</v>
      </c>
      <c r="DH407" s="14">
        <f t="shared" si="443"/>
        <v>23.027791399786164</v>
      </c>
      <c r="DI407" s="14">
        <f t="shared" si="447"/>
        <v>27.873646398176444</v>
      </c>
    </row>
    <row r="408" spans="2:113" outlineLevel="2">
      <c r="F408" s="126" t="s">
        <v>737</v>
      </c>
      <c r="I408" s="609" t="s">
        <v>736</v>
      </c>
      <c r="O408" s="710"/>
      <c r="P408" s="710"/>
      <c r="Q408" s="710"/>
      <c r="R408" s="710"/>
      <c r="S408" s="710"/>
      <c r="T408" s="710"/>
      <c r="U408" s="710"/>
      <c r="V408" s="711"/>
      <c r="W408" s="711"/>
      <c r="X408" s="712"/>
      <c r="Y408" s="712"/>
      <c r="Z408" s="712"/>
      <c r="AA408" s="712"/>
      <c r="AB408" s="712"/>
      <c r="AC408" s="712"/>
      <c r="AD408" s="712"/>
      <c r="AE408" s="712"/>
      <c r="AF408" s="712"/>
      <c r="AG408" s="713"/>
      <c r="AH408" s="701"/>
      <c r="AI408" s="701"/>
      <c r="AJ408" s="701"/>
      <c r="AK408" s="701">
        <f t="shared" ref="AK408:CV409" si="453">AK454+AK502+AK551</f>
        <v>0</v>
      </c>
      <c r="AL408" s="701">
        <f t="shared" si="453"/>
        <v>0</v>
      </c>
      <c r="AM408" s="701">
        <f t="shared" si="453"/>
        <v>0</v>
      </c>
      <c r="AN408" s="701">
        <f t="shared" si="453"/>
        <v>0</v>
      </c>
      <c r="AO408" s="701">
        <f t="shared" si="453"/>
        <v>7.0210000000000002E-6</v>
      </c>
      <c r="AP408" s="701">
        <f t="shared" si="453"/>
        <v>7.8110890000000002E-3</v>
      </c>
      <c r="AQ408" s="701">
        <f t="shared" si="453"/>
        <v>5.0721337017414769E-2</v>
      </c>
      <c r="AR408" s="701">
        <f t="shared" si="453"/>
        <v>0.10278146074664769</v>
      </c>
      <c r="AS408" s="701">
        <f t="shared" si="453"/>
        <v>0.12126329400178264</v>
      </c>
      <c r="AT408" s="701">
        <f t="shared" si="453"/>
        <v>0.14018370390084758</v>
      </c>
      <c r="AU408" s="701">
        <f t="shared" si="453"/>
        <v>0.23568612985938175</v>
      </c>
      <c r="AV408" s="701">
        <f t="shared" si="453"/>
        <v>0.3489023786856118</v>
      </c>
      <c r="AW408" s="701">
        <f t="shared" si="453"/>
        <v>0.42448901073486411</v>
      </c>
      <c r="AX408" s="701">
        <f t="shared" si="453"/>
        <v>0.49248506736460695</v>
      </c>
      <c r="AY408" s="701">
        <f t="shared" si="453"/>
        <v>0.56492391903931383</v>
      </c>
      <c r="AZ408" s="701">
        <f t="shared" si="453"/>
        <v>0.63333330608325622</v>
      </c>
      <c r="BA408" s="701">
        <f t="shared" si="453"/>
        <v>0.70170998627901926</v>
      </c>
      <c r="BB408" s="701">
        <f t="shared" si="453"/>
        <v>0.7785806152189666</v>
      </c>
      <c r="BC408" s="701">
        <f t="shared" si="453"/>
        <v>0.86046062261781886</v>
      </c>
      <c r="BD408" s="701">
        <f t="shared" si="453"/>
        <v>0.94546277237632159</v>
      </c>
      <c r="BE408" s="701">
        <f t="shared" si="453"/>
        <v>1.0339184247862019</v>
      </c>
      <c r="BF408" s="701">
        <f t="shared" si="453"/>
        <v>1.1972134392271108</v>
      </c>
      <c r="BG408" s="701">
        <f t="shared" si="453"/>
        <v>1.3581050470710863</v>
      </c>
      <c r="BH408" s="701">
        <f t="shared" si="453"/>
        <v>1.5452245946331558</v>
      </c>
      <c r="BI408" s="701">
        <f t="shared" si="453"/>
        <v>1.7018378967375769</v>
      </c>
      <c r="BJ408" s="701">
        <f t="shared" si="453"/>
        <v>1.8345767788311726</v>
      </c>
      <c r="BK408" s="701">
        <f t="shared" si="453"/>
        <v>1.9583945438820618</v>
      </c>
      <c r="BL408" s="701">
        <f t="shared" si="453"/>
        <v>2.0726360869364404</v>
      </c>
      <c r="BM408" s="701">
        <f t="shared" si="453"/>
        <v>2.1735864386403621</v>
      </c>
      <c r="BN408" s="701">
        <f t="shared" si="453"/>
        <v>2.2748299027334902</v>
      </c>
      <c r="BO408" s="701">
        <f t="shared" si="453"/>
        <v>2.3738653470687545</v>
      </c>
      <c r="BP408" s="701">
        <f t="shared" si="453"/>
        <v>2.467986194816735</v>
      </c>
      <c r="BQ408" s="701">
        <f t="shared" si="453"/>
        <v>2.5621442664644318</v>
      </c>
      <c r="BR408" s="701">
        <f t="shared" si="453"/>
        <v>2.6526187873607059</v>
      </c>
      <c r="BS408" s="701">
        <f t="shared" si="453"/>
        <v>2.7434680709267938</v>
      </c>
      <c r="BT408" s="701">
        <f t="shared" si="453"/>
        <v>2.8337110099647091</v>
      </c>
      <c r="BU408" s="701">
        <f t="shared" si="453"/>
        <v>2.9237590759642611</v>
      </c>
      <c r="BV408" s="701">
        <f t="shared" si="453"/>
        <v>3.0138931753903453</v>
      </c>
      <c r="BW408" s="701">
        <f t="shared" si="453"/>
        <v>3.1042339859209447</v>
      </c>
      <c r="BX408" s="701">
        <f t="shared" si="453"/>
        <v>3.2045875612841526</v>
      </c>
      <c r="BY408" s="701">
        <f t="shared" si="453"/>
        <v>3.3032026226964373</v>
      </c>
      <c r="BZ408" s="701">
        <f t="shared" si="453"/>
        <v>3.4013272283194924</v>
      </c>
      <c r="CA408" s="701">
        <f t="shared" si="453"/>
        <v>3.4992511990241546</v>
      </c>
      <c r="CB408" s="701">
        <f t="shared" si="453"/>
        <v>3.5973021622986128</v>
      </c>
      <c r="CC408" s="701">
        <f t="shared" si="453"/>
        <v>3.695438332756019</v>
      </c>
      <c r="CD408" s="701">
        <f t="shared" si="453"/>
        <v>3.8069859977506719</v>
      </c>
      <c r="CE408" s="701">
        <f t="shared" si="453"/>
        <v>3.9110544069109272</v>
      </c>
      <c r="CF408" s="701">
        <f t="shared" si="453"/>
        <v>4.0158129386016528</v>
      </c>
      <c r="CG408" s="701">
        <f t="shared" si="453"/>
        <v>4.1184880888385358</v>
      </c>
      <c r="CH408" s="701">
        <f t="shared" si="453"/>
        <v>4.2203943479354873</v>
      </c>
      <c r="CI408" s="701">
        <f t="shared" si="453"/>
        <v>4.3219727216425134</v>
      </c>
      <c r="CJ408" s="701">
        <f t="shared" si="453"/>
        <v>4.424565006016242</v>
      </c>
      <c r="CK408" s="701">
        <f t="shared" si="453"/>
        <v>4.5209276022361404</v>
      </c>
      <c r="CL408" s="701">
        <f t="shared" si="453"/>
        <v>4.6191791049206667</v>
      </c>
      <c r="CM408" s="701">
        <f t="shared" si="453"/>
        <v>4.7152706718772102</v>
      </c>
      <c r="CN408" s="701">
        <f t="shared" si="453"/>
        <v>4.8103544820056232</v>
      </c>
      <c r="CO408" s="701">
        <f t="shared" si="453"/>
        <v>4.9049616325031202</v>
      </c>
      <c r="CP408" s="701">
        <f t="shared" si="453"/>
        <v>4.9993811743719281</v>
      </c>
      <c r="CQ408" s="701">
        <f t="shared" si="453"/>
        <v>5.0937401604051704</v>
      </c>
      <c r="CR408" s="701">
        <f t="shared" si="453"/>
        <v>5.1882881461474444</v>
      </c>
      <c r="CS408" s="701">
        <f t="shared" si="453"/>
        <v>5.2828397208252014</v>
      </c>
      <c r="CT408" s="701">
        <f t="shared" si="453"/>
        <v>5.3774943182585844</v>
      </c>
      <c r="CU408" s="701">
        <f t="shared" si="453"/>
        <v>5.472212562766007</v>
      </c>
      <c r="CV408" s="701">
        <f t="shared" si="453"/>
        <v>5.5669659473091793</v>
      </c>
      <c r="CW408" s="701">
        <f t="shared" ref="CW408:DA409" si="454">CW454+CW502+CW551</f>
        <v>5.6617345315535692</v>
      </c>
      <c r="CX408" s="701">
        <f t="shared" si="454"/>
        <v>5.7565065512931906</v>
      </c>
      <c r="CY408" s="701">
        <f t="shared" si="454"/>
        <v>5.8512713305332484</v>
      </c>
      <c r="CZ408" s="701">
        <f t="shared" si="454"/>
        <v>5.9460318822513081</v>
      </c>
      <c r="DA408" s="701">
        <f t="shared" si="454"/>
        <v>6.0512765396584962</v>
      </c>
      <c r="DC408" s="12">
        <f t="shared" si="440"/>
        <v>0</v>
      </c>
      <c r="DD408" s="12">
        <f t="shared" si="441"/>
        <v>0.28258420176584509</v>
      </c>
      <c r="DE408" s="12">
        <f t="shared" si="442"/>
        <v>7.1601359369462108</v>
      </c>
      <c r="DF408" s="12">
        <f t="shared" si="452"/>
        <v>23.520400537042381</v>
      </c>
      <c r="DG408" s="12">
        <f t="shared" si="446"/>
        <v>37.972793211906627</v>
      </c>
      <c r="DH408" s="12">
        <f t="shared" si="443"/>
        <v>52.389967001238787</v>
      </c>
      <c r="DI408" s="12">
        <f t="shared" si="447"/>
        <v>66.24774286537334</v>
      </c>
    </row>
    <row r="409" spans="2:113" outlineLevel="2">
      <c r="F409" s="126" t="s">
        <v>798</v>
      </c>
      <c r="I409" s="609" t="s">
        <v>736</v>
      </c>
      <c r="O409" s="710"/>
      <c r="P409" s="710"/>
      <c r="Q409" s="710"/>
      <c r="R409" s="710"/>
      <c r="S409" s="710"/>
      <c r="T409" s="710"/>
      <c r="U409" s="710"/>
      <c r="V409" s="711"/>
      <c r="W409" s="711"/>
      <c r="X409" s="712"/>
      <c r="Y409" s="712"/>
      <c r="Z409" s="712"/>
      <c r="AA409" s="712"/>
      <c r="AB409" s="712"/>
      <c r="AC409" s="712"/>
      <c r="AD409" s="712"/>
      <c r="AE409" s="712"/>
      <c r="AF409" s="712"/>
      <c r="AG409" s="713"/>
      <c r="AH409" s="701"/>
      <c r="AI409" s="701"/>
      <c r="AJ409" s="701"/>
      <c r="AK409" s="701">
        <f t="shared" si="453"/>
        <v>0</v>
      </c>
      <c r="AL409" s="701">
        <f t="shared" si="453"/>
        <v>-1.4697512062999999E-3</v>
      </c>
      <c r="AM409" s="701">
        <f t="shared" si="453"/>
        <v>-6.5800579691995516E-3</v>
      </c>
      <c r="AN409" s="701">
        <f t="shared" si="453"/>
        <v>-1.6513969692799963E-2</v>
      </c>
      <c r="AO409" s="701">
        <f t="shared" si="453"/>
        <v>-2.7999430607000001E-2</v>
      </c>
      <c r="AP409" s="701">
        <f t="shared" si="453"/>
        <v>-3.6271073322799996E-2</v>
      </c>
      <c r="AQ409" s="701">
        <f t="shared" si="453"/>
        <v>-4.6364326999999997E-2</v>
      </c>
      <c r="AR409" s="701">
        <f t="shared" si="453"/>
        <v>-7.3619865365406253E-2</v>
      </c>
      <c r="AS409" s="701">
        <f t="shared" si="453"/>
        <v>-8.7091322669558852E-2</v>
      </c>
      <c r="AT409" s="701">
        <f t="shared" si="453"/>
        <v>-0.12059849701930256</v>
      </c>
      <c r="AU409" s="701">
        <f t="shared" si="453"/>
        <v>-0.16001201084959604</v>
      </c>
      <c r="AV409" s="701">
        <f t="shared" si="453"/>
        <v>-0.19621327081809156</v>
      </c>
      <c r="AW409" s="701">
        <f t="shared" si="453"/>
        <v>-0.23084115297842198</v>
      </c>
      <c r="AX409" s="701">
        <f t="shared" si="453"/>
        <v>-0.26586782816775695</v>
      </c>
      <c r="AY409" s="701">
        <f t="shared" si="453"/>
        <v>-0.30123570259563998</v>
      </c>
      <c r="AZ409" s="701">
        <f t="shared" si="453"/>
        <v>-0.3375550488619829</v>
      </c>
      <c r="BA409" s="701">
        <f t="shared" si="453"/>
        <v>-0.37588964843906103</v>
      </c>
      <c r="BB409" s="701">
        <f t="shared" si="453"/>
        <v>-0.41415297878231377</v>
      </c>
      <c r="BC409" s="701">
        <f t="shared" si="453"/>
        <v>-0.45180791666812009</v>
      </c>
      <c r="BD409" s="701">
        <f t="shared" si="453"/>
        <v>-0.49017535619326347</v>
      </c>
      <c r="BE409" s="701">
        <f t="shared" si="453"/>
        <v>-0.52988899349010454</v>
      </c>
      <c r="BF409" s="701">
        <f t="shared" si="453"/>
        <v>-0.6099624492152802</v>
      </c>
      <c r="BG409" s="701">
        <f t="shared" si="453"/>
        <v>-0.71332839410675419</v>
      </c>
      <c r="BH409" s="701">
        <f t="shared" si="453"/>
        <v>-0.79232601196516117</v>
      </c>
      <c r="BI409" s="701">
        <f t="shared" si="453"/>
        <v>-0.85964331274474703</v>
      </c>
      <c r="BJ409" s="701">
        <f t="shared" si="453"/>
        <v>-0.92196643276237533</v>
      </c>
      <c r="BK409" s="701">
        <f t="shared" si="453"/>
        <v>-0.98224843053873823</v>
      </c>
      <c r="BL409" s="701">
        <f t="shared" si="453"/>
        <v>-1.0415780000885615</v>
      </c>
      <c r="BM409" s="701">
        <f t="shared" si="453"/>
        <v>-1.1001344277212006</v>
      </c>
      <c r="BN409" s="701">
        <f t="shared" si="453"/>
        <v>-1.1574506576333541</v>
      </c>
      <c r="BO409" s="701">
        <f t="shared" si="453"/>
        <v>-1.2140919087358579</v>
      </c>
      <c r="BP409" s="701">
        <f t="shared" si="453"/>
        <v>-1.2707082229512316</v>
      </c>
      <c r="BQ409" s="701">
        <f t="shared" si="453"/>
        <v>-1.3276309084476867</v>
      </c>
      <c r="BR409" s="701">
        <f t="shared" si="453"/>
        <v>-1.3849486990166666</v>
      </c>
      <c r="BS409" s="701">
        <f t="shared" si="453"/>
        <v>-1.4423132379945998</v>
      </c>
      <c r="BT409" s="701">
        <f t="shared" si="453"/>
        <v>-1.4999710366410854</v>
      </c>
      <c r="BU409" s="701">
        <f t="shared" si="453"/>
        <v>-1.5580410130913531</v>
      </c>
      <c r="BV409" s="701">
        <f t="shared" si="453"/>
        <v>-1.616539644653602</v>
      </c>
      <c r="BW409" s="701">
        <f t="shared" si="453"/>
        <v>-1.675489318835365</v>
      </c>
      <c r="BX409" s="701">
        <f t="shared" si="453"/>
        <v>-1.7348916277307551</v>
      </c>
      <c r="BY409" s="701">
        <f t="shared" si="453"/>
        <v>-1.7947481482853282</v>
      </c>
      <c r="BZ409" s="701">
        <f t="shared" si="453"/>
        <v>-1.8550675028528096</v>
      </c>
      <c r="CA409" s="701">
        <f t="shared" si="453"/>
        <v>-1.9158306861460821</v>
      </c>
      <c r="CB409" s="701">
        <f t="shared" si="453"/>
        <v>-1.9770230417967007</v>
      </c>
      <c r="CC409" s="701">
        <f t="shared" si="453"/>
        <v>-2.0386365501924564</v>
      </c>
      <c r="CD409" s="701">
        <f t="shared" si="453"/>
        <v>-2.1013330808606594</v>
      </c>
      <c r="CE409" s="701">
        <f t="shared" si="453"/>
        <v>-2.164592357445454</v>
      </c>
      <c r="CF409" s="701">
        <f t="shared" si="453"/>
        <v>-2.2273690623857951</v>
      </c>
      <c r="CG409" s="701">
        <f t="shared" si="453"/>
        <v>-2.2898790562922953</v>
      </c>
      <c r="CH409" s="701">
        <f t="shared" si="453"/>
        <v>-2.3522410638207298</v>
      </c>
      <c r="CI409" s="701">
        <f t="shared" si="453"/>
        <v>-2.414520791271018</v>
      </c>
      <c r="CJ409" s="701">
        <f t="shared" si="453"/>
        <v>-2.4777219829467612</v>
      </c>
      <c r="CK409" s="701">
        <f t="shared" si="453"/>
        <v>-2.5414150408786522</v>
      </c>
      <c r="CL409" s="701">
        <f t="shared" si="453"/>
        <v>-2.6044263529777352</v>
      </c>
      <c r="CM409" s="701">
        <f t="shared" si="453"/>
        <v>-2.6670979371997974</v>
      </c>
      <c r="CN409" s="701">
        <f t="shared" si="453"/>
        <v>-2.7295906188020091</v>
      </c>
      <c r="CO409" s="701">
        <f t="shared" si="453"/>
        <v>-2.7919882565717211</v>
      </c>
      <c r="CP409" s="701">
        <f t="shared" si="453"/>
        <v>-2.8543344212250652</v>
      </c>
      <c r="CQ409" s="701">
        <f t="shared" si="453"/>
        <v>-2.9166319917988877</v>
      </c>
      <c r="CR409" s="701">
        <f t="shared" si="453"/>
        <v>-2.978912434434223</v>
      </c>
      <c r="CS409" s="701">
        <f t="shared" si="453"/>
        <v>-3.0412169369251507</v>
      </c>
      <c r="CT409" s="701">
        <f t="shared" si="453"/>
        <v>-3.103540010415164</v>
      </c>
      <c r="CU409" s="701">
        <f t="shared" si="453"/>
        <v>-3.1658760362309732</v>
      </c>
      <c r="CV409" s="701">
        <f t="shared" si="453"/>
        <v>-3.228220357680911</v>
      </c>
      <c r="CW409" s="701">
        <f t="shared" si="454"/>
        <v>-3.2905696009414136</v>
      </c>
      <c r="CX409" s="701">
        <f t="shared" si="454"/>
        <v>-3.3529218769056941</v>
      </c>
      <c r="CY409" s="701">
        <f t="shared" si="454"/>
        <v>-3.4152750609734932</v>
      </c>
      <c r="CZ409" s="701">
        <f t="shared" si="454"/>
        <v>-3.4776273503313595</v>
      </c>
      <c r="DA409" s="701">
        <f t="shared" si="454"/>
        <v>-3.5489703893345479</v>
      </c>
      <c r="DC409" s="12">
        <f t="shared" si="440"/>
        <v>0</v>
      </c>
      <c r="DD409" s="12">
        <f t="shared" si="441"/>
        <v>-0.29590979783306459</v>
      </c>
      <c r="DE409" s="12">
        <f t="shared" si="442"/>
        <v>-3.8742384048636551</v>
      </c>
      <c r="DF409" s="12">
        <f t="shared" si="452"/>
        <v>-11.991069156910948</v>
      </c>
      <c r="DG409" s="12">
        <f t="shared" si="446"/>
        <v>-20.493500507236806</v>
      </c>
      <c r="DH409" s="12">
        <f t="shared" si="443"/>
        <v>-29.362175601452627</v>
      </c>
      <c r="DI409" s="12">
        <f t="shared" si="447"/>
        <v>-38.374096467196885</v>
      </c>
    </row>
    <row r="410" spans="2:113" s="698" customFormat="1" outlineLevel="2">
      <c r="B410" s="126"/>
      <c r="F410" s="698" t="s">
        <v>220</v>
      </c>
      <c r="H410" s="703"/>
      <c r="I410" s="609" t="s">
        <v>736</v>
      </c>
      <c r="J410" s="703"/>
      <c r="K410" s="703"/>
      <c r="L410" s="703"/>
      <c r="M410" s="703"/>
      <c r="O410" s="714"/>
      <c r="P410" s="714"/>
      <c r="Q410" s="714"/>
      <c r="R410" s="714"/>
      <c r="S410" s="714"/>
      <c r="T410" s="714"/>
      <c r="U410" s="714"/>
      <c r="V410" s="696"/>
      <c r="W410" s="696"/>
      <c r="X410" s="696"/>
      <c r="Y410" s="696"/>
      <c r="Z410" s="696"/>
      <c r="AA410" s="696"/>
      <c r="AB410" s="696"/>
      <c r="AC410" s="696"/>
      <c r="AD410" s="696"/>
      <c r="AE410" s="696"/>
      <c r="AF410" s="696"/>
      <c r="AG410" s="696"/>
      <c r="AH410" s="696"/>
      <c r="AI410" s="696"/>
      <c r="AJ410" s="696"/>
      <c r="AK410" s="696">
        <f>SUM(AK411:AK421)</f>
        <v>1.0214060000000001E-3</v>
      </c>
      <c r="AL410" s="696">
        <f t="shared" ref="AL410:CN410" si="455">SUM(AL411:AL421)</f>
        <v>4.9043436999999995E-2</v>
      </c>
      <c r="AM410" s="696">
        <f t="shared" si="455"/>
        <v>0.117522401</v>
      </c>
      <c r="AN410" s="696">
        <f t="shared" si="455"/>
        <v>0.21274689499999999</v>
      </c>
      <c r="AO410" s="696">
        <f t="shared" si="455"/>
        <v>0.31996369699999999</v>
      </c>
      <c r="AP410" s="696">
        <f t="shared" si="455"/>
        <v>0.38389435200000005</v>
      </c>
      <c r="AQ410" s="696">
        <f t="shared" si="455"/>
        <v>0.44828816362164059</v>
      </c>
      <c r="AR410" s="696">
        <f t="shared" si="455"/>
        <v>0.49804527202698223</v>
      </c>
      <c r="AS410" s="696">
        <f t="shared" si="455"/>
        <v>0.62259370425134342</v>
      </c>
      <c r="AT410" s="696">
        <f>SUM(AT411:AT421)</f>
        <v>0.76229256678498691</v>
      </c>
      <c r="AU410" s="696">
        <f t="shared" si="455"/>
        <v>0.88600708662754646</v>
      </c>
      <c r="AV410" s="696">
        <f t="shared" si="455"/>
        <v>1.0527504654757567</v>
      </c>
      <c r="AW410" s="696">
        <f t="shared" si="455"/>
        <v>1.2125897827323036</v>
      </c>
      <c r="AX410" s="696">
        <f t="shared" si="455"/>
        <v>1.3717549251336929</v>
      </c>
      <c r="AY410" s="696">
        <f t="shared" si="455"/>
        <v>1.5244572794210929</v>
      </c>
      <c r="AZ410" s="696">
        <f t="shared" si="455"/>
        <v>1.692646575977395</v>
      </c>
      <c r="BA410" s="696">
        <f t="shared" si="455"/>
        <v>1.8584071486561147</v>
      </c>
      <c r="BB410" s="696">
        <f t="shared" si="455"/>
        <v>2.0283575307384107</v>
      </c>
      <c r="BC410" s="696">
        <f t="shared" si="455"/>
        <v>2.2165629591614788</v>
      </c>
      <c r="BD410" s="696">
        <f t="shared" si="455"/>
        <v>2.4263728633497417</v>
      </c>
      <c r="BE410" s="696">
        <f t="shared" si="455"/>
        <v>2.6549060555422184</v>
      </c>
      <c r="BF410" s="696">
        <f t="shared" si="455"/>
        <v>3.208820161074625</v>
      </c>
      <c r="BG410" s="696">
        <f t="shared" si="455"/>
        <v>3.9811905349438086</v>
      </c>
      <c r="BH410" s="696">
        <f t="shared" si="455"/>
        <v>4.6064830618411925</v>
      </c>
      <c r="BI410" s="696">
        <f t="shared" si="455"/>
        <v>5.0609114592952844</v>
      </c>
      <c r="BJ410" s="696">
        <f t="shared" si="455"/>
        <v>5.448498226881048</v>
      </c>
      <c r="BK410" s="696">
        <f t="shared" si="455"/>
        <v>5.7972908104913454</v>
      </c>
      <c r="BL410" s="696">
        <f t="shared" si="455"/>
        <v>6.1363536459138821</v>
      </c>
      <c r="BM410" s="696">
        <f t="shared" si="455"/>
        <v>6.4481048488643733</v>
      </c>
      <c r="BN410" s="696">
        <f t="shared" si="455"/>
        <v>6.7516706492023815</v>
      </c>
      <c r="BO410" s="696">
        <f>SUM(BO411:BO421)</f>
        <v>7.0921666425772063</v>
      </c>
      <c r="BP410" s="696">
        <f t="shared" si="455"/>
        <v>7.4460133715577044</v>
      </c>
      <c r="BQ410" s="696">
        <f t="shared" si="455"/>
        <v>7.7989590952734424</v>
      </c>
      <c r="BR410" s="696">
        <f t="shared" si="455"/>
        <v>8.153911786418</v>
      </c>
      <c r="BS410" s="696">
        <f t="shared" si="455"/>
        <v>8.5006516315304683</v>
      </c>
      <c r="BT410" s="696">
        <f t="shared" si="455"/>
        <v>8.8529576870175966</v>
      </c>
      <c r="BU410" s="696">
        <f t="shared" si="455"/>
        <v>9.2094600455969378</v>
      </c>
      <c r="BV410" s="696">
        <f t="shared" si="455"/>
        <v>9.5695844851939817</v>
      </c>
      <c r="BW410" s="696">
        <f t="shared" si="455"/>
        <v>9.9338921530928346</v>
      </c>
      <c r="BX410" s="696">
        <f t="shared" si="455"/>
        <v>10.330357079278263</v>
      </c>
      <c r="BY410" s="696">
        <f t="shared" si="455"/>
        <v>10.772215901336615</v>
      </c>
      <c r="BZ410" s="696">
        <f t="shared" si="455"/>
        <v>11.208120097429894</v>
      </c>
      <c r="CA410" s="696">
        <f t="shared" si="455"/>
        <v>11.644873850607276</v>
      </c>
      <c r="CB410" s="696">
        <f t="shared" si="455"/>
        <v>12.084760268897643</v>
      </c>
      <c r="CC410" s="696">
        <f t="shared" si="455"/>
        <v>12.529471788570369</v>
      </c>
      <c r="CD410" s="696">
        <f t="shared" si="455"/>
        <v>13.015666453944137</v>
      </c>
      <c r="CE410" s="696">
        <f t="shared" si="455"/>
        <v>13.539160813492114</v>
      </c>
      <c r="CF410" s="696">
        <f t="shared" si="455"/>
        <v>14.017105344333888</v>
      </c>
      <c r="CG410" s="696">
        <f t="shared" si="455"/>
        <v>14.492105486552026</v>
      </c>
      <c r="CH410" s="696">
        <f t="shared" si="455"/>
        <v>14.966748415783375</v>
      </c>
      <c r="CI410" s="696">
        <f t="shared" si="455"/>
        <v>15.443219921290289</v>
      </c>
      <c r="CJ410" s="696">
        <f t="shared" si="455"/>
        <v>15.921756629866694</v>
      </c>
      <c r="CK410" s="696">
        <f t="shared" si="455"/>
        <v>16.376220978023024</v>
      </c>
      <c r="CL410" s="696">
        <f t="shared" si="455"/>
        <v>16.789621832770337</v>
      </c>
      <c r="CM410" s="696">
        <f t="shared" si="455"/>
        <v>17.205561176024151</v>
      </c>
      <c r="CN410" s="696">
        <f t="shared" si="455"/>
        <v>17.622826750958829</v>
      </c>
      <c r="CO410" s="696">
        <f>SUM(CO411:CO421)</f>
        <v>18.041279689979476</v>
      </c>
      <c r="CP410" s="696">
        <f t="shared" ref="CP410:CZ410" si="456">SUM(CP411:CP421)</f>
        <v>18.460861863900984</v>
      </c>
      <c r="CQ410" s="696">
        <f t="shared" si="456"/>
        <v>18.881594884163203</v>
      </c>
      <c r="CR410" s="696">
        <f t="shared" si="456"/>
        <v>19.303480762650228</v>
      </c>
      <c r="CS410" s="696">
        <f t="shared" si="456"/>
        <v>19.726204053993769</v>
      </c>
      <c r="CT410" s="696">
        <f t="shared" si="456"/>
        <v>20.148808032394047</v>
      </c>
      <c r="CU410" s="696">
        <f t="shared" si="456"/>
        <v>20.571314622627455</v>
      </c>
      <c r="CV410" s="696">
        <f t="shared" si="456"/>
        <v>20.993732622975919</v>
      </c>
      <c r="CW410" s="696">
        <f t="shared" si="456"/>
        <v>21.416076599466582</v>
      </c>
      <c r="CX410" s="696">
        <f t="shared" si="456"/>
        <v>21.838364341862253</v>
      </c>
      <c r="CY410" s="696">
        <f t="shared" si="456"/>
        <v>22.260617268704038</v>
      </c>
      <c r="CZ410" s="696">
        <f t="shared" si="456"/>
        <v>22.682853018107508</v>
      </c>
      <c r="DA410" s="696">
        <f>SUM(DA411:DA421)</f>
        <v>23.106706161545755</v>
      </c>
      <c r="DC410" s="14">
        <f t="shared" si="440"/>
        <v>0</v>
      </c>
      <c r="DD410" s="14">
        <f t="shared" si="441"/>
        <v>2.6531193278999661</v>
      </c>
      <c r="DE410" s="14">
        <f t="shared" si="442"/>
        <v>19.68710523960074</v>
      </c>
      <c r="DF410" s="14">
        <f t="shared" si="452"/>
        <v>69.776462507916293</v>
      </c>
      <c r="DG410" s="14">
        <f t="shared" si="446"/>
        <v>122.79025677496989</v>
      </c>
      <c r="DH410" s="14">
        <f t="shared" si="443"/>
        <v>187.43127349301835</v>
      </c>
      <c r="DI410" s="14">
        <f t="shared" si="447"/>
        <v>249.39061423239175</v>
      </c>
    </row>
    <row r="411" spans="2:113" s="698" customFormat="1" outlineLevel="2">
      <c r="B411" s="126"/>
      <c r="F411" s="126" t="s">
        <v>540</v>
      </c>
      <c r="H411" s="703"/>
      <c r="I411" s="609" t="s">
        <v>736</v>
      </c>
      <c r="J411" s="703"/>
      <c r="K411" s="703"/>
      <c r="L411" s="703"/>
      <c r="M411" s="703"/>
      <c r="O411" s="714"/>
      <c r="P411" s="714"/>
      <c r="Q411" s="714"/>
      <c r="R411" s="714"/>
      <c r="S411" s="714"/>
      <c r="T411" s="714"/>
      <c r="U411" s="714"/>
      <c r="V411" s="696"/>
      <c r="W411" s="696"/>
      <c r="X411" s="696"/>
      <c r="Y411" s="696"/>
      <c r="Z411" s="696"/>
      <c r="AA411" s="696"/>
      <c r="AB411" s="696"/>
      <c r="AC411" s="696"/>
      <c r="AD411" s="696"/>
      <c r="AE411" s="696"/>
      <c r="AF411" s="696"/>
      <c r="AG411" s="696"/>
      <c r="AH411" s="696"/>
      <c r="AI411" s="696"/>
      <c r="AJ411" s="696"/>
      <c r="AK411" s="701">
        <f t="shared" ref="AK411:CV414" si="457">AK457+AK505+AK554</f>
        <v>0</v>
      </c>
      <c r="AL411" s="701">
        <f t="shared" si="457"/>
        <v>0</v>
      </c>
      <c r="AM411" s="701">
        <f t="shared" si="457"/>
        <v>0</v>
      </c>
      <c r="AN411" s="701">
        <f t="shared" si="457"/>
        <v>0</v>
      </c>
      <c r="AO411" s="701">
        <f t="shared" si="457"/>
        <v>0</v>
      </c>
      <c r="AP411" s="701">
        <f t="shared" si="457"/>
        <v>0</v>
      </c>
      <c r="AQ411" s="701">
        <f t="shared" si="457"/>
        <v>0</v>
      </c>
      <c r="AR411" s="701">
        <f t="shared" si="457"/>
        <v>0</v>
      </c>
      <c r="AS411" s="701">
        <f t="shared" si="457"/>
        <v>0</v>
      </c>
      <c r="AT411" s="701">
        <f t="shared" si="457"/>
        <v>0</v>
      </c>
      <c r="AU411" s="701">
        <f t="shared" si="457"/>
        <v>0</v>
      </c>
      <c r="AV411" s="701">
        <f t="shared" si="457"/>
        <v>0</v>
      </c>
      <c r="AW411" s="701">
        <f t="shared" si="457"/>
        <v>0</v>
      </c>
      <c r="AX411" s="701">
        <f t="shared" si="457"/>
        <v>0</v>
      </c>
      <c r="AY411" s="701">
        <f t="shared" si="457"/>
        <v>0</v>
      </c>
      <c r="AZ411" s="701">
        <f t="shared" si="457"/>
        <v>0</v>
      </c>
      <c r="BA411" s="701">
        <f t="shared" si="457"/>
        <v>0</v>
      </c>
      <c r="BB411" s="701">
        <f t="shared" si="457"/>
        <v>0</v>
      </c>
      <c r="BC411" s="701">
        <f t="shared" si="457"/>
        <v>0</v>
      </c>
      <c r="BD411" s="701">
        <f t="shared" si="457"/>
        <v>0</v>
      </c>
      <c r="BE411" s="701">
        <f t="shared" si="457"/>
        <v>0</v>
      </c>
      <c r="BF411" s="701">
        <f t="shared" si="457"/>
        <v>0</v>
      </c>
      <c r="BG411" s="701">
        <f t="shared" si="457"/>
        <v>0</v>
      </c>
      <c r="BH411" s="701">
        <f t="shared" si="457"/>
        <v>0</v>
      </c>
      <c r="BI411" s="701">
        <f t="shared" si="457"/>
        <v>0</v>
      </c>
      <c r="BJ411" s="701">
        <f t="shared" si="457"/>
        <v>0</v>
      </c>
      <c r="BK411" s="701">
        <f t="shared" si="457"/>
        <v>0</v>
      </c>
      <c r="BL411" s="701">
        <f t="shared" si="457"/>
        <v>0</v>
      </c>
      <c r="BM411" s="701">
        <f t="shared" si="457"/>
        <v>0</v>
      </c>
      <c r="BN411" s="701">
        <f t="shared" si="457"/>
        <v>0</v>
      </c>
      <c r="BO411" s="701">
        <f t="shared" si="457"/>
        <v>0</v>
      </c>
      <c r="BP411" s="701">
        <f t="shared" si="457"/>
        <v>0</v>
      </c>
      <c r="BQ411" s="701">
        <f t="shared" si="457"/>
        <v>0</v>
      </c>
      <c r="BR411" s="701">
        <f t="shared" si="457"/>
        <v>0</v>
      </c>
      <c r="BS411" s="701">
        <f t="shared" si="457"/>
        <v>0</v>
      </c>
      <c r="BT411" s="701">
        <f t="shared" si="457"/>
        <v>0</v>
      </c>
      <c r="BU411" s="701">
        <f t="shared" si="457"/>
        <v>0</v>
      </c>
      <c r="BV411" s="701">
        <f t="shared" si="457"/>
        <v>0</v>
      </c>
      <c r="BW411" s="701">
        <f t="shared" si="457"/>
        <v>0</v>
      </c>
      <c r="BX411" s="701">
        <f t="shared" si="457"/>
        <v>0</v>
      </c>
      <c r="BY411" s="701">
        <f t="shared" si="457"/>
        <v>0</v>
      </c>
      <c r="BZ411" s="701">
        <f t="shared" si="457"/>
        <v>0</v>
      </c>
      <c r="CA411" s="701">
        <f t="shared" si="457"/>
        <v>0</v>
      </c>
      <c r="CB411" s="701">
        <f t="shared" si="457"/>
        <v>0</v>
      </c>
      <c r="CC411" s="701">
        <f t="shared" si="457"/>
        <v>0</v>
      </c>
      <c r="CD411" s="701">
        <f t="shared" si="457"/>
        <v>0</v>
      </c>
      <c r="CE411" s="701">
        <f t="shared" si="457"/>
        <v>0</v>
      </c>
      <c r="CF411" s="701">
        <f t="shared" si="457"/>
        <v>0</v>
      </c>
      <c r="CG411" s="701">
        <f t="shared" si="457"/>
        <v>0</v>
      </c>
      <c r="CH411" s="701">
        <f t="shared" si="457"/>
        <v>0</v>
      </c>
      <c r="CI411" s="701">
        <f t="shared" si="457"/>
        <v>0</v>
      </c>
      <c r="CJ411" s="701">
        <f t="shared" si="457"/>
        <v>0</v>
      </c>
      <c r="CK411" s="701">
        <f t="shared" si="457"/>
        <v>0</v>
      </c>
      <c r="CL411" s="701">
        <f t="shared" si="457"/>
        <v>0</v>
      </c>
      <c r="CM411" s="701">
        <f t="shared" si="457"/>
        <v>0</v>
      </c>
      <c r="CN411" s="701">
        <f t="shared" si="457"/>
        <v>0</v>
      </c>
      <c r="CO411" s="701">
        <f t="shared" si="457"/>
        <v>0</v>
      </c>
      <c r="CP411" s="701">
        <f t="shared" si="457"/>
        <v>0</v>
      </c>
      <c r="CQ411" s="701">
        <f t="shared" si="457"/>
        <v>0</v>
      </c>
      <c r="CR411" s="701">
        <f t="shared" si="457"/>
        <v>0</v>
      </c>
      <c r="CS411" s="701">
        <f t="shared" si="457"/>
        <v>0</v>
      </c>
      <c r="CT411" s="701">
        <f t="shared" si="457"/>
        <v>0</v>
      </c>
      <c r="CU411" s="701">
        <f t="shared" si="457"/>
        <v>0</v>
      </c>
      <c r="CV411" s="701">
        <f t="shared" si="457"/>
        <v>0</v>
      </c>
      <c r="CW411" s="701">
        <f t="shared" ref="CW411:DA413" si="458">CW457+CW505+CW554</f>
        <v>0</v>
      </c>
      <c r="CX411" s="701">
        <f t="shared" si="458"/>
        <v>0</v>
      </c>
      <c r="CY411" s="701">
        <f t="shared" si="458"/>
        <v>0</v>
      </c>
      <c r="CZ411" s="701">
        <f t="shared" si="458"/>
        <v>0</v>
      </c>
      <c r="DA411" s="701">
        <f t="shared" si="458"/>
        <v>0</v>
      </c>
      <c r="DC411" s="12">
        <f t="shared" si="440"/>
        <v>0</v>
      </c>
      <c r="DD411" s="12">
        <f t="shared" si="441"/>
        <v>0</v>
      </c>
      <c r="DE411" s="12">
        <f t="shared" si="442"/>
        <v>0</v>
      </c>
      <c r="DF411" s="12">
        <f t="shared" si="452"/>
        <v>0</v>
      </c>
      <c r="DG411" s="12">
        <f t="shared" si="446"/>
        <v>0</v>
      </c>
      <c r="DH411" s="12">
        <f t="shared" si="443"/>
        <v>0</v>
      </c>
      <c r="DI411" s="12">
        <f t="shared" si="447"/>
        <v>0</v>
      </c>
    </row>
    <row r="412" spans="2:113" s="698" customFormat="1" outlineLevel="2">
      <c r="B412" s="126"/>
      <c r="F412" s="126" t="s">
        <v>799</v>
      </c>
      <c r="H412" s="703"/>
      <c r="I412" s="609" t="s">
        <v>736</v>
      </c>
      <c r="J412" s="703"/>
      <c r="K412" s="703"/>
      <c r="L412" s="703"/>
      <c r="M412" s="703"/>
      <c r="O412" s="714"/>
      <c r="P412" s="714"/>
      <c r="Q412" s="714"/>
      <c r="R412" s="714"/>
      <c r="S412" s="714"/>
      <c r="T412" s="714"/>
      <c r="U412" s="714"/>
      <c r="V412" s="696"/>
      <c r="W412" s="696"/>
      <c r="X412" s="696"/>
      <c r="Y412" s="696"/>
      <c r="Z412" s="696"/>
      <c r="AA412" s="696"/>
      <c r="AB412" s="696"/>
      <c r="AC412" s="696"/>
      <c r="AD412" s="696"/>
      <c r="AE412" s="696"/>
      <c r="AF412" s="696"/>
      <c r="AG412" s="696"/>
      <c r="AH412" s="696"/>
      <c r="AI412" s="696"/>
      <c r="AJ412" s="696"/>
      <c r="AK412" s="701">
        <f t="shared" si="457"/>
        <v>0</v>
      </c>
      <c r="AL412" s="701">
        <f t="shared" si="457"/>
        <v>0</v>
      </c>
      <c r="AM412" s="701">
        <f t="shared" si="457"/>
        <v>0</v>
      </c>
      <c r="AN412" s="701">
        <f t="shared" si="457"/>
        <v>0</v>
      </c>
      <c r="AO412" s="701">
        <f t="shared" si="457"/>
        <v>0</v>
      </c>
      <c r="AP412" s="701">
        <f t="shared" si="457"/>
        <v>0</v>
      </c>
      <c r="AQ412" s="701">
        <f t="shared" si="457"/>
        <v>0</v>
      </c>
      <c r="AR412" s="701">
        <f t="shared" si="457"/>
        <v>0</v>
      </c>
      <c r="AS412" s="701">
        <f t="shared" si="457"/>
        <v>0</v>
      </c>
      <c r="AT412" s="701">
        <f t="shared" si="457"/>
        <v>0</v>
      </c>
      <c r="AU412" s="701">
        <f t="shared" si="457"/>
        <v>0</v>
      </c>
      <c r="AV412" s="701">
        <f t="shared" si="457"/>
        <v>0</v>
      </c>
      <c r="AW412" s="701">
        <f t="shared" si="457"/>
        <v>0</v>
      </c>
      <c r="AX412" s="701">
        <f t="shared" si="457"/>
        <v>0</v>
      </c>
      <c r="AY412" s="701">
        <f t="shared" si="457"/>
        <v>0</v>
      </c>
      <c r="AZ412" s="701">
        <f t="shared" si="457"/>
        <v>0</v>
      </c>
      <c r="BA412" s="701">
        <f t="shared" si="457"/>
        <v>0</v>
      </c>
      <c r="BB412" s="701">
        <f t="shared" si="457"/>
        <v>0</v>
      </c>
      <c r="BC412" s="701">
        <f t="shared" si="457"/>
        <v>0</v>
      </c>
      <c r="BD412" s="701">
        <f t="shared" si="457"/>
        <v>0</v>
      </c>
      <c r="BE412" s="701">
        <f t="shared" si="457"/>
        <v>0</v>
      </c>
      <c r="BF412" s="701">
        <f t="shared" si="457"/>
        <v>0</v>
      </c>
      <c r="BG412" s="701">
        <f t="shared" si="457"/>
        <v>0</v>
      </c>
      <c r="BH412" s="701">
        <f t="shared" si="457"/>
        <v>0</v>
      </c>
      <c r="BI412" s="701">
        <f t="shared" si="457"/>
        <v>0</v>
      </c>
      <c r="BJ412" s="701">
        <f t="shared" si="457"/>
        <v>0</v>
      </c>
      <c r="BK412" s="701">
        <f t="shared" si="457"/>
        <v>0</v>
      </c>
      <c r="BL412" s="701">
        <f t="shared" si="457"/>
        <v>0</v>
      </c>
      <c r="BM412" s="701">
        <f t="shared" si="457"/>
        <v>0</v>
      </c>
      <c r="BN412" s="701">
        <f t="shared" si="457"/>
        <v>0</v>
      </c>
      <c r="BO412" s="701">
        <f t="shared" si="457"/>
        <v>0</v>
      </c>
      <c r="BP412" s="701">
        <f t="shared" si="457"/>
        <v>0</v>
      </c>
      <c r="BQ412" s="701">
        <f t="shared" si="457"/>
        <v>0</v>
      </c>
      <c r="BR412" s="701">
        <f t="shared" si="457"/>
        <v>0</v>
      </c>
      <c r="BS412" s="701">
        <f t="shared" si="457"/>
        <v>0</v>
      </c>
      <c r="BT412" s="701">
        <f t="shared" si="457"/>
        <v>0</v>
      </c>
      <c r="BU412" s="701">
        <f t="shared" si="457"/>
        <v>0</v>
      </c>
      <c r="BV412" s="701">
        <f t="shared" si="457"/>
        <v>0</v>
      </c>
      <c r="BW412" s="701">
        <f t="shared" si="457"/>
        <v>0</v>
      </c>
      <c r="BX412" s="701">
        <f t="shared" si="457"/>
        <v>0</v>
      </c>
      <c r="BY412" s="701">
        <f t="shared" si="457"/>
        <v>0</v>
      </c>
      <c r="BZ412" s="701">
        <f t="shared" si="457"/>
        <v>0</v>
      </c>
      <c r="CA412" s="701">
        <f t="shared" si="457"/>
        <v>0</v>
      </c>
      <c r="CB412" s="701">
        <f t="shared" si="457"/>
        <v>0</v>
      </c>
      <c r="CC412" s="701">
        <f t="shared" si="457"/>
        <v>0</v>
      </c>
      <c r="CD412" s="701">
        <f t="shared" si="457"/>
        <v>0</v>
      </c>
      <c r="CE412" s="701">
        <f t="shared" si="457"/>
        <v>0</v>
      </c>
      <c r="CF412" s="701">
        <f t="shared" si="457"/>
        <v>0</v>
      </c>
      <c r="CG412" s="701">
        <f t="shared" si="457"/>
        <v>0</v>
      </c>
      <c r="CH412" s="701">
        <f t="shared" si="457"/>
        <v>0</v>
      </c>
      <c r="CI412" s="701">
        <f t="shared" si="457"/>
        <v>0</v>
      </c>
      <c r="CJ412" s="701">
        <f t="shared" si="457"/>
        <v>0</v>
      </c>
      <c r="CK412" s="701">
        <f t="shared" si="457"/>
        <v>0</v>
      </c>
      <c r="CL412" s="701">
        <f t="shared" si="457"/>
        <v>0</v>
      </c>
      <c r="CM412" s="701">
        <f t="shared" si="457"/>
        <v>0</v>
      </c>
      <c r="CN412" s="701">
        <f t="shared" si="457"/>
        <v>0</v>
      </c>
      <c r="CO412" s="701">
        <f t="shared" si="457"/>
        <v>0</v>
      </c>
      <c r="CP412" s="701">
        <f t="shared" si="457"/>
        <v>0</v>
      </c>
      <c r="CQ412" s="701">
        <f t="shared" si="457"/>
        <v>0</v>
      </c>
      <c r="CR412" s="701">
        <f t="shared" si="457"/>
        <v>0</v>
      </c>
      <c r="CS412" s="701">
        <f t="shared" si="457"/>
        <v>0</v>
      </c>
      <c r="CT412" s="701">
        <f t="shared" si="457"/>
        <v>0</v>
      </c>
      <c r="CU412" s="701">
        <f t="shared" si="457"/>
        <v>0</v>
      </c>
      <c r="CV412" s="701">
        <f t="shared" si="457"/>
        <v>0</v>
      </c>
      <c r="CW412" s="701">
        <f t="shared" si="458"/>
        <v>0</v>
      </c>
      <c r="CX412" s="701">
        <f t="shared" si="458"/>
        <v>0</v>
      </c>
      <c r="CY412" s="701">
        <f t="shared" si="458"/>
        <v>0</v>
      </c>
      <c r="CZ412" s="701">
        <f t="shared" si="458"/>
        <v>0</v>
      </c>
      <c r="DA412" s="701">
        <f t="shared" si="458"/>
        <v>0</v>
      </c>
      <c r="DC412" s="12">
        <f t="shared" si="440"/>
        <v>0</v>
      </c>
      <c r="DD412" s="12">
        <f t="shared" si="441"/>
        <v>0</v>
      </c>
      <c r="DE412" s="12">
        <f t="shared" si="442"/>
        <v>0</v>
      </c>
      <c r="DF412" s="12">
        <f t="shared" si="452"/>
        <v>0</v>
      </c>
      <c r="DG412" s="12">
        <f t="shared" si="446"/>
        <v>0</v>
      </c>
      <c r="DH412" s="12">
        <f t="shared" si="443"/>
        <v>0</v>
      </c>
      <c r="DI412" s="12">
        <f t="shared" si="447"/>
        <v>0</v>
      </c>
    </row>
    <row r="413" spans="2:113" outlineLevel="2">
      <c r="F413" s="126" t="s">
        <v>800</v>
      </c>
      <c r="I413" s="609" t="s">
        <v>736</v>
      </c>
      <c r="O413" s="710"/>
      <c r="P413" s="710"/>
      <c r="Q413" s="710"/>
      <c r="R413" s="710"/>
      <c r="S413" s="710"/>
      <c r="T413" s="710"/>
      <c r="U413" s="710"/>
      <c r="V413" s="712"/>
      <c r="W413" s="712"/>
      <c r="X413" s="712"/>
      <c r="Y413" s="712"/>
      <c r="Z413" s="712"/>
      <c r="AA413" s="712"/>
      <c r="AB413" s="712"/>
      <c r="AC413" s="712"/>
      <c r="AD413" s="712"/>
      <c r="AE413" s="712"/>
      <c r="AF413" s="712"/>
      <c r="AG413" s="713"/>
      <c r="AH413" s="715"/>
      <c r="AI413" s="715"/>
      <c r="AJ413" s="715"/>
      <c r="AK413" s="701">
        <f t="shared" si="457"/>
        <v>0</v>
      </c>
      <c r="AL413" s="701">
        <f t="shared" si="457"/>
        <v>0</v>
      </c>
      <c r="AM413" s="701">
        <f t="shared" si="457"/>
        <v>0</v>
      </c>
      <c r="AN413" s="701">
        <f t="shared" si="457"/>
        <v>0</v>
      </c>
      <c r="AO413" s="701">
        <f t="shared" si="457"/>
        <v>0</v>
      </c>
      <c r="AP413" s="701">
        <f t="shared" si="457"/>
        <v>0</v>
      </c>
      <c r="AQ413" s="701">
        <f t="shared" si="457"/>
        <v>0</v>
      </c>
      <c r="AR413" s="701">
        <f t="shared" si="457"/>
        <v>0</v>
      </c>
      <c r="AS413" s="701">
        <f t="shared" si="457"/>
        <v>0</v>
      </c>
      <c r="AT413" s="701">
        <f t="shared" si="457"/>
        <v>0</v>
      </c>
      <c r="AU413" s="701">
        <f t="shared" si="457"/>
        <v>0</v>
      </c>
      <c r="AV413" s="701">
        <f t="shared" si="457"/>
        <v>0</v>
      </c>
      <c r="AW413" s="701">
        <f t="shared" si="457"/>
        <v>0</v>
      </c>
      <c r="AX413" s="701">
        <f t="shared" si="457"/>
        <v>0</v>
      </c>
      <c r="AY413" s="701">
        <f t="shared" si="457"/>
        <v>0</v>
      </c>
      <c r="AZ413" s="701">
        <f t="shared" si="457"/>
        <v>0</v>
      </c>
      <c r="BA413" s="701">
        <f t="shared" si="457"/>
        <v>0</v>
      </c>
      <c r="BB413" s="701">
        <f t="shared" si="457"/>
        <v>0</v>
      </c>
      <c r="BC413" s="701">
        <f t="shared" si="457"/>
        <v>0</v>
      </c>
      <c r="BD413" s="701">
        <f t="shared" si="457"/>
        <v>0</v>
      </c>
      <c r="BE413" s="701">
        <f t="shared" si="457"/>
        <v>0</v>
      </c>
      <c r="BF413" s="701">
        <f t="shared" si="457"/>
        <v>0</v>
      </c>
      <c r="BG413" s="701">
        <f t="shared" si="457"/>
        <v>0</v>
      </c>
      <c r="BH413" s="701">
        <f t="shared" si="457"/>
        <v>0</v>
      </c>
      <c r="BI413" s="701">
        <f t="shared" si="457"/>
        <v>0</v>
      </c>
      <c r="BJ413" s="701">
        <f t="shared" si="457"/>
        <v>0</v>
      </c>
      <c r="BK413" s="701">
        <f t="shared" si="457"/>
        <v>0</v>
      </c>
      <c r="BL413" s="701">
        <f t="shared" si="457"/>
        <v>0</v>
      </c>
      <c r="BM413" s="701">
        <f t="shared" si="457"/>
        <v>0</v>
      </c>
      <c r="BN413" s="701">
        <f t="shared" si="457"/>
        <v>0</v>
      </c>
      <c r="BO413" s="701">
        <f t="shared" si="457"/>
        <v>0</v>
      </c>
      <c r="BP413" s="701">
        <f t="shared" si="457"/>
        <v>0</v>
      </c>
      <c r="BQ413" s="701">
        <f t="shared" si="457"/>
        <v>0</v>
      </c>
      <c r="BR413" s="701">
        <f t="shared" si="457"/>
        <v>0</v>
      </c>
      <c r="BS413" s="701">
        <f t="shared" si="457"/>
        <v>0</v>
      </c>
      <c r="BT413" s="701">
        <f t="shared" si="457"/>
        <v>0</v>
      </c>
      <c r="BU413" s="701">
        <f t="shared" si="457"/>
        <v>0</v>
      </c>
      <c r="BV413" s="701">
        <f t="shared" si="457"/>
        <v>0</v>
      </c>
      <c r="BW413" s="701">
        <f t="shared" si="457"/>
        <v>0</v>
      </c>
      <c r="BX413" s="701">
        <f t="shared" si="457"/>
        <v>0</v>
      </c>
      <c r="BY413" s="701">
        <f t="shared" si="457"/>
        <v>0</v>
      </c>
      <c r="BZ413" s="701">
        <f t="shared" si="457"/>
        <v>0</v>
      </c>
      <c r="CA413" s="701">
        <f t="shared" si="457"/>
        <v>0</v>
      </c>
      <c r="CB413" s="701">
        <f t="shared" si="457"/>
        <v>0</v>
      </c>
      <c r="CC413" s="701">
        <f t="shared" si="457"/>
        <v>0</v>
      </c>
      <c r="CD413" s="701">
        <f t="shared" si="457"/>
        <v>0</v>
      </c>
      <c r="CE413" s="701">
        <f t="shared" si="457"/>
        <v>0</v>
      </c>
      <c r="CF413" s="701">
        <f t="shared" si="457"/>
        <v>0</v>
      </c>
      <c r="CG413" s="701">
        <f t="shared" si="457"/>
        <v>0</v>
      </c>
      <c r="CH413" s="701">
        <f t="shared" si="457"/>
        <v>0</v>
      </c>
      <c r="CI413" s="701">
        <f t="shared" si="457"/>
        <v>0</v>
      </c>
      <c r="CJ413" s="701">
        <f t="shared" si="457"/>
        <v>0</v>
      </c>
      <c r="CK413" s="701">
        <f t="shared" si="457"/>
        <v>0</v>
      </c>
      <c r="CL413" s="701">
        <f t="shared" si="457"/>
        <v>0</v>
      </c>
      <c r="CM413" s="701">
        <f t="shared" si="457"/>
        <v>0</v>
      </c>
      <c r="CN413" s="701">
        <f t="shared" si="457"/>
        <v>0</v>
      </c>
      <c r="CO413" s="701">
        <f t="shared" si="457"/>
        <v>0</v>
      </c>
      <c r="CP413" s="701">
        <f t="shared" si="457"/>
        <v>0</v>
      </c>
      <c r="CQ413" s="701">
        <f t="shared" si="457"/>
        <v>0</v>
      </c>
      <c r="CR413" s="701">
        <f t="shared" si="457"/>
        <v>0</v>
      </c>
      <c r="CS413" s="701">
        <f t="shared" si="457"/>
        <v>0</v>
      </c>
      <c r="CT413" s="701">
        <f t="shared" si="457"/>
        <v>0</v>
      </c>
      <c r="CU413" s="701">
        <f t="shared" si="457"/>
        <v>0</v>
      </c>
      <c r="CV413" s="701">
        <f t="shared" si="457"/>
        <v>0</v>
      </c>
      <c r="CW413" s="701">
        <f t="shared" si="458"/>
        <v>0</v>
      </c>
      <c r="CX413" s="701">
        <f t="shared" si="458"/>
        <v>0</v>
      </c>
      <c r="CY413" s="701">
        <f t="shared" si="458"/>
        <v>0</v>
      </c>
      <c r="CZ413" s="701">
        <f t="shared" si="458"/>
        <v>0</v>
      </c>
      <c r="DA413" s="701">
        <f t="shared" si="458"/>
        <v>0</v>
      </c>
      <c r="DC413" s="12">
        <f t="shared" si="440"/>
        <v>0</v>
      </c>
      <c r="DD413" s="12">
        <f t="shared" si="441"/>
        <v>0</v>
      </c>
      <c r="DE413" s="12">
        <f t="shared" si="442"/>
        <v>0</v>
      </c>
      <c r="DF413" s="12">
        <f t="shared" si="452"/>
        <v>0</v>
      </c>
      <c r="DG413" s="12">
        <f t="shared" si="446"/>
        <v>0</v>
      </c>
      <c r="DH413" s="12">
        <f t="shared" si="443"/>
        <v>0</v>
      </c>
      <c r="DI413" s="12">
        <f t="shared" si="447"/>
        <v>0</v>
      </c>
    </row>
    <row r="414" spans="2:113" outlineLevel="2">
      <c r="F414" s="126" t="s">
        <v>223</v>
      </c>
      <c r="I414" s="609" t="s">
        <v>736</v>
      </c>
      <c r="O414" s="710"/>
      <c r="P414" s="710"/>
      <c r="Q414" s="710"/>
      <c r="R414" s="710"/>
      <c r="S414" s="710"/>
      <c r="T414" s="710"/>
      <c r="U414" s="710"/>
      <c r="V414" s="716"/>
      <c r="W414" s="716"/>
      <c r="X414" s="716"/>
      <c r="Y414" s="716"/>
      <c r="Z414" s="716"/>
      <c r="AA414" s="716"/>
      <c r="AB414" s="716"/>
      <c r="AC414" s="716"/>
      <c r="AD414" s="716"/>
      <c r="AE414" s="710"/>
      <c r="AF414" s="710"/>
      <c r="AG414" s="710"/>
      <c r="AH414" s="717"/>
      <c r="AI414" s="717"/>
      <c r="AJ414" s="717"/>
      <c r="AK414" s="701">
        <f t="shared" si="457"/>
        <v>0</v>
      </c>
      <c r="AL414" s="701">
        <f t="shared" si="457"/>
        <v>0</v>
      </c>
      <c r="AM414" s="701">
        <f t="shared" si="457"/>
        <v>0</v>
      </c>
      <c r="AN414" s="701">
        <f t="shared" si="457"/>
        <v>0</v>
      </c>
      <c r="AO414" s="701">
        <f t="shared" si="457"/>
        <v>0</v>
      </c>
      <c r="AP414" s="701">
        <f t="shared" si="457"/>
        <v>3.6230999999999999E-2</v>
      </c>
      <c r="AQ414" s="701">
        <f t="shared" si="457"/>
        <v>4.4109038000000003E-2</v>
      </c>
      <c r="AR414" s="701">
        <f t="shared" si="457"/>
        <v>2.3628000000000003E-2</v>
      </c>
      <c r="AS414" s="701">
        <f t="shared" si="457"/>
        <v>6.2768249999999998E-2</v>
      </c>
      <c r="AT414" s="701">
        <f t="shared" si="457"/>
        <v>9.0786624999999982E-2</v>
      </c>
      <c r="AU414" s="701">
        <f t="shared" si="457"/>
        <v>0.12835537499999999</v>
      </c>
      <c r="AV414" s="701">
        <f t="shared" si="457"/>
        <v>0.16736475000000001</v>
      </c>
      <c r="AW414" s="701">
        <f t="shared" si="457"/>
        <v>0.20781474999999999</v>
      </c>
      <c r="AX414" s="701">
        <f t="shared" si="457"/>
        <v>0.24970537499999998</v>
      </c>
      <c r="AY414" s="701">
        <f t="shared" si="457"/>
        <v>0.29303662499999994</v>
      </c>
      <c r="AZ414" s="701">
        <f t="shared" si="457"/>
        <v>0.33780850000000007</v>
      </c>
      <c r="BA414" s="701">
        <f t="shared" si="457"/>
        <v>0.38402099999999995</v>
      </c>
      <c r="BB414" s="701">
        <f t="shared" si="457"/>
        <v>0.43167412499999996</v>
      </c>
      <c r="BC414" s="701">
        <f t="shared" si="457"/>
        <v>0.48076787500000007</v>
      </c>
      <c r="BD414" s="701">
        <f t="shared" si="457"/>
        <v>0.53130224999999998</v>
      </c>
      <c r="BE414" s="701">
        <f t="shared" si="457"/>
        <v>0.58327724999999986</v>
      </c>
      <c r="BF414" s="701">
        <f t="shared" si="457"/>
        <v>0.94525375</v>
      </c>
      <c r="BG414" s="701">
        <f t="shared" si="457"/>
        <v>1.0248787500000001</v>
      </c>
      <c r="BH414" s="701">
        <f t="shared" si="457"/>
        <v>1.1056912499999998</v>
      </c>
      <c r="BI414" s="701">
        <f t="shared" si="457"/>
        <v>1.1876912499999999</v>
      </c>
      <c r="BJ414" s="701">
        <f t="shared" si="457"/>
        <v>1.2708787499999998</v>
      </c>
      <c r="BK414" s="701">
        <f t="shared" si="457"/>
        <v>1.3552537499999999</v>
      </c>
      <c r="BL414" s="701">
        <f t="shared" si="457"/>
        <v>1.4408162500000001</v>
      </c>
      <c r="BM414" s="701">
        <f t="shared" si="457"/>
        <v>1.5275662499999998</v>
      </c>
      <c r="BN414" s="701">
        <f t="shared" si="457"/>
        <v>1.61550375</v>
      </c>
      <c r="BO414" s="701">
        <f t="shared" si="457"/>
        <v>1.7046287500000001</v>
      </c>
      <c r="BP414" s="701">
        <f t="shared" si="457"/>
        <v>1.7949412499999999</v>
      </c>
      <c r="BQ414" s="701">
        <f t="shared" si="457"/>
        <v>1.8864412499999998</v>
      </c>
      <c r="BR414" s="701">
        <f t="shared" si="457"/>
        <v>1.9784412499999999</v>
      </c>
      <c r="BS414" s="701">
        <f t="shared" si="457"/>
        <v>2.0709412499999997</v>
      </c>
      <c r="BT414" s="701">
        <f t="shared" si="457"/>
        <v>2.1639412499999997</v>
      </c>
      <c r="BU414" s="701">
        <f t="shared" si="457"/>
        <v>2.2574412499999998</v>
      </c>
      <c r="BV414" s="701">
        <f t="shared" si="457"/>
        <v>2.3514412500000001</v>
      </c>
      <c r="BW414" s="701">
        <f t="shared" si="457"/>
        <v>2.4459412499999997</v>
      </c>
      <c r="BX414" s="701">
        <f t="shared" si="457"/>
        <v>2.5409412499999999</v>
      </c>
      <c r="BY414" s="701">
        <f t="shared" si="457"/>
        <v>2.6364412499999998</v>
      </c>
      <c r="BZ414" s="701">
        <f t="shared" si="457"/>
        <v>2.7324412499999999</v>
      </c>
      <c r="CA414" s="701">
        <f t="shared" si="457"/>
        <v>2.8289412499999997</v>
      </c>
      <c r="CB414" s="701">
        <f t="shared" si="457"/>
        <v>2.9259412499999997</v>
      </c>
      <c r="CC414" s="701">
        <f t="shared" si="457"/>
        <v>3.0234412499999999</v>
      </c>
      <c r="CD414" s="701">
        <f t="shared" si="457"/>
        <v>3.1209412499999996</v>
      </c>
      <c r="CE414" s="701">
        <f t="shared" si="457"/>
        <v>3.2184412499999997</v>
      </c>
      <c r="CF414" s="701">
        <f t="shared" si="457"/>
        <v>3.3159412499999998</v>
      </c>
      <c r="CG414" s="701">
        <f t="shared" si="457"/>
        <v>3.4134412499999991</v>
      </c>
      <c r="CH414" s="701">
        <f t="shared" si="457"/>
        <v>3.5109412499999992</v>
      </c>
      <c r="CI414" s="701">
        <f t="shared" si="457"/>
        <v>3.6084412499999994</v>
      </c>
      <c r="CJ414" s="701">
        <f t="shared" si="457"/>
        <v>3.7059412499999995</v>
      </c>
      <c r="CK414" s="701">
        <f t="shared" si="457"/>
        <v>3.8034412499999997</v>
      </c>
      <c r="CL414" s="701">
        <f t="shared" si="457"/>
        <v>3.9009412499999998</v>
      </c>
      <c r="CM414" s="701">
        <f t="shared" si="457"/>
        <v>3.9984412499999999</v>
      </c>
      <c r="CN414" s="701">
        <f t="shared" si="457"/>
        <v>4.0959412500000001</v>
      </c>
      <c r="CO414" s="701">
        <f t="shared" si="457"/>
        <v>4.1934412499999993</v>
      </c>
      <c r="CP414" s="701">
        <f t="shared" si="457"/>
        <v>4.2909412499999995</v>
      </c>
      <c r="CQ414" s="701">
        <f t="shared" si="457"/>
        <v>4.3884412499999996</v>
      </c>
      <c r="CR414" s="701">
        <f t="shared" si="457"/>
        <v>4.4859412499999998</v>
      </c>
      <c r="CS414" s="701">
        <f t="shared" si="457"/>
        <v>4.5834412499999999</v>
      </c>
      <c r="CT414" s="701">
        <f t="shared" si="457"/>
        <v>4.6809412500000001</v>
      </c>
      <c r="CU414" s="701">
        <f t="shared" si="457"/>
        <v>4.7784412500000002</v>
      </c>
      <c r="CV414" s="701">
        <f t="shared" ref="CV414:DA417" si="459">CV460+CV508+CV557</f>
        <v>4.8759412499999994</v>
      </c>
      <c r="CW414" s="701">
        <f t="shared" si="459"/>
        <v>4.9734412499999996</v>
      </c>
      <c r="CX414" s="701">
        <f t="shared" si="459"/>
        <v>5.0709412499999997</v>
      </c>
      <c r="CY414" s="701">
        <f t="shared" si="459"/>
        <v>5.168441249999999</v>
      </c>
      <c r="CZ414" s="701">
        <f t="shared" si="459"/>
        <v>5.2659412499999991</v>
      </c>
      <c r="DA414" s="701">
        <f t="shared" si="459"/>
        <v>5.3634412499999993</v>
      </c>
      <c r="DC414" s="12">
        <f t="shared" si="440"/>
        <v>0</v>
      </c>
      <c r="DD414" s="12">
        <f t="shared" si="441"/>
        <v>0.16673628800000001</v>
      </c>
      <c r="DE414" s="12">
        <f t="shared" si="442"/>
        <v>3.8859145000000002</v>
      </c>
      <c r="DF414" s="12">
        <f t="shared" si="452"/>
        <v>16.859545000000001</v>
      </c>
      <c r="DG414" s="12">
        <f t="shared" si="446"/>
        <v>29.956295000000004</v>
      </c>
      <c r="DH414" s="12">
        <f t="shared" si="443"/>
        <v>43.886294999999997</v>
      </c>
      <c r="DI414" s="12">
        <f t="shared" si="447"/>
        <v>57.926294999999996</v>
      </c>
    </row>
    <row r="415" spans="2:113" outlineLevel="2">
      <c r="F415" s="126" t="s">
        <v>221</v>
      </c>
      <c r="I415" s="609" t="s">
        <v>736</v>
      </c>
      <c r="O415" s="710"/>
      <c r="P415" s="710"/>
      <c r="Q415" s="710"/>
      <c r="R415" s="710"/>
      <c r="S415" s="710"/>
      <c r="T415" s="710"/>
      <c r="U415" s="710"/>
      <c r="V415" s="716"/>
      <c r="W415" s="716"/>
      <c r="X415" s="716"/>
      <c r="Y415" s="716"/>
      <c r="Z415" s="716"/>
      <c r="AA415" s="716"/>
      <c r="AB415" s="716"/>
      <c r="AC415" s="716"/>
      <c r="AD415" s="716"/>
      <c r="AE415" s="710"/>
      <c r="AF415" s="710"/>
      <c r="AG415" s="710"/>
      <c r="AH415" s="715"/>
      <c r="AI415" s="715"/>
      <c r="AJ415" s="715"/>
      <c r="AK415" s="701">
        <f t="shared" ref="AK415:CV418" si="460">AK461+AK509+AK558</f>
        <v>1.0214060000000001E-3</v>
      </c>
      <c r="AL415" s="701">
        <f t="shared" si="460"/>
        <v>5.1011058999999997E-2</v>
      </c>
      <c r="AM415" s="701">
        <f t="shared" si="460"/>
        <v>0.115925141</v>
      </c>
      <c r="AN415" s="701">
        <f t="shared" si="460"/>
        <v>0.19491484000000001</v>
      </c>
      <c r="AO415" s="701">
        <f t="shared" si="460"/>
        <v>0.27075200799999999</v>
      </c>
      <c r="AP415" s="701">
        <f t="shared" si="460"/>
        <v>0.27294280700000001</v>
      </c>
      <c r="AQ415" s="701">
        <f t="shared" si="460"/>
        <v>0.41953715600000002</v>
      </c>
      <c r="AR415" s="701">
        <f t="shared" si="460"/>
        <v>0.49375200000000002</v>
      </c>
      <c r="AS415" s="701">
        <f t="shared" si="460"/>
        <v>0.64828799999999998</v>
      </c>
      <c r="AT415" s="701">
        <f t="shared" si="460"/>
        <v>0.73328800000000005</v>
      </c>
      <c r="AU415" s="701">
        <f t="shared" si="460"/>
        <v>0.81928799999999991</v>
      </c>
      <c r="AV415" s="701">
        <f t="shared" si="460"/>
        <v>0.90628799999999998</v>
      </c>
      <c r="AW415" s="701">
        <f t="shared" si="460"/>
        <v>0.99428799999999995</v>
      </c>
      <c r="AX415" s="701">
        <f t="shared" si="460"/>
        <v>1.0832880000000003</v>
      </c>
      <c r="AY415" s="701">
        <f t="shared" si="460"/>
        <v>1.1732880000000001</v>
      </c>
      <c r="AZ415" s="701">
        <f t="shared" si="460"/>
        <v>1.2642880000000001</v>
      </c>
      <c r="BA415" s="701">
        <f t="shared" si="460"/>
        <v>1.3562880000000002</v>
      </c>
      <c r="BB415" s="701">
        <f t="shared" si="460"/>
        <v>1.4492880000000001</v>
      </c>
      <c r="BC415" s="701">
        <f t="shared" si="460"/>
        <v>1.5432880000000002</v>
      </c>
      <c r="BD415" s="701">
        <f t="shared" si="460"/>
        <v>1.6382880000000002</v>
      </c>
      <c r="BE415" s="701">
        <f t="shared" si="460"/>
        <v>1.7342880000000003</v>
      </c>
      <c r="BF415" s="701">
        <f t="shared" si="460"/>
        <v>1.8272880000000002</v>
      </c>
      <c r="BG415" s="701">
        <f t="shared" si="460"/>
        <v>1.9172880000000001</v>
      </c>
      <c r="BH415" s="701">
        <f t="shared" si="460"/>
        <v>2.0042880000000003</v>
      </c>
      <c r="BI415" s="701">
        <f t="shared" si="460"/>
        <v>2.0882879999999999</v>
      </c>
      <c r="BJ415" s="701">
        <f t="shared" si="460"/>
        <v>2.1692880000000003</v>
      </c>
      <c r="BK415" s="701">
        <f t="shared" si="460"/>
        <v>2.2472880000000002</v>
      </c>
      <c r="BL415" s="701">
        <f t="shared" si="460"/>
        <v>2.3222879999999999</v>
      </c>
      <c r="BM415" s="701">
        <f t="shared" si="460"/>
        <v>2.3942880000000004</v>
      </c>
      <c r="BN415" s="701">
        <f t="shared" si="460"/>
        <v>2.4632880000000004</v>
      </c>
      <c r="BO415" s="701">
        <f t="shared" si="460"/>
        <v>2.5292880000000002</v>
      </c>
      <c r="BP415" s="701">
        <f t="shared" si="460"/>
        <v>2.5922879999999999</v>
      </c>
      <c r="BQ415" s="701">
        <f t="shared" si="460"/>
        <v>2.652288</v>
      </c>
      <c r="BR415" s="701">
        <f t="shared" si="460"/>
        <v>2.712288</v>
      </c>
      <c r="BS415" s="701">
        <f t="shared" si="460"/>
        <v>2.7722879999999996</v>
      </c>
      <c r="BT415" s="701">
        <f t="shared" si="460"/>
        <v>2.8322880000000001</v>
      </c>
      <c r="BU415" s="701">
        <f t="shared" si="460"/>
        <v>2.8922879999999997</v>
      </c>
      <c r="BV415" s="701">
        <f t="shared" si="460"/>
        <v>2.9522879999999998</v>
      </c>
      <c r="BW415" s="701">
        <f t="shared" si="460"/>
        <v>3.0122879999999999</v>
      </c>
      <c r="BX415" s="701">
        <f t="shared" si="460"/>
        <v>3.0722879999999999</v>
      </c>
      <c r="BY415" s="701">
        <f t="shared" si="460"/>
        <v>3.132288</v>
      </c>
      <c r="BZ415" s="701">
        <f t="shared" si="460"/>
        <v>3.1922879999999996</v>
      </c>
      <c r="CA415" s="701">
        <f t="shared" si="460"/>
        <v>3.2522880000000001</v>
      </c>
      <c r="CB415" s="701">
        <f t="shared" si="460"/>
        <v>3.3122879999999997</v>
      </c>
      <c r="CC415" s="701">
        <f t="shared" si="460"/>
        <v>3.3722879999999997</v>
      </c>
      <c r="CD415" s="701">
        <f t="shared" si="460"/>
        <v>3.4322879999999998</v>
      </c>
      <c r="CE415" s="701">
        <f t="shared" si="460"/>
        <v>3.4922880000000003</v>
      </c>
      <c r="CF415" s="701">
        <f t="shared" si="460"/>
        <v>3.5522880000000003</v>
      </c>
      <c r="CG415" s="701">
        <f t="shared" si="460"/>
        <v>3.6122879999999995</v>
      </c>
      <c r="CH415" s="701">
        <f t="shared" si="460"/>
        <v>3.672288</v>
      </c>
      <c r="CI415" s="701">
        <f t="shared" si="460"/>
        <v>3.732288</v>
      </c>
      <c r="CJ415" s="701">
        <f t="shared" si="460"/>
        <v>3.7922880000000001</v>
      </c>
      <c r="CK415" s="701">
        <f t="shared" si="460"/>
        <v>3.8522880000000002</v>
      </c>
      <c r="CL415" s="701">
        <f t="shared" si="460"/>
        <v>3.9122879999999998</v>
      </c>
      <c r="CM415" s="701">
        <f t="shared" si="460"/>
        <v>3.9722879999999998</v>
      </c>
      <c r="CN415" s="701">
        <f t="shared" si="460"/>
        <v>4.0322880000000003</v>
      </c>
      <c r="CO415" s="701">
        <f t="shared" si="460"/>
        <v>4.0922879999999999</v>
      </c>
      <c r="CP415" s="701">
        <f t="shared" si="460"/>
        <v>4.1522880000000004</v>
      </c>
      <c r="CQ415" s="701">
        <f t="shared" si="460"/>
        <v>4.212288</v>
      </c>
      <c r="CR415" s="701">
        <f t="shared" si="460"/>
        <v>4.2722879999999996</v>
      </c>
      <c r="CS415" s="701">
        <f t="shared" si="460"/>
        <v>4.3322880000000001</v>
      </c>
      <c r="CT415" s="701">
        <f t="shared" si="460"/>
        <v>4.3922879999999997</v>
      </c>
      <c r="CU415" s="701">
        <f t="shared" si="460"/>
        <v>4.4522880000000002</v>
      </c>
      <c r="CV415" s="701">
        <f t="shared" si="460"/>
        <v>4.5122879999999999</v>
      </c>
      <c r="CW415" s="701">
        <f t="shared" si="459"/>
        <v>4.5722879999999995</v>
      </c>
      <c r="CX415" s="701">
        <f t="shared" si="459"/>
        <v>4.632288</v>
      </c>
      <c r="CY415" s="701">
        <f t="shared" si="459"/>
        <v>4.6922880000000005</v>
      </c>
      <c r="CZ415" s="701">
        <f t="shared" si="459"/>
        <v>4.7522880000000001</v>
      </c>
      <c r="DA415" s="701">
        <f t="shared" si="459"/>
        <v>4.8122879999999997</v>
      </c>
      <c r="DC415" s="12">
        <f t="shared" si="440"/>
        <v>0</v>
      </c>
      <c r="DD415" s="12">
        <f t="shared" si="441"/>
        <v>2.468144417</v>
      </c>
      <c r="DE415" s="12">
        <f t="shared" si="442"/>
        <v>14.695456</v>
      </c>
      <c r="DF415" s="12">
        <f t="shared" si="452"/>
        <v>27.207456000000004</v>
      </c>
      <c r="DG415" s="12">
        <f t="shared" si="446"/>
        <v>36.507455999999998</v>
      </c>
      <c r="DH415" s="12">
        <f t="shared" si="443"/>
        <v>45.147456000000005</v>
      </c>
      <c r="DI415" s="12">
        <f t="shared" si="447"/>
        <v>53.787456000000006</v>
      </c>
    </row>
    <row r="416" spans="2:113" hidden="1" outlineLevel="2">
      <c r="F416" s="126" t="s">
        <v>801</v>
      </c>
      <c r="I416" s="609" t="s">
        <v>736</v>
      </c>
      <c r="O416" s="710"/>
      <c r="P416" s="710"/>
      <c r="Q416" s="710"/>
      <c r="R416" s="710"/>
      <c r="S416" s="710"/>
      <c r="T416" s="710"/>
      <c r="U416" s="710"/>
      <c r="V416" s="716"/>
      <c r="W416" s="716"/>
      <c r="X416" s="716"/>
      <c r="Y416" s="716"/>
      <c r="Z416" s="716"/>
      <c r="AA416" s="716"/>
      <c r="AB416" s="716"/>
      <c r="AC416" s="716"/>
      <c r="AD416" s="716"/>
      <c r="AE416" s="710"/>
      <c r="AF416" s="710"/>
      <c r="AG416" s="710"/>
      <c r="AH416" s="715"/>
      <c r="AI416" s="715"/>
      <c r="AJ416" s="715"/>
      <c r="AK416" s="701">
        <f t="shared" si="460"/>
        <v>0</v>
      </c>
      <c r="AL416" s="701">
        <f t="shared" si="460"/>
        <v>0</v>
      </c>
      <c r="AM416" s="701">
        <f t="shared" si="460"/>
        <v>0</v>
      </c>
      <c r="AN416" s="701">
        <f t="shared" si="460"/>
        <v>0</v>
      </c>
      <c r="AO416" s="701">
        <f t="shared" si="460"/>
        <v>0</v>
      </c>
      <c r="AP416" s="701">
        <f t="shared" si="460"/>
        <v>0</v>
      </c>
      <c r="AQ416" s="701">
        <f t="shared" si="460"/>
        <v>0</v>
      </c>
      <c r="AR416" s="701">
        <f t="shared" si="460"/>
        <v>0</v>
      </c>
      <c r="AS416" s="701">
        <f t="shared" si="460"/>
        <v>0</v>
      </c>
      <c r="AT416" s="701">
        <f t="shared" si="460"/>
        <v>0</v>
      </c>
      <c r="AU416" s="701">
        <f t="shared" si="460"/>
        <v>0</v>
      </c>
      <c r="AV416" s="701">
        <f t="shared" si="460"/>
        <v>0</v>
      </c>
      <c r="AW416" s="701">
        <f t="shared" si="460"/>
        <v>0</v>
      </c>
      <c r="AX416" s="701">
        <f t="shared" si="460"/>
        <v>0</v>
      </c>
      <c r="AY416" s="701">
        <f t="shared" si="460"/>
        <v>0</v>
      </c>
      <c r="AZ416" s="701">
        <f t="shared" si="460"/>
        <v>0</v>
      </c>
      <c r="BA416" s="701">
        <f t="shared" si="460"/>
        <v>0</v>
      </c>
      <c r="BB416" s="701">
        <f t="shared" si="460"/>
        <v>0</v>
      </c>
      <c r="BC416" s="701">
        <f t="shared" si="460"/>
        <v>0</v>
      </c>
      <c r="BD416" s="701">
        <f t="shared" si="460"/>
        <v>0</v>
      </c>
      <c r="BE416" s="701">
        <f t="shared" si="460"/>
        <v>0</v>
      </c>
      <c r="BF416" s="701">
        <f t="shared" si="460"/>
        <v>0</v>
      </c>
      <c r="BG416" s="701">
        <f t="shared" si="460"/>
        <v>0</v>
      </c>
      <c r="BH416" s="701">
        <f t="shared" si="460"/>
        <v>0</v>
      </c>
      <c r="BI416" s="701">
        <f t="shared" si="460"/>
        <v>0</v>
      </c>
      <c r="BJ416" s="701">
        <f t="shared" si="460"/>
        <v>0</v>
      </c>
      <c r="BK416" s="701">
        <f t="shared" si="460"/>
        <v>0</v>
      </c>
      <c r="BL416" s="701">
        <f t="shared" si="460"/>
        <v>0</v>
      </c>
      <c r="BM416" s="701">
        <f t="shared" si="460"/>
        <v>0</v>
      </c>
      <c r="BN416" s="701">
        <f t="shared" si="460"/>
        <v>0</v>
      </c>
      <c r="BO416" s="701">
        <f t="shared" si="460"/>
        <v>0</v>
      </c>
      <c r="BP416" s="701">
        <f t="shared" si="460"/>
        <v>0</v>
      </c>
      <c r="BQ416" s="701">
        <f t="shared" si="460"/>
        <v>0</v>
      </c>
      <c r="BR416" s="701">
        <f t="shared" si="460"/>
        <v>0</v>
      </c>
      <c r="BS416" s="701">
        <f t="shared" si="460"/>
        <v>0</v>
      </c>
      <c r="BT416" s="701">
        <f t="shared" si="460"/>
        <v>0</v>
      </c>
      <c r="BU416" s="701">
        <f t="shared" si="460"/>
        <v>0</v>
      </c>
      <c r="BV416" s="701">
        <f t="shared" si="460"/>
        <v>0</v>
      </c>
      <c r="BW416" s="701">
        <f t="shared" si="460"/>
        <v>0</v>
      </c>
      <c r="BX416" s="701">
        <f t="shared" si="460"/>
        <v>0</v>
      </c>
      <c r="BY416" s="701">
        <f t="shared" si="460"/>
        <v>0</v>
      </c>
      <c r="BZ416" s="701">
        <f t="shared" si="460"/>
        <v>0</v>
      </c>
      <c r="CA416" s="701">
        <f t="shared" si="460"/>
        <v>0</v>
      </c>
      <c r="CB416" s="701">
        <f t="shared" si="460"/>
        <v>0</v>
      </c>
      <c r="CC416" s="701">
        <f t="shared" si="460"/>
        <v>0</v>
      </c>
      <c r="CD416" s="701">
        <f t="shared" si="460"/>
        <v>0</v>
      </c>
      <c r="CE416" s="701">
        <f t="shared" si="460"/>
        <v>0</v>
      </c>
      <c r="CF416" s="701">
        <f t="shared" si="460"/>
        <v>0</v>
      </c>
      <c r="CG416" s="701">
        <f t="shared" si="460"/>
        <v>0</v>
      </c>
      <c r="CH416" s="701">
        <f t="shared" si="460"/>
        <v>0</v>
      </c>
      <c r="CI416" s="701">
        <f t="shared" si="460"/>
        <v>0</v>
      </c>
      <c r="CJ416" s="701">
        <f t="shared" si="460"/>
        <v>0</v>
      </c>
      <c r="CK416" s="701">
        <f t="shared" si="460"/>
        <v>0</v>
      </c>
      <c r="CL416" s="701">
        <f t="shared" si="460"/>
        <v>0</v>
      </c>
      <c r="CM416" s="701">
        <f t="shared" si="460"/>
        <v>0</v>
      </c>
      <c r="CN416" s="701">
        <f t="shared" si="460"/>
        <v>0</v>
      </c>
      <c r="CO416" s="701">
        <f t="shared" si="460"/>
        <v>0</v>
      </c>
      <c r="CP416" s="701">
        <f t="shared" si="460"/>
        <v>0</v>
      </c>
      <c r="CQ416" s="701">
        <f t="shared" si="460"/>
        <v>0</v>
      </c>
      <c r="CR416" s="701">
        <f t="shared" si="460"/>
        <v>0</v>
      </c>
      <c r="CS416" s="701">
        <f t="shared" si="460"/>
        <v>0</v>
      </c>
      <c r="CT416" s="701">
        <f t="shared" si="460"/>
        <v>0</v>
      </c>
      <c r="CU416" s="701">
        <f t="shared" si="460"/>
        <v>0</v>
      </c>
      <c r="CV416" s="701">
        <f t="shared" si="460"/>
        <v>0</v>
      </c>
      <c r="CW416" s="701">
        <f t="shared" si="459"/>
        <v>0</v>
      </c>
      <c r="CX416" s="701">
        <f t="shared" si="459"/>
        <v>0</v>
      </c>
      <c r="CY416" s="701">
        <f t="shared" si="459"/>
        <v>0</v>
      </c>
      <c r="CZ416" s="701">
        <f t="shared" si="459"/>
        <v>0</v>
      </c>
      <c r="DA416" s="701">
        <f t="shared" si="459"/>
        <v>0</v>
      </c>
      <c r="DC416" s="12">
        <f t="shared" si="440"/>
        <v>0</v>
      </c>
      <c r="DD416" s="12">
        <f t="shared" si="441"/>
        <v>0</v>
      </c>
      <c r="DE416" s="12">
        <f t="shared" si="442"/>
        <v>0</v>
      </c>
      <c r="DF416" s="12">
        <f t="shared" si="452"/>
        <v>0</v>
      </c>
      <c r="DG416" s="12">
        <f t="shared" si="446"/>
        <v>0</v>
      </c>
      <c r="DH416" s="12">
        <f t="shared" si="443"/>
        <v>0</v>
      </c>
      <c r="DI416" s="12">
        <f t="shared" si="447"/>
        <v>0</v>
      </c>
    </row>
    <row r="417" spans="2:113" hidden="1" outlineLevel="2">
      <c r="F417" s="126" t="s">
        <v>802</v>
      </c>
      <c r="I417" s="609" t="s">
        <v>736</v>
      </c>
      <c r="O417" s="710"/>
      <c r="P417" s="710"/>
      <c r="Q417" s="710"/>
      <c r="R417" s="710"/>
      <c r="S417" s="710"/>
      <c r="T417" s="710"/>
      <c r="U417" s="710"/>
      <c r="V417" s="716"/>
      <c r="W417" s="716"/>
      <c r="X417" s="716"/>
      <c r="Y417" s="716"/>
      <c r="Z417" s="716"/>
      <c r="AA417" s="716"/>
      <c r="AB417" s="716"/>
      <c r="AC417" s="716"/>
      <c r="AD417" s="716"/>
      <c r="AE417" s="710"/>
      <c r="AF417" s="710"/>
      <c r="AG417" s="710"/>
      <c r="AH417" s="715"/>
      <c r="AI417" s="715"/>
      <c r="AJ417" s="715"/>
      <c r="AK417" s="701">
        <f t="shared" si="460"/>
        <v>0</v>
      </c>
      <c r="AL417" s="701">
        <f t="shared" si="460"/>
        <v>0</v>
      </c>
      <c r="AM417" s="701">
        <f t="shared" si="460"/>
        <v>0</v>
      </c>
      <c r="AN417" s="701">
        <f t="shared" si="460"/>
        <v>0</v>
      </c>
      <c r="AO417" s="701">
        <f t="shared" si="460"/>
        <v>0</v>
      </c>
      <c r="AP417" s="701">
        <f t="shared" si="460"/>
        <v>0</v>
      </c>
      <c r="AQ417" s="701">
        <f t="shared" si="460"/>
        <v>0</v>
      </c>
      <c r="AR417" s="701">
        <f t="shared" si="460"/>
        <v>0</v>
      </c>
      <c r="AS417" s="701">
        <f t="shared" si="460"/>
        <v>0</v>
      </c>
      <c r="AT417" s="701">
        <f t="shared" si="460"/>
        <v>0</v>
      </c>
      <c r="AU417" s="701">
        <f t="shared" si="460"/>
        <v>0</v>
      </c>
      <c r="AV417" s="701">
        <f t="shared" si="460"/>
        <v>0</v>
      </c>
      <c r="AW417" s="701">
        <f t="shared" si="460"/>
        <v>0</v>
      </c>
      <c r="AX417" s="701">
        <f t="shared" si="460"/>
        <v>0</v>
      </c>
      <c r="AY417" s="701">
        <f t="shared" si="460"/>
        <v>0</v>
      </c>
      <c r="AZ417" s="701">
        <f t="shared" si="460"/>
        <v>0</v>
      </c>
      <c r="BA417" s="701">
        <f t="shared" si="460"/>
        <v>0</v>
      </c>
      <c r="BB417" s="701">
        <f t="shared" si="460"/>
        <v>0</v>
      </c>
      <c r="BC417" s="701">
        <f t="shared" si="460"/>
        <v>0</v>
      </c>
      <c r="BD417" s="701">
        <f t="shared" si="460"/>
        <v>0</v>
      </c>
      <c r="BE417" s="701">
        <f t="shared" si="460"/>
        <v>0</v>
      </c>
      <c r="BF417" s="701">
        <f t="shared" si="460"/>
        <v>0</v>
      </c>
      <c r="BG417" s="701">
        <f t="shared" si="460"/>
        <v>0</v>
      </c>
      <c r="BH417" s="701">
        <f t="shared" si="460"/>
        <v>0</v>
      </c>
      <c r="BI417" s="701">
        <f t="shared" si="460"/>
        <v>0</v>
      </c>
      <c r="BJ417" s="701">
        <f t="shared" si="460"/>
        <v>0</v>
      </c>
      <c r="BK417" s="701">
        <f t="shared" si="460"/>
        <v>0</v>
      </c>
      <c r="BL417" s="701">
        <f t="shared" si="460"/>
        <v>0</v>
      </c>
      <c r="BM417" s="701">
        <f t="shared" si="460"/>
        <v>0</v>
      </c>
      <c r="BN417" s="701">
        <f t="shared" si="460"/>
        <v>0</v>
      </c>
      <c r="BO417" s="701">
        <f t="shared" si="460"/>
        <v>0</v>
      </c>
      <c r="BP417" s="701">
        <f t="shared" si="460"/>
        <v>0</v>
      </c>
      <c r="BQ417" s="701">
        <f t="shared" si="460"/>
        <v>0</v>
      </c>
      <c r="BR417" s="701">
        <f t="shared" si="460"/>
        <v>0</v>
      </c>
      <c r="BS417" s="701">
        <f t="shared" si="460"/>
        <v>0</v>
      </c>
      <c r="BT417" s="701">
        <f t="shared" si="460"/>
        <v>0</v>
      </c>
      <c r="BU417" s="701">
        <f t="shared" si="460"/>
        <v>0</v>
      </c>
      <c r="BV417" s="701">
        <f t="shared" si="460"/>
        <v>0</v>
      </c>
      <c r="BW417" s="701">
        <f t="shared" si="460"/>
        <v>0</v>
      </c>
      <c r="BX417" s="701">
        <f t="shared" si="460"/>
        <v>0</v>
      </c>
      <c r="BY417" s="701">
        <f t="shared" si="460"/>
        <v>0</v>
      </c>
      <c r="BZ417" s="701">
        <f t="shared" si="460"/>
        <v>0</v>
      </c>
      <c r="CA417" s="701">
        <f t="shared" si="460"/>
        <v>0</v>
      </c>
      <c r="CB417" s="701">
        <f t="shared" si="460"/>
        <v>0</v>
      </c>
      <c r="CC417" s="701">
        <f t="shared" si="460"/>
        <v>0</v>
      </c>
      <c r="CD417" s="701">
        <f t="shared" si="460"/>
        <v>0</v>
      </c>
      <c r="CE417" s="701">
        <f t="shared" si="460"/>
        <v>0</v>
      </c>
      <c r="CF417" s="701">
        <f t="shared" si="460"/>
        <v>0</v>
      </c>
      <c r="CG417" s="701">
        <f t="shared" si="460"/>
        <v>0</v>
      </c>
      <c r="CH417" s="701">
        <f t="shared" si="460"/>
        <v>0</v>
      </c>
      <c r="CI417" s="701">
        <f t="shared" si="460"/>
        <v>0</v>
      </c>
      <c r="CJ417" s="701">
        <f t="shared" si="460"/>
        <v>0</v>
      </c>
      <c r="CK417" s="701">
        <f t="shared" si="460"/>
        <v>0</v>
      </c>
      <c r="CL417" s="701">
        <f t="shared" si="460"/>
        <v>0</v>
      </c>
      <c r="CM417" s="701">
        <f t="shared" si="460"/>
        <v>0</v>
      </c>
      <c r="CN417" s="701">
        <f t="shared" si="460"/>
        <v>0</v>
      </c>
      <c r="CO417" s="701">
        <f t="shared" si="460"/>
        <v>0</v>
      </c>
      <c r="CP417" s="701">
        <f t="shared" si="460"/>
        <v>0</v>
      </c>
      <c r="CQ417" s="701">
        <f t="shared" si="460"/>
        <v>0</v>
      </c>
      <c r="CR417" s="701">
        <f t="shared" si="460"/>
        <v>0</v>
      </c>
      <c r="CS417" s="701">
        <f t="shared" si="460"/>
        <v>0</v>
      </c>
      <c r="CT417" s="701">
        <f t="shared" si="460"/>
        <v>0</v>
      </c>
      <c r="CU417" s="701">
        <f t="shared" si="460"/>
        <v>0</v>
      </c>
      <c r="CV417" s="701">
        <f t="shared" si="460"/>
        <v>0</v>
      </c>
      <c r="CW417" s="701">
        <f t="shared" si="459"/>
        <v>0</v>
      </c>
      <c r="CX417" s="701">
        <f t="shared" si="459"/>
        <v>0</v>
      </c>
      <c r="CY417" s="701">
        <f t="shared" si="459"/>
        <v>0</v>
      </c>
      <c r="CZ417" s="701">
        <f t="shared" si="459"/>
        <v>0</v>
      </c>
      <c r="DA417" s="701">
        <f t="shared" si="459"/>
        <v>0</v>
      </c>
      <c r="DC417" s="12">
        <f t="shared" si="440"/>
        <v>0</v>
      </c>
      <c r="DD417" s="12">
        <f t="shared" si="441"/>
        <v>0</v>
      </c>
      <c r="DE417" s="12">
        <f t="shared" si="442"/>
        <v>0</v>
      </c>
      <c r="DF417" s="12">
        <f t="shared" si="452"/>
        <v>0</v>
      </c>
      <c r="DG417" s="12">
        <f t="shared" si="446"/>
        <v>0</v>
      </c>
      <c r="DH417" s="12">
        <f t="shared" si="443"/>
        <v>0</v>
      </c>
      <c r="DI417" s="12">
        <f t="shared" si="447"/>
        <v>0</v>
      </c>
    </row>
    <row r="418" spans="2:113" outlineLevel="2">
      <c r="F418" s="126" t="s">
        <v>222</v>
      </c>
      <c r="I418" s="609" t="s">
        <v>736</v>
      </c>
      <c r="O418" s="710"/>
      <c r="P418" s="710"/>
      <c r="Q418" s="710"/>
      <c r="R418" s="710"/>
      <c r="S418" s="710"/>
      <c r="T418" s="710"/>
      <c r="U418" s="710"/>
      <c r="V418" s="716"/>
      <c r="W418" s="716"/>
      <c r="X418" s="716"/>
      <c r="Y418" s="716"/>
      <c r="Z418" s="716"/>
      <c r="AA418" s="716"/>
      <c r="AB418" s="716"/>
      <c r="AC418" s="716"/>
      <c r="AD418" s="716"/>
      <c r="AE418" s="710"/>
      <c r="AF418" s="710"/>
      <c r="AG418" s="710"/>
      <c r="AH418" s="715"/>
      <c r="AI418" s="715"/>
      <c r="AJ418" s="715"/>
      <c r="AK418" s="701">
        <f t="shared" si="460"/>
        <v>0</v>
      </c>
      <c r="AL418" s="701">
        <f t="shared" si="460"/>
        <v>0</v>
      </c>
      <c r="AM418" s="701">
        <f t="shared" si="460"/>
        <v>7.6036029999999996E-3</v>
      </c>
      <c r="AN418" s="701">
        <f t="shared" si="460"/>
        <v>2.6025256E-2</v>
      </c>
      <c r="AO418" s="701">
        <f t="shared" si="460"/>
        <v>6.1989213000000001E-2</v>
      </c>
      <c r="AP418" s="701">
        <f t="shared" si="460"/>
        <v>8.0753063E-2</v>
      </c>
      <c r="AQ418" s="701">
        <f t="shared" si="460"/>
        <v>0.114148836</v>
      </c>
      <c r="AR418" s="701">
        <f t="shared" si="460"/>
        <v>0.13312807157622503</v>
      </c>
      <c r="AS418" s="701">
        <f t="shared" si="460"/>
        <v>0.16710252730167874</v>
      </c>
      <c r="AT418" s="701">
        <f t="shared" si="460"/>
        <v>0.20356376661465397</v>
      </c>
      <c r="AU418" s="701">
        <f t="shared" si="460"/>
        <v>0.24036036849218978</v>
      </c>
      <c r="AV418" s="701">
        <f t="shared" si="460"/>
        <v>0.27764865597146965</v>
      </c>
      <c r="AW418" s="701">
        <f t="shared" si="460"/>
        <v>0.31563935470469245</v>
      </c>
      <c r="AX418" s="701">
        <f t="shared" si="460"/>
        <v>0.35455646873939733</v>
      </c>
      <c r="AY418" s="701">
        <f t="shared" si="460"/>
        <v>0.39416641849712053</v>
      </c>
      <c r="AZ418" s="701">
        <f t="shared" si="460"/>
        <v>0.43483750319077635</v>
      </c>
      <c r="BA418" s="701">
        <f t="shared" si="460"/>
        <v>0.47643372458716721</v>
      </c>
      <c r="BB418" s="701">
        <f t="shared" si="460"/>
        <v>0.51863590743029575</v>
      </c>
      <c r="BC418" s="701">
        <f t="shared" si="460"/>
        <v>0.56164571143361752</v>
      </c>
      <c r="BD418" s="701">
        <f t="shared" si="460"/>
        <v>0.60554893642638574</v>
      </c>
      <c r="BE418" s="701">
        <f t="shared" si="460"/>
        <v>0.65039789652737201</v>
      </c>
      <c r="BF418" s="701">
        <f t="shared" si="460"/>
        <v>0.70316905243835559</v>
      </c>
      <c r="BG418" s="701">
        <f t="shared" si="460"/>
        <v>0.75254655396180559</v>
      </c>
      <c r="BH418" s="701">
        <f t="shared" si="460"/>
        <v>0.80016915975425384</v>
      </c>
      <c r="BI418" s="701">
        <f t="shared" si="460"/>
        <v>0.84695211818877547</v>
      </c>
      <c r="BJ418" s="701">
        <f t="shared" si="460"/>
        <v>0.8933404965493299</v>
      </c>
      <c r="BK418" s="701">
        <f t="shared" si="460"/>
        <v>0.93948823871796117</v>
      </c>
      <c r="BL418" s="701">
        <f t="shared" si="460"/>
        <v>0.98545709798183212</v>
      </c>
      <c r="BM418" s="701">
        <f t="shared" si="460"/>
        <v>1.0312194710389289</v>
      </c>
      <c r="BN418" s="701">
        <f t="shared" si="460"/>
        <v>1.076698540793394</v>
      </c>
      <c r="BO418" s="701">
        <f t="shared" si="460"/>
        <v>1.1220859300263539</v>
      </c>
      <c r="BP418" s="701">
        <f t="shared" si="460"/>
        <v>1.1673300343352679</v>
      </c>
      <c r="BQ418" s="701">
        <f t="shared" si="460"/>
        <v>1.2125539133083414</v>
      </c>
      <c r="BR418" s="701">
        <f t="shared" si="460"/>
        <v>1.2580289984886084</v>
      </c>
      <c r="BS418" s="701">
        <f t="shared" si="460"/>
        <v>1.3037862141925467</v>
      </c>
      <c r="BT418" s="701">
        <f t="shared" si="460"/>
        <v>1.3498488652328495</v>
      </c>
      <c r="BU418" s="701">
        <f t="shared" si="460"/>
        <v>1.3962198321379136</v>
      </c>
      <c r="BV418" s="701">
        <f t="shared" si="460"/>
        <v>1.4429002121594072</v>
      </c>
      <c r="BW418" s="701">
        <f t="shared" si="460"/>
        <v>1.4898938976518823</v>
      </c>
      <c r="BX418" s="701">
        <f t="shared" si="460"/>
        <v>1.5371973714665321</v>
      </c>
      <c r="BY418" s="701">
        <f t="shared" si="460"/>
        <v>1.5848144620785798</v>
      </c>
      <c r="BZ418" s="701">
        <f t="shared" si="460"/>
        <v>1.6327431139251427</v>
      </c>
      <c r="CA418" s="701">
        <f t="shared" si="460"/>
        <v>1.6809812562465292</v>
      </c>
      <c r="CB418" s="701">
        <f t="shared" si="460"/>
        <v>1.7295277730309329</v>
      </c>
      <c r="CC418" s="701">
        <f t="shared" si="460"/>
        <v>1.7783820279408213</v>
      </c>
      <c r="CD418" s="701">
        <f t="shared" si="460"/>
        <v>1.8274206370798045</v>
      </c>
      <c r="CE418" s="701">
        <f t="shared" si="460"/>
        <v>1.8763923486502709</v>
      </c>
      <c r="CF418" s="701">
        <f t="shared" si="460"/>
        <v>1.9253272700770627</v>
      </c>
      <c r="CG418" s="701">
        <f t="shared" si="460"/>
        <v>1.9742417692062981</v>
      </c>
      <c r="CH418" s="701">
        <f t="shared" si="460"/>
        <v>2.0231449894027072</v>
      </c>
      <c r="CI418" s="701">
        <f t="shared" si="460"/>
        <v>2.0720418837859986</v>
      </c>
      <c r="CJ418" s="701">
        <f t="shared" si="460"/>
        <v>2.1211410792035057</v>
      </c>
      <c r="CK418" s="701">
        <f t="shared" si="460"/>
        <v>2.1701425882380772</v>
      </c>
      <c r="CL418" s="701">
        <f t="shared" si="460"/>
        <v>2.2190967514130944</v>
      </c>
      <c r="CM418" s="701">
        <f t="shared" si="460"/>
        <v>2.2680259901739177</v>
      </c>
      <c r="CN418" s="701">
        <f t="shared" si="460"/>
        <v>2.3169420969863617</v>
      </c>
      <c r="CO418" s="701">
        <f t="shared" si="460"/>
        <v>2.3658511188132709</v>
      </c>
      <c r="CP418" s="701">
        <f t="shared" si="460"/>
        <v>2.4147562770755062</v>
      </c>
      <c r="CQ418" s="701">
        <f t="shared" si="460"/>
        <v>2.4636549623171673</v>
      </c>
      <c r="CR418" s="701">
        <f t="shared" si="460"/>
        <v>2.5125564772597251</v>
      </c>
      <c r="CS418" s="701">
        <f t="shared" si="460"/>
        <v>2.5614602806396976</v>
      </c>
      <c r="CT418" s="701">
        <f t="shared" si="460"/>
        <v>2.6103657459225791</v>
      </c>
      <c r="CU418" s="701">
        <f t="shared" si="460"/>
        <v>2.659272304342204</v>
      </c>
      <c r="CV418" s="701">
        <f t="shared" ref="CV418:DA421" si="461">CV464+CV512+CV561</f>
        <v>2.7081795340778321</v>
      </c>
      <c r="CW418" s="701">
        <f t="shared" si="461"/>
        <v>2.7570871393022705</v>
      </c>
      <c r="CX418" s="701">
        <f t="shared" si="461"/>
        <v>2.8059950140452639</v>
      </c>
      <c r="CY418" s="701">
        <f t="shared" si="461"/>
        <v>2.8549028123773978</v>
      </c>
      <c r="CZ418" s="701">
        <f t="shared" si="461"/>
        <v>2.9038104967666349</v>
      </c>
      <c r="DA418" s="701">
        <f t="shared" si="461"/>
        <v>2.9546308727556969</v>
      </c>
      <c r="DC418" s="12">
        <f t="shared" si="440"/>
        <v>0</v>
      </c>
      <c r="DD418" s="12">
        <f t="shared" si="441"/>
        <v>0.59075056987790386</v>
      </c>
      <c r="DE418" s="12">
        <f t="shared" si="442"/>
        <v>5.0334347126151391</v>
      </c>
      <c r="DF418" s="12">
        <f t="shared" si="452"/>
        <v>11.531010607094601</v>
      </c>
      <c r="DG418" s="12">
        <f t="shared" si="446"/>
        <v>18.184324024551746</v>
      </c>
      <c r="DH418" s="12">
        <f t="shared" si="443"/>
        <v>25.159768523030372</v>
      </c>
      <c r="DI418" s="12">
        <f t="shared" si="447"/>
        <v>32.206671916881973</v>
      </c>
    </row>
    <row r="419" spans="2:113" outlineLevel="2">
      <c r="F419" s="126" t="s">
        <v>803</v>
      </c>
      <c r="I419" s="609" t="s">
        <v>736</v>
      </c>
      <c r="O419" s="710"/>
      <c r="P419" s="710"/>
      <c r="Q419" s="710"/>
      <c r="R419" s="710"/>
      <c r="S419" s="710"/>
      <c r="T419" s="710"/>
      <c r="U419" s="710"/>
      <c r="V419" s="716"/>
      <c r="W419" s="716"/>
      <c r="X419" s="716"/>
      <c r="Y419" s="716"/>
      <c r="Z419" s="716"/>
      <c r="AA419" s="716"/>
      <c r="AB419" s="716"/>
      <c r="AC419" s="716"/>
      <c r="AD419" s="716"/>
      <c r="AE419" s="710"/>
      <c r="AF419" s="710"/>
      <c r="AG419" s="710"/>
      <c r="AH419" s="715"/>
      <c r="AI419" s="715"/>
      <c r="AJ419" s="715"/>
      <c r="AK419" s="701">
        <f t="shared" ref="AK419:CV422" si="462">AK465+AK513+AK562</f>
        <v>0</v>
      </c>
      <c r="AL419" s="701">
        <f t="shared" si="462"/>
        <v>0</v>
      </c>
      <c r="AM419" s="701">
        <f t="shared" si="462"/>
        <v>0</v>
      </c>
      <c r="AN419" s="701">
        <f t="shared" si="462"/>
        <v>0</v>
      </c>
      <c r="AO419" s="701">
        <f t="shared" si="462"/>
        <v>0</v>
      </c>
      <c r="AP419" s="701">
        <f t="shared" si="462"/>
        <v>0</v>
      </c>
      <c r="AQ419" s="701">
        <f t="shared" si="462"/>
        <v>0</v>
      </c>
      <c r="AR419" s="701">
        <f t="shared" si="462"/>
        <v>0</v>
      </c>
      <c r="AS419" s="701">
        <f t="shared" si="462"/>
        <v>1.4295945225951324E-2</v>
      </c>
      <c r="AT419" s="701">
        <f t="shared" si="462"/>
        <v>5.540845506414567E-2</v>
      </c>
      <c r="AU419" s="701">
        <f t="shared" si="462"/>
        <v>0.10789166310389528</v>
      </c>
      <c r="AV419" s="701">
        <f t="shared" si="462"/>
        <v>0.16255236320873612</v>
      </c>
      <c r="AW419" s="701">
        <f t="shared" si="462"/>
        <v>0.22181190409480858</v>
      </c>
      <c r="AX419" s="701">
        <f t="shared" si="462"/>
        <v>0.28213150451741759</v>
      </c>
      <c r="AY419" s="701">
        <f t="shared" si="462"/>
        <v>0.3437458340622217</v>
      </c>
      <c r="AZ419" s="701">
        <f t="shared" si="462"/>
        <v>0.40879569013274114</v>
      </c>
      <c r="BA419" s="701">
        <f t="shared" si="462"/>
        <v>0.47788192943777619</v>
      </c>
      <c r="BB419" s="701">
        <f t="shared" si="462"/>
        <v>0.55167200816771023</v>
      </c>
      <c r="BC419" s="701">
        <f t="shared" si="462"/>
        <v>0.63095137151465053</v>
      </c>
      <c r="BD419" s="701">
        <f t="shared" si="462"/>
        <v>0.71591371869407816</v>
      </c>
      <c r="BE419" s="701">
        <f t="shared" si="462"/>
        <v>0.80497588768397799</v>
      </c>
      <c r="BF419" s="701">
        <f t="shared" si="462"/>
        <v>1.0187530044935964</v>
      </c>
      <c r="BG419" s="701">
        <f t="shared" si="462"/>
        <v>1.3700285404279704</v>
      </c>
      <c r="BH419" s="701">
        <f t="shared" si="462"/>
        <v>1.8317646718162184</v>
      </c>
      <c r="BI419" s="701">
        <f t="shared" si="462"/>
        <v>2.1424914092762544</v>
      </c>
      <c r="BJ419" s="701">
        <f t="shared" si="462"/>
        <v>2.3794972872725979</v>
      </c>
      <c r="BK419" s="701">
        <f t="shared" si="462"/>
        <v>2.6000995341087965</v>
      </c>
      <c r="BL419" s="701">
        <f t="shared" si="462"/>
        <v>2.8040821477131348</v>
      </c>
      <c r="BM419" s="701">
        <f t="shared" si="462"/>
        <v>2.9992093995087421</v>
      </c>
      <c r="BN419" s="701">
        <f t="shared" si="462"/>
        <v>3.2182505909739918</v>
      </c>
      <c r="BO419" s="701">
        <f t="shared" si="462"/>
        <v>3.4517795030618044</v>
      </c>
      <c r="BP419" s="701">
        <f t="shared" si="462"/>
        <v>3.6866595139269553</v>
      </c>
      <c r="BQ419" s="701">
        <f t="shared" si="462"/>
        <v>3.9299611311954599</v>
      </c>
      <c r="BR419" s="701">
        <f t="shared" si="462"/>
        <v>4.1697061859236584</v>
      </c>
      <c r="BS419" s="701">
        <f t="shared" si="462"/>
        <v>4.4153508060619648</v>
      </c>
      <c r="BT419" s="701">
        <f t="shared" si="462"/>
        <v>4.665266788412203</v>
      </c>
      <c r="BU419" s="701">
        <f t="shared" si="462"/>
        <v>4.9186642201530608</v>
      </c>
      <c r="BV419" s="701">
        <f t="shared" si="462"/>
        <v>5.1759467992705419</v>
      </c>
      <c r="BW419" s="701">
        <f t="shared" si="462"/>
        <v>5.4373417239750665</v>
      </c>
      <c r="BX419" s="701">
        <f t="shared" si="462"/>
        <v>5.7366423713247396</v>
      </c>
      <c r="BY419" s="701">
        <f t="shared" si="462"/>
        <v>6.0338147178502437</v>
      </c>
      <c r="BZ419" s="701">
        <f t="shared" si="462"/>
        <v>6.3333357395277368</v>
      </c>
      <c r="CA419" s="701">
        <f t="shared" si="462"/>
        <v>6.6361347944292595</v>
      </c>
      <c r="CB419" s="701">
        <f t="shared" si="462"/>
        <v>6.943451015460627</v>
      </c>
      <c r="CC419" s="701">
        <f t="shared" si="462"/>
        <v>7.2552412111180864</v>
      </c>
      <c r="CD419" s="701">
        <f t="shared" si="462"/>
        <v>7.6161412411249882</v>
      </c>
      <c r="CE419" s="701">
        <f t="shared" si="462"/>
        <v>7.9475210511562233</v>
      </c>
      <c r="CF419" s="701">
        <f t="shared" si="462"/>
        <v>8.278430604831744</v>
      </c>
      <c r="CG419" s="701">
        <f t="shared" si="462"/>
        <v>8.6091002612633734</v>
      </c>
      <c r="CH419" s="701">
        <f t="shared" si="462"/>
        <v>8.9408471293585823</v>
      </c>
      <c r="CI419" s="701">
        <f t="shared" si="462"/>
        <v>9.2735396018545657</v>
      </c>
      <c r="CJ419" s="701">
        <f t="shared" si="462"/>
        <v>9.6072094989860375</v>
      </c>
      <c r="CK419" s="701">
        <f t="shared" si="462"/>
        <v>9.9100280041653157</v>
      </c>
      <c r="CL419" s="701">
        <f t="shared" si="462"/>
        <v>10.214421324421957</v>
      </c>
      <c r="CM419" s="701">
        <f t="shared" si="462"/>
        <v>10.519485466303319</v>
      </c>
      <c r="CN419" s="701">
        <f t="shared" si="462"/>
        <v>10.825120972728087</v>
      </c>
      <c r="CO419" s="701">
        <f t="shared" si="462"/>
        <v>11.131269919471448</v>
      </c>
      <c r="CP419" s="701">
        <f t="shared" si="462"/>
        <v>11.437942982589309</v>
      </c>
      <c r="CQ419" s="701">
        <f t="shared" si="462"/>
        <v>11.745148483130716</v>
      </c>
      <c r="CR419" s="701">
        <f t="shared" si="462"/>
        <v>12.052895970737863</v>
      </c>
      <c r="CS419" s="701">
        <f t="shared" si="462"/>
        <v>12.360521276910029</v>
      </c>
      <c r="CT419" s="701">
        <f t="shared" si="462"/>
        <v>12.668066873720631</v>
      </c>
      <c r="CU419" s="701">
        <f t="shared" si="462"/>
        <v>12.975550891557903</v>
      </c>
      <c r="CV419" s="701">
        <f t="shared" si="462"/>
        <v>13.282987776214785</v>
      </c>
      <c r="CW419" s="701">
        <f t="shared" si="461"/>
        <v>13.590389728124908</v>
      </c>
      <c r="CX419" s="701">
        <f t="shared" si="461"/>
        <v>13.897768928574822</v>
      </c>
      <c r="CY419" s="701">
        <f t="shared" si="461"/>
        <v>14.205137443549646</v>
      </c>
      <c r="CZ419" s="701">
        <f t="shared" si="461"/>
        <v>14.512507247277417</v>
      </c>
      <c r="DA419" s="701">
        <f t="shared" si="461"/>
        <v>14.819876005970718</v>
      </c>
      <c r="DC419" s="12"/>
      <c r="DD419" s="12">
        <f>SUM(AH419:AS419)</f>
        <v>1.4295945225951324E-2</v>
      </c>
      <c r="DE419" s="12">
        <f>SUM(AT419:BE419)</f>
        <v>4.763732329682159</v>
      </c>
      <c r="DF419" s="12">
        <f>SUM(BF419:BQ419)</f>
        <v>31.43257673377552</v>
      </c>
      <c r="DG419" s="12">
        <f>SUM(BR419:CC419)</f>
        <v>67.720896373507188</v>
      </c>
      <c r="DH419" s="12">
        <f>SUM(CD419:CO419)</f>
        <v>112.87311507566565</v>
      </c>
      <c r="DI419" s="12">
        <f t="shared" si="447"/>
        <v>157.54879360835875</v>
      </c>
    </row>
    <row r="420" spans="2:113" outlineLevel="2">
      <c r="F420" s="126" t="s">
        <v>224</v>
      </c>
      <c r="I420" s="609" t="s">
        <v>736</v>
      </c>
      <c r="O420" s="710"/>
      <c r="P420" s="710"/>
      <c r="Q420" s="710"/>
      <c r="R420" s="710"/>
      <c r="S420" s="710"/>
      <c r="T420" s="710"/>
      <c r="U420" s="710"/>
      <c r="V420" s="716"/>
      <c r="W420" s="716"/>
      <c r="X420" s="716"/>
      <c r="Y420" s="716"/>
      <c r="Z420" s="716"/>
      <c r="AA420" s="716"/>
      <c r="AB420" s="716"/>
      <c r="AC420" s="716"/>
      <c r="AD420" s="716"/>
      <c r="AE420" s="710"/>
      <c r="AF420" s="710"/>
      <c r="AG420" s="710"/>
      <c r="AH420" s="715"/>
      <c r="AI420" s="715"/>
      <c r="AJ420" s="715"/>
      <c r="AK420" s="701">
        <f t="shared" si="462"/>
        <v>0</v>
      </c>
      <c r="AL420" s="701">
        <f t="shared" si="462"/>
        <v>0</v>
      </c>
      <c r="AM420" s="701">
        <f t="shared" si="462"/>
        <v>0</v>
      </c>
      <c r="AN420" s="701">
        <f t="shared" si="462"/>
        <v>0</v>
      </c>
      <c r="AO420" s="701">
        <f t="shared" si="462"/>
        <v>0</v>
      </c>
      <c r="AP420" s="701">
        <f t="shared" si="462"/>
        <v>0</v>
      </c>
      <c r="AQ420" s="701">
        <f t="shared" si="462"/>
        <v>0</v>
      </c>
      <c r="AR420" s="701">
        <f t="shared" si="462"/>
        <v>0</v>
      </c>
      <c r="AS420" s="701">
        <f t="shared" si="462"/>
        <v>0</v>
      </c>
      <c r="AT420" s="701">
        <f t="shared" si="462"/>
        <v>0</v>
      </c>
      <c r="AU420" s="701">
        <f t="shared" si="462"/>
        <v>0</v>
      </c>
      <c r="AV420" s="701">
        <f t="shared" si="462"/>
        <v>0</v>
      </c>
      <c r="AW420" s="701">
        <f t="shared" si="462"/>
        <v>0</v>
      </c>
      <c r="AX420" s="701">
        <f t="shared" si="462"/>
        <v>0</v>
      </c>
      <c r="AY420" s="701">
        <f t="shared" si="462"/>
        <v>0</v>
      </c>
      <c r="AZ420" s="701">
        <f t="shared" si="462"/>
        <v>0</v>
      </c>
      <c r="BA420" s="701">
        <f t="shared" si="462"/>
        <v>0</v>
      </c>
      <c r="BB420" s="701">
        <f t="shared" si="462"/>
        <v>0</v>
      </c>
      <c r="BC420" s="701">
        <f t="shared" si="462"/>
        <v>0</v>
      </c>
      <c r="BD420" s="701">
        <f t="shared" si="462"/>
        <v>0</v>
      </c>
      <c r="BE420" s="701">
        <f t="shared" si="462"/>
        <v>0</v>
      </c>
      <c r="BF420" s="701">
        <f t="shared" si="462"/>
        <v>0</v>
      </c>
      <c r="BG420" s="701">
        <f t="shared" si="462"/>
        <v>0</v>
      </c>
      <c r="BH420" s="701">
        <f t="shared" si="462"/>
        <v>0</v>
      </c>
      <c r="BI420" s="701">
        <f t="shared" si="462"/>
        <v>0</v>
      </c>
      <c r="BJ420" s="701">
        <f t="shared" si="462"/>
        <v>0</v>
      </c>
      <c r="BK420" s="701">
        <f t="shared" si="462"/>
        <v>0</v>
      </c>
      <c r="BL420" s="701">
        <f t="shared" si="462"/>
        <v>0</v>
      </c>
      <c r="BM420" s="701">
        <f t="shared" si="462"/>
        <v>0</v>
      </c>
      <c r="BN420" s="701">
        <f t="shared" si="462"/>
        <v>0</v>
      </c>
      <c r="BO420" s="701">
        <f t="shared" si="462"/>
        <v>0</v>
      </c>
      <c r="BP420" s="701">
        <f t="shared" si="462"/>
        <v>0</v>
      </c>
      <c r="BQ420" s="701">
        <f t="shared" si="462"/>
        <v>0</v>
      </c>
      <c r="BR420" s="701">
        <f t="shared" si="462"/>
        <v>0</v>
      </c>
      <c r="BS420" s="701">
        <f t="shared" si="462"/>
        <v>0</v>
      </c>
      <c r="BT420" s="701">
        <f t="shared" si="462"/>
        <v>0</v>
      </c>
      <c r="BU420" s="701">
        <f t="shared" si="462"/>
        <v>0</v>
      </c>
      <c r="BV420" s="701">
        <f t="shared" si="462"/>
        <v>0</v>
      </c>
      <c r="BW420" s="701">
        <f t="shared" si="462"/>
        <v>0</v>
      </c>
      <c r="BX420" s="701">
        <f t="shared" si="462"/>
        <v>0</v>
      </c>
      <c r="BY420" s="701">
        <f t="shared" si="462"/>
        <v>0</v>
      </c>
      <c r="BZ420" s="701">
        <f t="shared" si="462"/>
        <v>0</v>
      </c>
      <c r="CA420" s="701">
        <f t="shared" si="462"/>
        <v>0</v>
      </c>
      <c r="CB420" s="701">
        <f t="shared" si="462"/>
        <v>0</v>
      </c>
      <c r="CC420" s="701">
        <f t="shared" si="462"/>
        <v>0</v>
      </c>
      <c r="CD420" s="701">
        <f t="shared" si="462"/>
        <v>0</v>
      </c>
      <c r="CE420" s="701">
        <f t="shared" si="462"/>
        <v>0</v>
      </c>
      <c r="CF420" s="701">
        <f t="shared" si="462"/>
        <v>0</v>
      </c>
      <c r="CG420" s="701">
        <f t="shared" si="462"/>
        <v>0</v>
      </c>
      <c r="CH420" s="701">
        <f t="shared" si="462"/>
        <v>0</v>
      </c>
      <c r="CI420" s="701">
        <f t="shared" si="462"/>
        <v>0</v>
      </c>
      <c r="CJ420" s="701">
        <f t="shared" si="462"/>
        <v>0</v>
      </c>
      <c r="CK420" s="701">
        <f t="shared" si="462"/>
        <v>0</v>
      </c>
      <c r="CL420" s="701">
        <f t="shared" si="462"/>
        <v>0</v>
      </c>
      <c r="CM420" s="701">
        <f t="shared" si="462"/>
        <v>0</v>
      </c>
      <c r="CN420" s="701">
        <f t="shared" si="462"/>
        <v>0</v>
      </c>
      <c r="CO420" s="701">
        <f t="shared" si="462"/>
        <v>0</v>
      </c>
      <c r="CP420" s="701">
        <f t="shared" si="462"/>
        <v>0</v>
      </c>
      <c r="CQ420" s="701">
        <f t="shared" si="462"/>
        <v>0</v>
      </c>
      <c r="CR420" s="701">
        <f t="shared" si="462"/>
        <v>0</v>
      </c>
      <c r="CS420" s="701">
        <f t="shared" si="462"/>
        <v>0</v>
      </c>
      <c r="CT420" s="701">
        <f t="shared" si="462"/>
        <v>0</v>
      </c>
      <c r="CU420" s="701">
        <f t="shared" si="462"/>
        <v>0</v>
      </c>
      <c r="CV420" s="701">
        <f t="shared" si="462"/>
        <v>0</v>
      </c>
      <c r="CW420" s="701">
        <f t="shared" si="461"/>
        <v>0</v>
      </c>
      <c r="CX420" s="701">
        <f t="shared" si="461"/>
        <v>0</v>
      </c>
      <c r="CY420" s="701">
        <f t="shared" si="461"/>
        <v>0</v>
      </c>
      <c r="CZ420" s="701">
        <f t="shared" si="461"/>
        <v>0</v>
      </c>
      <c r="DA420" s="701">
        <f t="shared" si="461"/>
        <v>0</v>
      </c>
      <c r="DC420" s="12"/>
      <c r="DD420" s="12">
        <f>SUM(AH420:AS420)</f>
        <v>0</v>
      </c>
      <c r="DE420" s="12">
        <f>SUM(AT420:BE420)</f>
        <v>0</v>
      </c>
      <c r="DF420" s="12">
        <f>SUM(BF420:BQ420)</f>
        <v>0</v>
      </c>
      <c r="DG420" s="12">
        <f>SUM(BR420:CC420)</f>
        <v>0</v>
      </c>
      <c r="DH420" s="12">
        <f>SUM(CD420:CO420)</f>
        <v>0</v>
      </c>
      <c r="DI420" s="12">
        <f t="shared" si="447"/>
        <v>0</v>
      </c>
    </row>
    <row r="421" spans="2:113" outlineLevel="2">
      <c r="F421" s="718" t="s">
        <v>804</v>
      </c>
      <c r="G421" s="230"/>
      <c r="H421" s="232"/>
      <c r="I421" s="719" t="s">
        <v>736</v>
      </c>
      <c r="O421" s="710"/>
      <c r="P421" s="710"/>
      <c r="Q421" s="710"/>
      <c r="R421" s="710"/>
      <c r="S421" s="710"/>
      <c r="T421" s="710"/>
      <c r="U421" s="710"/>
      <c r="V421" s="716"/>
      <c r="W421" s="716"/>
      <c r="X421" s="716"/>
      <c r="Y421" s="716"/>
      <c r="Z421" s="716"/>
      <c r="AA421" s="716"/>
      <c r="AB421" s="716"/>
      <c r="AC421" s="716"/>
      <c r="AD421" s="716"/>
      <c r="AE421" s="710"/>
      <c r="AF421" s="710"/>
      <c r="AG421" s="710"/>
      <c r="AH421" s="715"/>
      <c r="AI421" s="715"/>
      <c r="AJ421" s="715"/>
      <c r="AK421" s="701">
        <f t="shared" si="462"/>
        <v>0</v>
      </c>
      <c r="AL421" s="701">
        <f t="shared" si="462"/>
        <v>-1.967622E-3</v>
      </c>
      <c r="AM421" s="701">
        <f t="shared" si="462"/>
        <v>-6.0063429999999999E-3</v>
      </c>
      <c r="AN421" s="701">
        <f t="shared" si="462"/>
        <v>-8.1932010000000006E-3</v>
      </c>
      <c r="AO421" s="701">
        <f t="shared" si="462"/>
        <v>-1.2777523999999998E-2</v>
      </c>
      <c r="AP421" s="701">
        <f t="shared" si="462"/>
        <v>-6.0325179999999997E-3</v>
      </c>
      <c r="AQ421" s="701">
        <f t="shared" si="462"/>
        <v>-0.1295068663783594</v>
      </c>
      <c r="AR421" s="701">
        <f t="shared" si="462"/>
        <v>-0.1524627995492428</v>
      </c>
      <c r="AS421" s="701">
        <f t="shared" si="462"/>
        <v>-0.26986101827628667</v>
      </c>
      <c r="AT421" s="701">
        <f t="shared" si="462"/>
        <v>-0.32075427989381278</v>
      </c>
      <c r="AU421" s="701">
        <f t="shared" si="462"/>
        <v>-0.40988831996853853</v>
      </c>
      <c r="AV421" s="701">
        <f t="shared" si="462"/>
        <v>-0.46110330370444919</v>
      </c>
      <c r="AW421" s="701">
        <f t="shared" si="462"/>
        <v>-0.52696422606719739</v>
      </c>
      <c r="AX421" s="701">
        <f t="shared" si="462"/>
        <v>-0.59792642312312227</v>
      </c>
      <c r="AY421" s="701">
        <f t="shared" si="462"/>
        <v>-0.67977959813824951</v>
      </c>
      <c r="AZ421" s="701">
        <f t="shared" si="462"/>
        <v>-0.75308311734612288</v>
      </c>
      <c r="BA421" s="701">
        <f t="shared" si="462"/>
        <v>-0.83621750536882855</v>
      </c>
      <c r="BB421" s="701">
        <f t="shared" si="462"/>
        <v>-0.92291250985959528</v>
      </c>
      <c r="BC421" s="701">
        <f t="shared" si="462"/>
        <v>-1.0000899987867895</v>
      </c>
      <c r="BD421" s="701">
        <f t="shared" si="462"/>
        <v>-1.0646800417707223</v>
      </c>
      <c r="BE421" s="701">
        <f t="shared" si="462"/>
        <v>-1.1180329786691321</v>
      </c>
      <c r="BF421" s="701">
        <f t="shared" si="462"/>
        <v>-1.285643645857327</v>
      </c>
      <c r="BG421" s="701">
        <f t="shared" si="462"/>
        <v>-1.083551309445967</v>
      </c>
      <c r="BH421" s="701">
        <f t="shared" si="462"/>
        <v>-1.1354300197292801</v>
      </c>
      <c r="BI421" s="701">
        <f t="shared" si="462"/>
        <v>-1.2045113181697449</v>
      </c>
      <c r="BJ421" s="701">
        <f t="shared" si="462"/>
        <v>-1.2645063069408804</v>
      </c>
      <c r="BK421" s="701">
        <f t="shared" si="462"/>
        <v>-1.3448387123354122</v>
      </c>
      <c r="BL421" s="701">
        <f t="shared" si="462"/>
        <v>-1.4162898497810852</v>
      </c>
      <c r="BM421" s="701">
        <f t="shared" si="462"/>
        <v>-1.5041782716832972</v>
      </c>
      <c r="BN421" s="701">
        <f t="shared" si="462"/>
        <v>-1.6220702325650045</v>
      </c>
      <c r="BO421" s="701">
        <f t="shared" si="462"/>
        <v>-1.7156155405109528</v>
      </c>
      <c r="BP421" s="701">
        <f t="shared" si="462"/>
        <v>-1.7952054267045181</v>
      </c>
      <c r="BQ421" s="701">
        <f t="shared" si="462"/>
        <v>-1.8822851992303584</v>
      </c>
      <c r="BR421" s="701">
        <f t="shared" si="462"/>
        <v>-1.9645526479942683</v>
      </c>
      <c r="BS421" s="701">
        <f t="shared" si="462"/>
        <v>-2.0617146387240428</v>
      </c>
      <c r="BT421" s="701">
        <f t="shared" si="462"/>
        <v>-2.1583872166274576</v>
      </c>
      <c r="BU421" s="701">
        <f t="shared" si="462"/>
        <v>-2.2551532566940371</v>
      </c>
      <c r="BV421" s="701">
        <f t="shared" si="462"/>
        <v>-2.3529917762359664</v>
      </c>
      <c r="BW421" s="701">
        <f t="shared" si="462"/>
        <v>-2.4515727185341127</v>
      </c>
      <c r="BX421" s="701">
        <f t="shared" si="462"/>
        <v>-2.5567119135130079</v>
      </c>
      <c r="BY421" s="701">
        <f t="shared" si="462"/>
        <v>-2.6151425285922083</v>
      </c>
      <c r="BZ421" s="701">
        <f t="shared" si="462"/>
        <v>-2.6826880060229858</v>
      </c>
      <c r="CA421" s="701">
        <f t="shared" si="462"/>
        <v>-2.7534714500685129</v>
      </c>
      <c r="CB421" s="701">
        <f t="shared" si="462"/>
        <v>-2.8264477695939147</v>
      </c>
      <c r="CC421" s="701">
        <f t="shared" si="462"/>
        <v>-2.8998807004885387</v>
      </c>
      <c r="CD421" s="701">
        <f t="shared" si="462"/>
        <v>-2.9811246742606539</v>
      </c>
      <c r="CE421" s="701">
        <f t="shared" si="462"/>
        <v>-2.9954818363143785</v>
      </c>
      <c r="CF421" s="701">
        <f t="shared" si="462"/>
        <v>-3.0548817805749211</v>
      </c>
      <c r="CG421" s="701">
        <f t="shared" si="462"/>
        <v>-3.1169657939176449</v>
      </c>
      <c r="CH421" s="701">
        <f t="shared" si="462"/>
        <v>-3.1804729529779121</v>
      </c>
      <c r="CI421" s="701">
        <f t="shared" si="462"/>
        <v>-3.2430908143502757</v>
      </c>
      <c r="CJ421" s="701">
        <f t="shared" si="462"/>
        <v>-3.3048231983228491</v>
      </c>
      <c r="CK421" s="701">
        <f t="shared" si="462"/>
        <v>-3.3596788643803674</v>
      </c>
      <c r="CL421" s="701">
        <f t="shared" si="462"/>
        <v>-3.4571254930647166</v>
      </c>
      <c r="CM421" s="701">
        <f t="shared" si="462"/>
        <v>-3.5526795304530858</v>
      </c>
      <c r="CN421" s="701">
        <f t="shared" si="462"/>
        <v>-3.6474655687556199</v>
      </c>
      <c r="CO421" s="701">
        <f t="shared" si="462"/>
        <v>-3.7415705983052434</v>
      </c>
      <c r="CP421" s="701">
        <f t="shared" si="462"/>
        <v>-3.8350666457638316</v>
      </c>
      <c r="CQ421" s="701">
        <f t="shared" si="462"/>
        <v>-3.9279378112846834</v>
      </c>
      <c r="CR421" s="701">
        <f t="shared" si="462"/>
        <v>-4.0202009353473578</v>
      </c>
      <c r="CS421" s="701">
        <f t="shared" si="462"/>
        <v>-4.1115067535559566</v>
      </c>
      <c r="CT421" s="701">
        <f t="shared" si="462"/>
        <v>-4.2028538372491626</v>
      </c>
      <c r="CU421" s="701">
        <f t="shared" si="462"/>
        <v>-4.2942378232726526</v>
      </c>
      <c r="CV421" s="701">
        <f t="shared" si="462"/>
        <v>-4.3856639373166981</v>
      </c>
      <c r="CW421" s="701">
        <f t="shared" si="461"/>
        <v>-4.4771295179605959</v>
      </c>
      <c r="CX421" s="701">
        <f t="shared" si="461"/>
        <v>-4.5686288507578325</v>
      </c>
      <c r="CY421" s="701">
        <f t="shared" si="461"/>
        <v>-4.6601522372230031</v>
      </c>
      <c r="CZ421" s="701">
        <f t="shared" si="461"/>
        <v>-4.7516939759365417</v>
      </c>
      <c r="DA421" s="701">
        <f t="shared" si="461"/>
        <v>-4.843529967180662</v>
      </c>
      <c r="DC421" s="12">
        <f>SUM(V421:AG421)</f>
        <v>0</v>
      </c>
      <c r="DD421" s="12">
        <f t="shared" si="441"/>
        <v>-0.58680789220388885</v>
      </c>
      <c r="DE421" s="12">
        <f t="shared" si="442"/>
        <v>-8.6914323026965601</v>
      </c>
      <c r="DF421" s="12">
        <f t="shared" si="452"/>
        <v>-17.254125832953829</v>
      </c>
      <c r="DG421" s="12">
        <f t="shared" si="446"/>
        <v>-29.578714623089052</v>
      </c>
      <c r="DH421" s="12">
        <f t="shared" si="443"/>
        <v>-39.635361105677667</v>
      </c>
      <c r="DI421" s="12">
        <f t="shared" si="447"/>
        <v>-52.078602292848977</v>
      </c>
    </row>
    <row r="422" spans="2:113" outlineLevel="2">
      <c r="E422" s="720" t="s">
        <v>621</v>
      </c>
      <c r="I422" s="609" t="s">
        <v>736</v>
      </c>
      <c r="O422" s="710"/>
      <c r="P422" s="710"/>
      <c r="Q422" s="710"/>
      <c r="R422" s="710"/>
      <c r="S422" s="710"/>
      <c r="T422" s="710"/>
      <c r="U422" s="710"/>
      <c r="V422" s="713"/>
      <c r="W422" s="713"/>
      <c r="X422" s="713"/>
      <c r="Y422" s="713"/>
      <c r="Z422" s="713"/>
      <c r="AA422" s="713"/>
      <c r="AB422" s="713"/>
      <c r="AC422" s="713"/>
      <c r="AD422" s="713"/>
      <c r="AE422" s="713"/>
      <c r="AF422" s="713"/>
      <c r="AG422" s="721"/>
      <c r="AH422" s="715"/>
      <c r="AI422" s="722"/>
      <c r="AJ422" s="722"/>
      <c r="AK422" s="723">
        <f t="shared" si="462"/>
        <v>0</v>
      </c>
      <c r="AL422" s="723">
        <f t="shared" si="462"/>
        <v>-1.4276600000000001E-4</v>
      </c>
      <c r="AM422" s="723">
        <f t="shared" si="462"/>
        <v>-1.3023997000000001E-2</v>
      </c>
      <c r="AN422" s="723">
        <f t="shared" si="462"/>
        <v>-8.7153336999999997E-2</v>
      </c>
      <c r="AO422" s="723">
        <f t="shared" si="462"/>
        <v>-0.10854834000000001</v>
      </c>
      <c r="AP422" s="723">
        <f t="shared" si="462"/>
        <v>-0.12931065899999999</v>
      </c>
      <c r="AQ422" s="723">
        <f t="shared" si="462"/>
        <v>-0.16473847321565546</v>
      </c>
      <c r="AR422" s="723">
        <f t="shared" si="462"/>
        <v>-0.23986061551513702</v>
      </c>
      <c r="AS422" s="723">
        <f t="shared" si="462"/>
        <v>-0.36426039269392141</v>
      </c>
      <c r="AT422" s="723">
        <f t="shared" si="462"/>
        <v>-0.53040411561457901</v>
      </c>
      <c r="AU422" s="723">
        <f t="shared" si="462"/>
        <v>-0.90612596660587141</v>
      </c>
      <c r="AV422" s="723">
        <f t="shared" si="462"/>
        <v>-1.2465041740893652</v>
      </c>
      <c r="AW422" s="723">
        <f t="shared" si="462"/>
        <v>-1.4415011270861575</v>
      </c>
      <c r="AX422" s="723">
        <f t="shared" si="462"/>
        <v>-1.6873196149729068</v>
      </c>
      <c r="AY422" s="723">
        <f t="shared" si="462"/>
        <v>-1.9332987982291807</v>
      </c>
      <c r="AZ422" s="723">
        <f t="shared" si="462"/>
        <v>-1.9511893170649823</v>
      </c>
      <c r="BA422" s="723">
        <f t="shared" si="462"/>
        <v>-2.182411312544029</v>
      </c>
      <c r="BB422" s="723">
        <f t="shared" si="462"/>
        <v>-2.7353014804860694</v>
      </c>
      <c r="BC422" s="723">
        <f t="shared" si="462"/>
        <v>-3.1453963282900825</v>
      </c>
      <c r="BD422" s="723">
        <f t="shared" si="462"/>
        <v>-3.4535198433417862</v>
      </c>
      <c r="BE422" s="723">
        <f t="shared" si="462"/>
        <v>-3.6604531090478223</v>
      </c>
      <c r="BF422" s="723">
        <f t="shared" si="462"/>
        <v>-3.9404580160985763</v>
      </c>
      <c r="BG422" s="723">
        <f t="shared" si="462"/>
        <v>-4.1237047679420424</v>
      </c>
      <c r="BH422" s="723">
        <f t="shared" si="462"/>
        <v>-4.3371164344973145</v>
      </c>
      <c r="BI422" s="723">
        <f t="shared" si="462"/>
        <v>-4.3355322054595042</v>
      </c>
      <c r="BJ422" s="723">
        <f t="shared" si="462"/>
        <v>-4.467945218355629</v>
      </c>
      <c r="BK422" s="723">
        <f t="shared" si="462"/>
        <v>-4.5582111602782867</v>
      </c>
      <c r="BL422" s="723">
        <f t="shared" si="462"/>
        <v>-4.5044996400946182</v>
      </c>
      <c r="BM422" s="723">
        <f t="shared" si="462"/>
        <v>-4.7148378082932449</v>
      </c>
      <c r="BN422" s="723">
        <f t="shared" si="462"/>
        <v>-5.4680392898698198</v>
      </c>
      <c r="BO422" s="723">
        <f t="shared" si="462"/>
        <v>-5.9610152754807295</v>
      </c>
      <c r="BP422" s="723">
        <f t="shared" si="462"/>
        <v>-6.2743734586579496</v>
      </c>
      <c r="BQ422" s="723">
        <f t="shared" si="462"/>
        <v>-6.5760807790205957</v>
      </c>
      <c r="BR422" s="723">
        <f t="shared" si="462"/>
        <v>-6.7626092759220144</v>
      </c>
      <c r="BS422" s="723">
        <f t="shared" si="462"/>
        <v>-7.1335076606956269</v>
      </c>
      <c r="BT422" s="723">
        <f t="shared" si="462"/>
        <v>-7.4851330351350427</v>
      </c>
      <c r="BU422" s="723">
        <f t="shared" si="462"/>
        <v>-7.8253857009319985</v>
      </c>
      <c r="BV422" s="723">
        <f t="shared" si="462"/>
        <v>-8.1705080377129988</v>
      </c>
      <c r="BW422" s="723">
        <f t="shared" si="462"/>
        <v>-8.5193299061227297</v>
      </c>
      <c r="BX422" s="723">
        <f t="shared" si="462"/>
        <v>-8.8075119083293494</v>
      </c>
      <c r="BY422" s="723">
        <f t="shared" si="462"/>
        <v>-9.1694678369753735</v>
      </c>
      <c r="BZ422" s="723">
        <f t="shared" si="462"/>
        <v>-9.5188850375306018</v>
      </c>
      <c r="CA422" s="723">
        <f t="shared" si="462"/>
        <v>-9.7430690989903042</v>
      </c>
      <c r="CB422" s="723">
        <f t="shared" si="462"/>
        <v>-10.093861968239414</v>
      </c>
      <c r="CC422" s="723">
        <f t="shared" si="462"/>
        <v>-10.446617482398352</v>
      </c>
      <c r="CD422" s="723">
        <f t="shared" si="462"/>
        <v>-10.474343285869988</v>
      </c>
      <c r="CE422" s="723">
        <f t="shared" si="462"/>
        <v>-10.42255886730022</v>
      </c>
      <c r="CF422" s="723">
        <f t="shared" si="462"/>
        <v>-10.778730287281853</v>
      </c>
      <c r="CG422" s="723">
        <f t="shared" si="462"/>
        <v>-10.970556115174027</v>
      </c>
      <c r="CH422" s="723">
        <f t="shared" si="462"/>
        <v>-11.322563357824929</v>
      </c>
      <c r="CI422" s="723">
        <f t="shared" si="462"/>
        <v>-11.672059645439159</v>
      </c>
      <c r="CJ422" s="723">
        <f t="shared" si="462"/>
        <v>-11.703164042001141</v>
      </c>
      <c r="CK422" s="723">
        <f t="shared" si="462"/>
        <v>-11.515449059787404</v>
      </c>
      <c r="CL422" s="723">
        <f t="shared" si="462"/>
        <v>-11.858366677509576</v>
      </c>
      <c r="CM422" s="723">
        <f t="shared" si="462"/>
        <v>-12.187241936784339</v>
      </c>
      <c r="CN422" s="723">
        <f t="shared" si="462"/>
        <v>-12.515895723948731</v>
      </c>
      <c r="CO422" s="723">
        <f t="shared" si="462"/>
        <v>-12.839849050555813</v>
      </c>
      <c r="CP422" s="723">
        <f t="shared" si="462"/>
        <v>-13.163783754025834</v>
      </c>
      <c r="CQ422" s="723">
        <f t="shared" si="462"/>
        <v>-13.490887422030481</v>
      </c>
      <c r="CR422" s="723">
        <f t="shared" si="462"/>
        <v>-13.815290017667625</v>
      </c>
      <c r="CS422" s="723">
        <f t="shared" si="462"/>
        <v>-14.125841630878194</v>
      </c>
      <c r="CT422" s="723">
        <f t="shared" si="462"/>
        <v>-14.435649919374416</v>
      </c>
      <c r="CU422" s="723">
        <f t="shared" si="462"/>
        <v>-14.745055994354935</v>
      </c>
      <c r="CV422" s="723">
        <f t="shared" ref="CV422:DA422" si="463">CV468+CV516+CV565</f>
        <v>-15.054478250588328</v>
      </c>
      <c r="CW422" s="723">
        <f t="shared" si="463"/>
        <v>-15.363990311592662</v>
      </c>
      <c r="CX422" s="723">
        <f t="shared" si="463"/>
        <v>-15.673625102688268</v>
      </c>
      <c r="CY422" s="723">
        <f t="shared" si="463"/>
        <v>-15.983511397766264</v>
      </c>
      <c r="CZ422" s="723">
        <f t="shared" si="463"/>
        <v>-16.29380567945503</v>
      </c>
      <c r="DA422" s="723">
        <f t="shared" si="463"/>
        <v>-16.638025158839334</v>
      </c>
      <c r="DC422" s="12">
        <f>SUM(V422:AG422)</f>
        <v>0</v>
      </c>
      <c r="DD422" s="12">
        <f>SUM(AH422:AS422)</f>
        <v>-1.1070385804247138</v>
      </c>
      <c r="DE422" s="12">
        <f>SUM(AT422:BE422)</f>
        <v>-24.873425187372831</v>
      </c>
      <c r="DF422" s="12">
        <f>SUM(BF422:BQ422)</f>
        <v>-59.261814054048308</v>
      </c>
      <c r="DG422" s="12">
        <f>SUM(BR422:CC422)</f>
        <v>-103.6758869489838</v>
      </c>
      <c r="DH422" s="12">
        <f>SUM(CD422:CO422)</f>
        <v>-138.26077804947721</v>
      </c>
      <c r="DI422" s="12">
        <f t="shared" si="447"/>
        <v>-178.78394463926136</v>
      </c>
    </row>
    <row r="423" spans="2:113" s="698" customFormat="1" outlineLevel="2">
      <c r="B423" s="126"/>
      <c r="E423" s="724" t="s">
        <v>701</v>
      </c>
      <c r="H423" s="703"/>
      <c r="I423" s="609" t="s">
        <v>736</v>
      </c>
      <c r="J423" s="703"/>
      <c r="K423" s="703"/>
      <c r="L423" s="703"/>
      <c r="M423" s="703"/>
      <c r="O423" s="714"/>
      <c r="P423" s="714"/>
      <c r="Q423" s="714"/>
      <c r="R423" s="714"/>
      <c r="S423" s="714"/>
      <c r="T423" s="714"/>
      <c r="U423" s="714"/>
      <c r="V423" s="696"/>
      <c r="W423" s="696"/>
      <c r="X423" s="696"/>
      <c r="Y423" s="696"/>
      <c r="Z423" s="696"/>
      <c r="AA423" s="696"/>
      <c r="AB423" s="696"/>
      <c r="AC423" s="696"/>
      <c r="AD423" s="696"/>
      <c r="AE423" s="696"/>
      <c r="AF423" s="696"/>
      <c r="AG423" s="696"/>
      <c r="AH423" s="696"/>
      <c r="AI423" s="696"/>
      <c r="AJ423" s="696"/>
      <c r="AK423" s="696">
        <f t="shared" ref="AK423:CV423" si="464">SUM(AK424:AK432)</f>
        <v>-8.3592679999999996E-3</v>
      </c>
      <c r="AL423" s="696">
        <f t="shared" si="464"/>
        <v>-0.15014645689684999</v>
      </c>
      <c r="AM423" s="696">
        <f t="shared" si="464"/>
        <v>-0.20936991199312588</v>
      </c>
      <c r="AN423" s="696">
        <f t="shared" si="464"/>
        <v>-0.35892152480341344</v>
      </c>
      <c r="AO423" s="696">
        <f t="shared" si="464"/>
        <v>-0.39547280086109049</v>
      </c>
      <c r="AP423" s="696">
        <f t="shared" si="464"/>
        <v>-0.35465340013233976</v>
      </c>
      <c r="AQ423" s="696">
        <f t="shared" si="464"/>
        <v>-0.44040827014336698</v>
      </c>
      <c r="AR423" s="696">
        <f t="shared" si="464"/>
        <v>-0.59519813940687016</v>
      </c>
      <c r="AS423" s="696">
        <f t="shared" si="464"/>
        <v>-0.69187932891326809</v>
      </c>
      <c r="AT423" s="696">
        <f t="shared" si="464"/>
        <v>-1.1634171573513672</v>
      </c>
      <c r="AU423" s="696">
        <f t="shared" si="464"/>
        <v>-1.106750113413562</v>
      </c>
      <c r="AV423" s="696">
        <f t="shared" si="464"/>
        <v>-1.3539966329086455</v>
      </c>
      <c r="AW423" s="696">
        <f t="shared" si="464"/>
        <v>-1.5429076415996785</v>
      </c>
      <c r="AX423" s="696">
        <f t="shared" si="464"/>
        <v>-1.4365017748723625</v>
      </c>
      <c r="AY423" s="696">
        <f t="shared" si="464"/>
        <v>-1.4102284601462869</v>
      </c>
      <c r="AZ423" s="696">
        <f t="shared" si="464"/>
        <v>-1.4106885561383518</v>
      </c>
      <c r="BA423" s="696">
        <f t="shared" si="464"/>
        <v>-1.5122834457856467</v>
      </c>
      <c r="BB423" s="696">
        <f t="shared" si="464"/>
        <v>-1.5708147205478704</v>
      </c>
      <c r="BC423" s="696">
        <f t="shared" si="464"/>
        <v>-1.6957471247740645</v>
      </c>
      <c r="BD423" s="696">
        <f t="shared" si="464"/>
        <v>-1.7638189016543582</v>
      </c>
      <c r="BE423" s="696">
        <f t="shared" si="464"/>
        <v>-1.8864373248442954</v>
      </c>
      <c r="BF423" s="696">
        <f t="shared" si="464"/>
        <v>-2.320849652711118</v>
      </c>
      <c r="BG423" s="696">
        <f t="shared" si="464"/>
        <v>-2.7254887053634556</v>
      </c>
      <c r="BH423" s="696">
        <f t="shared" si="464"/>
        <v>-2.9947738282055743</v>
      </c>
      <c r="BI423" s="696">
        <f t="shared" si="464"/>
        <v>-3.3422207662193668</v>
      </c>
      <c r="BJ423" s="696">
        <f t="shared" si="464"/>
        <v>-3.3098490746491618</v>
      </c>
      <c r="BK423" s="696">
        <f t="shared" si="464"/>
        <v>-3.3296726174421121</v>
      </c>
      <c r="BL423" s="696">
        <f t="shared" si="464"/>
        <v>-3.4261102386056592</v>
      </c>
      <c r="BM423" s="696">
        <f t="shared" si="464"/>
        <v>-3.472084621975343</v>
      </c>
      <c r="BN423" s="696">
        <f t="shared" si="464"/>
        <v>-3.5853223850912554</v>
      </c>
      <c r="BO423" s="696">
        <f t="shared" si="464"/>
        <v>-3.653675086673644</v>
      </c>
      <c r="BP423" s="696">
        <f t="shared" si="464"/>
        <v>-3.7292577017593915</v>
      </c>
      <c r="BQ423" s="696">
        <f t="shared" si="464"/>
        <v>-3.8083646060370806</v>
      </c>
      <c r="BR423" s="696">
        <f t="shared" si="464"/>
        <v>-4.0458883412598121</v>
      </c>
      <c r="BS423" s="696">
        <f t="shared" si="464"/>
        <v>-4.1324678453333057</v>
      </c>
      <c r="BT423" s="696">
        <f t="shared" si="464"/>
        <v>-4.2231989440198534</v>
      </c>
      <c r="BU423" s="696">
        <f t="shared" si="464"/>
        <v>-4.316031186255592</v>
      </c>
      <c r="BV423" s="696">
        <f t="shared" si="464"/>
        <v>-4.4118441338050829</v>
      </c>
      <c r="BW423" s="696">
        <f t="shared" si="464"/>
        <v>-4.5085614381783135</v>
      </c>
      <c r="BX423" s="696">
        <f t="shared" si="464"/>
        <v>-4.616714628151823</v>
      </c>
      <c r="BY423" s="696">
        <f t="shared" si="464"/>
        <v>-4.7370716362998326</v>
      </c>
      <c r="BZ423" s="696">
        <f t="shared" si="464"/>
        <v>-4.854835770926254</v>
      </c>
      <c r="CA423" s="696">
        <f t="shared" si="464"/>
        <v>-5.1094668921096478</v>
      </c>
      <c r="CB423" s="696">
        <f t="shared" si="464"/>
        <v>-5.2287385650184888</v>
      </c>
      <c r="CC423" s="696">
        <f t="shared" si="464"/>
        <v>-5.3499777976831124</v>
      </c>
      <c r="CD423" s="696">
        <f t="shared" si="464"/>
        <v>-5.6122722611086893</v>
      </c>
      <c r="CE423" s="696">
        <f t="shared" si="464"/>
        <v>-5.7527343433095055</v>
      </c>
      <c r="CF423" s="696">
        <f t="shared" si="464"/>
        <v>-5.879321883974626</v>
      </c>
      <c r="CG423" s="696">
        <f t="shared" si="464"/>
        <v>-6.1846987437799923</v>
      </c>
      <c r="CH423" s="696">
        <f t="shared" si="464"/>
        <v>-6.3112729509459626</v>
      </c>
      <c r="CI423" s="696">
        <f t="shared" si="464"/>
        <v>-6.442261148544814</v>
      </c>
      <c r="CJ423" s="696">
        <f t="shared" si="464"/>
        <v>-6.5740929057586879</v>
      </c>
      <c r="CK423" s="696">
        <f t="shared" si="464"/>
        <v>-6.6966184711545527</v>
      </c>
      <c r="CL423" s="696">
        <f t="shared" si="464"/>
        <v>-6.8073381021588899</v>
      </c>
      <c r="CM423" s="696">
        <f t="shared" si="464"/>
        <v>-6.9186029829628115</v>
      </c>
      <c r="CN423" s="696">
        <f t="shared" si="464"/>
        <v>-7.0301168288539344</v>
      </c>
      <c r="CO423" s="696">
        <f t="shared" si="464"/>
        <v>-7.1456441838100613</v>
      </c>
      <c r="CP423" s="696">
        <f t="shared" si="464"/>
        <v>-7.3393298930792223</v>
      </c>
      <c r="CQ423" s="696">
        <f t="shared" si="464"/>
        <v>-7.4553002598903149</v>
      </c>
      <c r="CR423" s="696">
        <f t="shared" si="464"/>
        <v>-7.5715934784381957</v>
      </c>
      <c r="CS423" s="696">
        <f t="shared" si="464"/>
        <v>-7.6880241819895252</v>
      </c>
      <c r="CT423" s="696">
        <f t="shared" si="464"/>
        <v>-7.804341433293339</v>
      </c>
      <c r="CU423" s="696">
        <f t="shared" si="464"/>
        <v>-7.9205587151924153</v>
      </c>
      <c r="CV423" s="696">
        <f t="shared" si="464"/>
        <v>-8.0366816250506261</v>
      </c>
      <c r="CW423" s="696">
        <f t="shared" ref="CW423:DA423" si="465">SUM(CW424:CW432)</f>
        <v>-8.152794649919338</v>
      </c>
      <c r="CX423" s="696">
        <f t="shared" si="465"/>
        <v>-8.2688992429835331</v>
      </c>
      <c r="CY423" s="696">
        <f t="shared" si="465"/>
        <v>-8.3850001362314313</v>
      </c>
      <c r="CZ423" s="696">
        <f t="shared" si="465"/>
        <v>-8.5011033860095306</v>
      </c>
      <c r="DA423" s="696">
        <f t="shared" si="465"/>
        <v>-8.617523148856467</v>
      </c>
      <c r="DC423" s="14">
        <f>SUM(V423:AG423)</f>
        <v>0</v>
      </c>
      <c r="DD423" s="14">
        <f t="shared" si="441"/>
        <v>-3.2044091011503246</v>
      </c>
      <c r="DE423" s="14">
        <f t="shared" si="442"/>
        <v>-17.853591854036491</v>
      </c>
      <c r="DF423" s="14">
        <f t="shared" si="452"/>
        <v>-39.697669284733159</v>
      </c>
      <c r="DG423" s="14">
        <f t="shared" si="446"/>
        <v>-55.534797179041121</v>
      </c>
      <c r="DH423" s="14">
        <f t="shared" si="443"/>
        <v>-77.354974806362534</v>
      </c>
      <c r="DI423" s="14">
        <f t="shared" si="447"/>
        <v>-95.741150150933933</v>
      </c>
    </row>
    <row r="424" spans="2:113" outlineLevel="2">
      <c r="F424" s="126" t="s">
        <v>839</v>
      </c>
      <c r="I424" s="609" t="s">
        <v>736</v>
      </c>
      <c r="O424" s="710"/>
      <c r="P424" s="710"/>
      <c r="Q424" s="710"/>
      <c r="R424" s="710"/>
      <c r="S424" s="710"/>
      <c r="T424" s="710"/>
      <c r="U424" s="710"/>
      <c r="V424" s="713"/>
      <c r="W424" s="713"/>
      <c r="X424" s="713"/>
      <c r="Y424" s="713"/>
      <c r="Z424" s="713"/>
      <c r="AA424" s="713"/>
      <c r="AB424" s="713"/>
      <c r="AC424" s="713"/>
      <c r="AD424" s="713"/>
      <c r="AE424" s="713"/>
      <c r="AF424" s="713"/>
      <c r="AG424" s="713"/>
      <c r="AH424" s="715"/>
      <c r="AI424" s="715"/>
      <c r="AJ424" s="715"/>
      <c r="AK424" s="701">
        <f t="shared" ref="AK424:CV427" si="466">AK470+AK518+AK567</f>
        <v>-5.0747070000000003E-3</v>
      </c>
      <c r="AL424" s="701">
        <f t="shared" si="466"/>
        <v>-9.3202953000000005E-2</v>
      </c>
      <c r="AM424" s="701">
        <f t="shared" si="466"/>
        <v>-0.105927702</v>
      </c>
      <c r="AN424" s="701">
        <f t="shared" si="466"/>
        <v>-0.16949040900000001</v>
      </c>
      <c r="AO424" s="701">
        <f t="shared" si="466"/>
        <v>-0.17353115099999999</v>
      </c>
      <c r="AP424" s="701">
        <f t="shared" si="466"/>
        <v>-0.15202385800000001</v>
      </c>
      <c r="AQ424" s="701">
        <f t="shared" si="466"/>
        <v>-0.28565000000000002</v>
      </c>
      <c r="AR424" s="701">
        <f t="shared" si="466"/>
        <v>-0.55628</v>
      </c>
      <c r="AS424" s="701">
        <f t="shared" si="466"/>
        <v>-0.71249999999999991</v>
      </c>
      <c r="AT424" s="701">
        <f t="shared" si="466"/>
        <v>-0.73170833333333329</v>
      </c>
      <c r="AU424" s="701">
        <f t="shared" si="466"/>
        <v>-0.75091666666666668</v>
      </c>
      <c r="AV424" s="701">
        <f t="shared" si="466"/>
        <v>-0.77012499999999995</v>
      </c>
      <c r="AW424" s="701">
        <f t="shared" si="466"/>
        <v>-0.78933333333333322</v>
      </c>
      <c r="AX424" s="701">
        <f t="shared" si="466"/>
        <v>-0.80854166666666649</v>
      </c>
      <c r="AY424" s="701">
        <f t="shared" si="466"/>
        <v>-0.82774999999999987</v>
      </c>
      <c r="AZ424" s="701">
        <f t="shared" si="466"/>
        <v>-0.84695833333333326</v>
      </c>
      <c r="BA424" s="701">
        <f t="shared" si="466"/>
        <v>-0.86616666666666653</v>
      </c>
      <c r="BB424" s="701">
        <f t="shared" si="466"/>
        <v>-0.8853749999999998</v>
      </c>
      <c r="BC424" s="701">
        <f t="shared" si="466"/>
        <v>-0.90458333333333307</v>
      </c>
      <c r="BD424" s="701">
        <f t="shared" si="466"/>
        <v>-0.92379166666666634</v>
      </c>
      <c r="BE424" s="701">
        <f t="shared" si="466"/>
        <v>-0.94300000000000006</v>
      </c>
      <c r="BF424" s="701">
        <f t="shared" si="466"/>
        <v>-0.93958333333333344</v>
      </c>
      <c r="BG424" s="701">
        <f t="shared" si="466"/>
        <v>-0.93616666666666659</v>
      </c>
      <c r="BH424" s="701">
        <f t="shared" si="466"/>
        <v>-0.93274999999999997</v>
      </c>
      <c r="BI424" s="701">
        <f t="shared" si="466"/>
        <v>-0.92933333333333334</v>
      </c>
      <c r="BJ424" s="701">
        <f t="shared" si="466"/>
        <v>-0.92591666666666672</v>
      </c>
      <c r="BK424" s="701">
        <f t="shared" si="466"/>
        <v>-0.9225000000000001</v>
      </c>
      <c r="BL424" s="701">
        <f t="shared" si="466"/>
        <v>-0.91908333333333347</v>
      </c>
      <c r="BM424" s="701">
        <f t="shared" si="466"/>
        <v>-0.91566666666666685</v>
      </c>
      <c r="BN424" s="701">
        <f t="shared" si="466"/>
        <v>-0.91225000000000001</v>
      </c>
      <c r="BO424" s="701">
        <f t="shared" si="466"/>
        <v>-0.90883333333333349</v>
      </c>
      <c r="BP424" s="701">
        <f t="shared" si="466"/>
        <v>-0.90541666666666676</v>
      </c>
      <c r="BQ424" s="701">
        <f t="shared" si="466"/>
        <v>-0.90200000000000002</v>
      </c>
      <c r="BR424" s="701">
        <f t="shared" si="466"/>
        <v>-0.90600000000000003</v>
      </c>
      <c r="BS424" s="701">
        <f t="shared" si="466"/>
        <v>-0.91</v>
      </c>
      <c r="BT424" s="701">
        <f t="shared" si="466"/>
        <v>-0.91399999999999992</v>
      </c>
      <c r="BU424" s="701">
        <f t="shared" si="466"/>
        <v>-0.91799999999999993</v>
      </c>
      <c r="BV424" s="701">
        <f t="shared" si="466"/>
        <v>-0.92199999999999993</v>
      </c>
      <c r="BW424" s="701">
        <f t="shared" si="466"/>
        <v>-0.92599999999999993</v>
      </c>
      <c r="BX424" s="701">
        <f t="shared" si="466"/>
        <v>-0.92999999999999983</v>
      </c>
      <c r="BY424" s="701">
        <f t="shared" si="466"/>
        <v>-0.93399999999999983</v>
      </c>
      <c r="BZ424" s="701">
        <f t="shared" si="466"/>
        <v>-0.93799999999999983</v>
      </c>
      <c r="CA424" s="701">
        <f t="shared" si="466"/>
        <v>-0.94199999999999984</v>
      </c>
      <c r="CB424" s="701">
        <f t="shared" si="466"/>
        <v>-0.94599999999999984</v>
      </c>
      <c r="CC424" s="701">
        <f t="shared" si="466"/>
        <v>-0.95000000000000007</v>
      </c>
      <c r="CD424" s="701">
        <f t="shared" si="466"/>
        <v>-0.95000000000000007</v>
      </c>
      <c r="CE424" s="701">
        <f t="shared" si="466"/>
        <v>-0.95000000000000007</v>
      </c>
      <c r="CF424" s="701">
        <f t="shared" si="466"/>
        <v>-0.95000000000000007</v>
      </c>
      <c r="CG424" s="701">
        <f t="shared" si="466"/>
        <v>-0.95000000000000007</v>
      </c>
      <c r="CH424" s="701">
        <f t="shared" si="466"/>
        <v>-0.95000000000000007</v>
      </c>
      <c r="CI424" s="701">
        <f t="shared" si="466"/>
        <v>-0.95000000000000007</v>
      </c>
      <c r="CJ424" s="701">
        <f t="shared" si="466"/>
        <v>-0.95000000000000007</v>
      </c>
      <c r="CK424" s="701">
        <f t="shared" si="466"/>
        <v>-0.95000000000000007</v>
      </c>
      <c r="CL424" s="701">
        <f t="shared" si="466"/>
        <v>-0.95000000000000007</v>
      </c>
      <c r="CM424" s="701">
        <f t="shared" si="466"/>
        <v>-0.95000000000000007</v>
      </c>
      <c r="CN424" s="701">
        <f t="shared" si="466"/>
        <v>-0.95000000000000007</v>
      </c>
      <c r="CO424" s="701">
        <f t="shared" si="466"/>
        <v>-0.95000000000000007</v>
      </c>
      <c r="CP424" s="701">
        <f t="shared" si="466"/>
        <v>-0.95000000000000007</v>
      </c>
      <c r="CQ424" s="701">
        <f t="shared" si="466"/>
        <v>-0.95000000000000007</v>
      </c>
      <c r="CR424" s="701">
        <f t="shared" si="466"/>
        <v>-0.95000000000000007</v>
      </c>
      <c r="CS424" s="701">
        <f t="shared" si="466"/>
        <v>-0.95000000000000007</v>
      </c>
      <c r="CT424" s="701">
        <f t="shared" si="466"/>
        <v>-0.95000000000000007</v>
      </c>
      <c r="CU424" s="701">
        <f t="shared" si="466"/>
        <v>-0.95000000000000007</v>
      </c>
      <c r="CV424" s="701">
        <f t="shared" si="466"/>
        <v>-0.95000000000000007</v>
      </c>
      <c r="CW424" s="701">
        <f t="shared" ref="CW424:DA426" si="467">CW470+CW518+CW567</f>
        <v>-0.95000000000000007</v>
      </c>
      <c r="CX424" s="701">
        <f t="shared" si="467"/>
        <v>-0.95000000000000007</v>
      </c>
      <c r="CY424" s="701">
        <f t="shared" si="467"/>
        <v>-0.95000000000000007</v>
      </c>
      <c r="CZ424" s="701">
        <f t="shared" si="467"/>
        <v>-0.95000000000000007</v>
      </c>
      <c r="DA424" s="701">
        <f t="shared" si="467"/>
        <v>-0.95000000000000007</v>
      </c>
      <c r="DC424" s="12"/>
      <c r="DD424" s="12">
        <f t="shared" si="441"/>
        <v>-2.2536807799999998</v>
      </c>
      <c r="DE424" s="12">
        <f t="shared" si="442"/>
        <v>-10.048249999999998</v>
      </c>
      <c r="DF424" s="12">
        <f t="shared" si="452"/>
        <v>-11.049500000000002</v>
      </c>
      <c r="DG424" s="12">
        <f t="shared" si="446"/>
        <v>-11.135999999999999</v>
      </c>
      <c r="DH424" s="12">
        <f t="shared" si="443"/>
        <v>-11.399999999999999</v>
      </c>
      <c r="DI424" s="12">
        <f t="shared" si="447"/>
        <v>-11.399999999999999</v>
      </c>
    </row>
    <row r="425" spans="2:113" s="702" customFormat="1" outlineLevel="2">
      <c r="B425" s="126"/>
      <c r="F425" s="126" t="s">
        <v>840</v>
      </c>
      <c r="H425" s="725"/>
      <c r="I425" s="609" t="s">
        <v>736</v>
      </c>
      <c r="J425" s="725"/>
      <c r="K425" s="725"/>
      <c r="L425" s="725"/>
      <c r="M425" s="725"/>
      <c r="O425" s="710"/>
      <c r="P425" s="710"/>
      <c r="Q425" s="710"/>
      <c r="R425" s="710"/>
      <c r="S425" s="710"/>
      <c r="T425" s="710"/>
      <c r="U425" s="710"/>
      <c r="V425" s="713"/>
      <c r="W425" s="713"/>
      <c r="X425" s="713"/>
      <c r="Y425" s="713"/>
      <c r="Z425" s="713"/>
      <c r="AA425" s="713"/>
      <c r="AB425" s="713"/>
      <c r="AC425" s="713"/>
      <c r="AD425" s="713"/>
      <c r="AE425" s="713"/>
      <c r="AF425" s="713"/>
      <c r="AG425" s="713"/>
      <c r="AH425" s="715"/>
      <c r="AI425" s="715"/>
      <c r="AJ425" s="715"/>
      <c r="AK425" s="701">
        <f t="shared" si="466"/>
        <v>0</v>
      </c>
      <c r="AL425" s="701">
        <f t="shared" si="466"/>
        <v>0</v>
      </c>
      <c r="AM425" s="701">
        <f t="shared" si="466"/>
        <v>-6.1922137245784235E-3</v>
      </c>
      <c r="AN425" s="701">
        <f t="shared" si="466"/>
        <v>-2.1516832233671315E-2</v>
      </c>
      <c r="AO425" s="701">
        <f t="shared" si="466"/>
        <v>-4.3147487878995229E-2</v>
      </c>
      <c r="AP425" s="701">
        <f t="shared" si="466"/>
        <v>-7.2470193617151263E-2</v>
      </c>
      <c r="AQ425" s="701">
        <f t="shared" si="466"/>
        <v>-5.3185000000000003E-2</v>
      </c>
      <c r="AR425" s="701">
        <f t="shared" si="466"/>
        <v>-6.155900000000001E-2</v>
      </c>
      <c r="AS425" s="701">
        <f t="shared" si="466"/>
        <v>-7.5412000000000007E-2</v>
      </c>
      <c r="AT425" s="701">
        <f t="shared" si="466"/>
        <v>-0.11016595000000001</v>
      </c>
      <c r="AU425" s="701">
        <f t="shared" si="466"/>
        <v>-0.12869811666666667</v>
      </c>
      <c r="AV425" s="701">
        <f t="shared" si="466"/>
        <v>-0.14938144999999997</v>
      </c>
      <c r="AW425" s="701">
        <f t="shared" si="466"/>
        <v>-0.17051269999999999</v>
      </c>
      <c r="AX425" s="701">
        <f t="shared" si="466"/>
        <v>-0.19209186666666664</v>
      </c>
      <c r="AY425" s="701">
        <f t="shared" si="466"/>
        <v>-0.21411895</v>
      </c>
      <c r="AZ425" s="701">
        <f t="shared" si="466"/>
        <v>-0.23659395</v>
      </c>
      <c r="BA425" s="701">
        <f t="shared" si="466"/>
        <v>-0.25951686666666668</v>
      </c>
      <c r="BB425" s="701">
        <f t="shared" si="466"/>
        <v>-0.28288770000000002</v>
      </c>
      <c r="BC425" s="701">
        <f t="shared" si="466"/>
        <v>-0.30670644999999996</v>
      </c>
      <c r="BD425" s="701">
        <f t="shared" si="466"/>
        <v>-0.33097311666666668</v>
      </c>
      <c r="BE425" s="701">
        <f t="shared" si="466"/>
        <v>-0.3556877</v>
      </c>
      <c r="BF425" s="701">
        <f t="shared" si="466"/>
        <v>-0.38085019999999997</v>
      </c>
      <c r="BG425" s="701">
        <f t="shared" si="466"/>
        <v>-0.47443820000000003</v>
      </c>
      <c r="BH425" s="701">
        <f t="shared" si="466"/>
        <v>-0.50500070000000008</v>
      </c>
      <c r="BI425" s="701">
        <f t="shared" si="466"/>
        <v>-0.53545694999999993</v>
      </c>
      <c r="BJ425" s="701">
        <f t="shared" si="466"/>
        <v>-0.56580695000000003</v>
      </c>
      <c r="BK425" s="701">
        <f t="shared" si="466"/>
        <v>-0.59605069999999993</v>
      </c>
      <c r="BL425" s="701">
        <f t="shared" si="466"/>
        <v>-0.62618820000000008</v>
      </c>
      <c r="BM425" s="701">
        <f t="shared" si="466"/>
        <v>-0.65621944999999993</v>
      </c>
      <c r="BN425" s="701">
        <f t="shared" si="466"/>
        <v>-0.68614445000000002</v>
      </c>
      <c r="BO425" s="701">
        <f t="shared" si="466"/>
        <v>-0.71596320000000002</v>
      </c>
      <c r="BP425" s="701">
        <f t="shared" si="466"/>
        <v>-0.74567569999999994</v>
      </c>
      <c r="BQ425" s="701">
        <f t="shared" si="466"/>
        <v>-0.77528194999999989</v>
      </c>
      <c r="BR425" s="701">
        <f t="shared" si="466"/>
        <v>-0.80478194999999997</v>
      </c>
      <c r="BS425" s="701">
        <f t="shared" si="466"/>
        <v>-0.8344486166666667</v>
      </c>
      <c r="BT425" s="701">
        <f t="shared" si="466"/>
        <v>-0.86428194999999985</v>
      </c>
      <c r="BU425" s="701">
        <f t="shared" si="466"/>
        <v>-0.89428194999999988</v>
      </c>
      <c r="BV425" s="701">
        <f t="shared" si="466"/>
        <v>-0.92444861666666678</v>
      </c>
      <c r="BW425" s="701">
        <f t="shared" si="466"/>
        <v>-0.95478194999999999</v>
      </c>
      <c r="BX425" s="701">
        <f t="shared" si="466"/>
        <v>-0.98528194999999996</v>
      </c>
      <c r="BY425" s="701">
        <f t="shared" si="466"/>
        <v>-1.0159486166666665</v>
      </c>
      <c r="BZ425" s="701">
        <f t="shared" si="466"/>
        <v>-1.04678195</v>
      </c>
      <c r="CA425" s="701">
        <f t="shared" si="466"/>
        <v>-1.0777819499999999</v>
      </c>
      <c r="CB425" s="701">
        <f t="shared" si="466"/>
        <v>-1.1089486166666664</v>
      </c>
      <c r="CC425" s="701">
        <f t="shared" si="466"/>
        <v>-1.1402819499999999</v>
      </c>
      <c r="CD425" s="701">
        <f t="shared" si="466"/>
        <v>-1.1717819499999997</v>
      </c>
      <c r="CE425" s="701">
        <f t="shared" si="466"/>
        <v>-1.20328195</v>
      </c>
      <c r="CF425" s="701">
        <f t="shared" si="466"/>
        <v>-1.2347819499999999</v>
      </c>
      <c r="CG425" s="701">
        <f t="shared" si="466"/>
        <v>-1.26628195</v>
      </c>
      <c r="CH425" s="701">
        <f t="shared" si="466"/>
        <v>-1.2977819499999999</v>
      </c>
      <c r="CI425" s="701">
        <f t="shared" si="466"/>
        <v>-1.3292819499999999</v>
      </c>
      <c r="CJ425" s="701">
        <f t="shared" si="466"/>
        <v>-1.3607819499999998</v>
      </c>
      <c r="CK425" s="701">
        <f t="shared" si="466"/>
        <v>-1.3922819499999999</v>
      </c>
      <c r="CL425" s="701">
        <f t="shared" si="466"/>
        <v>-1.42378195</v>
      </c>
      <c r="CM425" s="701">
        <f t="shared" si="466"/>
        <v>-1.45528195</v>
      </c>
      <c r="CN425" s="701">
        <f t="shared" si="466"/>
        <v>-1.4867819499999999</v>
      </c>
      <c r="CO425" s="701">
        <f t="shared" si="466"/>
        <v>-1.51828195</v>
      </c>
      <c r="CP425" s="701">
        <f t="shared" si="466"/>
        <v>-1.5497819499999999</v>
      </c>
      <c r="CQ425" s="701">
        <f t="shared" si="466"/>
        <v>-1.5812819499999999</v>
      </c>
      <c r="CR425" s="701">
        <f t="shared" si="466"/>
        <v>-1.61278195</v>
      </c>
      <c r="CS425" s="701">
        <f t="shared" si="466"/>
        <v>-1.6442819500000001</v>
      </c>
      <c r="CT425" s="701">
        <f t="shared" si="466"/>
        <v>-1.6757819500000002</v>
      </c>
      <c r="CU425" s="701">
        <f t="shared" si="466"/>
        <v>-1.70728195</v>
      </c>
      <c r="CV425" s="701">
        <f t="shared" si="466"/>
        <v>-1.7387819499999999</v>
      </c>
      <c r="CW425" s="701">
        <f t="shared" si="467"/>
        <v>-1.7702819499999998</v>
      </c>
      <c r="CX425" s="701">
        <f t="shared" si="467"/>
        <v>-1.8017819500000001</v>
      </c>
      <c r="CY425" s="701">
        <f t="shared" si="467"/>
        <v>-1.8332819499999999</v>
      </c>
      <c r="CZ425" s="701">
        <f t="shared" si="467"/>
        <v>-1.8647819499999998</v>
      </c>
      <c r="DA425" s="701">
        <f t="shared" si="467"/>
        <v>-1.8962819500000001</v>
      </c>
      <c r="DC425" s="12"/>
      <c r="DD425" s="12">
        <f t="shared" si="441"/>
        <v>-0.33348272745439622</v>
      </c>
      <c r="DE425" s="12">
        <f t="shared" si="442"/>
        <v>-2.7373348166666664</v>
      </c>
      <c r="DF425" s="12">
        <f t="shared" si="452"/>
        <v>-7.2630766499999995</v>
      </c>
      <c r="DG425" s="12">
        <f t="shared" si="446"/>
        <v>-11.652050066666666</v>
      </c>
      <c r="DH425" s="12">
        <f t="shared" si="443"/>
        <v>-16.140383399999997</v>
      </c>
      <c r="DI425" s="12">
        <f t="shared" si="447"/>
        <v>-20.676383400000002</v>
      </c>
    </row>
    <row r="426" spans="2:113" s="702" customFormat="1" outlineLevel="2">
      <c r="B426" s="126"/>
      <c r="F426" s="126" t="s">
        <v>806</v>
      </c>
      <c r="G426" s="126"/>
      <c r="H426" s="725"/>
      <c r="I426" s="609" t="s">
        <v>736</v>
      </c>
      <c r="J426" s="725"/>
      <c r="K426" s="725"/>
      <c r="L426" s="725"/>
      <c r="M426" s="725"/>
      <c r="O426" s="710"/>
      <c r="P426" s="710"/>
      <c r="Q426" s="710"/>
      <c r="R426" s="710"/>
      <c r="S426" s="710"/>
      <c r="T426" s="710"/>
      <c r="U426" s="710"/>
      <c r="V426" s="713"/>
      <c r="W426" s="713"/>
      <c r="X426" s="713"/>
      <c r="Y426" s="713"/>
      <c r="Z426" s="713"/>
      <c r="AA426" s="713"/>
      <c r="AB426" s="713"/>
      <c r="AC426" s="713"/>
      <c r="AD426" s="713"/>
      <c r="AE426" s="713"/>
      <c r="AF426" s="713"/>
      <c r="AG426" s="713"/>
      <c r="AH426" s="715"/>
      <c r="AI426" s="715"/>
      <c r="AJ426" s="715"/>
      <c r="AK426" s="701">
        <f t="shared" si="466"/>
        <v>-3.179561E-3</v>
      </c>
      <c r="AL426" s="701">
        <f t="shared" si="466"/>
        <v>-4.5906629999999997E-2</v>
      </c>
      <c r="AM426" s="701">
        <f t="shared" si="466"/>
        <v>-5.5197912000000002E-2</v>
      </c>
      <c r="AN426" s="701">
        <f t="shared" si="466"/>
        <v>-6.1874990999999997E-2</v>
      </c>
      <c r="AO426" s="701">
        <f t="shared" si="466"/>
        <v>-6.4248400000000002E-3</v>
      </c>
      <c r="AP426" s="701">
        <f t="shared" si="466"/>
        <v>-4.502247E-3</v>
      </c>
      <c r="AQ426" s="701">
        <f t="shared" si="466"/>
        <v>-2.2852000000000001E-2</v>
      </c>
      <c r="AR426" s="701">
        <f t="shared" si="466"/>
        <v>-3.7752000000000001E-2</v>
      </c>
      <c r="AS426" s="701">
        <f t="shared" si="466"/>
        <v>-4.5500000000000006E-2</v>
      </c>
      <c r="AT426" s="701">
        <f t="shared" si="466"/>
        <v>-4.6558333333333334E-2</v>
      </c>
      <c r="AU426" s="701">
        <f t="shared" si="466"/>
        <v>-4.7616666666666661E-2</v>
      </c>
      <c r="AV426" s="701">
        <f t="shared" si="466"/>
        <v>-4.8674999999999996E-2</v>
      </c>
      <c r="AW426" s="701">
        <f t="shared" si="466"/>
        <v>-4.9733333333333331E-2</v>
      </c>
      <c r="AX426" s="701">
        <f t="shared" si="466"/>
        <v>-5.0791666666666659E-2</v>
      </c>
      <c r="AY426" s="701">
        <f t="shared" si="466"/>
        <v>-5.1849999999999993E-2</v>
      </c>
      <c r="AZ426" s="701">
        <f t="shared" si="466"/>
        <v>-5.2908333333333321E-2</v>
      </c>
      <c r="BA426" s="701">
        <f t="shared" si="466"/>
        <v>-5.3966666666666656E-2</v>
      </c>
      <c r="BB426" s="701">
        <f t="shared" si="466"/>
        <v>-5.5024999999999991E-2</v>
      </c>
      <c r="BC426" s="701">
        <f t="shared" si="466"/>
        <v>-5.6083333333333318E-2</v>
      </c>
      <c r="BD426" s="701">
        <f t="shared" si="466"/>
        <v>-5.7141666666666646E-2</v>
      </c>
      <c r="BE426" s="701">
        <f t="shared" si="466"/>
        <v>-5.8200000000000002E-2</v>
      </c>
      <c r="BF426" s="701">
        <f t="shared" si="466"/>
        <v>-5.7749999999999996E-2</v>
      </c>
      <c r="BG426" s="701">
        <f t="shared" si="466"/>
        <v>-5.7299999999999997E-2</v>
      </c>
      <c r="BH426" s="701">
        <f t="shared" si="466"/>
        <v>-5.6849999999999998E-2</v>
      </c>
      <c r="BI426" s="701">
        <f t="shared" si="466"/>
        <v>-5.6400000000000006E-2</v>
      </c>
      <c r="BJ426" s="701">
        <f t="shared" si="466"/>
        <v>-5.5950000000000007E-2</v>
      </c>
      <c r="BK426" s="701">
        <f t="shared" si="466"/>
        <v>-5.5500000000000008E-2</v>
      </c>
      <c r="BL426" s="701">
        <f t="shared" si="466"/>
        <v>-5.5050000000000002E-2</v>
      </c>
      <c r="BM426" s="701">
        <f t="shared" si="466"/>
        <v>-5.460000000000001E-2</v>
      </c>
      <c r="BN426" s="701">
        <f t="shared" si="466"/>
        <v>-5.4150000000000011E-2</v>
      </c>
      <c r="BO426" s="701">
        <f t="shared" si="466"/>
        <v>-5.3700000000000005E-2</v>
      </c>
      <c r="BP426" s="701">
        <f t="shared" si="466"/>
        <v>-5.3250000000000006E-2</v>
      </c>
      <c r="BQ426" s="701">
        <f t="shared" si="466"/>
        <v>-5.28E-2</v>
      </c>
      <c r="BR426" s="701">
        <f t="shared" si="466"/>
        <v>-5.3066666666666665E-2</v>
      </c>
      <c r="BS426" s="701">
        <f t="shared" si="466"/>
        <v>-5.333333333333333E-2</v>
      </c>
      <c r="BT426" s="701">
        <f t="shared" si="466"/>
        <v>-5.3599999999999995E-2</v>
      </c>
      <c r="BU426" s="701">
        <f t="shared" si="466"/>
        <v>-5.386666666666666E-2</v>
      </c>
      <c r="BV426" s="701">
        <f t="shared" si="466"/>
        <v>-5.4133333333333325E-2</v>
      </c>
      <c r="BW426" s="701">
        <f t="shared" si="466"/>
        <v>-5.439999999999999E-2</v>
      </c>
      <c r="BX426" s="701">
        <f t="shared" si="466"/>
        <v>-5.4666666666666655E-2</v>
      </c>
      <c r="BY426" s="701">
        <f t="shared" si="466"/>
        <v>-5.493333333333332E-2</v>
      </c>
      <c r="BZ426" s="701">
        <f t="shared" si="466"/>
        <v>-5.5199999999999985E-2</v>
      </c>
      <c r="CA426" s="701">
        <f t="shared" si="466"/>
        <v>-5.546666666666665E-2</v>
      </c>
      <c r="CB426" s="701">
        <f t="shared" si="466"/>
        <v>-5.5733333333333322E-2</v>
      </c>
      <c r="CC426" s="701">
        <f t="shared" si="466"/>
        <v>-5.6000000000000001E-2</v>
      </c>
      <c r="CD426" s="701">
        <f t="shared" si="466"/>
        <v>-5.6000000000000001E-2</v>
      </c>
      <c r="CE426" s="701">
        <f t="shared" si="466"/>
        <v>-5.6000000000000001E-2</v>
      </c>
      <c r="CF426" s="701">
        <f t="shared" si="466"/>
        <v>-5.6000000000000001E-2</v>
      </c>
      <c r="CG426" s="701">
        <f t="shared" si="466"/>
        <v>-5.6000000000000001E-2</v>
      </c>
      <c r="CH426" s="701">
        <f t="shared" si="466"/>
        <v>-5.6000000000000001E-2</v>
      </c>
      <c r="CI426" s="701">
        <f t="shared" si="466"/>
        <v>-5.6000000000000001E-2</v>
      </c>
      <c r="CJ426" s="701">
        <f t="shared" si="466"/>
        <v>-5.6000000000000001E-2</v>
      </c>
      <c r="CK426" s="701">
        <f t="shared" si="466"/>
        <v>-5.6000000000000001E-2</v>
      </c>
      <c r="CL426" s="701">
        <f t="shared" si="466"/>
        <v>-5.6000000000000001E-2</v>
      </c>
      <c r="CM426" s="701">
        <f t="shared" si="466"/>
        <v>-5.6000000000000001E-2</v>
      </c>
      <c r="CN426" s="701">
        <f t="shared" si="466"/>
        <v>-5.6000000000000001E-2</v>
      </c>
      <c r="CO426" s="701">
        <f t="shared" si="466"/>
        <v>-5.6000000000000001E-2</v>
      </c>
      <c r="CP426" s="701">
        <f t="shared" si="466"/>
        <v>-5.6000000000000001E-2</v>
      </c>
      <c r="CQ426" s="701">
        <f t="shared" si="466"/>
        <v>-5.6000000000000001E-2</v>
      </c>
      <c r="CR426" s="701">
        <f t="shared" si="466"/>
        <v>-5.6000000000000001E-2</v>
      </c>
      <c r="CS426" s="701">
        <f t="shared" si="466"/>
        <v>-5.6000000000000001E-2</v>
      </c>
      <c r="CT426" s="701">
        <f t="shared" si="466"/>
        <v>-5.6000000000000001E-2</v>
      </c>
      <c r="CU426" s="701">
        <f t="shared" si="466"/>
        <v>-5.6000000000000001E-2</v>
      </c>
      <c r="CV426" s="701">
        <f t="shared" si="466"/>
        <v>-5.6000000000000001E-2</v>
      </c>
      <c r="CW426" s="701">
        <f t="shared" si="467"/>
        <v>-5.6000000000000001E-2</v>
      </c>
      <c r="CX426" s="701">
        <f t="shared" si="467"/>
        <v>-5.6000000000000001E-2</v>
      </c>
      <c r="CY426" s="701">
        <f t="shared" si="467"/>
        <v>-5.6000000000000001E-2</v>
      </c>
      <c r="CZ426" s="701">
        <f t="shared" si="467"/>
        <v>-5.6000000000000001E-2</v>
      </c>
      <c r="DA426" s="701">
        <f t="shared" si="467"/>
        <v>-5.6000000000000001E-2</v>
      </c>
      <c r="DC426" s="12"/>
      <c r="DD426" s="12">
        <f t="shared" si="441"/>
        <v>-0.28319018099999999</v>
      </c>
      <c r="DE426" s="12">
        <f t="shared" si="442"/>
        <v>-0.62854999999999994</v>
      </c>
      <c r="DF426" s="12">
        <f t="shared" si="452"/>
        <v>-0.6633</v>
      </c>
      <c r="DG426" s="12">
        <f t="shared" si="446"/>
        <v>-0.65439999999999987</v>
      </c>
      <c r="DH426" s="12">
        <f t="shared" si="443"/>
        <v>-0.67200000000000015</v>
      </c>
      <c r="DI426" s="12">
        <f t="shared" si="447"/>
        <v>-0.67200000000000015</v>
      </c>
    </row>
    <row r="427" spans="2:113" s="702" customFormat="1" outlineLevel="2">
      <c r="B427" s="126"/>
      <c r="F427" s="126" t="s">
        <v>807</v>
      </c>
      <c r="H427" s="725"/>
      <c r="I427" s="609" t="s">
        <v>736</v>
      </c>
      <c r="J427" s="725"/>
      <c r="K427" s="725"/>
      <c r="L427" s="725"/>
      <c r="M427" s="725"/>
      <c r="O427" s="710"/>
      <c r="P427" s="710"/>
      <c r="Q427" s="710"/>
      <c r="R427" s="710"/>
      <c r="S427" s="710"/>
      <c r="T427" s="710"/>
      <c r="U427" s="710"/>
      <c r="V427" s="713"/>
      <c r="W427" s="713"/>
      <c r="X427" s="713"/>
      <c r="Y427" s="713"/>
      <c r="Z427" s="713"/>
      <c r="AA427" s="713"/>
      <c r="AB427" s="713"/>
      <c r="AC427" s="713"/>
      <c r="AD427" s="713"/>
      <c r="AE427" s="713"/>
      <c r="AF427" s="713"/>
      <c r="AG427" s="713"/>
      <c r="AH427" s="715"/>
      <c r="AI427" s="715"/>
      <c r="AJ427" s="715"/>
      <c r="AK427" s="701">
        <f t="shared" si="466"/>
        <v>0</v>
      </c>
      <c r="AL427" s="701">
        <f t="shared" si="466"/>
        <v>0</v>
      </c>
      <c r="AM427" s="701">
        <f t="shared" si="466"/>
        <v>0</v>
      </c>
      <c r="AN427" s="701">
        <f t="shared" si="466"/>
        <v>0</v>
      </c>
      <c r="AO427" s="701">
        <f t="shared" si="466"/>
        <v>0</v>
      </c>
      <c r="AP427" s="701">
        <f t="shared" si="466"/>
        <v>0</v>
      </c>
      <c r="AQ427" s="701">
        <f t="shared" si="466"/>
        <v>0</v>
      </c>
      <c r="AR427" s="701">
        <f t="shared" si="466"/>
        <v>0</v>
      </c>
      <c r="AS427" s="701">
        <f t="shared" si="466"/>
        <v>0</v>
      </c>
      <c r="AT427" s="701">
        <f t="shared" si="466"/>
        <v>0</v>
      </c>
      <c r="AU427" s="701">
        <f t="shared" si="466"/>
        <v>0</v>
      </c>
      <c r="AV427" s="701">
        <f t="shared" si="466"/>
        <v>0</v>
      </c>
      <c r="AW427" s="701">
        <f t="shared" si="466"/>
        <v>0</v>
      </c>
      <c r="AX427" s="701">
        <f t="shared" si="466"/>
        <v>0</v>
      </c>
      <c r="AY427" s="701">
        <f t="shared" si="466"/>
        <v>0</v>
      </c>
      <c r="AZ427" s="701">
        <f t="shared" si="466"/>
        <v>0</v>
      </c>
      <c r="BA427" s="701">
        <f t="shared" si="466"/>
        <v>0</v>
      </c>
      <c r="BB427" s="701">
        <f t="shared" si="466"/>
        <v>0</v>
      </c>
      <c r="BC427" s="701">
        <f t="shared" si="466"/>
        <v>0</v>
      </c>
      <c r="BD427" s="701">
        <f t="shared" si="466"/>
        <v>0</v>
      </c>
      <c r="BE427" s="701">
        <f t="shared" si="466"/>
        <v>0</v>
      </c>
      <c r="BF427" s="701">
        <f t="shared" si="466"/>
        <v>0</v>
      </c>
      <c r="BG427" s="701">
        <f t="shared" si="466"/>
        <v>0</v>
      </c>
      <c r="BH427" s="701">
        <f t="shared" si="466"/>
        <v>0</v>
      </c>
      <c r="BI427" s="701">
        <f t="shared" si="466"/>
        <v>0</v>
      </c>
      <c r="BJ427" s="701">
        <f t="shared" si="466"/>
        <v>0</v>
      </c>
      <c r="BK427" s="701">
        <f t="shared" si="466"/>
        <v>0</v>
      </c>
      <c r="BL427" s="701">
        <f t="shared" si="466"/>
        <v>0</v>
      </c>
      <c r="BM427" s="701">
        <f t="shared" si="466"/>
        <v>0</v>
      </c>
      <c r="BN427" s="701">
        <f t="shared" si="466"/>
        <v>0</v>
      </c>
      <c r="BO427" s="701">
        <f t="shared" si="466"/>
        <v>0</v>
      </c>
      <c r="BP427" s="701">
        <f t="shared" si="466"/>
        <v>0</v>
      </c>
      <c r="BQ427" s="701">
        <f t="shared" si="466"/>
        <v>0</v>
      </c>
      <c r="BR427" s="701">
        <f t="shared" si="466"/>
        <v>0</v>
      </c>
      <c r="BS427" s="701">
        <f t="shared" si="466"/>
        <v>0</v>
      </c>
      <c r="BT427" s="701">
        <f t="shared" si="466"/>
        <v>0</v>
      </c>
      <c r="BU427" s="701">
        <f t="shared" si="466"/>
        <v>0</v>
      </c>
      <c r="BV427" s="701">
        <f t="shared" si="466"/>
        <v>0</v>
      </c>
      <c r="BW427" s="701">
        <f t="shared" si="466"/>
        <v>0</v>
      </c>
      <c r="BX427" s="701">
        <f t="shared" si="466"/>
        <v>0</v>
      </c>
      <c r="BY427" s="701">
        <f t="shared" si="466"/>
        <v>0</v>
      </c>
      <c r="BZ427" s="701">
        <f t="shared" si="466"/>
        <v>0</v>
      </c>
      <c r="CA427" s="701">
        <f t="shared" si="466"/>
        <v>0</v>
      </c>
      <c r="CB427" s="701">
        <f t="shared" si="466"/>
        <v>0</v>
      </c>
      <c r="CC427" s="701">
        <f t="shared" si="466"/>
        <v>0</v>
      </c>
      <c r="CD427" s="701">
        <f t="shared" si="466"/>
        <v>0</v>
      </c>
      <c r="CE427" s="701">
        <f t="shared" si="466"/>
        <v>0</v>
      </c>
      <c r="CF427" s="701">
        <f t="shared" si="466"/>
        <v>0</v>
      </c>
      <c r="CG427" s="701">
        <f t="shared" si="466"/>
        <v>0</v>
      </c>
      <c r="CH427" s="701">
        <f t="shared" si="466"/>
        <v>0</v>
      </c>
      <c r="CI427" s="701">
        <f t="shared" si="466"/>
        <v>0</v>
      </c>
      <c r="CJ427" s="701">
        <f t="shared" si="466"/>
        <v>0</v>
      </c>
      <c r="CK427" s="701">
        <f t="shared" si="466"/>
        <v>0</v>
      </c>
      <c r="CL427" s="701">
        <f t="shared" si="466"/>
        <v>0</v>
      </c>
      <c r="CM427" s="701">
        <f t="shared" si="466"/>
        <v>0</v>
      </c>
      <c r="CN427" s="701">
        <f t="shared" si="466"/>
        <v>0</v>
      </c>
      <c r="CO427" s="701">
        <f t="shared" si="466"/>
        <v>0</v>
      </c>
      <c r="CP427" s="701">
        <f t="shared" si="466"/>
        <v>0</v>
      </c>
      <c r="CQ427" s="701">
        <f t="shared" si="466"/>
        <v>0</v>
      </c>
      <c r="CR427" s="701">
        <f t="shared" si="466"/>
        <v>0</v>
      </c>
      <c r="CS427" s="701">
        <f t="shared" si="466"/>
        <v>0</v>
      </c>
      <c r="CT427" s="701">
        <f t="shared" si="466"/>
        <v>0</v>
      </c>
      <c r="CU427" s="701">
        <f t="shared" si="466"/>
        <v>0</v>
      </c>
      <c r="CV427" s="701">
        <f t="shared" ref="CV427:DA429" si="468">CV473+CV521+CV570</f>
        <v>0</v>
      </c>
      <c r="CW427" s="701">
        <f t="shared" si="468"/>
        <v>0</v>
      </c>
      <c r="CX427" s="701">
        <f t="shared" si="468"/>
        <v>0</v>
      </c>
      <c r="CY427" s="701">
        <f t="shared" si="468"/>
        <v>0</v>
      </c>
      <c r="CZ427" s="701">
        <f t="shared" si="468"/>
        <v>0</v>
      </c>
      <c r="DA427" s="701">
        <f t="shared" si="468"/>
        <v>0</v>
      </c>
      <c r="DC427" s="12"/>
      <c r="DD427" s="12">
        <f t="shared" si="441"/>
        <v>0</v>
      </c>
      <c r="DE427" s="12">
        <f t="shared" si="442"/>
        <v>0</v>
      </c>
      <c r="DF427" s="12">
        <f t="shared" si="452"/>
        <v>0</v>
      </c>
      <c r="DG427" s="12">
        <f t="shared" si="446"/>
        <v>0</v>
      </c>
      <c r="DH427" s="12">
        <f t="shared" si="443"/>
        <v>0</v>
      </c>
      <c r="DI427" s="12">
        <f t="shared" si="447"/>
        <v>0</v>
      </c>
    </row>
    <row r="428" spans="2:113" s="702" customFormat="1" outlineLevel="2">
      <c r="B428" s="126"/>
      <c r="F428" s="126" t="s">
        <v>703</v>
      </c>
      <c r="H428" s="725"/>
      <c r="I428" s="609" t="s">
        <v>736</v>
      </c>
      <c r="J428" s="725"/>
      <c r="K428" s="725"/>
      <c r="L428" s="725"/>
      <c r="M428" s="725"/>
      <c r="O428" s="710"/>
      <c r="P428" s="710"/>
      <c r="Q428" s="710"/>
      <c r="R428" s="710"/>
      <c r="S428" s="710"/>
      <c r="T428" s="710"/>
      <c r="U428" s="710"/>
      <c r="V428" s="713"/>
      <c r="W428" s="713"/>
      <c r="X428" s="713"/>
      <c r="Y428" s="713"/>
      <c r="Z428" s="713"/>
      <c r="AA428" s="713"/>
      <c r="AB428" s="713"/>
      <c r="AC428" s="713"/>
      <c r="AD428" s="713"/>
      <c r="AE428" s="713"/>
      <c r="AF428" s="713"/>
      <c r="AG428" s="713"/>
      <c r="AH428" s="715"/>
      <c r="AI428" s="715"/>
      <c r="AJ428" s="715"/>
      <c r="AK428" s="701">
        <f t="shared" ref="AK428:CV429" si="469">AK474+AK522+AK571</f>
        <v>0</v>
      </c>
      <c r="AL428" s="701">
        <f t="shared" si="469"/>
        <v>-3.3874500000000002E-3</v>
      </c>
      <c r="AM428" s="701">
        <f t="shared" si="469"/>
        <v>-3.6899217897011964E-3</v>
      </c>
      <c r="AN428" s="701">
        <f t="shared" si="469"/>
        <v>0</v>
      </c>
      <c r="AO428" s="701">
        <f t="shared" si="469"/>
        <v>0</v>
      </c>
      <c r="AP428" s="701">
        <f t="shared" si="469"/>
        <v>0</v>
      </c>
      <c r="AQ428" s="701">
        <f t="shared" si="469"/>
        <v>0</v>
      </c>
      <c r="AR428" s="701">
        <f t="shared" si="469"/>
        <v>0</v>
      </c>
      <c r="AS428" s="701">
        <f t="shared" si="469"/>
        <v>0</v>
      </c>
      <c r="AT428" s="701">
        <f t="shared" si="469"/>
        <v>0</v>
      </c>
      <c r="AU428" s="701">
        <f t="shared" si="469"/>
        <v>0</v>
      </c>
      <c r="AV428" s="701">
        <f t="shared" si="469"/>
        <v>0</v>
      </c>
      <c r="AW428" s="701">
        <f t="shared" si="469"/>
        <v>0</v>
      </c>
      <c r="AX428" s="701">
        <f t="shared" si="469"/>
        <v>0</v>
      </c>
      <c r="AY428" s="701">
        <f t="shared" si="469"/>
        <v>0</v>
      </c>
      <c r="AZ428" s="701">
        <f t="shared" si="469"/>
        <v>0</v>
      </c>
      <c r="BA428" s="701">
        <f t="shared" si="469"/>
        <v>0</v>
      </c>
      <c r="BB428" s="701">
        <f t="shared" si="469"/>
        <v>0</v>
      </c>
      <c r="BC428" s="701">
        <f t="shared" si="469"/>
        <v>0</v>
      </c>
      <c r="BD428" s="701">
        <f t="shared" si="469"/>
        <v>0</v>
      </c>
      <c r="BE428" s="701">
        <f t="shared" si="469"/>
        <v>0</v>
      </c>
      <c r="BF428" s="701">
        <f t="shared" si="469"/>
        <v>0</v>
      </c>
      <c r="BG428" s="701">
        <f t="shared" si="469"/>
        <v>0</v>
      </c>
      <c r="BH428" s="701">
        <f t="shared" si="469"/>
        <v>0</v>
      </c>
      <c r="BI428" s="701">
        <f t="shared" si="469"/>
        <v>0</v>
      </c>
      <c r="BJ428" s="701">
        <f t="shared" si="469"/>
        <v>0</v>
      </c>
      <c r="BK428" s="701">
        <f t="shared" si="469"/>
        <v>0</v>
      </c>
      <c r="BL428" s="701">
        <f t="shared" si="469"/>
        <v>0</v>
      </c>
      <c r="BM428" s="701">
        <f t="shared" si="469"/>
        <v>0</v>
      </c>
      <c r="BN428" s="701">
        <f t="shared" si="469"/>
        <v>0</v>
      </c>
      <c r="BO428" s="701">
        <f t="shared" si="469"/>
        <v>0</v>
      </c>
      <c r="BP428" s="701">
        <f t="shared" si="469"/>
        <v>0</v>
      </c>
      <c r="BQ428" s="701">
        <f t="shared" si="469"/>
        <v>0</v>
      </c>
      <c r="BR428" s="701">
        <f t="shared" si="469"/>
        <v>0</v>
      </c>
      <c r="BS428" s="701">
        <f t="shared" si="469"/>
        <v>0</v>
      </c>
      <c r="BT428" s="701">
        <f t="shared" si="469"/>
        <v>0</v>
      </c>
      <c r="BU428" s="701">
        <f t="shared" si="469"/>
        <v>0</v>
      </c>
      <c r="BV428" s="701">
        <f t="shared" si="469"/>
        <v>0</v>
      </c>
      <c r="BW428" s="701">
        <f t="shared" si="469"/>
        <v>0</v>
      </c>
      <c r="BX428" s="701">
        <f t="shared" si="469"/>
        <v>0</v>
      </c>
      <c r="BY428" s="701">
        <f t="shared" si="469"/>
        <v>0</v>
      </c>
      <c r="BZ428" s="701">
        <f t="shared" si="469"/>
        <v>0</v>
      </c>
      <c r="CA428" s="701">
        <f t="shared" si="469"/>
        <v>0</v>
      </c>
      <c r="CB428" s="701">
        <f t="shared" si="469"/>
        <v>0</v>
      </c>
      <c r="CC428" s="701">
        <f t="shared" si="469"/>
        <v>0</v>
      </c>
      <c r="CD428" s="701">
        <f t="shared" si="469"/>
        <v>0</v>
      </c>
      <c r="CE428" s="701">
        <f t="shared" si="469"/>
        <v>0</v>
      </c>
      <c r="CF428" s="701">
        <f t="shared" si="469"/>
        <v>0</v>
      </c>
      <c r="CG428" s="701">
        <f t="shared" si="469"/>
        <v>0</v>
      </c>
      <c r="CH428" s="701">
        <f t="shared" si="469"/>
        <v>0</v>
      </c>
      <c r="CI428" s="701">
        <f t="shared" si="469"/>
        <v>0</v>
      </c>
      <c r="CJ428" s="701">
        <f t="shared" si="469"/>
        <v>0</v>
      </c>
      <c r="CK428" s="701">
        <f t="shared" si="469"/>
        <v>0</v>
      </c>
      <c r="CL428" s="701">
        <f t="shared" si="469"/>
        <v>0</v>
      </c>
      <c r="CM428" s="701">
        <f t="shared" si="469"/>
        <v>0</v>
      </c>
      <c r="CN428" s="701">
        <f t="shared" si="469"/>
        <v>0</v>
      </c>
      <c r="CO428" s="701">
        <f t="shared" si="469"/>
        <v>0</v>
      </c>
      <c r="CP428" s="701">
        <f t="shared" si="469"/>
        <v>0</v>
      </c>
      <c r="CQ428" s="701">
        <f t="shared" si="469"/>
        <v>0</v>
      </c>
      <c r="CR428" s="701">
        <f t="shared" si="469"/>
        <v>0</v>
      </c>
      <c r="CS428" s="701">
        <f t="shared" si="469"/>
        <v>0</v>
      </c>
      <c r="CT428" s="701">
        <f t="shared" si="469"/>
        <v>0</v>
      </c>
      <c r="CU428" s="701">
        <f t="shared" si="469"/>
        <v>0</v>
      </c>
      <c r="CV428" s="701">
        <f t="shared" si="469"/>
        <v>0</v>
      </c>
      <c r="CW428" s="701">
        <f t="shared" si="468"/>
        <v>0</v>
      </c>
      <c r="CX428" s="701">
        <f t="shared" si="468"/>
        <v>0</v>
      </c>
      <c r="CY428" s="701">
        <f t="shared" si="468"/>
        <v>0</v>
      </c>
      <c r="CZ428" s="701">
        <f t="shared" si="468"/>
        <v>0</v>
      </c>
      <c r="DA428" s="701">
        <f t="shared" si="468"/>
        <v>0</v>
      </c>
      <c r="DC428" s="12">
        <f>SUM(V428:AG428)</f>
        <v>0</v>
      </c>
      <c r="DD428" s="12">
        <f t="shared" si="441"/>
        <v>-7.0773717897011966E-3</v>
      </c>
      <c r="DE428" s="12">
        <f t="shared" si="442"/>
        <v>0</v>
      </c>
      <c r="DF428" s="12">
        <f t="shared" si="452"/>
        <v>0</v>
      </c>
      <c r="DG428" s="12">
        <f t="shared" si="446"/>
        <v>0</v>
      </c>
      <c r="DH428" s="12">
        <f t="shared" si="443"/>
        <v>0</v>
      </c>
      <c r="DI428" s="12">
        <f t="shared" si="447"/>
        <v>0</v>
      </c>
    </row>
    <row r="429" spans="2:113" s="702" customFormat="1" outlineLevel="2">
      <c r="B429" s="126"/>
      <c r="F429" s="126" t="s">
        <v>163</v>
      </c>
      <c r="H429" s="725"/>
      <c r="I429" s="609" t="s">
        <v>736</v>
      </c>
      <c r="J429" s="725"/>
      <c r="K429" s="725"/>
      <c r="L429" s="725"/>
      <c r="M429" s="725"/>
      <c r="O429" s="710"/>
      <c r="P429" s="710"/>
      <c r="Q429" s="710"/>
      <c r="R429" s="710"/>
      <c r="S429" s="710"/>
      <c r="T429" s="710"/>
      <c r="U429" s="710"/>
      <c r="V429" s="713"/>
      <c r="W429" s="713"/>
      <c r="X429" s="713"/>
      <c r="Y429" s="713"/>
      <c r="Z429" s="713"/>
      <c r="AA429" s="713"/>
      <c r="AB429" s="713"/>
      <c r="AC429" s="713"/>
      <c r="AD429" s="713"/>
      <c r="AE429" s="713"/>
      <c r="AF429" s="713"/>
      <c r="AG429" s="713"/>
      <c r="AH429" s="715"/>
      <c r="AI429" s="715"/>
      <c r="AJ429" s="715"/>
      <c r="AK429" s="701">
        <f t="shared" si="469"/>
        <v>-1.05E-4</v>
      </c>
      <c r="AL429" s="701">
        <f t="shared" si="469"/>
        <v>-3.418772E-3</v>
      </c>
      <c r="AM429" s="701">
        <f t="shared" si="469"/>
        <v>-1.492984032034602E-2</v>
      </c>
      <c r="AN429" s="701">
        <f t="shared" si="469"/>
        <v>-4.0628024848042052E-2</v>
      </c>
      <c r="AO429" s="701">
        <f t="shared" si="469"/>
        <v>-4.8484877575445243E-2</v>
      </c>
      <c r="AP429" s="701">
        <f t="shared" si="469"/>
        <v>-4.7328175619288503E-2</v>
      </c>
      <c r="AQ429" s="701">
        <f t="shared" si="469"/>
        <v>-3.447304000000001E-2</v>
      </c>
      <c r="AR429" s="701">
        <f t="shared" si="469"/>
        <v>-6.7326560000000008E-2</v>
      </c>
      <c r="AS429" s="701">
        <f t="shared" si="469"/>
        <v>-9.5256560000000004E-2</v>
      </c>
      <c r="AT429" s="701">
        <f t="shared" si="469"/>
        <v>-0.10842239333333334</v>
      </c>
      <c r="AU429" s="701">
        <f t="shared" si="469"/>
        <v>-0.12187405999999999</v>
      </c>
      <c r="AV429" s="701">
        <f t="shared" si="469"/>
        <v>-0.13561155999999999</v>
      </c>
      <c r="AW429" s="701">
        <f t="shared" si="469"/>
        <v>-0.14963489333333335</v>
      </c>
      <c r="AX429" s="701">
        <f t="shared" si="469"/>
        <v>-0.16394406</v>
      </c>
      <c r="AY429" s="701">
        <f t="shared" si="469"/>
        <v>-0.17853905999999997</v>
      </c>
      <c r="AZ429" s="701">
        <f t="shared" si="469"/>
        <v>-0.19341989333333331</v>
      </c>
      <c r="BA429" s="701">
        <f t="shared" si="469"/>
        <v>-0.20858655999999998</v>
      </c>
      <c r="BB429" s="701">
        <f t="shared" si="469"/>
        <v>-0.22403905999999998</v>
      </c>
      <c r="BC429" s="701">
        <f t="shared" si="469"/>
        <v>-0.23977739333333334</v>
      </c>
      <c r="BD429" s="701">
        <f t="shared" si="469"/>
        <v>-0.25580155999999998</v>
      </c>
      <c r="BE429" s="701">
        <f t="shared" si="469"/>
        <v>-0.27211156000000003</v>
      </c>
      <c r="BF429" s="701">
        <f t="shared" si="469"/>
        <v>-0.28713822666666666</v>
      </c>
      <c r="BG429" s="701">
        <f t="shared" si="469"/>
        <v>-0.30228156</v>
      </c>
      <c r="BH429" s="701">
        <f t="shared" si="469"/>
        <v>-0.31754156</v>
      </c>
      <c r="BI429" s="701">
        <f t="shared" si="469"/>
        <v>-0.33291822666666671</v>
      </c>
      <c r="BJ429" s="701">
        <f t="shared" si="469"/>
        <v>-0.34841155999999995</v>
      </c>
      <c r="BK429" s="701">
        <f t="shared" si="469"/>
        <v>-0.36402156000000008</v>
      </c>
      <c r="BL429" s="701">
        <f t="shared" si="469"/>
        <v>-0.37974822666666663</v>
      </c>
      <c r="BM429" s="701">
        <f t="shared" si="469"/>
        <v>-0.39559156000000001</v>
      </c>
      <c r="BN429" s="701">
        <f t="shared" si="469"/>
        <v>-0.41155156000000004</v>
      </c>
      <c r="BO429" s="701">
        <f t="shared" si="469"/>
        <v>-0.42762822666666667</v>
      </c>
      <c r="BP429" s="701">
        <f t="shared" si="469"/>
        <v>-0.44382156</v>
      </c>
      <c r="BQ429" s="701">
        <f t="shared" si="469"/>
        <v>-0.46013155999999994</v>
      </c>
      <c r="BR429" s="701">
        <f t="shared" si="469"/>
        <v>-0.47627822666666658</v>
      </c>
      <c r="BS429" s="701">
        <f t="shared" si="469"/>
        <v>-0.49261155999999989</v>
      </c>
      <c r="BT429" s="701">
        <f t="shared" si="469"/>
        <v>-0.50913155999999993</v>
      </c>
      <c r="BU429" s="701">
        <f t="shared" si="469"/>
        <v>-0.52583822666666669</v>
      </c>
      <c r="BV429" s="701">
        <f t="shared" si="469"/>
        <v>-0.54273156</v>
      </c>
      <c r="BW429" s="701">
        <f t="shared" si="469"/>
        <v>-0.55981155999999999</v>
      </c>
      <c r="BX429" s="701">
        <f t="shared" si="469"/>
        <v>-0.57707822666666664</v>
      </c>
      <c r="BY429" s="701">
        <f t="shared" si="469"/>
        <v>-0.59453155999999996</v>
      </c>
      <c r="BZ429" s="701">
        <f t="shared" si="469"/>
        <v>-0.61217155999999984</v>
      </c>
      <c r="CA429" s="701">
        <f t="shared" si="469"/>
        <v>-0.62999822666666661</v>
      </c>
      <c r="CB429" s="701">
        <f t="shared" si="469"/>
        <v>-0.64801155999999993</v>
      </c>
      <c r="CC429" s="701">
        <f t="shared" si="469"/>
        <v>-0.66621155999999992</v>
      </c>
      <c r="CD429" s="701">
        <f t="shared" si="469"/>
        <v>-0.68441155999999992</v>
      </c>
      <c r="CE429" s="701">
        <f t="shared" si="469"/>
        <v>-0.70261155999999991</v>
      </c>
      <c r="CF429" s="701">
        <f t="shared" si="469"/>
        <v>-0.72081155999999991</v>
      </c>
      <c r="CG429" s="701">
        <f t="shared" si="469"/>
        <v>-0.7390115599999999</v>
      </c>
      <c r="CH429" s="701">
        <f t="shared" si="469"/>
        <v>-0.75721155999999989</v>
      </c>
      <c r="CI429" s="701">
        <f t="shared" si="469"/>
        <v>-0.77541155999999989</v>
      </c>
      <c r="CJ429" s="701">
        <f t="shared" si="469"/>
        <v>-0.79361155999999988</v>
      </c>
      <c r="CK429" s="701">
        <f t="shared" si="469"/>
        <v>-0.81181155999999988</v>
      </c>
      <c r="CL429" s="701">
        <f t="shared" si="469"/>
        <v>-0.83001155999999987</v>
      </c>
      <c r="CM429" s="701">
        <f t="shared" si="469"/>
        <v>-0.84821155999999998</v>
      </c>
      <c r="CN429" s="701">
        <f t="shared" si="469"/>
        <v>-0.86641155999999997</v>
      </c>
      <c r="CO429" s="701">
        <f t="shared" si="469"/>
        <v>-0.88461155999999996</v>
      </c>
      <c r="CP429" s="701">
        <f t="shared" si="469"/>
        <v>-0.90281155999999985</v>
      </c>
      <c r="CQ429" s="701">
        <f t="shared" si="469"/>
        <v>-0.92101155999999984</v>
      </c>
      <c r="CR429" s="701">
        <f t="shared" si="469"/>
        <v>-0.93921155999999983</v>
      </c>
      <c r="CS429" s="701">
        <f t="shared" si="469"/>
        <v>-0.95741155999999994</v>
      </c>
      <c r="CT429" s="701">
        <f t="shared" si="469"/>
        <v>-0.97561155999999993</v>
      </c>
      <c r="CU429" s="701">
        <f t="shared" si="469"/>
        <v>-0.99381155999999993</v>
      </c>
      <c r="CV429" s="701">
        <f t="shared" si="469"/>
        <v>-1.0120115599999999</v>
      </c>
      <c r="CW429" s="701">
        <f t="shared" si="468"/>
        <v>-1.0302115599999999</v>
      </c>
      <c r="CX429" s="701">
        <f t="shared" si="468"/>
        <v>-1.0484115599999997</v>
      </c>
      <c r="CY429" s="701">
        <f t="shared" si="468"/>
        <v>-1.0666115599999999</v>
      </c>
      <c r="CZ429" s="701">
        <f t="shared" si="468"/>
        <v>-1.0848115599999997</v>
      </c>
      <c r="DA429" s="701">
        <f t="shared" si="468"/>
        <v>-1.1030115599999999</v>
      </c>
      <c r="DC429" s="12">
        <f>SUM(V429:AG429)</f>
        <v>0</v>
      </c>
      <c r="DD429" s="12">
        <f t="shared" si="441"/>
        <v>-0.35195085036312185</v>
      </c>
      <c r="DE429" s="12">
        <f t="shared" si="442"/>
        <v>-2.2517620533333331</v>
      </c>
      <c r="DF429" s="12">
        <f t="shared" si="452"/>
        <v>-4.4707853866666669</v>
      </c>
      <c r="DG429" s="12">
        <f t="shared" si="446"/>
        <v>-6.8344053866666652</v>
      </c>
      <c r="DH429" s="12">
        <f t="shared" si="443"/>
        <v>-9.4141387199999986</v>
      </c>
      <c r="DI429" s="12">
        <f t="shared" si="447"/>
        <v>-12.03493872</v>
      </c>
    </row>
    <row r="430" spans="2:113" s="702" customFormat="1" outlineLevel="2">
      <c r="B430" s="126"/>
      <c r="F430" s="718" t="s">
        <v>152</v>
      </c>
      <c r="G430" s="126"/>
      <c r="H430" s="609"/>
      <c r="I430" s="609" t="s">
        <v>736</v>
      </c>
      <c r="J430" s="725"/>
      <c r="K430" s="725"/>
      <c r="L430" s="725"/>
      <c r="M430" s="725"/>
      <c r="O430" s="710"/>
      <c r="P430" s="710"/>
      <c r="Q430" s="710"/>
      <c r="R430" s="710"/>
      <c r="S430" s="710"/>
      <c r="T430" s="710"/>
      <c r="U430" s="710"/>
      <c r="V430" s="713"/>
      <c r="W430" s="713"/>
      <c r="X430" s="713"/>
      <c r="Y430" s="713"/>
      <c r="Z430" s="713"/>
      <c r="AA430" s="713"/>
      <c r="AB430" s="713"/>
      <c r="AC430" s="713"/>
      <c r="AD430" s="713"/>
      <c r="AE430" s="713"/>
      <c r="AF430" s="713"/>
      <c r="AG430" s="713"/>
      <c r="AH430" s="715"/>
      <c r="AI430" s="715"/>
      <c r="AJ430" s="715"/>
      <c r="AK430" s="701"/>
      <c r="AL430" s="701"/>
      <c r="AM430" s="701"/>
      <c r="AN430" s="701"/>
      <c r="AO430" s="701"/>
      <c r="AP430" s="701"/>
      <c r="AQ430" s="701"/>
      <c r="AR430" s="701"/>
      <c r="AS430" s="701"/>
      <c r="AT430" s="726">
        <v>-2.8500000000000004E-2</v>
      </c>
      <c r="AU430" s="726">
        <v>-2.8500000000000004E-2</v>
      </c>
      <c r="AV430" s="726">
        <v>-2.8500000000000004E-2</v>
      </c>
      <c r="AW430" s="726">
        <v>-2.8500000000000004E-2</v>
      </c>
      <c r="AX430" s="726">
        <v>-2.8500000000000004E-2</v>
      </c>
      <c r="AY430" s="726">
        <v>-2.8500000000000004E-2</v>
      </c>
      <c r="AZ430" s="726">
        <v>-8.5000000000000006E-3</v>
      </c>
      <c r="BA430" s="726">
        <v>-8.5000000000000006E-3</v>
      </c>
      <c r="BB430" s="726">
        <v>-8.5000000000000006E-3</v>
      </c>
      <c r="BC430" s="726">
        <v>-8.5000000000000006E-3</v>
      </c>
      <c r="BD430" s="726">
        <v>-8.5000000000000006E-3</v>
      </c>
      <c r="BE430" s="726">
        <v>-8.5000000000000006E-3</v>
      </c>
      <c r="BF430" s="726">
        <v>-8.5000000000000006E-3</v>
      </c>
      <c r="BG430" s="726">
        <v>-8.5000000000000006E-3</v>
      </c>
      <c r="BH430" s="726">
        <v>-8.5000000000000006E-3</v>
      </c>
      <c r="BI430" s="726">
        <v>-8.5000000000000006E-3</v>
      </c>
      <c r="BJ430" s="726">
        <v>-8.5000000000000006E-3</v>
      </c>
      <c r="BK430" s="726">
        <v>-8.5000000000000006E-3</v>
      </c>
      <c r="BL430" s="726">
        <v>-8.5000000000000006E-3</v>
      </c>
      <c r="BM430" s="726">
        <v>-8.5000000000000006E-3</v>
      </c>
      <c r="BN430" s="726">
        <v>-8.5000000000000006E-3</v>
      </c>
      <c r="BO430" s="726">
        <v>-8.5000000000000006E-3</v>
      </c>
      <c r="BP430" s="726">
        <v>-8.5000000000000006E-3</v>
      </c>
      <c r="BQ430" s="726">
        <v>-8.5000000000000006E-3</v>
      </c>
      <c r="BR430" s="726">
        <v>-8.5000000000000006E-3</v>
      </c>
      <c r="BS430" s="726">
        <v>-8.5000000000000006E-3</v>
      </c>
      <c r="BT430" s="726">
        <v>-8.5000000000000006E-3</v>
      </c>
      <c r="BU430" s="726">
        <v>-8.5000000000000006E-3</v>
      </c>
      <c r="BV430" s="726">
        <v>-8.5000000000000006E-3</v>
      </c>
      <c r="BW430" s="726">
        <v>-8.5000000000000006E-3</v>
      </c>
      <c r="BX430" s="726">
        <v>-8.5000000000000006E-3</v>
      </c>
      <c r="BY430" s="726">
        <v>-8.5000000000000006E-3</v>
      </c>
      <c r="BZ430" s="726">
        <v>-8.5000000000000006E-3</v>
      </c>
      <c r="CA430" s="726">
        <v>-8.5000000000000006E-3</v>
      </c>
      <c r="CB430" s="726">
        <v>-8.5000000000000006E-3</v>
      </c>
      <c r="CC430" s="726">
        <v>-8.5000000000000006E-3</v>
      </c>
      <c r="CD430" s="726">
        <v>-8.5000000000000006E-3</v>
      </c>
      <c r="CE430" s="726">
        <v>-8.5000000000000006E-3</v>
      </c>
      <c r="CF430" s="726">
        <v>-8.5000000000000006E-3</v>
      </c>
      <c r="CG430" s="726">
        <v>-8.5000000000000006E-3</v>
      </c>
      <c r="CH430" s="726">
        <v>-8.5000000000000006E-3</v>
      </c>
      <c r="CI430" s="726">
        <v>-8.5000000000000006E-3</v>
      </c>
      <c r="CJ430" s="726">
        <v>-8.5000000000000006E-3</v>
      </c>
      <c r="CK430" s="726">
        <v>-8.5000000000000006E-3</v>
      </c>
      <c r="CL430" s="726">
        <v>-8.5000000000000006E-3</v>
      </c>
      <c r="CM430" s="726">
        <v>-8.5000000000000006E-3</v>
      </c>
      <c r="CN430" s="726">
        <v>-8.5000000000000006E-3</v>
      </c>
      <c r="CO430" s="726">
        <v>-8.5000000000000006E-3</v>
      </c>
      <c r="CP430" s="726">
        <v>-8.5000000000000006E-3</v>
      </c>
      <c r="CQ430" s="726">
        <v>-8.5000000000000006E-3</v>
      </c>
      <c r="CR430" s="726">
        <v>-8.5000000000000006E-3</v>
      </c>
      <c r="CS430" s="726">
        <v>-8.5000000000000006E-3</v>
      </c>
      <c r="CT430" s="726">
        <v>-8.5000000000000006E-3</v>
      </c>
      <c r="CU430" s="726">
        <v>-8.5000000000000006E-3</v>
      </c>
      <c r="CV430" s="726">
        <v>-8.5000000000000006E-3</v>
      </c>
      <c r="CW430" s="726">
        <v>-8.5000000000000006E-3</v>
      </c>
      <c r="CX430" s="726">
        <v>-8.5000000000000006E-3</v>
      </c>
      <c r="CY430" s="726">
        <v>-8.5000000000000006E-3</v>
      </c>
      <c r="CZ430" s="726">
        <v>-8.5000000000000006E-3</v>
      </c>
      <c r="DA430" s="726">
        <v>-8.5000000000000006E-3</v>
      </c>
      <c r="DC430" s="12">
        <f>SUM(V430:AG430)</f>
        <v>0</v>
      </c>
      <c r="DD430" s="12">
        <f>SUM(AH430:AS430)</f>
        <v>0</v>
      </c>
      <c r="DE430" s="12">
        <f>SUM(AT430:BE430)</f>
        <v>-0.22200000000000006</v>
      </c>
      <c r="DF430" s="12">
        <f>SUM(BF430:BQ430)</f>
        <v>-0.10200000000000004</v>
      </c>
      <c r="DG430" s="12">
        <f>SUM(BR430:CC430)</f>
        <v>-0.10200000000000004</v>
      </c>
      <c r="DH430" s="12">
        <f>SUM(CD430:CO430)</f>
        <v>-0.10200000000000004</v>
      </c>
      <c r="DI430" s="12">
        <f t="shared" si="447"/>
        <v>-0.10200000000000004</v>
      </c>
    </row>
    <row r="431" spans="2:113" s="702" customFormat="1" outlineLevel="2">
      <c r="B431" s="126"/>
      <c r="F431" s="126" t="s">
        <v>144</v>
      </c>
      <c r="G431" s="718"/>
      <c r="H431" s="727"/>
      <c r="I431" s="609" t="s">
        <v>736</v>
      </c>
      <c r="J431" s="725"/>
      <c r="K431" s="725"/>
      <c r="L431" s="725"/>
      <c r="M431" s="725"/>
      <c r="O431" s="710"/>
      <c r="P431" s="710"/>
      <c r="Q431" s="710"/>
      <c r="R431" s="710"/>
      <c r="S431" s="710"/>
      <c r="T431" s="710"/>
      <c r="U431" s="710"/>
      <c r="V431" s="713"/>
      <c r="W431" s="713"/>
      <c r="X431" s="713"/>
      <c r="Y431" s="713"/>
      <c r="Z431" s="713"/>
      <c r="AA431" s="713"/>
      <c r="AB431" s="713"/>
      <c r="AC431" s="713"/>
      <c r="AD431" s="713"/>
      <c r="AE431" s="713"/>
      <c r="AF431" s="713"/>
      <c r="AG431" s="713"/>
      <c r="AH431" s="715"/>
      <c r="AI431" s="715"/>
      <c r="AJ431" s="715"/>
      <c r="AK431" s="701"/>
      <c r="AL431" s="701"/>
      <c r="AM431" s="701"/>
      <c r="AN431" s="701"/>
      <c r="AO431" s="701"/>
      <c r="AP431" s="701"/>
      <c r="AQ431" s="701"/>
      <c r="AR431" s="701"/>
      <c r="AS431" s="701"/>
      <c r="AT431" s="726">
        <v>-0.33333333333333337</v>
      </c>
      <c r="AU431" s="728">
        <v>-0.33333333333333337</v>
      </c>
      <c r="AV431" s="728">
        <v>-0.33333333333333337</v>
      </c>
      <c r="AW431" s="728">
        <v>-0.33333333333333337</v>
      </c>
      <c r="AX431" s="728">
        <v>-0.33333333333333337</v>
      </c>
      <c r="AY431" s="728">
        <v>-0.33333333333333337</v>
      </c>
      <c r="AZ431" s="728">
        <v>-0.33333333333333337</v>
      </c>
      <c r="BA431" s="728">
        <v>-0.33333333333333337</v>
      </c>
      <c r="BB431" s="728">
        <v>-0.33333333333333337</v>
      </c>
      <c r="BC431" s="728">
        <v>-0.33333333333333337</v>
      </c>
      <c r="BD431" s="728">
        <v>-0.33333333333333337</v>
      </c>
      <c r="BE431" s="728">
        <v>-0.33333333333333337</v>
      </c>
      <c r="BF431" s="728">
        <v>-0.5</v>
      </c>
      <c r="BG431" s="728">
        <v>-0.5</v>
      </c>
      <c r="BH431" s="728">
        <v>-0.5</v>
      </c>
      <c r="BI431" s="728">
        <v>-0.5</v>
      </c>
      <c r="BJ431" s="728">
        <v>-0.5</v>
      </c>
      <c r="BK431" s="728">
        <v>-0.5</v>
      </c>
      <c r="BL431" s="728">
        <v>-0.5</v>
      </c>
      <c r="BM431" s="728">
        <v>-0.5</v>
      </c>
      <c r="BN431" s="728">
        <v>-0.5</v>
      </c>
      <c r="BO431" s="728">
        <v>-0.5</v>
      </c>
      <c r="BP431" s="728">
        <v>-0.5</v>
      </c>
      <c r="BQ431" s="728">
        <v>-0.5</v>
      </c>
      <c r="BR431" s="728">
        <v>-0.65</v>
      </c>
      <c r="BS431" s="728">
        <v>-0.65</v>
      </c>
      <c r="BT431" s="728">
        <v>-0.65</v>
      </c>
      <c r="BU431" s="728">
        <v>-0.65</v>
      </c>
      <c r="BV431" s="728">
        <v>-0.65</v>
      </c>
      <c r="BW431" s="728">
        <v>-0.65</v>
      </c>
      <c r="BX431" s="728">
        <v>-0.65</v>
      </c>
      <c r="BY431" s="728">
        <v>-0.65</v>
      </c>
      <c r="BZ431" s="728">
        <v>-0.65</v>
      </c>
      <c r="CA431" s="728">
        <v>-0.65</v>
      </c>
      <c r="CB431" s="728">
        <v>-0.65</v>
      </c>
      <c r="CC431" s="728">
        <v>-0.65</v>
      </c>
      <c r="CD431" s="728">
        <v>-0.78</v>
      </c>
      <c r="CE431" s="728">
        <v>-0.78</v>
      </c>
      <c r="CF431" s="728">
        <v>-0.78</v>
      </c>
      <c r="CG431" s="728">
        <v>-0.78</v>
      </c>
      <c r="CH431" s="728">
        <v>-0.78</v>
      </c>
      <c r="CI431" s="728">
        <v>-0.78</v>
      </c>
      <c r="CJ431" s="728">
        <v>-0.78</v>
      </c>
      <c r="CK431" s="728">
        <v>-0.78</v>
      </c>
      <c r="CL431" s="728">
        <v>-0.78</v>
      </c>
      <c r="CM431" s="728">
        <v>-0.78</v>
      </c>
      <c r="CN431" s="728">
        <v>-0.78</v>
      </c>
      <c r="CO431" s="728">
        <v>-0.78</v>
      </c>
      <c r="CP431" s="728">
        <v>-0.8580000000000001</v>
      </c>
      <c r="CQ431" s="728">
        <v>-0.8580000000000001</v>
      </c>
      <c r="CR431" s="728">
        <v>-0.8580000000000001</v>
      </c>
      <c r="CS431" s="728">
        <v>-0.8580000000000001</v>
      </c>
      <c r="CT431" s="728">
        <v>-0.8580000000000001</v>
      </c>
      <c r="CU431" s="728">
        <v>-0.8580000000000001</v>
      </c>
      <c r="CV431" s="728">
        <v>-0.8580000000000001</v>
      </c>
      <c r="CW431" s="728">
        <v>-0.8580000000000001</v>
      </c>
      <c r="CX431" s="728">
        <v>-0.8580000000000001</v>
      </c>
      <c r="CY431" s="728">
        <v>-0.8580000000000001</v>
      </c>
      <c r="CZ431" s="728">
        <v>-0.8580000000000001</v>
      </c>
      <c r="DA431" s="728">
        <v>-0.8580000000000001</v>
      </c>
      <c r="DC431" s="12">
        <f>SUM(V431:AG431)</f>
        <v>0</v>
      </c>
      <c r="DD431" s="12">
        <f>SUM(AH431:AS431)</f>
        <v>0</v>
      </c>
      <c r="DE431" s="12">
        <f>SUM(AT431:BE431)</f>
        <v>-4.0000000000000009</v>
      </c>
      <c r="DF431" s="12">
        <f>SUM(BF431:BQ431)</f>
        <v>-6</v>
      </c>
      <c r="DG431" s="12">
        <f>SUM(BR431:CC431)</f>
        <v>-7.8000000000000016</v>
      </c>
      <c r="DH431" s="12">
        <f>SUM(CD431:CO431)</f>
        <v>-9.3600000000000012</v>
      </c>
      <c r="DI431" s="12">
        <f t="shared" si="447"/>
        <v>-10.296000000000005</v>
      </c>
    </row>
    <row r="432" spans="2:113" s="702" customFormat="1" outlineLevel="2">
      <c r="B432" s="126"/>
      <c r="E432" s="698" t="s">
        <v>808</v>
      </c>
      <c r="H432" s="725"/>
      <c r="I432" s="609" t="s">
        <v>736</v>
      </c>
      <c r="J432" s="725"/>
      <c r="K432" s="725"/>
      <c r="L432" s="725"/>
      <c r="M432" s="725"/>
      <c r="O432" s="710"/>
      <c r="P432" s="710"/>
      <c r="Q432" s="710"/>
      <c r="R432" s="710"/>
      <c r="S432" s="710"/>
      <c r="T432" s="710"/>
      <c r="U432" s="710"/>
      <c r="V432" s="713"/>
      <c r="W432" s="713"/>
      <c r="X432" s="713"/>
      <c r="Y432" s="713"/>
      <c r="Z432" s="713"/>
      <c r="AA432" s="713"/>
      <c r="AB432" s="713"/>
      <c r="AC432" s="713"/>
      <c r="AD432" s="713"/>
      <c r="AE432" s="713"/>
      <c r="AF432" s="713"/>
      <c r="AG432" s="713"/>
      <c r="AH432" s="715"/>
      <c r="AI432" s="715"/>
      <c r="AJ432" s="715"/>
      <c r="AK432" s="701">
        <f t="shared" ref="AK432:CV432" si="470">AK478+AK526+AK575</f>
        <v>0</v>
      </c>
      <c r="AL432" s="701">
        <f t="shared" si="470"/>
        <v>-4.2306518968499999E-3</v>
      </c>
      <c r="AM432" s="701">
        <f t="shared" si="470"/>
        <v>-2.3432322158500225E-2</v>
      </c>
      <c r="AN432" s="701">
        <f t="shared" si="470"/>
        <v>-6.5411267721700014E-2</v>
      </c>
      <c r="AO432" s="701">
        <f t="shared" si="470"/>
        <v>-0.12388444440665</v>
      </c>
      <c r="AP432" s="701">
        <f t="shared" si="470"/>
        <v>-7.8328925895900015E-2</v>
      </c>
      <c r="AQ432" s="701">
        <f t="shared" si="470"/>
        <v>-4.4248230143366991E-2</v>
      </c>
      <c r="AR432" s="701">
        <f t="shared" si="470"/>
        <v>0.12771942059312988</v>
      </c>
      <c r="AS432" s="701">
        <f t="shared" si="470"/>
        <v>0.23678923108673186</v>
      </c>
      <c r="AT432" s="701">
        <f t="shared" si="470"/>
        <v>0.19527118598196602</v>
      </c>
      <c r="AU432" s="701">
        <f t="shared" si="470"/>
        <v>0.30418872991977108</v>
      </c>
      <c r="AV432" s="701">
        <f t="shared" si="470"/>
        <v>0.11162971042468776</v>
      </c>
      <c r="AW432" s="701">
        <f t="shared" si="470"/>
        <v>-2.1860048266345102E-2</v>
      </c>
      <c r="AX432" s="701">
        <f t="shared" si="470"/>
        <v>0.14070081846097027</v>
      </c>
      <c r="AY432" s="701">
        <f t="shared" si="470"/>
        <v>0.22386288318704617</v>
      </c>
      <c r="AZ432" s="701">
        <f t="shared" si="470"/>
        <v>0.26102528719498153</v>
      </c>
      <c r="BA432" s="701">
        <f t="shared" si="470"/>
        <v>0.21778664754768651</v>
      </c>
      <c r="BB432" s="701">
        <f t="shared" si="470"/>
        <v>0.21834537278546243</v>
      </c>
      <c r="BC432" s="701">
        <f t="shared" si="470"/>
        <v>0.15323671855926849</v>
      </c>
      <c r="BD432" s="701">
        <f t="shared" si="470"/>
        <v>0.14572244167897463</v>
      </c>
      <c r="BE432" s="701">
        <f t="shared" si="470"/>
        <v>8.4395268489037806E-2</v>
      </c>
      <c r="BF432" s="701">
        <f t="shared" si="470"/>
        <v>-0.14702789271111794</v>
      </c>
      <c r="BG432" s="701">
        <f t="shared" si="470"/>
        <v>-0.44680227869678929</v>
      </c>
      <c r="BH432" s="701">
        <f t="shared" si="470"/>
        <v>-0.67413156820557407</v>
      </c>
      <c r="BI432" s="701">
        <f t="shared" si="470"/>
        <v>-0.97961225621936665</v>
      </c>
      <c r="BJ432" s="701">
        <f t="shared" si="470"/>
        <v>-0.90526389798249518</v>
      </c>
      <c r="BK432" s="701">
        <f t="shared" si="470"/>
        <v>-0.88310035744211235</v>
      </c>
      <c r="BL432" s="701">
        <f t="shared" si="470"/>
        <v>-0.93754047860565914</v>
      </c>
      <c r="BM432" s="701">
        <f t="shared" si="470"/>
        <v>-0.94150694530867607</v>
      </c>
      <c r="BN432" s="701">
        <f t="shared" si="470"/>
        <v>-1.0127263750912552</v>
      </c>
      <c r="BO432" s="701">
        <f t="shared" si="470"/>
        <v>-1.0390503266736437</v>
      </c>
      <c r="BP432" s="701">
        <f t="shared" si="470"/>
        <v>-1.0725937750927248</v>
      </c>
      <c r="BQ432" s="701">
        <f t="shared" si="470"/>
        <v>-1.1096510960370809</v>
      </c>
      <c r="BR432" s="701">
        <f t="shared" si="470"/>
        <v>-1.147261497926479</v>
      </c>
      <c r="BS432" s="701">
        <f t="shared" si="470"/>
        <v>-1.1835743353333052</v>
      </c>
      <c r="BT432" s="701">
        <f t="shared" si="470"/>
        <v>-1.2236854340198535</v>
      </c>
      <c r="BU432" s="701">
        <f t="shared" si="470"/>
        <v>-1.2655443429222588</v>
      </c>
      <c r="BV432" s="701">
        <f t="shared" si="470"/>
        <v>-1.3100306238050825</v>
      </c>
      <c r="BW432" s="701">
        <f t="shared" si="470"/>
        <v>-1.3550679281783133</v>
      </c>
      <c r="BX432" s="701">
        <f t="shared" si="470"/>
        <v>-1.4111877848184897</v>
      </c>
      <c r="BY432" s="701">
        <f t="shared" si="470"/>
        <v>-1.4791581262998326</v>
      </c>
      <c r="BZ432" s="701">
        <f t="shared" si="470"/>
        <v>-1.5441822609262545</v>
      </c>
      <c r="CA432" s="701">
        <f t="shared" si="470"/>
        <v>-1.7457200487763149</v>
      </c>
      <c r="CB432" s="701">
        <f t="shared" si="470"/>
        <v>-1.8115450550184893</v>
      </c>
      <c r="CC432" s="701">
        <f t="shared" si="470"/>
        <v>-1.8789842876831122</v>
      </c>
      <c r="CD432" s="701">
        <f t="shared" si="470"/>
        <v>-1.9615787511086888</v>
      </c>
      <c r="CE432" s="701">
        <f t="shared" si="470"/>
        <v>-2.0523408333095046</v>
      </c>
      <c r="CF432" s="701">
        <f t="shared" si="470"/>
        <v>-2.1292283739746254</v>
      </c>
      <c r="CG432" s="701">
        <f t="shared" si="470"/>
        <v>-2.3849052337799925</v>
      </c>
      <c r="CH432" s="701">
        <f t="shared" si="470"/>
        <v>-2.4617794409459628</v>
      </c>
      <c r="CI432" s="701">
        <f t="shared" si="470"/>
        <v>-2.5430676385448137</v>
      </c>
      <c r="CJ432" s="701">
        <f t="shared" si="470"/>
        <v>-2.6251993957586874</v>
      </c>
      <c r="CK432" s="701">
        <f t="shared" si="470"/>
        <v>-2.6980249611545521</v>
      </c>
      <c r="CL432" s="701">
        <f t="shared" si="470"/>
        <v>-2.7590445921588893</v>
      </c>
      <c r="CM432" s="701">
        <f t="shared" si="470"/>
        <v>-2.8206094729628113</v>
      </c>
      <c r="CN432" s="701">
        <f t="shared" si="470"/>
        <v>-2.8824233188539345</v>
      </c>
      <c r="CO432" s="701">
        <f t="shared" si="470"/>
        <v>-2.9482506738100613</v>
      </c>
      <c r="CP432" s="701">
        <f t="shared" si="470"/>
        <v>-3.0142363830792216</v>
      </c>
      <c r="CQ432" s="701">
        <f t="shared" si="470"/>
        <v>-3.0805067498903145</v>
      </c>
      <c r="CR432" s="701">
        <f t="shared" si="470"/>
        <v>-3.1470999684381948</v>
      </c>
      <c r="CS432" s="701">
        <f t="shared" si="470"/>
        <v>-3.2138306719895251</v>
      </c>
      <c r="CT432" s="701">
        <f t="shared" si="470"/>
        <v>-3.2804479232933383</v>
      </c>
      <c r="CU432" s="701">
        <f t="shared" si="470"/>
        <v>-3.3469652051924155</v>
      </c>
      <c r="CV432" s="701">
        <f t="shared" si="470"/>
        <v>-3.4133881150506262</v>
      </c>
      <c r="CW432" s="701">
        <f t="shared" ref="CW432:DA432" si="471">CW478+CW526+CW575</f>
        <v>-3.4798011399193371</v>
      </c>
      <c r="CX432" s="701">
        <f t="shared" si="471"/>
        <v>-3.546205732983533</v>
      </c>
      <c r="CY432" s="701">
        <f t="shared" si="471"/>
        <v>-3.6126066262314303</v>
      </c>
      <c r="CZ432" s="701">
        <f t="shared" si="471"/>
        <v>-3.6790098760095309</v>
      </c>
      <c r="DA432" s="701">
        <f t="shared" si="471"/>
        <v>-3.745729638856468</v>
      </c>
      <c r="DC432" s="12"/>
      <c r="DD432" s="12">
        <f>SUM(AH432:AS432)</f>
        <v>2.4972809456894507E-2</v>
      </c>
      <c r="DE432" s="12">
        <f>SUM(AT432:BE432)</f>
        <v>2.0343050159635072</v>
      </c>
      <c r="DF432" s="12">
        <f>SUM(BF432:BQ432)</f>
        <v>-10.149007248066496</v>
      </c>
      <c r="DG432" s="12">
        <f t="shared" si="446"/>
        <v>-17.355941725707787</v>
      </c>
      <c r="DH432" s="12">
        <f t="shared" si="443"/>
        <v>-30.266452686362523</v>
      </c>
      <c r="DI432" s="12">
        <f t="shared" si="447"/>
        <v>-40.559828030933936</v>
      </c>
    </row>
    <row r="433" spans="4:113" outlineLevel="2">
      <c r="E433" s="698" t="s">
        <v>820</v>
      </c>
      <c r="I433" s="609" t="s">
        <v>736</v>
      </c>
      <c r="O433" s="696"/>
      <c r="P433" s="696"/>
      <c r="Q433" s="696"/>
      <c r="R433" s="696"/>
      <c r="S433" s="696"/>
      <c r="T433" s="696"/>
      <c r="U433" s="696"/>
      <c r="V433" s="696"/>
      <c r="W433" s="696"/>
      <c r="X433" s="696"/>
      <c r="Y433" s="696"/>
      <c r="Z433" s="696"/>
      <c r="AA433" s="696"/>
      <c r="AB433" s="696"/>
      <c r="AC433" s="696"/>
      <c r="AD433" s="696"/>
      <c r="AE433" s="696"/>
      <c r="AF433" s="696"/>
      <c r="AG433" s="696"/>
      <c r="AH433" s="696"/>
      <c r="AI433" s="696"/>
      <c r="AJ433" s="696"/>
      <c r="AK433" s="696">
        <f t="shared" ref="AK433:CV433" si="472">AK406+AK422+AK423</f>
        <v>-7.3378619999999997E-3</v>
      </c>
      <c r="AL433" s="696">
        <f t="shared" si="472"/>
        <v>-0.10271553710315001</v>
      </c>
      <c r="AM433" s="696">
        <f t="shared" si="472"/>
        <v>-0.11145156596232543</v>
      </c>
      <c r="AN433" s="696">
        <f t="shared" si="472"/>
        <v>-0.24984193649621342</v>
      </c>
      <c r="AO433" s="696">
        <f t="shared" si="472"/>
        <v>-0.21204985346809052</v>
      </c>
      <c r="AP433" s="696">
        <f t="shared" si="472"/>
        <v>-0.12852969145513971</v>
      </c>
      <c r="AQ433" s="696">
        <f t="shared" si="472"/>
        <v>-0.15250156971996703</v>
      </c>
      <c r="AR433" s="696">
        <f t="shared" si="472"/>
        <v>-0.30785188751378356</v>
      </c>
      <c r="AS433" s="696">
        <f t="shared" si="472"/>
        <v>-0.39937404602362225</v>
      </c>
      <c r="AT433" s="696">
        <f t="shared" si="472"/>
        <v>-0.91194349929941432</v>
      </c>
      <c r="AU433" s="696">
        <f t="shared" si="472"/>
        <v>-1.0511948743821011</v>
      </c>
      <c r="AV433" s="696">
        <f t="shared" si="472"/>
        <v>-1.3950612336547337</v>
      </c>
      <c r="AW433" s="696">
        <f t="shared" si="472"/>
        <v>-1.5781711281970903</v>
      </c>
      <c r="AX433" s="696">
        <f t="shared" si="472"/>
        <v>-1.5254492255147265</v>
      </c>
      <c r="AY433" s="696">
        <f t="shared" si="472"/>
        <v>-1.5553817625107009</v>
      </c>
      <c r="AZ433" s="696">
        <f t="shared" si="472"/>
        <v>-1.3734530400046658</v>
      </c>
      <c r="BA433" s="696">
        <f t="shared" si="472"/>
        <v>-1.510467271833603</v>
      </c>
      <c r="BB433" s="696">
        <f t="shared" si="472"/>
        <v>-1.9133310338588763</v>
      </c>
      <c r="BC433" s="696">
        <f t="shared" si="472"/>
        <v>-2.2159277879529693</v>
      </c>
      <c r="BD433" s="696">
        <f t="shared" si="472"/>
        <v>-2.3356784654633449</v>
      </c>
      <c r="BE433" s="696">
        <f t="shared" si="472"/>
        <v>-2.3879549470538017</v>
      </c>
      <c r="BF433" s="696">
        <f t="shared" si="472"/>
        <v>-2.4652365177232385</v>
      </c>
      <c r="BG433" s="696">
        <f t="shared" si="472"/>
        <v>-2.2232262853973572</v>
      </c>
      <c r="BH433" s="696">
        <f t="shared" si="472"/>
        <v>-1.9725086181937015</v>
      </c>
      <c r="BI433" s="696">
        <f t="shared" si="472"/>
        <v>-1.7746469283907564</v>
      </c>
      <c r="BJ433" s="696">
        <f t="shared" si="472"/>
        <v>-1.4166857200549452</v>
      </c>
      <c r="BK433" s="696">
        <f t="shared" si="472"/>
        <v>-1.1144468538857293</v>
      </c>
      <c r="BL433" s="696">
        <f t="shared" si="472"/>
        <v>-0.76319814593851643</v>
      </c>
      <c r="BM433" s="696">
        <f t="shared" si="472"/>
        <v>-0.6653655704850534</v>
      </c>
      <c r="BN433" s="696">
        <f t="shared" si="472"/>
        <v>-1.1843117806585575</v>
      </c>
      <c r="BO433" s="696">
        <f t="shared" si="472"/>
        <v>-1.3627502812442707</v>
      </c>
      <c r="BP433" s="696">
        <f t="shared" si="472"/>
        <v>-1.3603398169941334</v>
      </c>
      <c r="BQ433" s="696">
        <f t="shared" si="472"/>
        <v>-1.350972931767489</v>
      </c>
      <c r="BR433" s="696">
        <f t="shared" si="472"/>
        <v>-1.386915742419788</v>
      </c>
      <c r="BS433" s="696">
        <f t="shared" si="472"/>
        <v>-1.4641690415662696</v>
      </c>
      <c r="BT433" s="696">
        <f t="shared" si="472"/>
        <v>-1.5216343188136756</v>
      </c>
      <c r="BU433" s="696">
        <f t="shared" si="472"/>
        <v>-1.5662387787177448</v>
      </c>
      <c r="BV433" s="696">
        <f t="shared" si="472"/>
        <v>-1.6154141555873558</v>
      </c>
      <c r="BW433" s="696">
        <f t="shared" si="472"/>
        <v>-1.6652545241226289</v>
      </c>
      <c r="BX433" s="696">
        <f t="shared" si="472"/>
        <v>-1.6241735236495112</v>
      </c>
      <c r="BY433" s="696">
        <f t="shared" si="472"/>
        <v>-1.625869097527481</v>
      </c>
      <c r="BZ433" s="696">
        <f t="shared" si="472"/>
        <v>-1.6193409855602781</v>
      </c>
      <c r="CA433" s="696">
        <f t="shared" si="472"/>
        <v>-1.6242416276146034</v>
      </c>
      <c r="CB433" s="696">
        <f t="shared" si="472"/>
        <v>-1.6175611438583477</v>
      </c>
      <c r="CC433" s="696">
        <f t="shared" si="472"/>
        <v>-1.6103217089475335</v>
      </c>
      <c r="CD433" s="696">
        <f t="shared" si="472"/>
        <v>-1.365296176144529</v>
      </c>
      <c r="CE433" s="696">
        <f t="shared" si="472"/>
        <v>-0.88967034765213882</v>
      </c>
      <c r="CF433" s="696">
        <f t="shared" si="472"/>
        <v>-0.85250295070673232</v>
      </c>
      <c r="CG433" s="696">
        <f t="shared" si="472"/>
        <v>-0.83454033985575204</v>
      </c>
      <c r="CH433" s="696">
        <f t="shared" si="472"/>
        <v>-0.79893460887275936</v>
      </c>
      <c r="CI433" s="696">
        <f t="shared" si="472"/>
        <v>-0.76364894232218639</v>
      </c>
      <c r="CJ433" s="696">
        <f t="shared" si="472"/>
        <v>-0.40865729482365332</v>
      </c>
      <c r="CK433" s="696">
        <f t="shared" si="472"/>
        <v>0.14366600843855615</v>
      </c>
      <c r="CL433" s="696">
        <f t="shared" si="472"/>
        <v>0.13866980504480342</v>
      </c>
      <c r="CM433" s="696">
        <f t="shared" si="472"/>
        <v>0.14788899095441188</v>
      </c>
      <c r="CN433" s="696">
        <f t="shared" si="472"/>
        <v>0.15757806135977859</v>
      </c>
      <c r="CO433" s="696">
        <f t="shared" si="472"/>
        <v>0.1687598315450014</v>
      </c>
      <c r="CP433" s="696">
        <f t="shared" si="472"/>
        <v>0.10279496994278858</v>
      </c>
      <c r="CQ433" s="696">
        <f t="shared" si="472"/>
        <v>0.11251537084868879</v>
      </c>
      <c r="CR433" s="696">
        <f t="shared" si="472"/>
        <v>0.12597297825762865</v>
      </c>
      <c r="CS433" s="696">
        <f t="shared" si="472"/>
        <v>0.15396102502610187</v>
      </c>
      <c r="CT433" s="696">
        <f t="shared" si="472"/>
        <v>0.18277098756971366</v>
      </c>
      <c r="CU433" s="696">
        <f t="shared" si="472"/>
        <v>0.21203643961513841</v>
      </c>
      <c r="CV433" s="696">
        <f t="shared" si="472"/>
        <v>0.24131833696523231</v>
      </c>
      <c r="CW433" s="696">
        <f t="shared" ref="CW433:DA433" si="473">CW406+CW422+CW423</f>
        <v>0.27045656856673794</v>
      </c>
      <c r="CX433" s="696">
        <f t="shared" si="473"/>
        <v>0.29942467057794708</v>
      </c>
      <c r="CY433" s="696">
        <f t="shared" si="473"/>
        <v>0.32810200426609804</v>
      </c>
      <c r="CZ433" s="696">
        <f t="shared" si="473"/>
        <v>0.35634848456289525</v>
      </c>
      <c r="DA433" s="696">
        <f t="shared" si="473"/>
        <v>0.35346400417390456</v>
      </c>
      <c r="DC433" s="14">
        <f>SUM(V433:AG433)</f>
        <v>0</v>
      </c>
      <c r="DD433" s="14">
        <f>SUM(AH433:AS433)</f>
        <v>-1.671653949742292</v>
      </c>
      <c r="DE433" s="14">
        <f>SUM(AT433:BE433)</f>
        <v>-19.754014269726028</v>
      </c>
      <c r="DF433" s="14">
        <f>SUM(BF433:BQ433)</f>
        <v>-17.653689450733751</v>
      </c>
      <c r="DG433" s="14">
        <f t="shared" si="446"/>
        <v>-18.941134648385219</v>
      </c>
      <c r="DH433" s="14">
        <f t="shared" si="443"/>
        <v>-5.1566879630351998</v>
      </c>
      <c r="DI433" s="14">
        <f t="shared" si="447"/>
        <v>2.7391658403728751</v>
      </c>
    </row>
    <row r="434" spans="4:113" outlineLevel="2">
      <c r="E434" s="229"/>
      <c r="F434" s="230" t="s">
        <v>423</v>
      </c>
      <c r="I434" s="609" t="s">
        <v>736</v>
      </c>
      <c r="O434" s="696"/>
      <c r="P434" s="696"/>
      <c r="Q434" s="696"/>
      <c r="R434" s="696"/>
      <c r="S434" s="696"/>
      <c r="T434" s="696"/>
      <c r="U434" s="696"/>
      <c r="V434" s="696"/>
      <c r="W434" s="696"/>
      <c r="X434" s="696"/>
      <c r="Y434" s="696"/>
      <c r="Z434" s="696"/>
      <c r="AA434" s="696"/>
      <c r="AB434" s="696"/>
      <c r="AC434" s="696"/>
      <c r="AD434" s="696"/>
      <c r="AE434" s="696"/>
      <c r="AF434" s="696"/>
      <c r="AG434" s="696"/>
      <c r="AH434" s="696"/>
      <c r="AI434" s="696"/>
      <c r="AJ434" s="696"/>
      <c r="AK434" s="722">
        <f t="shared" ref="AK434:CV434" si="474">AK482+AK530+AK582</f>
        <v>0</v>
      </c>
      <c r="AL434" s="722">
        <f t="shared" si="474"/>
        <v>0</v>
      </c>
      <c r="AM434" s="722">
        <f t="shared" si="474"/>
        <v>0</v>
      </c>
      <c r="AN434" s="722">
        <f t="shared" si="474"/>
        <v>0</v>
      </c>
      <c r="AO434" s="722">
        <f t="shared" si="474"/>
        <v>0</v>
      </c>
      <c r="AP434" s="722">
        <f t="shared" si="474"/>
        <v>0.11482991342626943</v>
      </c>
      <c r="AQ434" s="722">
        <f t="shared" si="474"/>
        <v>0.47897862677859082</v>
      </c>
      <c r="AR434" s="722">
        <f t="shared" si="474"/>
        <v>1.2440742073730742</v>
      </c>
      <c r="AS434" s="722">
        <f t="shared" si="474"/>
        <v>2.3633725016407618</v>
      </c>
      <c r="AT434" s="722">
        <f t="shared" si="474"/>
        <v>3.3584541755831578</v>
      </c>
      <c r="AU434" s="722">
        <f t="shared" si="474"/>
        <v>4.4475469171680242</v>
      </c>
      <c r="AV434" s="722">
        <f t="shared" si="474"/>
        <v>4.9631408147313003</v>
      </c>
      <c r="AW434" s="722">
        <f t="shared" si="474"/>
        <v>5.0758170035686669</v>
      </c>
      <c r="AX434" s="722">
        <f t="shared" si="474"/>
        <v>5.6757850471046272</v>
      </c>
      <c r="AY434" s="722">
        <f t="shared" si="474"/>
        <v>6.261706487791634</v>
      </c>
      <c r="AZ434" s="722">
        <f t="shared" si="474"/>
        <v>7.2672981183801113</v>
      </c>
      <c r="BA434" s="722">
        <f t="shared" si="474"/>
        <v>8.4361766357385939</v>
      </c>
      <c r="BB434" s="722">
        <f t="shared" si="474"/>
        <v>9.2815441851011844</v>
      </c>
      <c r="BC434" s="722">
        <f t="shared" si="474"/>
        <v>9.8472137154473369</v>
      </c>
      <c r="BD434" s="722">
        <f t="shared" si="474"/>
        <v>10.349113670884019</v>
      </c>
      <c r="BE434" s="722">
        <f t="shared" si="474"/>
        <v>10.874279814834116</v>
      </c>
      <c r="BF434" s="722">
        <f t="shared" si="474"/>
        <v>11.099727811454915</v>
      </c>
      <c r="BG434" s="722">
        <f t="shared" si="474"/>
        <v>11.264084412866476</v>
      </c>
      <c r="BH434" s="722">
        <f t="shared" si="474"/>
        <v>11.266413519398158</v>
      </c>
      <c r="BI434" s="722">
        <f t="shared" si="474"/>
        <v>10.900944145028891</v>
      </c>
      <c r="BJ434" s="722">
        <f t="shared" si="474"/>
        <v>11.199162812682122</v>
      </c>
      <c r="BK434" s="722">
        <f t="shared" si="474"/>
        <v>11.922816222632244</v>
      </c>
      <c r="BL434" s="722">
        <f t="shared" si="474"/>
        <v>12.783149221990579</v>
      </c>
      <c r="BM434" s="722">
        <f t="shared" si="474"/>
        <v>14.176781105694463</v>
      </c>
      <c r="BN434" s="722">
        <f t="shared" si="474"/>
        <v>15.04618408000192</v>
      </c>
      <c r="BO434" s="722">
        <f t="shared" si="474"/>
        <v>15.746271234021499</v>
      </c>
      <c r="BP434" s="722">
        <f t="shared" si="474"/>
        <v>16.504714886504171</v>
      </c>
      <c r="BQ434" s="722">
        <f t="shared" si="474"/>
        <v>17.202710713645502</v>
      </c>
      <c r="BR434" s="722">
        <f t="shared" si="474"/>
        <v>18.045066443060044</v>
      </c>
      <c r="BS434" s="722">
        <f t="shared" si="474"/>
        <v>18.868164098484428</v>
      </c>
      <c r="BT434" s="722">
        <f t="shared" si="474"/>
        <v>19.680602622126553</v>
      </c>
      <c r="BU434" s="722">
        <f t="shared" si="474"/>
        <v>20.493140408865706</v>
      </c>
      <c r="BV434" s="722">
        <f t="shared" si="474"/>
        <v>21.300939292430183</v>
      </c>
      <c r="BW434" s="722">
        <f t="shared" si="474"/>
        <v>22.105705709592435</v>
      </c>
      <c r="BX434" s="722">
        <f t="shared" si="474"/>
        <v>22.909681609143014</v>
      </c>
      <c r="BY434" s="722">
        <f t="shared" si="474"/>
        <v>23.719795680971366</v>
      </c>
      <c r="BZ434" s="722">
        <f t="shared" si="474"/>
        <v>24.54147658443468</v>
      </c>
      <c r="CA434" s="722">
        <f t="shared" si="474"/>
        <v>24.982352887893143</v>
      </c>
      <c r="CB434" s="722">
        <f t="shared" si="474"/>
        <v>25.429915966478422</v>
      </c>
      <c r="CC434" s="722">
        <f t="shared" si="474"/>
        <v>25.880999133355207</v>
      </c>
      <c r="CD434" s="722">
        <f t="shared" si="474"/>
        <v>26.329422057395721</v>
      </c>
      <c r="CE434" s="722">
        <f t="shared" si="474"/>
        <v>27.174312252051351</v>
      </c>
      <c r="CF434" s="722">
        <f t="shared" si="474"/>
        <v>28.023927709599413</v>
      </c>
      <c r="CG434" s="722">
        <f t="shared" si="474"/>
        <v>28.364823917411833</v>
      </c>
      <c r="CH434" s="722">
        <f t="shared" si="474"/>
        <v>28.706203809213395</v>
      </c>
      <c r="CI434" s="722">
        <f t="shared" si="474"/>
        <v>29.035591311697704</v>
      </c>
      <c r="CJ434" s="722">
        <f t="shared" si="474"/>
        <v>29.350143534977793</v>
      </c>
      <c r="CK434" s="722">
        <f t="shared" si="474"/>
        <v>30.166228014072075</v>
      </c>
      <c r="CL434" s="722">
        <f t="shared" si="474"/>
        <v>30.970735520012965</v>
      </c>
      <c r="CM434" s="722">
        <f t="shared" si="474"/>
        <v>31.774930288861764</v>
      </c>
      <c r="CN434" s="722">
        <f t="shared" si="474"/>
        <v>32.579657933654943</v>
      </c>
      <c r="CO434" s="722">
        <f t="shared" si="474"/>
        <v>33.374712088710957</v>
      </c>
      <c r="CP434" s="722">
        <f t="shared" si="474"/>
        <v>34.16036653919263</v>
      </c>
      <c r="CQ434" s="722">
        <f t="shared" si="474"/>
        <v>34.936593536047923</v>
      </c>
      <c r="CR434" s="722">
        <f t="shared" si="474"/>
        <v>35.703237166560868</v>
      </c>
      <c r="CS434" s="722">
        <f t="shared" si="474"/>
        <v>36.471028360469994</v>
      </c>
      <c r="CT434" s="722">
        <f t="shared" si="474"/>
        <v>37.239610199054169</v>
      </c>
      <c r="CU434" s="722">
        <f t="shared" si="474"/>
        <v>38.008932094683672</v>
      </c>
      <c r="CV434" s="722">
        <f t="shared" si="474"/>
        <v>38.778979182815824</v>
      </c>
      <c r="CW434" s="722">
        <f t="shared" ref="CW434:DA434" si="475">CW482+CW530+CW582</f>
        <v>39.549533515721031</v>
      </c>
      <c r="CX434" s="722">
        <f t="shared" si="475"/>
        <v>40.320389037540103</v>
      </c>
      <c r="CY434" s="722">
        <f t="shared" si="475"/>
        <v>41.091345375977163</v>
      </c>
      <c r="CZ434" s="722">
        <f t="shared" si="475"/>
        <v>41.862202023081799</v>
      </c>
      <c r="DA434" s="722">
        <f t="shared" si="475"/>
        <v>42.630935203702364</v>
      </c>
      <c r="DC434" s="11">
        <f t="shared" ref="DC434:DC439" si="476">AG434</f>
        <v>0</v>
      </c>
      <c r="DD434" s="11">
        <f t="shared" ref="DD434:DD439" si="477">AS434</f>
        <v>2.3633725016407618</v>
      </c>
      <c r="DE434" s="11">
        <f t="shared" ref="DE434:DE439" si="478">BE434</f>
        <v>10.874279814834116</v>
      </c>
      <c r="DF434" s="11">
        <f t="shared" ref="DF434:DF439" si="479">BQ434</f>
        <v>17.202710713645502</v>
      </c>
      <c r="DG434" s="11">
        <f t="shared" ref="DG434:DG439" si="480">CC434</f>
        <v>25.880999133355207</v>
      </c>
      <c r="DH434" s="11">
        <f t="shared" ref="DH434:DH439" si="481">CO434</f>
        <v>33.374712088710957</v>
      </c>
      <c r="DI434" s="11">
        <f t="shared" si="447"/>
        <v>460.75315223484756</v>
      </c>
    </row>
    <row r="435" spans="4:113" outlineLevel="2">
      <c r="E435" s="229"/>
      <c r="F435" s="230" t="s">
        <v>810</v>
      </c>
      <c r="I435" s="609" t="s">
        <v>736</v>
      </c>
      <c r="O435" s="696"/>
      <c r="P435" s="696"/>
      <c r="Q435" s="696"/>
      <c r="R435" s="696"/>
      <c r="S435" s="696"/>
      <c r="T435" s="696"/>
      <c r="U435" s="696"/>
      <c r="V435" s="696"/>
      <c r="W435" s="696"/>
      <c r="X435" s="696"/>
      <c r="Y435" s="696"/>
      <c r="Z435" s="696"/>
      <c r="AA435" s="696"/>
      <c r="AB435" s="696"/>
      <c r="AC435" s="696"/>
      <c r="AD435" s="696"/>
      <c r="AE435" s="696"/>
      <c r="AF435" s="696"/>
      <c r="AG435" s="696"/>
      <c r="AH435" s="696"/>
      <c r="AI435" s="696"/>
      <c r="AJ435" s="696"/>
      <c r="AK435" s="722">
        <f t="shared" ref="AK435:CV435" si="482">AK483+AK531+AK584</f>
        <v>0</v>
      </c>
      <c r="AL435" s="722">
        <f t="shared" si="482"/>
        <v>0</v>
      </c>
      <c r="AM435" s="722">
        <f t="shared" si="482"/>
        <v>0.13519051669499998</v>
      </c>
      <c r="AN435" s="722">
        <f t="shared" si="482"/>
        <v>0.55793996993533512</v>
      </c>
      <c r="AO435" s="722">
        <f t="shared" si="482"/>
        <v>1.4149196762360297</v>
      </c>
      <c r="AP435" s="722">
        <f t="shared" si="482"/>
        <v>2.514208359819861</v>
      </c>
      <c r="AQ435" s="722">
        <f t="shared" si="482"/>
        <v>3.6361536027238199</v>
      </c>
      <c r="AR435" s="722">
        <f t="shared" si="482"/>
        <v>5.112851664375154</v>
      </c>
      <c r="AS435" s="722">
        <f t="shared" si="482"/>
        <v>6.3479402723084011</v>
      </c>
      <c r="AT435" s="722">
        <f t="shared" si="482"/>
        <v>7.3807908376845832</v>
      </c>
      <c r="AU435" s="722">
        <f t="shared" si="482"/>
        <v>8.7447238112453878</v>
      </c>
      <c r="AV435" s="722">
        <f t="shared" si="482"/>
        <v>10.048222415196095</v>
      </c>
      <c r="AW435" s="722">
        <f t="shared" si="482"/>
        <v>11.273750572934993</v>
      </c>
      <c r="AX435" s="722">
        <f t="shared" si="482"/>
        <v>12.693781039792228</v>
      </c>
      <c r="AY435" s="722">
        <f t="shared" si="482"/>
        <v>13.798580767783109</v>
      </c>
      <c r="AZ435" s="722">
        <f t="shared" si="482"/>
        <v>15.228432622704581</v>
      </c>
      <c r="BA435" s="722">
        <f t="shared" si="482"/>
        <v>16.784041703561581</v>
      </c>
      <c r="BB435" s="722">
        <f t="shared" si="482"/>
        <v>18.016629163357781</v>
      </c>
      <c r="BC435" s="722">
        <f t="shared" si="482"/>
        <v>18.964847052579888</v>
      </c>
      <c r="BD435" s="722">
        <f t="shared" si="482"/>
        <v>19.709536469730079</v>
      </c>
      <c r="BE435" s="722">
        <f t="shared" si="482"/>
        <v>20.418822749804239</v>
      </c>
      <c r="BF435" s="722">
        <f t="shared" si="482"/>
        <v>20.509370447412774</v>
      </c>
      <c r="BG435" s="722">
        <f t="shared" si="482"/>
        <v>21.210773046072738</v>
      </c>
      <c r="BH435" s="722">
        <f t="shared" si="482"/>
        <v>22.137257169344601</v>
      </c>
      <c r="BI435" s="722">
        <f t="shared" si="482"/>
        <v>23.03631658782469</v>
      </c>
      <c r="BJ435" s="722">
        <f t="shared" si="482"/>
        <v>24.277171901396532</v>
      </c>
      <c r="BK435" s="722">
        <f t="shared" si="482"/>
        <v>25.533781432144522</v>
      </c>
      <c r="BL435" s="722">
        <f t="shared" si="482"/>
        <v>27.042217701470403</v>
      </c>
      <c r="BM435" s="722">
        <f t="shared" si="482"/>
        <v>29.037890690745638</v>
      </c>
      <c r="BN435" s="722">
        <f t="shared" si="482"/>
        <v>30.652584156571013</v>
      </c>
      <c r="BO435" s="722">
        <f t="shared" si="482"/>
        <v>32.077462642553357</v>
      </c>
      <c r="BP435" s="722">
        <f t="shared" si="482"/>
        <v>33.552792375920966</v>
      </c>
      <c r="BQ435" s="722">
        <f t="shared" si="482"/>
        <v>34.966556322781067</v>
      </c>
      <c r="BR435" s="722">
        <f t="shared" si="482"/>
        <v>36.761093722328873</v>
      </c>
      <c r="BS435" s="722">
        <f t="shared" si="482"/>
        <v>38.29024576706329</v>
      </c>
      <c r="BT435" s="722">
        <f t="shared" si="482"/>
        <v>39.809896344300135</v>
      </c>
      <c r="BU435" s="722">
        <f t="shared" si="482"/>
        <v>41.333319728007943</v>
      </c>
      <c r="BV435" s="722">
        <f t="shared" si="482"/>
        <v>42.861789236414381</v>
      </c>
      <c r="BW435" s="722">
        <f t="shared" si="482"/>
        <v>44.397425870622179</v>
      </c>
      <c r="BX435" s="722">
        <f t="shared" si="482"/>
        <v>45.385549881430023</v>
      </c>
      <c r="BY435" s="722">
        <f t="shared" si="482"/>
        <v>46.494404298058868</v>
      </c>
      <c r="BZ435" s="722">
        <f t="shared" si="482"/>
        <v>47.650365744633518</v>
      </c>
      <c r="CA435" s="722">
        <f t="shared" si="482"/>
        <v>48.837978134395264</v>
      </c>
      <c r="CB435" s="722">
        <f t="shared" si="482"/>
        <v>50.035205928988411</v>
      </c>
      <c r="CC435" s="722">
        <f t="shared" si="482"/>
        <v>51.241620156269065</v>
      </c>
      <c r="CD435" s="722">
        <f t="shared" si="482"/>
        <v>51.974264322639712</v>
      </c>
      <c r="CE435" s="722">
        <f t="shared" si="482"/>
        <v>52.991325251579198</v>
      </c>
      <c r="CF435" s="722">
        <f t="shared" si="482"/>
        <v>54.040427927067995</v>
      </c>
      <c r="CG435" s="722">
        <f t="shared" si="482"/>
        <v>55.105136646539634</v>
      </c>
      <c r="CH435" s="722">
        <f t="shared" si="482"/>
        <v>56.157602725008019</v>
      </c>
      <c r="CI435" s="722">
        <f t="shared" si="482"/>
        <v>57.197408867977643</v>
      </c>
      <c r="CJ435" s="722">
        <f t="shared" si="482"/>
        <v>58.223896956535391</v>
      </c>
      <c r="CK435" s="722">
        <f t="shared" si="482"/>
        <v>59.751688645274832</v>
      </c>
      <c r="CL435" s="722">
        <f t="shared" si="482"/>
        <v>61.25347672701831</v>
      </c>
      <c r="CM435" s="722">
        <f t="shared" si="482"/>
        <v>62.743989032234602</v>
      </c>
      <c r="CN435" s="722">
        <f t="shared" si="482"/>
        <v>64.224896720738698</v>
      </c>
      <c r="CO435" s="722">
        <f t="shared" si="482"/>
        <v>65.697211036857311</v>
      </c>
      <c r="CP435" s="722">
        <f t="shared" si="482"/>
        <v>67.38505722344091</v>
      </c>
      <c r="CQ435" s="722">
        <f t="shared" si="482"/>
        <v>68.837003398045837</v>
      </c>
      <c r="CR435" s="722">
        <f t="shared" si="482"/>
        <v>70.280079416965378</v>
      </c>
      <c r="CS435" s="722">
        <f t="shared" si="482"/>
        <v>71.72499621857385</v>
      </c>
      <c r="CT435" s="722">
        <f t="shared" si="482"/>
        <v>73.171076245848766</v>
      </c>
      <c r="CU435" s="722">
        <f t="shared" si="482"/>
        <v>74.618032413925633</v>
      </c>
      <c r="CV435" s="722">
        <f t="shared" si="482"/>
        <v>76.065636804167838</v>
      </c>
      <c r="CW435" s="722">
        <f t="shared" ref="CW435:DA435" si="483">CW483+CW531+CW584</f>
        <v>77.513698827990936</v>
      </c>
      <c r="CX435" s="722">
        <f t="shared" si="483"/>
        <v>78.962029511197215</v>
      </c>
      <c r="CY435" s="722">
        <f t="shared" si="483"/>
        <v>80.410441906765186</v>
      </c>
      <c r="CZ435" s="722">
        <f t="shared" si="483"/>
        <v>81.858749753522659</v>
      </c>
      <c r="DA435" s="722">
        <f t="shared" si="483"/>
        <v>83.307026699324012</v>
      </c>
      <c r="DC435" s="11">
        <f t="shared" si="476"/>
        <v>0</v>
      </c>
      <c r="DD435" s="11">
        <f t="shared" si="477"/>
        <v>6.3479402723084011</v>
      </c>
      <c r="DE435" s="11">
        <f t="shared" si="478"/>
        <v>20.418822749804239</v>
      </c>
      <c r="DF435" s="11">
        <f t="shared" si="479"/>
        <v>34.966556322781067</v>
      </c>
      <c r="DG435" s="11">
        <f t="shared" si="480"/>
        <v>51.241620156269065</v>
      </c>
      <c r="DH435" s="11">
        <f t="shared" si="481"/>
        <v>65.697211036857311</v>
      </c>
      <c r="DI435" s="11">
        <f t="shared" si="447"/>
        <v>904.13382841976818</v>
      </c>
    </row>
    <row r="436" spans="4:113" outlineLevel="2">
      <c r="E436" s="230" t="s">
        <v>811</v>
      </c>
      <c r="F436" s="229"/>
      <c r="I436" s="609" t="s">
        <v>812</v>
      </c>
      <c r="O436" s="696"/>
      <c r="P436" s="696"/>
      <c r="Q436" s="696"/>
      <c r="R436" s="696"/>
      <c r="S436" s="696"/>
      <c r="T436" s="696"/>
      <c r="U436" s="696"/>
      <c r="V436" s="696"/>
      <c r="W436" s="696"/>
      <c r="X436" s="696"/>
      <c r="Y436" s="696"/>
      <c r="Z436" s="696"/>
      <c r="AA436" s="696"/>
      <c r="AB436" s="696"/>
      <c r="AC436" s="696"/>
      <c r="AD436" s="696"/>
      <c r="AE436" s="696"/>
      <c r="AF436" s="696"/>
      <c r="AG436" s="696"/>
      <c r="AH436" s="696"/>
      <c r="AI436" s="696"/>
      <c r="AJ436" s="696"/>
      <c r="AK436" s="697">
        <f t="shared" ref="AK436:CV436" si="484">AK434/AK403</f>
        <v>0</v>
      </c>
      <c r="AL436" s="697">
        <f t="shared" si="484"/>
        <v>0</v>
      </c>
      <c r="AM436" s="697">
        <f t="shared" si="484"/>
        <v>0</v>
      </c>
      <c r="AN436" s="697">
        <f t="shared" si="484"/>
        <v>0</v>
      </c>
      <c r="AO436" s="697">
        <f t="shared" si="484"/>
        <v>0</v>
      </c>
      <c r="AP436" s="697">
        <f t="shared" si="484"/>
        <v>1.0237001442840107E-2</v>
      </c>
      <c r="AQ436" s="697">
        <f t="shared" si="484"/>
        <v>3.2453745187122796E-2</v>
      </c>
      <c r="AR436" s="697">
        <f t="shared" si="484"/>
        <v>7.6778480427758686E-2</v>
      </c>
      <c r="AS436" s="697">
        <f t="shared" si="484"/>
        <v>0.10841126883145449</v>
      </c>
      <c r="AT436" s="697">
        <f t="shared" si="484"/>
        <v>0.10895321924583663</v>
      </c>
      <c r="AU436" s="697">
        <f t="shared" si="484"/>
        <v>0.11404350307100931</v>
      </c>
      <c r="AV436" s="697">
        <f t="shared" si="484"/>
        <v>0.10645571139743791</v>
      </c>
      <c r="AW436" s="697">
        <f t="shared" si="484"/>
        <v>9.3807197249240068E-2</v>
      </c>
      <c r="AX436" s="697">
        <f t="shared" si="484"/>
        <v>9.1683900497710094E-2</v>
      </c>
      <c r="AY436" s="697">
        <f t="shared" si="484"/>
        <v>9.004170656771926E-2</v>
      </c>
      <c r="AZ436" s="697">
        <f t="shared" si="484"/>
        <v>9.3464712737941061E-2</v>
      </c>
      <c r="BA436" s="697">
        <f t="shared" si="484"/>
        <v>9.7787937227864136E-2</v>
      </c>
      <c r="BB436" s="697">
        <f t="shared" si="484"/>
        <v>9.8268160926554812E-2</v>
      </c>
      <c r="BC436" s="697">
        <f t="shared" si="484"/>
        <v>9.5882017639601774E-2</v>
      </c>
      <c r="BD436" s="697">
        <f t="shared" si="484"/>
        <v>9.307314349795269E-2</v>
      </c>
      <c r="BE436" s="697">
        <f t="shared" si="484"/>
        <v>9.0595633637654951E-2</v>
      </c>
      <c r="BF436" s="697">
        <f t="shared" si="484"/>
        <v>7.5955568453551725E-2</v>
      </c>
      <c r="BG436" s="697">
        <f t="shared" si="484"/>
        <v>6.821091960434808E-2</v>
      </c>
      <c r="BH436" s="697">
        <f t="shared" si="484"/>
        <v>6.2381110238518972E-2</v>
      </c>
      <c r="BI436" s="697">
        <f t="shared" si="484"/>
        <v>5.6042841730270916E-2</v>
      </c>
      <c r="BJ436" s="697">
        <f t="shared" si="484"/>
        <v>5.3893505174673784E-2</v>
      </c>
      <c r="BK436" s="697">
        <f t="shared" si="484"/>
        <v>5.3994402604370807E-2</v>
      </c>
      <c r="BL436" s="697">
        <f t="shared" si="484"/>
        <v>5.4701080538637079E-2</v>
      </c>
      <c r="BM436" s="697">
        <f t="shared" si="484"/>
        <v>5.7543186067439696E-2</v>
      </c>
      <c r="BN436" s="697">
        <f t="shared" si="484"/>
        <v>5.8160360200195049E-2</v>
      </c>
      <c r="BO436" s="697">
        <f t="shared" si="484"/>
        <v>5.8086347329523391E-2</v>
      </c>
      <c r="BP436" s="697">
        <f t="shared" si="484"/>
        <v>5.8236793090086829E-2</v>
      </c>
      <c r="BQ436" s="697">
        <f t="shared" si="484"/>
        <v>5.8132417706164001E-2</v>
      </c>
      <c r="BR436" s="697">
        <f t="shared" si="484"/>
        <v>5.8508397694656274E-2</v>
      </c>
      <c r="BS436" s="697">
        <f t="shared" si="484"/>
        <v>5.8787633015875938E-2</v>
      </c>
      <c r="BT436" s="697">
        <f t="shared" si="484"/>
        <v>5.8998473365436351E-2</v>
      </c>
      <c r="BU436" s="697">
        <f t="shared" si="484"/>
        <v>5.9178397983925685E-2</v>
      </c>
      <c r="BV436" s="697">
        <f t="shared" si="484"/>
        <v>5.9316769769944051E-2</v>
      </c>
      <c r="BW436" s="697">
        <f t="shared" si="484"/>
        <v>5.9421101778352685E-2</v>
      </c>
      <c r="BX436" s="697">
        <f t="shared" si="484"/>
        <v>5.9501671332987463E-2</v>
      </c>
      <c r="BY436" s="697">
        <f t="shared" si="484"/>
        <v>5.9576972245790734E-2</v>
      </c>
      <c r="BZ436" s="697">
        <f t="shared" si="484"/>
        <v>5.9661247536141417E-2</v>
      </c>
      <c r="CA436" s="697">
        <f t="shared" si="484"/>
        <v>5.8830203058871509E-2</v>
      </c>
      <c r="CB436" s="697">
        <f t="shared" si="484"/>
        <v>5.805265555114407E-2</v>
      </c>
      <c r="CC436" s="697">
        <f t="shared" si="484"/>
        <v>5.7317469199966296E-2</v>
      </c>
      <c r="CD436" s="697">
        <f t="shared" si="484"/>
        <v>5.6572820160138385E-2</v>
      </c>
      <c r="CE436" s="697">
        <f t="shared" si="484"/>
        <v>5.6714555674208571E-2</v>
      </c>
      <c r="CF436" s="697">
        <f t="shared" si="484"/>
        <v>5.6866609540749555E-2</v>
      </c>
      <c r="CG436" s="697">
        <f t="shared" si="484"/>
        <v>5.6010600295723204E-2</v>
      </c>
      <c r="CH436" s="697">
        <f t="shared" si="484"/>
        <v>5.5202793062781211E-2</v>
      </c>
      <c r="CI436" s="697">
        <f t="shared" si="484"/>
        <v>5.4414989358643903E-2</v>
      </c>
      <c r="CJ436" s="697">
        <f t="shared" si="484"/>
        <v>5.3598530873920837E-2</v>
      </c>
      <c r="CK436" s="697">
        <f t="shared" si="484"/>
        <v>5.3735001986204033E-2</v>
      </c>
      <c r="CL436" s="697">
        <f t="shared" si="484"/>
        <v>5.3853891848765441E-2</v>
      </c>
      <c r="CM436" s="697">
        <f t="shared" si="484"/>
        <v>5.3971404754445396E-2</v>
      </c>
      <c r="CN436" s="697">
        <f t="shared" si="484"/>
        <v>5.4086896078342883E-2</v>
      </c>
      <c r="CO436" s="697">
        <f t="shared" si="484"/>
        <v>5.4182853881738095E-2</v>
      </c>
      <c r="CP436" s="697">
        <f t="shared" si="484"/>
        <v>5.4260416667145046E-2</v>
      </c>
      <c r="CQ436" s="697">
        <f t="shared" si="484"/>
        <v>5.432116303981583E-2</v>
      </c>
      <c r="CR436" s="697">
        <f t="shared" si="484"/>
        <v>5.4364323204643752E-2</v>
      </c>
      <c r="CS436" s="697">
        <f t="shared" si="484"/>
        <v>5.4407064090284257E-2</v>
      </c>
      <c r="CT436" s="697">
        <f t="shared" si="484"/>
        <v>5.44489902700344E-2</v>
      </c>
      <c r="CU436" s="697">
        <f t="shared" si="484"/>
        <v>5.4490167396794707E-2</v>
      </c>
      <c r="CV436" s="697">
        <f t="shared" si="484"/>
        <v>5.4530683512289561E-2</v>
      </c>
      <c r="CW436" s="697">
        <f t="shared" ref="CW436:DA436" si="485">CW434/CW403</f>
        <v>5.4570320579330568E-2</v>
      </c>
      <c r="CX436" s="697">
        <f t="shared" si="485"/>
        <v>5.4608864068239456E-2</v>
      </c>
      <c r="CY436" s="697">
        <f t="shared" si="485"/>
        <v>5.4646158352590915E-2</v>
      </c>
      <c r="CZ436" s="697">
        <f t="shared" si="485"/>
        <v>5.4682013642611438E-2</v>
      </c>
      <c r="DA436" s="697">
        <f t="shared" si="485"/>
        <v>5.4439759844383824E-2</v>
      </c>
      <c r="DC436" s="729">
        <f t="shared" si="476"/>
        <v>0</v>
      </c>
      <c r="DD436" s="729">
        <f t="shared" si="477"/>
        <v>0.10841126883145449</v>
      </c>
      <c r="DE436" s="729">
        <f t="shared" si="478"/>
        <v>9.0595633637654951E-2</v>
      </c>
      <c r="DF436" s="729">
        <f t="shared" si="479"/>
        <v>5.8132417706164001E-2</v>
      </c>
      <c r="DG436" s="729">
        <f t="shared" si="480"/>
        <v>5.7317469199966296E-2</v>
      </c>
      <c r="DH436" s="729">
        <f t="shared" si="481"/>
        <v>5.4182853881738095E-2</v>
      </c>
      <c r="DI436" s="729">
        <f>DA436</f>
        <v>5.4439759844383824E-2</v>
      </c>
    </row>
    <row r="437" spans="4:113" outlineLevel="2">
      <c r="E437" s="230" t="s">
        <v>813</v>
      </c>
      <c r="F437" s="229"/>
      <c r="I437" s="609" t="s">
        <v>812</v>
      </c>
      <c r="O437" s="696"/>
      <c r="P437" s="696"/>
      <c r="Q437" s="696"/>
      <c r="R437" s="696"/>
      <c r="S437" s="696"/>
      <c r="T437" s="696"/>
      <c r="U437" s="696"/>
      <c r="V437" s="696"/>
      <c r="W437" s="696"/>
      <c r="X437" s="696"/>
      <c r="Y437" s="696"/>
      <c r="Z437" s="697"/>
      <c r="AA437" s="697"/>
      <c r="AB437" s="697"/>
      <c r="AC437" s="697"/>
      <c r="AD437" s="697"/>
      <c r="AE437" s="697"/>
      <c r="AF437" s="697"/>
      <c r="AG437" s="697"/>
      <c r="AH437" s="697"/>
      <c r="AI437" s="697"/>
      <c r="AJ437" s="697"/>
      <c r="AK437" s="697">
        <f t="shared" ref="AK437:CV437" si="486">AK435/AK403</f>
        <v>0</v>
      </c>
      <c r="AL437" s="697">
        <f t="shared" si="486"/>
        <v>0</v>
      </c>
      <c r="AM437" s="697">
        <f t="shared" si="486"/>
        <v>4.8606066779549081E-2</v>
      </c>
      <c r="AN437" s="697">
        <f t="shared" si="486"/>
        <v>9.9372346588260815E-2</v>
      </c>
      <c r="AO437" s="697">
        <f t="shared" si="486"/>
        <v>0.16352220382983226</v>
      </c>
      <c r="AP437" s="697">
        <f t="shared" si="486"/>
        <v>0.22413980677258399</v>
      </c>
      <c r="AQ437" s="697">
        <f t="shared" si="486"/>
        <v>0.24637174998329592</v>
      </c>
      <c r="AR437" s="697">
        <f t="shared" si="486"/>
        <v>0.31554145172108755</v>
      </c>
      <c r="AS437" s="697">
        <f t="shared" si="486"/>
        <v>0.29118907785779458</v>
      </c>
      <c r="AT437" s="697">
        <f t="shared" si="486"/>
        <v>0.23944376796693292</v>
      </c>
      <c r="AU437" s="697">
        <f t="shared" si="486"/>
        <v>0.22423123474499718</v>
      </c>
      <c r="AV437" s="697">
        <f t="shared" si="486"/>
        <v>0.21552696274794172</v>
      </c>
      <c r="AW437" s="697">
        <f t="shared" si="486"/>
        <v>0.20835245695234988</v>
      </c>
      <c r="AX437" s="697">
        <f t="shared" si="486"/>
        <v>0.20504923074663009</v>
      </c>
      <c r="AY437" s="697">
        <f t="shared" si="486"/>
        <v>0.19841999348996714</v>
      </c>
      <c r="AZ437" s="697">
        <f t="shared" si="486"/>
        <v>0.19585285443710873</v>
      </c>
      <c r="BA437" s="697">
        <f t="shared" si="486"/>
        <v>0.19455221096067515</v>
      </c>
      <c r="BB437" s="697">
        <f t="shared" si="486"/>
        <v>0.19075069607715303</v>
      </c>
      <c r="BC437" s="697">
        <f t="shared" si="486"/>
        <v>0.18466013353354027</v>
      </c>
      <c r="BD437" s="697">
        <f t="shared" si="486"/>
        <v>0.17725464947653077</v>
      </c>
      <c r="BE437" s="697">
        <f t="shared" si="486"/>
        <v>0.17011298372421899</v>
      </c>
      <c r="BF437" s="697">
        <f t="shared" si="486"/>
        <v>0.14034586409858282</v>
      </c>
      <c r="BG437" s="697">
        <f t="shared" si="486"/>
        <v>0.12844420211722815</v>
      </c>
      <c r="BH437" s="697">
        <f t="shared" si="486"/>
        <v>0.12257198597243561</v>
      </c>
      <c r="BI437" s="697">
        <f t="shared" si="486"/>
        <v>0.1184320025315066</v>
      </c>
      <c r="BJ437" s="697">
        <f t="shared" si="486"/>
        <v>0.11682854436339878</v>
      </c>
      <c r="BK437" s="697">
        <f t="shared" si="486"/>
        <v>0.11563386107068943</v>
      </c>
      <c r="BL437" s="697">
        <f t="shared" si="486"/>
        <v>0.11571784876662375</v>
      </c>
      <c r="BM437" s="697">
        <f t="shared" si="486"/>
        <v>0.11786404364756529</v>
      </c>
      <c r="BN437" s="697">
        <f t="shared" si="486"/>
        <v>0.11848621059890253</v>
      </c>
      <c r="BO437" s="697">
        <f t="shared" si="486"/>
        <v>0.11833040399300299</v>
      </c>
      <c r="BP437" s="697">
        <f t="shared" si="486"/>
        <v>0.1183908380500977</v>
      </c>
      <c r="BQ437" s="697">
        <f t="shared" si="486"/>
        <v>0.11816105564628555</v>
      </c>
      <c r="BR437" s="697">
        <f t="shared" si="486"/>
        <v>0.11919228438328854</v>
      </c>
      <c r="BS437" s="697">
        <f t="shared" si="486"/>
        <v>0.11930110976841797</v>
      </c>
      <c r="BT437" s="697">
        <f t="shared" si="486"/>
        <v>0.11934203206305002</v>
      </c>
      <c r="BU437" s="697">
        <f t="shared" si="486"/>
        <v>0.11935894626490236</v>
      </c>
      <c r="BV437" s="697">
        <f t="shared" si="486"/>
        <v>0.11935731326964398</v>
      </c>
      <c r="BW437" s="697">
        <f t="shared" si="486"/>
        <v>0.11934221852100051</v>
      </c>
      <c r="BX437" s="697">
        <f t="shared" si="486"/>
        <v>0.11787663043008026</v>
      </c>
      <c r="BY437" s="697">
        <f t="shared" si="486"/>
        <v>0.11677991968000757</v>
      </c>
      <c r="BZ437" s="697">
        <f t="shared" si="486"/>
        <v>0.11583982145888229</v>
      </c>
      <c r="CA437" s="697">
        <f t="shared" si="486"/>
        <v>0.11500710855876088</v>
      </c>
      <c r="CB437" s="697">
        <f t="shared" si="486"/>
        <v>0.11422281454075801</v>
      </c>
      <c r="CC437" s="697">
        <f t="shared" si="486"/>
        <v>0.11348248071605908</v>
      </c>
      <c r="CD437" s="697">
        <f t="shared" si="486"/>
        <v>0.11167471515594009</v>
      </c>
      <c r="CE437" s="697">
        <f t="shared" si="486"/>
        <v>0.11059633960023814</v>
      </c>
      <c r="CF437" s="697">
        <f t="shared" si="486"/>
        <v>0.10965971459064694</v>
      </c>
      <c r="CG437" s="697">
        <f t="shared" si="486"/>
        <v>0.10881335953070734</v>
      </c>
      <c r="CH437" s="697">
        <f t="shared" si="486"/>
        <v>0.10799256295726284</v>
      </c>
      <c r="CI437" s="697">
        <f t="shared" si="486"/>
        <v>0.1071924577488836</v>
      </c>
      <c r="CJ437" s="697">
        <f t="shared" si="486"/>
        <v>0.10632708950488644</v>
      </c>
      <c r="CK437" s="697">
        <f t="shared" si="486"/>
        <v>0.10643548495805044</v>
      </c>
      <c r="CL437" s="697">
        <f t="shared" si="486"/>
        <v>0.10651145526996299</v>
      </c>
      <c r="CM437" s="697">
        <f t="shared" si="486"/>
        <v>0.10657399393742376</v>
      </c>
      <c r="CN437" s="697">
        <f t="shared" si="486"/>
        <v>0.10662252260753553</v>
      </c>
      <c r="CO437" s="697">
        <f t="shared" si="486"/>
        <v>0.10665747097940695</v>
      </c>
      <c r="CP437" s="697">
        <f t="shared" si="486"/>
        <v>0.10703460332863667</v>
      </c>
      <c r="CQ437" s="697">
        <f t="shared" si="486"/>
        <v>0.10703121587682415</v>
      </c>
      <c r="CR437" s="697">
        <f t="shared" si="486"/>
        <v>0.10701351629398961</v>
      </c>
      <c r="CS437" s="697">
        <f t="shared" si="486"/>
        <v>0.10699853120590908</v>
      </c>
      <c r="CT437" s="697">
        <f t="shared" si="486"/>
        <v>0.10698530938595471</v>
      </c>
      <c r="CU437" s="697">
        <f t="shared" si="486"/>
        <v>0.10697351524966858</v>
      </c>
      <c r="CV437" s="697">
        <f t="shared" si="486"/>
        <v>0.10696287664444014</v>
      </c>
      <c r="CW437" s="697">
        <f t="shared" ref="CW437:DA437" si="487">CW435/CW403</f>
        <v>0.10695315515293578</v>
      </c>
      <c r="CX437" s="697">
        <f t="shared" si="487"/>
        <v>0.1069440756663977</v>
      </c>
      <c r="CY437" s="697">
        <f t="shared" si="487"/>
        <v>0.10693545566429169</v>
      </c>
      <c r="CZ437" s="697">
        <f t="shared" si="487"/>
        <v>0.10692703810280151</v>
      </c>
      <c r="DA437" s="697">
        <f t="shared" si="487"/>
        <v>0.1063831817245004</v>
      </c>
      <c r="DC437" s="729">
        <f t="shared" si="476"/>
        <v>0</v>
      </c>
      <c r="DD437" s="729">
        <f t="shared" si="477"/>
        <v>0.29118907785779458</v>
      </c>
      <c r="DE437" s="729">
        <f t="shared" si="478"/>
        <v>0.17011298372421899</v>
      </c>
      <c r="DF437" s="729">
        <f t="shared" si="479"/>
        <v>0.11816105564628555</v>
      </c>
      <c r="DG437" s="729">
        <f t="shared" si="480"/>
        <v>0.11348248071605908</v>
      </c>
      <c r="DH437" s="729">
        <f t="shared" si="481"/>
        <v>0.10665747097940695</v>
      </c>
      <c r="DI437" s="729">
        <f>DA437</f>
        <v>0.1063831817245004</v>
      </c>
    </row>
    <row r="438" spans="4:113" outlineLevel="2">
      <c r="E438" s="230" t="s">
        <v>814</v>
      </c>
      <c r="F438" s="229"/>
      <c r="I438" s="609" t="s">
        <v>812</v>
      </c>
      <c r="O438" s="696"/>
      <c r="P438" s="696"/>
      <c r="Q438" s="696"/>
      <c r="R438" s="696"/>
      <c r="S438" s="696"/>
      <c r="T438" s="696"/>
      <c r="U438" s="696"/>
      <c r="V438" s="696"/>
      <c r="W438" s="696"/>
      <c r="X438" s="696"/>
      <c r="Y438" s="696"/>
      <c r="Z438" s="697"/>
      <c r="AA438" s="697"/>
      <c r="AB438" s="697"/>
      <c r="AC438" s="697"/>
      <c r="AD438" s="697"/>
      <c r="AE438" s="697"/>
      <c r="AF438" s="697"/>
      <c r="AG438" s="697"/>
      <c r="AH438" s="697"/>
      <c r="AI438" s="697"/>
      <c r="AJ438" s="697"/>
      <c r="AK438" s="730">
        <f>AK422</f>
        <v>0</v>
      </c>
      <c r="AL438" s="730">
        <f>AK438+AL422</f>
        <v>-1.4276600000000001E-4</v>
      </c>
      <c r="AM438" s="730">
        <f t="shared" ref="AM438:CO438" si="488">AL438+AM422</f>
        <v>-1.3166763000000001E-2</v>
      </c>
      <c r="AN438" s="730">
        <f t="shared" si="488"/>
        <v>-0.1003201</v>
      </c>
      <c r="AO438" s="730">
        <f t="shared" si="488"/>
        <v>-0.20886843999999999</v>
      </c>
      <c r="AP438" s="730">
        <f t="shared" si="488"/>
        <v>-0.33817909899999998</v>
      </c>
      <c r="AQ438" s="730">
        <f t="shared" si="488"/>
        <v>-0.50291757221565547</v>
      </c>
      <c r="AR438" s="730">
        <f t="shared" si="488"/>
        <v>-0.74277818773079252</v>
      </c>
      <c r="AS438" s="730">
        <f t="shared" si="488"/>
        <v>-1.1070385804247138</v>
      </c>
      <c r="AT438" s="730">
        <f>AT422</f>
        <v>-0.53040411561457901</v>
      </c>
      <c r="AU438" s="730">
        <f t="shared" si="488"/>
        <v>-1.4365300822204503</v>
      </c>
      <c r="AV438" s="730">
        <f t="shared" si="488"/>
        <v>-2.6830342563098153</v>
      </c>
      <c r="AW438" s="730">
        <f t="shared" si="488"/>
        <v>-4.1245353833959726</v>
      </c>
      <c r="AX438" s="730">
        <f t="shared" si="488"/>
        <v>-5.8118549983688794</v>
      </c>
      <c r="AY438" s="730">
        <f t="shared" si="488"/>
        <v>-7.7451537965980606</v>
      </c>
      <c r="AZ438" s="730">
        <f t="shared" si="488"/>
        <v>-9.6963431136630422</v>
      </c>
      <c r="BA438" s="730">
        <f t="shared" si="488"/>
        <v>-11.87875442620707</v>
      </c>
      <c r="BB438" s="730">
        <f t="shared" si="488"/>
        <v>-14.614055906693139</v>
      </c>
      <c r="BC438" s="730">
        <f t="shared" si="488"/>
        <v>-17.759452234983222</v>
      </c>
      <c r="BD438" s="730">
        <f t="shared" si="488"/>
        <v>-21.212972078325009</v>
      </c>
      <c r="BE438" s="730">
        <f t="shared" si="488"/>
        <v>-24.873425187372831</v>
      </c>
      <c r="BF438" s="730">
        <f>BF422</f>
        <v>-3.9404580160985763</v>
      </c>
      <c r="BG438" s="730">
        <f t="shared" si="488"/>
        <v>-8.0641627840406187</v>
      </c>
      <c r="BH438" s="730">
        <f t="shared" si="488"/>
        <v>-12.401279218537933</v>
      </c>
      <c r="BI438" s="730">
        <f t="shared" si="488"/>
        <v>-16.736811423997437</v>
      </c>
      <c r="BJ438" s="730">
        <f t="shared" si="488"/>
        <v>-21.204756642353068</v>
      </c>
      <c r="BK438" s="730">
        <f t="shared" si="488"/>
        <v>-25.762967802631355</v>
      </c>
      <c r="BL438" s="730">
        <f t="shared" si="488"/>
        <v>-30.267467442725973</v>
      </c>
      <c r="BM438" s="730">
        <f t="shared" si="488"/>
        <v>-34.98230525101922</v>
      </c>
      <c r="BN438" s="730">
        <f t="shared" si="488"/>
        <v>-40.450344540889041</v>
      </c>
      <c r="BO438" s="730">
        <f t="shared" si="488"/>
        <v>-46.411359816369767</v>
      </c>
      <c r="BP438" s="730">
        <f t="shared" si="488"/>
        <v>-52.685733275027715</v>
      </c>
      <c r="BQ438" s="730">
        <f t="shared" si="488"/>
        <v>-59.261814054048308</v>
      </c>
      <c r="BR438" s="730">
        <f>BR422</f>
        <v>-6.7626092759220144</v>
      </c>
      <c r="BS438" s="730">
        <f t="shared" si="488"/>
        <v>-13.896116936617641</v>
      </c>
      <c r="BT438" s="730">
        <f t="shared" si="488"/>
        <v>-21.381249971752684</v>
      </c>
      <c r="BU438" s="730">
        <f t="shared" si="488"/>
        <v>-29.206635672684683</v>
      </c>
      <c r="BV438" s="730">
        <f t="shared" si="488"/>
        <v>-37.377143710397682</v>
      </c>
      <c r="BW438" s="730">
        <f t="shared" si="488"/>
        <v>-45.89647361652041</v>
      </c>
      <c r="BX438" s="730">
        <f t="shared" si="488"/>
        <v>-54.703985524849756</v>
      </c>
      <c r="BY438" s="730">
        <f t="shared" si="488"/>
        <v>-63.873453361825128</v>
      </c>
      <c r="BZ438" s="730">
        <f t="shared" si="488"/>
        <v>-73.392338399355737</v>
      </c>
      <c r="CA438" s="730">
        <f t="shared" si="488"/>
        <v>-83.135407498346041</v>
      </c>
      <c r="CB438" s="730">
        <f t="shared" si="488"/>
        <v>-93.22926946658545</v>
      </c>
      <c r="CC438" s="730">
        <f t="shared" si="488"/>
        <v>-103.6758869489838</v>
      </c>
      <c r="CD438" s="730">
        <f>CD422</f>
        <v>-10.474343285869988</v>
      </c>
      <c r="CE438" s="730">
        <f t="shared" si="488"/>
        <v>-20.89690215317021</v>
      </c>
      <c r="CF438" s="730">
        <f t="shared" si="488"/>
        <v>-31.675632440452063</v>
      </c>
      <c r="CG438" s="730">
        <f t="shared" si="488"/>
        <v>-42.64618855562609</v>
      </c>
      <c r="CH438" s="730">
        <f t="shared" si="488"/>
        <v>-53.968751913451015</v>
      </c>
      <c r="CI438" s="730">
        <f t="shared" si="488"/>
        <v>-65.640811558890178</v>
      </c>
      <c r="CJ438" s="730">
        <f t="shared" si="488"/>
        <v>-77.343975600891326</v>
      </c>
      <c r="CK438" s="730">
        <f t="shared" si="488"/>
        <v>-88.859424660678727</v>
      </c>
      <c r="CL438" s="730">
        <f t="shared" si="488"/>
        <v>-100.71779133818831</v>
      </c>
      <c r="CM438" s="730">
        <f t="shared" si="488"/>
        <v>-112.90503327497265</v>
      </c>
      <c r="CN438" s="730">
        <f t="shared" si="488"/>
        <v>-125.42092899892138</v>
      </c>
      <c r="CO438" s="730">
        <f t="shared" si="488"/>
        <v>-138.26077804947721</v>
      </c>
      <c r="CP438" s="730">
        <f>CP422</f>
        <v>-13.163783754025834</v>
      </c>
      <c r="CQ438" s="730">
        <f t="shared" ref="CQ438:DA438" si="489">CP438+CQ422</f>
        <v>-26.654671176056315</v>
      </c>
      <c r="CR438" s="730">
        <f t="shared" si="489"/>
        <v>-40.46996119372394</v>
      </c>
      <c r="CS438" s="730">
        <f t="shared" si="489"/>
        <v>-54.595802824602131</v>
      </c>
      <c r="CT438" s="730">
        <f t="shared" si="489"/>
        <v>-69.031452743976544</v>
      </c>
      <c r="CU438" s="730">
        <f t="shared" si="489"/>
        <v>-83.776508738331472</v>
      </c>
      <c r="CV438" s="730">
        <f t="shared" si="489"/>
        <v>-98.830986988919804</v>
      </c>
      <c r="CW438" s="730">
        <f t="shared" si="489"/>
        <v>-114.19497730051246</v>
      </c>
      <c r="CX438" s="730">
        <f t="shared" si="489"/>
        <v>-129.86860240320073</v>
      </c>
      <c r="CY438" s="730">
        <f t="shared" si="489"/>
        <v>-145.852113800967</v>
      </c>
      <c r="CZ438" s="730">
        <f t="shared" si="489"/>
        <v>-162.14591948042204</v>
      </c>
      <c r="DA438" s="730">
        <f t="shared" si="489"/>
        <v>-178.78394463926136</v>
      </c>
      <c r="DC438" s="12">
        <f t="shared" si="476"/>
        <v>0</v>
      </c>
      <c r="DD438" s="12">
        <f t="shared" si="477"/>
        <v>-1.1070385804247138</v>
      </c>
      <c r="DE438" s="12">
        <f t="shared" si="478"/>
        <v>-24.873425187372831</v>
      </c>
      <c r="DF438" s="12">
        <f t="shared" si="479"/>
        <v>-59.261814054048308</v>
      </c>
      <c r="DG438" s="12">
        <f t="shared" si="480"/>
        <v>-103.6758869489838</v>
      </c>
      <c r="DH438" s="12">
        <f t="shared" si="481"/>
        <v>-138.26077804947721</v>
      </c>
      <c r="DI438" s="12">
        <f>DA438</f>
        <v>-178.78394463926136</v>
      </c>
    </row>
    <row r="439" spans="4:113" outlineLevel="2">
      <c r="E439" s="230" t="s">
        <v>815</v>
      </c>
      <c r="F439" s="229"/>
      <c r="I439" s="609" t="s">
        <v>812</v>
      </c>
      <c r="O439" s="696"/>
      <c r="P439" s="696"/>
      <c r="Q439" s="696"/>
      <c r="R439" s="696"/>
      <c r="S439" s="696"/>
      <c r="T439" s="696"/>
      <c r="U439" s="696"/>
      <c r="V439" s="696"/>
      <c r="W439" s="696"/>
      <c r="X439" s="696"/>
      <c r="Y439" s="696"/>
      <c r="Z439" s="697"/>
      <c r="AA439" s="697"/>
      <c r="AB439" s="697"/>
      <c r="AC439" s="697"/>
      <c r="AD439" s="697"/>
      <c r="AE439" s="697"/>
      <c r="AF439" s="697"/>
      <c r="AG439" s="697"/>
      <c r="AH439" s="697"/>
      <c r="AI439" s="697"/>
      <c r="AJ439" s="697"/>
      <c r="AK439" s="697">
        <f>AK438/AVERAGE($AJ403:AK403)</f>
        <v>0</v>
      </c>
      <c r="AL439" s="697">
        <f>AL438/AVERAGE($AJ403:AL403)</f>
        <v>-3.0012280479188482E-4</v>
      </c>
      <c r="AM439" s="697">
        <f>AM438/AVERAGE($AJ403:AM403)</f>
        <v>-1.0582131773500088E-2</v>
      </c>
      <c r="AN439" s="697">
        <f>AN438/AVERAGE($AJ403:AN403)</f>
        <v>-4.292974349684308E-2</v>
      </c>
      <c r="AO439" s="697">
        <f>AO438/AVERAGE($AJ403:AO403)</f>
        <v>-5.8018551343100987E-2</v>
      </c>
      <c r="AP439" s="697">
        <f>AP438/AVERAGE($AJ403:AP403)</f>
        <v>-6.9447743689008246E-2</v>
      </c>
      <c r="AQ439" s="697">
        <f>AQ438/AVERAGE($AJ403:AQ403)</f>
        <v>-8.0053106117442027E-2</v>
      </c>
      <c r="AR439" s="697">
        <f>AR438/AVERAGE($AJ403:AR403)</f>
        <v>-9.8741659572365359E-2</v>
      </c>
      <c r="AS439" s="697">
        <f>AS438/AVERAGE($AJ403:AS403)</f>
        <v>-0.12153449752153492</v>
      </c>
      <c r="AT439" s="697">
        <f>AT438/AVERAGE($AS403:AT403)</f>
        <v>-2.0157953235888062E-2</v>
      </c>
      <c r="AU439" s="697">
        <f>AU438/AVERAGE($AS403:AU403)</f>
        <v>-4.7035868573501359E-2</v>
      </c>
      <c r="AV439" s="697">
        <f>AV438/AVERAGE($AS403:AV403)</f>
        <v>-7.7631209379391691E-2</v>
      </c>
      <c r="AW439" s="697">
        <f>AW438/AVERAGE($AS403:AW403)</f>
        <v>-0.10721200800861158</v>
      </c>
      <c r="AX439" s="697">
        <f>AX438/AVERAGE($AS403:AX403)</f>
        <v>-0.13714742506079727</v>
      </c>
      <c r="AY439" s="697">
        <f>AY438/AVERAGE($AS403:AY403)</f>
        <v>-0.16743564467947869</v>
      </c>
      <c r="AZ439" s="697">
        <f>AZ438/AVERAGE($AS403:AZ403)</f>
        <v>-0.19317495967870477</v>
      </c>
      <c r="BA439" s="697">
        <f>BA438/AVERAGE($AS403:BA403)</f>
        <v>-0.21915305747702121</v>
      </c>
      <c r="BB439" s="697">
        <f>BB438/AVERAGE($AS403:BB403)</f>
        <v>-0.25098063105964452</v>
      </c>
      <c r="BC439" s="697">
        <f>BC438/AVERAGE($AS403:BC403)</f>
        <v>-0.28519677882332001</v>
      </c>
      <c r="BD439" s="697">
        <f>BD438/AVERAGE($AS403:BD403)</f>
        <v>-0.31972408658879337</v>
      </c>
      <c r="BE439" s="697">
        <f>BE438/AVERAGE($AS403:BE403)</f>
        <v>-0.35292857054443999</v>
      </c>
      <c r="BF439" s="697">
        <f>BF438/AVERAGE($BE403:BF403)</f>
        <v>-2.960908921036038E-2</v>
      </c>
      <c r="BG439" s="697">
        <f>BG438/AVERAGE($BE403:BG403)</f>
        <v>-5.6091822580010942E-2</v>
      </c>
      <c r="BH439" s="697">
        <f>BH438/AVERAGE($BE403:BH403)</f>
        <v>-8.1066339760724887E-2</v>
      </c>
      <c r="BI439" s="697">
        <f>BI438/AVERAGE($BE403:BI403)</f>
        <v>-0.10377247857962332</v>
      </c>
      <c r="BJ439" s="697">
        <f>BJ438/AVERAGE($BE403:BJ403)</f>
        <v>-0.12544467674014417</v>
      </c>
      <c r="BK439" s="697">
        <f>BK438/AVERAGE($BE403:BK403)</f>
        <v>-0.14602065052591168</v>
      </c>
      <c r="BL439" s="697">
        <f>BL438/AVERAGE($BE403:BL403)</f>
        <v>-0.1648636718618201</v>
      </c>
      <c r="BM439" s="697">
        <f>BM438/AVERAGE($BE403:BM403)</f>
        <v>-0.18357046786970072</v>
      </c>
      <c r="BN439" s="697">
        <f>BN438/AVERAGE($BE403:BN403)</f>
        <v>-0.20493675707201883</v>
      </c>
      <c r="BO439" s="697">
        <f>BO438/AVERAGE($BE403:BO403)</f>
        <v>-0.22741745015639978</v>
      </c>
      <c r="BP439" s="697">
        <f>BP438/AVERAGE($BE403:BP403)</f>
        <v>-0.25006208524679774</v>
      </c>
      <c r="BQ439" s="697">
        <f>BQ438/AVERAGE($BE403:BQ403)</f>
        <v>-0.27278549981342753</v>
      </c>
      <c r="BR439" s="697">
        <f>BR438/AVERAGE($BQ403:BR403)</f>
        <v>-2.2380101542136301E-2</v>
      </c>
      <c r="BS439" s="697">
        <f>BS438/AVERAGE($BQ403:BS403)</f>
        <v>-4.505407497200218E-2</v>
      </c>
      <c r="BT439" s="697">
        <f>BT438/AVERAGE($BQ403:BT403)</f>
        <v>-6.7937693026681997E-2</v>
      </c>
      <c r="BU439" s="697">
        <f>BU438/AVERAGE($BQ403:BU403)</f>
        <v>-9.0976861813368018E-2</v>
      </c>
      <c r="BV439" s="697">
        <f>BV438/AVERAGE($BQ403:BV403)</f>
        <v>-0.11417091271907036</v>
      </c>
      <c r="BW439" s="697">
        <f>BW438/AVERAGE($BQ403:BW403)</f>
        <v>-0.13751511338824088</v>
      </c>
      <c r="BX439" s="697">
        <f>BX438/AVERAGE($BQ403:BX403)</f>
        <v>-0.16081622089513734</v>
      </c>
      <c r="BY439" s="697">
        <f>BY438/AVERAGE($BQ403:BY403)</f>
        <v>-0.18428260860497503</v>
      </c>
      <c r="BZ439" s="697">
        <f>BZ438/AVERAGE($BQ403:BZ403)</f>
        <v>-0.20786315189612101</v>
      </c>
      <c r="CA439" s="697">
        <f>CA438/AVERAGE($BQ403:CA403)</f>
        <v>-0.23119717738824352</v>
      </c>
      <c r="CB439" s="697">
        <f>CB438/AVERAGE($BQ403:CB403)</f>
        <v>-0.25463771100163085</v>
      </c>
      <c r="CC439" s="697">
        <f>CC438/AVERAGE($BQ403:CC403)</f>
        <v>-0.27817864738652676</v>
      </c>
      <c r="CD439" s="697">
        <f>CD438/AVERAGE($CC403:CD403)</f>
        <v>-2.2846167113707332E-2</v>
      </c>
      <c r="CE439" s="697">
        <f>CE438/AVERAGE($CC403:CE403)</f>
        <v>-4.4904580868884776E-2</v>
      </c>
      <c r="CF439" s="697">
        <f>CF438/AVERAGE($CC403:CF403)</f>
        <v>-6.7077834054831059E-2</v>
      </c>
      <c r="CG439" s="697">
        <f>CG438/AVERAGE($CC403:CG403)</f>
        <v>-8.902029569284553E-2</v>
      </c>
      <c r="CH439" s="697">
        <f>CH438/AVERAGE($CC403:CH403)</f>
        <v>-0.11107269075794274</v>
      </c>
      <c r="CI439" s="697">
        <f>CI438/AVERAGE($CC403:CI403)</f>
        <v>-0.1332261102386702</v>
      </c>
      <c r="CJ439" s="697">
        <f>CJ438/AVERAGE($CC403:CJ403)</f>
        <v>-0.15482309447914014</v>
      </c>
      <c r="CK439" s="697">
        <f>CK438/AVERAGE($CC403:CK403)</f>
        <v>-0.17546135412100816</v>
      </c>
      <c r="CL439" s="697">
        <f>CL438/AVERAGE($CC403:CL403)</f>
        <v>-0.19621678901881015</v>
      </c>
      <c r="CM439" s="697">
        <f>CM438/AVERAGE($CC403:CM403)</f>
        <v>-0.21705972613024854</v>
      </c>
      <c r="CN439" s="697">
        <f>CN438/AVERAGE($CC403:CN403)</f>
        <v>-0.23798738625228102</v>
      </c>
      <c r="CO439" s="697">
        <f>CO438/AVERAGE($CC403:CO403)</f>
        <v>-0.25898829014243768</v>
      </c>
      <c r="CP439" s="697">
        <f>CP438/AVERAGE($CC403:CP403)</f>
        <v>-2.4346437906894128E-2</v>
      </c>
      <c r="CQ439" s="697">
        <f>CQ438/AVERAGE($CC403:CQ403)</f>
        <v>-4.8682812864085295E-2</v>
      </c>
      <c r="CR439" s="697">
        <f>CR438/AVERAGE($CC403:CR403)</f>
        <v>-7.3005203148601622E-2</v>
      </c>
      <c r="CS439" s="697">
        <f>CS438/AVERAGE($CC403:CS403)</f>
        <v>-9.7289825731130541E-2</v>
      </c>
      <c r="CT439" s="697">
        <f>CT438/AVERAGE($CC403:CT403)</f>
        <v>-0.12153700206786686</v>
      </c>
      <c r="CU439" s="697">
        <f>CU438/AVERAGE($CC403:CU403)</f>
        <v>-0.14574756012488907</v>
      </c>
      <c r="CV439" s="697">
        <f>CV438/AVERAGE($CC403:CV403)</f>
        <v>-0.1699229631200159</v>
      </c>
      <c r="CW439" s="697">
        <f>CW438/AVERAGE($CC403:CW403)</f>
        <v>-0.19406470196396813</v>
      </c>
      <c r="CX439" s="697">
        <f>CX438/AVERAGE($CC403:CX403)</f>
        <v>-0.21817423112668963</v>
      </c>
      <c r="CY439" s="697">
        <f>CY438/AVERAGE($CC403:CY403)</f>
        <v>-0.24225314549230542</v>
      </c>
      <c r="CZ439" s="697">
        <f>CZ438/AVERAGE($CC403:CZ403)</f>
        <v>-0.26630321392950868</v>
      </c>
      <c r="DA439" s="697">
        <f>DA438/AVERAGE($CC403:DA403)</f>
        <v>-0.29030655210722367</v>
      </c>
      <c r="DC439" s="729">
        <f t="shared" si="476"/>
        <v>0</v>
      </c>
      <c r="DD439" s="729">
        <f t="shared" si="477"/>
        <v>-0.12153449752153492</v>
      </c>
      <c r="DE439" s="729">
        <f t="shared" si="478"/>
        <v>-0.35292857054443999</v>
      </c>
      <c r="DF439" s="729">
        <f t="shared" si="479"/>
        <v>-0.27278549981342753</v>
      </c>
      <c r="DG439" s="729">
        <f t="shared" si="480"/>
        <v>-0.27817864738652676</v>
      </c>
      <c r="DH439" s="729">
        <f t="shared" si="481"/>
        <v>-0.25898829014243768</v>
      </c>
      <c r="DI439" s="729">
        <f>DA439</f>
        <v>-0.29030655210722367</v>
      </c>
    </row>
    <row r="440" spans="4:113" outlineLevel="1">
      <c r="D440" s="698"/>
      <c r="O440" s="706"/>
      <c r="P440" s="706"/>
      <c r="Q440" s="706"/>
      <c r="R440" s="706"/>
      <c r="S440" s="706"/>
      <c r="T440" s="706"/>
      <c r="U440" s="706"/>
      <c r="V440" s="706"/>
      <c r="W440" s="706"/>
      <c r="X440" s="706"/>
      <c r="Y440" s="706"/>
      <c r="Z440" s="731"/>
      <c r="AA440" s="731"/>
      <c r="AB440" s="731"/>
      <c r="AC440" s="731"/>
      <c r="AD440" s="731"/>
      <c r="AE440" s="731"/>
      <c r="AF440" s="731"/>
      <c r="AG440" s="731"/>
      <c r="AH440" s="731"/>
      <c r="AI440" s="731"/>
      <c r="AJ440" s="731"/>
      <c r="AK440" s="731"/>
      <c r="AL440" s="731"/>
      <c r="AM440" s="732"/>
      <c r="AN440" s="731"/>
      <c r="AO440" s="731"/>
      <c r="AP440" s="731"/>
      <c r="AQ440" s="733"/>
      <c r="AR440" s="733"/>
      <c r="AS440" s="733"/>
      <c r="AT440" s="733"/>
      <c r="AU440" s="733"/>
      <c r="AV440" s="733"/>
      <c r="AW440" s="733"/>
      <c r="AX440" s="733"/>
      <c r="AY440" s="733"/>
      <c r="AZ440" s="733"/>
      <c r="BA440" s="733"/>
      <c r="BB440" s="733"/>
      <c r="BC440" s="733"/>
      <c r="BD440" s="733"/>
      <c r="BE440" s="733"/>
      <c r="BF440" s="733"/>
      <c r="BG440" s="733"/>
      <c r="BH440" s="733"/>
      <c r="BI440" s="733"/>
      <c r="BJ440" s="733"/>
      <c r="BK440" s="733"/>
      <c r="BL440" s="733"/>
      <c r="BM440" s="733"/>
      <c r="BN440" s="733"/>
      <c r="BO440" s="733"/>
      <c r="BP440" s="733"/>
      <c r="BQ440" s="733"/>
      <c r="BR440" s="733"/>
      <c r="BS440" s="733"/>
      <c r="BT440" s="733"/>
      <c r="BU440" s="733"/>
      <c r="BV440" s="733"/>
      <c r="BW440" s="733"/>
      <c r="BX440" s="733"/>
      <c r="BY440" s="733"/>
      <c r="BZ440" s="733"/>
      <c r="CA440" s="733"/>
      <c r="CB440" s="733"/>
      <c r="CC440" s="733"/>
      <c r="CD440" s="733"/>
      <c r="CE440" s="733"/>
      <c r="CF440" s="733"/>
      <c r="CG440" s="733"/>
      <c r="CH440" s="733"/>
      <c r="CI440" s="733"/>
      <c r="CJ440" s="733"/>
      <c r="CK440" s="733"/>
      <c r="CL440" s="733"/>
      <c r="CM440" s="733"/>
      <c r="CN440" s="733"/>
      <c r="CO440" s="733"/>
      <c r="CP440" s="733"/>
      <c r="CQ440" s="733"/>
      <c r="CR440" s="733"/>
      <c r="CS440" s="733"/>
      <c r="CT440" s="733"/>
      <c r="CU440" s="733"/>
      <c r="CV440" s="733"/>
      <c r="CW440" s="733"/>
      <c r="CX440" s="733"/>
      <c r="CY440" s="733"/>
      <c r="CZ440" s="733"/>
      <c r="DA440" s="733"/>
      <c r="DI440" s="729"/>
    </row>
    <row r="441" spans="4:113" outlineLevel="1">
      <c r="D441" s="734"/>
      <c r="E441" s="735" t="s">
        <v>844</v>
      </c>
      <c r="F441" s="734"/>
      <c r="G441" s="734"/>
      <c r="H441" s="736"/>
      <c r="I441" s="736"/>
      <c r="AQ441" s="737"/>
      <c r="AR441" s="737"/>
      <c r="AS441" s="737"/>
      <c r="AT441" s="737"/>
      <c r="AU441" s="737"/>
      <c r="AV441" s="737"/>
      <c r="AW441" s="737"/>
      <c r="AX441" s="737"/>
      <c r="AY441" s="737"/>
      <c r="AZ441" s="737"/>
      <c r="BA441" s="737"/>
      <c r="BB441" s="737"/>
      <c r="BC441" s="737"/>
      <c r="BD441" s="737"/>
      <c r="BE441" s="737"/>
      <c r="BF441" s="737"/>
      <c r="BG441" s="737"/>
      <c r="BH441" s="737"/>
      <c r="BI441" s="737"/>
      <c r="BJ441" s="737"/>
      <c r="BK441" s="737"/>
      <c r="BL441" s="737"/>
      <c r="BM441" s="737"/>
      <c r="BN441" s="737"/>
      <c r="BO441" s="737"/>
      <c r="BP441" s="737"/>
      <c r="BQ441" s="737"/>
      <c r="BR441" s="737"/>
      <c r="BS441" s="737"/>
      <c r="BT441" s="737"/>
      <c r="BU441" s="737"/>
      <c r="BV441" s="737"/>
      <c r="BW441" s="737"/>
      <c r="BX441" s="737"/>
      <c r="BY441" s="737"/>
      <c r="BZ441" s="737"/>
      <c r="CA441" s="737"/>
      <c r="CB441" s="737"/>
      <c r="CC441" s="737"/>
      <c r="CD441" s="737"/>
      <c r="CE441" s="737"/>
      <c r="CF441" s="737"/>
      <c r="CG441" s="737"/>
      <c r="CH441" s="737"/>
      <c r="CI441" s="737"/>
      <c r="CJ441" s="737"/>
      <c r="CK441" s="737"/>
      <c r="CL441" s="737"/>
      <c r="CM441" s="737"/>
      <c r="CN441" s="737"/>
      <c r="CO441" s="737"/>
      <c r="CP441" s="737"/>
      <c r="CQ441" s="737"/>
      <c r="CR441" s="737"/>
      <c r="CS441" s="737"/>
      <c r="CT441" s="737"/>
      <c r="CU441" s="737"/>
      <c r="CV441" s="737"/>
      <c r="CW441" s="737"/>
      <c r="CX441" s="737"/>
      <c r="CY441" s="737"/>
      <c r="CZ441" s="737"/>
      <c r="DA441" s="737"/>
      <c r="DI441" s="12"/>
    </row>
    <row r="442" spans="4:113" outlineLevel="2">
      <c r="E442" s="698"/>
      <c r="F442" s="126" t="s">
        <v>845</v>
      </c>
      <c r="I442" s="699" t="s">
        <v>743</v>
      </c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698"/>
      <c r="AK442" s="721">
        <v>0.34699999999999998</v>
      </c>
      <c r="AL442" s="721">
        <v>5.5110000000000001</v>
      </c>
      <c r="AM442" s="721">
        <v>6.1260000000000003</v>
      </c>
      <c r="AN442" s="721">
        <v>8.577</v>
      </c>
      <c r="AO442" s="721">
        <v>8.1079999999999988</v>
      </c>
      <c r="AP442" s="721">
        <v>5.6420000000000003</v>
      </c>
      <c r="AQ442" s="721">
        <v>5.7130000000000001</v>
      </c>
      <c r="AR442" s="738">
        <v>7</v>
      </c>
      <c r="AS442" s="738">
        <v>7</v>
      </c>
      <c r="AT442" s="739">
        <f t="shared" ref="AT442:BD442" si="490">AS442+($BE$442-$AS$442)/12</f>
        <v>7.083333333333333</v>
      </c>
      <c r="AU442" s="739">
        <f t="shared" si="490"/>
        <v>7.1666666666666661</v>
      </c>
      <c r="AV442" s="739">
        <f t="shared" si="490"/>
        <v>7.2499999999999991</v>
      </c>
      <c r="AW442" s="739">
        <f t="shared" si="490"/>
        <v>7.3333333333333321</v>
      </c>
      <c r="AX442" s="739">
        <f t="shared" si="490"/>
        <v>7.4166666666666652</v>
      </c>
      <c r="AY442" s="739">
        <f t="shared" si="490"/>
        <v>7.4999999999999982</v>
      </c>
      <c r="AZ442" s="739">
        <f t="shared" si="490"/>
        <v>7.5833333333333313</v>
      </c>
      <c r="BA442" s="739">
        <f t="shared" si="490"/>
        <v>7.6666666666666643</v>
      </c>
      <c r="BB442" s="739">
        <f t="shared" si="490"/>
        <v>7.7499999999999973</v>
      </c>
      <c r="BC442" s="739">
        <f t="shared" si="490"/>
        <v>7.8333333333333304</v>
      </c>
      <c r="BD442" s="739">
        <f t="shared" si="490"/>
        <v>7.9166666666666634</v>
      </c>
      <c r="BE442" s="738">
        <v>8</v>
      </c>
      <c r="BF442" s="739">
        <f t="shared" ref="BF442:BP442" si="491">BE442+($BQ$442-$BE$442)/12</f>
        <v>7.75</v>
      </c>
      <c r="BG442" s="739">
        <f t="shared" si="491"/>
        <v>7.5</v>
      </c>
      <c r="BH442" s="739">
        <f t="shared" si="491"/>
        <v>7.25</v>
      </c>
      <c r="BI442" s="739">
        <f t="shared" si="491"/>
        <v>7</v>
      </c>
      <c r="BJ442" s="739">
        <f t="shared" si="491"/>
        <v>6.75</v>
      </c>
      <c r="BK442" s="739">
        <f t="shared" si="491"/>
        <v>6.5</v>
      </c>
      <c r="BL442" s="739">
        <f t="shared" si="491"/>
        <v>6.25</v>
      </c>
      <c r="BM442" s="739">
        <f t="shared" si="491"/>
        <v>6</v>
      </c>
      <c r="BN442" s="739">
        <f t="shared" si="491"/>
        <v>5.75</v>
      </c>
      <c r="BO442" s="739">
        <f t="shared" si="491"/>
        <v>5.5</v>
      </c>
      <c r="BP442" s="739">
        <f t="shared" si="491"/>
        <v>5.25</v>
      </c>
      <c r="BQ442" s="738">
        <v>5</v>
      </c>
      <c r="BR442" s="739">
        <f t="shared" ref="BR442:CB442" si="492">BQ442+($CC$442-$BQ$442)/12</f>
        <v>5</v>
      </c>
      <c r="BS442" s="739">
        <f t="shared" si="492"/>
        <v>5</v>
      </c>
      <c r="BT442" s="739">
        <f t="shared" si="492"/>
        <v>5</v>
      </c>
      <c r="BU442" s="739">
        <f t="shared" si="492"/>
        <v>5</v>
      </c>
      <c r="BV442" s="739">
        <f t="shared" si="492"/>
        <v>5</v>
      </c>
      <c r="BW442" s="739">
        <f t="shared" si="492"/>
        <v>5</v>
      </c>
      <c r="BX442" s="739">
        <f t="shared" si="492"/>
        <v>5</v>
      </c>
      <c r="BY442" s="739">
        <f t="shared" si="492"/>
        <v>5</v>
      </c>
      <c r="BZ442" s="739">
        <f t="shared" si="492"/>
        <v>5</v>
      </c>
      <c r="CA442" s="739">
        <f t="shared" si="492"/>
        <v>5</v>
      </c>
      <c r="CB442" s="739">
        <f t="shared" si="492"/>
        <v>5</v>
      </c>
      <c r="CC442" s="738">
        <v>5</v>
      </c>
      <c r="CD442" s="739">
        <f t="shared" ref="CD442:CN442" si="493">CC442+($CO$442-$CC$442)/12</f>
        <v>5</v>
      </c>
      <c r="CE442" s="739">
        <f t="shared" si="493"/>
        <v>5</v>
      </c>
      <c r="CF442" s="739">
        <f t="shared" si="493"/>
        <v>5</v>
      </c>
      <c r="CG442" s="739">
        <f t="shared" si="493"/>
        <v>5</v>
      </c>
      <c r="CH442" s="739">
        <f t="shared" si="493"/>
        <v>5</v>
      </c>
      <c r="CI442" s="739">
        <f t="shared" si="493"/>
        <v>5</v>
      </c>
      <c r="CJ442" s="739">
        <f t="shared" si="493"/>
        <v>5</v>
      </c>
      <c r="CK442" s="739">
        <f t="shared" si="493"/>
        <v>5</v>
      </c>
      <c r="CL442" s="739">
        <f t="shared" si="493"/>
        <v>5</v>
      </c>
      <c r="CM442" s="739">
        <f t="shared" si="493"/>
        <v>5</v>
      </c>
      <c r="CN442" s="739">
        <f t="shared" si="493"/>
        <v>5</v>
      </c>
      <c r="CO442" s="738">
        <v>5</v>
      </c>
      <c r="CP442" s="710">
        <f>CO442+($DA442-$CO442)/12</f>
        <v>5</v>
      </c>
      <c r="CQ442" s="710">
        <f t="shared" ref="CQ442:CZ442" si="494">CP442+($DA442-$CO442)/12</f>
        <v>5</v>
      </c>
      <c r="CR442" s="710">
        <f t="shared" si="494"/>
        <v>5</v>
      </c>
      <c r="CS442" s="710">
        <f t="shared" si="494"/>
        <v>5</v>
      </c>
      <c r="CT442" s="710">
        <f t="shared" si="494"/>
        <v>5</v>
      </c>
      <c r="CU442" s="710">
        <f t="shared" si="494"/>
        <v>5</v>
      </c>
      <c r="CV442" s="710">
        <f t="shared" si="494"/>
        <v>5</v>
      </c>
      <c r="CW442" s="710">
        <f t="shared" si="494"/>
        <v>5</v>
      </c>
      <c r="CX442" s="710">
        <f t="shared" si="494"/>
        <v>5</v>
      </c>
      <c r="CY442" s="710">
        <f t="shared" si="494"/>
        <v>5</v>
      </c>
      <c r="CZ442" s="710">
        <f t="shared" si="494"/>
        <v>5</v>
      </c>
      <c r="DA442" s="738">
        <v>5</v>
      </c>
      <c r="DC442" s="12">
        <f>SUM(V442:AG442)</f>
        <v>0</v>
      </c>
      <c r="DD442" s="12">
        <f>SUM(AH442:AS442)</f>
        <v>54.024000000000001</v>
      </c>
      <c r="DE442" s="12">
        <f>SUM(AT442:BE442)</f>
        <v>90.499999999999972</v>
      </c>
      <c r="DF442" s="12">
        <f>SUM(BF442:BQ442)</f>
        <v>76.5</v>
      </c>
      <c r="DG442" s="12">
        <f>SUM(BR442:CC442)</f>
        <v>60</v>
      </c>
      <c r="DH442" s="12">
        <f>SUM(CD442:CO442)</f>
        <v>60</v>
      </c>
      <c r="DI442" s="12">
        <f>SUM(CP442:DA442)</f>
        <v>60</v>
      </c>
    </row>
    <row r="443" spans="4:113" outlineLevel="2">
      <c r="E443" s="698"/>
      <c r="F443" s="126" t="s">
        <v>194</v>
      </c>
      <c r="I443" s="699" t="s">
        <v>743</v>
      </c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698"/>
      <c r="AK443" s="721">
        <v>0.34699999999999998</v>
      </c>
      <c r="AL443" s="721">
        <v>5.8579999999999997</v>
      </c>
      <c r="AM443" s="721">
        <v>11.984</v>
      </c>
      <c r="AN443" s="721">
        <v>20.561</v>
      </c>
      <c r="AO443" s="721">
        <v>28.669</v>
      </c>
      <c r="AP443" s="721">
        <v>34.311</v>
      </c>
      <c r="AQ443" s="721">
        <v>40.024000000000001</v>
      </c>
      <c r="AR443" s="739">
        <f t="shared" ref="AR443:DA443" si="495">AQ443+AR442</f>
        <v>47.024000000000001</v>
      </c>
      <c r="AS443" s="739">
        <f t="shared" si="495"/>
        <v>54.024000000000001</v>
      </c>
      <c r="AT443" s="739">
        <f t="shared" si="495"/>
        <v>61.107333333333337</v>
      </c>
      <c r="AU443" s="739">
        <f t="shared" si="495"/>
        <v>68.274000000000001</v>
      </c>
      <c r="AV443" s="739">
        <f t="shared" si="495"/>
        <v>75.524000000000001</v>
      </c>
      <c r="AW443" s="739">
        <f t="shared" si="495"/>
        <v>82.85733333333333</v>
      </c>
      <c r="AX443" s="739">
        <f t="shared" si="495"/>
        <v>90.274000000000001</v>
      </c>
      <c r="AY443" s="739">
        <f t="shared" si="495"/>
        <v>97.774000000000001</v>
      </c>
      <c r="AZ443" s="739">
        <f t="shared" si="495"/>
        <v>105.35733333333333</v>
      </c>
      <c r="BA443" s="739">
        <f t="shared" si="495"/>
        <v>113.024</v>
      </c>
      <c r="BB443" s="739">
        <f t="shared" si="495"/>
        <v>120.774</v>
      </c>
      <c r="BC443" s="739">
        <f t="shared" si="495"/>
        <v>128.60733333333334</v>
      </c>
      <c r="BD443" s="739">
        <f t="shared" si="495"/>
        <v>136.524</v>
      </c>
      <c r="BE443" s="739">
        <f t="shared" si="495"/>
        <v>144.524</v>
      </c>
      <c r="BF443" s="739">
        <f t="shared" si="495"/>
        <v>152.274</v>
      </c>
      <c r="BG443" s="739">
        <f t="shared" si="495"/>
        <v>159.774</v>
      </c>
      <c r="BH443" s="739">
        <f t="shared" si="495"/>
        <v>167.024</v>
      </c>
      <c r="BI443" s="739">
        <f t="shared" si="495"/>
        <v>174.024</v>
      </c>
      <c r="BJ443" s="739">
        <f t="shared" si="495"/>
        <v>180.774</v>
      </c>
      <c r="BK443" s="739">
        <f t="shared" si="495"/>
        <v>187.274</v>
      </c>
      <c r="BL443" s="739">
        <f t="shared" si="495"/>
        <v>193.524</v>
      </c>
      <c r="BM443" s="739">
        <f t="shared" si="495"/>
        <v>199.524</v>
      </c>
      <c r="BN443" s="739">
        <f t="shared" si="495"/>
        <v>205.274</v>
      </c>
      <c r="BO443" s="739">
        <f t="shared" si="495"/>
        <v>210.774</v>
      </c>
      <c r="BP443" s="739">
        <f t="shared" si="495"/>
        <v>216.024</v>
      </c>
      <c r="BQ443" s="739">
        <f t="shared" si="495"/>
        <v>221.024</v>
      </c>
      <c r="BR443" s="739">
        <f t="shared" si="495"/>
        <v>226.024</v>
      </c>
      <c r="BS443" s="739">
        <f t="shared" si="495"/>
        <v>231.024</v>
      </c>
      <c r="BT443" s="739">
        <f t="shared" si="495"/>
        <v>236.024</v>
      </c>
      <c r="BU443" s="739">
        <f t="shared" si="495"/>
        <v>241.024</v>
      </c>
      <c r="BV443" s="739">
        <f t="shared" si="495"/>
        <v>246.024</v>
      </c>
      <c r="BW443" s="739">
        <f t="shared" si="495"/>
        <v>251.024</v>
      </c>
      <c r="BX443" s="739">
        <f t="shared" si="495"/>
        <v>256.024</v>
      </c>
      <c r="BY443" s="739">
        <f t="shared" si="495"/>
        <v>261.024</v>
      </c>
      <c r="BZ443" s="739">
        <f t="shared" si="495"/>
        <v>266.024</v>
      </c>
      <c r="CA443" s="739">
        <f t="shared" si="495"/>
        <v>271.024</v>
      </c>
      <c r="CB443" s="739">
        <f t="shared" si="495"/>
        <v>276.024</v>
      </c>
      <c r="CC443" s="739">
        <f t="shared" si="495"/>
        <v>281.024</v>
      </c>
      <c r="CD443" s="739">
        <f t="shared" si="495"/>
        <v>286.024</v>
      </c>
      <c r="CE443" s="739">
        <f t="shared" si="495"/>
        <v>291.024</v>
      </c>
      <c r="CF443" s="739">
        <f t="shared" si="495"/>
        <v>296.024</v>
      </c>
      <c r="CG443" s="739">
        <f t="shared" si="495"/>
        <v>301.024</v>
      </c>
      <c r="CH443" s="739">
        <f t="shared" si="495"/>
        <v>306.024</v>
      </c>
      <c r="CI443" s="739">
        <f t="shared" si="495"/>
        <v>311.024</v>
      </c>
      <c r="CJ443" s="739">
        <f t="shared" si="495"/>
        <v>316.024</v>
      </c>
      <c r="CK443" s="739">
        <f t="shared" si="495"/>
        <v>321.024</v>
      </c>
      <c r="CL443" s="739">
        <f t="shared" si="495"/>
        <v>326.024</v>
      </c>
      <c r="CM443" s="739">
        <f t="shared" si="495"/>
        <v>331.024</v>
      </c>
      <c r="CN443" s="739">
        <f t="shared" si="495"/>
        <v>336.024</v>
      </c>
      <c r="CO443" s="739">
        <f t="shared" si="495"/>
        <v>341.024</v>
      </c>
      <c r="CP443" s="739">
        <f t="shared" si="495"/>
        <v>346.024</v>
      </c>
      <c r="CQ443" s="739">
        <f t="shared" si="495"/>
        <v>351.024</v>
      </c>
      <c r="CR443" s="739">
        <f t="shared" si="495"/>
        <v>356.024</v>
      </c>
      <c r="CS443" s="739">
        <f t="shared" si="495"/>
        <v>361.024</v>
      </c>
      <c r="CT443" s="739">
        <f t="shared" si="495"/>
        <v>366.024</v>
      </c>
      <c r="CU443" s="739">
        <f t="shared" si="495"/>
        <v>371.024</v>
      </c>
      <c r="CV443" s="739">
        <f t="shared" si="495"/>
        <v>376.024</v>
      </c>
      <c r="CW443" s="739">
        <f t="shared" si="495"/>
        <v>381.024</v>
      </c>
      <c r="CX443" s="739">
        <f t="shared" si="495"/>
        <v>386.024</v>
      </c>
      <c r="CY443" s="739">
        <f t="shared" si="495"/>
        <v>391.024</v>
      </c>
      <c r="CZ443" s="739">
        <f t="shared" si="495"/>
        <v>396.024</v>
      </c>
      <c r="DA443" s="739">
        <f t="shared" si="495"/>
        <v>401.024</v>
      </c>
      <c r="DC443" s="11">
        <f>AG443</f>
        <v>0</v>
      </c>
      <c r="DD443" s="11">
        <f>AS443</f>
        <v>54.024000000000001</v>
      </c>
      <c r="DE443" s="11">
        <f>BE443</f>
        <v>144.524</v>
      </c>
      <c r="DF443" s="11">
        <f>BQ443</f>
        <v>221.024</v>
      </c>
      <c r="DG443" s="11">
        <f>CC443</f>
        <v>281.024</v>
      </c>
      <c r="DH443" s="11">
        <f>CO443</f>
        <v>341.024</v>
      </c>
      <c r="DI443" s="11">
        <f>DA443</f>
        <v>401.024</v>
      </c>
    </row>
    <row r="444" spans="4:113" outlineLevel="2">
      <c r="E444" s="698"/>
      <c r="F444" s="126" t="s">
        <v>846</v>
      </c>
      <c r="I444" s="699" t="s">
        <v>743</v>
      </c>
      <c r="AH444" s="698"/>
      <c r="AI444" s="12"/>
      <c r="AK444" s="721">
        <v>3.2000000000000001E-2</v>
      </c>
      <c r="AL444" s="721">
        <v>1.2809999999999999</v>
      </c>
      <c r="AM444" s="721">
        <v>3.5570000000000004</v>
      </c>
      <c r="AN444" s="721">
        <v>6.931</v>
      </c>
      <c r="AO444" s="721">
        <v>13.348000000000001</v>
      </c>
      <c r="AP444" s="721">
        <v>10.637</v>
      </c>
      <c r="AQ444" s="721">
        <v>12.311800000000002</v>
      </c>
      <c r="AR444" s="739">
        <v>14.107200000000001</v>
      </c>
      <c r="AS444" s="739">
        <v>16.2072</v>
      </c>
      <c r="AT444" s="739">
        <v>18.3322</v>
      </c>
      <c r="AU444" s="739">
        <v>20.482199999999999</v>
      </c>
      <c r="AV444" s="739">
        <v>22.6572</v>
      </c>
      <c r="AW444" s="739">
        <v>24.857199999999999</v>
      </c>
      <c r="AX444" s="739">
        <v>27.0822</v>
      </c>
      <c r="AY444" s="739">
        <v>29.3322</v>
      </c>
      <c r="AZ444" s="739">
        <v>31.607199999999999</v>
      </c>
      <c r="BA444" s="739">
        <v>33.907199999999996</v>
      </c>
      <c r="BB444" s="739">
        <v>36.232199999999999</v>
      </c>
      <c r="BC444" s="739">
        <v>38.5822</v>
      </c>
      <c r="BD444" s="739">
        <v>40.9572</v>
      </c>
      <c r="BE444" s="739">
        <v>43.357199999999999</v>
      </c>
      <c r="BF444" s="739">
        <v>45.682200000000002</v>
      </c>
      <c r="BG444" s="739">
        <v>47.932200000000002</v>
      </c>
      <c r="BH444" s="739">
        <v>50.107199999999999</v>
      </c>
      <c r="BI444" s="739">
        <v>52.2072</v>
      </c>
      <c r="BJ444" s="739">
        <v>54.232199999999999</v>
      </c>
      <c r="BK444" s="739">
        <v>56.182200000000002</v>
      </c>
      <c r="BL444" s="739">
        <v>58.057199999999995</v>
      </c>
      <c r="BM444" s="739">
        <v>59.857199999999999</v>
      </c>
      <c r="BN444" s="739">
        <v>61.5822</v>
      </c>
      <c r="BO444" s="739">
        <v>63.232199999999999</v>
      </c>
      <c r="BP444" s="739">
        <v>64.807199999999995</v>
      </c>
      <c r="BQ444" s="739">
        <v>66.307199999999995</v>
      </c>
      <c r="BR444" s="739">
        <v>67.807199999999995</v>
      </c>
      <c r="BS444" s="739">
        <v>69.307199999999995</v>
      </c>
      <c r="BT444" s="739">
        <v>70.807199999999995</v>
      </c>
      <c r="BU444" s="739">
        <v>72.307199999999995</v>
      </c>
      <c r="BV444" s="739">
        <v>73.807199999999995</v>
      </c>
      <c r="BW444" s="739">
        <v>75.307199999999995</v>
      </c>
      <c r="BX444" s="739">
        <v>76.807199999999995</v>
      </c>
      <c r="BY444" s="739">
        <v>78.307199999999995</v>
      </c>
      <c r="BZ444" s="739">
        <v>79.807199999999995</v>
      </c>
      <c r="CA444" s="739">
        <v>81.307199999999995</v>
      </c>
      <c r="CB444" s="739">
        <v>82.807199999999995</v>
      </c>
      <c r="CC444" s="739">
        <v>84.307199999999995</v>
      </c>
      <c r="CD444" s="739">
        <v>85.807199999999995</v>
      </c>
      <c r="CE444" s="739">
        <v>87.307199999999995</v>
      </c>
      <c r="CF444" s="739">
        <v>88.807199999999995</v>
      </c>
      <c r="CG444" s="739">
        <v>90.307199999999995</v>
      </c>
      <c r="CH444" s="739">
        <v>91.807199999999995</v>
      </c>
      <c r="CI444" s="739">
        <v>93.307199999999995</v>
      </c>
      <c r="CJ444" s="739">
        <v>94.807199999999995</v>
      </c>
      <c r="CK444" s="739">
        <v>96.307199999999995</v>
      </c>
      <c r="CL444" s="739">
        <v>97.807199999999995</v>
      </c>
      <c r="CM444" s="739">
        <v>99.307199999999995</v>
      </c>
      <c r="CN444" s="739">
        <v>100.80719999999999</v>
      </c>
      <c r="CO444" s="739">
        <v>102.30719999999999</v>
      </c>
      <c r="CP444" s="739">
        <v>103.80719999999999</v>
      </c>
      <c r="CQ444" s="739">
        <v>105.30719999999999</v>
      </c>
      <c r="CR444" s="739">
        <v>106.80719999999999</v>
      </c>
      <c r="CS444" s="739">
        <v>108.30719999999999</v>
      </c>
      <c r="CT444" s="739">
        <v>109.80719999999999</v>
      </c>
      <c r="CU444" s="739">
        <v>111.30719999999999</v>
      </c>
      <c r="CV444" s="739">
        <v>112.80719999999999</v>
      </c>
      <c r="CW444" s="739">
        <v>114.30719999999999</v>
      </c>
      <c r="CX444" s="739">
        <v>115.80719999999999</v>
      </c>
      <c r="CY444" s="739">
        <v>117.30719999999999</v>
      </c>
      <c r="CZ444" s="739">
        <v>118.80719999999999</v>
      </c>
      <c r="DA444" s="739">
        <v>120.30719999999999</v>
      </c>
      <c r="DC444" s="11">
        <f>AG444</f>
        <v>0</v>
      </c>
      <c r="DD444" s="11">
        <f>AS444</f>
        <v>16.2072</v>
      </c>
      <c r="DE444" s="11">
        <f>BE444</f>
        <v>43.357199999999999</v>
      </c>
      <c r="DF444" s="11">
        <f>BQ444</f>
        <v>66.307199999999995</v>
      </c>
      <c r="DG444" s="11">
        <f>CC444</f>
        <v>84.307199999999995</v>
      </c>
      <c r="DH444" s="11">
        <f>CO444</f>
        <v>102.30719999999999</v>
      </c>
      <c r="DI444" s="11">
        <f>DA444</f>
        <v>120.30719999999999</v>
      </c>
    </row>
    <row r="445" spans="4:113" outlineLevel="2">
      <c r="E445" s="698"/>
      <c r="F445" s="126" t="s">
        <v>847</v>
      </c>
      <c r="I445" s="609" t="s">
        <v>736</v>
      </c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698"/>
      <c r="AK445" s="721">
        <v>2.0056899999999999E-2</v>
      </c>
      <c r="AL445" s="721">
        <v>1.0980000000000001</v>
      </c>
      <c r="AM445" s="721">
        <v>2.7368178800000003</v>
      </c>
      <c r="AN445" s="721">
        <v>5.0356150660000001</v>
      </c>
      <c r="AO445" s="721">
        <v>7.1883971720000002</v>
      </c>
      <c r="AP445" s="721">
        <v>7.9208724949999993</v>
      </c>
      <c r="AQ445" s="721">
        <v>8.6182600000000011</v>
      </c>
      <c r="AR445" s="739">
        <v>9.8750400000000003</v>
      </c>
      <c r="AS445" s="739">
        <v>12.96576</v>
      </c>
      <c r="AT445" s="739">
        <v>14.665760000000001</v>
      </c>
      <c r="AU445" s="739">
        <v>16.385759999999998</v>
      </c>
      <c r="AV445" s="739">
        <v>18.12576</v>
      </c>
      <c r="AW445" s="739">
        <v>19.885759999999998</v>
      </c>
      <c r="AX445" s="739">
        <v>21.665760000000002</v>
      </c>
      <c r="AY445" s="739">
        <v>23.465760000000003</v>
      </c>
      <c r="AZ445" s="739">
        <v>25.28576</v>
      </c>
      <c r="BA445" s="739">
        <v>27.12576</v>
      </c>
      <c r="BB445" s="739">
        <v>28.985759999999999</v>
      </c>
      <c r="BC445" s="739">
        <v>30.865760000000002</v>
      </c>
      <c r="BD445" s="739">
        <v>32.76576</v>
      </c>
      <c r="BE445" s="739">
        <v>34.685760000000002</v>
      </c>
      <c r="BF445" s="739">
        <v>36.545760000000001</v>
      </c>
      <c r="BG445" s="739">
        <v>38.345759999999999</v>
      </c>
      <c r="BH445" s="739">
        <v>40.085760000000001</v>
      </c>
      <c r="BI445" s="739">
        <v>41.76576</v>
      </c>
      <c r="BJ445" s="739">
        <v>43.385760000000005</v>
      </c>
      <c r="BK445" s="739">
        <v>44.94576</v>
      </c>
      <c r="BL445" s="739">
        <v>46.445759999999993</v>
      </c>
      <c r="BM445" s="739">
        <v>47.885760000000005</v>
      </c>
      <c r="BN445" s="739">
        <v>49.26576</v>
      </c>
      <c r="BO445" s="739">
        <v>50.585760000000001</v>
      </c>
      <c r="BP445" s="739">
        <v>51.845759999999991</v>
      </c>
      <c r="BQ445" s="739">
        <v>53.045759999999994</v>
      </c>
      <c r="BR445" s="739">
        <v>54.245759999999997</v>
      </c>
      <c r="BS445" s="739">
        <v>55.445759999999993</v>
      </c>
      <c r="BT445" s="739">
        <v>56.645759999999996</v>
      </c>
      <c r="BU445" s="739">
        <v>57.845759999999991</v>
      </c>
      <c r="BV445" s="739">
        <v>59.045759999999994</v>
      </c>
      <c r="BW445" s="739">
        <v>60.245759999999997</v>
      </c>
      <c r="BX445" s="739">
        <v>61.445759999999993</v>
      </c>
      <c r="BY445" s="739">
        <v>62.645759999999996</v>
      </c>
      <c r="BZ445" s="739">
        <v>63.845759999999991</v>
      </c>
      <c r="CA445" s="739">
        <v>65.045760000000001</v>
      </c>
      <c r="CB445" s="739">
        <v>66.24575999999999</v>
      </c>
      <c r="CC445" s="739">
        <v>67.445759999999993</v>
      </c>
      <c r="CD445" s="739">
        <v>68.645759999999996</v>
      </c>
      <c r="CE445" s="739">
        <v>69.845759999999999</v>
      </c>
      <c r="CF445" s="739">
        <v>71.045760000000001</v>
      </c>
      <c r="CG445" s="739">
        <v>72.24575999999999</v>
      </c>
      <c r="CH445" s="739">
        <v>73.445759999999993</v>
      </c>
      <c r="CI445" s="739">
        <v>74.645759999999996</v>
      </c>
      <c r="CJ445" s="739">
        <v>75.845759999999999</v>
      </c>
      <c r="CK445" s="739">
        <v>77.045760000000001</v>
      </c>
      <c r="CL445" s="739">
        <v>78.24575999999999</v>
      </c>
      <c r="CM445" s="739">
        <v>79.445759999999993</v>
      </c>
      <c r="CN445" s="739">
        <v>80.645759999999996</v>
      </c>
      <c r="CO445" s="739">
        <v>81.845759999999999</v>
      </c>
      <c r="CP445" s="739">
        <v>83.045760000000001</v>
      </c>
      <c r="CQ445" s="739">
        <v>84.24575999999999</v>
      </c>
      <c r="CR445" s="739">
        <v>85.445759999999993</v>
      </c>
      <c r="CS445" s="739">
        <v>86.645759999999996</v>
      </c>
      <c r="CT445" s="739">
        <v>87.845759999999999</v>
      </c>
      <c r="CU445" s="739">
        <v>89.045760000000001</v>
      </c>
      <c r="CV445" s="739">
        <v>90.24575999999999</v>
      </c>
      <c r="CW445" s="739">
        <v>91.445759999999993</v>
      </c>
      <c r="CX445" s="739">
        <v>92.645759999999996</v>
      </c>
      <c r="CY445" s="739">
        <v>93.845759999999999</v>
      </c>
      <c r="CZ445" s="739">
        <v>95.045760000000001</v>
      </c>
      <c r="DA445" s="739">
        <v>96.24575999999999</v>
      </c>
      <c r="DC445" s="12">
        <f>SUM(V445:AG445)</f>
        <v>0</v>
      </c>
      <c r="DD445" s="12">
        <f>SUM(AH445:AS445)</f>
        <v>55.458819512999995</v>
      </c>
      <c r="DE445" s="12">
        <f>SUM(AT445:BE445)</f>
        <v>293.90912000000003</v>
      </c>
      <c r="DF445" s="12">
        <f>SUM(BF445:BQ445)</f>
        <v>544.14912000000004</v>
      </c>
      <c r="DG445" s="12">
        <f>SUM(BR445:CC445)</f>
        <v>730.14911999999993</v>
      </c>
      <c r="DH445" s="12">
        <f>SUM(CD445:CO445)</f>
        <v>902.94911999999999</v>
      </c>
      <c r="DI445" s="12">
        <f>SUM(CP445:DA445)</f>
        <v>1075.7491199999999</v>
      </c>
    </row>
    <row r="446" spans="4:113" outlineLevel="2">
      <c r="E446" s="698"/>
      <c r="F446" s="126" t="s">
        <v>796</v>
      </c>
      <c r="I446" s="609" t="s">
        <v>736</v>
      </c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698"/>
      <c r="AK446" s="721">
        <v>1.9035494E-2</v>
      </c>
      <c r="AL446" s="721">
        <v>0.932348391</v>
      </c>
      <c r="AM446" s="721">
        <v>2.7813506760000002</v>
      </c>
      <c r="AN446" s="721">
        <v>5.6146401800000003</v>
      </c>
      <c r="AO446" s="721">
        <v>8.6527679000000006</v>
      </c>
      <c r="AP446" s="721">
        <v>11.217143425</v>
      </c>
      <c r="AQ446" s="721">
        <v>14.758809007</v>
      </c>
      <c r="AR446" s="739">
        <v>15.040623152449999</v>
      </c>
      <c r="AS446" s="739">
        <v>18.229978103357499</v>
      </c>
      <c r="AT446" s="739">
        <v>24.578451512641195</v>
      </c>
      <c r="AU446" s="739">
        <v>29.538726149379499</v>
      </c>
      <c r="AV446" s="739">
        <v>33.606963801564241</v>
      </c>
      <c r="AW446" s="739">
        <v>37.295943970505682</v>
      </c>
      <c r="AX446" s="739">
        <v>41.099582809072416</v>
      </c>
      <c r="AY446" s="739">
        <v>44.644049989391419</v>
      </c>
      <c r="AZ446" s="739">
        <v>48.652710547042723</v>
      </c>
      <c r="BA446" s="739">
        <v>52.863613620810611</v>
      </c>
      <c r="BB446" s="739">
        <v>56.625084005544544</v>
      </c>
      <c r="BC446" s="739">
        <v>60.324559048589933</v>
      </c>
      <c r="BD446" s="739">
        <v>64.090414107899036</v>
      </c>
      <c r="BE446" s="739">
        <v>68.058253005104788</v>
      </c>
      <c r="BF446" s="739">
        <v>71.991270710132127</v>
      </c>
      <c r="BG446" s="739">
        <v>75.954145582137244</v>
      </c>
      <c r="BH446" s="739">
        <v>79.738215871488052</v>
      </c>
      <c r="BI446" s="739">
        <v>83.454102276710486</v>
      </c>
      <c r="BJ446" s="739">
        <v>87.209268762152547</v>
      </c>
      <c r="BK446" s="739">
        <v>90.891879839606432</v>
      </c>
      <c r="BL446" s="739">
        <v>94.390641756210897</v>
      </c>
      <c r="BM446" s="739">
        <v>97.969630525840799</v>
      </c>
      <c r="BN446" s="739">
        <v>101.17193859134527</v>
      </c>
      <c r="BO446" s="739">
        <v>104.11549200769689</v>
      </c>
      <c r="BP446" s="739">
        <v>106.86430622051242</v>
      </c>
      <c r="BQ446" s="739">
        <v>109.45186927113892</v>
      </c>
      <c r="BR446" s="739">
        <v>111.95677056309042</v>
      </c>
      <c r="BS446" s="739">
        <v>114.42474679254211</v>
      </c>
      <c r="BT446" s="739">
        <v>116.88157529612825</v>
      </c>
      <c r="BU446" s="739">
        <v>119.34029628847468</v>
      </c>
      <c r="BV446" s="739">
        <v>121.81117045319863</v>
      </c>
      <c r="BW446" s="739">
        <v>124.29558247462619</v>
      </c>
      <c r="BX446" s="739">
        <v>126.7921317757462</v>
      </c>
      <c r="BY446" s="739">
        <v>129.2989662882955</v>
      </c>
      <c r="BZ446" s="739">
        <v>131.81243937884759</v>
      </c>
      <c r="CA446" s="739">
        <v>134.32925959903361</v>
      </c>
      <c r="CB446" s="739">
        <v>136.84708095204596</v>
      </c>
      <c r="CC446" s="739">
        <v>139.36448649549754</v>
      </c>
      <c r="CD446" s="739">
        <v>141.88076744072183</v>
      </c>
      <c r="CE446" s="739">
        <v>144.39575703163678</v>
      </c>
      <c r="CF446" s="739">
        <v>146.90959657439836</v>
      </c>
      <c r="CG446" s="739">
        <v>149.42256534786222</v>
      </c>
      <c r="CH446" s="739">
        <v>151.93498247495069</v>
      </c>
      <c r="CI446" s="739">
        <v>154.44712651974609</v>
      </c>
      <c r="CJ446" s="739">
        <v>156.95919953452875</v>
      </c>
      <c r="CK446" s="739">
        <v>159.47132407176298</v>
      </c>
      <c r="CL446" s="739">
        <v>161.98355721921621</v>
      </c>
      <c r="CM446" s="739">
        <v>164.49590988435077</v>
      </c>
      <c r="CN446" s="739">
        <v>167.00836599985925</v>
      </c>
      <c r="CO446" s="739">
        <v>169.52089777176013</v>
      </c>
      <c r="CP446" s="739">
        <v>172.03347599264782</v>
      </c>
      <c r="CQ446" s="739">
        <v>174.54607609632578</v>
      </c>
      <c r="CR446" s="739">
        <v>177.05868063626733</v>
      </c>
      <c r="CS446" s="739">
        <v>179.57127929275802</v>
      </c>
      <c r="CT446" s="739">
        <v>182.08386753785985</v>
      </c>
      <c r="CU446" s="739">
        <v>184.59644483434374</v>
      </c>
      <c r="CV446" s="739">
        <v>187.10901291573109</v>
      </c>
      <c r="CW446" s="739">
        <v>189.62157443210771</v>
      </c>
      <c r="CX446" s="739">
        <v>192.13413204423449</v>
      </c>
      <c r="CY446" s="739">
        <v>194.64668792614512</v>
      </c>
      <c r="CZ446" s="739">
        <v>197.15924358336193</v>
      </c>
      <c r="DA446" s="739">
        <v>199.67179987784542</v>
      </c>
      <c r="DC446" s="11">
        <f>AG446</f>
        <v>0</v>
      </c>
      <c r="DD446" s="11">
        <f>AS446</f>
        <v>18.229978103357499</v>
      </c>
      <c r="DE446" s="11">
        <f>BE446</f>
        <v>68.058253005104788</v>
      </c>
      <c r="DF446" s="11">
        <f>BQ446</f>
        <v>109.45186927113892</v>
      </c>
      <c r="DG446" s="11">
        <f>CC446</f>
        <v>139.36448649549754</v>
      </c>
      <c r="DH446" s="11">
        <f>CO446</f>
        <v>169.52089777176013</v>
      </c>
      <c r="DI446" s="11">
        <f>DA446</f>
        <v>199.67179987784542</v>
      </c>
    </row>
    <row r="447" spans="4:113" outlineLevel="2">
      <c r="E447" s="698"/>
      <c r="F447" s="740" t="s">
        <v>848</v>
      </c>
      <c r="I447" s="609" t="s">
        <v>736</v>
      </c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698"/>
      <c r="AK447" s="721">
        <f>AK446-AK448</f>
        <v>1.9035494E-2</v>
      </c>
      <c r="AL447" s="721">
        <f t="shared" ref="AL447:CW447" si="496">AL446-AL448</f>
        <v>0.932348391</v>
      </c>
      <c r="AM447" s="721">
        <v>2.7813506760000002</v>
      </c>
      <c r="AN447" s="721">
        <v>5.6146401800000003</v>
      </c>
      <c r="AO447" s="721">
        <v>8.6527679000000006</v>
      </c>
      <c r="AP447" s="721">
        <v>11.217143425</v>
      </c>
      <c r="AQ447" s="721">
        <v>14.758809007</v>
      </c>
      <c r="AR447" s="739">
        <f t="shared" si="496"/>
        <v>15.040623152449999</v>
      </c>
      <c r="AS447" s="739">
        <f t="shared" si="496"/>
        <v>18.229978103357499</v>
      </c>
      <c r="AT447" s="739">
        <f t="shared" si="496"/>
        <v>24.578451512641195</v>
      </c>
      <c r="AU447" s="739">
        <f t="shared" si="496"/>
        <v>29.538726149379499</v>
      </c>
      <c r="AV447" s="739">
        <f t="shared" si="496"/>
        <v>33.606963801564241</v>
      </c>
      <c r="AW447" s="739">
        <f t="shared" si="496"/>
        <v>37.295943970505682</v>
      </c>
      <c r="AX447" s="739">
        <f t="shared" si="496"/>
        <v>41.099582809072416</v>
      </c>
      <c r="AY447" s="739">
        <f t="shared" si="496"/>
        <v>44.644049989391419</v>
      </c>
      <c r="AZ447" s="739">
        <f t="shared" si="496"/>
        <v>48.652710547042723</v>
      </c>
      <c r="BA447" s="739">
        <f t="shared" si="496"/>
        <v>52.863613620810611</v>
      </c>
      <c r="BB447" s="739">
        <f t="shared" si="496"/>
        <v>56.625084005544544</v>
      </c>
      <c r="BC447" s="739">
        <f t="shared" si="496"/>
        <v>60.324559048589933</v>
      </c>
      <c r="BD447" s="739">
        <f t="shared" si="496"/>
        <v>64.090414107899036</v>
      </c>
      <c r="BE447" s="739">
        <f t="shared" si="496"/>
        <v>68.058253005104788</v>
      </c>
      <c r="BF447" s="739">
        <f t="shared" si="496"/>
        <v>71.991270710132127</v>
      </c>
      <c r="BG447" s="739">
        <f t="shared" si="496"/>
        <v>75.954145582137244</v>
      </c>
      <c r="BH447" s="739">
        <f t="shared" si="496"/>
        <v>79.738215871488052</v>
      </c>
      <c r="BI447" s="739">
        <f t="shared" si="496"/>
        <v>83.454102276710486</v>
      </c>
      <c r="BJ447" s="739">
        <f t="shared" si="496"/>
        <v>87.209268762152547</v>
      </c>
      <c r="BK447" s="739">
        <f t="shared" si="496"/>
        <v>90.891879839606432</v>
      </c>
      <c r="BL447" s="739">
        <f t="shared" si="496"/>
        <v>94.390641756210897</v>
      </c>
      <c r="BM447" s="739">
        <f t="shared" si="496"/>
        <v>97.969630525840799</v>
      </c>
      <c r="BN447" s="739">
        <f t="shared" si="496"/>
        <v>101.17193859134527</v>
      </c>
      <c r="BO447" s="739">
        <f t="shared" si="496"/>
        <v>104.11549200769689</v>
      </c>
      <c r="BP447" s="739">
        <f t="shared" si="496"/>
        <v>106.86430622051242</v>
      </c>
      <c r="BQ447" s="739">
        <f t="shared" si="496"/>
        <v>109.45186927113892</v>
      </c>
      <c r="BR447" s="739">
        <f t="shared" si="496"/>
        <v>111.95677056309042</v>
      </c>
      <c r="BS447" s="739">
        <f t="shared" si="496"/>
        <v>114.42474679254211</v>
      </c>
      <c r="BT447" s="739">
        <f t="shared" si="496"/>
        <v>116.88157529612825</v>
      </c>
      <c r="BU447" s="739">
        <f t="shared" si="496"/>
        <v>119.34029628847468</v>
      </c>
      <c r="BV447" s="739">
        <f t="shared" si="496"/>
        <v>121.81117045319863</v>
      </c>
      <c r="BW447" s="739">
        <f t="shared" si="496"/>
        <v>124.29558247462619</v>
      </c>
      <c r="BX447" s="739">
        <f t="shared" si="496"/>
        <v>126.7921317757462</v>
      </c>
      <c r="BY447" s="739">
        <f t="shared" si="496"/>
        <v>129.2989662882955</v>
      </c>
      <c r="BZ447" s="739">
        <f t="shared" si="496"/>
        <v>131.81243937884759</v>
      </c>
      <c r="CA447" s="739">
        <f t="shared" si="496"/>
        <v>134.32925959903361</v>
      </c>
      <c r="CB447" s="739">
        <f t="shared" si="496"/>
        <v>136.84708095204596</v>
      </c>
      <c r="CC447" s="739">
        <f t="shared" si="496"/>
        <v>139.36448649549754</v>
      </c>
      <c r="CD447" s="739">
        <f t="shared" si="496"/>
        <v>141.88076744072183</v>
      </c>
      <c r="CE447" s="739">
        <f t="shared" si="496"/>
        <v>144.39575703163678</v>
      </c>
      <c r="CF447" s="739">
        <f t="shared" si="496"/>
        <v>146.90959657439836</v>
      </c>
      <c r="CG447" s="739">
        <f t="shared" si="496"/>
        <v>149.42256534786222</v>
      </c>
      <c r="CH447" s="739">
        <f t="shared" si="496"/>
        <v>151.93498247495069</v>
      </c>
      <c r="CI447" s="739">
        <f t="shared" si="496"/>
        <v>154.44712651974609</v>
      </c>
      <c r="CJ447" s="739">
        <f t="shared" si="496"/>
        <v>156.95919953452875</v>
      </c>
      <c r="CK447" s="739">
        <f t="shared" si="496"/>
        <v>159.47132407176298</v>
      </c>
      <c r="CL447" s="739">
        <f t="shared" si="496"/>
        <v>161.98355721921621</v>
      </c>
      <c r="CM447" s="739">
        <f t="shared" si="496"/>
        <v>164.49590988435077</v>
      </c>
      <c r="CN447" s="739">
        <f t="shared" si="496"/>
        <v>167.00836599985925</v>
      </c>
      <c r="CO447" s="739">
        <f t="shared" si="496"/>
        <v>169.52089777176013</v>
      </c>
      <c r="CP447" s="739">
        <f t="shared" si="496"/>
        <v>172.03347599264782</v>
      </c>
      <c r="CQ447" s="739">
        <f t="shared" si="496"/>
        <v>174.54607609632578</v>
      </c>
      <c r="CR447" s="739">
        <f t="shared" si="496"/>
        <v>177.05868063626733</v>
      </c>
      <c r="CS447" s="739">
        <f t="shared" si="496"/>
        <v>179.57127929275802</v>
      </c>
      <c r="CT447" s="739">
        <f t="shared" si="496"/>
        <v>182.08386753785985</v>
      </c>
      <c r="CU447" s="739">
        <f t="shared" si="496"/>
        <v>184.59644483434374</v>
      </c>
      <c r="CV447" s="739">
        <f t="shared" si="496"/>
        <v>187.10901291573109</v>
      </c>
      <c r="CW447" s="739">
        <f t="shared" si="496"/>
        <v>189.62157443210771</v>
      </c>
      <c r="CX447" s="739">
        <f t="shared" ref="CX447:DA447" si="497">CX446-CX448</f>
        <v>192.13413204423449</v>
      </c>
      <c r="CY447" s="739">
        <f t="shared" si="497"/>
        <v>194.64668792614512</v>
      </c>
      <c r="CZ447" s="739">
        <f t="shared" si="497"/>
        <v>197.15924358336193</v>
      </c>
      <c r="DA447" s="739">
        <f t="shared" si="497"/>
        <v>199.67179987784542</v>
      </c>
      <c r="DC447" s="11">
        <f>AG447</f>
        <v>0</v>
      </c>
      <c r="DD447" s="11">
        <f>AS447</f>
        <v>18.229978103357499</v>
      </c>
      <c r="DE447" s="11">
        <f>BE447</f>
        <v>68.058253005104788</v>
      </c>
      <c r="DF447" s="11">
        <f>BQ447</f>
        <v>109.45186927113892</v>
      </c>
      <c r="DG447" s="11">
        <f>CC447</f>
        <v>139.36448649549754</v>
      </c>
      <c r="DH447" s="11">
        <f>CO447</f>
        <v>169.52089777176013</v>
      </c>
      <c r="DI447" s="11">
        <f>DA447</f>
        <v>199.67179987784542</v>
      </c>
    </row>
    <row r="448" spans="4:113" outlineLevel="2">
      <c r="E448" s="698"/>
      <c r="F448" s="740" t="s">
        <v>849</v>
      </c>
      <c r="I448" s="609" t="s">
        <v>736</v>
      </c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698"/>
      <c r="AK448" s="721"/>
      <c r="AL448" s="721"/>
      <c r="AM448" s="721"/>
      <c r="AN448" s="721"/>
      <c r="AO448" s="721"/>
      <c r="AP448" s="739">
        <v>0</v>
      </c>
      <c r="AQ448" s="739">
        <v>0</v>
      </c>
      <c r="AR448" s="739">
        <v>0</v>
      </c>
      <c r="AS448" s="739">
        <v>0</v>
      </c>
      <c r="AT448" s="739">
        <v>0</v>
      </c>
      <c r="AU448" s="739">
        <v>0</v>
      </c>
      <c r="AV448" s="739">
        <v>0</v>
      </c>
      <c r="AW448" s="739">
        <v>0</v>
      </c>
      <c r="AX448" s="739">
        <v>0</v>
      </c>
      <c r="AY448" s="739">
        <v>0</v>
      </c>
      <c r="AZ448" s="739">
        <v>0</v>
      </c>
      <c r="BA448" s="739">
        <v>0</v>
      </c>
      <c r="BB448" s="739">
        <v>0</v>
      </c>
      <c r="BC448" s="739">
        <v>0</v>
      </c>
      <c r="BD448" s="739">
        <v>0</v>
      </c>
      <c r="BE448" s="739">
        <v>0</v>
      </c>
      <c r="BF448" s="739">
        <v>0</v>
      </c>
      <c r="BG448" s="739">
        <v>0</v>
      </c>
      <c r="BH448" s="739">
        <v>0</v>
      </c>
      <c r="BI448" s="739">
        <v>0</v>
      </c>
      <c r="BJ448" s="739">
        <v>0</v>
      </c>
      <c r="BK448" s="739">
        <v>0</v>
      </c>
      <c r="BL448" s="739">
        <v>0</v>
      </c>
      <c r="BM448" s="739">
        <v>0</v>
      </c>
      <c r="BN448" s="739">
        <v>0</v>
      </c>
      <c r="BO448" s="739">
        <v>0</v>
      </c>
      <c r="BP448" s="739">
        <v>0</v>
      </c>
      <c r="BQ448" s="739">
        <v>0</v>
      </c>
      <c r="BR448" s="739">
        <v>0</v>
      </c>
      <c r="BS448" s="739">
        <v>0</v>
      </c>
      <c r="BT448" s="739">
        <v>0</v>
      </c>
      <c r="BU448" s="739">
        <v>0</v>
      </c>
      <c r="BV448" s="739">
        <v>0</v>
      </c>
      <c r="BW448" s="739">
        <v>0</v>
      </c>
      <c r="BX448" s="739">
        <v>0</v>
      </c>
      <c r="BY448" s="739">
        <v>0</v>
      </c>
      <c r="BZ448" s="739">
        <v>0</v>
      </c>
      <c r="CA448" s="739">
        <v>0</v>
      </c>
      <c r="CB448" s="739">
        <v>0</v>
      </c>
      <c r="CC448" s="739">
        <v>0</v>
      </c>
      <c r="CD448" s="739">
        <v>0</v>
      </c>
      <c r="CE448" s="739">
        <v>0</v>
      </c>
      <c r="CF448" s="739">
        <v>0</v>
      </c>
      <c r="CG448" s="739">
        <v>0</v>
      </c>
      <c r="CH448" s="739">
        <v>0</v>
      </c>
      <c r="CI448" s="739">
        <v>0</v>
      </c>
      <c r="CJ448" s="739">
        <v>0</v>
      </c>
      <c r="CK448" s="739">
        <v>0</v>
      </c>
      <c r="CL448" s="739">
        <v>0</v>
      </c>
      <c r="CM448" s="739">
        <v>0</v>
      </c>
      <c r="CN448" s="739">
        <v>0</v>
      </c>
      <c r="CO448" s="739">
        <v>0</v>
      </c>
      <c r="CP448" s="739">
        <v>0</v>
      </c>
      <c r="CQ448" s="739">
        <v>0</v>
      </c>
      <c r="CR448" s="739">
        <v>0</v>
      </c>
      <c r="CS448" s="739">
        <v>0</v>
      </c>
      <c r="CT448" s="739">
        <v>0</v>
      </c>
      <c r="CU448" s="739">
        <v>0</v>
      </c>
      <c r="CV448" s="739">
        <v>0</v>
      </c>
      <c r="CW448" s="739">
        <v>0</v>
      </c>
      <c r="CX448" s="739">
        <v>0</v>
      </c>
      <c r="CY448" s="739">
        <v>0</v>
      </c>
      <c r="CZ448" s="739">
        <v>0</v>
      </c>
      <c r="DA448" s="739">
        <v>0</v>
      </c>
      <c r="DC448" s="11">
        <f>AG448</f>
        <v>0</v>
      </c>
      <c r="DD448" s="11">
        <f>AS448</f>
        <v>0</v>
      </c>
      <c r="DE448" s="11">
        <f>BE448</f>
        <v>0</v>
      </c>
      <c r="DF448" s="11">
        <f>BQ448</f>
        <v>0</v>
      </c>
      <c r="DG448" s="11">
        <f>CC448</f>
        <v>0</v>
      </c>
      <c r="DH448" s="11">
        <f>CO448</f>
        <v>0</v>
      </c>
      <c r="DI448" s="11">
        <f>DA448</f>
        <v>0</v>
      </c>
    </row>
    <row r="449" spans="2:113" outlineLevel="2">
      <c r="E449" s="698"/>
      <c r="F449" s="126" t="s">
        <v>203</v>
      </c>
      <c r="I449" s="609" t="s">
        <v>736</v>
      </c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698"/>
      <c r="AK449" s="721">
        <v>0</v>
      </c>
      <c r="AL449" s="721">
        <v>0</v>
      </c>
      <c r="AM449" s="721">
        <v>0</v>
      </c>
      <c r="AN449" s="721">
        <v>0</v>
      </c>
      <c r="AO449" s="721">
        <v>0</v>
      </c>
      <c r="AP449" s="721">
        <v>0</v>
      </c>
      <c r="AQ449" s="739">
        <v>4.4868573700000001</v>
      </c>
      <c r="AR449" s="739">
        <v>5.9035236028</v>
      </c>
      <c r="AS449" s="739">
        <v>6.0162492609800005</v>
      </c>
      <c r="AT449" s="739">
        <v>7.2919912413430001</v>
      </c>
      <c r="AU449" s="739">
        <v>13.518148331952657</v>
      </c>
      <c r="AV449" s="739">
        <v>16.246299382158725</v>
      </c>
      <c r="AW449" s="739">
        <v>18.483830090860334</v>
      </c>
      <c r="AX449" s="739">
        <v>20.512769183778126</v>
      </c>
      <c r="AY449" s="739">
        <v>22.60477054498983</v>
      </c>
      <c r="AZ449" s="739">
        <v>24.554227494165282</v>
      </c>
      <c r="BA449" s="739">
        <v>26.758990800873502</v>
      </c>
      <c r="BB449" s="739">
        <v>29.074987491445839</v>
      </c>
      <c r="BC449" s="739">
        <v>31.143796203049501</v>
      </c>
      <c r="BD449" s="739">
        <v>33.178507476724462</v>
      </c>
      <c r="BE449" s="739">
        <v>35.249727759344474</v>
      </c>
      <c r="BF449" s="739">
        <v>37.43203915280764</v>
      </c>
      <c r="BG449" s="739">
        <v>39.595198890572675</v>
      </c>
      <c r="BH449" s="739">
        <v>41.774780070175488</v>
      </c>
      <c r="BI449" s="739">
        <v>43.856018729318428</v>
      </c>
      <c r="BJ449" s="739">
        <v>45.89975625219077</v>
      </c>
      <c r="BK449" s="739">
        <v>47.965097819183903</v>
      </c>
      <c r="BL449" s="739">
        <v>49.990533911783544</v>
      </c>
      <c r="BM449" s="739">
        <v>51.914852965915998</v>
      </c>
      <c r="BN449" s="739">
        <v>53.883296789212444</v>
      </c>
      <c r="BO449" s="739">
        <v>55.644566225239899</v>
      </c>
      <c r="BP449" s="739">
        <v>57.263520604233292</v>
      </c>
      <c r="BQ449" s="739">
        <v>58.775368421281833</v>
      </c>
      <c r="BR449" s="739">
        <v>60.198528099126406</v>
      </c>
      <c r="BS449" s="739">
        <v>61.576223809699734</v>
      </c>
      <c r="BT449" s="739">
        <v>62.933610735898164</v>
      </c>
      <c r="BU449" s="739">
        <v>64.284866412870542</v>
      </c>
      <c r="BV449" s="739">
        <v>65.637162958661079</v>
      </c>
      <c r="BW449" s="739">
        <v>66.996143749259247</v>
      </c>
      <c r="BX449" s="739">
        <v>68.362570361044405</v>
      </c>
      <c r="BY449" s="739">
        <v>69.735672476660412</v>
      </c>
      <c r="BZ449" s="739">
        <v>71.114431458562535</v>
      </c>
      <c r="CA449" s="739">
        <v>72.496841658366179</v>
      </c>
      <c r="CB449" s="739">
        <v>73.881092779468489</v>
      </c>
      <c r="CC449" s="739">
        <v>75.265894523625278</v>
      </c>
      <c r="CD449" s="739">
        <v>76.650467572523652</v>
      </c>
      <c r="CE449" s="739">
        <v>78.034422092397008</v>
      </c>
      <c r="CF449" s="739">
        <v>79.41766636740023</v>
      </c>
      <c r="CG449" s="739">
        <v>80.800278115919113</v>
      </c>
      <c r="CH449" s="739">
        <v>82.182410941324221</v>
      </c>
      <c r="CI449" s="739">
        <v>83.564240361222886</v>
      </c>
      <c r="CJ449" s="739">
        <v>84.945919585860352</v>
      </c>
      <c r="CK449" s="739">
        <v>86.327559743990818</v>
      </c>
      <c r="CL449" s="739">
        <v>87.709228239469638</v>
      </c>
      <c r="CM449" s="739">
        <v>89.090956470568926</v>
      </c>
      <c r="CN449" s="739">
        <v>90.472750436392928</v>
      </c>
      <c r="CO449" s="739">
        <v>91.854601299922592</v>
      </c>
      <c r="CP449" s="739">
        <v>93.236493774468087</v>
      </c>
      <c r="CQ449" s="739">
        <v>94.618411795956305</v>
      </c>
      <c r="CR449" s="739">
        <v>96.00034185297919</v>
      </c>
      <c r="CS449" s="739">
        <v>97.382274349947039</v>
      </c>
      <c r="CT449" s="739">
        <v>98.764203611016924</v>
      </c>
      <c r="CU449" s="739">
        <v>100.14612714582292</v>
      </c>
      <c r="CV449" s="739">
        <v>101.52804465888907</v>
      </c>
      <c r="CW449" s="739">
        <v>102.9099571036521</v>
      </c>
      <c r="CX449" s="739">
        <v>104.29186593765925</v>
      </c>
      <c r="CY449" s="739">
        <v>105.67377262432898</v>
      </c>
      <c r="CZ449" s="739">
        <v>107.05567835937983</v>
      </c>
      <c r="DA449" s="739">
        <v>108.43758397084908</v>
      </c>
      <c r="DC449" s="11">
        <f>AG449</f>
        <v>0</v>
      </c>
      <c r="DD449" s="11">
        <f>AS449</f>
        <v>6.0162492609800005</v>
      </c>
      <c r="DE449" s="11">
        <f>BE449</f>
        <v>35.249727759344474</v>
      </c>
      <c r="DF449" s="11">
        <f>BQ449</f>
        <v>58.775368421281833</v>
      </c>
      <c r="DG449" s="11">
        <f>CC449</f>
        <v>75.265894523625278</v>
      </c>
      <c r="DH449" s="11">
        <f>CO449</f>
        <v>91.854601299922592</v>
      </c>
      <c r="DI449" s="11">
        <f t="shared" ref="DI449:DI481" si="498">SUM(CP449:DA449)</f>
        <v>1210.0447551849488</v>
      </c>
    </row>
    <row r="450" spans="2:113" outlineLevel="2">
      <c r="E450" s="698"/>
      <c r="F450" s="126" t="s">
        <v>215</v>
      </c>
      <c r="I450" s="609" t="s">
        <v>736</v>
      </c>
      <c r="Q450" s="12"/>
      <c r="R450" s="12"/>
      <c r="S450" s="12"/>
      <c r="T450" s="12"/>
      <c r="U450" s="12"/>
      <c r="V450" s="12"/>
      <c r="W450" s="12"/>
      <c r="X450" s="12"/>
      <c r="Y450" s="12"/>
      <c r="Z450" s="702"/>
      <c r="AA450" s="702"/>
      <c r="AB450" s="702"/>
      <c r="AC450" s="702"/>
      <c r="AD450" s="702"/>
      <c r="AE450" s="702"/>
      <c r="AF450" s="702"/>
      <c r="AG450" s="702"/>
      <c r="AH450" s="698"/>
      <c r="AK450" s="741">
        <f t="shared" ref="AK450:CV450" si="499">AK454+AK456</f>
        <v>1.0214060000000001E-3</v>
      </c>
      <c r="AL450" s="741">
        <f t="shared" si="499"/>
        <v>4.9043436999999995E-2</v>
      </c>
      <c r="AM450" s="741">
        <f t="shared" si="499"/>
        <v>0.117522401</v>
      </c>
      <c r="AN450" s="741">
        <f t="shared" si="499"/>
        <v>0.21274689499999999</v>
      </c>
      <c r="AO450" s="741">
        <f t="shared" si="499"/>
        <v>0.31997071799999999</v>
      </c>
      <c r="AP450" s="702">
        <f t="shared" si="499"/>
        <v>0.39170544100000004</v>
      </c>
      <c r="AQ450" s="702">
        <f t="shared" si="499"/>
        <v>0.49900950063905536</v>
      </c>
      <c r="AR450" s="702">
        <f>AR454+AR456</f>
        <v>0.56915097277363003</v>
      </c>
      <c r="AS450" s="702">
        <f t="shared" si="499"/>
        <v>0.63973815336413131</v>
      </c>
      <c r="AT450" s="702">
        <f t="shared" si="499"/>
        <v>0.7126333996748262</v>
      </c>
      <c r="AU450" s="702">
        <f t="shared" si="499"/>
        <v>0.82291777283257683</v>
      </c>
      <c r="AV450" s="702">
        <f t="shared" si="499"/>
        <v>0.99283281340307217</v>
      </c>
      <c r="AW450" s="702">
        <f t="shared" si="499"/>
        <v>1.1203073859712149</v>
      </c>
      <c r="AX450" s="702">
        <f t="shared" si="499"/>
        <v>1.2426999929636378</v>
      </c>
      <c r="AY450" s="702">
        <f t="shared" si="499"/>
        <v>1.3654956850172044</v>
      </c>
      <c r="AZ450" s="702">
        <f t="shared" si="499"/>
        <v>1.4971549263179482</v>
      </c>
      <c r="BA450" s="702">
        <f t="shared" si="499"/>
        <v>1.6189069399849694</v>
      </c>
      <c r="BB450" s="702">
        <f t="shared" si="499"/>
        <v>1.7439631610581869</v>
      </c>
      <c r="BC450" s="702">
        <f t="shared" si="499"/>
        <v>1.8805285272818015</v>
      </c>
      <c r="BD450" s="702">
        <f t="shared" si="499"/>
        <v>2.0284440770680696</v>
      </c>
      <c r="BE450" s="702">
        <f t="shared" si="499"/>
        <v>2.1863845133235169</v>
      </c>
      <c r="BF450" s="702">
        <f t="shared" si="499"/>
        <v>2.3813694966663457</v>
      </c>
      <c r="BG450" s="702">
        <f t="shared" si="499"/>
        <v>2.6219555984698788</v>
      </c>
      <c r="BH450" s="702">
        <f t="shared" si="499"/>
        <v>2.7958137264736918</v>
      </c>
      <c r="BI450" s="702">
        <f t="shared" si="499"/>
        <v>2.9606560411430829</v>
      </c>
      <c r="BJ450" s="702">
        <f t="shared" si="499"/>
        <v>3.1127554957937655</v>
      </c>
      <c r="BK450" s="702">
        <f t="shared" si="499"/>
        <v>3.2503421464185402</v>
      </c>
      <c r="BL450" s="702">
        <f t="shared" si="499"/>
        <v>3.3755732146886861</v>
      </c>
      <c r="BM450" s="702">
        <f t="shared" si="499"/>
        <v>3.4865738170525136</v>
      </c>
      <c r="BN450" s="702">
        <f t="shared" si="499"/>
        <v>3.5827349635446089</v>
      </c>
      <c r="BO450" s="702">
        <f t="shared" si="499"/>
        <v>3.6740305018025898</v>
      </c>
      <c r="BP450" s="702">
        <f t="shared" si="499"/>
        <v>3.7594103531180814</v>
      </c>
      <c r="BQ450" s="702">
        <f t="shared" si="499"/>
        <v>3.8404609752064998</v>
      </c>
      <c r="BR450" s="702">
        <f t="shared" si="499"/>
        <v>3.9209661970819489</v>
      </c>
      <c r="BS450" s="702">
        <f t="shared" si="499"/>
        <v>4.0020646496799861</v>
      </c>
      <c r="BT450" s="702">
        <f t="shared" si="499"/>
        <v>4.0844401928371106</v>
      </c>
      <c r="BU450" s="702">
        <f t="shared" si="499"/>
        <v>4.1682188229256738</v>
      </c>
      <c r="BV450" s="702">
        <f t="shared" si="499"/>
        <v>4.2532022037408028</v>
      </c>
      <c r="BW450" s="702">
        <f t="shared" si="499"/>
        <v>4.3390197418972765</v>
      </c>
      <c r="BX450" s="702">
        <f t="shared" si="499"/>
        <v>4.4253644638150691</v>
      </c>
      <c r="BY450" s="702">
        <f t="shared" si="499"/>
        <v>4.5119511910461085</v>
      </c>
      <c r="BZ450" s="702">
        <f t="shared" si="499"/>
        <v>4.5985672972280991</v>
      </c>
      <c r="CA450" s="702">
        <f t="shared" si="499"/>
        <v>4.6851051699410462</v>
      </c>
      <c r="CB450" s="702">
        <f t="shared" si="499"/>
        <v>4.7715184930893013</v>
      </c>
      <c r="CC450" s="702">
        <f t="shared" si="499"/>
        <v>4.8578045617545449</v>
      </c>
      <c r="CD450" s="702">
        <f t="shared" si="499"/>
        <v>4.9439855548687426</v>
      </c>
      <c r="CE450" s="702">
        <f t="shared" si="499"/>
        <v>5.0300933030029826</v>
      </c>
      <c r="CF450" s="702">
        <f t="shared" si="499"/>
        <v>5.1161584731802936</v>
      </c>
      <c r="CG450" s="702">
        <f t="shared" si="499"/>
        <v>5.2022059292551877</v>
      </c>
      <c r="CH450" s="702">
        <f t="shared" si="499"/>
        <v>5.2882527073717105</v>
      </c>
      <c r="CI450" s="702">
        <f t="shared" si="499"/>
        <v>5.3743081956111149</v>
      </c>
      <c r="CJ450" s="702">
        <f t="shared" si="499"/>
        <v>5.4603759697842866</v>
      </c>
      <c r="CK450" s="702">
        <f t="shared" si="499"/>
        <v>5.5464557861351063</v>
      </c>
      <c r="CL450" s="702">
        <f t="shared" si="499"/>
        <v>5.6325453576361486</v>
      </c>
      <c r="CM450" s="702">
        <f t="shared" si="499"/>
        <v>5.7186417017192905</v>
      </c>
      <c r="CN450" s="702">
        <f t="shared" si="499"/>
        <v>5.8047420077831839</v>
      </c>
      <c r="CO450" s="702">
        <f t="shared" si="499"/>
        <v>5.8908440721007764</v>
      </c>
      <c r="CP450" s="702">
        <f t="shared" si="499"/>
        <v>5.9769464275349176</v>
      </c>
      <c r="CQ450" s="702">
        <f t="shared" si="499"/>
        <v>6.0630482795717935</v>
      </c>
      <c r="CR450" s="702">
        <f t="shared" si="499"/>
        <v>6.1491493443481211</v>
      </c>
      <c r="CS450" s="702">
        <f t="shared" si="499"/>
        <v>6.2352496661064452</v>
      </c>
      <c r="CT450" s="702">
        <f t="shared" si="499"/>
        <v>6.3213494573783207</v>
      </c>
      <c r="CU450" s="702">
        <f t="shared" si="499"/>
        <v>6.407448980945345</v>
      </c>
      <c r="CV450" s="702">
        <f t="shared" si="499"/>
        <v>6.4935484763347509</v>
      </c>
      <c r="CW450" s="702">
        <f t="shared" ref="CW450:DA450" si="500">CW454+CW456</f>
        <v>6.5796481242114329</v>
      </c>
      <c r="CX450" s="702">
        <f t="shared" si="500"/>
        <v>6.6657480379232235</v>
      </c>
      <c r="CY450" s="702">
        <f t="shared" si="500"/>
        <v>6.7518482714365033</v>
      </c>
      <c r="CZ450" s="702">
        <f t="shared" si="500"/>
        <v>6.8379488347704669</v>
      </c>
      <c r="DA450" s="702">
        <f t="shared" si="500"/>
        <v>6.924049710633005</v>
      </c>
      <c r="DC450" s="12">
        <f t="shared" ref="DC450:DC471" si="501">SUM(V450:AG450)</f>
        <v>0</v>
      </c>
      <c r="DD450" s="12">
        <f t="shared" ref="DD450:DD481" si="502">SUM(AH450:AS450)</f>
        <v>2.7999089247768163</v>
      </c>
      <c r="DE450" s="12">
        <f t="shared" ref="DE450:DE481" si="503">SUM(AT450:BE450)</f>
        <v>17.212269194897026</v>
      </c>
      <c r="DF450" s="12">
        <f>SUM(BF450:BQ450)</f>
        <v>38.841676330378277</v>
      </c>
      <c r="DG450" s="12">
        <f>SUM(BR450:CC450)</f>
        <v>52.618222985036965</v>
      </c>
      <c r="DH450" s="12">
        <f t="shared" ref="DH450:DH481" si="504">SUM(CD450:CO450)</f>
        <v>65.008609058448826</v>
      </c>
      <c r="DI450" s="12">
        <f t="shared" si="498"/>
        <v>77.405983611194316</v>
      </c>
    </row>
    <row r="451" spans="2:113" outlineLevel="2">
      <c r="E451" s="698"/>
      <c r="F451" s="126" t="s">
        <v>99</v>
      </c>
      <c r="I451" s="609" t="s">
        <v>736</v>
      </c>
      <c r="Q451" s="12"/>
      <c r="R451" s="12"/>
      <c r="S451" s="12"/>
      <c r="T451" s="12"/>
      <c r="U451" s="12"/>
      <c r="V451" s="12"/>
      <c r="W451" s="12"/>
      <c r="X451" s="12"/>
      <c r="Y451" s="12"/>
      <c r="Z451" s="702"/>
      <c r="AA451" s="702"/>
      <c r="AB451" s="702"/>
      <c r="AC451" s="702"/>
      <c r="AD451" s="702"/>
      <c r="AE451" s="702"/>
      <c r="AF451" s="702"/>
      <c r="AG451" s="702"/>
      <c r="AH451" s="698"/>
      <c r="AI451" s="698"/>
      <c r="AJ451" s="698"/>
      <c r="AK451" s="741">
        <f t="shared" ref="AK451:CV451" si="505">AK455</f>
        <v>0</v>
      </c>
      <c r="AL451" s="741">
        <f>AL455</f>
        <v>-1.4697512062999999E-3</v>
      </c>
      <c r="AM451" s="741">
        <f t="shared" si="505"/>
        <v>-6.5800579691995516E-3</v>
      </c>
      <c r="AN451" s="741">
        <f t="shared" si="505"/>
        <v>-1.6513969692799963E-2</v>
      </c>
      <c r="AO451" s="741">
        <f t="shared" si="505"/>
        <v>-2.7999430607000001E-2</v>
      </c>
      <c r="AP451" s="702">
        <f t="shared" si="505"/>
        <v>-3.6271073322799996E-2</v>
      </c>
      <c r="AQ451" s="702">
        <f t="shared" si="505"/>
        <v>-4.6364326999999997E-2</v>
      </c>
      <c r="AR451" s="702">
        <f t="shared" si="505"/>
        <v>-6.8290365365406253E-2</v>
      </c>
      <c r="AS451" s="702">
        <f t="shared" si="505"/>
        <v>-7.6245127877892185E-2</v>
      </c>
      <c r="AT451" s="702">
        <f t="shared" si="505"/>
        <v>-9.8102651203330338E-2</v>
      </c>
      <c r="AU451" s="702">
        <f t="shared" si="505"/>
        <v>-0.12401853214213077</v>
      </c>
      <c r="AV451" s="702">
        <f t="shared" si="505"/>
        <v>-0.14470887280424607</v>
      </c>
      <c r="AW451" s="702">
        <f t="shared" si="505"/>
        <v>-0.16248583031099359</v>
      </c>
      <c r="AX451" s="702">
        <f t="shared" si="505"/>
        <v>-0.17965641553653311</v>
      </c>
      <c r="AY451" s="702">
        <f t="shared" si="505"/>
        <v>-0.19649582516314631</v>
      </c>
      <c r="AZ451" s="702">
        <f t="shared" si="505"/>
        <v>-0.21380507622932823</v>
      </c>
      <c r="BA451" s="702">
        <f t="shared" si="505"/>
        <v>-0.23264157621799719</v>
      </c>
      <c r="BB451" s="702">
        <f t="shared" si="505"/>
        <v>-0.25091159872706392</v>
      </c>
      <c r="BC451" s="702">
        <f t="shared" si="505"/>
        <v>-0.26800959866572482</v>
      </c>
      <c r="BD451" s="702">
        <f t="shared" si="505"/>
        <v>-0.2851176468169539</v>
      </c>
      <c r="BE451" s="702">
        <f t="shared" si="505"/>
        <v>-0.30284069546730047</v>
      </c>
      <c r="BF451" s="702">
        <f t="shared" si="505"/>
        <v>-0.32094682518075129</v>
      </c>
      <c r="BG451" s="702">
        <f t="shared" si="505"/>
        <v>-0.33904157900311738</v>
      </c>
      <c r="BH451" s="702">
        <f t="shared" si="505"/>
        <v>-0.3567949949978913</v>
      </c>
      <c r="BI451" s="702">
        <f t="shared" si="505"/>
        <v>-0.37398239575628828</v>
      </c>
      <c r="BJ451" s="702">
        <f t="shared" si="505"/>
        <v>-0.39110355863072782</v>
      </c>
      <c r="BK451" s="702">
        <f t="shared" si="505"/>
        <v>-0.40814846554569767</v>
      </c>
      <c r="BL451" s="702">
        <f t="shared" si="505"/>
        <v>-0.42460577865708138</v>
      </c>
      <c r="BM451" s="702">
        <f t="shared" si="505"/>
        <v>-0.44082562397970187</v>
      </c>
      <c r="BN451" s="702">
        <f t="shared" si="505"/>
        <v>-0.45636609589355137</v>
      </c>
      <c r="BO451" s="702">
        <f t="shared" si="505"/>
        <v>-0.47045036178947158</v>
      </c>
      <c r="BP451" s="702">
        <f t="shared" si="505"/>
        <v>-0.48349537093964629</v>
      </c>
      <c r="BQ451" s="702">
        <f t="shared" si="505"/>
        <v>-0.4957245688350343</v>
      </c>
      <c r="BR451" s="702">
        <f t="shared" si="505"/>
        <v>-0.50739479962010892</v>
      </c>
      <c r="BS451" s="702">
        <f t="shared" si="505"/>
        <v>-0.51879097727332457</v>
      </c>
      <c r="BT451" s="702">
        <f t="shared" si="505"/>
        <v>-0.53007698811986959</v>
      </c>
      <c r="BU451" s="702">
        <f t="shared" si="505"/>
        <v>-0.54134178904804842</v>
      </c>
      <c r="BV451" s="702">
        <f t="shared" si="505"/>
        <v>-0.55263877794966798</v>
      </c>
      <c r="BW451" s="702">
        <f t="shared" si="505"/>
        <v>-0.56399464212626516</v>
      </c>
      <c r="BX451" s="702">
        <f t="shared" si="505"/>
        <v>-0.5754093451571034</v>
      </c>
      <c r="BY451" s="702">
        <f t="shared" si="505"/>
        <v>-0.58687543306342893</v>
      </c>
      <c r="BZ451" s="702">
        <f t="shared" si="505"/>
        <v>-0.59838030465386971</v>
      </c>
      <c r="CA451" s="702">
        <f t="shared" si="505"/>
        <v>-0.60990806015764443</v>
      </c>
      <c r="CB451" s="702">
        <f t="shared" si="505"/>
        <v>-0.62144578042955734</v>
      </c>
      <c r="CC451" s="702">
        <f t="shared" si="505"/>
        <v>-0.63298484206728722</v>
      </c>
      <c r="CD451" s="702">
        <f t="shared" si="505"/>
        <v>-0.64452037360383596</v>
      </c>
      <c r="CE451" s="702">
        <f t="shared" si="505"/>
        <v>-0.65605036858248844</v>
      </c>
      <c r="CF451" s="702">
        <f t="shared" si="505"/>
        <v>-0.66757476868049725</v>
      </c>
      <c r="CG451" s="702">
        <f t="shared" si="505"/>
        <v>-0.6790945377385138</v>
      </c>
      <c r="CH451" s="702">
        <f t="shared" si="505"/>
        <v>-0.69061104709394616</v>
      </c>
      <c r="CI451" s="702">
        <f t="shared" si="505"/>
        <v>-0.70212566644618013</v>
      </c>
      <c r="CJ451" s="702">
        <f t="shared" si="505"/>
        <v>-0.71363949720771302</v>
      </c>
      <c r="CK451" s="702">
        <f t="shared" si="505"/>
        <v>-0.72515328326441864</v>
      </c>
      <c r="CL451" s="702">
        <f t="shared" si="505"/>
        <v>-0.73666743629182729</v>
      </c>
      <c r="CM451" s="702">
        <f t="shared" si="505"/>
        <v>-0.74818211211234109</v>
      </c>
      <c r="CN451" s="702">
        <f t="shared" si="505"/>
        <v>-0.75969729890131454</v>
      </c>
      <c r="CO451" s="702">
        <f t="shared" si="505"/>
        <v>-0.77121289614329447</v>
      </c>
      <c r="CP451" s="702">
        <f t="shared" si="505"/>
        <v>-0.78272877321010148</v>
      </c>
      <c r="CQ451" s="702">
        <f t="shared" si="505"/>
        <v>-0.79424480687056453</v>
      </c>
      <c r="CR451" s="702">
        <f t="shared" si="505"/>
        <v>-0.80576090084552587</v>
      </c>
      <c r="CS451" s="702">
        <f t="shared" si="505"/>
        <v>-0.81727699150401645</v>
      </c>
      <c r="CT451" s="702">
        <f t="shared" si="505"/>
        <v>-0.82879304482016591</v>
      </c>
      <c r="CU451" s="702">
        <f t="shared" si="505"/>
        <v>-0.84030904918629989</v>
      </c>
      <c r="CV451" s="702">
        <f t="shared" si="505"/>
        <v>-0.85182500734392164</v>
      </c>
      <c r="CW451" s="702">
        <f t="shared" ref="CW451:DA451" si="506">CW455</f>
        <v>-0.86334092933879714</v>
      </c>
      <c r="CX451" s="702">
        <f t="shared" si="506"/>
        <v>-0.87485682734161763</v>
      </c>
      <c r="CY451" s="702">
        <f t="shared" si="506"/>
        <v>-0.88637271243212001</v>
      </c>
      <c r="CZ451" s="702">
        <f t="shared" si="506"/>
        <v>-0.89788859304262036</v>
      </c>
      <c r="DA451" s="702">
        <f t="shared" si="506"/>
        <v>-0.90940447459860019</v>
      </c>
      <c r="DC451" s="12">
        <f t="shared" si="501"/>
        <v>0</v>
      </c>
      <c r="DD451" s="12">
        <f t="shared" si="502"/>
        <v>-0.27973410304139795</v>
      </c>
      <c r="DE451" s="12">
        <f t="shared" si="503"/>
        <v>-2.4587943192847486</v>
      </c>
      <c r="DF451" s="12">
        <f>SUM(BF451:BQ451)</f>
        <v>-4.9614856192089603</v>
      </c>
      <c r="DG451" s="12">
        <f t="shared" ref="DG451:DG481" si="507">SUM(BR451:CC451)</f>
        <v>-6.8392417396661749</v>
      </c>
      <c r="DH451" s="12">
        <f t="shared" si="504"/>
        <v>-8.4945292860663706</v>
      </c>
      <c r="DI451" s="12">
        <f t="shared" si="498"/>
        <v>-10.152802110534351</v>
      </c>
    </row>
    <row r="452" spans="2:113" s="698" customFormat="1" outlineLevel="2">
      <c r="B452" s="126"/>
      <c r="E452" s="698" t="s">
        <v>217</v>
      </c>
      <c r="H452" s="703"/>
      <c r="I452" s="609" t="s">
        <v>736</v>
      </c>
      <c r="J452" s="703"/>
      <c r="K452" s="703"/>
      <c r="L452" s="703"/>
      <c r="M452" s="703"/>
      <c r="Q452" s="14"/>
      <c r="R452" s="14"/>
      <c r="S452" s="14"/>
      <c r="T452" s="14"/>
      <c r="U452" s="14"/>
      <c r="V452" s="14"/>
      <c r="W452" s="14"/>
      <c r="X452" s="14"/>
      <c r="Y452" s="14"/>
      <c r="Z452" s="708"/>
      <c r="AA452" s="708"/>
      <c r="AB452" s="708"/>
      <c r="AC452" s="708"/>
      <c r="AD452" s="708"/>
      <c r="AE452" s="708"/>
      <c r="AF452" s="708"/>
      <c r="AG452" s="708"/>
      <c r="AK452" s="742">
        <f t="shared" ref="AK452:CV452" si="508">AK453+AK456</f>
        <v>1.0214060000000001E-3</v>
      </c>
      <c r="AL452" s="742">
        <f t="shared" si="508"/>
        <v>4.7573685793699992E-2</v>
      </c>
      <c r="AM452" s="742">
        <f>AM453+AM456</f>
        <v>0.11094234303080044</v>
      </c>
      <c r="AN452" s="742">
        <f t="shared" si="508"/>
        <v>0.19623292530720002</v>
      </c>
      <c r="AO452" s="742">
        <f t="shared" si="508"/>
        <v>0.29197128739299999</v>
      </c>
      <c r="AP452" s="708">
        <f t="shared" si="508"/>
        <v>0.35543436767720005</v>
      </c>
      <c r="AQ452" s="708">
        <f t="shared" si="508"/>
        <v>0.45264517363905538</v>
      </c>
      <c r="AR452" s="708">
        <f t="shared" si="508"/>
        <v>0.50086060740822369</v>
      </c>
      <c r="AS452" s="708">
        <f t="shared" si="508"/>
        <v>0.56349302548623914</v>
      </c>
      <c r="AT452" s="708">
        <f t="shared" si="508"/>
        <v>0.6145307484714958</v>
      </c>
      <c r="AU452" s="708">
        <f t="shared" si="508"/>
        <v>0.69889924069044607</v>
      </c>
      <c r="AV452" s="708">
        <f t="shared" si="508"/>
        <v>0.84812394059882601</v>
      </c>
      <c r="AW452" s="708">
        <f t="shared" si="508"/>
        <v>0.95782155566022142</v>
      </c>
      <c r="AX452" s="708">
        <f t="shared" si="508"/>
        <v>1.0630435774271048</v>
      </c>
      <c r="AY452" s="708">
        <f t="shared" si="508"/>
        <v>1.1689998598540581</v>
      </c>
      <c r="AZ452" s="708">
        <f t="shared" si="508"/>
        <v>1.28334985008862</v>
      </c>
      <c r="BA452" s="708">
        <f t="shared" si="508"/>
        <v>1.3862653637669724</v>
      </c>
      <c r="BB452" s="708">
        <f t="shared" si="508"/>
        <v>1.4930515623311229</v>
      </c>
      <c r="BC452" s="708">
        <f t="shared" si="508"/>
        <v>1.6125189286160766</v>
      </c>
      <c r="BD452" s="708">
        <f t="shared" si="508"/>
        <v>1.743326430251116</v>
      </c>
      <c r="BE452" s="708">
        <f t="shared" si="508"/>
        <v>1.8835438178562165</v>
      </c>
      <c r="BF452" s="708">
        <f t="shared" si="508"/>
        <v>2.0604226714855942</v>
      </c>
      <c r="BG452" s="708">
        <f t="shared" si="508"/>
        <v>2.2829140194667614</v>
      </c>
      <c r="BH452" s="708">
        <f t="shared" si="508"/>
        <v>2.4390187314758007</v>
      </c>
      <c r="BI452" s="708">
        <f t="shared" si="508"/>
        <v>2.5866736453867945</v>
      </c>
      <c r="BJ452" s="708">
        <f t="shared" si="508"/>
        <v>2.7216519371630374</v>
      </c>
      <c r="BK452" s="708">
        <f t="shared" si="508"/>
        <v>2.8421936808728425</v>
      </c>
      <c r="BL452" s="708">
        <f t="shared" si="508"/>
        <v>2.9509674360316049</v>
      </c>
      <c r="BM452" s="708">
        <f t="shared" si="508"/>
        <v>3.0457481930728116</v>
      </c>
      <c r="BN452" s="708">
        <f t="shared" si="508"/>
        <v>3.1263688676510575</v>
      </c>
      <c r="BO452" s="708">
        <f t="shared" si="508"/>
        <v>3.2035801400131181</v>
      </c>
      <c r="BP452" s="708">
        <f t="shared" si="508"/>
        <v>3.2759149821784348</v>
      </c>
      <c r="BQ452" s="708">
        <f t="shared" si="508"/>
        <v>3.3447364063714655</v>
      </c>
      <c r="BR452" s="708">
        <f t="shared" si="508"/>
        <v>3.41357139746184</v>
      </c>
      <c r="BS452" s="708">
        <f t="shared" si="508"/>
        <v>3.4832736724066615</v>
      </c>
      <c r="BT452" s="708">
        <f t="shared" si="508"/>
        <v>3.5543632047172413</v>
      </c>
      <c r="BU452" s="708">
        <f t="shared" si="508"/>
        <v>3.6268770338776251</v>
      </c>
      <c r="BV452" s="708">
        <f t="shared" si="508"/>
        <v>3.7005634257911351</v>
      </c>
      <c r="BW452" s="708">
        <f t="shared" si="508"/>
        <v>3.7750250997710117</v>
      </c>
      <c r="BX452" s="708">
        <f t="shared" si="508"/>
        <v>3.8499551186579657</v>
      </c>
      <c r="BY452" s="708">
        <f t="shared" si="508"/>
        <v>3.9250757579826798</v>
      </c>
      <c r="BZ452" s="708">
        <f t="shared" si="508"/>
        <v>4.0001869925742302</v>
      </c>
      <c r="CA452" s="708">
        <f t="shared" si="508"/>
        <v>4.0751971097834012</v>
      </c>
      <c r="CB452" s="708">
        <f t="shared" si="508"/>
        <v>4.1500727126597443</v>
      </c>
      <c r="CC452" s="708">
        <f t="shared" si="508"/>
        <v>4.2248197196872574</v>
      </c>
      <c r="CD452" s="708">
        <f t="shared" si="508"/>
        <v>4.2994651812649067</v>
      </c>
      <c r="CE452" s="708">
        <f t="shared" si="508"/>
        <v>4.3740429344204941</v>
      </c>
      <c r="CF452" s="708">
        <f t="shared" si="508"/>
        <v>4.4485837044997965</v>
      </c>
      <c r="CG452" s="708">
        <f t="shared" si="508"/>
        <v>4.5231113915166734</v>
      </c>
      <c r="CH452" s="708">
        <f t="shared" si="508"/>
        <v>4.5976416602777643</v>
      </c>
      <c r="CI452" s="708">
        <f t="shared" si="508"/>
        <v>4.6721825291649344</v>
      </c>
      <c r="CJ452" s="708">
        <f t="shared" si="508"/>
        <v>4.7467364725765737</v>
      </c>
      <c r="CK452" s="708">
        <f t="shared" si="508"/>
        <v>4.8213025028706875</v>
      </c>
      <c r="CL452" s="708">
        <f t="shared" si="508"/>
        <v>4.8958779213443213</v>
      </c>
      <c r="CM452" s="708">
        <f t="shared" si="508"/>
        <v>4.9704595896069499</v>
      </c>
      <c r="CN452" s="708">
        <f t="shared" si="508"/>
        <v>5.0450447088818695</v>
      </c>
      <c r="CO452" s="708">
        <f t="shared" si="508"/>
        <v>5.1196311759574815</v>
      </c>
      <c r="CP452" s="708">
        <f t="shared" si="508"/>
        <v>5.1942176543248166</v>
      </c>
      <c r="CQ452" s="708">
        <f t="shared" si="508"/>
        <v>5.2688034727012294</v>
      </c>
      <c r="CR452" s="708">
        <f t="shared" si="508"/>
        <v>5.3433884435025947</v>
      </c>
      <c r="CS452" s="708">
        <f t="shared" si="508"/>
        <v>5.4179726746024288</v>
      </c>
      <c r="CT452" s="708">
        <f t="shared" si="508"/>
        <v>5.4925564125581552</v>
      </c>
      <c r="CU452" s="708">
        <f t="shared" si="508"/>
        <v>5.567139931759046</v>
      </c>
      <c r="CV452" s="708">
        <f t="shared" si="508"/>
        <v>5.6417234689908291</v>
      </c>
      <c r="CW452" s="708">
        <f t="shared" ref="CW452:DA452" si="509">CW453+CW456</f>
        <v>5.7163071948726358</v>
      </c>
      <c r="CX452" s="708">
        <f t="shared" si="509"/>
        <v>5.7908912105816057</v>
      </c>
      <c r="CY452" s="708">
        <f t="shared" si="509"/>
        <v>5.8654755590043832</v>
      </c>
      <c r="CZ452" s="708">
        <f t="shared" si="509"/>
        <v>5.9400602417278465</v>
      </c>
      <c r="DA452" s="708">
        <f t="shared" si="509"/>
        <v>6.0146452360344052</v>
      </c>
      <c r="DC452" s="14">
        <f t="shared" si="501"/>
        <v>0</v>
      </c>
      <c r="DD452" s="14">
        <f t="shared" si="502"/>
        <v>2.5201748217354187</v>
      </c>
      <c r="DE452" s="14">
        <f t="shared" si="503"/>
        <v>14.753474875612277</v>
      </c>
      <c r="DF452" s="14">
        <f>SUM(BF452:BQ452)</f>
        <v>33.88019071116932</v>
      </c>
      <c r="DG452" s="14">
        <f t="shared" si="507"/>
        <v>45.778981245370787</v>
      </c>
      <c r="DH452" s="14">
        <f t="shared" si="504"/>
        <v>56.514079772382452</v>
      </c>
      <c r="DI452" s="14">
        <f t="shared" si="498"/>
        <v>67.253181500659977</v>
      </c>
    </row>
    <row r="453" spans="2:113" s="698" customFormat="1" outlineLevel="2">
      <c r="B453" s="126"/>
      <c r="F453" s="14" t="s">
        <v>218</v>
      </c>
      <c r="H453" s="703"/>
      <c r="I453" s="609" t="s">
        <v>736</v>
      </c>
      <c r="J453" s="703"/>
      <c r="K453" s="703"/>
      <c r="L453" s="703"/>
      <c r="M453" s="703"/>
      <c r="Q453" s="14"/>
      <c r="R453" s="14"/>
      <c r="S453" s="14"/>
      <c r="T453" s="14"/>
      <c r="U453" s="14"/>
      <c r="V453" s="14"/>
      <c r="W453" s="14"/>
      <c r="X453" s="14"/>
      <c r="Y453" s="14"/>
      <c r="Z453" s="708"/>
      <c r="AA453" s="708"/>
      <c r="AB453" s="708"/>
      <c r="AC453" s="708"/>
      <c r="AD453" s="708"/>
      <c r="AE453" s="708"/>
      <c r="AF453" s="708"/>
      <c r="AG453" s="708"/>
      <c r="AH453" s="126"/>
      <c r="AI453" s="126"/>
      <c r="AJ453" s="126"/>
      <c r="AK453" s="742">
        <f>AK454+AK455</f>
        <v>0</v>
      </c>
      <c r="AL453" s="742">
        <f t="shared" ref="AL453:CW453" si="510">AL454+AL455</f>
        <v>-1.4697512062999999E-3</v>
      </c>
      <c r="AM453" s="742">
        <f t="shared" si="510"/>
        <v>-6.5800579691995516E-3</v>
      </c>
      <c r="AN453" s="742">
        <f t="shared" si="510"/>
        <v>-1.6513969692799963E-2</v>
      </c>
      <c r="AO453" s="742">
        <f t="shared" si="510"/>
        <v>-2.7992409607000002E-2</v>
      </c>
      <c r="AP453" s="743">
        <f t="shared" si="510"/>
        <v>-2.8459984322799996E-2</v>
      </c>
      <c r="AQ453" s="708">
        <f t="shared" si="510"/>
        <v>4.3570100174147725E-3</v>
      </c>
      <c r="AR453" s="708">
        <f t="shared" si="510"/>
        <v>3.4491095381241441E-2</v>
      </c>
      <c r="AS453" s="708">
        <f t="shared" si="510"/>
        <v>4.0891054710846975E-2</v>
      </c>
      <c r="AT453" s="708">
        <f t="shared" si="510"/>
        <v>2.5991740556549625E-2</v>
      </c>
      <c r="AU453" s="708">
        <f t="shared" si="510"/>
        <v>7.4309323892282619E-2</v>
      </c>
      <c r="AV453" s="708">
        <f t="shared" si="510"/>
        <v>0.14167012674150162</v>
      </c>
      <c r="AW453" s="708">
        <f t="shared" si="510"/>
        <v>0.17522102010483606</v>
      </c>
      <c r="AX453" s="708">
        <f t="shared" si="510"/>
        <v>0.20118105583741691</v>
      </c>
      <c r="AY453" s="708">
        <f t="shared" si="510"/>
        <v>0.23144271182126355</v>
      </c>
      <c r="AZ453" s="708">
        <f t="shared" si="510"/>
        <v>0.25644540265042526</v>
      </c>
      <c r="BA453" s="708">
        <f t="shared" si="510"/>
        <v>0.27923219345351968</v>
      </c>
      <c r="BB453" s="708">
        <f t="shared" si="510"/>
        <v>0.30960397460046429</v>
      </c>
      <c r="BC453" s="708">
        <f t="shared" si="510"/>
        <v>0.34428352673394846</v>
      </c>
      <c r="BD453" s="708">
        <f t="shared" si="510"/>
        <v>0.3797260928714718</v>
      </c>
      <c r="BE453" s="708">
        <f t="shared" si="510"/>
        <v>0.41607019214496282</v>
      </c>
      <c r="BF453" s="708">
        <f t="shared" si="510"/>
        <v>0.48873862629401194</v>
      </c>
      <c r="BG453" s="708">
        <f t="shared" si="510"/>
        <v>0.53413394020250515</v>
      </c>
      <c r="BH453" s="708">
        <f t="shared" si="510"/>
        <v>0.57862824411028568</v>
      </c>
      <c r="BI453" s="708">
        <f t="shared" si="510"/>
        <v>0.62081281764927621</v>
      </c>
      <c r="BJ453" s="708">
        <f t="shared" si="510"/>
        <v>0.65778565509441367</v>
      </c>
      <c r="BK453" s="708">
        <f t="shared" si="510"/>
        <v>0.69124714723908287</v>
      </c>
      <c r="BL453" s="708">
        <f t="shared" si="510"/>
        <v>0.72301378927317494</v>
      </c>
      <c r="BM453" s="708">
        <f t="shared" si="510"/>
        <v>0.74784266883830464</v>
      </c>
      <c r="BN453" s="708">
        <f t="shared" si="510"/>
        <v>0.77244095632260201</v>
      </c>
      <c r="BO453" s="708">
        <f t="shared" si="510"/>
        <v>0.7968100721701179</v>
      </c>
      <c r="BP453" s="708">
        <f t="shared" si="510"/>
        <v>0.81857184396246363</v>
      </c>
      <c r="BQ453" s="708">
        <f t="shared" si="510"/>
        <v>0.83875449133615287</v>
      </c>
      <c r="BR453" s="708">
        <f t="shared" si="510"/>
        <v>0.8579602000834412</v>
      </c>
      <c r="BS453" s="708">
        <f t="shared" si="510"/>
        <v>0.8766251827465863</v>
      </c>
      <c r="BT453" s="708">
        <f t="shared" si="510"/>
        <v>0.89527399957187337</v>
      </c>
      <c r="BU453" s="708">
        <f t="shared" si="510"/>
        <v>0.91414034031136338</v>
      </c>
      <c r="BV453" s="708">
        <f t="shared" si="510"/>
        <v>0.93321999558268631</v>
      </c>
      <c r="BW453" s="708">
        <f t="shared" si="510"/>
        <v>0.95248969008571738</v>
      </c>
      <c r="BX453" s="708">
        <f t="shared" si="510"/>
        <v>0.97191648191715729</v>
      </c>
      <c r="BY453" s="708">
        <f t="shared" si="510"/>
        <v>0.99142551064930173</v>
      </c>
      <c r="BZ453" s="708">
        <f t="shared" si="510"/>
        <v>1.0109740428541794</v>
      </c>
      <c r="CA453" s="708">
        <f t="shared" si="510"/>
        <v>1.0305373506535598</v>
      </c>
      <c r="CB453" s="708">
        <f t="shared" si="510"/>
        <v>1.0500939310044441</v>
      </c>
      <c r="CC453" s="708">
        <f t="shared" si="510"/>
        <v>1.0696324694440715</v>
      </c>
      <c r="CD453" s="708">
        <f t="shared" si="510"/>
        <v>1.0891507762436996</v>
      </c>
      <c r="CE453" s="708">
        <f t="shared" si="510"/>
        <v>1.1086513681956363</v>
      </c>
      <c r="CF453" s="708">
        <f t="shared" si="510"/>
        <v>1.1281388106870023</v>
      </c>
      <c r="CG453" s="708">
        <f t="shared" si="510"/>
        <v>1.1476181570185804</v>
      </c>
      <c r="CH453" s="708">
        <f t="shared" si="510"/>
        <v>1.1670934654943754</v>
      </c>
      <c r="CI453" s="708">
        <f t="shared" si="510"/>
        <v>1.1865675468111914</v>
      </c>
      <c r="CJ453" s="708">
        <f t="shared" si="510"/>
        <v>1.2060421310763534</v>
      </c>
      <c r="CK453" s="708">
        <f t="shared" si="510"/>
        <v>1.2255180206221241</v>
      </c>
      <c r="CL453" s="708">
        <f t="shared" si="510"/>
        <v>1.2449953436993155</v>
      </c>
      <c r="CM453" s="708">
        <f t="shared" si="510"/>
        <v>1.2644738401366875</v>
      </c>
      <c r="CN453" s="708">
        <f t="shared" si="510"/>
        <v>1.2839530897602707</v>
      </c>
      <c r="CO453" s="708">
        <f t="shared" si="510"/>
        <v>1.3034326658999897</v>
      </c>
      <c r="CP453" s="708">
        <f t="shared" si="510"/>
        <v>1.3229122232434314</v>
      </c>
      <c r="CQ453" s="708">
        <f t="shared" si="510"/>
        <v>1.3423915269383579</v>
      </c>
      <c r="CR453" s="708">
        <f t="shared" si="510"/>
        <v>1.3618704467165976</v>
      </c>
      <c r="CS453" s="708">
        <f t="shared" si="510"/>
        <v>1.381348935457984</v>
      </c>
      <c r="CT453" s="708">
        <f t="shared" si="510"/>
        <v>1.400827002306078</v>
      </c>
      <c r="CU453" s="708">
        <f t="shared" si="510"/>
        <v>1.4203046872891405</v>
      </c>
      <c r="CV453" s="708">
        <f t="shared" si="510"/>
        <v>1.4397820415649552</v>
      </c>
      <c r="CW453" s="708">
        <f t="shared" si="510"/>
        <v>1.4592591144612705</v>
      </c>
      <c r="CX453" s="708">
        <f t="shared" ref="CX453:DA453" si="511">CX454+CX455</f>
        <v>1.4787359466516552</v>
      </c>
      <c r="CY453" s="708">
        <f t="shared" si="511"/>
        <v>1.498212568007018</v>
      </c>
      <c r="CZ453" s="708">
        <f t="shared" si="511"/>
        <v>1.5176889983738855</v>
      </c>
      <c r="DA453" s="708">
        <f t="shared" si="511"/>
        <v>1.5371652497775568</v>
      </c>
      <c r="DC453" s="14">
        <f t="shared" si="501"/>
        <v>0</v>
      </c>
      <c r="DD453" s="14">
        <f t="shared" si="502"/>
        <v>-1.2770126885963268E-3</v>
      </c>
      <c r="DE453" s="14">
        <f t="shared" si="503"/>
        <v>2.8351773614086428</v>
      </c>
      <c r="DF453" s="14">
        <f t="shared" ref="DF453:DF481" si="512">SUM(BF453:BQ453)</f>
        <v>8.268780252492391</v>
      </c>
      <c r="DG453" s="14">
        <f t="shared" si="507"/>
        <v>11.554289194904381</v>
      </c>
      <c r="DH453" s="14">
        <f t="shared" si="504"/>
        <v>14.355635215645227</v>
      </c>
      <c r="DI453" s="14">
        <f t="shared" si="498"/>
        <v>17.160498740787929</v>
      </c>
    </row>
    <row r="454" spans="2:113" outlineLevel="2">
      <c r="F454" s="126" t="s">
        <v>737</v>
      </c>
      <c r="I454" s="609" t="s">
        <v>736</v>
      </c>
      <c r="O454" s="710"/>
      <c r="P454" s="710"/>
      <c r="Q454" s="710"/>
      <c r="R454" s="710"/>
      <c r="S454" s="710"/>
      <c r="T454" s="710"/>
      <c r="U454" s="710"/>
      <c r="V454" s="710"/>
      <c r="W454" s="710"/>
      <c r="X454" s="710"/>
      <c r="Y454" s="710"/>
      <c r="Z454" s="710"/>
      <c r="AA454" s="710"/>
      <c r="AB454" s="710"/>
      <c r="AC454" s="710"/>
      <c r="AD454" s="710"/>
      <c r="AE454" s="710"/>
      <c r="AF454" s="710"/>
      <c r="AG454" s="710"/>
      <c r="AK454" s="721">
        <v>0</v>
      </c>
      <c r="AL454" s="721">
        <v>0</v>
      </c>
      <c r="AM454" s="721">
        <v>0</v>
      </c>
      <c r="AN454" s="721">
        <v>0</v>
      </c>
      <c r="AO454" s="721">
        <v>7.0210000000000002E-6</v>
      </c>
      <c r="AP454" s="721">
        <v>7.8110890000000002E-3</v>
      </c>
      <c r="AQ454" s="710">
        <v>5.0721337017414769E-2</v>
      </c>
      <c r="AR454" s="710">
        <v>0.10278146074664769</v>
      </c>
      <c r="AS454" s="710">
        <v>0.11713618258873916</v>
      </c>
      <c r="AT454" s="710">
        <v>0.12409439175987996</v>
      </c>
      <c r="AU454" s="710">
        <v>0.19832785603441339</v>
      </c>
      <c r="AV454" s="710">
        <v>0.28637899954574769</v>
      </c>
      <c r="AW454" s="710">
        <v>0.33770685041582965</v>
      </c>
      <c r="AX454" s="710">
        <v>0.38083747137395002</v>
      </c>
      <c r="AY454" s="710">
        <v>0.42793853698440987</v>
      </c>
      <c r="AZ454" s="710">
        <v>0.47025047887975346</v>
      </c>
      <c r="BA454" s="710">
        <v>0.51187376967151688</v>
      </c>
      <c r="BB454" s="710">
        <v>0.56051557332752822</v>
      </c>
      <c r="BC454" s="710">
        <v>0.61229312539967329</v>
      </c>
      <c r="BD454" s="710">
        <v>0.66484373968842569</v>
      </c>
      <c r="BE454" s="710">
        <v>0.71891088761226329</v>
      </c>
      <c r="BF454" s="710">
        <v>0.80968545147476323</v>
      </c>
      <c r="BG454" s="710">
        <v>0.87317551920562253</v>
      </c>
      <c r="BH454" s="710">
        <v>0.93542323910817693</v>
      </c>
      <c r="BI454" s="710">
        <v>0.99479521340556454</v>
      </c>
      <c r="BJ454" s="710">
        <v>1.0488892137251415</v>
      </c>
      <c r="BK454" s="710">
        <v>1.0993956127847806</v>
      </c>
      <c r="BL454" s="710">
        <v>1.1476195679302563</v>
      </c>
      <c r="BM454" s="710">
        <v>1.1886682928180066</v>
      </c>
      <c r="BN454" s="710">
        <v>1.2288070522161534</v>
      </c>
      <c r="BO454" s="710">
        <v>1.2672604339595894</v>
      </c>
      <c r="BP454" s="710">
        <v>1.30206721490211</v>
      </c>
      <c r="BQ454" s="710">
        <v>1.3344790601711871</v>
      </c>
      <c r="BR454" s="710">
        <v>1.3653549997035501</v>
      </c>
      <c r="BS454" s="710">
        <v>1.3954161600199109</v>
      </c>
      <c r="BT454" s="710">
        <v>1.425350987691743</v>
      </c>
      <c r="BU454" s="710">
        <v>1.4554821293594118</v>
      </c>
      <c r="BV454" s="710">
        <v>1.4858587735323543</v>
      </c>
      <c r="BW454" s="710">
        <v>1.5164843322119825</v>
      </c>
      <c r="BX454" s="710">
        <v>1.5473258270742607</v>
      </c>
      <c r="BY454" s="710">
        <v>1.5783009437127307</v>
      </c>
      <c r="BZ454" s="710">
        <v>1.6093543475080492</v>
      </c>
      <c r="CA454" s="710">
        <v>1.6404454108112043</v>
      </c>
      <c r="CB454" s="710">
        <v>1.6715397114340014</v>
      </c>
      <c r="CC454" s="710">
        <v>1.7026173115113588</v>
      </c>
      <c r="CD454" s="710">
        <v>1.7336711498475355</v>
      </c>
      <c r="CE454" s="710">
        <v>1.7647017367781246</v>
      </c>
      <c r="CF454" s="710">
        <v>1.7957135793674996</v>
      </c>
      <c r="CG454" s="710">
        <v>1.8267126947570942</v>
      </c>
      <c r="CH454" s="710">
        <v>1.8577045125883216</v>
      </c>
      <c r="CI454" s="710">
        <v>1.8886932132573715</v>
      </c>
      <c r="CJ454" s="710">
        <v>1.9196816282840665</v>
      </c>
      <c r="CK454" s="710">
        <v>1.9506713038865426</v>
      </c>
      <c r="CL454" s="710">
        <v>1.9816627799911428</v>
      </c>
      <c r="CM454" s="710">
        <v>2.0126559522490286</v>
      </c>
      <c r="CN454" s="710">
        <v>2.0436503886615851</v>
      </c>
      <c r="CO454" s="710">
        <v>2.0746455620432842</v>
      </c>
      <c r="CP454" s="710">
        <v>2.1056409964535328</v>
      </c>
      <c r="CQ454" s="710">
        <v>2.1366363338089225</v>
      </c>
      <c r="CR454" s="710">
        <v>2.1676313475621236</v>
      </c>
      <c r="CS454" s="710">
        <v>2.1986259269620003</v>
      </c>
      <c r="CT454" s="710">
        <v>2.229620047126244</v>
      </c>
      <c r="CU454" s="710">
        <v>2.2606137364754404</v>
      </c>
      <c r="CV454" s="710">
        <v>2.2916070489088769</v>
      </c>
      <c r="CW454" s="710">
        <v>2.3226000438000676</v>
      </c>
      <c r="CX454" s="710">
        <v>2.3535927739932729</v>
      </c>
      <c r="CY454" s="710">
        <v>2.3845852804391381</v>
      </c>
      <c r="CZ454" s="710">
        <v>2.4155775914165059</v>
      </c>
      <c r="DA454" s="710">
        <v>2.4465697243761571</v>
      </c>
      <c r="DC454" s="12">
        <f t="shared" si="501"/>
        <v>0</v>
      </c>
      <c r="DD454" s="12">
        <f t="shared" si="502"/>
        <v>0.27845709035280164</v>
      </c>
      <c r="DE454" s="12">
        <f t="shared" si="503"/>
        <v>5.2939716806933905</v>
      </c>
      <c r="DF454" s="12">
        <f t="shared" si="512"/>
        <v>13.230265871701352</v>
      </c>
      <c r="DG454" s="12">
        <f t="shared" si="507"/>
        <v>18.393530934570553</v>
      </c>
      <c r="DH454" s="12">
        <f t="shared" si="504"/>
        <v>22.850164501711596</v>
      </c>
      <c r="DI454" s="12">
        <f t="shared" si="498"/>
        <v>27.313300851322285</v>
      </c>
    </row>
    <row r="455" spans="2:113" outlineLevel="2">
      <c r="F455" s="126" t="s">
        <v>798</v>
      </c>
      <c r="I455" s="609" t="s">
        <v>736</v>
      </c>
      <c r="O455" s="710"/>
      <c r="P455" s="710"/>
      <c r="Q455" s="710"/>
      <c r="R455" s="710"/>
      <c r="S455" s="710"/>
      <c r="T455" s="710"/>
      <c r="U455" s="710"/>
      <c r="V455" s="710"/>
      <c r="W455" s="710"/>
      <c r="X455" s="710"/>
      <c r="Y455" s="710"/>
      <c r="Z455" s="710"/>
      <c r="AA455" s="710"/>
      <c r="AB455" s="710"/>
      <c r="AC455" s="710"/>
      <c r="AD455" s="710"/>
      <c r="AE455" s="710"/>
      <c r="AF455" s="710"/>
      <c r="AG455" s="710"/>
      <c r="AH455" s="698"/>
      <c r="AI455" s="698"/>
      <c r="AJ455" s="698"/>
      <c r="AK455" s="721">
        <v>0</v>
      </c>
      <c r="AL455" s="721">
        <v>-1.4697512062999999E-3</v>
      </c>
      <c r="AM455" s="721">
        <v>-6.5800579691995516E-3</v>
      </c>
      <c r="AN455" s="721">
        <v>-1.6513969692799963E-2</v>
      </c>
      <c r="AO455" s="721">
        <v>-2.7999430607000001E-2</v>
      </c>
      <c r="AP455" s="721">
        <v>-3.6271073322799996E-2</v>
      </c>
      <c r="AQ455" s="721">
        <v>-4.6364326999999997E-2</v>
      </c>
      <c r="AR455" s="710">
        <v>-6.8290365365406253E-2</v>
      </c>
      <c r="AS455" s="710">
        <v>-7.6245127877892185E-2</v>
      </c>
      <c r="AT455" s="710">
        <v>-9.8102651203330338E-2</v>
      </c>
      <c r="AU455" s="710">
        <v>-0.12401853214213077</v>
      </c>
      <c r="AV455" s="710">
        <v>-0.14470887280424607</v>
      </c>
      <c r="AW455" s="710">
        <v>-0.16248583031099359</v>
      </c>
      <c r="AX455" s="710">
        <v>-0.17965641553653311</v>
      </c>
      <c r="AY455" s="710">
        <v>-0.19649582516314631</v>
      </c>
      <c r="AZ455" s="710">
        <v>-0.21380507622932823</v>
      </c>
      <c r="BA455" s="710">
        <v>-0.23264157621799719</v>
      </c>
      <c r="BB455" s="710">
        <v>-0.25091159872706392</v>
      </c>
      <c r="BC455" s="710">
        <v>-0.26800959866572482</v>
      </c>
      <c r="BD455" s="710">
        <v>-0.2851176468169539</v>
      </c>
      <c r="BE455" s="710">
        <v>-0.30284069546730047</v>
      </c>
      <c r="BF455" s="710">
        <v>-0.32094682518075129</v>
      </c>
      <c r="BG455" s="710">
        <v>-0.33904157900311738</v>
      </c>
      <c r="BH455" s="710">
        <v>-0.3567949949978913</v>
      </c>
      <c r="BI455" s="710">
        <v>-0.37398239575628828</v>
      </c>
      <c r="BJ455" s="710">
        <v>-0.39110355863072782</v>
      </c>
      <c r="BK455" s="710">
        <v>-0.40814846554569767</v>
      </c>
      <c r="BL455" s="710">
        <v>-0.42460577865708138</v>
      </c>
      <c r="BM455" s="710">
        <v>-0.44082562397970187</v>
      </c>
      <c r="BN455" s="710">
        <v>-0.45636609589355137</v>
      </c>
      <c r="BO455" s="710">
        <v>-0.47045036178947158</v>
      </c>
      <c r="BP455" s="710">
        <v>-0.48349537093964629</v>
      </c>
      <c r="BQ455" s="710">
        <v>-0.4957245688350343</v>
      </c>
      <c r="BR455" s="710">
        <v>-0.50739479962010892</v>
      </c>
      <c r="BS455" s="710">
        <v>-0.51879097727332457</v>
      </c>
      <c r="BT455" s="710">
        <v>-0.53007698811986959</v>
      </c>
      <c r="BU455" s="710">
        <v>-0.54134178904804842</v>
      </c>
      <c r="BV455" s="710">
        <v>-0.55263877794966798</v>
      </c>
      <c r="BW455" s="710">
        <v>-0.56399464212626516</v>
      </c>
      <c r="BX455" s="710">
        <v>-0.5754093451571034</v>
      </c>
      <c r="BY455" s="710">
        <v>-0.58687543306342893</v>
      </c>
      <c r="BZ455" s="710">
        <v>-0.59838030465386971</v>
      </c>
      <c r="CA455" s="710">
        <v>-0.60990806015764443</v>
      </c>
      <c r="CB455" s="710">
        <v>-0.62144578042955734</v>
      </c>
      <c r="CC455" s="710">
        <v>-0.63298484206728722</v>
      </c>
      <c r="CD455" s="710">
        <v>-0.64452037360383596</v>
      </c>
      <c r="CE455" s="710">
        <v>-0.65605036858248844</v>
      </c>
      <c r="CF455" s="710">
        <v>-0.66757476868049725</v>
      </c>
      <c r="CG455" s="710">
        <v>-0.6790945377385138</v>
      </c>
      <c r="CH455" s="710">
        <v>-0.69061104709394616</v>
      </c>
      <c r="CI455" s="710">
        <v>-0.70212566644618013</v>
      </c>
      <c r="CJ455" s="710">
        <v>-0.71363949720771302</v>
      </c>
      <c r="CK455" s="710">
        <v>-0.72515328326441864</v>
      </c>
      <c r="CL455" s="710">
        <v>-0.73666743629182729</v>
      </c>
      <c r="CM455" s="710">
        <v>-0.74818211211234109</v>
      </c>
      <c r="CN455" s="710">
        <v>-0.75969729890131454</v>
      </c>
      <c r="CO455" s="710">
        <v>-0.77121289614329447</v>
      </c>
      <c r="CP455" s="710">
        <v>-0.78272877321010148</v>
      </c>
      <c r="CQ455" s="710">
        <v>-0.79424480687056453</v>
      </c>
      <c r="CR455" s="710">
        <v>-0.80576090084552587</v>
      </c>
      <c r="CS455" s="710">
        <v>-0.81727699150401645</v>
      </c>
      <c r="CT455" s="710">
        <v>-0.82879304482016591</v>
      </c>
      <c r="CU455" s="710">
        <v>-0.84030904918629989</v>
      </c>
      <c r="CV455" s="710">
        <v>-0.85182500734392164</v>
      </c>
      <c r="CW455" s="710">
        <v>-0.86334092933879714</v>
      </c>
      <c r="CX455" s="710">
        <v>-0.87485682734161763</v>
      </c>
      <c r="CY455" s="710">
        <v>-0.88637271243212001</v>
      </c>
      <c r="CZ455" s="710">
        <v>-0.89788859304262036</v>
      </c>
      <c r="DA455" s="710">
        <v>-0.90940447459860019</v>
      </c>
      <c r="DC455" s="12">
        <f t="shared" si="501"/>
        <v>0</v>
      </c>
      <c r="DD455" s="12">
        <f t="shared" si="502"/>
        <v>-0.27973410304139795</v>
      </c>
      <c r="DE455" s="12">
        <f t="shared" si="503"/>
        <v>-2.4587943192847486</v>
      </c>
      <c r="DF455" s="12">
        <f t="shared" si="512"/>
        <v>-4.9614856192089603</v>
      </c>
      <c r="DG455" s="12">
        <f t="shared" si="507"/>
        <v>-6.8392417396661749</v>
      </c>
      <c r="DH455" s="12">
        <f t="shared" si="504"/>
        <v>-8.4945292860663706</v>
      </c>
      <c r="DI455" s="12">
        <f t="shared" si="498"/>
        <v>-10.152802110534351</v>
      </c>
    </row>
    <row r="456" spans="2:113" s="698" customFormat="1" outlineLevel="2">
      <c r="B456" s="126"/>
      <c r="F456" s="698" t="s">
        <v>830</v>
      </c>
      <c r="H456" s="703"/>
      <c r="I456" s="609" t="s">
        <v>736</v>
      </c>
      <c r="J456" s="703"/>
      <c r="K456" s="703"/>
      <c r="L456" s="703"/>
      <c r="M456" s="703"/>
      <c r="O456" s="714"/>
      <c r="P456" s="714"/>
      <c r="Q456" s="714"/>
      <c r="R456" s="714"/>
      <c r="S456" s="714"/>
      <c r="T456" s="714"/>
      <c r="U456" s="714"/>
      <c r="V456" s="714"/>
      <c r="W456" s="714"/>
      <c r="X456" s="714"/>
      <c r="Y456" s="714"/>
      <c r="Z456" s="714"/>
      <c r="AA456" s="714"/>
      <c r="AB456" s="714"/>
      <c r="AC456" s="714"/>
      <c r="AD456" s="714"/>
      <c r="AE456" s="714"/>
      <c r="AF456" s="714"/>
      <c r="AG456" s="714"/>
      <c r="AI456" s="126"/>
      <c r="AK456" s="723">
        <f t="shared" ref="AK456:CV456" si="513">SUM(AK457:AK467)</f>
        <v>1.0214060000000001E-3</v>
      </c>
      <c r="AL456" s="723">
        <f t="shared" si="513"/>
        <v>4.9043436999999995E-2</v>
      </c>
      <c r="AM456" s="723">
        <f t="shared" si="513"/>
        <v>0.117522401</v>
      </c>
      <c r="AN456" s="723">
        <f t="shared" si="513"/>
        <v>0.21274689499999999</v>
      </c>
      <c r="AO456" s="723">
        <f t="shared" si="513"/>
        <v>0.31996369699999999</v>
      </c>
      <c r="AP456" s="744">
        <f t="shared" si="513"/>
        <v>0.38389435200000005</v>
      </c>
      <c r="AQ456" s="744">
        <f t="shared" si="513"/>
        <v>0.44828816362164059</v>
      </c>
      <c r="AR456" s="744">
        <f t="shared" si="513"/>
        <v>0.46636951202698229</v>
      </c>
      <c r="AS456" s="744">
        <f t="shared" si="513"/>
        <v>0.52260197077539217</v>
      </c>
      <c r="AT456" s="744">
        <f t="shared" si="513"/>
        <v>0.58853900791494618</v>
      </c>
      <c r="AU456" s="744">
        <f t="shared" si="513"/>
        <v>0.62458991679816345</v>
      </c>
      <c r="AV456" s="744">
        <f t="shared" si="513"/>
        <v>0.70645381385732442</v>
      </c>
      <c r="AW456" s="744">
        <f t="shared" si="513"/>
        <v>0.78260053555538533</v>
      </c>
      <c r="AX456" s="744">
        <f t="shared" si="513"/>
        <v>0.86186252158968779</v>
      </c>
      <c r="AY456" s="744">
        <f t="shared" si="513"/>
        <v>0.93755714803279455</v>
      </c>
      <c r="AZ456" s="744">
        <f t="shared" si="513"/>
        <v>1.0269044474381948</v>
      </c>
      <c r="BA456" s="744">
        <f t="shared" si="513"/>
        <v>1.1070331703134526</v>
      </c>
      <c r="BB456" s="744">
        <f t="shared" si="513"/>
        <v>1.1834475877306587</v>
      </c>
      <c r="BC456" s="744">
        <f t="shared" si="513"/>
        <v>1.2682354018821282</v>
      </c>
      <c r="BD456" s="744">
        <f t="shared" si="513"/>
        <v>1.3636003373796441</v>
      </c>
      <c r="BE456" s="744">
        <f t="shared" si="513"/>
        <v>1.4674736257112537</v>
      </c>
      <c r="BF456" s="744">
        <f t="shared" si="513"/>
        <v>1.5716840451915823</v>
      </c>
      <c r="BG456" s="744">
        <f t="shared" si="513"/>
        <v>1.7487800792642565</v>
      </c>
      <c r="BH456" s="744">
        <f t="shared" si="513"/>
        <v>1.8603904873655148</v>
      </c>
      <c r="BI456" s="744">
        <f t="shared" si="513"/>
        <v>1.9658608277375182</v>
      </c>
      <c r="BJ456" s="744">
        <f t="shared" si="513"/>
        <v>2.063866282068624</v>
      </c>
      <c r="BK456" s="744">
        <f t="shared" si="513"/>
        <v>2.1509465336337596</v>
      </c>
      <c r="BL456" s="744">
        <f t="shared" si="513"/>
        <v>2.2279536467584298</v>
      </c>
      <c r="BM456" s="744">
        <f t="shared" si="513"/>
        <v>2.297905524234507</v>
      </c>
      <c r="BN456" s="744">
        <f t="shared" si="513"/>
        <v>2.3539279113284555</v>
      </c>
      <c r="BO456" s="744">
        <f t="shared" si="513"/>
        <v>2.4067700678430004</v>
      </c>
      <c r="BP456" s="744">
        <f t="shared" si="513"/>
        <v>2.4573431382159714</v>
      </c>
      <c r="BQ456" s="744">
        <f t="shared" si="513"/>
        <v>2.5059819150353126</v>
      </c>
      <c r="BR456" s="744">
        <f t="shared" si="513"/>
        <v>2.5556111973783988</v>
      </c>
      <c r="BS456" s="744">
        <f t="shared" si="513"/>
        <v>2.6066484896600755</v>
      </c>
      <c r="BT456" s="744">
        <f t="shared" si="513"/>
        <v>2.6590892051453681</v>
      </c>
      <c r="BU456" s="744">
        <f t="shared" si="513"/>
        <v>2.7127366935662618</v>
      </c>
      <c r="BV456" s="744">
        <f t="shared" si="513"/>
        <v>2.7673434302084488</v>
      </c>
      <c r="BW456" s="744">
        <f t="shared" si="513"/>
        <v>2.8225354096852944</v>
      </c>
      <c r="BX456" s="744">
        <f t="shared" si="513"/>
        <v>2.8780386367408082</v>
      </c>
      <c r="BY456" s="744">
        <f t="shared" si="513"/>
        <v>2.9336502473333779</v>
      </c>
      <c r="BZ456" s="744">
        <f t="shared" si="513"/>
        <v>2.9892129497200504</v>
      </c>
      <c r="CA456" s="744">
        <f t="shared" si="513"/>
        <v>3.0446597591298414</v>
      </c>
      <c r="CB456" s="744">
        <f t="shared" si="513"/>
        <v>3.0999787816553002</v>
      </c>
      <c r="CC456" s="744">
        <f t="shared" si="513"/>
        <v>3.1551872502431859</v>
      </c>
      <c r="CD456" s="744">
        <f t="shared" si="513"/>
        <v>3.2103144050212071</v>
      </c>
      <c r="CE456" s="744">
        <f t="shared" si="513"/>
        <v>3.2653915662248578</v>
      </c>
      <c r="CF456" s="744">
        <f t="shared" si="513"/>
        <v>3.3204448938127937</v>
      </c>
      <c r="CG456" s="744">
        <f t="shared" si="513"/>
        <v>3.3754932344980935</v>
      </c>
      <c r="CH456" s="744">
        <f t="shared" si="513"/>
        <v>3.4305481947833889</v>
      </c>
      <c r="CI456" s="744">
        <f t="shared" si="513"/>
        <v>3.4856149823537432</v>
      </c>
      <c r="CJ456" s="744">
        <f t="shared" si="513"/>
        <v>3.5406943415002203</v>
      </c>
      <c r="CK456" s="744">
        <f t="shared" si="513"/>
        <v>3.5957844822485634</v>
      </c>
      <c r="CL456" s="744">
        <f t="shared" si="513"/>
        <v>3.6508825776450058</v>
      </c>
      <c r="CM456" s="744">
        <f t="shared" si="513"/>
        <v>3.7059857494702619</v>
      </c>
      <c r="CN456" s="744">
        <f t="shared" si="513"/>
        <v>3.7610916191215988</v>
      </c>
      <c r="CO456" s="744">
        <f t="shared" si="513"/>
        <v>3.8161985100574922</v>
      </c>
      <c r="CP456" s="744">
        <f t="shared" si="513"/>
        <v>3.8713054310813853</v>
      </c>
      <c r="CQ456" s="744">
        <f t="shared" si="513"/>
        <v>3.9264119457628714</v>
      </c>
      <c r="CR456" s="744">
        <f t="shared" si="513"/>
        <v>3.981517996785997</v>
      </c>
      <c r="CS456" s="744">
        <f t="shared" si="513"/>
        <v>4.0366237391444448</v>
      </c>
      <c r="CT456" s="744">
        <f t="shared" si="513"/>
        <v>4.0917294102520767</v>
      </c>
      <c r="CU456" s="744">
        <f t="shared" si="513"/>
        <v>4.146835244469905</v>
      </c>
      <c r="CV456" s="744">
        <f t="shared" si="513"/>
        <v>4.201941427425874</v>
      </c>
      <c r="CW456" s="744">
        <f t="shared" ref="CW456:DA456" si="514">SUM(CW457:CW467)</f>
        <v>4.2570480804113657</v>
      </c>
      <c r="CX456" s="744">
        <f t="shared" si="514"/>
        <v>4.3121552639299505</v>
      </c>
      <c r="CY456" s="744">
        <f t="shared" si="514"/>
        <v>4.3672629909973653</v>
      </c>
      <c r="CZ456" s="744">
        <f t="shared" si="514"/>
        <v>4.422371243353961</v>
      </c>
      <c r="DA456" s="744">
        <f t="shared" si="514"/>
        <v>4.4774799862568484</v>
      </c>
      <c r="DC456" s="14">
        <f t="shared" si="501"/>
        <v>0</v>
      </c>
      <c r="DD456" s="14">
        <f t="shared" si="502"/>
        <v>2.5214518344240151</v>
      </c>
      <c r="DE456" s="14">
        <f t="shared" si="503"/>
        <v>11.918297514203633</v>
      </c>
      <c r="DF456" s="14">
        <f t="shared" si="512"/>
        <v>25.611410458676932</v>
      </c>
      <c r="DG456" s="14">
        <f t="shared" si="507"/>
        <v>34.224692050466409</v>
      </c>
      <c r="DH456" s="14">
        <f t="shared" si="504"/>
        <v>42.15844455673723</v>
      </c>
      <c r="DI456" s="14">
        <f t="shared" si="498"/>
        <v>50.092682759872041</v>
      </c>
    </row>
    <row r="457" spans="2:113" s="698" customFormat="1" outlineLevel="2">
      <c r="B457" s="126"/>
      <c r="F457" s="126" t="s">
        <v>540</v>
      </c>
      <c r="H457" s="703"/>
      <c r="I457" s="609" t="s">
        <v>736</v>
      </c>
      <c r="J457" s="703"/>
      <c r="K457" s="703"/>
      <c r="L457" s="703"/>
      <c r="M457" s="703"/>
      <c r="O457" s="714"/>
      <c r="P457" s="714"/>
      <c r="Q457" s="714"/>
      <c r="R457" s="714"/>
      <c r="S457" s="714"/>
      <c r="T457" s="714"/>
      <c r="U457" s="714"/>
      <c r="V457" s="714"/>
      <c r="W457" s="714"/>
      <c r="X457" s="714"/>
      <c r="Y457" s="714"/>
      <c r="Z457" s="714"/>
      <c r="AA457" s="714"/>
      <c r="AB457" s="714"/>
      <c r="AC457" s="714"/>
      <c r="AD457" s="714"/>
      <c r="AE457" s="714"/>
      <c r="AF457" s="714"/>
      <c r="AG457" s="714"/>
      <c r="AI457" s="126"/>
      <c r="AK457" s="744"/>
      <c r="AL457" s="744"/>
      <c r="AM457" s="744"/>
      <c r="AN457" s="696"/>
      <c r="AO457" s="696"/>
      <c r="AP457" s="696"/>
      <c r="AQ457" s="721">
        <v>0</v>
      </c>
      <c r="AR457" s="696"/>
      <c r="AS457" s="696"/>
      <c r="AT457" s="696"/>
      <c r="AU457" s="696"/>
      <c r="AV457" s="696"/>
      <c r="AW457" s="696"/>
      <c r="AX457" s="696"/>
      <c r="AY457" s="696"/>
      <c r="AZ457" s="696"/>
      <c r="BA457" s="696"/>
      <c r="BB457" s="696"/>
      <c r="BC457" s="696"/>
      <c r="BD457" s="696"/>
      <c r="BE457" s="696"/>
      <c r="BF457" s="696"/>
      <c r="BG457" s="696"/>
      <c r="BH457" s="696"/>
      <c r="BI457" s="696"/>
      <c r="BJ457" s="696"/>
      <c r="BK457" s="696"/>
      <c r="BL457" s="696"/>
      <c r="BM457" s="696"/>
      <c r="BN457" s="696"/>
      <c r="BO457" s="696"/>
      <c r="BP457" s="696"/>
      <c r="BQ457" s="696"/>
      <c r="BR457" s="696"/>
      <c r="BS457" s="696"/>
      <c r="BT457" s="696"/>
      <c r="BU457" s="696"/>
      <c r="BV457" s="696"/>
      <c r="BW457" s="696"/>
      <c r="BX457" s="696"/>
      <c r="BY457" s="696"/>
      <c r="BZ457" s="696"/>
      <c r="CA457" s="696"/>
      <c r="CB457" s="696"/>
      <c r="CC457" s="696"/>
      <c r="CD457" s="696"/>
      <c r="CE457" s="696"/>
      <c r="CF457" s="696"/>
      <c r="CG457" s="696"/>
      <c r="CH457" s="696"/>
      <c r="CI457" s="696"/>
      <c r="CJ457" s="696"/>
      <c r="CK457" s="696"/>
      <c r="CL457" s="696"/>
      <c r="CM457" s="696"/>
      <c r="CN457" s="696"/>
      <c r="CO457" s="696"/>
      <c r="CP457" s="696"/>
      <c r="CQ457" s="696"/>
      <c r="CR457" s="696"/>
      <c r="CS457" s="696"/>
      <c r="CT457" s="696"/>
      <c r="CU457" s="696"/>
      <c r="CV457" s="696"/>
      <c r="CW457" s="696"/>
      <c r="CX457" s="696"/>
      <c r="CY457" s="696"/>
      <c r="CZ457" s="696"/>
      <c r="DA457" s="696"/>
      <c r="DC457" s="12">
        <f>SUM(V457:AG457)</f>
        <v>0</v>
      </c>
      <c r="DD457" s="12">
        <f>SUM(AH457:AS457)</f>
        <v>0</v>
      </c>
      <c r="DE457" s="12">
        <f>SUM(AT457:BE457)</f>
        <v>0</v>
      </c>
      <c r="DF457" s="12">
        <f>SUM(BF457:BQ457)</f>
        <v>0</v>
      </c>
      <c r="DG457" s="12">
        <f>SUM(BR457:CC457)</f>
        <v>0</v>
      </c>
      <c r="DH457" s="12">
        <f>SUM(CD457:CO457)</f>
        <v>0</v>
      </c>
      <c r="DI457" s="12">
        <f t="shared" si="498"/>
        <v>0</v>
      </c>
    </row>
    <row r="458" spans="2:113" s="698" customFormat="1" outlineLevel="2">
      <c r="B458" s="126"/>
      <c r="F458" s="126" t="s">
        <v>799</v>
      </c>
      <c r="H458" s="703"/>
      <c r="I458" s="609" t="s">
        <v>736</v>
      </c>
      <c r="J458" s="703"/>
      <c r="K458" s="703"/>
      <c r="L458" s="703"/>
      <c r="M458" s="703"/>
      <c r="O458" s="714"/>
      <c r="P458" s="714"/>
      <c r="Q458" s="714"/>
      <c r="R458" s="714"/>
      <c r="S458" s="714"/>
      <c r="T458" s="714"/>
      <c r="U458" s="714"/>
      <c r="V458" s="714"/>
      <c r="W458" s="714"/>
      <c r="X458" s="714"/>
      <c r="Y458" s="714"/>
      <c r="Z458" s="714"/>
      <c r="AA458" s="714"/>
      <c r="AB458" s="714"/>
      <c r="AC458" s="714"/>
      <c r="AD458" s="714"/>
      <c r="AE458" s="714"/>
      <c r="AF458" s="714"/>
      <c r="AG458" s="714"/>
      <c r="AH458" s="126"/>
      <c r="AI458" s="126"/>
      <c r="AJ458" s="126"/>
      <c r="AK458" s="744"/>
      <c r="AL458" s="744"/>
      <c r="AM458" s="744"/>
      <c r="AN458" s="696"/>
      <c r="AO458" s="696"/>
      <c r="AP458" s="696"/>
      <c r="AQ458" s="721">
        <v>0</v>
      </c>
      <c r="AR458" s="696"/>
      <c r="AS458" s="696"/>
      <c r="AT458" s="696"/>
      <c r="AU458" s="696"/>
      <c r="AV458" s="696"/>
      <c r="AW458" s="696"/>
      <c r="AX458" s="696"/>
      <c r="AY458" s="696"/>
      <c r="AZ458" s="696"/>
      <c r="BA458" s="696"/>
      <c r="BB458" s="696"/>
      <c r="BC458" s="696"/>
      <c r="BD458" s="696"/>
      <c r="BE458" s="696"/>
      <c r="BF458" s="696"/>
      <c r="BG458" s="696"/>
      <c r="BH458" s="696"/>
      <c r="BI458" s="696"/>
      <c r="BJ458" s="696"/>
      <c r="BK458" s="696"/>
      <c r="BL458" s="696"/>
      <c r="BM458" s="696"/>
      <c r="BN458" s="696"/>
      <c r="BO458" s="696"/>
      <c r="BP458" s="696"/>
      <c r="BQ458" s="696"/>
      <c r="BR458" s="696"/>
      <c r="BS458" s="696"/>
      <c r="BT458" s="696"/>
      <c r="BU458" s="696"/>
      <c r="BV458" s="696"/>
      <c r="BW458" s="696"/>
      <c r="BX458" s="696"/>
      <c r="BY458" s="696"/>
      <c r="BZ458" s="696"/>
      <c r="CA458" s="696"/>
      <c r="CB458" s="696"/>
      <c r="CC458" s="696"/>
      <c r="CD458" s="696"/>
      <c r="CE458" s="696"/>
      <c r="CF458" s="696"/>
      <c r="CG458" s="696"/>
      <c r="CH458" s="696"/>
      <c r="CI458" s="696"/>
      <c r="CJ458" s="696"/>
      <c r="CK458" s="696"/>
      <c r="CL458" s="696"/>
      <c r="CM458" s="696"/>
      <c r="CN458" s="696"/>
      <c r="CO458" s="696"/>
      <c r="CP458" s="696"/>
      <c r="CQ458" s="696"/>
      <c r="CR458" s="696"/>
      <c r="CS458" s="696"/>
      <c r="CT458" s="696"/>
      <c r="CU458" s="696"/>
      <c r="CV458" s="696"/>
      <c r="CW458" s="696"/>
      <c r="CX458" s="696"/>
      <c r="CY458" s="696"/>
      <c r="CZ458" s="696"/>
      <c r="DA458" s="696"/>
      <c r="DC458" s="12">
        <f>SUM(V458:AG458)</f>
        <v>0</v>
      </c>
      <c r="DD458" s="12">
        <f>SUM(AH458:AS458)</f>
        <v>0</v>
      </c>
      <c r="DE458" s="12">
        <f>SUM(AT458:BE458)</f>
        <v>0</v>
      </c>
      <c r="DF458" s="12">
        <f>SUM(BF458:BQ458)</f>
        <v>0</v>
      </c>
      <c r="DG458" s="12">
        <f>SUM(BR458:CC458)</f>
        <v>0</v>
      </c>
      <c r="DH458" s="12">
        <f>SUM(CD458:CO458)</f>
        <v>0</v>
      </c>
      <c r="DI458" s="12">
        <f t="shared" si="498"/>
        <v>0</v>
      </c>
    </row>
    <row r="459" spans="2:113" outlineLevel="2">
      <c r="F459" s="126" t="s">
        <v>800</v>
      </c>
      <c r="I459" s="609" t="s">
        <v>736</v>
      </c>
      <c r="O459" s="710"/>
      <c r="P459" s="710"/>
      <c r="Q459" s="710"/>
      <c r="R459" s="710"/>
      <c r="S459" s="710"/>
      <c r="T459" s="710"/>
      <c r="U459" s="710"/>
      <c r="V459" s="710"/>
      <c r="W459" s="710"/>
      <c r="X459" s="710"/>
      <c r="Y459" s="710"/>
      <c r="Z459" s="710"/>
      <c r="AA459" s="710"/>
      <c r="AB459" s="710"/>
      <c r="AC459" s="710"/>
      <c r="AD459" s="710"/>
      <c r="AE459" s="710"/>
      <c r="AF459" s="710"/>
      <c r="AG459" s="710"/>
      <c r="AK459" s="745"/>
      <c r="AL459" s="745"/>
      <c r="AM459" s="745"/>
      <c r="AN459" s="710"/>
      <c r="AO459" s="710"/>
      <c r="AP459" s="710"/>
      <c r="AQ459" s="721">
        <v>0</v>
      </c>
      <c r="AR459" s="710"/>
      <c r="AS459" s="710"/>
      <c r="AT459" s="710"/>
      <c r="AU459" s="710"/>
      <c r="AV459" s="710"/>
      <c r="AW459" s="710"/>
      <c r="AX459" s="710"/>
      <c r="AY459" s="710"/>
      <c r="AZ459" s="710"/>
      <c r="BA459" s="710"/>
      <c r="BB459" s="710"/>
      <c r="BC459" s="710"/>
      <c r="BD459" s="710"/>
      <c r="BE459" s="710"/>
      <c r="BF459" s="710"/>
      <c r="BG459" s="710"/>
      <c r="BH459" s="710"/>
      <c r="BI459" s="710"/>
      <c r="BJ459" s="710"/>
      <c r="BK459" s="710"/>
      <c r="BL459" s="710"/>
      <c r="BM459" s="710"/>
      <c r="BN459" s="710"/>
      <c r="BO459" s="710"/>
      <c r="BP459" s="710"/>
      <c r="BQ459" s="710"/>
      <c r="BR459" s="710"/>
      <c r="BS459" s="710"/>
      <c r="BT459" s="710"/>
      <c r="BU459" s="710"/>
      <c r="BV459" s="710"/>
      <c r="BW459" s="710"/>
      <c r="BX459" s="710"/>
      <c r="BY459" s="710"/>
      <c r="BZ459" s="710"/>
      <c r="CA459" s="710"/>
      <c r="CB459" s="710"/>
      <c r="CC459" s="710"/>
      <c r="CD459" s="710"/>
      <c r="CE459" s="710"/>
      <c r="CF459" s="710"/>
      <c r="CG459" s="710"/>
      <c r="CH459" s="710"/>
      <c r="CI459" s="710"/>
      <c r="CJ459" s="710"/>
      <c r="CK459" s="710"/>
      <c r="CL459" s="710"/>
      <c r="CM459" s="710"/>
      <c r="CN459" s="710"/>
      <c r="CO459" s="710"/>
      <c r="CP459" s="710"/>
      <c r="CQ459" s="710"/>
      <c r="CR459" s="710"/>
      <c r="CS459" s="710"/>
      <c r="CT459" s="710"/>
      <c r="CU459" s="710"/>
      <c r="CV459" s="710"/>
      <c r="CW459" s="710"/>
      <c r="CX459" s="710"/>
      <c r="CY459" s="710"/>
      <c r="CZ459" s="710"/>
      <c r="DA459" s="710"/>
      <c r="DC459" s="12">
        <f t="shared" si="501"/>
        <v>0</v>
      </c>
      <c r="DD459" s="12">
        <f t="shared" si="502"/>
        <v>0</v>
      </c>
      <c r="DE459" s="12">
        <f t="shared" si="503"/>
        <v>0</v>
      </c>
      <c r="DF459" s="12">
        <f t="shared" si="512"/>
        <v>0</v>
      </c>
      <c r="DG459" s="12">
        <f t="shared" si="507"/>
        <v>0</v>
      </c>
      <c r="DH459" s="12">
        <f t="shared" si="504"/>
        <v>0</v>
      </c>
      <c r="DI459" s="12">
        <f t="shared" si="498"/>
        <v>0</v>
      </c>
    </row>
    <row r="460" spans="2:113" outlineLevel="2">
      <c r="F460" s="126" t="s">
        <v>223</v>
      </c>
      <c r="I460" s="609" t="s">
        <v>736</v>
      </c>
      <c r="O460" s="710"/>
      <c r="P460" s="710"/>
      <c r="Q460" s="710"/>
      <c r="R460" s="710"/>
      <c r="S460" s="710"/>
      <c r="T460" s="710"/>
      <c r="U460" s="710"/>
      <c r="V460" s="710"/>
      <c r="W460" s="710"/>
      <c r="X460" s="710"/>
      <c r="Y460" s="710"/>
      <c r="Z460" s="710"/>
      <c r="AA460" s="710"/>
      <c r="AB460" s="710"/>
      <c r="AC460" s="710"/>
      <c r="AD460" s="710"/>
      <c r="AE460" s="710"/>
      <c r="AF460" s="710"/>
      <c r="AG460" s="710"/>
      <c r="AK460" s="739"/>
      <c r="AL460" s="739"/>
      <c r="AM460" s="721">
        <v>0</v>
      </c>
      <c r="AN460" s="721">
        <v>0</v>
      </c>
      <c r="AO460" s="721">
        <v>0</v>
      </c>
      <c r="AP460" s="713">
        <v>3.6230999999999999E-2</v>
      </c>
      <c r="AQ460" s="721">
        <v>4.4109038000000003E-2</v>
      </c>
      <c r="AR460" s="710">
        <v>0</v>
      </c>
      <c r="AS460" s="710">
        <v>0</v>
      </c>
      <c r="AT460" s="710">
        <v>0</v>
      </c>
      <c r="AU460" s="710">
        <v>0</v>
      </c>
      <c r="AV460" s="710">
        <v>0</v>
      </c>
      <c r="AW460" s="710">
        <v>0</v>
      </c>
      <c r="AX460" s="710">
        <v>0</v>
      </c>
      <c r="AY460" s="710">
        <v>0</v>
      </c>
      <c r="AZ460" s="710">
        <v>0</v>
      </c>
      <c r="BA460" s="710">
        <v>0</v>
      </c>
      <c r="BB460" s="710">
        <v>0</v>
      </c>
      <c r="BC460" s="710">
        <v>0</v>
      </c>
      <c r="BD460" s="710">
        <v>0</v>
      </c>
      <c r="BE460" s="710">
        <v>0</v>
      </c>
      <c r="BF460" s="710">
        <v>0</v>
      </c>
      <c r="BG460" s="710">
        <v>0</v>
      </c>
      <c r="BH460" s="710">
        <v>0</v>
      </c>
      <c r="BI460" s="710">
        <v>0</v>
      </c>
      <c r="BJ460" s="710">
        <v>0</v>
      </c>
      <c r="BK460" s="710">
        <v>0</v>
      </c>
      <c r="BL460" s="710">
        <v>0</v>
      </c>
      <c r="BM460" s="710">
        <v>0</v>
      </c>
      <c r="BN460" s="710">
        <v>0</v>
      </c>
      <c r="BO460" s="710">
        <v>0</v>
      </c>
      <c r="BP460" s="710">
        <v>0</v>
      </c>
      <c r="BQ460" s="710">
        <v>0</v>
      </c>
      <c r="BR460" s="710">
        <v>0</v>
      </c>
      <c r="BS460" s="710">
        <v>0</v>
      </c>
      <c r="BT460" s="710">
        <v>0</v>
      </c>
      <c r="BU460" s="710">
        <v>0</v>
      </c>
      <c r="BV460" s="710">
        <v>0</v>
      </c>
      <c r="BW460" s="710">
        <v>0</v>
      </c>
      <c r="BX460" s="710">
        <v>0</v>
      </c>
      <c r="BY460" s="710">
        <v>0</v>
      </c>
      <c r="BZ460" s="710">
        <v>0</v>
      </c>
      <c r="CA460" s="710">
        <v>0</v>
      </c>
      <c r="CB460" s="710">
        <v>0</v>
      </c>
      <c r="CC460" s="710">
        <v>0</v>
      </c>
      <c r="CD460" s="710">
        <v>0</v>
      </c>
      <c r="CE460" s="710">
        <v>0</v>
      </c>
      <c r="CF460" s="710">
        <v>0</v>
      </c>
      <c r="CG460" s="710">
        <v>0</v>
      </c>
      <c r="CH460" s="710">
        <v>0</v>
      </c>
      <c r="CI460" s="710">
        <v>0</v>
      </c>
      <c r="CJ460" s="710">
        <v>0</v>
      </c>
      <c r="CK460" s="710">
        <v>0</v>
      </c>
      <c r="CL460" s="710">
        <v>0</v>
      </c>
      <c r="CM460" s="710">
        <v>0</v>
      </c>
      <c r="CN460" s="710">
        <v>0</v>
      </c>
      <c r="CO460" s="710">
        <v>0</v>
      </c>
      <c r="CP460" s="710">
        <v>0</v>
      </c>
      <c r="CQ460" s="710">
        <v>0</v>
      </c>
      <c r="CR460" s="710">
        <v>0</v>
      </c>
      <c r="CS460" s="710">
        <v>0</v>
      </c>
      <c r="CT460" s="710">
        <v>0</v>
      </c>
      <c r="CU460" s="710">
        <v>0</v>
      </c>
      <c r="CV460" s="710">
        <v>0</v>
      </c>
      <c r="CW460" s="710">
        <v>0</v>
      </c>
      <c r="CX460" s="710">
        <v>0</v>
      </c>
      <c r="CY460" s="710">
        <v>0</v>
      </c>
      <c r="CZ460" s="710">
        <v>0</v>
      </c>
      <c r="DA460" s="710">
        <v>0</v>
      </c>
      <c r="DC460" s="12">
        <f>SUM(V460:AG460)</f>
        <v>0</v>
      </c>
      <c r="DD460" s="12">
        <f>SUM(AH460:AS460)</f>
        <v>8.0340038000000003E-2</v>
      </c>
      <c r="DE460" s="12">
        <f>SUM(AT460:BE460)</f>
        <v>0</v>
      </c>
      <c r="DF460" s="12">
        <f>SUM(BF460:BQ460)</f>
        <v>0</v>
      </c>
      <c r="DG460" s="12">
        <f>SUM(BR460:CC460)</f>
        <v>0</v>
      </c>
      <c r="DH460" s="12">
        <f>SUM(CD460:CO460)</f>
        <v>0</v>
      </c>
      <c r="DI460" s="12">
        <f t="shared" si="498"/>
        <v>0</v>
      </c>
    </row>
    <row r="461" spans="2:113" outlineLevel="2">
      <c r="F461" s="126" t="s">
        <v>221</v>
      </c>
      <c r="I461" s="609" t="s">
        <v>736</v>
      </c>
      <c r="O461" s="710"/>
      <c r="P461" s="710"/>
      <c r="Q461" s="710"/>
      <c r="R461" s="710"/>
      <c r="S461" s="710"/>
      <c r="T461" s="710"/>
      <c r="U461" s="710"/>
      <c r="V461" s="710"/>
      <c r="W461" s="710"/>
      <c r="X461" s="710"/>
      <c r="Y461" s="710"/>
      <c r="Z461" s="710"/>
      <c r="AA461" s="710"/>
      <c r="AB461" s="710"/>
      <c r="AC461" s="710"/>
      <c r="AD461" s="710"/>
      <c r="AE461" s="710"/>
      <c r="AF461" s="710"/>
      <c r="AG461" s="710"/>
      <c r="AK461" s="721">
        <v>1.0214060000000001E-3</v>
      </c>
      <c r="AL461" s="721">
        <v>5.1011058999999997E-2</v>
      </c>
      <c r="AM461" s="721">
        <v>0.115925141</v>
      </c>
      <c r="AN461" s="721">
        <v>0.19491484000000001</v>
      </c>
      <c r="AO461" s="721">
        <v>0.27075200799999999</v>
      </c>
      <c r="AP461" s="713">
        <v>0.27294280700000001</v>
      </c>
      <c r="AQ461" s="721">
        <v>0.41953715600000002</v>
      </c>
      <c r="AR461" s="710">
        <v>0.49375200000000002</v>
      </c>
      <c r="AS461" s="710">
        <v>0.64828799999999998</v>
      </c>
      <c r="AT461" s="710">
        <v>0.73328800000000005</v>
      </c>
      <c r="AU461" s="710">
        <v>0.81928799999999991</v>
      </c>
      <c r="AV461" s="710">
        <v>0.90628799999999998</v>
      </c>
      <c r="AW461" s="710">
        <v>0.99428799999999995</v>
      </c>
      <c r="AX461" s="710">
        <v>1.0832880000000003</v>
      </c>
      <c r="AY461" s="710">
        <v>1.1732880000000001</v>
      </c>
      <c r="AZ461" s="710">
        <v>1.2642880000000001</v>
      </c>
      <c r="BA461" s="710">
        <v>1.3562880000000002</v>
      </c>
      <c r="BB461" s="710">
        <v>1.4492880000000001</v>
      </c>
      <c r="BC461" s="710">
        <v>1.5432880000000002</v>
      </c>
      <c r="BD461" s="710">
        <v>1.6382880000000002</v>
      </c>
      <c r="BE461" s="710">
        <v>1.7342880000000003</v>
      </c>
      <c r="BF461" s="710">
        <v>1.8272880000000002</v>
      </c>
      <c r="BG461" s="710">
        <v>1.9172880000000001</v>
      </c>
      <c r="BH461" s="710">
        <v>2.0042880000000003</v>
      </c>
      <c r="BI461" s="710">
        <v>2.0882879999999999</v>
      </c>
      <c r="BJ461" s="710">
        <v>2.1692880000000003</v>
      </c>
      <c r="BK461" s="710">
        <v>2.2472880000000002</v>
      </c>
      <c r="BL461" s="710">
        <v>2.3222879999999999</v>
      </c>
      <c r="BM461" s="710">
        <v>2.3942880000000004</v>
      </c>
      <c r="BN461" s="710">
        <v>2.4632880000000004</v>
      </c>
      <c r="BO461" s="710">
        <v>2.5292880000000002</v>
      </c>
      <c r="BP461" s="710">
        <v>2.5922879999999999</v>
      </c>
      <c r="BQ461" s="710">
        <v>2.652288</v>
      </c>
      <c r="BR461" s="710">
        <v>2.712288</v>
      </c>
      <c r="BS461" s="710">
        <v>2.7722879999999996</v>
      </c>
      <c r="BT461" s="710">
        <v>2.8322880000000001</v>
      </c>
      <c r="BU461" s="710">
        <v>2.8922879999999997</v>
      </c>
      <c r="BV461" s="710">
        <v>2.9522879999999998</v>
      </c>
      <c r="BW461" s="710">
        <v>3.0122879999999999</v>
      </c>
      <c r="BX461" s="710">
        <v>3.0722879999999999</v>
      </c>
      <c r="BY461" s="710">
        <v>3.132288</v>
      </c>
      <c r="BZ461" s="710">
        <v>3.1922879999999996</v>
      </c>
      <c r="CA461" s="710">
        <v>3.2522880000000001</v>
      </c>
      <c r="CB461" s="710">
        <v>3.3122879999999997</v>
      </c>
      <c r="CC461" s="710">
        <v>3.3722879999999997</v>
      </c>
      <c r="CD461" s="710">
        <v>3.4322879999999998</v>
      </c>
      <c r="CE461" s="710">
        <v>3.4922880000000003</v>
      </c>
      <c r="CF461" s="710">
        <v>3.5522880000000003</v>
      </c>
      <c r="CG461" s="710">
        <v>3.6122879999999995</v>
      </c>
      <c r="CH461" s="710">
        <v>3.672288</v>
      </c>
      <c r="CI461" s="710">
        <v>3.732288</v>
      </c>
      <c r="CJ461" s="710">
        <v>3.7922880000000001</v>
      </c>
      <c r="CK461" s="710">
        <v>3.8522880000000002</v>
      </c>
      <c r="CL461" s="710">
        <v>3.9122879999999998</v>
      </c>
      <c r="CM461" s="710">
        <v>3.9722879999999998</v>
      </c>
      <c r="CN461" s="710">
        <v>4.0322880000000003</v>
      </c>
      <c r="CO461" s="710">
        <v>4.0922879999999999</v>
      </c>
      <c r="CP461" s="710">
        <v>4.1522880000000004</v>
      </c>
      <c r="CQ461" s="710">
        <v>4.212288</v>
      </c>
      <c r="CR461" s="710">
        <v>4.2722879999999996</v>
      </c>
      <c r="CS461" s="710">
        <v>4.3322880000000001</v>
      </c>
      <c r="CT461" s="710">
        <v>4.3922879999999997</v>
      </c>
      <c r="CU461" s="710">
        <v>4.4522880000000002</v>
      </c>
      <c r="CV461" s="710">
        <v>4.5122879999999999</v>
      </c>
      <c r="CW461" s="710">
        <v>4.5722879999999995</v>
      </c>
      <c r="CX461" s="710">
        <v>4.632288</v>
      </c>
      <c r="CY461" s="710">
        <v>4.6922880000000005</v>
      </c>
      <c r="CZ461" s="710">
        <v>4.7522880000000001</v>
      </c>
      <c r="DA461" s="710">
        <v>4.8122879999999997</v>
      </c>
      <c r="DC461" s="12">
        <f t="shared" si="501"/>
        <v>0</v>
      </c>
      <c r="DD461" s="12">
        <f t="shared" si="502"/>
        <v>2.468144417</v>
      </c>
      <c r="DE461" s="12">
        <f t="shared" si="503"/>
        <v>14.695456</v>
      </c>
      <c r="DF461" s="12">
        <f t="shared" si="512"/>
        <v>27.207456000000004</v>
      </c>
      <c r="DG461" s="12">
        <f t="shared" si="507"/>
        <v>36.507455999999998</v>
      </c>
      <c r="DH461" s="12">
        <f t="shared" si="504"/>
        <v>45.147456000000005</v>
      </c>
      <c r="DI461" s="12">
        <f t="shared" si="498"/>
        <v>53.787456000000006</v>
      </c>
    </row>
    <row r="462" spans="2:113" outlineLevel="2">
      <c r="F462" s="126" t="s">
        <v>801</v>
      </c>
      <c r="I462" s="609" t="s">
        <v>736</v>
      </c>
      <c r="O462" s="710"/>
      <c r="P462" s="710"/>
      <c r="Q462" s="710"/>
      <c r="R462" s="710"/>
      <c r="S462" s="710"/>
      <c r="T462" s="710"/>
      <c r="U462" s="710"/>
      <c r="V462" s="710"/>
      <c r="W462" s="710"/>
      <c r="X462" s="710"/>
      <c r="Y462" s="710"/>
      <c r="Z462" s="710"/>
      <c r="AA462" s="710"/>
      <c r="AB462" s="710"/>
      <c r="AC462" s="710"/>
      <c r="AD462" s="710"/>
      <c r="AE462" s="710"/>
      <c r="AF462" s="710"/>
      <c r="AG462" s="710"/>
      <c r="AK462" s="739"/>
      <c r="AL462" s="739"/>
      <c r="AM462" s="739">
        <v>0</v>
      </c>
      <c r="AN462" s="739">
        <v>0</v>
      </c>
      <c r="AO462" s="739">
        <v>0</v>
      </c>
      <c r="AP462" s="710">
        <v>0</v>
      </c>
      <c r="AQ462" s="721">
        <v>0</v>
      </c>
      <c r="AR462" s="710">
        <v>0</v>
      </c>
      <c r="AS462" s="710">
        <v>0</v>
      </c>
      <c r="AT462" s="710">
        <v>0</v>
      </c>
      <c r="AU462" s="710">
        <v>0</v>
      </c>
      <c r="AV462" s="710">
        <v>0</v>
      </c>
      <c r="AW462" s="710">
        <v>0</v>
      </c>
      <c r="AX462" s="710">
        <v>0</v>
      </c>
      <c r="AY462" s="710">
        <v>0</v>
      </c>
      <c r="AZ462" s="710">
        <v>0</v>
      </c>
      <c r="BA462" s="710">
        <v>0</v>
      </c>
      <c r="BB462" s="710">
        <v>0</v>
      </c>
      <c r="BC462" s="710">
        <v>0</v>
      </c>
      <c r="BD462" s="710">
        <v>0</v>
      </c>
      <c r="BE462" s="710">
        <v>0</v>
      </c>
      <c r="BF462" s="710">
        <v>0</v>
      </c>
      <c r="BG462" s="710">
        <v>0</v>
      </c>
      <c r="BH462" s="710">
        <v>0</v>
      </c>
      <c r="BI462" s="710">
        <v>0</v>
      </c>
      <c r="BJ462" s="710">
        <v>0</v>
      </c>
      <c r="BK462" s="710">
        <v>0</v>
      </c>
      <c r="BL462" s="710">
        <v>0</v>
      </c>
      <c r="BM462" s="710">
        <v>0</v>
      </c>
      <c r="BN462" s="710">
        <v>0</v>
      </c>
      <c r="BO462" s="710">
        <v>0</v>
      </c>
      <c r="BP462" s="710">
        <v>0</v>
      </c>
      <c r="BQ462" s="710">
        <v>0</v>
      </c>
      <c r="BR462" s="710">
        <v>0</v>
      </c>
      <c r="BS462" s="710">
        <v>0</v>
      </c>
      <c r="BT462" s="710">
        <v>0</v>
      </c>
      <c r="BU462" s="710">
        <v>0</v>
      </c>
      <c r="BV462" s="710">
        <v>0</v>
      </c>
      <c r="BW462" s="710">
        <v>0</v>
      </c>
      <c r="BX462" s="710">
        <v>0</v>
      </c>
      <c r="BY462" s="710">
        <v>0</v>
      </c>
      <c r="BZ462" s="710">
        <v>0</v>
      </c>
      <c r="CA462" s="710">
        <v>0</v>
      </c>
      <c r="CB462" s="710">
        <v>0</v>
      </c>
      <c r="CC462" s="710">
        <v>0</v>
      </c>
      <c r="CD462" s="710">
        <v>0</v>
      </c>
      <c r="CE462" s="710">
        <v>0</v>
      </c>
      <c r="CF462" s="710">
        <v>0</v>
      </c>
      <c r="CG462" s="710">
        <v>0</v>
      </c>
      <c r="CH462" s="710">
        <v>0</v>
      </c>
      <c r="CI462" s="710">
        <v>0</v>
      </c>
      <c r="CJ462" s="710">
        <v>0</v>
      </c>
      <c r="CK462" s="710">
        <v>0</v>
      </c>
      <c r="CL462" s="710">
        <v>0</v>
      </c>
      <c r="CM462" s="710">
        <v>0</v>
      </c>
      <c r="CN462" s="710">
        <v>0</v>
      </c>
      <c r="CO462" s="710">
        <v>0</v>
      </c>
      <c r="CP462" s="710">
        <v>0</v>
      </c>
      <c r="CQ462" s="710">
        <v>0</v>
      </c>
      <c r="CR462" s="710">
        <v>0</v>
      </c>
      <c r="CS462" s="710">
        <v>0</v>
      </c>
      <c r="CT462" s="710">
        <v>0</v>
      </c>
      <c r="CU462" s="710">
        <v>0</v>
      </c>
      <c r="CV462" s="710">
        <v>0</v>
      </c>
      <c r="CW462" s="710">
        <v>0</v>
      </c>
      <c r="CX462" s="710">
        <v>0</v>
      </c>
      <c r="CY462" s="710">
        <v>0</v>
      </c>
      <c r="CZ462" s="710">
        <v>0</v>
      </c>
      <c r="DA462" s="710">
        <v>0</v>
      </c>
      <c r="DC462" s="12">
        <f t="shared" ref="DC462:DC467" si="515">SUM(V462:AG462)</f>
        <v>0</v>
      </c>
      <c r="DD462" s="12">
        <f t="shared" ref="DD462:DD467" si="516">SUM(AH462:AS462)</f>
        <v>0</v>
      </c>
      <c r="DE462" s="12">
        <f t="shared" ref="DE462:DE467" si="517">SUM(AT462:BE462)</f>
        <v>0</v>
      </c>
      <c r="DF462" s="12">
        <f t="shared" ref="DF462:DF467" si="518">SUM(BF462:BQ462)</f>
        <v>0</v>
      </c>
      <c r="DG462" s="12">
        <f t="shared" ref="DG462:DG467" si="519">SUM(BR462:CC462)</f>
        <v>0</v>
      </c>
      <c r="DH462" s="12">
        <f t="shared" ref="DH462:DH467" si="520">SUM(CD462:CO462)</f>
        <v>0</v>
      </c>
      <c r="DI462" s="12">
        <f t="shared" si="498"/>
        <v>0</v>
      </c>
    </row>
    <row r="463" spans="2:113" outlineLevel="2">
      <c r="F463" s="126" t="s">
        <v>802</v>
      </c>
      <c r="I463" s="609" t="s">
        <v>736</v>
      </c>
      <c r="O463" s="710"/>
      <c r="P463" s="710"/>
      <c r="Q463" s="710"/>
      <c r="R463" s="710"/>
      <c r="S463" s="710"/>
      <c r="T463" s="710"/>
      <c r="U463" s="710"/>
      <c r="V463" s="710"/>
      <c r="W463" s="710"/>
      <c r="X463" s="710"/>
      <c r="Y463" s="710"/>
      <c r="Z463" s="710"/>
      <c r="AA463" s="710"/>
      <c r="AB463" s="710"/>
      <c r="AC463" s="710"/>
      <c r="AD463" s="710"/>
      <c r="AE463" s="710"/>
      <c r="AF463" s="710"/>
      <c r="AG463" s="710"/>
      <c r="AK463" s="739"/>
      <c r="AL463" s="739"/>
      <c r="AM463" s="739">
        <v>0</v>
      </c>
      <c r="AN463" s="739">
        <v>0</v>
      </c>
      <c r="AO463" s="739">
        <v>0</v>
      </c>
      <c r="AP463" s="710">
        <v>0</v>
      </c>
      <c r="AQ463" s="721">
        <v>0</v>
      </c>
      <c r="AR463" s="710"/>
      <c r="AS463" s="710"/>
      <c r="AT463" s="710"/>
      <c r="AU463" s="710"/>
      <c r="AV463" s="710"/>
      <c r="AW463" s="710"/>
      <c r="AX463" s="710"/>
      <c r="AY463" s="710"/>
      <c r="AZ463" s="710"/>
      <c r="BA463" s="710"/>
      <c r="BB463" s="710"/>
      <c r="BC463" s="710"/>
      <c r="BD463" s="710"/>
      <c r="BE463" s="710"/>
      <c r="BF463" s="710"/>
      <c r="BG463" s="710"/>
      <c r="BH463" s="710"/>
      <c r="BI463" s="710"/>
      <c r="BJ463" s="710"/>
      <c r="BK463" s="710"/>
      <c r="BL463" s="710"/>
      <c r="BM463" s="710"/>
      <c r="BN463" s="710"/>
      <c r="BO463" s="710"/>
      <c r="BP463" s="710"/>
      <c r="BQ463" s="710"/>
      <c r="BR463" s="710"/>
      <c r="BS463" s="710"/>
      <c r="BT463" s="710"/>
      <c r="BU463" s="710"/>
      <c r="BV463" s="710"/>
      <c r="BW463" s="710"/>
      <c r="BX463" s="710"/>
      <c r="BY463" s="710"/>
      <c r="BZ463" s="710"/>
      <c r="CA463" s="710"/>
      <c r="CB463" s="710"/>
      <c r="CC463" s="710"/>
      <c r="CD463" s="710"/>
      <c r="CE463" s="710"/>
      <c r="CF463" s="710"/>
      <c r="CG463" s="710"/>
      <c r="CH463" s="710"/>
      <c r="CI463" s="710"/>
      <c r="CJ463" s="710"/>
      <c r="CK463" s="710"/>
      <c r="CL463" s="710"/>
      <c r="CM463" s="710"/>
      <c r="CN463" s="710"/>
      <c r="CO463" s="710"/>
      <c r="CP463" s="710"/>
      <c r="CQ463" s="710"/>
      <c r="CR463" s="710"/>
      <c r="CS463" s="710"/>
      <c r="CT463" s="710"/>
      <c r="CU463" s="710"/>
      <c r="CV463" s="710"/>
      <c r="CW463" s="710"/>
      <c r="CX463" s="710"/>
      <c r="CY463" s="710"/>
      <c r="CZ463" s="710"/>
      <c r="DA463" s="710"/>
      <c r="DC463" s="12">
        <f t="shared" si="515"/>
        <v>0</v>
      </c>
      <c r="DD463" s="12">
        <f t="shared" si="516"/>
        <v>0</v>
      </c>
      <c r="DE463" s="12">
        <f t="shared" si="517"/>
        <v>0</v>
      </c>
      <c r="DF463" s="12">
        <f t="shared" si="518"/>
        <v>0</v>
      </c>
      <c r="DG463" s="12">
        <f t="shared" si="519"/>
        <v>0</v>
      </c>
      <c r="DH463" s="12">
        <f t="shared" si="520"/>
        <v>0</v>
      </c>
      <c r="DI463" s="12">
        <f t="shared" si="498"/>
        <v>0</v>
      </c>
    </row>
    <row r="464" spans="2:113" outlineLevel="2">
      <c r="F464" s="126" t="s">
        <v>222</v>
      </c>
      <c r="I464" s="609" t="s">
        <v>736</v>
      </c>
      <c r="O464" s="710"/>
      <c r="P464" s="710"/>
      <c r="Q464" s="710"/>
      <c r="R464" s="710"/>
      <c r="S464" s="710"/>
      <c r="T464" s="710"/>
      <c r="U464" s="710"/>
      <c r="V464" s="710"/>
      <c r="W464" s="710"/>
      <c r="X464" s="710"/>
      <c r="Y464" s="710"/>
      <c r="Z464" s="710"/>
      <c r="AA464" s="710"/>
      <c r="AB464" s="710"/>
      <c r="AC464" s="710"/>
      <c r="AD464" s="710"/>
      <c r="AE464" s="710"/>
      <c r="AF464" s="710"/>
      <c r="AG464" s="710"/>
      <c r="AH464" s="698"/>
      <c r="AI464" s="698"/>
      <c r="AJ464" s="698"/>
      <c r="AK464" s="721">
        <v>0</v>
      </c>
      <c r="AL464" s="721">
        <v>0</v>
      </c>
      <c r="AM464" s="721">
        <v>7.6036029999999996E-3</v>
      </c>
      <c r="AN464" s="721">
        <v>2.6025256E-2</v>
      </c>
      <c r="AO464" s="721">
        <v>6.1989213000000001E-2</v>
      </c>
      <c r="AP464" s="721">
        <v>8.0753063E-2</v>
      </c>
      <c r="AQ464" s="721">
        <v>0.114148836</v>
      </c>
      <c r="AR464" s="710">
        <v>0.12508031157622501</v>
      </c>
      <c r="AS464" s="710">
        <v>0.14417498905167875</v>
      </c>
      <c r="AT464" s="710">
        <v>0.16505755908965397</v>
      </c>
      <c r="AU464" s="710">
        <v>0.18545436307468977</v>
      </c>
      <c r="AV464" s="710">
        <v>0.20561348190078213</v>
      </c>
      <c r="AW464" s="710">
        <v>0.22579130531858618</v>
      </c>
      <c r="AX464" s="710">
        <v>0.24623479140453625</v>
      </c>
      <c r="AY464" s="710">
        <v>0.26675702499469572</v>
      </c>
      <c r="AZ464" s="710">
        <v>0.28771968860685471</v>
      </c>
      <c r="BA464" s="710">
        <v>0.30899180681040533</v>
      </c>
      <c r="BB464" s="710">
        <v>0.33024754200277229</v>
      </c>
      <c r="BC464" s="710">
        <v>0.35168061285762831</v>
      </c>
      <c r="BD464" s="710">
        <v>0.37335520705394953</v>
      </c>
      <c r="BE464" s="710">
        <v>0.39533912650255243</v>
      </c>
      <c r="BF464" s="710">
        <v>0.41668063535506605</v>
      </c>
      <c r="BG464" s="710">
        <v>0.43741207279106864</v>
      </c>
      <c r="BH464" s="710">
        <v>0.45742910793574409</v>
      </c>
      <c r="BI464" s="710">
        <v>0.47678705113835523</v>
      </c>
      <c r="BJ464" s="710">
        <v>0.49553963438107629</v>
      </c>
      <c r="BK464" s="710">
        <v>0.51363093991980335</v>
      </c>
      <c r="BL464" s="710">
        <v>0.53100532087810559</v>
      </c>
      <c r="BM464" s="710">
        <v>0.5477948152629204</v>
      </c>
      <c r="BN464" s="710">
        <v>0.56377096929567261</v>
      </c>
      <c r="BO464" s="710">
        <v>0.57899274600384854</v>
      </c>
      <c r="BP464" s="710">
        <v>0.59349215311025627</v>
      </c>
      <c r="BQ464" s="710">
        <v>0.60728593463556957</v>
      </c>
      <c r="BR464" s="710">
        <v>0.62103838528154531</v>
      </c>
      <c r="BS464" s="710">
        <v>0.63477237339627113</v>
      </c>
      <c r="BT464" s="710">
        <v>0.64850078764806429</v>
      </c>
      <c r="BU464" s="710">
        <v>0.66223014814423742</v>
      </c>
      <c r="BV464" s="710">
        <v>0.67596558522659944</v>
      </c>
      <c r="BW464" s="710">
        <v>0.68970779123731318</v>
      </c>
      <c r="BX464" s="710">
        <v>0.70345606588787324</v>
      </c>
      <c r="BY464" s="710">
        <v>0.7172094831441479</v>
      </c>
      <c r="BZ464" s="710">
        <v>0.73096621968942388</v>
      </c>
      <c r="CA464" s="710">
        <v>0.74472462979951692</v>
      </c>
      <c r="CB464" s="710">
        <v>0.75848354047602307</v>
      </c>
      <c r="CC464" s="710">
        <v>0.77224224324774882</v>
      </c>
      <c r="CD464" s="710">
        <v>0.78600038372036107</v>
      </c>
      <c r="CE464" s="710">
        <v>0.79975787851581848</v>
      </c>
      <c r="CF464" s="710">
        <v>0.8135147982871993</v>
      </c>
      <c r="CG464" s="710">
        <v>0.82727128267393124</v>
      </c>
      <c r="CH464" s="710">
        <v>0.84102749123747544</v>
      </c>
      <c r="CI464" s="710">
        <v>0.85478356325987326</v>
      </c>
      <c r="CJ464" s="710">
        <v>0.86853959976726447</v>
      </c>
      <c r="CK464" s="710">
        <v>0.88229566203588172</v>
      </c>
      <c r="CL464" s="710">
        <v>0.89605177860960827</v>
      </c>
      <c r="CM464" s="710">
        <v>0.90980795494217548</v>
      </c>
      <c r="CN464" s="710">
        <v>0.92356418299992982</v>
      </c>
      <c r="CO464" s="710">
        <v>0.93732044888588018</v>
      </c>
      <c r="CP464" s="710">
        <v>0.95107673799632408</v>
      </c>
      <c r="CQ464" s="710">
        <v>0.96483303804816301</v>
      </c>
      <c r="CR464" s="710">
        <v>0.97858934031813372</v>
      </c>
      <c r="CS464" s="710">
        <v>0.99234563964637923</v>
      </c>
      <c r="CT464" s="710">
        <v>1.0061019337689301</v>
      </c>
      <c r="CU464" s="710">
        <v>1.0198582224171719</v>
      </c>
      <c r="CV464" s="710">
        <v>1.0336145064578657</v>
      </c>
      <c r="CW464" s="710">
        <v>1.047370787216054</v>
      </c>
      <c r="CX464" s="710">
        <v>1.0611270660221175</v>
      </c>
      <c r="CY464" s="710">
        <v>1.0748833439630727</v>
      </c>
      <c r="CZ464" s="710">
        <v>1.0886396217916812</v>
      </c>
      <c r="DA464" s="710">
        <v>1.102395899938923</v>
      </c>
      <c r="DC464" s="12">
        <f t="shared" si="515"/>
        <v>0</v>
      </c>
      <c r="DD464" s="12">
        <f t="shared" si="516"/>
        <v>0.55977527162790386</v>
      </c>
      <c r="DE464" s="12">
        <f t="shared" si="517"/>
        <v>3.3422425096171064</v>
      </c>
      <c r="DF464" s="12">
        <f t="shared" si="518"/>
        <v>6.2198213807074874</v>
      </c>
      <c r="DG464" s="12">
        <f t="shared" si="519"/>
        <v>8.3592972531787648</v>
      </c>
      <c r="DH464" s="12">
        <f t="shared" si="520"/>
        <v>10.3399350249354</v>
      </c>
      <c r="DI464" s="12">
        <f t="shared" si="498"/>
        <v>12.320836137584816</v>
      </c>
    </row>
    <row r="465" spans="2:113" outlineLevel="2">
      <c r="F465" s="126" t="s">
        <v>803</v>
      </c>
      <c r="I465" s="609" t="s">
        <v>736</v>
      </c>
      <c r="O465" s="710"/>
      <c r="P465" s="710"/>
      <c r="Q465" s="710"/>
      <c r="R465" s="710"/>
      <c r="S465" s="710"/>
      <c r="T465" s="710"/>
      <c r="U465" s="710"/>
      <c r="V465" s="710"/>
      <c r="W465" s="710"/>
      <c r="X465" s="710"/>
      <c r="Y465" s="710"/>
      <c r="Z465" s="710"/>
      <c r="AA465" s="710"/>
      <c r="AB465" s="710"/>
      <c r="AC465" s="710"/>
      <c r="AD465" s="710"/>
      <c r="AE465" s="710"/>
      <c r="AF465" s="710"/>
      <c r="AG465" s="710"/>
      <c r="AH465" s="698"/>
      <c r="AI465" s="698"/>
      <c r="AJ465" s="698"/>
      <c r="AK465" s="721"/>
      <c r="AL465" s="721"/>
      <c r="AM465" s="721">
        <v>0</v>
      </c>
      <c r="AN465" s="721">
        <v>0</v>
      </c>
      <c r="AO465" s="721">
        <v>0</v>
      </c>
      <c r="AP465" s="710">
        <v>0</v>
      </c>
      <c r="AQ465" s="710">
        <v>0</v>
      </c>
      <c r="AR465" s="710">
        <v>0</v>
      </c>
      <c r="AS465" s="710">
        <v>0</v>
      </c>
      <c r="AT465" s="710">
        <v>0</v>
      </c>
      <c r="AU465" s="710">
        <v>0</v>
      </c>
      <c r="AV465" s="710">
        <v>0</v>
      </c>
      <c r="AW465" s="710">
        <v>0</v>
      </c>
      <c r="AX465" s="710">
        <v>0</v>
      </c>
      <c r="AY465" s="710">
        <v>0</v>
      </c>
      <c r="AZ465" s="710">
        <v>0</v>
      </c>
      <c r="BA465" s="710">
        <v>0</v>
      </c>
      <c r="BB465" s="710">
        <v>0</v>
      </c>
      <c r="BC465" s="710">
        <v>0</v>
      </c>
      <c r="BD465" s="710">
        <v>0</v>
      </c>
      <c r="BE465" s="710">
        <v>0</v>
      </c>
      <c r="BF465" s="710">
        <v>0</v>
      </c>
      <c r="BG465" s="710">
        <v>0</v>
      </c>
      <c r="BH465" s="710">
        <v>0</v>
      </c>
      <c r="BI465" s="710">
        <v>0</v>
      </c>
      <c r="BJ465" s="710">
        <v>0</v>
      </c>
      <c r="BK465" s="710">
        <v>0</v>
      </c>
      <c r="BL465" s="710">
        <v>0</v>
      </c>
      <c r="BM465" s="710">
        <v>0</v>
      </c>
      <c r="BN465" s="710">
        <v>0</v>
      </c>
      <c r="BO465" s="710">
        <v>0</v>
      </c>
      <c r="BP465" s="710">
        <v>0</v>
      </c>
      <c r="BQ465" s="710">
        <v>0</v>
      </c>
      <c r="BR465" s="710">
        <v>0</v>
      </c>
      <c r="BS465" s="710">
        <v>0</v>
      </c>
      <c r="BT465" s="710">
        <v>0</v>
      </c>
      <c r="BU465" s="710">
        <v>0</v>
      </c>
      <c r="BV465" s="710">
        <v>0</v>
      </c>
      <c r="BW465" s="710">
        <v>0</v>
      </c>
      <c r="BX465" s="710">
        <v>0</v>
      </c>
      <c r="BY465" s="710">
        <v>0</v>
      </c>
      <c r="BZ465" s="710">
        <v>0</v>
      </c>
      <c r="CA465" s="710">
        <v>0</v>
      </c>
      <c r="CB465" s="710">
        <v>0</v>
      </c>
      <c r="CC465" s="710">
        <v>0</v>
      </c>
      <c r="CD465" s="710">
        <v>0</v>
      </c>
      <c r="CE465" s="710">
        <v>0</v>
      </c>
      <c r="CF465" s="710">
        <v>0</v>
      </c>
      <c r="CG465" s="710">
        <v>0</v>
      </c>
      <c r="CH465" s="710">
        <v>0</v>
      </c>
      <c r="CI465" s="710">
        <v>0</v>
      </c>
      <c r="CJ465" s="710">
        <v>0</v>
      </c>
      <c r="CK465" s="710">
        <v>0</v>
      </c>
      <c r="CL465" s="710">
        <v>0</v>
      </c>
      <c r="CM465" s="710">
        <v>0</v>
      </c>
      <c r="CN465" s="710">
        <v>0</v>
      </c>
      <c r="CO465" s="710">
        <v>0</v>
      </c>
      <c r="CP465" s="710">
        <v>0</v>
      </c>
      <c r="CQ465" s="710">
        <v>0</v>
      </c>
      <c r="CR465" s="710">
        <v>0</v>
      </c>
      <c r="CS465" s="710">
        <v>0</v>
      </c>
      <c r="CT465" s="710">
        <v>0</v>
      </c>
      <c r="CU465" s="710">
        <v>0</v>
      </c>
      <c r="CV465" s="710">
        <v>0</v>
      </c>
      <c r="CW465" s="710">
        <v>0</v>
      </c>
      <c r="CX465" s="710">
        <v>0</v>
      </c>
      <c r="CY465" s="710">
        <v>0</v>
      </c>
      <c r="CZ465" s="710">
        <v>0</v>
      </c>
      <c r="DA465" s="710">
        <v>0</v>
      </c>
      <c r="DC465" s="12">
        <f t="shared" si="515"/>
        <v>0</v>
      </c>
      <c r="DD465" s="12">
        <f t="shared" si="516"/>
        <v>0</v>
      </c>
      <c r="DE465" s="12">
        <f t="shared" si="517"/>
        <v>0</v>
      </c>
      <c r="DF465" s="12">
        <f t="shared" si="518"/>
        <v>0</v>
      </c>
      <c r="DG465" s="12">
        <f t="shared" si="519"/>
        <v>0</v>
      </c>
      <c r="DH465" s="12">
        <f t="shared" si="520"/>
        <v>0</v>
      </c>
      <c r="DI465" s="12">
        <f t="shared" si="498"/>
        <v>0</v>
      </c>
    </row>
    <row r="466" spans="2:113" outlineLevel="2">
      <c r="F466" s="126" t="s">
        <v>224</v>
      </c>
      <c r="I466" s="609" t="s">
        <v>736</v>
      </c>
      <c r="O466" s="710"/>
      <c r="P466" s="710"/>
      <c r="Q466" s="710"/>
      <c r="R466" s="710"/>
      <c r="S466" s="710"/>
      <c r="T466" s="710"/>
      <c r="U466" s="710"/>
      <c r="V466" s="710"/>
      <c r="W466" s="710"/>
      <c r="X466" s="710"/>
      <c r="Y466" s="710"/>
      <c r="Z466" s="710"/>
      <c r="AA466" s="710"/>
      <c r="AB466" s="710"/>
      <c r="AC466" s="710"/>
      <c r="AD466" s="710"/>
      <c r="AE466" s="710"/>
      <c r="AF466" s="710"/>
      <c r="AG466" s="710"/>
      <c r="AH466" s="698"/>
      <c r="AI466" s="698"/>
      <c r="AJ466" s="698"/>
      <c r="AK466" s="721"/>
      <c r="AL466" s="721"/>
      <c r="AM466" s="721">
        <v>0</v>
      </c>
      <c r="AN466" s="721">
        <v>0</v>
      </c>
      <c r="AO466" s="721">
        <v>0</v>
      </c>
      <c r="AP466" s="710">
        <v>0</v>
      </c>
      <c r="AQ466" s="710">
        <v>0</v>
      </c>
      <c r="AR466" s="710">
        <v>0</v>
      </c>
      <c r="AS466" s="710">
        <v>0</v>
      </c>
      <c r="AT466" s="710">
        <v>0</v>
      </c>
      <c r="AU466" s="710">
        <v>0</v>
      </c>
      <c r="AV466" s="710">
        <v>0</v>
      </c>
      <c r="AW466" s="710">
        <v>0</v>
      </c>
      <c r="AX466" s="710">
        <v>0</v>
      </c>
      <c r="AY466" s="710">
        <v>0</v>
      </c>
      <c r="AZ466" s="710">
        <v>0</v>
      </c>
      <c r="BA466" s="710">
        <v>0</v>
      </c>
      <c r="BB466" s="710">
        <v>0</v>
      </c>
      <c r="BC466" s="710">
        <v>0</v>
      </c>
      <c r="BD466" s="710">
        <v>0</v>
      </c>
      <c r="BE466" s="710">
        <v>0</v>
      </c>
      <c r="BF466" s="710">
        <v>0</v>
      </c>
      <c r="BG466" s="710">
        <v>0</v>
      </c>
      <c r="BH466" s="710">
        <v>0</v>
      </c>
      <c r="BI466" s="710">
        <v>0</v>
      </c>
      <c r="BJ466" s="710">
        <v>0</v>
      </c>
      <c r="BK466" s="710">
        <v>0</v>
      </c>
      <c r="BL466" s="710">
        <v>0</v>
      </c>
      <c r="BM466" s="710">
        <v>0</v>
      </c>
      <c r="BN466" s="710">
        <v>0</v>
      </c>
      <c r="BO466" s="710">
        <v>0</v>
      </c>
      <c r="BP466" s="710">
        <v>0</v>
      </c>
      <c r="BQ466" s="710">
        <v>0</v>
      </c>
      <c r="BR466" s="710">
        <v>0</v>
      </c>
      <c r="BS466" s="710">
        <v>0</v>
      </c>
      <c r="BT466" s="710">
        <v>0</v>
      </c>
      <c r="BU466" s="710">
        <v>0</v>
      </c>
      <c r="BV466" s="710">
        <v>0</v>
      </c>
      <c r="BW466" s="710">
        <v>0</v>
      </c>
      <c r="BX466" s="710">
        <v>0</v>
      </c>
      <c r="BY466" s="710">
        <v>0</v>
      </c>
      <c r="BZ466" s="710">
        <v>0</v>
      </c>
      <c r="CA466" s="710">
        <v>0</v>
      </c>
      <c r="CB466" s="710">
        <v>0</v>
      </c>
      <c r="CC466" s="710">
        <v>0</v>
      </c>
      <c r="CD466" s="710">
        <v>0</v>
      </c>
      <c r="CE466" s="710">
        <v>0</v>
      </c>
      <c r="CF466" s="710">
        <v>0</v>
      </c>
      <c r="CG466" s="710">
        <v>0</v>
      </c>
      <c r="CH466" s="710">
        <v>0</v>
      </c>
      <c r="CI466" s="710">
        <v>0</v>
      </c>
      <c r="CJ466" s="710">
        <v>0</v>
      </c>
      <c r="CK466" s="710">
        <v>0</v>
      </c>
      <c r="CL466" s="710">
        <v>0</v>
      </c>
      <c r="CM466" s="710">
        <v>0</v>
      </c>
      <c r="CN466" s="710">
        <v>0</v>
      </c>
      <c r="CO466" s="710">
        <v>0</v>
      </c>
      <c r="CP466" s="710">
        <v>0</v>
      </c>
      <c r="CQ466" s="710">
        <v>0</v>
      </c>
      <c r="CR466" s="710">
        <v>0</v>
      </c>
      <c r="CS466" s="710">
        <v>0</v>
      </c>
      <c r="CT466" s="710">
        <v>0</v>
      </c>
      <c r="CU466" s="710">
        <v>0</v>
      </c>
      <c r="CV466" s="710">
        <v>0</v>
      </c>
      <c r="CW466" s="710">
        <v>0</v>
      </c>
      <c r="CX466" s="710">
        <v>0</v>
      </c>
      <c r="CY466" s="710">
        <v>0</v>
      </c>
      <c r="CZ466" s="710">
        <v>0</v>
      </c>
      <c r="DA466" s="710">
        <v>0</v>
      </c>
      <c r="DC466" s="12">
        <f t="shared" si="515"/>
        <v>0</v>
      </c>
      <c r="DD466" s="12">
        <f t="shared" si="516"/>
        <v>0</v>
      </c>
      <c r="DE466" s="12">
        <f t="shared" si="517"/>
        <v>0</v>
      </c>
      <c r="DF466" s="12">
        <f t="shared" si="518"/>
        <v>0</v>
      </c>
      <c r="DG466" s="12">
        <f t="shared" si="519"/>
        <v>0</v>
      </c>
      <c r="DH466" s="12">
        <f t="shared" si="520"/>
        <v>0</v>
      </c>
      <c r="DI466" s="12">
        <f t="shared" si="498"/>
        <v>0</v>
      </c>
    </row>
    <row r="467" spans="2:113" outlineLevel="2">
      <c r="F467" s="126" t="s">
        <v>804</v>
      </c>
      <c r="G467" s="230"/>
      <c r="H467" s="232"/>
      <c r="I467" s="609" t="s">
        <v>736</v>
      </c>
      <c r="O467" s="710"/>
      <c r="P467" s="710"/>
      <c r="Q467" s="710"/>
      <c r="R467" s="710"/>
      <c r="S467" s="710"/>
      <c r="T467" s="710"/>
      <c r="U467" s="710"/>
      <c r="V467" s="710"/>
      <c r="W467" s="710"/>
      <c r="X467" s="710"/>
      <c r="Y467" s="710"/>
      <c r="Z467" s="710"/>
      <c r="AA467" s="710"/>
      <c r="AB467" s="710"/>
      <c r="AC467" s="710"/>
      <c r="AD467" s="710"/>
      <c r="AE467" s="710"/>
      <c r="AF467" s="710"/>
      <c r="AG467" s="710"/>
      <c r="AH467" s="698"/>
      <c r="AI467" s="698"/>
      <c r="AJ467" s="698"/>
      <c r="AK467" s="721"/>
      <c r="AL467" s="721">
        <v>-1.967622E-3</v>
      </c>
      <c r="AM467" s="721">
        <v>-6.0063429999999999E-3</v>
      </c>
      <c r="AN467" s="721">
        <v>-8.1932010000000006E-3</v>
      </c>
      <c r="AO467" s="721">
        <v>-1.2777523999999998E-2</v>
      </c>
      <c r="AP467" s="713">
        <v>-6.0325179999999997E-3</v>
      </c>
      <c r="AQ467" s="710">
        <v>-0.1295068663783594</v>
      </c>
      <c r="AR467" s="710">
        <v>-0.1524627995492428</v>
      </c>
      <c r="AS467" s="710">
        <v>-0.26986101827628667</v>
      </c>
      <c r="AT467" s="710">
        <v>-0.30980655117470784</v>
      </c>
      <c r="AU467" s="710">
        <v>-0.38015244627652617</v>
      </c>
      <c r="AV467" s="710">
        <v>-0.40544766804345783</v>
      </c>
      <c r="AW467" s="710">
        <v>-0.43747876976320077</v>
      </c>
      <c r="AX467" s="710">
        <v>-0.46766026981484871</v>
      </c>
      <c r="AY467" s="710">
        <v>-0.50248787696190134</v>
      </c>
      <c r="AZ467" s="710">
        <v>-0.52510324116866003</v>
      </c>
      <c r="BA467" s="710">
        <v>-0.55824663649695294</v>
      </c>
      <c r="BB467" s="710">
        <v>-0.59608795427211381</v>
      </c>
      <c r="BC467" s="710">
        <v>-0.62673321097550039</v>
      </c>
      <c r="BD467" s="710">
        <v>-0.64804286967430558</v>
      </c>
      <c r="BE467" s="710">
        <v>-0.66215350079129887</v>
      </c>
      <c r="BF467" s="710">
        <v>-0.67228459016348374</v>
      </c>
      <c r="BG467" s="710">
        <v>-0.60591999352681192</v>
      </c>
      <c r="BH467" s="710">
        <v>-0.60132662057022979</v>
      </c>
      <c r="BI467" s="710">
        <v>-0.59921422340083674</v>
      </c>
      <c r="BJ467" s="710">
        <v>-0.60096135231245229</v>
      </c>
      <c r="BK467" s="710">
        <v>-0.60997240628604388</v>
      </c>
      <c r="BL467" s="710">
        <v>-0.62533967411967539</v>
      </c>
      <c r="BM467" s="710">
        <v>-0.64417729102841381</v>
      </c>
      <c r="BN467" s="710">
        <v>-0.67313105796721739</v>
      </c>
      <c r="BO467" s="710">
        <v>-0.70151067816084822</v>
      </c>
      <c r="BP467" s="710">
        <v>-0.72843701489428481</v>
      </c>
      <c r="BQ467" s="710">
        <v>-0.75359201960025668</v>
      </c>
      <c r="BR467" s="710">
        <v>-0.77771518790314653</v>
      </c>
      <c r="BS467" s="710">
        <v>-0.80041188373619543</v>
      </c>
      <c r="BT467" s="710">
        <v>-0.82169958250269648</v>
      </c>
      <c r="BU467" s="710">
        <v>-0.84178145457797515</v>
      </c>
      <c r="BV467" s="710">
        <v>-0.86091015501815038</v>
      </c>
      <c r="BW467" s="710">
        <v>-0.87946038155201878</v>
      </c>
      <c r="BX467" s="710">
        <v>-0.89770542914706519</v>
      </c>
      <c r="BY467" s="710">
        <v>-0.9158472358107701</v>
      </c>
      <c r="BZ467" s="710">
        <v>-0.9340412699693732</v>
      </c>
      <c r="CA467" s="710">
        <v>-0.95235287066967578</v>
      </c>
      <c r="CB467" s="710">
        <v>-0.97079275882072258</v>
      </c>
      <c r="CC467" s="710">
        <v>-0.98934299300456252</v>
      </c>
      <c r="CD467" s="710">
        <v>-1.0079739786991537</v>
      </c>
      <c r="CE467" s="710">
        <v>-1.0266543122909613</v>
      </c>
      <c r="CF467" s="710">
        <v>-1.0453579044744057</v>
      </c>
      <c r="CG467" s="710">
        <v>-1.0640660481758373</v>
      </c>
      <c r="CH467" s="710">
        <v>-1.0827672964540862</v>
      </c>
      <c r="CI467" s="710">
        <v>-1.1014565809061299</v>
      </c>
      <c r="CJ467" s="710">
        <v>-1.1201332582670445</v>
      </c>
      <c r="CK467" s="710">
        <v>-1.1387991797873185</v>
      </c>
      <c r="CL467" s="710">
        <v>-1.157457200964602</v>
      </c>
      <c r="CM467" s="710">
        <v>-1.1761102054719137</v>
      </c>
      <c r="CN467" s="710">
        <v>-1.194760563878331</v>
      </c>
      <c r="CO467" s="710">
        <v>-1.2134099388283877</v>
      </c>
      <c r="CP467" s="710">
        <v>-1.232059306914939</v>
      </c>
      <c r="CQ467" s="710">
        <v>-1.2507090922852921</v>
      </c>
      <c r="CR467" s="710">
        <v>-1.2693593435321369</v>
      </c>
      <c r="CS467" s="710">
        <v>-1.2880099005019341</v>
      </c>
      <c r="CT467" s="710">
        <v>-1.3066605235168527</v>
      </c>
      <c r="CU467" s="710">
        <v>-1.3253109779472672</v>
      </c>
      <c r="CV467" s="710">
        <v>-1.3439610790319914</v>
      </c>
      <c r="CW467" s="710">
        <v>-1.3626107068046875</v>
      </c>
      <c r="CX467" s="710">
        <v>-1.3812598020921671</v>
      </c>
      <c r="CY467" s="710">
        <v>-1.3999083529657079</v>
      </c>
      <c r="CZ467" s="710">
        <v>-1.4185563784377195</v>
      </c>
      <c r="DA467" s="710">
        <v>-1.4372039136820745</v>
      </c>
      <c r="DC467" s="12">
        <f t="shared" si="515"/>
        <v>0</v>
      </c>
      <c r="DD467" s="12">
        <f t="shared" si="516"/>
        <v>-0.58680789220388885</v>
      </c>
      <c r="DE467" s="12">
        <f t="shared" si="517"/>
        <v>-6.1194009954134749</v>
      </c>
      <c r="DF467" s="12">
        <f t="shared" si="518"/>
        <v>-7.8158669220305548</v>
      </c>
      <c r="DG467" s="12">
        <f t="shared" si="519"/>
        <v>-10.642061202712352</v>
      </c>
      <c r="DH467" s="12">
        <f t="shared" si="520"/>
        <v>-13.328946468198174</v>
      </c>
      <c r="DI467" s="12">
        <f t="shared" si="498"/>
        <v>-16.015609377712771</v>
      </c>
    </row>
    <row r="468" spans="2:113" outlineLevel="2">
      <c r="E468" s="720" t="s">
        <v>621</v>
      </c>
      <c r="I468" s="609" t="s">
        <v>736</v>
      </c>
      <c r="O468" s="710"/>
      <c r="P468" s="710"/>
      <c r="Q468" s="710"/>
      <c r="R468" s="710"/>
      <c r="S468" s="710"/>
      <c r="T468" s="710"/>
      <c r="U468" s="710"/>
      <c r="V468" s="710"/>
      <c r="W468" s="710"/>
      <c r="X468" s="710"/>
      <c r="Y468" s="710"/>
      <c r="Z468" s="710"/>
      <c r="AA468" s="710"/>
      <c r="AB468" s="710"/>
      <c r="AC468" s="710"/>
      <c r="AD468" s="710"/>
      <c r="AE468" s="710"/>
      <c r="AF468" s="710"/>
      <c r="AG468" s="710"/>
      <c r="AH468" s="710"/>
      <c r="AI468" s="710"/>
      <c r="AJ468" s="710"/>
      <c r="AK468" s="746">
        <v>0</v>
      </c>
      <c r="AL468" s="746">
        <v>-1.4276600000000001E-4</v>
      </c>
      <c r="AM468" s="746">
        <v>-1.3023997000000001E-2</v>
      </c>
      <c r="AN468" s="746">
        <v>-8.7153336999999997E-2</v>
      </c>
      <c r="AO468" s="746">
        <v>-0.10854834000000001</v>
      </c>
      <c r="AP468" s="746">
        <v>-0.12931065899999999</v>
      </c>
      <c r="AQ468" s="714">
        <v>-0.16473847321565546</v>
      </c>
      <c r="AR468" s="714">
        <v>-0.22939541551513704</v>
      </c>
      <c r="AS468" s="714">
        <v>-0.33282730769392144</v>
      </c>
      <c r="AT468" s="714">
        <v>-0.48866601777082896</v>
      </c>
      <c r="AU468" s="714">
        <v>-0.84887809142080517</v>
      </c>
      <c r="AV468" s="714">
        <v>-1.1508048851702015</v>
      </c>
      <c r="AW468" s="714">
        <v>-1.3065443620767034</v>
      </c>
      <c r="AX468" s="714">
        <v>-1.5090945880029394</v>
      </c>
      <c r="AY468" s="714">
        <v>-1.6668641853314996</v>
      </c>
      <c r="AZ468" s="714">
        <v>-1.5109038651057936</v>
      </c>
      <c r="BA468" s="714">
        <v>-1.5631469345179194</v>
      </c>
      <c r="BB468" s="714">
        <v>-1.9096280684676823</v>
      </c>
      <c r="BC468" s="714">
        <v>-2.1111736340577267</v>
      </c>
      <c r="BD468" s="714">
        <v>-2.2406383614808187</v>
      </c>
      <c r="BE468" s="714">
        <v>-2.3013161088281064</v>
      </c>
      <c r="BF468" s="714">
        <v>-2.319798454389586</v>
      </c>
      <c r="BG468" s="714">
        <v>-2.3726734572120662</v>
      </c>
      <c r="BH468" s="714">
        <v>-2.4792687505887665</v>
      </c>
      <c r="BI468" s="714">
        <v>-2.4445024655492347</v>
      </c>
      <c r="BJ468" s="714">
        <v>-2.4046332892191207</v>
      </c>
      <c r="BK468" s="714">
        <v>-2.4106154528806991</v>
      </c>
      <c r="BL468" s="714">
        <v>-2.3787855006985317</v>
      </c>
      <c r="BM468" s="714">
        <v>-2.3333648024262788</v>
      </c>
      <c r="BN468" s="714">
        <v>-2.4870760710888624</v>
      </c>
      <c r="BO468" s="714">
        <v>-2.6321686581702259</v>
      </c>
      <c r="BP468" s="714">
        <v>-2.7695459704073171</v>
      </c>
      <c r="BQ468" s="714">
        <v>-2.9001917473769732</v>
      </c>
      <c r="BR468" s="714">
        <v>-3.0230374068115746</v>
      </c>
      <c r="BS468" s="714">
        <v>-3.1370489321694328</v>
      </c>
      <c r="BT468" s="714">
        <v>-3.242512062344534</v>
      </c>
      <c r="BU468" s="714">
        <v>-3.3390977468590264</v>
      </c>
      <c r="BV468" s="714">
        <v>-3.4269155484089349</v>
      </c>
      <c r="BW468" s="714">
        <v>-3.5092908088140335</v>
      </c>
      <c r="BX468" s="714">
        <v>-3.5878888828196458</v>
      </c>
      <c r="BY468" s="714">
        <v>-3.6642408817700374</v>
      </c>
      <c r="BZ468" s="714">
        <v>-3.7402625042435016</v>
      </c>
      <c r="CA468" s="714">
        <v>-3.8168340892413055</v>
      </c>
      <c r="CB468" s="714">
        <v>-3.8942713290220783</v>
      </c>
      <c r="CC468" s="714">
        <v>-3.9725951145231355</v>
      </c>
      <c r="CD468" s="714">
        <v>-4.0516663922371876</v>
      </c>
      <c r="CE468" s="714">
        <v>-4.131265004586357</v>
      </c>
      <c r="CF468" s="714">
        <v>-4.2111833807068315</v>
      </c>
      <c r="CG468" s="714">
        <v>-4.2912491964362998</v>
      </c>
      <c r="CH468" s="714">
        <v>-4.3713349071391745</v>
      </c>
      <c r="CI468" s="714">
        <v>-4.451368250287679</v>
      </c>
      <c r="CJ468" s="714">
        <v>-4.5313206507486612</v>
      </c>
      <c r="CK468" s="714">
        <v>-4.6111917364667336</v>
      </c>
      <c r="CL468" s="714">
        <v>-4.6909962531632265</v>
      </c>
      <c r="CM468" s="714">
        <v>-4.7707545115255785</v>
      </c>
      <c r="CN468" s="714">
        <v>-4.8504860285832727</v>
      </c>
      <c r="CO468" s="714">
        <v>-4.9302064001214125</v>
      </c>
      <c r="CP468" s="714">
        <v>-5.0099262611779443</v>
      </c>
      <c r="CQ468" s="714">
        <v>-5.0896515067508297</v>
      </c>
      <c r="CR468" s="714">
        <v>-5.1693843371823611</v>
      </c>
      <c r="CS468" s="714">
        <v>-5.2491245392917287</v>
      </c>
      <c r="CT468" s="714">
        <v>-5.3288706312881926</v>
      </c>
      <c r="CU468" s="714">
        <v>-5.4086207163686915</v>
      </c>
      <c r="CV468" s="714">
        <v>-5.4883730229749688</v>
      </c>
      <c r="CW468" s="714">
        <v>-5.5681261740871228</v>
      </c>
      <c r="CX468" s="714">
        <v>-5.6478792619118039</v>
      </c>
      <c r="CY468" s="714">
        <v>-5.7276318032145035</v>
      </c>
      <c r="CZ468" s="714">
        <v>-5.8073836360726609</v>
      </c>
      <c r="DA468" s="714">
        <v>-5.8871348036463811</v>
      </c>
      <c r="DC468" s="14">
        <f>SUM(V468:AG468)</f>
        <v>0</v>
      </c>
      <c r="DD468" s="14">
        <f>SUM(AH468:AS468)</f>
        <v>-1.065140295424714</v>
      </c>
      <c r="DE468" s="14">
        <f>SUM(AT468:BE468)</f>
        <v>-18.607659102231025</v>
      </c>
      <c r="DF468" s="14">
        <f>SUM(BF468:BQ468)</f>
        <v>-29.932624620007658</v>
      </c>
      <c r="DG468" s="14">
        <f>SUM(BR468:CC468)</f>
        <v>-42.353995307027233</v>
      </c>
      <c r="DH468" s="14">
        <f>SUM(CD468:CO468)</f>
        <v>-53.893022712002427</v>
      </c>
      <c r="DI468" s="14">
        <f t="shared" si="498"/>
        <v>-65.382106693967174</v>
      </c>
    </row>
    <row r="469" spans="2:113" s="698" customFormat="1" outlineLevel="2">
      <c r="B469" s="126"/>
      <c r="E469" s="724" t="s">
        <v>701</v>
      </c>
      <c r="H469" s="703"/>
      <c r="I469" s="609" t="s">
        <v>736</v>
      </c>
      <c r="J469" s="703"/>
      <c r="K469" s="703"/>
      <c r="L469" s="703"/>
      <c r="M469" s="703"/>
      <c r="O469" s="714"/>
      <c r="P469" s="714"/>
      <c r="Q469" s="714"/>
      <c r="R469" s="714"/>
      <c r="S469" s="714"/>
      <c r="T469" s="714"/>
      <c r="U469" s="714"/>
      <c r="V469" s="714"/>
      <c r="W469" s="714"/>
      <c r="X469" s="714"/>
      <c r="Y469" s="714"/>
      <c r="Z469" s="714"/>
      <c r="AA469" s="714"/>
      <c r="AB469" s="714"/>
      <c r="AC469" s="714"/>
      <c r="AD469" s="714"/>
      <c r="AE469" s="714"/>
      <c r="AF469" s="714"/>
      <c r="AG469" s="714"/>
      <c r="AH469" s="126"/>
      <c r="AI469" s="126"/>
      <c r="AJ469" s="126"/>
      <c r="AK469" s="723">
        <f t="shared" ref="AK469:CV469" si="521">SUM(AK470:AK478)</f>
        <v>-8.3592679999999996E-3</v>
      </c>
      <c r="AL469" s="723">
        <f t="shared" si="521"/>
        <v>-0.15014645689684999</v>
      </c>
      <c r="AM469" s="723">
        <f t="shared" si="521"/>
        <v>-0.20936991199312588</v>
      </c>
      <c r="AN469" s="723">
        <f t="shared" si="521"/>
        <v>-0.35892152480341344</v>
      </c>
      <c r="AO469" s="723">
        <f t="shared" si="521"/>
        <v>-0.39547280086109049</v>
      </c>
      <c r="AP469" s="747">
        <f t="shared" si="521"/>
        <v>-0.35465340013233976</v>
      </c>
      <c r="AQ469" s="747">
        <f t="shared" si="521"/>
        <v>-0.44040827014336698</v>
      </c>
      <c r="AR469" s="747">
        <f t="shared" si="521"/>
        <v>-0.34694167340687015</v>
      </c>
      <c r="AS469" s="747">
        <f t="shared" si="521"/>
        <v>-0.2388396125657975</v>
      </c>
      <c r="AT469" s="747">
        <f t="shared" si="521"/>
        <v>-0.51906123926401704</v>
      </c>
      <c r="AU469" s="747">
        <f t="shared" si="521"/>
        <v>-0.40838726094059946</v>
      </c>
      <c r="AV469" s="747">
        <f t="shared" si="521"/>
        <v>-0.62383295672101302</v>
      </c>
      <c r="AW469" s="747">
        <f t="shared" si="521"/>
        <v>-0.78329931008642029</v>
      </c>
      <c r="AX469" s="747">
        <f t="shared" si="521"/>
        <v>-0.65050494254168512</v>
      </c>
      <c r="AY469" s="747">
        <f t="shared" si="521"/>
        <v>-0.60097861819386944</v>
      </c>
      <c r="AZ469" s="747">
        <f t="shared" si="521"/>
        <v>-0.5847210199627253</v>
      </c>
      <c r="BA469" s="747">
        <f t="shared" si="521"/>
        <v>-0.64734614263063561</v>
      </c>
      <c r="BB469" s="747">
        <f t="shared" si="521"/>
        <v>-0.66923707945221222</v>
      </c>
      <c r="BC469" s="747">
        <f t="shared" si="521"/>
        <v>-0.75225586300760827</v>
      </c>
      <c r="BD469" s="747">
        <f t="shared" si="521"/>
        <v>-0.77361106126625823</v>
      </c>
      <c r="BE469" s="747">
        <f t="shared" si="521"/>
        <v>-0.84502664170775066</v>
      </c>
      <c r="BF469" s="747">
        <f t="shared" si="521"/>
        <v>-1.0716019896847218</v>
      </c>
      <c r="BG469" s="747">
        <f t="shared" si="521"/>
        <v>-1.2115017464367914</v>
      </c>
      <c r="BH469" s="747">
        <f t="shared" si="521"/>
        <v>-1.2754697877932664</v>
      </c>
      <c r="BI469" s="747">
        <f t="shared" si="521"/>
        <v>-1.4551157711664358</v>
      </c>
      <c r="BJ469" s="747">
        <f t="shared" si="521"/>
        <v>-1.4472489695943114</v>
      </c>
      <c r="BK469" s="747">
        <f t="shared" si="521"/>
        <v>-1.4355993078811242</v>
      </c>
      <c r="BL469" s="747">
        <f t="shared" si="521"/>
        <v>-1.4210763166730846</v>
      </c>
      <c r="BM469" s="747">
        <f t="shared" si="521"/>
        <v>-1.4017043649814347</v>
      </c>
      <c r="BN469" s="747">
        <f t="shared" si="521"/>
        <v>-1.3774824053089254</v>
      </c>
      <c r="BO469" s="747">
        <f t="shared" si="521"/>
        <v>-1.3550389437741233</v>
      </c>
      <c r="BP469" s="747">
        <f t="shared" si="521"/>
        <v>-1.333948342471871</v>
      </c>
      <c r="BQ469" s="747">
        <f t="shared" si="521"/>
        <v>-1.3143201373514424</v>
      </c>
      <c r="BR469" s="747">
        <f t="shared" si="521"/>
        <v>-1.376791197959498</v>
      </c>
      <c r="BS469" s="747">
        <f t="shared" si="521"/>
        <v>-1.3863170588867959</v>
      </c>
      <c r="BT469" s="747">
        <f t="shared" si="521"/>
        <v>-1.3988946249334031</v>
      </c>
      <c r="BU469" s="747">
        <f t="shared" si="521"/>
        <v>-1.4140013570137964</v>
      </c>
      <c r="BV469" s="747">
        <f t="shared" si="521"/>
        <v>-1.430197210377999</v>
      </c>
      <c r="BW469" s="747">
        <f t="shared" si="521"/>
        <v>-1.4466404684545089</v>
      </c>
      <c r="BX469" s="747">
        <f t="shared" si="521"/>
        <v>-1.4629096397640513</v>
      </c>
      <c r="BY469" s="747">
        <f t="shared" si="521"/>
        <v>-1.4788023705585407</v>
      </c>
      <c r="BZ469" s="747">
        <f t="shared" si="521"/>
        <v>-1.4942537469079398</v>
      </c>
      <c r="CA469" s="747">
        <f t="shared" si="521"/>
        <v>-1.5093292883577454</v>
      </c>
      <c r="CB469" s="747">
        <f t="shared" si="521"/>
        <v>-1.5241286475801317</v>
      </c>
      <c r="CC469" s="747">
        <f t="shared" si="521"/>
        <v>-1.538755407243769</v>
      </c>
      <c r="CD469" s="747">
        <f t="shared" si="521"/>
        <v>-1.6008488603028357</v>
      </c>
      <c r="CE469" s="747">
        <f t="shared" si="521"/>
        <v>-1.6164950493289956</v>
      </c>
      <c r="CF469" s="747">
        <f t="shared" si="521"/>
        <v>-1.632162329441244</v>
      </c>
      <c r="CG469" s="747">
        <f t="shared" si="521"/>
        <v>-1.647868362501572</v>
      </c>
      <c r="CH469" s="747">
        <f t="shared" si="521"/>
        <v>-1.6636158228693121</v>
      </c>
      <c r="CI469" s="747">
        <f t="shared" si="521"/>
        <v>-1.6793984743305224</v>
      </c>
      <c r="CJ469" s="747">
        <f t="shared" si="521"/>
        <v>-1.6952065208785942</v>
      </c>
      <c r="CK469" s="747">
        <f t="shared" si="521"/>
        <v>-1.7110299902112653</v>
      </c>
      <c r="CL469" s="747">
        <f t="shared" si="521"/>
        <v>-1.7268605726191768</v>
      </c>
      <c r="CM469" s="747">
        <f t="shared" si="521"/>
        <v>-1.7426924478453723</v>
      </c>
      <c r="CN469" s="747">
        <f t="shared" si="521"/>
        <v>-1.7585222489421453</v>
      </c>
      <c r="CO469" s="747">
        <f t="shared" si="521"/>
        <v>-1.7743485622413773</v>
      </c>
      <c r="CP469" s="747">
        <f t="shared" si="521"/>
        <v>-1.818028436298158</v>
      </c>
      <c r="CQ469" s="747">
        <f t="shared" si="521"/>
        <v>-1.8338482263253013</v>
      </c>
      <c r="CR469" s="747">
        <f t="shared" si="521"/>
        <v>-1.849665995886604</v>
      </c>
      <c r="CS469" s="747">
        <f t="shared" si="521"/>
        <v>-1.8654826472433026</v>
      </c>
      <c r="CT469" s="747">
        <f t="shared" si="521"/>
        <v>-1.8812989052809792</v>
      </c>
      <c r="CU469" s="747">
        <f t="shared" si="521"/>
        <v>-1.897115262501877</v>
      </c>
      <c r="CV469" s="747">
        <f t="shared" si="521"/>
        <v>-1.9129319922007635</v>
      </c>
      <c r="CW469" s="747">
        <f t="shared" ref="CW469:DA469" si="522">SUM(CW470:CW478)</f>
        <v>-1.928749196648772</v>
      </c>
      <c r="CX469" s="747">
        <f t="shared" si="522"/>
        <v>-1.9445668651660486</v>
      </c>
      <c r="CY469" s="747">
        <f t="shared" si="522"/>
        <v>-1.9603849266932181</v>
      </c>
      <c r="CZ469" s="747">
        <f t="shared" si="522"/>
        <v>-1.9762032896469288</v>
      </c>
      <c r="DA469" s="747">
        <f t="shared" si="522"/>
        <v>-1.9920218674564314</v>
      </c>
      <c r="DC469" s="12">
        <f t="shared" si="501"/>
        <v>0</v>
      </c>
      <c r="DD469" s="14">
        <f t="shared" si="502"/>
        <v>-2.5031129188028545</v>
      </c>
      <c r="DE469" s="14">
        <f t="shared" si="503"/>
        <v>-7.8582621357747957</v>
      </c>
      <c r="DF469" s="14">
        <f t="shared" si="512"/>
        <v>-16.100108083117529</v>
      </c>
      <c r="DG469" s="14">
        <f t="shared" si="507"/>
        <v>-17.461021018038178</v>
      </c>
      <c r="DH469" s="14">
        <f t="shared" si="504"/>
        <v>-20.249049241512417</v>
      </c>
      <c r="DI469" s="14">
        <f t="shared" si="498"/>
        <v>-22.860297611348386</v>
      </c>
    </row>
    <row r="470" spans="2:113" outlineLevel="2">
      <c r="F470" s="126" t="s">
        <v>100</v>
      </c>
      <c r="I470" s="609" t="s">
        <v>736</v>
      </c>
      <c r="O470" s="710"/>
      <c r="P470" s="710"/>
      <c r="Q470" s="710"/>
      <c r="R470" s="710"/>
      <c r="S470" s="710"/>
      <c r="T470" s="710"/>
      <c r="U470" s="710"/>
      <c r="V470" s="710"/>
      <c r="W470" s="710"/>
      <c r="X470" s="710"/>
      <c r="Y470" s="710"/>
      <c r="Z470" s="710"/>
      <c r="AA470" s="710"/>
      <c r="AB470" s="710"/>
      <c r="AC470" s="710"/>
      <c r="AD470" s="710"/>
      <c r="AE470" s="710"/>
      <c r="AF470" s="710"/>
      <c r="AG470" s="710"/>
      <c r="AH470" s="702"/>
      <c r="AJ470" s="702"/>
      <c r="AK470" s="721">
        <v>-5.0747070000000003E-3</v>
      </c>
      <c r="AL470" s="721">
        <v>-9.3202953000000005E-2</v>
      </c>
      <c r="AM470" s="721">
        <v>-0.105927702</v>
      </c>
      <c r="AN470" s="721">
        <v>-0.16949040900000001</v>
      </c>
      <c r="AO470" s="721">
        <v>-0.17353115099999999</v>
      </c>
      <c r="AP470" s="748">
        <v>-0.15202385800000001</v>
      </c>
      <c r="AQ470" s="710">
        <v>-0.28565000000000002</v>
      </c>
      <c r="AR470" s="710">
        <v>-0.35</v>
      </c>
      <c r="AS470" s="710">
        <v>-0.35</v>
      </c>
      <c r="AT470" s="710">
        <v>-0.35416666666666669</v>
      </c>
      <c r="AU470" s="710">
        <v>-0.35833333333333334</v>
      </c>
      <c r="AV470" s="710">
        <v>-0.36249999999999993</v>
      </c>
      <c r="AW470" s="710">
        <v>-0.36666666666666664</v>
      </c>
      <c r="AX470" s="710">
        <v>-0.37083333333333324</v>
      </c>
      <c r="AY470" s="710">
        <v>-0.37499999999999994</v>
      </c>
      <c r="AZ470" s="710">
        <v>-0.3791666666666666</v>
      </c>
      <c r="BA470" s="710">
        <v>-0.38333333333333325</v>
      </c>
      <c r="BB470" s="710">
        <v>-0.3874999999999999</v>
      </c>
      <c r="BC470" s="710">
        <v>-0.3916666666666665</v>
      </c>
      <c r="BD470" s="710">
        <v>-0.3958333333333332</v>
      </c>
      <c r="BE470" s="710">
        <v>-0.4</v>
      </c>
      <c r="BF470" s="710">
        <v>-0.38750000000000001</v>
      </c>
      <c r="BG470" s="710">
        <v>-0.375</v>
      </c>
      <c r="BH470" s="710">
        <v>-0.36249999999999999</v>
      </c>
      <c r="BI470" s="710">
        <v>-0.35</v>
      </c>
      <c r="BJ470" s="710">
        <v>-0.33750000000000002</v>
      </c>
      <c r="BK470" s="710">
        <v>-0.32500000000000001</v>
      </c>
      <c r="BL470" s="710">
        <v>-0.3125</v>
      </c>
      <c r="BM470" s="710">
        <v>-0.3</v>
      </c>
      <c r="BN470" s="710">
        <v>-0.28749999999999998</v>
      </c>
      <c r="BO470" s="710">
        <v>-0.27500000000000002</v>
      </c>
      <c r="BP470" s="710">
        <v>-0.26250000000000001</v>
      </c>
      <c r="BQ470" s="710">
        <v>-0.25</v>
      </c>
      <c r="BR470" s="710">
        <v>-0.25</v>
      </c>
      <c r="BS470" s="710">
        <v>-0.25</v>
      </c>
      <c r="BT470" s="710">
        <v>-0.25</v>
      </c>
      <c r="BU470" s="710">
        <v>-0.25</v>
      </c>
      <c r="BV470" s="710">
        <v>-0.25</v>
      </c>
      <c r="BW470" s="710">
        <v>-0.25</v>
      </c>
      <c r="BX470" s="710">
        <v>-0.25</v>
      </c>
      <c r="BY470" s="710">
        <v>-0.25</v>
      </c>
      <c r="BZ470" s="710">
        <v>-0.25</v>
      </c>
      <c r="CA470" s="710">
        <v>-0.25</v>
      </c>
      <c r="CB470" s="710">
        <v>-0.25</v>
      </c>
      <c r="CC470" s="710">
        <v>-0.25</v>
      </c>
      <c r="CD470" s="710">
        <v>-0.25</v>
      </c>
      <c r="CE470" s="710">
        <v>-0.25</v>
      </c>
      <c r="CF470" s="710">
        <v>-0.25</v>
      </c>
      <c r="CG470" s="710">
        <v>-0.25</v>
      </c>
      <c r="CH470" s="710">
        <v>-0.25</v>
      </c>
      <c r="CI470" s="710">
        <v>-0.25</v>
      </c>
      <c r="CJ470" s="710">
        <v>-0.25</v>
      </c>
      <c r="CK470" s="710">
        <v>-0.25</v>
      </c>
      <c r="CL470" s="710">
        <v>-0.25</v>
      </c>
      <c r="CM470" s="710">
        <v>-0.25</v>
      </c>
      <c r="CN470" s="710">
        <v>-0.25</v>
      </c>
      <c r="CO470" s="710">
        <v>-0.25</v>
      </c>
      <c r="CP470" s="710">
        <v>-0.25</v>
      </c>
      <c r="CQ470" s="710">
        <v>-0.25</v>
      </c>
      <c r="CR470" s="710">
        <v>-0.25</v>
      </c>
      <c r="CS470" s="710">
        <v>-0.25</v>
      </c>
      <c r="CT470" s="710">
        <v>-0.25</v>
      </c>
      <c r="CU470" s="710">
        <v>-0.25</v>
      </c>
      <c r="CV470" s="710">
        <v>-0.25</v>
      </c>
      <c r="CW470" s="710">
        <v>-0.25</v>
      </c>
      <c r="CX470" s="710">
        <v>-0.25</v>
      </c>
      <c r="CY470" s="710">
        <v>-0.25</v>
      </c>
      <c r="CZ470" s="710">
        <v>-0.25</v>
      </c>
      <c r="DA470" s="710">
        <v>-0.25</v>
      </c>
      <c r="DC470" s="12">
        <f t="shared" si="501"/>
        <v>0</v>
      </c>
      <c r="DD470" s="12">
        <f t="shared" si="502"/>
        <v>-1.68490078</v>
      </c>
      <c r="DE470" s="12">
        <f t="shared" si="503"/>
        <v>-4.5249999999999995</v>
      </c>
      <c r="DF470" s="12">
        <f t="shared" si="512"/>
        <v>-3.8250000000000002</v>
      </c>
      <c r="DG470" s="12">
        <f t="shared" si="507"/>
        <v>-3</v>
      </c>
      <c r="DH470" s="12">
        <f t="shared" si="504"/>
        <v>-3</v>
      </c>
      <c r="DI470" s="12">
        <f t="shared" si="498"/>
        <v>-3</v>
      </c>
    </row>
    <row r="471" spans="2:113" outlineLevel="2">
      <c r="F471" s="126" t="s">
        <v>107</v>
      </c>
      <c r="I471" s="609" t="s">
        <v>736</v>
      </c>
      <c r="O471" s="710"/>
      <c r="P471" s="710"/>
      <c r="Q471" s="710"/>
      <c r="R471" s="710"/>
      <c r="S471" s="710"/>
      <c r="T471" s="710"/>
      <c r="U471" s="710"/>
      <c r="V471" s="710"/>
      <c r="W471" s="710"/>
      <c r="X471" s="710"/>
      <c r="Y471" s="710"/>
      <c r="Z471" s="710"/>
      <c r="AA471" s="710"/>
      <c r="AB471" s="710"/>
      <c r="AC471" s="710"/>
      <c r="AD471" s="710"/>
      <c r="AE471" s="710"/>
      <c r="AF471" s="710"/>
      <c r="AG471" s="710"/>
      <c r="AH471" s="702"/>
      <c r="AK471" s="721">
        <v>0</v>
      </c>
      <c r="AL471" s="721">
        <v>0</v>
      </c>
      <c r="AM471" s="721">
        <v>-6.1922137245784235E-3</v>
      </c>
      <c r="AN471" s="721">
        <v>-2.1516832233671315E-2</v>
      </c>
      <c r="AO471" s="721">
        <v>-4.3147487878995229E-2</v>
      </c>
      <c r="AP471" s="748">
        <v>-7.2470193617151263E-2</v>
      </c>
      <c r="AQ471" s="739">
        <v>-5.3185000000000003E-2</v>
      </c>
      <c r="AR471" s="739">
        <v>-6.155900000000001E-2</v>
      </c>
      <c r="AS471" s="739">
        <v>-7.0536000000000001E-2</v>
      </c>
      <c r="AT471" s="739">
        <v>-9.7243200000000002E-2</v>
      </c>
      <c r="AU471" s="739">
        <v>-0.1099932</v>
      </c>
      <c r="AV471" s="739">
        <v>-0.12289319999999999</v>
      </c>
      <c r="AW471" s="739">
        <v>-0.13594319999999999</v>
      </c>
      <c r="AX471" s="739">
        <v>-0.14914319999999998</v>
      </c>
      <c r="AY471" s="739">
        <v>-0.1624932</v>
      </c>
      <c r="AZ471" s="739">
        <v>-0.17599319999999999</v>
      </c>
      <c r="BA471" s="739">
        <v>-0.18964319999999998</v>
      </c>
      <c r="BB471" s="739">
        <v>-0.20344319999999999</v>
      </c>
      <c r="BC471" s="739">
        <v>-0.21739319999999998</v>
      </c>
      <c r="BD471" s="739">
        <v>-0.23149320000000001</v>
      </c>
      <c r="BE471" s="739">
        <v>-0.24574319999999999</v>
      </c>
      <c r="BF471" s="739">
        <v>-0.26014319999999996</v>
      </c>
      <c r="BG471" s="739">
        <v>-0.27409320000000004</v>
      </c>
      <c r="BH471" s="739">
        <v>-0.28759320000000005</v>
      </c>
      <c r="BI471" s="739">
        <v>-0.3006432</v>
      </c>
      <c r="BJ471" s="739">
        <v>-0.3132432</v>
      </c>
      <c r="BK471" s="739">
        <v>-0.32539319999999999</v>
      </c>
      <c r="BL471" s="739">
        <v>-0.33709320000000004</v>
      </c>
      <c r="BM471" s="739">
        <v>-0.34834319999999996</v>
      </c>
      <c r="BN471" s="739">
        <v>-0.3591432</v>
      </c>
      <c r="BO471" s="739">
        <v>-0.36949320000000002</v>
      </c>
      <c r="BP471" s="739">
        <v>-0.37939319999999999</v>
      </c>
      <c r="BQ471" s="739">
        <v>-0.38884319999999994</v>
      </c>
      <c r="BR471" s="739">
        <v>-0.39784319999999995</v>
      </c>
      <c r="BS471" s="739">
        <v>-0.40684319999999996</v>
      </c>
      <c r="BT471" s="739">
        <v>-0.41584319999999997</v>
      </c>
      <c r="BU471" s="739">
        <v>-0.42484319999999998</v>
      </c>
      <c r="BV471" s="739">
        <v>-0.43384319999999998</v>
      </c>
      <c r="BW471" s="739">
        <v>-0.44284319999999999</v>
      </c>
      <c r="BX471" s="739">
        <v>-0.45184319999999994</v>
      </c>
      <c r="BY471" s="739">
        <v>-0.46084319999999995</v>
      </c>
      <c r="BZ471" s="739">
        <v>-0.46984319999999996</v>
      </c>
      <c r="CA471" s="739">
        <v>-0.47884319999999997</v>
      </c>
      <c r="CB471" s="739">
        <v>-0.48784319999999998</v>
      </c>
      <c r="CC471" s="739">
        <v>-0.49684319999999998</v>
      </c>
      <c r="CD471" s="739">
        <v>-0.50584319999999994</v>
      </c>
      <c r="CE471" s="739">
        <v>-0.51484320000000006</v>
      </c>
      <c r="CF471" s="739">
        <v>-0.52384320000000006</v>
      </c>
      <c r="CG471" s="739">
        <v>-0.53284320000000007</v>
      </c>
      <c r="CH471" s="739">
        <v>-0.54184319999999997</v>
      </c>
      <c r="CI471" s="739">
        <v>-0.55084319999999998</v>
      </c>
      <c r="CJ471" s="739">
        <v>-0.55984319999999999</v>
      </c>
      <c r="CK471" s="739">
        <v>-0.56884319999999999</v>
      </c>
      <c r="CL471" s="739">
        <v>-0.5778432</v>
      </c>
      <c r="CM471" s="739">
        <v>-0.58684320000000001</v>
      </c>
      <c r="CN471" s="739">
        <v>-0.59584320000000002</v>
      </c>
      <c r="CO471" s="739">
        <v>-0.60484320000000003</v>
      </c>
      <c r="CP471" s="739">
        <v>-0.61384320000000003</v>
      </c>
      <c r="CQ471" s="739">
        <v>-0.62284320000000004</v>
      </c>
      <c r="CR471" s="739">
        <v>-0.63184320000000005</v>
      </c>
      <c r="CS471" s="739">
        <v>-0.64084320000000006</v>
      </c>
      <c r="CT471" s="739">
        <v>-0.64984320000000007</v>
      </c>
      <c r="CU471" s="739">
        <v>-0.65884320000000007</v>
      </c>
      <c r="CV471" s="739">
        <v>-0.66784319999999997</v>
      </c>
      <c r="CW471" s="739">
        <v>-0.67684319999999998</v>
      </c>
      <c r="CX471" s="739">
        <v>-0.68584319999999999</v>
      </c>
      <c r="CY471" s="739">
        <v>-0.69484319999999999</v>
      </c>
      <c r="CZ471" s="739">
        <v>-0.7038432</v>
      </c>
      <c r="DA471" s="739">
        <v>-0.71284320000000001</v>
      </c>
      <c r="DC471" s="12">
        <f t="shared" si="501"/>
        <v>0</v>
      </c>
      <c r="DD471" s="12">
        <f t="shared" si="502"/>
        <v>-0.32860672745439623</v>
      </c>
      <c r="DE471" s="12">
        <f t="shared" si="503"/>
        <v>-2.0414184</v>
      </c>
      <c r="DF471" s="12">
        <f t="shared" si="512"/>
        <v>-3.9434184000000005</v>
      </c>
      <c r="DG471" s="12">
        <f t="shared" si="507"/>
        <v>-5.3681183999999993</v>
      </c>
      <c r="DH471" s="12">
        <f t="shared" si="504"/>
        <v>-6.6641184000000004</v>
      </c>
      <c r="DI471" s="12">
        <f t="shared" si="498"/>
        <v>-7.9601183999999989</v>
      </c>
    </row>
    <row r="472" spans="2:113" outlineLevel="2">
      <c r="F472" s="126" t="s">
        <v>806</v>
      </c>
      <c r="I472" s="609" t="s">
        <v>736</v>
      </c>
      <c r="O472" s="710"/>
      <c r="P472" s="710"/>
      <c r="Q472" s="710"/>
      <c r="R472" s="710"/>
      <c r="S472" s="710"/>
      <c r="T472" s="710"/>
      <c r="U472" s="710"/>
      <c r="V472" s="710"/>
      <c r="W472" s="710"/>
      <c r="X472" s="710"/>
      <c r="Y472" s="710"/>
      <c r="Z472" s="710"/>
      <c r="AA472" s="710"/>
      <c r="AB472" s="710"/>
      <c r="AC472" s="710"/>
      <c r="AD472" s="710"/>
      <c r="AE472" s="710"/>
      <c r="AF472" s="710"/>
      <c r="AG472" s="710"/>
      <c r="AH472" s="702"/>
      <c r="AJ472" s="702"/>
      <c r="AK472" s="721">
        <v>-3.179561E-3</v>
      </c>
      <c r="AL472" s="721">
        <v>-4.5906629999999997E-2</v>
      </c>
      <c r="AM472" s="721">
        <v>-5.5197912000000002E-2</v>
      </c>
      <c r="AN472" s="721">
        <v>-6.1874990999999997E-2</v>
      </c>
      <c r="AO472" s="721">
        <v>-6.4248400000000002E-3</v>
      </c>
      <c r="AP472" s="748">
        <v>-4.502247E-3</v>
      </c>
      <c r="AQ472" s="710">
        <v>-2.2852000000000001E-2</v>
      </c>
      <c r="AR472" s="710">
        <v>-2.8000000000000001E-2</v>
      </c>
      <c r="AS472" s="710">
        <v>-2.8000000000000001E-2</v>
      </c>
      <c r="AT472" s="710">
        <v>-2.8333333333333332E-2</v>
      </c>
      <c r="AU472" s="710">
        <v>-2.8666666666666663E-2</v>
      </c>
      <c r="AV472" s="710">
        <v>-2.8999999999999998E-2</v>
      </c>
      <c r="AW472" s="710">
        <v>-2.9333333333333329E-2</v>
      </c>
      <c r="AX472" s="710">
        <v>-2.9666666666666661E-2</v>
      </c>
      <c r="AY472" s="710">
        <v>-2.9999999999999992E-2</v>
      </c>
      <c r="AZ472" s="710">
        <v>-3.0333333333333323E-2</v>
      </c>
      <c r="BA472" s="710">
        <v>-3.0666666666666658E-2</v>
      </c>
      <c r="BB472" s="710">
        <v>-3.0999999999999989E-2</v>
      </c>
      <c r="BC472" s="710">
        <v>-3.1333333333333324E-2</v>
      </c>
      <c r="BD472" s="710">
        <v>-3.1666666666666655E-2</v>
      </c>
      <c r="BE472" s="710">
        <v>-3.2000000000000001E-2</v>
      </c>
      <c r="BF472" s="710">
        <v>-3.1E-2</v>
      </c>
      <c r="BG472" s="710">
        <v>-0.03</v>
      </c>
      <c r="BH472" s="710">
        <v>-2.9000000000000001E-2</v>
      </c>
      <c r="BI472" s="710">
        <v>-2.8000000000000001E-2</v>
      </c>
      <c r="BJ472" s="710">
        <v>-2.7E-2</v>
      </c>
      <c r="BK472" s="710">
        <v>-2.5999999999999999E-2</v>
      </c>
      <c r="BL472" s="710">
        <v>-2.5000000000000001E-2</v>
      </c>
      <c r="BM472" s="710">
        <v>-2.4E-2</v>
      </c>
      <c r="BN472" s="710">
        <v>-2.3E-2</v>
      </c>
      <c r="BO472" s="710">
        <v>-2.1999999999999999E-2</v>
      </c>
      <c r="BP472" s="710">
        <v>-2.1000000000000001E-2</v>
      </c>
      <c r="BQ472" s="710">
        <v>-0.02</v>
      </c>
      <c r="BR472" s="710">
        <v>-0.02</v>
      </c>
      <c r="BS472" s="710">
        <v>-0.02</v>
      </c>
      <c r="BT472" s="710">
        <v>-0.02</v>
      </c>
      <c r="BU472" s="710">
        <v>-0.02</v>
      </c>
      <c r="BV472" s="710">
        <v>-0.02</v>
      </c>
      <c r="BW472" s="710">
        <v>-0.02</v>
      </c>
      <c r="BX472" s="710">
        <v>-0.02</v>
      </c>
      <c r="BY472" s="710">
        <v>-0.02</v>
      </c>
      <c r="BZ472" s="710">
        <v>-0.02</v>
      </c>
      <c r="CA472" s="710">
        <v>-0.02</v>
      </c>
      <c r="CB472" s="710">
        <v>-0.02</v>
      </c>
      <c r="CC472" s="710">
        <v>-0.02</v>
      </c>
      <c r="CD472" s="710">
        <v>-0.02</v>
      </c>
      <c r="CE472" s="710">
        <v>-0.02</v>
      </c>
      <c r="CF472" s="710">
        <v>-0.02</v>
      </c>
      <c r="CG472" s="710">
        <v>-0.02</v>
      </c>
      <c r="CH472" s="710">
        <v>-0.02</v>
      </c>
      <c r="CI472" s="710">
        <v>-0.02</v>
      </c>
      <c r="CJ472" s="710">
        <v>-0.02</v>
      </c>
      <c r="CK472" s="710">
        <v>-0.02</v>
      </c>
      <c r="CL472" s="710">
        <v>-0.02</v>
      </c>
      <c r="CM472" s="710">
        <v>-0.02</v>
      </c>
      <c r="CN472" s="710">
        <v>-0.02</v>
      </c>
      <c r="CO472" s="710">
        <v>-0.02</v>
      </c>
      <c r="CP472" s="710">
        <v>-0.02</v>
      </c>
      <c r="CQ472" s="710">
        <v>-0.02</v>
      </c>
      <c r="CR472" s="710">
        <v>-0.02</v>
      </c>
      <c r="CS472" s="710">
        <v>-0.02</v>
      </c>
      <c r="CT472" s="710">
        <v>-0.02</v>
      </c>
      <c r="CU472" s="710">
        <v>-0.02</v>
      </c>
      <c r="CV472" s="710">
        <v>-0.02</v>
      </c>
      <c r="CW472" s="710">
        <v>-0.02</v>
      </c>
      <c r="CX472" s="710">
        <v>-0.02</v>
      </c>
      <c r="CY472" s="710">
        <v>-0.02</v>
      </c>
      <c r="CZ472" s="710">
        <v>-0.02</v>
      </c>
      <c r="DA472" s="710">
        <v>-0.02</v>
      </c>
      <c r="DC472" s="12">
        <f>SUM(V472:AG472)</f>
        <v>0</v>
      </c>
      <c r="DD472" s="12">
        <f t="shared" si="502"/>
        <v>-0.25593818099999999</v>
      </c>
      <c r="DE472" s="12">
        <f t="shared" si="503"/>
        <v>-0.36199999999999988</v>
      </c>
      <c r="DF472" s="12">
        <f t="shared" si="512"/>
        <v>-0.30599999999999999</v>
      </c>
      <c r="DG472" s="12">
        <f t="shared" si="507"/>
        <v>-0.23999999999999996</v>
      </c>
      <c r="DH472" s="12">
        <f t="shared" si="504"/>
        <v>-0.23999999999999996</v>
      </c>
      <c r="DI472" s="12">
        <f t="shared" si="498"/>
        <v>-0.23999999999999996</v>
      </c>
    </row>
    <row r="473" spans="2:113" outlineLevel="2">
      <c r="F473" s="126" t="s">
        <v>807</v>
      </c>
      <c r="I473" s="609" t="s">
        <v>736</v>
      </c>
      <c r="O473" s="710"/>
      <c r="P473" s="710"/>
      <c r="Q473" s="710"/>
      <c r="R473" s="710"/>
      <c r="S473" s="710"/>
      <c r="T473" s="710"/>
      <c r="U473" s="710"/>
      <c r="V473" s="710"/>
      <c r="W473" s="710"/>
      <c r="X473" s="710"/>
      <c r="Y473" s="710"/>
      <c r="Z473" s="710"/>
      <c r="AA473" s="710"/>
      <c r="AB473" s="710"/>
      <c r="AC473" s="710"/>
      <c r="AD473" s="710"/>
      <c r="AE473" s="710"/>
      <c r="AF473" s="710"/>
      <c r="AG473" s="710"/>
      <c r="AH473" s="702"/>
      <c r="AJ473" s="702"/>
      <c r="AK473" s="739"/>
      <c r="AL473" s="739"/>
      <c r="AM473" s="739">
        <v>0</v>
      </c>
      <c r="AN473" s="739">
        <v>0</v>
      </c>
      <c r="AO473" s="721">
        <v>0</v>
      </c>
      <c r="AP473" s="749">
        <v>0</v>
      </c>
      <c r="AQ473" s="710"/>
      <c r="AR473" s="710"/>
      <c r="AS473" s="710"/>
      <c r="AT473" s="710"/>
      <c r="AU473" s="710"/>
      <c r="AV473" s="710"/>
      <c r="AW473" s="710"/>
      <c r="AX473" s="710"/>
      <c r="AY473" s="710"/>
      <c r="AZ473" s="710"/>
      <c r="BA473" s="710"/>
      <c r="BB473" s="710"/>
      <c r="BC473" s="710"/>
      <c r="BD473" s="710"/>
      <c r="BE473" s="710"/>
      <c r="BF473" s="710"/>
      <c r="BG473" s="710"/>
      <c r="BH473" s="710"/>
      <c r="BI473" s="710"/>
      <c r="BJ473" s="710"/>
      <c r="BK473" s="710"/>
      <c r="BL473" s="710"/>
      <c r="BM473" s="710"/>
      <c r="BN473" s="710"/>
      <c r="BO473" s="710"/>
      <c r="BP473" s="710"/>
      <c r="BQ473" s="710"/>
      <c r="BR473" s="710"/>
      <c r="BS473" s="710"/>
      <c r="BT473" s="710"/>
      <c r="BU473" s="710"/>
      <c r="BV473" s="710"/>
      <c r="BW473" s="710"/>
      <c r="BX473" s="710"/>
      <c r="BY473" s="710"/>
      <c r="BZ473" s="710"/>
      <c r="CA473" s="710"/>
      <c r="CB473" s="710"/>
      <c r="CC473" s="710"/>
      <c r="CD473" s="710"/>
      <c r="CE473" s="710"/>
      <c r="CF473" s="710"/>
      <c r="CG473" s="710"/>
      <c r="CH473" s="710"/>
      <c r="CI473" s="710"/>
      <c r="CJ473" s="710"/>
      <c r="CK473" s="710"/>
      <c r="CL473" s="710"/>
      <c r="CM473" s="710"/>
      <c r="CN473" s="710"/>
      <c r="CO473" s="710"/>
      <c r="CP473" s="710"/>
      <c r="CQ473" s="710"/>
      <c r="CR473" s="710"/>
      <c r="CS473" s="710"/>
      <c r="CT473" s="710"/>
      <c r="CU473" s="710"/>
      <c r="CV473" s="710"/>
      <c r="CW473" s="710"/>
      <c r="CX473" s="710"/>
      <c r="CY473" s="710"/>
      <c r="CZ473" s="710"/>
      <c r="DA473" s="710"/>
      <c r="DC473" s="14">
        <f>SUM(V473:AG473)</f>
        <v>0</v>
      </c>
      <c r="DD473" s="12">
        <f t="shared" si="502"/>
        <v>0</v>
      </c>
      <c r="DE473" s="12">
        <f t="shared" si="503"/>
        <v>0</v>
      </c>
      <c r="DF473" s="12">
        <f t="shared" si="512"/>
        <v>0</v>
      </c>
      <c r="DG473" s="12">
        <f t="shared" si="507"/>
        <v>0</v>
      </c>
      <c r="DH473" s="12">
        <f t="shared" si="504"/>
        <v>0</v>
      </c>
      <c r="DI473" s="12">
        <f t="shared" si="498"/>
        <v>0</v>
      </c>
    </row>
    <row r="474" spans="2:113" outlineLevel="2">
      <c r="F474" s="126" t="s">
        <v>703</v>
      </c>
      <c r="G474" s="702"/>
      <c r="H474" s="725"/>
      <c r="I474" s="609" t="s">
        <v>736</v>
      </c>
      <c r="O474" s="710"/>
      <c r="P474" s="710"/>
      <c r="Q474" s="710"/>
      <c r="R474" s="710"/>
      <c r="S474" s="710"/>
      <c r="T474" s="710"/>
      <c r="U474" s="710"/>
      <c r="V474" s="710"/>
      <c r="W474" s="710"/>
      <c r="X474" s="710"/>
      <c r="Y474" s="710"/>
      <c r="Z474" s="710"/>
      <c r="AA474" s="710"/>
      <c r="AB474" s="710"/>
      <c r="AC474" s="710"/>
      <c r="AD474" s="710"/>
      <c r="AE474" s="710"/>
      <c r="AF474" s="710"/>
      <c r="AG474" s="710"/>
      <c r="AH474" s="702"/>
      <c r="AJ474" s="702"/>
      <c r="AK474" s="721">
        <v>0</v>
      </c>
      <c r="AL474" s="721">
        <v>-3.3874500000000002E-3</v>
      </c>
      <c r="AM474" s="721">
        <v>-3.6899217897011964E-3</v>
      </c>
      <c r="AN474" s="739">
        <v>0</v>
      </c>
      <c r="AO474" s="721">
        <v>0</v>
      </c>
      <c r="AP474" s="749">
        <v>0</v>
      </c>
      <c r="AQ474" s="710"/>
      <c r="AR474" s="710"/>
      <c r="AS474" s="710"/>
      <c r="AT474" s="710"/>
      <c r="AU474" s="710"/>
      <c r="AV474" s="710"/>
      <c r="AW474" s="710"/>
      <c r="AX474" s="710"/>
      <c r="AY474" s="710"/>
      <c r="AZ474" s="710"/>
      <c r="BA474" s="710"/>
      <c r="BB474" s="710"/>
      <c r="BC474" s="710"/>
      <c r="BD474" s="710"/>
      <c r="BE474" s="710"/>
      <c r="BF474" s="710"/>
      <c r="BG474" s="710"/>
      <c r="BH474" s="710"/>
      <c r="BI474" s="710"/>
      <c r="BJ474" s="710"/>
      <c r="BK474" s="710"/>
      <c r="BL474" s="710"/>
      <c r="BM474" s="710"/>
      <c r="BN474" s="710"/>
      <c r="BO474" s="710"/>
      <c r="BP474" s="710"/>
      <c r="BQ474" s="710"/>
      <c r="BR474" s="710"/>
      <c r="BS474" s="710"/>
      <c r="BT474" s="710"/>
      <c r="BU474" s="710"/>
      <c r="BV474" s="710"/>
      <c r="BW474" s="710"/>
      <c r="BX474" s="710"/>
      <c r="BY474" s="710"/>
      <c r="BZ474" s="710"/>
      <c r="CA474" s="710"/>
      <c r="CB474" s="710"/>
      <c r="CC474" s="710"/>
      <c r="CD474" s="710"/>
      <c r="CE474" s="710"/>
      <c r="CF474" s="710"/>
      <c r="CG474" s="710"/>
      <c r="CH474" s="710"/>
      <c r="CI474" s="710"/>
      <c r="CJ474" s="710"/>
      <c r="CK474" s="710"/>
      <c r="CL474" s="710"/>
      <c r="CM474" s="710"/>
      <c r="CN474" s="710"/>
      <c r="CO474" s="710"/>
      <c r="CP474" s="710"/>
      <c r="CQ474" s="710"/>
      <c r="CR474" s="710"/>
      <c r="CS474" s="710"/>
      <c r="CT474" s="710"/>
      <c r="CU474" s="710"/>
      <c r="CV474" s="710"/>
      <c r="CW474" s="710"/>
      <c r="CX474" s="710"/>
      <c r="CY474" s="710"/>
      <c r="CZ474" s="710"/>
      <c r="DA474" s="710"/>
      <c r="DC474" s="12">
        <f>SUM(V474:AG474)</f>
        <v>0</v>
      </c>
      <c r="DD474" s="12">
        <f t="shared" si="502"/>
        <v>-7.0773717897011966E-3</v>
      </c>
      <c r="DE474" s="12">
        <f t="shared" si="503"/>
        <v>0</v>
      </c>
      <c r="DF474" s="12">
        <f t="shared" si="512"/>
        <v>0</v>
      </c>
      <c r="DG474" s="12">
        <f t="shared" si="507"/>
        <v>0</v>
      </c>
      <c r="DH474" s="12">
        <f t="shared" si="504"/>
        <v>0</v>
      </c>
      <c r="DI474" s="12">
        <f t="shared" si="498"/>
        <v>0</v>
      </c>
    </row>
    <row r="475" spans="2:113" outlineLevel="2">
      <c r="F475" s="126" t="s">
        <v>163</v>
      </c>
      <c r="G475" s="702"/>
      <c r="H475" s="725"/>
      <c r="I475" s="609" t="s">
        <v>736</v>
      </c>
      <c r="O475" s="710"/>
      <c r="P475" s="710"/>
      <c r="Q475" s="710"/>
      <c r="R475" s="710"/>
      <c r="S475" s="710"/>
      <c r="T475" s="710"/>
      <c r="U475" s="710"/>
      <c r="V475" s="710"/>
      <c r="W475" s="710"/>
      <c r="X475" s="710"/>
      <c r="Y475" s="710"/>
      <c r="Z475" s="710"/>
      <c r="AA475" s="710"/>
      <c r="AB475" s="710"/>
      <c r="AC475" s="710"/>
      <c r="AD475" s="710"/>
      <c r="AE475" s="710"/>
      <c r="AF475" s="710"/>
      <c r="AG475" s="710"/>
      <c r="AH475" s="698"/>
      <c r="AI475" s="702"/>
      <c r="AJ475" s="702"/>
      <c r="AK475" s="721">
        <v>-1.05E-4</v>
      </c>
      <c r="AL475" s="721">
        <v>-3.418772E-3</v>
      </c>
      <c r="AM475" s="721">
        <v>-1.492984032034602E-2</v>
      </c>
      <c r="AN475" s="721">
        <v>-4.0628024848042052E-2</v>
      </c>
      <c r="AO475" s="721">
        <v>-4.8484877575445243E-2</v>
      </c>
      <c r="AP475" s="748">
        <v>-4.7328175619288503E-2</v>
      </c>
      <c r="AQ475" s="749">
        <v>-3.447304000000001E-2</v>
      </c>
      <c r="AR475" s="749">
        <v>-3.9500160000000006E-2</v>
      </c>
      <c r="AS475" s="749">
        <v>-4.5380160000000003E-2</v>
      </c>
      <c r="AT475" s="749">
        <v>-5.1330160000000007E-2</v>
      </c>
      <c r="AU475" s="749">
        <v>-5.7350159999999997E-2</v>
      </c>
      <c r="AV475" s="749">
        <v>-6.3440159999999995E-2</v>
      </c>
      <c r="AW475" s="749">
        <v>-6.9600160000000008E-2</v>
      </c>
      <c r="AX475" s="749">
        <v>-7.5830160000000008E-2</v>
      </c>
      <c r="AY475" s="749">
        <v>-8.2130160000000008E-2</v>
      </c>
      <c r="AZ475" s="749">
        <v>-8.8500160000000008E-2</v>
      </c>
      <c r="BA475" s="749">
        <v>-9.4940159999999996E-2</v>
      </c>
      <c r="BB475" s="749">
        <v>-0.10145016</v>
      </c>
      <c r="BC475" s="749">
        <v>-0.10803016</v>
      </c>
      <c r="BD475" s="749">
        <v>-0.11468016</v>
      </c>
      <c r="BE475" s="749">
        <v>-0.12140016000000001</v>
      </c>
      <c r="BF475" s="749">
        <v>-0.12791015999999999</v>
      </c>
      <c r="BG475" s="749">
        <v>-0.13421016</v>
      </c>
      <c r="BH475" s="749">
        <v>-0.14030016000000001</v>
      </c>
      <c r="BI475" s="749">
        <v>-0.14618016</v>
      </c>
      <c r="BJ475" s="749">
        <v>-0.15185016000000001</v>
      </c>
      <c r="BK475" s="749">
        <v>-0.15731016</v>
      </c>
      <c r="BL475" s="749">
        <v>-0.16256015999999998</v>
      </c>
      <c r="BM475" s="749">
        <v>-0.16760016</v>
      </c>
      <c r="BN475" s="749">
        <v>-0.17243016</v>
      </c>
      <c r="BO475" s="749">
        <v>-0.17705016000000001</v>
      </c>
      <c r="BP475" s="749">
        <v>-0.18146015999999998</v>
      </c>
      <c r="BQ475" s="749">
        <v>-0.18566015999999996</v>
      </c>
      <c r="BR475" s="749">
        <v>-0.18986015999999997</v>
      </c>
      <c r="BS475" s="749">
        <v>-0.19406015999999998</v>
      </c>
      <c r="BT475" s="749">
        <v>-0.19826015999999996</v>
      </c>
      <c r="BU475" s="749">
        <v>-0.20246015999999997</v>
      </c>
      <c r="BV475" s="749">
        <v>-0.20666015999999998</v>
      </c>
      <c r="BW475" s="749">
        <v>-0.21086015999999996</v>
      </c>
      <c r="BX475" s="749">
        <v>-0.21506015999999997</v>
      </c>
      <c r="BY475" s="749">
        <v>-0.21926015999999998</v>
      </c>
      <c r="BZ475" s="749">
        <v>-0.22346015999999996</v>
      </c>
      <c r="CA475" s="749">
        <v>-0.22766015999999997</v>
      </c>
      <c r="CB475" s="749">
        <v>-0.23186015999999998</v>
      </c>
      <c r="CC475" s="749">
        <v>-0.23606015999999996</v>
      </c>
      <c r="CD475" s="749">
        <v>-0.24026015999999997</v>
      </c>
      <c r="CE475" s="749">
        <v>-0.24446015999999998</v>
      </c>
      <c r="CF475" s="749">
        <v>-0.24866015999999996</v>
      </c>
      <c r="CG475" s="749">
        <v>-0.25286016</v>
      </c>
      <c r="CH475" s="749">
        <v>-0.25706015999999998</v>
      </c>
      <c r="CI475" s="749">
        <v>-0.26126015999999996</v>
      </c>
      <c r="CJ475" s="749">
        <v>-0.26546016</v>
      </c>
      <c r="CK475" s="749">
        <v>-0.26966015999999998</v>
      </c>
      <c r="CL475" s="749">
        <v>-0.27386015999999996</v>
      </c>
      <c r="CM475" s="749">
        <v>-0.27806016</v>
      </c>
      <c r="CN475" s="749">
        <v>-0.28226015999999998</v>
      </c>
      <c r="CO475" s="749">
        <v>-0.28646015999999996</v>
      </c>
      <c r="CP475" s="749">
        <v>-0.29066016</v>
      </c>
      <c r="CQ475" s="749">
        <v>-0.29486015999999998</v>
      </c>
      <c r="CR475" s="749">
        <v>-0.29906015999999996</v>
      </c>
      <c r="CS475" s="749">
        <v>-0.30326016</v>
      </c>
      <c r="CT475" s="749">
        <v>-0.30746015999999998</v>
      </c>
      <c r="CU475" s="749">
        <v>-0.31166015999999996</v>
      </c>
      <c r="CV475" s="749">
        <v>-0.31586016</v>
      </c>
      <c r="CW475" s="749">
        <v>-0.32006015999999998</v>
      </c>
      <c r="CX475" s="749">
        <v>-0.32426015999999996</v>
      </c>
      <c r="CY475" s="749">
        <v>-0.32846016</v>
      </c>
      <c r="CZ475" s="749">
        <v>-0.33266015999999998</v>
      </c>
      <c r="DA475" s="749">
        <v>-0.33686015999999996</v>
      </c>
      <c r="DC475" s="12">
        <f>SUM(V475:AG475)</f>
        <v>0</v>
      </c>
      <c r="DD475" s="12">
        <f t="shared" si="502"/>
        <v>-0.27424805036312183</v>
      </c>
      <c r="DE475" s="12">
        <f t="shared" si="503"/>
        <v>-1.0286819200000001</v>
      </c>
      <c r="DF475" s="12">
        <f t="shared" si="512"/>
        <v>-1.9045219199999996</v>
      </c>
      <c r="DG475" s="12">
        <f t="shared" si="507"/>
        <v>-2.5555219199999999</v>
      </c>
      <c r="DH475" s="12">
        <f t="shared" si="504"/>
        <v>-3.1603219199999995</v>
      </c>
      <c r="DI475" s="12">
        <f t="shared" si="498"/>
        <v>-3.7651219200000003</v>
      </c>
    </row>
    <row r="476" spans="2:113" outlineLevel="2">
      <c r="F476" s="718" t="s">
        <v>152</v>
      </c>
      <c r="I476" s="609" t="s">
        <v>736</v>
      </c>
      <c r="O476" s="710"/>
      <c r="P476" s="710"/>
      <c r="Q476" s="710"/>
      <c r="R476" s="710"/>
      <c r="S476" s="710"/>
      <c r="T476" s="710"/>
      <c r="U476" s="710"/>
      <c r="V476" s="710"/>
      <c r="W476" s="710"/>
      <c r="X476" s="710"/>
      <c r="Y476" s="710"/>
      <c r="Z476" s="710"/>
      <c r="AA476" s="710"/>
      <c r="AB476" s="710"/>
      <c r="AC476" s="710"/>
      <c r="AD476" s="710"/>
      <c r="AE476" s="710"/>
      <c r="AF476" s="710"/>
      <c r="AG476" s="710"/>
      <c r="AH476" s="702"/>
      <c r="AJ476" s="702"/>
      <c r="AK476" s="721"/>
      <c r="AL476" s="721"/>
      <c r="AM476" s="721"/>
      <c r="AN476" s="739"/>
      <c r="AO476" s="721"/>
      <c r="AP476" s="749"/>
      <c r="AQ476" s="710"/>
      <c r="AR476" s="710"/>
      <c r="AS476" s="710"/>
      <c r="AT476" s="750">
        <f>AT430*AT442/AT399</f>
        <v>-1.7343833900125293E-2</v>
      </c>
      <c r="AU476" s="750">
        <f t="shared" ref="AU476:DA476" si="523">AU430*AU442/AU399</f>
        <v>-1.7157857892894649E-2</v>
      </c>
      <c r="AV476" s="750">
        <f t="shared" si="523"/>
        <v>-1.6979969183359016E-2</v>
      </c>
      <c r="AW476" s="750">
        <f t="shared" si="523"/>
        <v>-1.6809651474530833E-2</v>
      </c>
      <c r="AX476" s="750">
        <f t="shared" si="523"/>
        <v>-1.6646431501230519E-2</v>
      </c>
      <c r="AY476" s="750">
        <f t="shared" si="523"/>
        <v>-1.6489874638379944E-2</v>
      </c>
      <c r="AZ476" s="750">
        <f t="shared" si="523"/>
        <v>-4.8732083792723266E-3</v>
      </c>
      <c r="BA476" s="750">
        <f t="shared" si="523"/>
        <v>-4.8301420630018528E-3</v>
      </c>
      <c r="BB476" s="750">
        <f t="shared" si="523"/>
        <v>-4.7887323943661964E-3</v>
      </c>
      <c r="BC476" s="750">
        <f t="shared" si="523"/>
        <v>-4.7488855869242197E-3</v>
      </c>
      <c r="BD476" s="750">
        <f t="shared" si="523"/>
        <v>-4.7105148023917154E-3</v>
      </c>
      <c r="BE476" s="750">
        <f t="shared" si="523"/>
        <v>-4.6735395189003437E-3</v>
      </c>
      <c r="BF476" s="750">
        <f t="shared" si="523"/>
        <v>-4.5627705627705626E-3</v>
      </c>
      <c r="BG476" s="750">
        <f t="shared" si="523"/>
        <v>-4.4502617801047122E-3</v>
      </c>
      <c r="BH476" s="750">
        <f t="shared" si="523"/>
        <v>-4.335971855760774E-3</v>
      </c>
      <c r="BI476" s="750">
        <f t="shared" si="523"/>
        <v>-4.219858156028369E-3</v>
      </c>
      <c r="BJ476" s="750">
        <f t="shared" si="523"/>
        <v>-4.1018766756032174E-3</v>
      </c>
      <c r="BK476" s="750">
        <f t="shared" si="523"/>
        <v>-3.9819819819819826E-3</v>
      </c>
      <c r="BL476" s="750">
        <f t="shared" si="523"/>
        <v>-3.8601271571298821E-3</v>
      </c>
      <c r="BM476" s="750">
        <f t="shared" si="523"/>
        <v>-3.7362637362637358E-3</v>
      </c>
      <c r="BN476" s="750">
        <f t="shared" si="523"/>
        <v>-3.6103416435826407E-3</v>
      </c>
      <c r="BO476" s="750">
        <f t="shared" si="523"/>
        <v>-3.482309124767225E-3</v>
      </c>
      <c r="BP476" s="750">
        <f t="shared" si="523"/>
        <v>-3.3521126760563385E-3</v>
      </c>
      <c r="BQ476" s="750">
        <f t="shared" si="523"/>
        <v>-3.21969696969697E-3</v>
      </c>
      <c r="BR476" s="750">
        <f t="shared" si="523"/>
        <v>-3.203517587939699E-3</v>
      </c>
      <c r="BS476" s="750">
        <f t="shared" si="523"/>
        <v>-3.1875000000000007E-3</v>
      </c>
      <c r="BT476" s="750">
        <f t="shared" si="523"/>
        <v>-3.1716417910447768E-3</v>
      </c>
      <c r="BU476" s="750">
        <f t="shared" si="523"/>
        <v>-3.1559405940594066E-3</v>
      </c>
      <c r="BV476" s="750">
        <f t="shared" si="523"/>
        <v>-3.1403940886699515E-3</v>
      </c>
      <c r="BW476" s="750">
        <f t="shared" si="523"/>
        <v>-3.1250000000000006E-3</v>
      </c>
      <c r="BX476" s="750">
        <f t="shared" si="523"/>
        <v>-3.1097560975609762E-3</v>
      </c>
      <c r="BY476" s="750">
        <f t="shared" si="523"/>
        <v>-3.0946601941747582E-3</v>
      </c>
      <c r="BZ476" s="750">
        <f t="shared" si="523"/>
        <v>-3.0797101449275372E-3</v>
      </c>
      <c r="CA476" s="750">
        <f t="shared" si="523"/>
        <v>-3.064903846153847E-3</v>
      </c>
      <c r="CB476" s="750">
        <f t="shared" si="523"/>
        <v>-3.0502392344497618E-3</v>
      </c>
      <c r="CC476" s="750">
        <f t="shared" si="523"/>
        <v>-3.0357142857142861E-3</v>
      </c>
      <c r="CD476" s="750">
        <f t="shared" si="523"/>
        <v>-3.0357142857142861E-3</v>
      </c>
      <c r="CE476" s="750">
        <f t="shared" si="523"/>
        <v>-3.0357142857142861E-3</v>
      </c>
      <c r="CF476" s="750">
        <f t="shared" si="523"/>
        <v>-3.0357142857142861E-3</v>
      </c>
      <c r="CG476" s="750">
        <f t="shared" si="523"/>
        <v>-3.0357142857142861E-3</v>
      </c>
      <c r="CH476" s="750">
        <f t="shared" si="523"/>
        <v>-3.0357142857142861E-3</v>
      </c>
      <c r="CI476" s="750">
        <f t="shared" si="523"/>
        <v>-3.0357142857142861E-3</v>
      </c>
      <c r="CJ476" s="750">
        <f t="shared" si="523"/>
        <v>-3.0357142857142861E-3</v>
      </c>
      <c r="CK476" s="750">
        <f t="shared" si="523"/>
        <v>-3.0357142857142861E-3</v>
      </c>
      <c r="CL476" s="750">
        <f t="shared" si="523"/>
        <v>-3.0357142857142861E-3</v>
      </c>
      <c r="CM476" s="750">
        <f t="shared" si="523"/>
        <v>-3.0357142857142861E-3</v>
      </c>
      <c r="CN476" s="750">
        <f t="shared" si="523"/>
        <v>-3.0357142857142861E-3</v>
      </c>
      <c r="CO476" s="750">
        <f t="shared" si="523"/>
        <v>-3.0357142857142861E-3</v>
      </c>
      <c r="CP476" s="750">
        <f t="shared" si="523"/>
        <v>-3.0357142857142861E-3</v>
      </c>
      <c r="CQ476" s="750">
        <f t="shared" si="523"/>
        <v>-3.0357142857142861E-3</v>
      </c>
      <c r="CR476" s="750">
        <f t="shared" si="523"/>
        <v>-3.0357142857142861E-3</v>
      </c>
      <c r="CS476" s="750">
        <f t="shared" si="523"/>
        <v>-3.0357142857142861E-3</v>
      </c>
      <c r="CT476" s="750">
        <f t="shared" si="523"/>
        <v>-3.0357142857142861E-3</v>
      </c>
      <c r="CU476" s="750">
        <f t="shared" si="523"/>
        <v>-3.0357142857142861E-3</v>
      </c>
      <c r="CV476" s="750">
        <f t="shared" si="523"/>
        <v>-3.0357142857142861E-3</v>
      </c>
      <c r="CW476" s="750">
        <f t="shared" si="523"/>
        <v>-3.0357142857142861E-3</v>
      </c>
      <c r="CX476" s="750">
        <f t="shared" si="523"/>
        <v>-3.0357142857142861E-3</v>
      </c>
      <c r="CY476" s="750">
        <f t="shared" si="523"/>
        <v>-3.0357142857142861E-3</v>
      </c>
      <c r="CZ476" s="750">
        <f t="shared" si="523"/>
        <v>-3.0357142857142861E-3</v>
      </c>
      <c r="DA476" s="750">
        <f t="shared" si="523"/>
        <v>-3.0357142857142861E-3</v>
      </c>
      <c r="DC476" s="12"/>
      <c r="DD476" s="12">
        <f t="shared" si="502"/>
        <v>0</v>
      </c>
      <c r="DE476" s="12">
        <f t="shared" si="503"/>
        <v>-0.13005264133537692</v>
      </c>
      <c r="DF476" s="12">
        <f t="shared" si="512"/>
        <v>-4.6913572319746411E-2</v>
      </c>
      <c r="DG476" s="12">
        <f t="shared" si="507"/>
        <v>-3.7418977864695002E-2</v>
      </c>
      <c r="DH476" s="12">
        <f t="shared" si="504"/>
        <v>-3.6428571428571442E-2</v>
      </c>
      <c r="DI476" s="12">
        <f t="shared" si="498"/>
        <v>-3.6428571428571442E-2</v>
      </c>
    </row>
    <row r="477" spans="2:113" outlineLevel="2">
      <c r="F477" s="126" t="s">
        <v>144</v>
      </c>
      <c r="G477" s="718"/>
      <c r="H477" s="727"/>
      <c r="I477" s="609" t="s">
        <v>736</v>
      </c>
      <c r="O477" s="710"/>
      <c r="P477" s="710"/>
      <c r="Q477" s="710"/>
      <c r="R477" s="710"/>
      <c r="S477" s="710"/>
      <c r="T477" s="710"/>
      <c r="U477" s="710"/>
      <c r="V477" s="710"/>
      <c r="W477" s="710"/>
      <c r="X477" s="710"/>
      <c r="Y477" s="710"/>
      <c r="Z477" s="710"/>
      <c r="AA477" s="710"/>
      <c r="AB477" s="710"/>
      <c r="AC477" s="710"/>
      <c r="AD477" s="710"/>
      <c r="AE477" s="710"/>
      <c r="AF477" s="710"/>
      <c r="AG477" s="710"/>
      <c r="AH477" s="698"/>
      <c r="AI477" s="702"/>
      <c r="AJ477" s="702"/>
      <c r="AK477" s="721"/>
      <c r="AL477" s="721"/>
      <c r="AM477" s="721"/>
      <c r="AN477" s="721"/>
      <c r="AO477" s="721"/>
      <c r="AP477" s="748"/>
      <c r="AQ477" s="749"/>
      <c r="AR477" s="749"/>
      <c r="AS477" s="749"/>
      <c r="AT477" s="751">
        <f>AT431/AT399*AT442</f>
        <v>-0.2028518584809976</v>
      </c>
      <c r="AU477" s="751">
        <f t="shared" ref="AU477:DA477" si="524">AU431/AU399*AU442</f>
        <v>-0.20067670050169178</v>
      </c>
      <c r="AV477" s="751">
        <f t="shared" si="524"/>
        <v>-0.19859613079952063</v>
      </c>
      <c r="AW477" s="751">
        <f t="shared" si="524"/>
        <v>-0.19660411081322612</v>
      </c>
      <c r="AX477" s="751">
        <f t="shared" si="524"/>
        <v>-0.19469510527754993</v>
      </c>
      <c r="AY477" s="751">
        <f t="shared" si="524"/>
        <v>-0.19286403085824494</v>
      </c>
      <c r="AZ477" s="751">
        <f t="shared" si="524"/>
        <v>-0.19110621095185595</v>
      </c>
      <c r="BA477" s="751">
        <f t="shared" si="524"/>
        <v>-0.18941733580399425</v>
      </c>
      <c r="BB477" s="751">
        <f t="shared" si="524"/>
        <v>-0.18779342723004697</v>
      </c>
      <c r="BC477" s="751">
        <f t="shared" si="524"/>
        <v>-0.18623080733036157</v>
      </c>
      <c r="BD477" s="751">
        <f t="shared" si="524"/>
        <v>-0.18472607068202809</v>
      </c>
      <c r="BE477" s="751">
        <f t="shared" si="524"/>
        <v>-0.18327605956471937</v>
      </c>
      <c r="BF477" s="751">
        <f t="shared" si="524"/>
        <v>-0.26839826839826841</v>
      </c>
      <c r="BG477" s="751">
        <f t="shared" si="524"/>
        <v>-0.26178010471204188</v>
      </c>
      <c r="BH477" s="751">
        <f t="shared" si="524"/>
        <v>-0.25505716798592787</v>
      </c>
      <c r="BI477" s="751">
        <f t="shared" si="524"/>
        <v>-0.24822695035460995</v>
      </c>
      <c r="BJ477" s="751">
        <f t="shared" si="524"/>
        <v>-0.24128686327077747</v>
      </c>
      <c r="BK477" s="751">
        <f t="shared" si="524"/>
        <v>-0.23423423423423423</v>
      </c>
      <c r="BL477" s="751">
        <f t="shared" si="524"/>
        <v>-0.22706630336058126</v>
      </c>
      <c r="BM477" s="751">
        <f t="shared" si="524"/>
        <v>-0.21978021978021975</v>
      </c>
      <c r="BN477" s="751">
        <f t="shared" si="524"/>
        <v>-0.21237303785780237</v>
      </c>
      <c r="BO477" s="751">
        <f t="shared" si="524"/>
        <v>-0.20484171322160147</v>
      </c>
      <c r="BP477" s="751">
        <f t="shared" si="524"/>
        <v>-0.19718309859154931</v>
      </c>
      <c r="BQ477" s="751">
        <f t="shared" si="524"/>
        <v>-0.18939393939393939</v>
      </c>
      <c r="BR477" s="751">
        <f t="shared" si="524"/>
        <v>-0.24497487437185933</v>
      </c>
      <c r="BS477" s="751">
        <f t="shared" si="524"/>
        <v>-0.24375000000000005</v>
      </c>
      <c r="BT477" s="751">
        <f t="shared" si="524"/>
        <v>-0.24253731343283585</v>
      </c>
      <c r="BU477" s="751">
        <f t="shared" si="524"/>
        <v>-0.24133663366336638</v>
      </c>
      <c r="BV477" s="751">
        <f t="shared" si="524"/>
        <v>-0.24014778325123159</v>
      </c>
      <c r="BW477" s="751">
        <f t="shared" si="524"/>
        <v>-0.23897058823529416</v>
      </c>
      <c r="BX477" s="751">
        <f t="shared" si="524"/>
        <v>-0.23780487804878053</v>
      </c>
      <c r="BY477" s="751">
        <f t="shared" si="524"/>
        <v>-0.23665048543689327</v>
      </c>
      <c r="BZ477" s="751">
        <f t="shared" si="524"/>
        <v>-0.23550724637681164</v>
      </c>
      <c r="CA477" s="751">
        <f t="shared" si="524"/>
        <v>-0.23437500000000006</v>
      </c>
      <c r="CB477" s="751">
        <f t="shared" si="524"/>
        <v>-0.23325358851674649</v>
      </c>
      <c r="CC477" s="751">
        <f t="shared" si="524"/>
        <v>-0.23214285714285715</v>
      </c>
      <c r="CD477" s="751">
        <f t="shared" si="524"/>
        <v>-0.27857142857142858</v>
      </c>
      <c r="CE477" s="751">
        <f t="shared" si="524"/>
        <v>-0.27857142857142858</v>
      </c>
      <c r="CF477" s="751">
        <f t="shared" si="524"/>
        <v>-0.27857142857142858</v>
      </c>
      <c r="CG477" s="751">
        <f t="shared" si="524"/>
        <v>-0.27857142857142858</v>
      </c>
      <c r="CH477" s="751">
        <f t="shared" si="524"/>
        <v>-0.27857142857142858</v>
      </c>
      <c r="CI477" s="751">
        <f t="shared" si="524"/>
        <v>-0.27857142857142858</v>
      </c>
      <c r="CJ477" s="751">
        <f t="shared" si="524"/>
        <v>-0.27857142857142858</v>
      </c>
      <c r="CK477" s="751">
        <f t="shared" si="524"/>
        <v>-0.27857142857142858</v>
      </c>
      <c r="CL477" s="751">
        <f t="shared" si="524"/>
        <v>-0.27857142857142858</v>
      </c>
      <c r="CM477" s="751">
        <f t="shared" si="524"/>
        <v>-0.27857142857142858</v>
      </c>
      <c r="CN477" s="751">
        <f t="shared" si="524"/>
        <v>-0.27857142857142858</v>
      </c>
      <c r="CO477" s="751">
        <f t="shared" si="524"/>
        <v>-0.27857142857142858</v>
      </c>
      <c r="CP477" s="751">
        <f t="shared" si="524"/>
        <v>-0.30642857142857144</v>
      </c>
      <c r="CQ477" s="751">
        <f t="shared" si="524"/>
        <v>-0.30642857142857144</v>
      </c>
      <c r="CR477" s="751">
        <f t="shared" si="524"/>
        <v>-0.30642857142857144</v>
      </c>
      <c r="CS477" s="751">
        <f t="shared" si="524"/>
        <v>-0.30642857142857144</v>
      </c>
      <c r="CT477" s="751">
        <f t="shared" si="524"/>
        <v>-0.30642857142857144</v>
      </c>
      <c r="CU477" s="751">
        <f t="shared" si="524"/>
        <v>-0.30642857142857144</v>
      </c>
      <c r="CV477" s="751">
        <f t="shared" si="524"/>
        <v>-0.30642857142857144</v>
      </c>
      <c r="CW477" s="751">
        <f t="shared" si="524"/>
        <v>-0.30642857142857144</v>
      </c>
      <c r="CX477" s="751">
        <f t="shared" si="524"/>
        <v>-0.30642857142857144</v>
      </c>
      <c r="CY477" s="751">
        <f t="shared" si="524"/>
        <v>-0.30642857142857144</v>
      </c>
      <c r="CZ477" s="751">
        <f t="shared" si="524"/>
        <v>-0.30642857142857144</v>
      </c>
      <c r="DA477" s="751">
        <f t="shared" si="524"/>
        <v>-0.30642857142857144</v>
      </c>
      <c r="DC477" s="12">
        <f>SUM(V477:AG477)</f>
        <v>0</v>
      </c>
      <c r="DD477" s="12">
        <f t="shared" si="502"/>
        <v>0</v>
      </c>
      <c r="DE477" s="12">
        <f t="shared" si="503"/>
        <v>-2.3088378482942371</v>
      </c>
      <c r="DF477" s="12">
        <f t="shared" si="512"/>
        <v>-2.7596219011615535</v>
      </c>
      <c r="DG477" s="12">
        <f t="shared" si="507"/>
        <v>-2.8614512484766763</v>
      </c>
      <c r="DH477" s="12">
        <f t="shared" si="504"/>
        <v>-3.3428571428571421</v>
      </c>
      <c r="DI477" s="12">
        <f t="shared" si="498"/>
        <v>-3.6771428571428575</v>
      </c>
    </row>
    <row r="478" spans="2:113" outlineLevel="2">
      <c r="F478" s="698" t="s">
        <v>808</v>
      </c>
      <c r="I478" s="609" t="s">
        <v>736</v>
      </c>
      <c r="O478" s="710"/>
      <c r="P478" s="710"/>
      <c r="Q478" s="710"/>
      <c r="R478" s="710"/>
      <c r="S478" s="710"/>
      <c r="T478" s="710"/>
      <c r="U478" s="710"/>
      <c r="V478" s="710"/>
      <c r="W478" s="710"/>
      <c r="X478" s="710"/>
      <c r="Y478" s="710"/>
      <c r="Z478" s="710"/>
      <c r="AA478" s="710"/>
      <c r="AB478" s="710"/>
      <c r="AC478" s="710"/>
      <c r="AD478" s="710"/>
      <c r="AE478" s="710"/>
      <c r="AF478" s="710"/>
      <c r="AG478" s="710"/>
      <c r="AH478" s="708"/>
      <c r="AI478" s="708"/>
      <c r="AJ478" s="708"/>
      <c r="AK478" s="746">
        <v>0</v>
      </c>
      <c r="AL478" s="746">
        <v>-4.2306518968499999E-3</v>
      </c>
      <c r="AM478" s="746">
        <v>-2.3432322158500225E-2</v>
      </c>
      <c r="AN478" s="746">
        <v>-6.5411267721700014E-2</v>
      </c>
      <c r="AO478" s="746">
        <v>-0.12388444440665</v>
      </c>
      <c r="AP478" s="752">
        <v>-7.8328925895900015E-2</v>
      </c>
      <c r="AQ478" s="714">
        <v>-4.4248230143366991E-2</v>
      </c>
      <c r="AR478" s="714">
        <v>0.13211748659312988</v>
      </c>
      <c r="AS478" s="714">
        <v>0.25507654743420249</v>
      </c>
      <c r="AT478" s="714">
        <v>0.23220781311710598</v>
      </c>
      <c r="AU478" s="714">
        <v>0.36379065745398703</v>
      </c>
      <c r="AV478" s="714">
        <v>0.16957650326186652</v>
      </c>
      <c r="AW478" s="714">
        <v>3.1657812201336677E-2</v>
      </c>
      <c r="AX478" s="714">
        <v>0.18630995423709529</v>
      </c>
      <c r="AY478" s="714">
        <v>0.25799864730275535</v>
      </c>
      <c r="AZ478" s="714">
        <v>0.28525175936840297</v>
      </c>
      <c r="BA478" s="714">
        <v>0.24548469523636018</v>
      </c>
      <c r="BB478" s="714">
        <v>0.24673844017220081</v>
      </c>
      <c r="BC478" s="714">
        <v>0.18714718990967727</v>
      </c>
      <c r="BD478" s="714">
        <v>0.18949888421816141</v>
      </c>
      <c r="BE478" s="714">
        <v>0.14206631737586917</v>
      </c>
      <c r="BF478" s="714">
        <v>7.9124092763172005E-3</v>
      </c>
      <c r="BG478" s="714">
        <v>-0.13196801994464491</v>
      </c>
      <c r="BH478" s="714">
        <v>-0.19668328795157763</v>
      </c>
      <c r="BI478" s="714">
        <v>-0.37784560265579736</v>
      </c>
      <c r="BJ478" s="714">
        <v>-0.37226686964793054</v>
      </c>
      <c r="BK478" s="714">
        <v>-0.36367973166490808</v>
      </c>
      <c r="BL478" s="714">
        <v>-0.35299652615537358</v>
      </c>
      <c r="BM478" s="714">
        <v>-0.33824452146495121</v>
      </c>
      <c r="BN478" s="714">
        <v>-0.31942566580754028</v>
      </c>
      <c r="BO478" s="714">
        <v>-0.30317156142775437</v>
      </c>
      <c r="BP478" s="714">
        <v>-0.28905977120426551</v>
      </c>
      <c r="BQ478" s="714">
        <v>-0.27720314098780618</v>
      </c>
      <c r="BR478" s="714">
        <v>-0.27090944599969902</v>
      </c>
      <c r="BS478" s="714">
        <v>-0.26847619888679586</v>
      </c>
      <c r="BT478" s="714">
        <v>-0.26908230970952252</v>
      </c>
      <c r="BU478" s="714">
        <v>-0.27220542275637061</v>
      </c>
      <c r="BV478" s="714">
        <v>-0.27640567303809749</v>
      </c>
      <c r="BW478" s="714">
        <v>-0.28084152021921471</v>
      </c>
      <c r="BX478" s="714">
        <v>-0.28509164561770994</v>
      </c>
      <c r="BY478" s="714">
        <v>-0.28895386492747277</v>
      </c>
      <c r="BZ478" s="714">
        <v>-0.29236343038620061</v>
      </c>
      <c r="CA478" s="714">
        <v>-0.29538602451159135</v>
      </c>
      <c r="CB478" s="714">
        <v>-0.29812145982893545</v>
      </c>
      <c r="CC478" s="714">
        <v>-0.30067347581519765</v>
      </c>
      <c r="CD478" s="714">
        <v>-0.30313835744569273</v>
      </c>
      <c r="CE478" s="714">
        <v>-0.30558454647185274</v>
      </c>
      <c r="CF478" s="714">
        <v>-0.30805182658410124</v>
      </c>
      <c r="CG478" s="714">
        <v>-0.31055785964442895</v>
      </c>
      <c r="CH478" s="714">
        <v>-0.31310532001216917</v>
      </c>
      <c r="CI478" s="714">
        <v>-0.31568797147337957</v>
      </c>
      <c r="CJ478" s="714">
        <v>-0.31829601802145158</v>
      </c>
      <c r="CK478" s="714">
        <v>-0.32091948735412235</v>
      </c>
      <c r="CL478" s="714">
        <v>-0.32355006976203393</v>
      </c>
      <c r="CM478" s="714">
        <v>-0.3261819449882295</v>
      </c>
      <c r="CN478" s="714">
        <v>-0.32881174608500263</v>
      </c>
      <c r="CO478" s="714">
        <v>-0.33143805938423432</v>
      </c>
      <c r="CP478" s="714">
        <v>-0.33406079058387217</v>
      </c>
      <c r="CQ478" s="714">
        <v>-0.33668058061101558</v>
      </c>
      <c r="CR478" s="714">
        <v>-0.33929835017231813</v>
      </c>
      <c r="CS478" s="714">
        <v>-0.34191500152901666</v>
      </c>
      <c r="CT478" s="714">
        <v>-0.34453125956669339</v>
      </c>
      <c r="CU478" s="714">
        <v>-0.34714761678759132</v>
      </c>
      <c r="CV478" s="714">
        <v>-0.3497643464864777</v>
      </c>
      <c r="CW478" s="714">
        <v>-0.35238155093448631</v>
      </c>
      <c r="CX478" s="714">
        <v>-0.35499921945176283</v>
      </c>
      <c r="CY478" s="714">
        <v>-0.35761728097893242</v>
      </c>
      <c r="CZ478" s="714">
        <v>-0.36023564393264307</v>
      </c>
      <c r="DA478" s="714">
        <v>-0.36285422174214554</v>
      </c>
      <c r="DC478" s="14">
        <f>SUM(V478:AG478)</f>
        <v>0</v>
      </c>
      <c r="DD478" s="12">
        <f t="shared" si="502"/>
        <v>4.7658191804365146E-2</v>
      </c>
      <c r="DE478" s="12">
        <f t="shared" si="503"/>
        <v>2.5377286738548186</v>
      </c>
      <c r="DF478" s="12">
        <f t="shared" si="512"/>
        <v>-3.3146322896362328</v>
      </c>
      <c r="DG478" s="12">
        <f t="shared" si="507"/>
        <v>-3.3985104716968082</v>
      </c>
      <c r="DH478" s="12">
        <f t="shared" si="504"/>
        <v>-3.8053232072266989</v>
      </c>
      <c r="DI478" s="12">
        <f t="shared" si="498"/>
        <v>-4.1814858627769551</v>
      </c>
    </row>
    <row r="479" spans="2:113" outlineLevel="2">
      <c r="F479" s="698"/>
      <c r="G479" s="126" t="s">
        <v>827</v>
      </c>
      <c r="I479" s="609" t="s">
        <v>736</v>
      </c>
      <c r="O479" s="710"/>
      <c r="P479" s="710"/>
      <c r="Q479" s="710"/>
      <c r="R479" s="710"/>
      <c r="S479" s="710"/>
      <c r="T479" s="710"/>
      <c r="U479" s="710"/>
      <c r="V479" s="710"/>
      <c r="W479" s="710"/>
      <c r="X479" s="710"/>
      <c r="Y479" s="710"/>
      <c r="Z479" s="710"/>
      <c r="AA479" s="710"/>
      <c r="AB479" s="710"/>
      <c r="AC479" s="710"/>
      <c r="AD479" s="710"/>
      <c r="AE479" s="710"/>
      <c r="AF479" s="710"/>
      <c r="AG479" s="710"/>
      <c r="AK479" s="739"/>
      <c r="AL479" s="739"/>
      <c r="AM479" s="739"/>
      <c r="AN479" s="739">
        <v>0</v>
      </c>
      <c r="AO479" s="721">
        <v>0</v>
      </c>
      <c r="AP479" s="710">
        <v>-0.11482991342626943</v>
      </c>
      <c r="AQ479" s="710">
        <v>-0.36518218257315782</v>
      </c>
      <c r="AR479" s="710">
        <v>-0.76509558059448346</v>
      </c>
      <c r="AS479" s="710">
        <v>-1.0736461203546441</v>
      </c>
      <c r="AT479" s="710">
        <v>-1.0789463747057078</v>
      </c>
      <c r="AU479" s="710">
        <v>-1.4264805555984201</v>
      </c>
      <c r="AV479" s="710">
        <v>-1.187276947122559</v>
      </c>
      <c r="AW479" s="710">
        <v>-1.0211371800628948</v>
      </c>
      <c r="AX479" s="710">
        <v>-1.4356634859012953</v>
      </c>
      <c r="AY479" s="710">
        <v>-1.6849971544595688</v>
      </c>
      <c r="AZ479" s="710">
        <v>-1.853853368825426</v>
      </c>
      <c r="BA479" s="710">
        <v>-1.8772347542396928</v>
      </c>
      <c r="BB479" s="710">
        <v>-1.9865284426755245</v>
      </c>
      <c r="BC479" s="710">
        <v>-1.9868133084354311</v>
      </c>
      <c r="BD479" s="710">
        <v>-2.1223241986874388</v>
      </c>
      <c r="BE479" s="710">
        <v>-2.1676764526079548</v>
      </c>
      <c r="BF479" s="710">
        <v>-2.0762474900382286</v>
      </c>
      <c r="BG479" s="710">
        <v>-2.0189779795774716</v>
      </c>
      <c r="BH479" s="710">
        <v>-2.0456521555726455</v>
      </c>
      <c r="BI479" s="710">
        <v>-1.8309824400751997</v>
      </c>
      <c r="BJ479" s="710">
        <v>-1.9771181978671764</v>
      </c>
      <c r="BK479" s="710">
        <v>-2.1148342175430264</v>
      </c>
      <c r="BL479" s="710">
        <v>-2.2449743837208578</v>
      </c>
      <c r="BM479" s="710">
        <v>-2.3692591501429092</v>
      </c>
      <c r="BN479" s="710">
        <v>-2.4875175360359769</v>
      </c>
      <c r="BO479" s="710">
        <v>-2.5972370171576094</v>
      </c>
      <c r="BP479" s="710">
        <v>-2.6977954397699038</v>
      </c>
      <c r="BQ479" s="710">
        <v>-2.7903301243958532</v>
      </c>
      <c r="BR479" s="710">
        <v>-2.871752505462442</v>
      </c>
      <c r="BS479" s="710">
        <v>-2.9463212746330698</v>
      </c>
      <c r="BT479" s="710">
        <v>-3.0161985852981963</v>
      </c>
      <c r="BU479" s="710">
        <v>-3.0824661883648838</v>
      </c>
      <c r="BV479" s="710">
        <v>-3.1477520797149401</v>
      </c>
      <c r="BW479" s="710">
        <v>-3.2133420593325823</v>
      </c>
      <c r="BX479" s="710">
        <v>-3.2797718274225458</v>
      </c>
      <c r="BY479" s="710">
        <v>-3.3471680281277343</v>
      </c>
      <c r="BZ479" s="710">
        <v>-3.4154601318018289</v>
      </c>
      <c r="CA479" s="710">
        <v>-3.4844250607602185</v>
      </c>
      <c r="CB479" s="710">
        <v>-3.5538297930018734</v>
      </c>
      <c r="CC479" s="710">
        <v>-3.6234727680568621</v>
      </c>
      <c r="CD479" s="710">
        <v>-3.6931884663735213</v>
      </c>
      <c r="CE479" s="710">
        <v>-3.7628738414767886</v>
      </c>
      <c r="CF479" s="710">
        <v>-3.832480051331594</v>
      </c>
      <c r="CG479" s="710">
        <v>-3.9019956722278155</v>
      </c>
      <c r="CH479" s="710">
        <v>-3.971431020253426</v>
      </c>
      <c r="CI479" s="710">
        <v>-4.0408065862181752</v>
      </c>
      <c r="CJ479" s="710">
        <v>-4.1101444365336706</v>
      </c>
      <c r="CK479" s="710">
        <v>-4.1794635281624428</v>
      </c>
      <c r="CL479" s="710">
        <v>-4.2487777818202535</v>
      </c>
      <c r="CM479" s="710">
        <v>-4.3180956996304909</v>
      </c>
      <c r="CN479" s="710">
        <v>-4.3874212167118642</v>
      </c>
      <c r="CO479" s="710">
        <v>-4.4567550571890129</v>
      </c>
      <c r="CP479" s="710">
        <v>-4.5260960731570723</v>
      </c>
      <c r="CQ479" s="710">
        <v>-4.5954423114791982</v>
      </c>
      <c r="CR479" s="710">
        <v>-4.6647917431579584</v>
      </c>
      <c r="CS479" s="710">
        <v>-4.7341426715443955</v>
      </c>
      <c r="CT479" s="710">
        <v>-4.8034938934247684</v>
      </c>
      <c r="CU479" s="710">
        <v>-4.8728446981838633</v>
      </c>
      <c r="CV479" s="710">
        <v>-4.9421947760178737</v>
      </c>
      <c r="CW479" s="710">
        <v>-5.0115440930036632</v>
      </c>
      <c r="CX479" s="710">
        <v>-5.0808927716780801</v>
      </c>
      <c r="CY479" s="710">
        <v>-5.1502409970465184</v>
      </c>
      <c r="CZ479" s="710">
        <v>-5.2195889538625604</v>
      </c>
      <c r="DA479" s="710">
        <v>-5.2889367925501141</v>
      </c>
      <c r="DC479" s="12">
        <f>SUM(V479:AG479)</f>
        <v>0</v>
      </c>
      <c r="DD479" s="12">
        <f t="shared" si="502"/>
        <v>-2.3187537969485548</v>
      </c>
      <c r="DE479" s="12">
        <f t="shared" si="503"/>
        <v>-19.828932223321914</v>
      </c>
      <c r="DF479" s="12">
        <f t="shared" si="512"/>
        <v>-27.250926131896861</v>
      </c>
      <c r="DG479" s="12">
        <f t="shared" si="507"/>
        <v>-38.981960301977182</v>
      </c>
      <c r="DH479" s="12">
        <f t="shared" si="504"/>
        <v>-48.903433357929053</v>
      </c>
      <c r="DI479" s="12">
        <f t="shared" si="498"/>
        <v>-58.890209775106072</v>
      </c>
    </row>
    <row r="480" spans="2:113" outlineLevel="2">
      <c r="F480" s="698"/>
      <c r="G480" s="126" t="s">
        <v>828</v>
      </c>
      <c r="I480" s="609" t="s">
        <v>736</v>
      </c>
      <c r="O480" s="710"/>
      <c r="P480" s="710"/>
      <c r="Q480" s="710"/>
      <c r="R480" s="710"/>
      <c r="S480" s="710"/>
      <c r="T480" s="710"/>
      <c r="U480" s="710"/>
      <c r="V480" s="710"/>
      <c r="W480" s="710"/>
      <c r="X480" s="710"/>
      <c r="Y480" s="710"/>
      <c r="Z480" s="710"/>
      <c r="AA480" s="710"/>
      <c r="AB480" s="710"/>
      <c r="AC480" s="710"/>
      <c r="AD480" s="710"/>
      <c r="AE480" s="710"/>
      <c r="AF480" s="710"/>
      <c r="AG480" s="710"/>
      <c r="AH480" s="698"/>
      <c r="AK480" s="739"/>
      <c r="AL480" s="739"/>
      <c r="AM480" s="739"/>
      <c r="AN480" s="739">
        <v>0</v>
      </c>
      <c r="AO480" s="739">
        <v>0</v>
      </c>
      <c r="AP480" s="710">
        <v>0</v>
      </c>
      <c r="AQ480" s="710">
        <v>1.0334692208364277E-3</v>
      </c>
      <c r="AR480" s="710">
        <v>0</v>
      </c>
      <c r="AS480" s="710">
        <v>0</v>
      </c>
      <c r="AT480" s="710">
        <v>0</v>
      </c>
      <c r="AU480" s="710">
        <v>0</v>
      </c>
      <c r="AV480" s="710">
        <v>0</v>
      </c>
      <c r="AW480" s="710">
        <v>0</v>
      </c>
      <c r="AX480" s="710">
        <v>0</v>
      </c>
      <c r="AY480" s="710">
        <v>0</v>
      </c>
      <c r="AZ480" s="710">
        <v>0</v>
      </c>
      <c r="BA480" s="710">
        <v>0</v>
      </c>
      <c r="BB480" s="710">
        <v>0</v>
      </c>
      <c r="BC480" s="710">
        <v>0</v>
      </c>
      <c r="BD480" s="710">
        <v>0</v>
      </c>
      <c r="BE480" s="710">
        <v>0</v>
      </c>
      <c r="BF480" s="710">
        <v>0</v>
      </c>
      <c r="BG480" s="710">
        <v>0</v>
      </c>
      <c r="BH480" s="710">
        <v>0</v>
      </c>
      <c r="BI480" s="710">
        <v>0</v>
      </c>
      <c r="BJ480" s="710">
        <v>0</v>
      </c>
      <c r="BK480" s="710">
        <v>0</v>
      </c>
      <c r="BL480" s="710">
        <v>0</v>
      </c>
      <c r="BM480" s="710">
        <v>0</v>
      </c>
      <c r="BN480" s="710">
        <v>0</v>
      </c>
      <c r="BO480" s="710">
        <v>0</v>
      </c>
      <c r="BP480" s="710">
        <v>0</v>
      </c>
      <c r="BQ480" s="710">
        <v>0</v>
      </c>
      <c r="BR480" s="710">
        <v>0</v>
      </c>
      <c r="BS480" s="710">
        <v>0</v>
      </c>
      <c r="BT480" s="710">
        <v>0</v>
      </c>
      <c r="BU480" s="710">
        <v>0</v>
      </c>
      <c r="BV480" s="710">
        <v>0</v>
      </c>
      <c r="BW480" s="710">
        <v>0</v>
      </c>
      <c r="BX480" s="710">
        <v>0</v>
      </c>
      <c r="BY480" s="710">
        <v>0</v>
      </c>
      <c r="BZ480" s="710">
        <v>0</v>
      </c>
      <c r="CA480" s="710">
        <v>0</v>
      </c>
      <c r="CB480" s="710">
        <v>0</v>
      </c>
      <c r="CC480" s="710">
        <v>0</v>
      </c>
      <c r="CD480" s="710">
        <v>0</v>
      </c>
      <c r="CE480" s="710">
        <v>0</v>
      </c>
      <c r="CF480" s="710">
        <v>0</v>
      </c>
      <c r="CG480" s="710">
        <v>0</v>
      </c>
      <c r="CH480" s="710">
        <v>0</v>
      </c>
      <c r="CI480" s="710">
        <v>0</v>
      </c>
      <c r="CJ480" s="710">
        <v>0</v>
      </c>
      <c r="CK480" s="710">
        <v>0</v>
      </c>
      <c r="CL480" s="710">
        <v>0</v>
      </c>
      <c r="CM480" s="710">
        <v>0</v>
      </c>
      <c r="CN480" s="710">
        <v>0</v>
      </c>
      <c r="CO480" s="710">
        <v>0</v>
      </c>
      <c r="CP480" s="710">
        <v>0</v>
      </c>
      <c r="CQ480" s="710">
        <v>0</v>
      </c>
      <c r="CR480" s="710">
        <v>0</v>
      </c>
      <c r="CS480" s="710">
        <v>0</v>
      </c>
      <c r="CT480" s="710">
        <v>0</v>
      </c>
      <c r="CU480" s="710">
        <v>0</v>
      </c>
      <c r="CV480" s="710">
        <v>0</v>
      </c>
      <c r="CW480" s="710">
        <v>0</v>
      </c>
      <c r="CX480" s="710">
        <v>0</v>
      </c>
      <c r="CY480" s="710">
        <v>0</v>
      </c>
      <c r="CZ480" s="710">
        <v>0</v>
      </c>
      <c r="DA480" s="710">
        <v>0</v>
      </c>
      <c r="DC480" s="12">
        <f>SUM(V480:AG480)</f>
        <v>0</v>
      </c>
      <c r="DD480" s="12">
        <f t="shared" si="502"/>
        <v>1.0334692208364277E-3</v>
      </c>
      <c r="DE480" s="12">
        <f t="shared" si="503"/>
        <v>0</v>
      </c>
      <c r="DF480" s="12">
        <f t="shared" si="512"/>
        <v>0</v>
      </c>
      <c r="DG480" s="12">
        <f t="shared" si="507"/>
        <v>0</v>
      </c>
      <c r="DH480" s="12">
        <f t="shared" si="504"/>
        <v>0</v>
      </c>
      <c r="DI480" s="12">
        <f t="shared" si="498"/>
        <v>0</v>
      </c>
    </row>
    <row r="481" spans="4:113" outlineLevel="2">
      <c r="E481" s="698" t="s">
        <v>820</v>
      </c>
      <c r="I481" s="609" t="s">
        <v>736</v>
      </c>
      <c r="O481" s="696"/>
      <c r="P481" s="696"/>
      <c r="Q481" s="696"/>
      <c r="R481" s="696"/>
      <c r="S481" s="696"/>
      <c r="T481" s="696"/>
      <c r="U481" s="696"/>
      <c r="V481" s="696"/>
      <c r="W481" s="696"/>
      <c r="X481" s="696"/>
      <c r="Y481" s="696"/>
      <c r="Z481" s="696"/>
      <c r="AA481" s="696"/>
      <c r="AB481" s="696"/>
      <c r="AC481" s="696"/>
      <c r="AD481" s="696"/>
      <c r="AE481" s="696"/>
      <c r="AF481" s="696"/>
      <c r="AG481" s="696"/>
      <c r="AH481" s="696"/>
      <c r="AI481" s="696"/>
      <c r="AJ481" s="696"/>
      <c r="AK481" s="723">
        <f t="shared" ref="AK481:CV481" si="525">AK452+AK468+AK469</f>
        <v>-7.3378619999999997E-3</v>
      </c>
      <c r="AL481" s="723">
        <f t="shared" si="525"/>
        <v>-0.10271553710315001</v>
      </c>
      <c r="AM481" s="723">
        <f t="shared" si="525"/>
        <v>-0.11145156596232543</v>
      </c>
      <c r="AN481" s="723">
        <f t="shared" si="525"/>
        <v>-0.24984193649621342</v>
      </c>
      <c r="AO481" s="723">
        <f t="shared" si="525"/>
        <v>-0.21204985346809052</v>
      </c>
      <c r="AP481" s="747">
        <f t="shared" si="525"/>
        <v>-0.12852969145513971</v>
      </c>
      <c r="AQ481" s="747">
        <f t="shared" si="525"/>
        <v>-0.15250156971996703</v>
      </c>
      <c r="AR481" s="747">
        <f t="shared" si="525"/>
        <v>-7.54764815137835E-2</v>
      </c>
      <c r="AS481" s="747">
        <f t="shared" si="525"/>
        <v>-8.1738947734797951E-3</v>
      </c>
      <c r="AT481" s="747">
        <f t="shared" si="525"/>
        <v>-0.3931965085633502</v>
      </c>
      <c r="AU481" s="747">
        <f t="shared" si="525"/>
        <v>-0.55836611167095862</v>
      </c>
      <c r="AV481" s="747">
        <f t="shared" si="525"/>
        <v>-0.92651390129238853</v>
      </c>
      <c r="AW481" s="747">
        <f t="shared" si="525"/>
        <v>-1.1320221165029023</v>
      </c>
      <c r="AX481" s="747">
        <f t="shared" si="525"/>
        <v>-1.0965559531175197</v>
      </c>
      <c r="AY481" s="747">
        <f t="shared" si="525"/>
        <v>-1.098842943671311</v>
      </c>
      <c r="AZ481" s="747">
        <f t="shared" si="525"/>
        <v>-0.81227503497989884</v>
      </c>
      <c r="BA481" s="747">
        <f t="shared" si="525"/>
        <v>-0.82422771338158263</v>
      </c>
      <c r="BB481" s="747">
        <f t="shared" si="525"/>
        <v>-1.0858135855887716</v>
      </c>
      <c r="BC481" s="747">
        <f t="shared" si="525"/>
        <v>-1.2509105684492585</v>
      </c>
      <c r="BD481" s="747">
        <f t="shared" si="525"/>
        <v>-1.2709229924959611</v>
      </c>
      <c r="BE481" s="747">
        <f t="shared" si="525"/>
        <v>-1.2627989326796407</v>
      </c>
      <c r="BF481" s="747">
        <f t="shared" si="525"/>
        <v>-1.3309777725887135</v>
      </c>
      <c r="BG481" s="747">
        <f t="shared" si="525"/>
        <v>-1.3012611841820962</v>
      </c>
      <c r="BH481" s="747">
        <f t="shared" si="525"/>
        <v>-1.3157198069062321</v>
      </c>
      <c r="BI481" s="747">
        <f t="shared" si="525"/>
        <v>-1.312944591328876</v>
      </c>
      <c r="BJ481" s="747">
        <f t="shared" si="525"/>
        <v>-1.1302303216503946</v>
      </c>
      <c r="BK481" s="747">
        <f t="shared" si="525"/>
        <v>-1.0040210798889808</v>
      </c>
      <c r="BL481" s="747">
        <f t="shared" si="525"/>
        <v>-0.84889438134001138</v>
      </c>
      <c r="BM481" s="747">
        <f t="shared" si="525"/>
        <v>-0.6893209743349018</v>
      </c>
      <c r="BN481" s="747">
        <f t="shared" si="525"/>
        <v>-0.73818960874673034</v>
      </c>
      <c r="BO481" s="747">
        <f t="shared" si="525"/>
        <v>-0.78362746193123112</v>
      </c>
      <c r="BP481" s="747">
        <f t="shared" si="525"/>
        <v>-0.82757933070075329</v>
      </c>
      <c r="BQ481" s="747">
        <f t="shared" si="525"/>
        <v>-0.86977547835695002</v>
      </c>
      <c r="BR481" s="747">
        <f t="shared" si="525"/>
        <v>-0.98625720730923261</v>
      </c>
      <c r="BS481" s="747">
        <f t="shared" si="525"/>
        <v>-1.0400923186495672</v>
      </c>
      <c r="BT481" s="747">
        <f t="shared" si="525"/>
        <v>-1.0870434825606958</v>
      </c>
      <c r="BU481" s="747">
        <f t="shared" si="525"/>
        <v>-1.1262220699951977</v>
      </c>
      <c r="BV481" s="747">
        <f t="shared" si="525"/>
        <v>-1.1565493329957988</v>
      </c>
      <c r="BW481" s="747">
        <f t="shared" si="525"/>
        <v>-1.1809061774975307</v>
      </c>
      <c r="BX481" s="747">
        <f t="shared" si="525"/>
        <v>-1.2008434039257314</v>
      </c>
      <c r="BY481" s="747">
        <f t="shared" si="525"/>
        <v>-1.2179674943458982</v>
      </c>
      <c r="BZ481" s="747">
        <f t="shared" si="525"/>
        <v>-1.2343292585772112</v>
      </c>
      <c r="CA481" s="747">
        <f t="shared" si="525"/>
        <v>-1.2509662678156497</v>
      </c>
      <c r="CB481" s="747">
        <f t="shared" si="525"/>
        <v>-1.2683272639424656</v>
      </c>
      <c r="CC481" s="747">
        <f t="shared" si="525"/>
        <v>-1.2865308020796471</v>
      </c>
      <c r="CD481" s="747">
        <f t="shared" si="525"/>
        <v>-1.3530500712751166</v>
      </c>
      <c r="CE481" s="747">
        <f t="shared" si="525"/>
        <v>-1.3737171194948585</v>
      </c>
      <c r="CF481" s="747">
        <f t="shared" si="525"/>
        <v>-1.394762005648279</v>
      </c>
      <c r="CG481" s="747">
        <f t="shared" si="525"/>
        <v>-1.4160061674211983</v>
      </c>
      <c r="CH481" s="747">
        <f t="shared" si="525"/>
        <v>-1.4373090697307223</v>
      </c>
      <c r="CI481" s="747">
        <f t="shared" si="525"/>
        <v>-1.458584195453267</v>
      </c>
      <c r="CJ481" s="747">
        <f t="shared" si="525"/>
        <v>-1.4797906990506817</v>
      </c>
      <c r="CK481" s="747">
        <f t="shared" si="525"/>
        <v>-1.5009192238073115</v>
      </c>
      <c r="CL481" s="747">
        <f t="shared" si="525"/>
        <v>-1.521978904438082</v>
      </c>
      <c r="CM481" s="747">
        <f t="shared" si="525"/>
        <v>-1.5429873697640009</v>
      </c>
      <c r="CN481" s="747">
        <f t="shared" si="525"/>
        <v>-1.5639635686435485</v>
      </c>
      <c r="CO481" s="747">
        <f t="shared" si="525"/>
        <v>-1.5849237864053083</v>
      </c>
      <c r="CP481" s="747">
        <f t="shared" si="525"/>
        <v>-1.6337370431512857</v>
      </c>
      <c r="CQ481" s="747">
        <f t="shared" si="525"/>
        <v>-1.6546962603749016</v>
      </c>
      <c r="CR481" s="747">
        <f t="shared" si="525"/>
        <v>-1.6756618895663704</v>
      </c>
      <c r="CS481" s="747">
        <f t="shared" si="525"/>
        <v>-1.6966345119326025</v>
      </c>
      <c r="CT481" s="747">
        <f t="shared" si="525"/>
        <v>-1.7176131240110166</v>
      </c>
      <c r="CU481" s="747">
        <f t="shared" si="525"/>
        <v>-1.7385960471115225</v>
      </c>
      <c r="CV481" s="747">
        <f t="shared" si="525"/>
        <v>-1.7595815461849031</v>
      </c>
      <c r="CW481" s="747">
        <f t="shared" ref="CW481:DA481" si="526">CW452+CW468+CW469</f>
        <v>-1.780568175863259</v>
      </c>
      <c r="CX481" s="747">
        <f t="shared" si="526"/>
        <v>-1.8015549164962468</v>
      </c>
      <c r="CY481" s="747">
        <f t="shared" si="526"/>
        <v>-1.8225411709033383</v>
      </c>
      <c r="CZ481" s="747">
        <f t="shared" si="526"/>
        <v>-1.8435266839917432</v>
      </c>
      <c r="DA481" s="747">
        <f t="shared" si="526"/>
        <v>-1.8645114350684073</v>
      </c>
      <c r="DC481" s="14">
        <f>SUM(V481:AG481)</f>
        <v>0</v>
      </c>
      <c r="DD481" s="14">
        <f t="shared" si="502"/>
        <v>-1.0480783924921495</v>
      </c>
      <c r="DE481" s="14">
        <f t="shared" si="503"/>
        <v>-11.712446362393544</v>
      </c>
      <c r="DF481" s="14">
        <f t="shared" si="512"/>
        <v>-12.152541991955868</v>
      </c>
      <c r="DG481" s="14">
        <f t="shared" si="507"/>
        <v>-14.036035079694628</v>
      </c>
      <c r="DH481" s="14">
        <f t="shared" si="504"/>
        <v>-17.627992181132377</v>
      </c>
      <c r="DI481" s="14">
        <f t="shared" si="498"/>
        <v>-20.989222804655597</v>
      </c>
    </row>
    <row r="482" spans="4:113" outlineLevel="2">
      <c r="E482" s="229"/>
      <c r="F482" s="230" t="s">
        <v>423</v>
      </c>
      <c r="I482" s="609" t="s">
        <v>736</v>
      </c>
      <c r="O482" s="696"/>
      <c r="P482" s="696"/>
      <c r="Q482" s="696"/>
      <c r="R482" s="696"/>
      <c r="S482" s="696"/>
      <c r="T482" s="696"/>
      <c r="U482" s="696"/>
      <c r="V482" s="696"/>
      <c r="W482" s="696"/>
      <c r="X482" s="696"/>
      <c r="Y482" s="696"/>
      <c r="Z482" s="696"/>
      <c r="AA482" s="696"/>
      <c r="AB482" s="696"/>
      <c r="AC482" s="696"/>
      <c r="AD482" s="696"/>
      <c r="AE482" s="696"/>
      <c r="AF482" s="696"/>
      <c r="AG482" s="696"/>
      <c r="AH482" s="696"/>
      <c r="AI482" s="696"/>
      <c r="AJ482" s="696"/>
      <c r="AK482" s="739">
        <v>0</v>
      </c>
      <c r="AL482" s="739">
        <v>0</v>
      </c>
      <c r="AM482" s="739">
        <v>0</v>
      </c>
      <c r="AN482" s="739">
        <v>0</v>
      </c>
      <c r="AO482" s="739">
        <v>0</v>
      </c>
      <c r="AP482" s="739">
        <v>0.11482991342626943</v>
      </c>
      <c r="AQ482" s="739">
        <v>0.47897862677859082</v>
      </c>
      <c r="AR482" s="739">
        <v>1.2440742073730742</v>
      </c>
      <c r="AS482" s="739">
        <v>2.3177203277277183</v>
      </c>
      <c r="AT482" s="739">
        <v>3.2828702582279932</v>
      </c>
      <c r="AU482" s="739">
        <v>4.3441686312532557</v>
      </c>
      <c r="AV482" s="739">
        <v>4.7663499977813313</v>
      </c>
      <c r="AW482" s="739">
        <v>4.7138410574895815</v>
      </c>
      <c r="AX482" s="739">
        <v>5.0705581686851691</v>
      </c>
      <c r="AY482" s="739">
        <v>5.3290747675463175</v>
      </c>
      <c r="AZ482" s="739">
        <v>5.9956511892491848</v>
      </c>
      <c r="BA482" s="739">
        <v>6.8517487634259826</v>
      </c>
      <c r="BB482" s="739">
        <v>7.402613720200212</v>
      </c>
      <c r="BC482" s="739">
        <v>7.7044298741760748</v>
      </c>
      <c r="BD482" s="739">
        <v>7.9729007040380875</v>
      </c>
      <c r="BE482" s="739">
        <v>8.2633424024063498</v>
      </c>
      <c r="BF482" s="739">
        <v>8.3530614497690543</v>
      </c>
      <c r="BG482" s="739">
        <v>8.3852261209110939</v>
      </c>
      <c r="BH482" s="739">
        <v>8.3085540777963001</v>
      </c>
      <c r="BI482" s="739">
        <v>7.9718600652635452</v>
      </c>
      <c r="BJ482" s="739">
        <v>7.872730773092492</v>
      </c>
      <c r="BK482" s="739">
        <v>7.9685870110580481</v>
      </c>
      <c r="BL482" s="739">
        <v>8.16790923920626</v>
      </c>
      <c r="BM482" s="739">
        <v>8.7061859492739693</v>
      </c>
      <c r="BN482" s="739">
        <v>9.2165852874427703</v>
      </c>
      <c r="BO482" s="739">
        <v>9.6989880870573533</v>
      </c>
      <c r="BP482" s="739">
        <v>10.1518091431064</v>
      </c>
      <c r="BQ482" s="739">
        <v>10.572880117359343</v>
      </c>
      <c r="BR482" s="739">
        <v>10.957115086785809</v>
      </c>
      <c r="BS482" s="739">
        <v>11.306199344261268</v>
      </c>
      <c r="BT482" s="739">
        <v>11.624602489789561</v>
      </c>
      <c r="BU482" s="739">
        <v>11.916738553758591</v>
      </c>
      <c r="BV482" s="739">
        <v>12.19273812801109</v>
      </c>
      <c r="BW482" s="739">
        <v>12.459758912710603</v>
      </c>
      <c r="BX482" s="739">
        <v>12.723332154834953</v>
      </c>
      <c r="BY482" s="739">
        <v>12.988033994597803</v>
      </c>
      <c r="BZ482" s="739">
        <v>13.255742046684691</v>
      </c>
      <c r="CA482" s="739">
        <v>13.526825048112329</v>
      </c>
      <c r="CB482" s="739">
        <v>13.800883013691656</v>
      </c>
      <c r="CC482" s="739">
        <v>14.077187753620784</v>
      </c>
      <c r="CD482" s="739">
        <v>14.354916088192475</v>
      </c>
      <c r="CE482" s="739">
        <v>14.633364868909045</v>
      </c>
      <c r="CF482" s="739">
        <v>14.912015127238766</v>
      </c>
      <c r="CG482" s="739">
        <v>15.190538031409719</v>
      </c>
      <c r="CH482" s="739">
        <v>15.468780585289625</v>
      </c>
      <c r="CI482" s="739">
        <v>15.74671333003101</v>
      </c>
      <c r="CJ482" s="739">
        <v>16.024377715233086</v>
      </c>
      <c r="CK482" s="739">
        <v>16.301845571167714</v>
      </c>
      <c r="CL482" s="739">
        <v>16.579192332734539</v>
      </c>
      <c r="CM482" s="739">
        <v>16.856481446146859</v>
      </c>
      <c r="CN482" s="739">
        <v>17.13375822632505</v>
      </c>
      <c r="CO482" s="739">
        <v>17.41104975535162</v>
      </c>
      <c r="CP482" s="739">
        <v>17.688368046688439</v>
      </c>
      <c r="CQ482" s="739">
        <v>17.965714658537149</v>
      </c>
      <c r="CR482" s="739">
        <v>18.24308518498324</v>
      </c>
      <c r="CS482" s="739">
        <v>18.520472799338624</v>
      </c>
      <c r="CT482" s="739">
        <v>18.797870619606321</v>
      </c>
      <c r="CU482" s="739">
        <v>19.075273006310987</v>
      </c>
      <c r="CV482" s="739">
        <v>19.352676039170902</v>
      </c>
      <c r="CW482" s="739">
        <v>19.630077460630169</v>
      </c>
      <c r="CX482" s="739">
        <v>19.907476338883484</v>
      </c>
      <c r="CY482" s="739">
        <v>20.184872637746135</v>
      </c>
      <c r="CZ482" s="739">
        <v>20.462266815590823</v>
      </c>
      <c r="DA482" s="739">
        <v>20.739659515137273</v>
      </c>
      <c r="DC482" s="11">
        <f t="shared" ref="DC482:DC487" si="527">AG482</f>
        <v>0</v>
      </c>
      <c r="DD482" s="11">
        <f t="shared" ref="DD482:DD487" si="528">AS482</f>
        <v>2.3177203277277183</v>
      </c>
      <c r="DE482" s="11">
        <f t="shared" ref="DE482:DE487" si="529">BE482</f>
        <v>8.2633424024063498</v>
      </c>
      <c r="DF482" s="11">
        <f t="shared" ref="DF482:DF487" si="530">BQ482</f>
        <v>10.572880117359343</v>
      </c>
      <c r="DG482" s="11">
        <f t="shared" ref="DG482:DG487" si="531">CC482</f>
        <v>14.077187753620784</v>
      </c>
      <c r="DH482" s="11">
        <f t="shared" ref="DH482:DH487" si="532">CO482</f>
        <v>17.41104975535162</v>
      </c>
      <c r="DI482" s="11">
        <f t="shared" ref="DI482:DI487" si="533">DA482</f>
        <v>20.739659515137273</v>
      </c>
    </row>
    <row r="483" spans="4:113" outlineLevel="2">
      <c r="E483" s="229"/>
      <c r="F483" s="230" t="s">
        <v>810</v>
      </c>
      <c r="I483" s="609" t="s">
        <v>736</v>
      </c>
      <c r="O483" s="696"/>
      <c r="P483" s="696"/>
      <c r="Q483" s="696"/>
      <c r="R483" s="696"/>
      <c r="S483" s="696"/>
      <c r="T483" s="696"/>
      <c r="U483" s="696"/>
      <c r="V483" s="696"/>
      <c r="W483" s="696"/>
      <c r="X483" s="696"/>
      <c r="Y483" s="696"/>
      <c r="Z483" s="696"/>
      <c r="AA483" s="696"/>
      <c r="AB483" s="696"/>
      <c r="AC483" s="696"/>
      <c r="AD483" s="696"/>
      <c r="AE483" s="696"/>
      <c r="AF483" s="696"/>
      <c r="AG483" s="696"/>
      <c r="AH483" s="696"/>
      <c r="AI483" s="696"/>
      <c r="AJ483" s="696"/>
      <c r="AK483" s="739">
        <v>0</v>
      </c>
      <c r="AL483" s="739">
        <v>0</v>
      </c>
      <c r="AM483" s="739">
        <v>0.13519051669499998</v>
      </c>
      <c r="AN483" s="739">
        <v>0.55793996993533512</v>
      </c>
      <c r="AO483" s="739">
        <v>1.4149196762360297</v>
      </c>
      <c r="AP483" s="739">
        <v>2.514208359819861</v>
      </c>
      <c r="AQ483" s="739">
        <v>3.6361536027238199</v>
      </c>
      <c r="AR483" s="739">
        <v>5.1218516643751544</v>
      </c>
      <c r="AS483" s="739">
        <v>6.2868531903411879</v>
      </c>
      <c r="AT483" s="739">
        <v>7.1534285126254744</v>
      </c>
      <c r="AU483" s="739">
        <v>8.285465400548798</v>
      </c>
      <c r="AV483" s="739">
        <v>9.2694688056462553</v>
      </c>
      <c r="AW483" s="739">
        <v>10.09143531279326</v>
      </c>
      <c r="AX483" s="739">
        <v>11.031728843567407</v>
      </c>
      <c r="AY483" s="739">
        <v>11.619061862414174</v>
      </c>
      <c r="AZ483" s="739">
        <v>12.545922131926314</v>
      </c>
      <c r="BA483" s="739">
        <v>13.621256590614946</v>
      </c>
      <c r="BB483" s="739">
        <v>14.40609236307936</v>
      </c>
      <c r="BC483" s="739">
        <v>14.948705470312369</v>
      </c>
      <c r="BD483" s="739">
        <v>15.328682710763131</v>
      </c>
      <c r="BE483" s="739">
        <v>15.684613414853088</v>
      </c>
      <c r="BF483" s="739">
        <v>15.437546514846765</v>
      </c>
      <c r="BG483" s="739">
        <v>15.461175972782952</v>
      </c>
      <c r="BH483" s="739">
        <v>15.522701462996693</v>
      </c>
      <c r="BI483" s="739">
        <v>15.683531620448786</v>
      </c>
      <c r="BJ483" s="739">
        <v>16.05602116386947</v>
      </c>
      <c r="BK483" s="739">
        <v>16.600203147455151</v>
      </c>
      <c r="BL483" s="739">
        <v>17.222579977895577</v>
      </c>
      <c r="BM483" s="739">
        <v>18.15469561749261</v>
      </c>
      <c r="BN483" s="739">
        <v>19.027988206263963</v>
      </c>
      <c r="BO483" s="739">
        <v>19.838567676087351</v>
      </c>
      <c r="BP483" s="739">
        <v>20.588602979717344</v>
      </c>
      <c r="BQ483" s="739">
        <v>21.280639626834471</v>
      </c>
      <c r="BR483" s="739">
        <v>21.918095514036068</v>
      </c>
      <c r="BS483" s="739">
        <v>22.509928161747425</v>
      </c>
      <c r="BT483" s="739">
        <v>23.066591674201877</v>
      </c>
      <c r="BU483" s="739">
        <v>23.597503721891897</v>
      </c>
      <c r="BV483" s="739">
        <v>24.114942426830527</v>
      </c>
      <c r="BW483" s="739">
        <v>24.626673413979205</v>
      </c>
      <c r="BX483" s="739">
        <v>25.137961495372274</v>
      </c>
      <c r="BY483" s="739">
        <v>25.652720062412726</v>
      </c>
      <c r="BZ483" s="739">
        <v>26.172037022625599</v>
      </c>
      <c r="CA483" s="739">
        <v>26.695568481276503</v>
      </c>
      <c r="CB483" s="739">
        <v>27.22236552494088</v>
      </c>
      <c r="CC483" s="739">
        <v>27.751337976395295</v>
      </c>
      <c r="CD483" s="739">
        <v>28.281481964365259</v>
      </c>
      <c r="CE483" s="739">
        <v>28.812044611208435</v>
      </c>
      <c r="CF483" s="739">
        <v>29.342536032817414</v>
      </c>
      <c r="CG483" s="739">
        <v>29.872693260835824</v>
      </c>
      <c r="CH483" s="739">
        <v>30.402437228375948</v>
      </c>
      <c r="CI483" s="739">
        <v>30.931803303770984</v>
      </c>
      <c r="CJ483" s="739">
        <v>31.460880978697404</v>
      </c>
      <c r="CK483" s="739">
        <v>31.98977209267224</v>
      </c>
      <c r="CL483" s="739">
        <v>32.518566568270224</v>
      </c>
      <c r="CM483" s="739">
        <v>33.047331180712384</v>
      </c>
      <c r="CN483" s="739">
        <v>33.576107900375348</v>
      </c>
      <c r="CO483" s="739">
        <v>34.104917464426165</v>
      </c>
      <c r="CP483" s="739">
        <v>34.633765082328388</v>
      </c>
      <c r="CQ483" s="739">
        <v>35.162646514407484</v>
      </c>
      <c r="CR483" s="739">
        <v>35.691553175801822</v>
      </c>
      <c r="CS483" s="739">
        <v>36.220475717138392</v>
      </c>
      <c r="CT483" s="739">
        <v>36.749406105420512</v>
      </c>
      <c r="CU483" s="739">
        <v>37.278338511502866</v>
      </c>
      <c r="CV483" s="739">
        <v>37.807269384193326</v>
      </c>
      <c r="CW483" s="739">
        <v>38.336197070834459</v>
      </c>
      <c r="CX483" s="739">
        <v>38.865121260889197</v>
      </c>
      <c r="CY483" s="739">
        <v>39.39404243332492</v>
      </c>
      <c r="CZ483" s="739">
        <v>39.922961408460502</v>
      </c>
      <c r="DA483" s="739">
        <v>40.451879040422256</v>
      </c>
      <c r="DC483" s="11">
        <f t="shared" si="527"/>
        <v>0</v>
      </c>
      <c r="DD483" s="11">
        <f t="shared" si="528"/>
        <v>6.2868531903411879</v>
      </c>
      <c r="DE483" s="11">
        <f t="shared" si="529"/>
        <v>15.684613414853088</v>
      </c>
      <c r="DF483" s="11">
        <f t="shared" si="530"/>
        <v>21.280639626834471</v>
      </c>
      <c r="DG483" s="11">
        <f t="shared" si="531"/>
        <v>27.751337976395295</v>
      </c>
      <c r="DH483" s="11">
        <f t="shared" si="532"/>
        <v>34.104917464426165</v>
      </c>
      <c r="DI483" s="11">
        <f t="shared" si="533"/>
        <v>40.451879040422256</v>
      </c>
    </row>
    <row r="484" spans="4:113" outlineLevel="2">
      <c r="E484" s="230" t="s">
        <v>811</v>
      </c>
      <c r="F484" s="229"/>
      <c r="I484" s="609" t="s">
        <v>812</v>
      </c>
      <c r="O484" s="696"/>
      <c r="P484" s="696"/>
      <c r="Q484" s="696"/>
      <c r="R484" s="696"/>
      <c r="S484" s="696"/>
      <c r="T484" s="696"/>
      <c r="U484" s="696"/>
      <c r="V484" s="696"/>
      <c r="W484" s="696"/>
      <c r="X484" s="696"/>
      <c r="Y484" s="696"/>
      <c r="Z484" s="697"/>
      <c r="AA484" s="697"/>
      <c r="AB484" s="697"/>
      <c r="AC484" s="697"/>
      <c r="AD484" s="697"/>
      <c r="AE484" s="697"/>
      <c r="AF484" s="697"/>
      <c r="AG484" s="697"/>
      <c r="AH484" s="697"/>
      <c r="AI484" s="697"/>
      <c r="AJ484" s="697"/>
      <c r="AK484" s="753">
        <f t="shared" ref="AK484:AS485" si="534">AK482/AK$446</f>
        <v>0</v>
      </c>
      <c r="AL484" s="753">
        <f t="shared" si="534"/>
        <v>0</v>
      </c>
      <c r="AM484" s="753">
        <f t="shared" si="534"/>
        <v>0</v>
      </c>
      <c r="AN484" s="753">
        <f t="shared" si="534"/>
        <v>0</v>
      </c>
      <c r="AO484" s="753">
        <f t="shared" si="534"/>
        <v>0</v>
      </c>
      <c r="AP484" s="753">
        <f t="shared" si="534"/>
        <v>1.0237001442840107E-2</v>
      </c>
      <c r="AQ484" s="753">
        <f t="shared" si="534"/>
        <v>3.2453745187122796E-2</v>
      </c>
      <c r="AR484" s="753">
        <f t="shared" si="534"/>
        <v>8.2714272857133869E-2</v>
      </c>
      <c r="AS484" s="753">
        <f t="shared" si="534"/>
        <v>0.12713785582116816</v>
      </c>
      <c r="AT484" s="753">
        <f>AT482/AT$446</f>
        <v>0.13356700915594893</v>
      </c>
      <c r="AU484" s="753">
        <f t="shared" ref="AU484:DA485" si="535">AU482/AU$446</f>
        <v>0.147066891418556</v>
      </c>
      <c r="AV484" s="753">
        <f t="shared" si="535"/>
        <v>0.14182626035260826</v>
      </c>
      <c r="AW484" s="753">
        <f t="shared" si="535"/>
        <v>0.12639017961892515</v>
      </c>
      <c r="AX484" s="753">
        <f t="shared" si="535"/>
        <v>0.1233724972888504</v>
      </c>
      <c r="AY484" s="753">
        <f t="shared" si="535"/>
        <v>0.11936808530616383</v>
      </c>
      <c r="AZ484" s="753">
        <f t="shared" si="535"/>
        <v>0.123233651770582</v>
      </c>
      <c r="BA484" s="753">
        <f t="shared" si="535"/>
        <v>0.12961181224903404</v>
      </c>
      <c r="BB484" s="753">
        <f t="shared" si="535"/>
        <v>0.13073029118111987</v>
      </c>
      <c r="BC484" s="753">
        <f t="shared" si="535"/>
        <v>0.1277163065207049</v>
      </c>
      <c r="BD484" s="753">
        <f t="shared" si="535"/>
        <v>0.12440082990594128</v>
      </c>
      <c r="BE484" s="753">
        <f t="shared" si="535"/>
        <v>0.12141572899008365</v>
      </c>
      <c r="BF484" s="753">
        <f t="shared" si="535"/>
        <v>0.11602880970669456</v>
      </c>
      <c r="BG484" s="753">
        <f t="shared" si="535"/>
        <v>0.11039853133287192</v>
      </c>
      <c r="BH484" s="753">
        <f t="shared" si="535"/>
        <v>0.10419789290478952</v>
      </c>
      <c r="BI484" s="753">
        <f t="shared" si="535"/>
        <v>9.5523884959316727E-2</v>
      </c>
      <c r="BJ484" s="753">
        <f t="shared" si="535"/>
        <v>9.0274014274376452E-2</v>
      </c>
      <c r="BK484" s="753">
        <f t="shared" si="535"/>
        <v>8.7671055160482125E-2</v>
      </c>
      <c r="BL484" s="753">
        <f t="shared" si="535"/>
        <v>8.6533040640851586E-2</v>
      </c>
      <c r="BM484" s="753">
        <f t="shared" si="535"/>
        <v>8.8866171103682959E-2</v>
      </c>
      <c r="BN484" s="753">
        <f t="shared" si="535"/>
        <v>9.109823747344109E-2</v>
      </c>
      <c r="BO484" s="753">
        <f t="shared" si="535"/>
        <v>9.3156051035520646E-2</v>
      </c>
      <c r="BP484" s="753">
        <f t="shared" si="535"/>
        <v>9.4997193189635634E-2</v>
      </c>
      <c r="BQ484" s="753">
        <f t="shared" si="535"/>
        <v>9.6598442655810163E-2</v>
      </c>
      <c r="BR484" s="753">
        <f t="shared" si="535"/>
        <v>9.7869159959479202E-2</v>
      </c>
      <c r="BS484" s="753">
        <f t="shared" si="535"/>
        <v>9.8809039663072029E-2</v>
      </c>
      <c r="BT484" s="753">
        <f t="shared" si="535"/>
        <v>9.945624415428829E-2</v>
      </c>
      <c r="BU484" s="753">
        <f t="shared" si="535"/>
        <v>9.9855111176805872E-2</v>
      </c>
      <c r="BV484" s="753">
        <f t="shared" si="535"/>
        <v>0.10009540243844625</v>
      </c>
      <c r="BW484" s="753">
        <f t="shared" si="535"/>
        <v>0.10024297456632579</v>
      </c>
      <c r="BX484" s="753">
        <f t="shared" si="535"/>
        <v>0.10034796305293112</v>
      </c>
      <c r="BY484" s="753">
        <f t="shared" si="535"/>
        <v>0.10044963519382379</v>
      </c>
      <c r="BZ484" s="753">
        <f t="shared" si="535"/>
        <v>0.10056518268799969</v>
      </c>
      <c r="CA484" s="753">
        <f t="shared" si="535"/>
        <v>0.10069902185487549</v>
      </c>
      <c r="CB484" s="753">
        <f t="shared" si="535"/>
        <v>0.10084893969004549</v>
      </c>
      <c r="CC484" s="753">
        <f t="shared" si="535"/>
        <v>0.10100986347103268</v>
      </c>
      <c r="CD484" s="753">
        <f t="shared" si="535"/>
        <v>0.1011759123320925</v>
      </c>
      <c r="CE484" s="753">
        <f t="shared" si="535"/>
        <v>0.10134206966831379</v>
      </c>
      <c r="CF484" s="753">
        <f t="shared" si="535"/>
        <v>0.10150470408301054</v>
      </c>
      <c r="CG484" s="753">
        <f t="shared" si="535"/>
        <v>0.10166160643839495</v>
      </c>
      <c r="CH484" s="753">
        <f t="shared" si="535"/>
        <v>0.10181184302199753</v>
      </c>
      <c r="CI484" s="753">
        <f t="shared" si="535"/>
        <v>0.10195536611694611</v>
      </c>
      <c r="CJ484" s="753">
        <f t="shared" si="535"/>
        <v>0.10209263147846237</v>
      </c>
      <c r="CK484" s="753">
        <f t="shared" si="535"/>
        <v>0.10222430688436369</v>
      </c>
      <c r="CL484" s="753">
        <f t="shared" si="535"/>
        <v>0.10235108190825519</v>
      </c>
      <c r="CM484" s="753">
        <f t="shared" si="535"/>
        <v>0.10247355972557523</v>
      </c>
      <c r="CN484" s="753">
        <f t="shared" si="535"/>
        <v>0.10259221520878474</v>
      </c>
      <c r="CO484" s="753">
        <f t="shared" si="535"/>
        <v>0.10270739468825574</v>
      </c>
      <c r="CP484" s="753">
        <f t="shared" si="535"/>
        <v>0.10281933760057481</v>
      </c>
      <c r="CQ484" s="753">
        <f t="shared" si="535"/>
        <v>0.10292820704042931</v>
      </c>
      <c r="CR484" s="753">
        <f t="shared" si="535"/>
        <v>0.10303411908089452</v>
      </c>
      <c r="CS484" s="753">
        <f t="shared" si="535"/>
        <v>0.10313716576660564</v>
      </c>
      <c r="CT484" s="753">
        <f t="shared" si="535"/>
        <v>0.10323743049722825</v>
      </c>
      <c r="CU484" s="753">
        <f t="shared" si="535"/>
        <v>0.10333499663782299</v>
      </c>
      <c r="CV484" s="753">
        <f t="shared" si="535"/>
        <v>0.10342995100875677</v>
      </c>
      <c r="CW484" s="753">
        <f t="shared" si="535"/>
        <v>0.10352238409273698</v>
      </c>
      <c r="CX484" s="753">
        <f t="shared" si="535"/>
        <v>0.1036123885281364</v>
      </c>
      <c r="CY484" s="753">
        <f t="shared" si="535"/>
        <v>0.1037000570253982</v>
      </c>
      <c r="CZ484" s="753">
        <f t="shared" si="535"/>
        <v>0.10378548042531451</v>
      </c>
      <c r="DA484" s="753">
        <f t="shared" si="535"/>
        <v>0.10386874625172567</v>
      </c>
      <c r="DC484" s="729">
        <f t="shared" si="527"/>
        <v>0</v>
      </c>
      <c r="DD484" s="729">
        <f t="shared" si="528"/>
        <v>0.12713785582116816</v>
      </c>
      <c r="DE484" s="729">
        <f t="shared" si="529"/>
        <v>0.12141572899008365</v>
      </c>
      <c r="DF484" s="729">
        <f t="shared" si="530"/>
        <v>9.6598442655810163E-2</v>
      </c>
      <c r="DG484" s="729">
        <f t="shared" si="531"/>
        <v>0.10100986347103268</v>
      </c>
      <c r="DH484" s="729">
        <f t="shared" si="532"/>
        <v>0.10270739468825574</v>
      </c>
      <c r="DI484" s="729">
        <f t="shared" si="533"/>
        <v>0.10386874625172567</v>
      </c>
    </row>
    <row r="485" spans="4:113" outlineLevel="2">
      <c r="E485" s="230" t="s">
        <v>813</v>
      </c>
      <c r="F485" s="229"/>
      <c r="I485" s="609" t="s">
        <v>812</v>
      </c>
      <c r="O485" s="696"/>
      <c r="P485" s="696"/>
      <c r="Q485" s="696"/>
      <c r="R485" s="696"/>
      <c r="S485" s="696"/>
      <c r="T485" s="696"/>
      <c r="U485" s="696"/>
      <c r="V485" s="696"/>
      <c r="W485" s="696"/>
      <c r="X485" s="696"/>
      <c r="Y485" s="696"/>
      <c r="Z485" s="697"/>
      <c r="AA485" s="697"/>
      <c r="AB485" s="697"/>
      <c r="AC485" s="697"/>
      <c r="AD485" s="697"/>
      <c r="AE485" s="697"/>
      <c r="AF485" s="697"/>
      <c r="AG485" s="697"/>
      <c r="AH485" s="697"/>
      <c r="AI485" s="697"/>
      <c r="AJ485" s="697"/>
      <c r="AK485" s="753">
        <f t="shared" si="534"/>
        <v>0</v>
      </c>
      <c r="AL485" s="753">
        <f t="shared" si="534"/>
        <v>0</v>
      </c>
      <c r="AM485" s="753">
        <f t="shared" si="534"/>
        <v>4.8606066779549081E-2</v>
      </c>
      <c r="AN485" s="753">
        <f t="shared" si="534"/>
        <v>9.9372346588260815E-2</v>
      </c>
      <c r="AO485" s="753">
        <f t="shared" si="534"/>
        <v>0.16352220382983226</v>
      </c>
      <c r="AP485" s="753">
        <f t="shared" si="534"/>
        <v>0.22413980677258399</v>
      </c>
      <c r="AQ485" s="753">
        <f t="shared" si="534"/>
        <v>0.24637174998329592</v>
      </c>
      <c r="AR485" s="753">
        <f t="shared" si="534"/>
        <v>0.34053453852680599</v>
      </c>
      <c r="AS485" s="753">
        <f t="shared" si="534"/>
        <v>0.34486345264360513</v>
      </c>
      <c r="AT485" s="753">
        <f>AT483/AT$446</f>
        <v>0.29104471894603778</v>
      </c>
      <c r="AU485" s="753">
        <f t="shared" si="535"/>
        <v>0.28049501385566167</v>
      </c>
      <c r="AV485" s="753">
        <f t="shared" si="535"/>
        <v>0.27581988246182498</v>
      </c>
      <c r="AW485" s="753">
        <f t="shared" si="535"/>
        <v>0.27057728638732814</v>
      </c>
      <c r="AX485" s="753">
        <f t="shared" si="535"/>
        <v>0.26841461858177884</v>
      </c>
      <c r="AY485" s="753">
        <f t="shared" si="535"/>
        <v>0.26026003163187844</v>
      </c>
      <c r="AZ485" s="753">
        <f t="shared" si="535"/>
        <v>0.25786686889306104</v>
      </c>
      <c r="BA485" s="753">
        <f t="shared" si="535"/>
        <v>0.25766790534449424</v>
      </c>
      <c r="BB485" s="753">
        <f t="shared" si="535"/>
        <v>0.25441184973198028</v>
      </c>
      <c r="BC485" s="753">
        <f t="shared" si="535"/>
        <v>0.24780463721701734</v>
      </c>
      <c r="BD485" s="753">
        <f t="shared" si="535"/>
        <v>0.23917278307730416</v>
      </c>
      <c r="BE485" s="753">
        <f t="shared" si="535"/>
        <v>0.23045865449524019</v>
      </c>
      <c r="BF485" s="753">
        <f t="shared" si="535"/>
        <v>0.21443636655623122</v>
      </c>
      <c r="BG485" s="753">
        <f t="shared" si="535"/>
        <v>0.20355934299943046</v>
      </c>
      <c r="BH485" s="753">
        <f t="shared" si="535"/>
        <v>0.19467078982572442</v>
      </c>
      <c r="BI485" s="753">
        <f t="shared" si="535"/>
        <v>0.18793002611718926</v>
      </c>
      <c r="BJ485" s="753">
        <f t="shared" si="535"/>
        <v>0.18410911353538983</v>
      </c>
      <c r="BK485" s="753">
        <f t="shared" si="535"/>
        <v>0.18263681174543778</v>
      </c>
      <c r="BL485" s="753">
        <f t="shared" si="535"/>
        <v>0.18246067255668735</v>
      </c>
      <c r="BM485" s="753">
        <f t="shared" si="535"/>
        <v>0.18530942211427517</v>
      </c>
      <c r="BN485" s="753">
        <f t="shared" si="535"/>
        <v>0.18807574977012162</v>
      </c>
      <c r="BO485" s="753">
        <f t="shared" si="535"/>
        <v>0.19054385945389141</v>
      </c>
      <c r="BP485" s="753">
        <f t="shared" si="535"/>
        <v>0.19266117666298382</v>
      </c>
      <c r="BQ485" s="753">
        <f t="shared" si="535"/>
        <v>0.19442920224703653</v>
      </c>
      <c r="BR485" s="753">
        <f t="shared" si="535"/>
        <v>0.19577284521336455</v>
      </c>
      <c r="BS485" s="753">
        <f t="shared" si="535"/>
        <v>0.1967225516571085</v>
      </c>
      <c r="BT485" s="753">
        <f t="shared" si="535"/>
        <v>0.19735010942281481</v>
      </c>
      <c r="BU485" s="753">
        <f t="shared" si="535"/>
        <v>0.19773290712175676</v>
      </c>
      <c r="BV485" s="753">
        <f t="shared" si="535"/>
        <v>0.19796987695882776</v>
      </c>
      <c r="BW485" s="753">
        <f t="shared" si="535"/>
        <v>0.19812991679737707</v>
      </c>
      <c r="BX485" s="753">
        <f t="shared" si="535"/>
        <v>0.19826121024475796</v>
      </c>
      <c r="BY485" s="753">
        <f t="shared" si="535"/>
        <v>0.19839849303369783</v>
      </c>
      <c r="BZ485" s="753">
        <f t="shared" si="535"/>
        <v>0.19855513748139858</v>
      </c>
      <c r="CA485" s="753">
        <f t="shared" si="535"/>
        <v>0.1987323429084735</v>
      </c>
      <c r="CB485" s="753">
        <f t="shared" si="535"/>
        <v>0.19892543805505183</v>
      </c>
      <c r="CC485" s="753">
        <f t="shared" si="535"/>
        <v>0.19912775969143229</v>
      </c>
      <c r="CD485" s="753">
        <f t="shared" si="535"/>
        <v>0.19933273885187675</v>
      </c>
      <c r="CE485" s="753">
        <f t="shared" si="535"/>
        <v>0.19953525784622456</v>
      </c>
      <c r="CF485" s="753">
        <f t="shared" si="535"/>
        <v>0.19973192165126996</v>
      </c>
      <c r="CG485" s="753">
        <f t="shared" si="535"/>
        <v>0.19992089676208474</v>
      </c>
      <c r="CH485" s="753">
        <f t="shared" si="535"/>
        <v>0.20010162724301073</v>
      </c>
      <c r="CI485" s="753">
        <f t="shared" si="535"/>
        <v>0.2002743851619431</v>
      </c>
      <c r="CJ485" s="753">
        <f t="shared" si="535"/>
        <v>0.20043986636015218</v>
      </c>
      <c r="CK485" s="753">
        <f t="shared" si="535"/>
        <v>0.20059889938755801</v>
      </c>
      <c r="CL485" s="753">
        <f t="shared" si="535"/>
        <v>0.20075226848032526</v>
      </c>
      <c r="CM485" s="753">
        <f t="shared" si="535"/>
        <v>0.20090062545595441</v>
      </c>
      <c r="CN485" s="753">
        <f t="shared" si="535"/>
        <v>0.20104446684068297</v>
      </c>
      <c r="CO485" s="753">
        <f t="shared" si="535"/>
        <v>0.20118414846023533</v>
      </c>
      <c r="CP485" s="753">
        <f t="shared" si="535"/>
        <v>0.20131991685041886</v>
      </c>
      <c r="CQ485" s="753">
        <f t="shared" si="535"/>
        <v>0.2014519449580893</v>
      </c>
      <c r="CR485" s="753">
        <f t="shared" si="535"/>
        <v>0.20158036334362608</v>
      </c>
      <c r="CS485" s="753">
        <f t="shared" si="535"/>
        <v>0.20170528304856342</v>
      </c>
      <c r="CT485" s="753">
        <f t="shared" si="535"/>
        <v>0.20182680982311285</v>
      </c>
      <c r="CU485" s="753">
        <f t="shared" si="535"/>
        <v>0.20194505124384343</v>
      </c>
      <c r="CV485" s="753">
        <f t="shared" si="535"/>
        <v>0.20206011883147881</v>
      </c>
      <c r="CW485" s="753">
        <f t="shared" si="535"/>
        <v>0.2021721272257466</v>
      </c>
      <c r="CX485" s="753">
        <f t="shared" si="535"/>
        <v>0.20228119203693279</v>
      </c>
      <c r="CY485" s="753">
        <f t="shared" si="535"/>
        <v>0.202387427461762</v>
      </c>
      <c r="CZ485" s="753">
        <f t="shared" si="535"/>
        <v>0.20249094428880007</v>
      </c>
      <c r="DA485" s="753">
        <f t="shared" si="535"/>
        <v>0.20259184854931833</v>
      </c>
      <c r="DC485" s="729">
        <f t="shared" si="527"/>
        <v>0</v>
      </c>
      <c r="DD485" s="729">
        <f t="shared" si="528"/>
        <v>0.34486345264360513</v>
      </c>
      <c r="DE485" s="729">
        <f t="shared" si="529"/>
        <v>0.23045865449524019</v>
      </c>
      <c r="DF485" s="729">
        <f t="shared" si="530"/>
        <v>0.19442920224703653</v>
      </c>
      <c r="DG485" s="729">
        <f t="shared" si="531"/>
        <v>0.19912775969143229</v>
      </c>
      <c r="DH485" s="729">
        <f t="shared" si="532"/>
        <v>0.20118414846023533</v>
      </c>
      <c r="DI485" s="729">
        <f t="shared" si="533"/>
        <v>0.20259184854931833</v>
      </c>
    </row>
    <row r="486" spans="4:113" outlineLevel="2">
      <c r="E486" s="230" t="s">
        <v>814</v>
      </c>
      <c r="F486" s="229"/>
      <c r="I486" s="609" t="s">
        <v>812</v>
      </c>
      <c r="O486" s="696"/>
      <c r="P486" s="696"/>
      <c r="Q486" s="696"/>
      <c r="R486" s="696"/>
      <c r="S486" s="696"/>
      <c r="T486" s="696"/>
      <c r="U486" s="696"/>
      <c r="V486" s="696"/>
      <c r="W486" s="696"/>
      <c r="X486" s="696"/>
      <c r="Y486" s="696"/>
      <c r="Z486" s="697"/>
      <c r="AA486" s="697"/>
      <c r="AB486" s="697"/>
      <c r="AC486" s="697"/>
      <c r="AD486" s="697"/>
      <c r="AE486" s="697"/>
      <c r="AF486" s="697"/>
      <c r="AG486" s="697"/>
      <c r="AH486" s="697"/>
      <c r="AI486" s="697"/>
      <c r="AJ486" s="697"/>
      <c r="AK486" s="730">
        <f t="shared" ref="AK486:AS486" si="536">AK468+AJ486</f>
        <v>0</v>
      </c>
      <c r="AL486" s="730">
        <f t="shared" si="536"/>
        <v>-1.4276600000000001E-4</v>
      </c>
      <c r="AM486" s="730">
        <f t="shared" si="536"/>
        <v>-1.3166763000000001E-2</v>
      </c>
      <c r="AN486" s="730">
        <f t="shared" si="536"/>
        <v>-0.1003201</v>
      </c>
      <c r="AO486" s="730">
        <f t="shared" si="536"/>
        <v>-0.20886843999999999</v>
      </c>
      <c r="AP486" s="730">
        <f t="shared" si="536"/>
        <v>-0.33817909899999998</v>
      </c>
      <c r="AQ486" s="730">
        <f t="shared" si="536"/>
        <v>-0.50291757221565547</v>
      </c>
      <c r="AR486" s="730">
        <f t="shared" si="536"/>
        <v>-0.73231298773079256</v>
      </c>
      <c r="AS486" s="730">
        <f t="shared" si="536"/>
        <v>-1.065140295424714</v>
      </c>
      <c r="AT486" s="730">
        <f>AT468</f>
        <v>-0.48866601777082896</v>
      </c>
      <c r="AU486" s="730">
        <f t="shared" ref="AU486:BE486" si="537">AU468+AT486</f>
        <v>-1.3375441091916342</v>
      </c>
      <c r="AV486" s="730">
        <f t="shared" si="537"/>
        <v>-2.4883489943618358</v>
      </c>
      <c r="AW486" s="730">
        <f t="shared" si="537"/>
        <v>-3.7948933564385392</v>
      </c>
      <c r="AX486" s="730">
        <f t="shared" si="537"/>
        <v>-5.303987944441479</v>
      </c>
      <c r="AY486" s="730">
        <f t="shared" si="537"/>
        <v>-6.9708521297729789</v>
      </c>
      <c r="AZ486" s="730">
        <f t="shared" si="537"/>
        <v>-8.4817559948787729</v>
      </c>
      <c r="BA486" s="730">
        <f t="shared" si="537"/>
        <v>-10.044902929396692</v>
      </c>
      <c r="BB486" s="730">
        <f t="shared" si="537"/>
        <v>-11.954530997864374</v>
      </c>
      <c r="BC486" s="730">
        <f t="shared" si="537"/>
        <v>-14.065704631922101</v>
      </c>
      <c r="BD486" s="730">
        <f t="shared" si="537"/>
        <v>-16.306342993402918</v>
      </c>
      <c r="BE486" s="730">
        <f t="shared" si="537"/>
        <v>-18.607659102231025</v>
      </c>
      <c r="BF486" s="730">
        <f>BF468</f>
        <v>-2.319798454389586</v>
      </c>
      <c r="BG486" s="730">
        <f t="shared" ref="BG486:BQ486" si="538">BG468+BF486</f>
        <v>-4.6924719116016522</v>
      </c>
      <c r="BH486" s="730">
        <f t="shared" si="538"/>
        <v>-7.1717406621904187</v>
      </c>
      <c r="BI486" s="730">
        <f t="shared" si="538"/>
        <v>-9.6162431277396543</v>
      </c>
      <c r="BJ486" s="730">
        <f t="shared" si="538"/>
        <v>-12.020876416958775</v>
      </c>
      <c r="BK486" s="730">
        <f t="shared" si="538"/>
        <v>-14.431491869839473</v>
      </c>
      <c r="BL486" s="730">
        <f t="shared" si="538"/>
        <v>-16.810277370538003</v>
      </c>
      <c r="BM486" s="730">
        <f t="shared" si="538"/>
        <v>-19.143642172964281</v>
      </c>
      <c r="BN486" s="730">
        <f t="shared" si="538"/>
        <v>-21.630718244053142</v>
      </c>
      <c r="BO486" s="730">
        <f t="shared" si="538"/>
        <v>-24.262886902223368</v>
      </c>
      <c r="BP486" s="730">
        <f t="shared" si="538"/>
        <v>-27.032432872630686</v>
      </c>
      <c r="BQ486" s="730">
        <f t="shared" si="538"/>
        <v>-29.932624620007658</v>
      </c>
      <c r="BR486" s="730">
        <f>BR468</f>
        <v>-3.0230374068115746</v>
      </c>
      <c r="BS486" s="730">
        <f t="shared" ref="BS486:CC486" si="539">BS468+BR486</f>
        <v>-6.1600863389810074</v>
      </c>
      <c r="BT486" s="730">
        <f t="shared" si="539"/>
        <v>-9.402598401325541</v>
      </c>
      <c r="BU486" s="730">
        <f t="shared" si="539"/>
        <v>-12.741696148184568</v>
      </c>
      <c r="BV486" s="730">
        <f t="shared" si="539"/>
        <v>-16.168611696593501</v>
      </c>
      <c r="BW486" s="730">
        <f t="shared" si="539"/>
        <v>-19.677902505407534</v>
      </c>
      <c r="BX486" s="730">
        <f t="shared" si="539"/>
        <v>-23.265791388227179</v>
      </c>
      <c r="BY486" s="730">
        <f t="shared" si="539"/>
        <v>-26.930032269997216</v>
      </c>
      <c r="BZ486" s="730">
        <f t="shared" si="539"/>
        <v>-30.670294774240716</v>
      </c>
      <c r="CA486" s="730">
        <f t="shared" si="539"/>
        <v>-34.48712886348202</v>
      </c>
      <c r="CB486" s="730">
        <f t="shared" si="539"/>
        <v>-38.381400192504096</v>
      </c>
      <c r="CC486" s="730">
        <f t="shared" si="539"/>
        <v>-42.353995307027233</v>
      </c>
      <c r="CD486" s="730">
        <f>CD468</f>
        <v>-4.0516663922371876</v>
      </c>
      <c r="CE486" s="730">
        <f t="shared" ref="CE486:CO486" si="540">CE468+CD486</f>
        <v>-8.1829313968235446</v>
      </c>
      <c r="CF486" s="730">
        <f t="shared" si="540"/>
        <v>-12.394114777530376</v>
      </c>
      <c r="CG486" s="730">
        <f t="shared" si="540"/>
        <v>-16.685363973966677</v>
      </c>
      <c r="CH486" s="730">
        <f t="shared" si="540"/>
        <v>-21.056698881105852</v>
      </c>
      <c r="CI486" s="730">
        <f t="shared" si="540"/>
        <v>-25.508067131393531</v>
      </c>
      <c r="CJ486" s="730">
        <f t="shared" si="540"/>
        <v>-30.039387782142192</v>
      </c>
      <c r="CK486" s="730">
        <f t="shared" si="540"/>
        <v>-34.650579518608929</v>
      </c>
      <c r="CL486" s="730">
        <f t="shared" si="540"/>
        <v>-39.341575771772156</v>
      </c>
      <c r="CM486" s="730">
        <f t="shared" si="540"/>
        <v>-44.112330283297737</v>
      </c>
      <c r="CN486" s="730">
        <f t="shared" si="540"/>
        <v>-48.962816311881014</v>
      </c>
      <c r="CO486" s="730">
        <f t="shared" si="540"/>
        <v>-53.893022712002427</v>
      </c>
      <c r="CP486" s="730">
        <f>CP468</f>
        <v>-5.0099262611779443</v>
      </c>
      <c r="CQ486" s="730">
        <f t="shared" ref="CQ486:DA486" si="541">CQ468+CP486</f>
        <v>-10.099577767928775</v>
      </c>
      <c r="CR486" s="730">
        <f t="shared" si="541"/>
        <v>-15.268962105111136</v>
      </c>
      <c r="CS486" s="730">
        <f t="shared" si="541"/>
        <v>-20.518086644402864</v>
      </c>
      <c r="CT486" s="730">
        <f t="shared" si="541"/>
        <v>-25.846957275691057</v>
      </c>
      <c r="CU486" s="730">
        <f t="shared" si="541"/>
        <v>-31.255577992059749</v>
      </c>
      <c r="CV486" s="730">
        <f t="shared" si="541"/>
        <v>-36.743951015034717</v>
      </c>
      <c r="CW486" s="730">
        <f t="shared" si="541"/>
        <v>-42.312077189121837</v>
      </c>
      <c r="CX486" s="730">
        <f t="shared" si="541"/>
        <v>-47.959956451033641</v>
      </c>
      <c r="CY486" s="730">
        <f t="shared" si="541"/>
        <v>-53.687588254248141</v>
      </c>
      <c r="CZ486" s="730">
        <f t="shared" si="541"/>
        <v>-59.494971890320798</v>
      </c>
      <c r="DA486" s="730">
        <f t="shared" si="541"/>
        <v>-65.382106693967174</v>
      </c>
      <c r="DC486" s="12">
        <f t="shared" si="527"/>
        <v>0</v>
      </c>
      <c r="DD486" s="12">
        <f t="shared" si="528"/>
        <v>-1.065140295424714</v>
      </c>
      <c r="DE486" s="12">
        <f t="shared" si="529"/>
        <v>-18.607659102231025</v>
      </c>
      <c r="DF486" s="12">
        <f t="shared" si="530"/>
        <v>-29.932624620007658</v>
      </c>
      <c r="DG486" s="12">
        <f t="shared" si="531"/>
        <v>-42.353995307027233</v>
      </c>
      <c r="DH486" s="12">
        <f t="shared" si="532"/>
        <v>-53.893022712002427</v>
      </c>
      <c r="DI486" s="12">
        <f t="shared" si="533"/>
        <v>-65.382106693967174</v>
      </c>
    </row>
    <row r="487" spans="4:113" outlineLevel="2">
      <c r="E487" s="230" t="s">
        <v>815</v>
      </c>
      <c r="F487" s="229"/>
      <c r="I487" s="609" t="s">
        <v>812</v>
      </c>
      <c r="O487" s="696"/>
      <c r="P487" s="696"/>
      <c r="Q487" s="696"/>
      <c r="R487" s="696"/>
      <c r="S487" s="696"/>
      <c r="T487" s="696"/>
      <c r="U487" s="696"/>
      <c r="V487" s="696"/>
      <c r="W487" s="696"/>
      <c r="X487" s="696"/>
      <c r="Y487" s="696"/>
      <c r="Z487" s="697"/>
      <c r="AA487" s="697"/>
      <c r="AB487" s="697"/>
      <c r="AC487" s="697"/>
      <c r="AD487" s="697"/>
      <c r="AE487" s="697"/>
      <c r="AF487" s="697"/>
      <c r="AG487" s="697"/>
      <c r="AH487" s="697"/>
      <c r="AI487" s="697"/>
      <c r="AJ487" s="697"/>
      <c r="AK487" s="697">
        <f>AK486/AVERAGE($AJ446:AK446)</f>
        <v>0</v>
      </c>
      <c r="AL487" s="697">
        <f>AL486/AVERAGE($AJ446:AL446)</f>
        <v>-3.0012280479188482E-4</v>
      </c>
      <c r="AM487" s="697">
        <f>AM486/AVERAGE($AJ446:AM446)</f>
        <v>-1.0582131773500088E-2</v>
      </c>
      <c r="AN487" s="697">
        <f>AN486/AVERAGE($AJ446:AN446)</f>
        <v>-4.292974349684308E-2</v>
      </c>
      <c r="AO487" s="697">
        <f>AO486/AVERAGE($AJ446:AO446)</f>
        <v>-5.8018551343100987E-2</v>
      </c>
      <c r="AP487" s="697">
        <f>AP486/AVERAGE($AJ446:AP446)</f>
        <v>-6.9447743689008246E-2</v>
      </c>
      <c r="AQ487" s="697">
        <f>AQ486/AVERAGE($AJ446:AQ446)</f>
        <v>-8.0053106117442027E-2</v>
      </c>
      <c r="AR487" s="697">
        <f>AR486/AVERAGE($AJ446:AR446)</f>
        <v>-9.9268547591315523E-2</v>
      </c>
      <c r="AS487" s="697">
        <f>AS486/AVERAGE($AJ446:AS446)</f>
        <v>-0.12409932222884509</v>
      </c>
      <c r="AT487" s="697">
        <f>AT486/AVERAGE($AS446:AT446)</f>
        <v>-2.2830364120070456E-2</v>
      </c>
      <c r="AU487" s="697">
        <f>AU486/AVERAGE($AS446:AU446)</f>
        <v>-5.5463580912397829E-2</v>
      </c>
      <c r="AV487" s="697">
        <f>AV486/AVERAGE($AS446:AV446)</f>
        <v>-9.3940622772658966E-2</v>
      </c>
      <c r="AW487" s="697">
        <f>AW486/AVERAGE($AS446:AW446)</f>
        <v>-0.13245695194566132</v>
      </c>
      <c r="AX487" s="697">
        <f>AX486/AVERAGE($AS446:AX446)</f>
        <v>-0.17262809176660798</v>
      </c>
      <c r="AY487" s="697">
        <f>AY486/AVERAGE($AS446:AY446)</f>
        <v>-0.21308868186848173</v>
      </c>
      <c r="AZ487" s="697">
        <f>AZ486/AVERAGE($AS446:AZ446)</f>
        <v>-0.24439015336378872</v>
      </c>
      <c r="BA487" s="697">
        <f>BA486/AVERAGE($AS446:BA446)</f>
        <v>-0.27352915420469165</v>
      </c>
      <c r="BB487" s="697">
        <f>BB486/AVERAGE($AS446:BB446)</f>
        <v>-0.30879480725512176</v>
      </c>
      <c r="BC487" s="697">
        <f>BC486/AVERAGE($AS446:BC446)</f>
        <v>-0.34578033184240864</v>
      </c>
      <c r="BD487" s="697">
        <f>BD486/AVERAGE($AS446:BD446)</f>
        <v>-0.3825160516321382</v>
      </c>
      <c r="BE487" s="697">
        <f>BE486/AVERAGE($AS446:BE446)</f>
        <v>-0.41735005438759254</v>
      </c>
      <c r="BF487" s="697">
        <f>BF486/AVERAGE($BE446:BF446)</f>
        <v>-3.3128259102207853E-2</v>
      </c>
      <c r="BG487" s="697">
        <f>BG486/AVERAGE($BE446:BG446)</f>
        <v>-6.5172113883975064E-2</v>
      </c>
      <c r="BH487" s="697">
        <f>BH486/AVERAGE($BE446:BH446)</f>
        <v>-9.6999999281069171E-2</v>
      </c>
      <c r="BI487" s="697">
        <f>BI486/AVERAGE($BE446:BI446)</f>
        <v>-0.12679779647088046</v>
      </c>
      <c r="BJ487" s="697">
        <f>BJ486/AVERAGE($BE446:BJ446)</f>
        <v>-0.15464074973809872</v>
      </c>
      <c r="BK487" s="697">
        <f>BK486/AVERAGE($BE446:BK446)</f>
        <v>-0.18126854877699669</v>
      </c>
      <c r="BL487" s="697">
        <f>BL486/AVERAGE($BE446:BL446)</f>
        <v>-0.20635989126198551</v>
      </c>
      <c r="BM487" s="697">
        <f>BM486/AVERAGE($BE446:BM446)</f>
        <v>-0.22982868926838745</v>
      </c>
      <c r="BN487" s="697">
        <f>BN486/AVERAGE($BE446:BN446)</f>
        <v>-0.25423098441935227</v>
      </c>
      <c r="BO487" s="697">
        <f>BO486/AVERAGE($BE446:BO446)</f>
        <v>-0.27948395032318823</v>
      </c>
      <c r="BP487" s="697">
        <f>BP486/AVERAGE($BE446:BP446)</f>
        <v>-0.30550612221941903</v>
      </c>
      <c r="BQ487" s="697">
        <f>BQ486/AVERAGE($BE446:BQ446)</f>
        <v>-0.33222664740767921</v>
      </c>
      <c r="BR487" s="697">
        <f>BR486/AVERAGE($BQ446:BR446)</f>
        <v>-2.7307312027886086E-2</v>
      </c>
      <c r="BS487" s="697">
        <f>BS486/AVERAGE($BQ446:BS446)</f>
        <v>-5.5028057819281273E-2</v>
      </c>
      <c r="BT487" s="697">
        <f>BT486/AVERAGE($BQ446:BT446)</f>
        <v>-8.3077425684259715E-2</v>
      </c>
      <c r="BU487" s="697">
        <f>BU486/AVERAGE($BQ446:BU446)</f>
        <v>-0.11136770412725155</v>
      </c>
      <c r="BV487" s="697">
        <f>BV486/AVERAGE($BQ446:BV446)</f>
        <v>-0.13981317753947439</v>
      </c>
      <c r="BW487" s="697">
        <f>BW486/AVERAGE($BQ446:BW446)</f>
        <v>-0.16835946385002376</v>
      </c>
      <c r="BX487" s="697">
        <f>BX486/AVERAGE($BQ446:BX446)</f>
        <v>-0.19696863863855299</v>
      </c>
      <c r="BY487" s="697">
        <f>BY486/AVERAGE($BQ446:BY446)</f>
        <v>-0.22561749028563458</v>
      </c>
      <c r="BZ487" s="697">
        <f>BZ486/AVERAGE($BQ446:BZ446)</f>
        <v>-0.25430039694192624</v>
      </c>
      <c r="CA487" s="697">
        <f>CA486/AVERAGE($BQ446:CA446)</f>
        <v>-0.28301990964369739</v>
      </c>
      <c r="CB487" s="697">
        <f>CB486/AVERAGE($BQ446:CB446)</f>
        <v>-0.31178157463454509</v>
      </c>
      <c r="CC487" s="697">
        <f>CC486/AVERAGE($BQ446:CC446)</f>
        <v>-0.34059122077706527</v>
      </c>
      <c r="CD487" s="697">
        <f>CD486/AVERAGE($CC446:CD446)</f>
        <v>-2.8812336105454937E-2</v>
      </c>
      <c r="CE487" s="697">
        <f>CE486/AVERAGE($CC446:CE446)</f>
        <v>-5.7674879905603188E-2</v>
      </c>
      <c r="CF487" s="697">
        <f>CF486/AVERAGE($CC446:CF446)</f>
        <v>-8.658878089909762E-2</v>
      </c>
      <c r="CG487" s="697">
        <f>CG486/AVERAGE($CC446:CG446)</f>
        <v>-0.11555390560547991</v>
      </c>
      <c r="CH487" s="697">
        <f>CH486/AVERAGE($CC446:CH446)</f>
        <v>-0.14456918900574584</v>
      </c>
      <c r="CI487" s="697">
        <f>CI486/AVERAGE($CC446:CI446)</f>
        <v>-0.17363305568138748</v>
      </c>
      <c r="CJ487" s="697">
        <f>CJ486/AVERAGE($CC446:CJ446)</f>
        <v>-0.20274374946417156</v>
      </c>
      <c r="CK487" s="697">
        <f>CK486/AVERAGE($CC446:CK446)</f>
        <v>-0.23189954444350586</v>
      </c>
      <c r="CL487" s="697">
        <f>CL486/AVERAGE($CC446:CL446)</f>
        <v>-0.26109885656956794</v>
      </c>
      <c r="CM487" s="697">
        <f>CM486/AVERAGE($CC446:CM446)</f>
        <v>-0.29034028354034858</v>
      </c>
      <c r="CN487" s="697">
        <f>CN486/AVERAGE($CC446:CN446)</f>
        <v>-0.31962259774980595</v>
      </c>
      <c r="CO487" s="697">
        <f>CO486/AVERAGE($CC446:CO446)</f>
        <v>-0.34894471648677505</v>
      </c>
      <c r="CP487" s="697">
        <f>CP486/AVERAGE($CC446:CP446)</f>
        <v>-3.2176376878737832E-2</v>
      </c>
      <c r="CQ487" s="697">
        <f>CQ486/AVERAGE($CC446:CQ446)</f>
        <v>-6.434562258469663E-2</v>
      </c>
      <c r="CR487" s="697">
        <f>CR486/AVERAGE($CC446:CR446)</f>
        <v>-9.6507952596921062E-2</v>
      </c>
      <c r="CS487" s="697">
        <f>CS486/AVERAGE($CC446:CS446)</f>
        <v>-0.12866357509231008</v>
      </c>
      <c r="CT487" s="697">
        <f>CT486/AVERAGE($CC446:CT446)</f>
        <v>-0.16081268336228408</v>
      </c>
      <c r="CU487" s="697">
        <f>CU486/AVERAGE($CC446:CU446)</f>
        <v>-0.19295545359406693</v>
      </c>
      <c r="CV487" s="697">
        <f>CV486/AVERAGE($CC446:CV446)</f>
        <v>-0.22509204601640864</v>
      </c>
      <c r="CW487" s="697">
        <f>CW486/AVERAGE($CC446:CW446)</f>
        <v>-0.2572226076832973</v>
      </c>
      <c r="CX487" s="697">
        <f>CX486/AVERAGE($CC446:CX446)</f>
        <v>-0.28934727566583385</v>
      </c>
      <c r="CY487" s="697">
        <f>CY486/AVERAGE($CC446:CY446)</f>
        <v>-0.32146617990954995</v>
      </c>
      <c r="CZ487" s="697">
        <f>CZ486/AVERAGE($CC446:CZ446)</f>
        <v>-0.35357944540429059</v>
      </c>
      <c r="DA487" s="697">
        <f>DA486/AVERAGE($CC446:DA446)</f>
        <v>-0.38568719360149467</v>
      </c>
      <c r="DC487" s="729">
        <f t="shared" si="527"/>
        <v>0</v>
      </c>
      <c r="DD487" s="729">
        <f t="shared" si="528"/>
        <v>-0.12409932222884509</v>
      </c>
      <c r="DE487" s="729">
        <f t="shared" si="529"/>
        <v>-0.41735005438759254</v>
      </c>
      <c r="DF487" s="729">
        <f t="shared" si="530"/>
        <v>-0.33222664740767921</v>
      </c>
      <c r="DG487" s="729">
        <f t="shared" si="531"/>
        <v>-0.34059122077706527</v>
      </c>
      <c r="DH487" s="729">
        <f t="shared" si="532"/>
        <v>-0.34894471648677505</v>
      </c>
      <c r="DI487" s="729">
        <f t="shared" si="533"/>
        <v>-0.38568719360149467</v>
      </c>
    </row>
    <row r="488" spans="4:113" outlineLevel="1">
      <c r="F488" s="698"/>
      <c r="O488" s="696"/>
      <c r="P488" s="696"/>
      <c r="Q488" s="696"/>
      <c r="R488" s="696"/>
      <c r="S488" s="696"/>
      <c r="T488" s="696"/>
      <c r="U488" s="696"/>
      <c r="V488" s="696"/>
      <c r="W488" s="696"/>
      <c r="X488" s="696"/>
      <c r="Y488" s="696"/>
      <c r="Z488" s="697"/>
      <c r="AA488" s="697"/>
      <c r="AB488" s="697"/>
      <c r="AC488" s="697"/>
      <c r="AD488" s="697"/>
      <c r="AE488" s="697"/>
      <c r="AF488" s="697"/>
      <c r="AG488" s="697"/>
      <c r="AH488" s="697"/>
      <c r="AI488" s="697"/>
      <c r="AJ488" s="697"/>
      <c r="AK488" s="697"/>
      <c r="AL488" s="697"/>
      <c r="AM488" s="697"/>
      <c r="AN488" s="697"/>
      <c r="AO488" s="697"/>
      <c r="AP488" s="697"/>
      <c r="AQ488" s="697"/>
      <c r="AR488" s="697"/>
      <c r="AS488" s="697"/>
      <c r="AT488" s="697"/>
      <c r="AU488" s="697"/>
      <c r="AV488" s="697"/>
      <c r="AW488" s="697"/>
      <c r="AX488" s="697"/>
      <c r="AY488" s="697"/>
      <c r="AZ488" s="697"/>
      <c r="BA488" s="697"/>
      <c r="BB488" s="697"/>
      <c r="BC488" s="697"/>
      <c r="BD488" s="697"/>
      <c r="BE488" s="697"/>
      <c r="BF488" s="697"/>
      <c r="BG488" s="697"/>
      <c r="BH488" s="697"/>
      <c r="BI488" s="697"/>
      <c r="BJ488" s="697"/>
      <c r="BK488" s="697"/>
      <c r="BL488" s="697"/>
      <c r="BM488" s="697"/>
      <c r="BN488" s="697"/>
      <c r="BO488" s="697"/>
      <c r="BP488" s="697"/>
      <c r="BQ488" s="697"/>
      <c r="BR488" s="697"/>
      <c r="BS488" s="697"/>
      <c r="BT488" s="697"/>
      <c r="BU488" s="697"/>
      <c r="BV488" s="697"/>
      <c r="BW488" s="697"/>
      <c r="BX488" s="697"/>
      <c r="BY488" s="697"/>
      <c r="BZ488" s="697"/>
      <c r="CA488" s="697"/>
      <c r="CB488" s="697"/>
      <c r="CC488" s="697"/>
      <c r="CD488" s="697"/>
      <c r="CE488" s="697"/>
      <c r="CF488" s="697"/>
      <c r="CG488" s="697"/>
      <c r="CH488" s="697"/>
      <c r="CI488" s="697"/>
      <c r="CJ488" s="697"/>
      <c r="CK488" s="697"/>
      <c r="CL488" s="697"/>
      <c r="CM488" s="697"/>
      <c r="CN488" s="697"/>
      <c r="CO488" s="697"/>
      <c r="CP488" s="697"/>
      <c r="CQ488" s="697"/>
      <c r="CR488" s="697"/>
      <c r="CS488" s="697"/>
      <c r="CT488" s="697"/>
      <c r="CU488" s="697"/>
      <c r="CV488" s="697"/>
      <c r="CW488" s="697"/>
      <c r="CX488" s="697"/>
      <c r="CY488" s="697"/>
      <c r="CZ488" s="697"/>
      <c r="DA488" s="697"/>
      <c r="DC488" s="14"/>
      <c r="DD488" s="14"/>
      <c r="DE488" s="14"/>
      <c r="DF488" s="14"/>
      <c r="DG488" s="14"/>
      <c r="DH488" s="14"/>
    </row>
    <row r="489" spans="4:113" outlineLevel="1">
      <c r="D489" s="734"/>
      <c r="E489" s="735" t="s">
        <v>850</v>
      </c>
      <c r="F489" s="734"/>
      <c r="G489" s="734"/>
      <c r="H489" s="736"/>
      <c r="I489" s="736"/>
      <c r="AS489" s="729"/>
      <c r="DC489" s="12"/>
      <c r="DD489" s="12"/>
      <c r="DE489" s="12"/>
      <c r="DF489" s="12"/>
      <c r="DG489" s="12"/>
      <c r="DH489" s="12"/>
    </row>
    <row r="490" spans="4:113" outlineLevel="2">
      <c r="E490" s="698"/>
      <c r="F490" s="126" t="s">
        <v>845</v>
      </c>
      <c r="I490" s="699" t="s">
        <v>743</v>
      </c>
      <c r="AK490" s="754"/>
      <c r="AL490" s="754"/>
      <c r="AM490" s="754"/>
      <c r="AN490" s="754"/>
      <c r="AO490" s="754"/>
      <c r="AP490" s="754"/>
      <c r="AQ490" s="754"/>
      <c r="AR490" s="755">
        <v>0.93799999999999994</v>
      </c>
      <c r="AS490" s="755">
        <v>1.875</v>
      </c>
      <c r="AT490" s="710">
        <f>AS490+($BE490-$AS490)/12</f>
        <v>1.9520833333333334</v>
      </c>
      <c r="AU490" s="710">
        <f t="shared" ref="AU490:BD490" si="542">AT490+($BE490-$AS490)/12</f>
        <v>2.0291666666666668</v>
      </c>
      <c r="AV490" s="710">
        <f t="shared" si="542"/>
        <v>2.1062500000000002</v>
      </c>
      <c r="AW490" s="710">
        <f t="shared" si="542"/>
        <v>2.1833333333333336</v>
      </c>
      <c r="AX490" s="710">
        <f t="shared" si="542"/>
        <v>2.260416666666667</v>
      </c>
      <c r="AY490" s="710">
        <f t="shared" si="542"/>
        <v>2.3375000000000004</v>
      </c>
      <c r="AZ490" s="710">
        <f t="shared" si="542"/>
        <v>2.4145833333333337</v>
      </c>
      <c r="BA490" s="710">
        <f t="shared" si="542"/>
        <v>2.4916666666666671</v>
      </c>
      <c r="BB490" s="710">
        <f t="shared" si="542"/>
        <v>2.5687500000000005</v>
      </c>
      <c r="BC490" s="710">
        <f t="shared" si="542"/>
        <v>2.6458333333333339</v>
      </c>
      <c r="BD490" s="710">
        <f t="shared" si="542"/>
        <v>2.7229166666666673</v>
      </c>
      <c r="BE490" s="755">
        <v>2.8</v>
      </c>
      <c r="BF490" s="710">
        <f>BE490+($BQ490-$BE490)/12</f>
        <v>2.9166666666666665</v>
      </c>
      <c r="BG490" s="710">
        <f t="shared" ref="BG490:BP490" si="543">BF490+($BQ490-$BE490)/12</f>
        <v>3.0333333333333332</v>
      </c>
      <c r="BH490" s="710">
        <f t="shared" si="543"/>
        <v>3.15</v>
      </c>
      <c r="BI490" s="710">
        <f t="shared" si="543"/>
        <v>3.2666666666666666</v>
      </c>
      <c r="BJ490" s="710">
        <f t="shared" si="543"/>
        <v>3.3833333333333333</v>
      </c>
      <c r="BK490" s="710">
        <f t="shared" si="543"/>
        <v>3.5</v>
      </c>
      <c r="BL490" s="710">
        <f t="shared" si="543"/>
        <v>3.6166666666666667</v>
      </c>
      <c r="BM490" s="710">
        <f t="shared" si="543"/>
        <v>3.7333333333333334</v>
      </c>
      <c r="BN490" s="710">
        <f t="shared" si="543"/>
        <v>3.85</v>
      </c>
      <c r="BO490" s="710">
        <f t="shared" si="543"/>
        <v>3.9666666666666668</v>
      </c>
      <c r="BP490" s="710">
        <f t="shared" si="543"/>
        <v>4.083333333333333</v>
      </c>
      <c r="BQ490" s="755">
        <f>BE490*1.5</f>
        <v>4.1999999999999993</v>
      </c>
      <c r="BR490" s="710">
        <f>BQ490+SUM($CC490-$BQ490)/12</f>
        <v>4.2666666666666657</v>
      </c>
      <c r="BS490" s="710">
        <f t="shared" ref="BS490:CB490" si="544">BR490+SUM($CC490-$BQ490)/12</f>
        <v>4.3333333333333321</v>
      </c>
      <c r="BT490" s="710">
        <f t="shared" si="544"/>
        <v>4.3999999999999986</v>
      </c>
      <c r="BU490" s="710">
        <f t="shared" si="544"/>
        <v>4.466666666666665</v>
      </c>
      <c r="BV490" s="710">
        <f t="shared" si="544"/>
        <v>4.5333333333333314</v>
      </c>
      <c r="BW490" s="710">
        <f t="shared" si="544"/>
        <v>4.5999999999999979</v>
      </c>
      <c r="BX490" s="710">
        <f t="shared" si="544"/>
        <v>4.6666666666666643</v>
      </c>
      <c r="BY490" s="710">
        <f t="shared" si="544"/>
        <v>4.7333333333333307</v>
      </c>
      <c r="BZ490" s="710">
        <f t="shared" si="544"/>
        <v>4.7999999999999972</v>
      </c>
      <c r="CA490" s="710">
        <f t="shared" si="544"/>
        <v>4.8666666666666636</v>
      </c>
      <c r="CB490" s="710">
        <f t="shared" si="544"/>
        <v>4.93333333333333</v>
      </c>
      <c r="CC490" s="755">
        <v>5</v>
      </c>
      <c r="CD490" s="710">
        <f>CC490+($CO490-$CC490)/12</f>
        <v>5</v>
      </c>
      <c r="CE490" s="710">
        <f t="shared" ref="CE490:CN490" si="545">CD490+($CO490-$CC490)/12</f>
        <v>5</v>
      </c>
      <c r="CF490" s="710">
        <f t="shared" si="545"/>
        <v>5</v>
      </c>
      <c r="CG490" s="710">
        <f t="shared" si="545"/>
        <v>5</v>
      </c>
      <c r="CH490" s="710">
        <f t="shared" si="545"/>
        <v>5</v>
      </c>
      <c r="CI490" s="710">
        <f t="shared" si="545"/>
        <v>5</v>
      </c>
      <c r="CJ490" s="710">
        <f t="shared" si="545"/>
        <v>5</v>
      </c>
      <c r="CK490" s="710">
        <f t="shared" si="545"/>
        <v>5</v>
      </c>
      <c r="CL490" s="710">
        <f t="shared" si="545"/>
        <v>5</v>
      </c>
      <c r="CM490" s="710">
        <f t="shared" si="545"/>
        <v>5</v>
      </c>
      <c r="CN490" s="710">
        <f t="shared" si="545"/>
        <v>5</v>
      </c>
      <c r="CO490" s="755">
        <v>5</v>
      </c>
      <c r="CP490" s="710">
        <f>CO490+($DA490-$CO490)/12</f>
        <v>5</v>
      </c>
      <c r="CQ490" s="710">
        <f t="shared" ref="CQ490:CZ490" si="546">CP490+($DA490-$CO490)/12</f>
        <v>5</v>
      </c>
      <c r="CR490" s="710">
        <f t="shared" si="546"/>
        <v>5</v>
      </c>
      <c r="CS490" s="710">
        <f t="shared" si="546"/>
        <v>5</v>
      </c>
      <c r="CT490" s="710">
        <f t="shared" si="546"/>
        <v>5</v>
      </c>
      <c r="CU490" s="710">
        <f t="shared" si="546"/>
        <v>5</v>
      </c>
      <c r="CV490" s="710">
        <f t="shared" si="546"/>
        <v>5</v>
      </c>
      <c r="CW490" s="710">
        <f t="shared" si="546"/>
        <v>5</v>
      </c>
      <c r="CX490" s="710">
        <f t="shared" si="546"/>
        <v>5</v>
      </c>
      <c r="CY490" s="710">
        <f t="shared" si="546"/>
        <v>5</v>
      </c>
      <c r="CZ490" s="710">
        <f t="shared" si="546"/>
        <v>5</v>
      </c>
      <c r="DA490" s="755">
        <v>5</v>
      </c>
      <c r="DC490" s="12">
        <f>SUM(V490:AG490)</f>
        <v>0</v>
      </c>
      <c r="DD490" s="12">
        <f>SUM(AH490:AS490)</f>
        <v>2.8129999999999997</v>
      </c>
      <c r="DE490" s="12">
        <f>SUM(AT490:BE490)</f>
        <v>28.512500000000003</v>
      </c>
      <c r="DF490" s="12">
        <f>SUM(BF490:BQ490)</f>
        <v>42.7</v>
      </c>
      <c r="DG490" s="12">
        <f>SUM(BR490:CC490)</f>
        <v>55.599999999999973</v>
      </c>
      <c r="DH490" s="12">
        <f>SUM(CD490:CO490)</f>
        <v>60</v>
      </c>
      <c r="DI490" s="12">
        <f>SUM(CP490:DA490)</f>
        <v>60</v>
      </c>
    </row>
    <row r="491" spans="4:113" outlineLevel="2">
      <c r="E491" s="698"/>
      <c r="F491" s="126" t="s">
        <v>194</v>
      </c>
      <c r="I491" s="699" t="s">
        <v>743</v>
      </c>
      <c r="AK491" s="756"/>
      <c r="AL491" s="756"/>
      <c r="AM491" s="756"/>
      <c r="AN491" s="756"/>
      <c r="AO491" s="756"/>
      <c r="AP491" s="756"/>
      <c r="AQ491" s="756"/>
      <c r="AR491" s="756">
        <f t="shared" ref="AR491:DA491" si="547">AQ491+AR490</f>
        <v>0.93799999999999994</v>
      </c>
      <c r="AS491" s="756">
        <f t="shared" si="547"/>
        <v>2.8129999999999997</v>
      </c>
      <c r="AT491" s="756">
        <f t="shared" si="547"/>
        <v>4.7650833333333331</v>
      </c>
      <c r="AU491" s="756">
        <f t="shared" si="547"/>
        <v>6.7942499999999999</v>
      </c>
      <c r="AV491" s="756">
        <f t="shared" si="547"/>
        <v>8.900500000000001</v>
      </c>
      <c r="AW491" s="756">
        <f t="shared" si="547"/>
        <v>11.083833333333335</v>
      </c>
      <c r="AX491" s="756">
        <f t="shared" si="547"/>
        <v>13.344250000000002</v>
      </c>
      <c r="AY491" s="756">
        <f t="shared" si="547"/>
        <v>15.681750000000003</v>
      </c>
      <c r="AZ491" s="756">
        <f t="shared" si="547"/>
        <v>18.096333333333337</v>
      </c>
      <c r="BA491" s="756">
        <f t="shared" si="547"/>
        <v>20.588000000000005</v>
      </c>
      <c r="BB491" s="756">
        <f t="shared" si="547"/>
        <v>23.156750000000006</v>
      </c>
      <c r="BC491" s="756">
        <f t="shared" si="547"/>
        <v>25.802583333333338</v>
      </c>
      <c r="BD491" s="756">
        <f t="shared" si="547"/>
        <v>28.525500000000005</v>
      </c>
      <c r="BE491" s="756">
        <f t="shared" si="547"/>
        <v>31.325500000000005</v>
      </c>
      <c r="BF491" s="756">
        <f t="shared" si="547"/>
        <v>34.24216666666667</v>
      </c>
      <c r="BG491" s="756">
        <f t="shared" si="547"/>
        <v>37.275500000000001</v>
      </c>
      <c r="BH491" s="756">
        <f t="shared" si="547"/>
        <v>40.4255</v>
      </c>
      <c r="BI491" s="756">
        <f t="shared" si="547"/>
        <v>43.692166666666665</v>
      </c>
      <c r="BJ491" s="756">
        <f t="shared" si="547"/>
        <v>47.075499999999998</v>
      </c>
      <c r="BK491" s="756">
        <f t="shared" si="547"/>
        <v>50.575499999999998</v>
      </c>
      <c r="BL491" s="756">
        <f t="shared" si="547"/>
        <v>54.192166666666665</v>
      </c>
      <c r="BM491" s="756">
        <f t="shared" si="547"/>
        <v>57.9255</v>
      </c>
      <c r="BN491" s="756">
        <f t="shared" si="547"/>
        <v>61.775500000000001</v>
      </c>
      <c r="BO491" s="756">
        <f t="shared" si="547"/>
        <v>65.742166666666662</v>
      </c>
      <c r="BP491" s="756">
        <f t="shared" si="547"/>
        <v>69.825499999999991</v>
      </c>
      <c r="BQ491" s="756">
        <f t="shared" si="547"/>
        <v>74.025499999999994</v>
      </c>
      <c r="BR491" s="756">
        <f t="shared" si="547"/>
        <v>78.29216666666666</v>
      </c>
      <c r="BS491" s="756">
        <f t="shared" si="547"/>
        <v>82.625499999999988</v>
      </c>
      <c r="BT491" s="756">
        <f t="shared" si="547"/>
        <v>87.025499999999994</v>
      </c>
      <c r="BU491" s="756">
        <f t="shared" si="547"/>
        <v>91.492166666666662</v>
      </c>
      <c r="BV491" s="756">
        <f t="shared" si="547"/>
        <v>96.025499999999994</v>
      </c>
      <c r="BW491" s="756">
        <f t="shared" si="547"/>
        <v>100.62549999999999</v>
      </c>
      <c r="BX491" s="756">
        <f t="shared" si="547"/>
        <v>105.29216666666665</v>
      </c>
      <c r="BY491" s="756">
        <f t="shared" si="547"/>
        <v>110.02549999999998</v>
      </c>
      <c r="BZ491" s="756">
        <f t="shared" si="547"/>
        <v>114.82549999999998</v>
      </c>
      <c r="CA491" s="756">
        <f t="shared" si="547"/>
        <v>119.69216666666664</v>
      </c>
      <c r="CB491" s="756">
        <f t="shared" si="547"/>
        <v>124.62549999999996</v>
      </c>
      <c r="CC491" s="756">
        <f t="shared" si="547"/>
        <v>129.62549999999996</v>
      </c>
      <c r="CD491" s="756">
        <f t="shared" si="547"/>
        <v>134.62549999999996</v>
      </c>
      <c r="CE491" s="756">
        <f t="shared" si="547"/>
        <v>139.62549999999996</v>
      </c>
      <c r="CF491" s="756">
        <f t="shared" si="547"/>
        <v>144.62549999999996</v>
      </c>
      <c r="CG491" s="756">
        <f t="shared" si="547"/>
        <v>149.62549999999996</v>
      </c>
      <c r="CH491" s="756">
        <f t="shared" si="547"/>
        <v>154.62549999999996</v>
      </c>
      <c r="CI491" s="756">
        <f t="shared" si="547"/>
        <v>159.62549999999996</v>
      </c>
      <c r="CJ491" s="756">
        <f t="shared" si="547"/>
        <v>164.62549999999996</v>
      </c>
      <c r="CK491" s="756">
        <f t="shared" si="547"/>
        <v>169.62549999999996</v>
      </c>
      <c r="CL491" s="756">
        <f t="shared" si="547"/>
        <v>174.62549999999996</v>
      </c>
      <c r="CM491" s="756">
        <f t="shared" si="547"/>
        <v>179.62549999999996</v>
      </c>
      <c r="CN491" s="756">
        <f t="shared" si="547"/>
        <v>184.62549999999996</v>
      </c>
      <c r="CO491" s="756">
        <f t="shared" si="547"/>
        <v>189.62549999999996</v>
      </c>
      <c r="CP491" s="756">
        <f t="shared" si="547"/>
        <v>194.62549999999996</v>
      </c>
      <c r="CQ491" s="756">
        <f t="shared" si="547"/>
        <v>199.62549999999996</v>
      </c>
      <c r="CR491" s="756">
        <f t="shared" si="547"/>
        <v>204.62549999999996</v>
      </c>
      <c r="CS491" s="756">
        <f t="shared" si="547"/>
        <v>209.62549999999996</v>
      </c>
      <c r="CT491" s="756">
        <f t="shared" si="547"/>
        <v>214.62549999999996</v>
      </c>
      <c r="CU491" s="756">
        <f t="shared" si="547"/>
        <v>219.62549999999996</v>
      </c>
      <c r="CV491" s="756">
        <f t="shared" si="547"/>
        <v>224.62549999999996</v>
      </c>
      <c r="CW491" s="756">
        <f t="shared" si="547"/>
        <v>229.62549999999996</v>
      </c>
      <c r="CX491" s="756">
        <f t="shared" si="547"/>
        <v>234.62549999999996</v>
      </c>
      <c r="CY491" s="756">
        <f t="shared" si="547"/>
        <v>239.62549999999996</v>
      </c>
      <c r="CZ491" s="756">
        <f t="shared" si="547"/>
        <v>244.62549999999996</v>
      </c>
      <c r="DA491" s="756">
        <f t="shared" si="547"/>
        <v>249.62549999999996</v>
      </c>
      <c r="DC491" s="11">
        <f>AG491</f>
        <v>0</v>
      </c>
      <c r="DD491" s="11">
        <f>AS491</f>
        <v>2.8129999999999997</v>
      </c>
      <c r="DE491" s="11">
        <f>BE491</f>
        <v>31.325500000000005</v>
      </c>
      <c r="DF491" s="11">
        <f>BQ491</f>
        <v>74.025499999999994</v>
      </c>
      <c r="DG491" s="11">
        <f>CC491</f>
        <v>129.62549999999996</v>
      </c>
      <c r="DH491" s="11">
        <f>CO491</f>
        <v>189.62549999999996</v>
      </c>
      <c r="DI491" s="11">
        <f>DA491</f>
        <v>249.62549999999996</v>
      </c>
    </row>
    <row r="492" spans="4:113" outlineLevel="2">
      <c r="E492" s="698"/>
      <c r="F492" s="126" t="s">
        <v>794</v>
      </c>
      <c r="I492" s="699" t="s">
        <v>743</v>
      </c>
      <c r="AK492" s="757"/>
      <c r="AL492" s="757"/>
      <c r="AM492" s="757"/>
      <c r="AN492" s="757"/>
      <c r="AO492" s="757"/>
      <c r="AP492" s="757"/>
      <c r="AQ492" s="757"/>
      <c r="AR492" s="757">
        <v>0.37519999999999998</v>
      </c>
      <c r="AS492" s="757">
        <v>0.98454999999999981</v>
      </c>
      <c r="AT492" s="757">
        <v>1.4295249999999999</v>
      </c>
      <c r="AU492" s="757">
        <v>2.0382750000000001</v>
      </c>
      <c r="AV492" s="757">
        <v>2.67015</v>
      </c>
      <c r="AW492" s="757">
        <v>3.3251500000000003</v>
      </c>
      <c r="AX492" s="757">
        <v>4.0032750000000004</v>
      </c>
      <c r="AY492" s="757">
        <v>4.7045250000000003</v>
      </c>
      <c r="AZ492" s="757">
        <v>5.4289000000000014</v>
      </c>
      <c r="BA492" s="757">
        <v>6.176400000000001</v>
      </c>
      <c r="BB492" s="757">
        <v>6.9470250000000018</v>
      </c>
      <c r="BC492" s="757">
        <v>7.7407750000000011</v>
      </c>
      <c r="BD492" s="757">
        <v>8.5576500000000006</v>
      </c>
      <c r="BE492" s="757">
        <v>9.3976500000000005</v>
      </c>
      <c r="BF492" s="757">
        <v>17.121083333333335</v>
      </c>
      <c r="BG492" s="757">
        <v>18.63775</v>
      </c>
      <c r="BH492" s="757">
        <v>20.21275</v>
      </c>
      <c r="BI492" s="757">
        <v>21.846083333333333</v>
      </c>
      <c r="BJ492" s="757">
        <v>23.537749999999999</v>
      </c>
      <c r="BK492" s="757">
        <v>25.287749999999999</v>
      </c>
      <c r="BL492" s="757">
        <v>27.096083333333333</v>
      </c>
      <c r="BM492" s="757">
        <v>28.96275</v>
      </c>
      <c r="BN492" s="757">
        <v>30.88775</v>
      </c>
      <c r="BO492" s="757">
        <v>32.871083333333331</v>
      </c>
      <c r="BP492" s="757">
        <v>34.912749999999996</v>
      </c>
      <c r="BQ492" s="757">
        <v>37.012749999999997</v>
      </c>
      <c r="BR492" s="757">
        <v>39.14608333333333</v>
      </c>
      <c r="BS492" s="757">
        <v>41.312749999999994</v>
      </c>
      <c r="BT492" s="757">
        <v>43.512749999999997</v>
      </c>
      <c r="BU492" s="757">
        <v>45.746083333333331</v>
      </c>
      <c r="BV492" s="757">
        <v>48.012749999999997</v>
      </c>
      <c r="BW492" s="757">
        <v>50.312749999999994</v>
      </c>
      <c r="BX492" s="757">
        <v>52.646083333333323</v>
      </c>
      <c r="BY492" s="757">
        <v>55.01274999999999</v>
      </c>
      <c r="BZ492" s="757">
        <v>57.412749999999988</v>
      </c>
      <c r="CA492" s="757">
        <v>59.846083333333318</v>
      </c>
      <c r="CB492" s="757">
        <v>62.31274999999998</v>
      </c>
      <c r="CC492" s="757">
        <v>64.81274999999998</v>
      </c>
      <c r="CD492" s="757">
        <v>67.31274999999998</v>
      </c>
      <c r="CE492" s="757">
        <v>69.81274999999998</v>
      </c>
      <c r="CF492" s="757">
        <v>72.31274999999998</v>
      </c>
      <c r="CG492" s="757">
        <v>74.81274999999998</v>
      </c>
      <c r="CH492" s="757">
        <v>77.31274999999998</v>
      </c>
      <c r="CI492" s="757">
        <v>79.81274999999998</v>
      </c>
      <c r="CJ492" s="757">
        <v>82.31274999999998</v>
      </c>
      <c r="CK492" s="757">
        <v>84.81274999999998</v>
      </c>
      <c r="CL492" s="757">
        <v>87.31274999999998</v>
      </c>
      <c r="CM492" s="757">
        <v>89.81274999999998</v>
      </c>
      <c r="CN492" s="757">
        <v>92.31274999999998</v>
      </c>
      <c r="CO492" s="757">
        <v>94.81274999999998</v>
      </c>
      <c r="CP492" s="757">
        <v>97.31274999999998</v>
      </c>
      <c r="CQ492" s="757">
        <v>99.81274999999998</v>
      </c>
      <c r="CR492" s="757">
        <v>102.31274999999998</v>
      </c>
      <c r="CS492" s="757">
        <v>104.81274999999998</v>
      </c>
      <c r="CT492" s="757">
        <v>107.31274999999998</v>
      </c>
      <c r="CU492" s="757">
        <v>109.81274999999998</v>
      </c>
      <c r="CV492" s="757">
        <v>112.31274999999998</v>
      </c>
      <c r="CW492" s="757">
        <v>114.81274999999998</v>
      </c>
      <c r="CX492" s="757">
        <v>117.31274999999998</v>
      </c>
      <c r="CY492" s="757">
        <v>119.81274999999998</v>
      </c>
      <c r="CZ492" s="757">
        <v>122.31274999999998</v>
      </c>
      <c r="DA492" s="757">
        <v>124.81274999999998</v>
      </c>
      <c r="DC492" s="11">
        <f>AG492</f>
        <v>0</v>
      </c>
      <c r="DD492" s="11">
        <f>AS492</f>
        <v>0.98454999999999981</v>
      </c>
      <c r="DE492" s="11">
        <f>BE492</f>
        <v>9.3976500000000005</v>
      </c>
      <c r="DF492" s="11">
        <f>BQ492</f>
        <v>37.012749999999997</v>
      </c>
      <c r="DG492" s="11">
        <f>CC492</f>
        <v>64.81274999999998</v>
      </c>
      <c r="DH492" s="11">
        <f>CO492</f>
        <v>94.81274999999998</v>
      </c>
      <c r="DI492" s="11">
        <f>DA492</f>
        <v>124.81274999999998</v>
      </c>
    </row>
    <row r="493" spans="4:113" outlineLevel="2">
      <c r="E493" s="698"/>
      <c r="F493" s="12" t="s">
        <v>847</v>
      </c>
      <c r="I493" s="609" t="s">
        <v>736</v>
      </c>
      <c r="AK493" s="756"/>
      <c r="AL493" s="756"/>
      <c r="AM493" s="756"/>
      <c r="AN493" s="756"/>
      <c r="AO493" s="756"/>
      <c r="AP493" s="756"/>
      <c r="AQ493" s="756"/>
      <c r="AR493" s="710">
        <v>0.56279999999999997</v>
      </c>
      <c r="AS493" s="710">
        <v>1.4768249999999998</v>
      </c>
      <c r="AT493" s="710">
        <v>2.1442874999999999</v>
      </c>
      <c r="AU493" s="710">
        <v>3.0574124999999999</v>
      </c>
      <c r="AV493" s="710">
        <v>4.0052250000000003</v>
      </c>
      <c r="AW493" s="710">
        <v>4.9877250000000002</v>
      </c>
      <c r="AX493" s="710">
        <v>6.0049125000000005</v>
      </c>
      <c r="AY493" s="710">
        <v>7.0567875000000004</v>
      </c>
      <c r="AZ493" s="710">
        <v>8.1433500000000016</v>
      </c>
      <c r="BA493" s="710">
        <v>9.2646000000000015</v>
      </c>
      <c r="BB493" s="710">
        <v>10.420537500000002</v>
      </c>
      <c r="BC493" s="710">
        <v>11.611162500000002</v>
      </c>
      <c r="BD493" s="710">
        <v>12.836475</v>
      </c>
      <c r="BE493" s="710">
        <v>14.096475</v>
      </c>
      <c r="BF493" s="710">
        <v>25.681625000000004</v>
      </c>
      <c r="BG493" s="710">
        <v>27.956624999999999</v>
      </c>
      <c r="BH493" s="710">
        <v>30.319125</v>
      </c>
      <c r="BI493" s="710">
        <v>32.769125000000003</v>
      </c>
      <c r="BJ493" s="710">
        <v>35.306624999999997</v>
      </c>
      <c r="BK493" s="710">
        <v>37.931624999999997</v>
      </c>
      <c r="BL493" s="710">
        <v>40.644125000000003</v>
      </c>
      <c r="BM493" s="710">
        <v>43.444125</v>
      </c>
      <c r="BN493" s="710">
        <v>46.331625000000003</v>
      </c>
      <c r="BO493" s="710">
        <v>49.306624999999997</v>
      </c>
      <c r="BP493" s="710">
        <v>52.36912499999999</v>
      </c>
      <c r="BQ493" s="710">
        <v>55.519124999999995</v>
      </c>
      <c r="BR493" s="710">
        <v>58.719124999999991</v>
      </c>
      <c r="BS493" s="710">
        <v>61.969124999999991</v>
      </c>
      <c r="BT493" s="710">
        <v>65.269124999999988</v>
      </c>
      <c r="BU493" s="710">
        <v>68.619124999999997</v>
      </c>
      <c r="BV493" s="710">
        <v>72.019125000000003</v>
      </c>
      <c r="BW493" s="710">
        <v>75.469124999999991</v>
      </c>
      <c r="BX493" s="710">
        <v>78.969124999999991</v>
      </c>
      <c r="BY493" s="710">
        <v>82.519124999999988</v>
      </c>
      <c r="BZ493" s="710">
        <v>86.119124999999983</v>
      </c>
      <c r="CA493" s="710">
        <v>89.769124999999974</v>
      </c>
      <c r="CB493" s="710">
        <v>93.469124999999977</v>
      </c>
      <c r="CC493" s="710">
        <v>97.219124999999977</v>
      </c>
      <c r="CD493" s="710">
        <v>100.96912499999998</v>
      </c>
      <c r="CE493" s="710">
        <v>104.71912499999998</v>
      </c>
      <c r="CF493" s="710">
        <v>108.46912499999998</v>
      </c>
      <c r="CG493" s="710">
        <v>112.21912499999998</v>
      </c>
      <c r="CH493" s="710">
        <v>115.96912499999998</v>
      </c>
      <c r="CI493" s="710">
        <v>119.71912499999998</v>
      </c>
      <c r="CJ493" s="710">
        <v>123.46912499999998</v>
      </c>
      <c r="CK493" s="710">
        <v>127.21912499999998</v>
      </c>
      <c r="CL493" s="710">
        <v>130.96912499999996</v>
      </c>
      <c r="CM493" s="710">
        <v>134.71912499999996</v>
      </c>
      <c r="CN493" s="710">
        <v>138.46912499999996</v>
      </c>
      <c r="CO493" s="710">
        <v>142.21912499999996</v>
      </c>
      <c r="CP493" s="710">
        <v>145.96912499999996</v>
      </c>
      <c r="CQ493" s="710">
        <v>149.71912499999996</v>
      </c>
      <c r="CR493" s="710">
        <v>153.46912499999996</v>
      </c>
      <c r="CS493" s="710">
        <v>157.21912499999996</v>
      </c>
      <c r="CT493" s="710">
        <v>160.96912499999996</v>
      </c>
      <c r="CU493" s="710">
        <v>164.71912499999996</v>
      </c>
      <c r="CV493" s="710">
        <v>168.46912499999996</v>
      </c>
      <c r="CW493" s="710">
        <v>172.21912499999996</v>
      </c>
      <c r="CX493" s="710">
        <v>175.96912499999996</v>
      </c>
      <c r="CY493" s="710">
        <v>179.71912499999996</v>
      </c>
      <c r="CZ493" s="710">
        <v>183.46912499999996</v>
      </c>
      <c r="DA493" s="710">
        <v>187.21912499999996</v>
      </c>
      <c r="DC493" s="12">
        <f>SUM(V493:AG493)</f>
        <v>0</v>
      </c>
      <c r="DD493" s="12">
        <f>SUM(AH493:AS493)</f>
        <v>2.039625</v>
      </c>
      <c r="DE493" s="12">
        <f>SUM(AT493:BE493)</f>
        <v>93.628950000000003</v>
      </c>
      <c r="DF493" s="12">
        <f>SUM(BF493:BQ493)</f>
        <v>477.5795</v>
      </c>
      <c r="DG493" s="12">
        <f>SUM(BR493:CC493)</f>
        <v>930.12949999999978</v>
      </c>
      <c r="DH493" s="12">
        <f>SUM(CD493:CO493)</f>
        <v>1459.1295</v>
      </c>
      <c r="DI493" s="12">
        <f>SUM(CP493:DA493)</f>
        <v>1999.1295</v>
      </c>
    </row>
    <row r="494" spans="4:113" outlineLevel="2">
      <c r="E494" s="698"/>
      <c r="F494" s="12" t="s">
        <v>796</v>
      </c>
      <c r="I494" s="609" t="s">
        <v>736</v>
      </c>
      <c r="AK494" s="756"/>
      <c r="AL494" s="756"/>
      <c r="AM494" s="756"/>
      <c r="AN494" s="756"/>
      <c r="AO494" s="756"/>
      <c r="AP494" s="756"/>
      <c r="AQ494" s="756"/>
      <c r="AR494" s="739">
        <v>0.56279999999999997</v>
      </c>
      <c r="AS494" s="739">
        <v>1.7300849999999999</v>
      </c>
      <c r="AT494" s="739">
        <v>2.9228257499999999</v>
      </c>
      <c r="AU494" s="739">
        <v>4.3726840874999997</v>
      </c>
      <c r="AV494" s="739">
        <v>5.9729328393749999</v>
      </c>
      <c r="AW494" s="739">
        <v>7.6755447777187502</v>
      </c>
      <c r="AX494" s="739">
        <v>9.4589076499734368</v>
      </c>
      <c r="AY494" s="739">
        <v>11.313295942488047</v>
      </c>
      <c r="AZ494" s="739">
        <v>13.234333174119623</v>
      </c>
      <c r="BA494" s="739">
        <v>15.220049928353831</v>
      </c>
      <c r="BB494" s="739">
        <v>17.269559967759225</v>
      </c>
      <c r="BC494" s="739">
        <v>19.382464485491653</v>
      </c>
      <c r="BD494" s="739">
        <v>21.558584018471244</v>
      </c>
      <c r="BE494" s="739">
        <v>23.79783780831206</v>
      </c>
      <c r="BF494" s="739">
        <v>36.390652013740429</v>
      </c>
      <c r="BG494" s="739">
        <v>44.332418406183194</v>
      </c>
      <c r="BH494" s="739">
        <v>50.268713282782436</v>
      </c>
      <c r="BI494" s="739">
        <v>55.3900459772521</v>
      </c>
      <c r="BJ494" s="739">
        <v>60.232145689763442</v>
      </c>
      <c r="BK494" s="739">
        <v>65.036090560393546</v>
      </c>
      <c r="BL494" s="739">
        <v>69.9103657521771</v>
      </c>
      <c r="BM494" s="739">
        <v>74.903789588479697</v>
      </c>
      <c r="BN494" s="739">
        <v>80.038330314815866</v>
      </c>
      <c r="BO494" s="739">
        <v>85.323873641667134</v>
      </c>
      <c r="BP494" s="739">
        <v>90.764868138750188</v>
      </c>
      <c r="BQ494" s="739">
        <v>96.363315662437572</v>
      </c>
      <c r="BR494" s="739">
        <v>102.08261704809689</v>
      </c>
      <c r="BS494" s="739">
        <v>107.90630267164359</v>
      </c>
      <c r="BT494" s="739">
        <v>113.8269612022396</v>
      </c>
      <c r="BU494" s="739">
        <v>119.84125754100782</v>
      </c>
      <c r="BV494" s="739">
        <v>125.94769089345351</v>
      </c>
      <c r="BW494" s="739">
        <v>132.14558590205405</v>
      </c>
      <c r="BX494" s="739">
        <v>138.43463865592432</v>
      </c>
      <c r="BY494" s="739">
        <v>144.81471239516594</v>
      </c>
      <c r="BZ494" s="739">
        <v>151.28574557782466</v>
      </c>
      <c r="CA494" s="739">
        <v>157.84771051002105</v>
      </c>
      <c r="CB494" s="739">
        <v>164.50059472950943</v>
      </c>
      <c r="CC494" s="739">
        <v>171.24439262827923</v>
      </c>
      <c r="CD494" s="739">
        <v>178.02910168272564</v>
      </c>
      <c r="CE494" s="739">
        <v>184.83222075722651</v>
      </c>
      <c r="CF494" s="739">
        <v>191.6436243407519</v>
      </c>
      <c r="CG494" s="739">
        <v>198.45875595333831</v>
      </c>
      <c r="CH494" s="739">
        <v>205.27556517900223</v>
      </c>
      <c r="CI494" s="739">
        <v>212.09312933055097</v>
      </c>
      <c r="CJ494" s="739">
        <v>218.9110331987479</v>
      </c>
      <c r="CK494" s="739">
        <v>225.72908993943651</v>
      </c>
      <c r="CL494" s="739">
        <v>232.54721547274636</v>
      </c>
      <c r="CM494" s="739">
        <v>239.36537196273582</v>
      </c>
      <c r="CN494" s="739">
        <v>246.18354238323107</v>
      </c>
      <c r="CO494" s="739">
        <v>253.00171907245394</v>
      </c>
      <c r="CP494" s="739">
        <v>259.8198985826042</v>
      </c>
      <c r="CQ494" s="739">
        <v>266.63807936217182</v>
      </c>
      <c r="CR494" s="739">
        <v>273.45626071297727</v>
      </c>
      <c r="CS494" s="739">
        <v>280.27444232083974</v>
      </c>
      <c r="CT494" s="739">
        <v>287.09262404437783</v>
      </c>
      <c r="CU494" s="739">
        <v>293.91080581996994</v>
      </c>
      <c r="CV494" s="739">
        <v>300.72898761898642</v>
      </c>
      <c r="CW494" s="739">
        <v>307.54716942854384</v>
      </c>
      <c r="CX494" s="739">
        <v>314.36535124284467</v>
      </c>
      <c r="CY494" s="739">
        <v>321.18353305928008</v>
      </c>
      <c r="CZ494" s="739">
        <v>328.00171487667598</v>
      </c>
      <c r="DA494" s="739">
        <v>334.81989669450411</v>
      </c>
      <c r="DC494" s="11">
        <f>AG494</f>
        <v>0</v>
      </c>
      <c r="DD494" s="11">
        <f>AS494</f>
        <v>1.7300849999999999</v>
      </c>
      <c r="DE494" s="11">
        <f>BE494</f>
        <v>23.79783780831206</v>
      </c>
      <c r="DF494" s="11">
        <f>BQ494</f>
        <v>96.363315662437572</v>
      </c>
      <c r="DG494" s="11">
        <f>CC494</f>
        <v>171.24439262827923</v>
      </c>
      <c r="DH494" s="11">
        <f>CO494</f>
        <v>253.00171907245394</v>
      </c>
      <c r="DI494" s="11">
        <f>DA494</f>
        <v>334.81989669450411</v>
      </c>
    </row>
    <row r="495" spans="4:113" outlineLevel="2">
      <c r="E495" s="698"/>
      <c r="F495" s="740" t="s">
        <v>848</v>
      </c>
      <c r="I495" s="609" t="s">
        <v>736</v>
      </c>
      <c r="AK495" s="756"/>
      <c r="AL495" s="756"/>
      <c r="AM495" s="756"/>
      <c r="AN495" s="756"/>
      <c r="AO495" s="756"/>
      <c r="AP495" s="756"/>
      <c r="AQ495" s="756"/>
      <c r="AR495" s="739">
        <f>AR494-AR496</f>
        <v>0.56279999999999997</v>
      </c>
      <c r="AS495" s="739">
        <f>AS494-AS496</f>
        <v>1.7300849999999999</v>
      </c>
      <c r="AT495" s="739">
        <f t="shared" ref="AT495:DA495" si="548">AT494-AT496</f>
        <v>2.9228257499999999</v>
      </c>
      <c r="AU495" s="739">
        <f t="shared" si="548"/>
        <v>4.3726840874999997</v>
      </c>
      <c r="AV495" s="739">
        <f t="shared" si="548"/>
        <v>5.9729328393749999</v>
      </c>
      <c r="AW495" s="739">
        <f t="shared" si="548"/>
        <v>7.6755447777187502</v>
      </c>
      <c r="AX495" s="739">
        <f t="shared" si="548"/>
        <v>9.4589076499734368</v>
      </c>
      <c r="AY495" s="739">
        <f t="shared" si="548"/>
        <v>11.313295942488047</v>
      </c>
      <c r="AZ495" s="739">
        <f t="shared" si="548"/>
        <v>13.234333174119623</v>
      </c>
      <c r="BA495" s="739">
        <f t="shared" si="548"/>
        <v>15.220049928353831</v>
      </c>
      <c r="BB495" s="739">
        <f t="shared" si="548"/>
        <v>17.269559967759225</v>
      </c>
      <c r="BC495" s="739">
        <f t="shared" si="548"/>
        <v>19.382464485491653</v>
      </c>
      <c r="BD495" s="739">
        <f t="shared" si="548"/>
        <v>21.558584018471244</v>
      </c>
      <c r="BE495" s="739">
        <f t="shared" si="548"/>
        <v>23.79783780831206</v>
      </c>
      <c r="BF495" s="739">
        <f t="shared" si="548"/>
        <v>36.390652013740429</v>
      </c>
      <c r="BG495" s="739">
        <f t="shared" si="548"/>
        <v>44.332418406183194</v>
      </c>
      <c r="BH495" s="739">
        <f t="shared" si="548"/>
        <v>50.268713282782436</v>
      </c>
      <c r="BI495" s="739">
        <f t="shared" si="548"/>
        <v>55.3900459772521</v>
      </c>
      <c r="BJ495" s="739">
        <f t="shared" si="548"/>
        <v>60.232145689763442</v>
      </c>
      <c r="BK495" s="739">
        <f t="shared" si="548"/>
        <v>65.036090560393546</v>
      </c>
      <c r="BL495" s="739">
        <f t="shared" si="548"/>
        <v>69.9103657521771</v>
      </c>
      <c r="BM495" s="739">
        <f t="shared" si="548"/>
        <v>74.903789588479697</v>
      </c>
      <c r="BN495" s="739">
        <f t="shared" si="548"/>
        <v>80.038330314815866</v>
      </c>
      <c r="BO495" s="739">
        <f t="shared" si="548"/>
        <v>85.323873641667134</v>
      </c>
      <c r="BP495" s="739">
        <f t="shared" si="548"/>
        <v>90.764868138750188</v>
      </c>
      <c r="BQ495" s="739">
        <f t="shared" si="548"/>
        <v>96.363315662437572</v>
      </c>
      <c r="BR495" s="739">
        <f t="shared" si="548"/>
        <v>102.08261704809689</v>
      </c>
      <c r="BS495" s="739">
        <f t="shared" si="548"/>
        <v>107.90630267164359</v>
      </c>
      <c r="BT495" s="739">
        <f t="shared" si="548"/>
        <v>113.8269612022396</v>
      </c>
      <c r="BU495" s="739">
        <f t="shared" si="548"/>
        <v>119.84125754100782</v>
      </c>
      <c r="BV495" s="739">
        <f t="shared" si="548"/>
        <v>125.94769089345351</v>
      </c>
      <c r="BW495" s="739">
        <f t="shared" si="548"/>
        <v>132.14558590205405</v>
      </c>
      <c r="BX495" s="739">
        <f t="shared" si="548"/>
        <v>138.43463865592432</v>
      </c>
      <c r="BY495" s="739">
        <f t="shared" si="548"/>
        <v>144.81471239516594</v>
      </c>
      <c r="BZ495" s="739">
        <f t="shared" si="548"/>
        <v>151.28574557782466</v>
      </c>
      <c r="CA495" s="739">
        <f t="shared" si="548"/>
        <v>157.84771051002105</v>
      </c>
      <c r="CB495" s="739">
        <f t="shared" si="548"/>
        <v>164.50059472950943</v>
      </c>
      <c r="CC495" s="739">
        <f t="shared" si="548"/>
        <v>171.24439262827923</v>
      </c>
      <c r="CD495" s="739">
        <f t="shared" si="548"/>
        <v>178.02910168272564</v>
      </c>
      <c r="CE495" s="739">
        <f t="shared" si="548"/>
        <v>184.83222075722651</v>
      </c>
      <c r="CF495" s="739">
        <f t="shared" si="548"/>
        <v>191.6436243407519</v>
      </c>
      <c r="CG495" s="739">
        <f t="shared" si="548"/>
        <v>198.45875595333831</v>
      </c>
      <c r="CH495" s="739">
        <f t="shared" si="548"/>
        <v>205.27556517900223</v>
      </c>
      <c r="CI495" s="739">
        <f t="shared" si="548"/>
        <v>212.09312933055097</v>
      </c>
      <c r="CJ495" s="739">
        <f t="shared" si="548"/>
        <v>218.9110331987479</v>
      </c>
      <c r="CK495" s="739">
        <f t="shared" si="548"/>
        <v>225.72908993943651</v>
      </c>
      <c r="CL495" s="739">
        <f t="shared" si="548"/>
        <v>232.54721547274636</v>
      </c>
      <c r="CM495" s="739">
        <f t="shared" si="548"/>
        <v>239.36537196273582</v>
      </c>
      <c r="CN495" s="739">
        <f t="shared" si="548"/>
        <v>246.18354238323107</v>
      </c>
      <c r="CO495" s="739">
        <f t="shared" si="548"/>
        <v>253.00171907245394</v>
      </c>
      <c r="CP495" s="739">
        <f t="shared" si="548"/>
        <v>259.8198985826042</v>
      </c>
      <c r="CQ495" s="739">
        <f t="shared" si="548"/>
        <v>266.63807936217182</v>
      </c>
      <c r="CR495" s="739">
        <f t="shared" si="548"/>
        <v>273.45626071297727</v>
      </c>
      <c r="CS495" s="739">
        <f t="shared" si="548"/>
        <v>280.27444232083974</v>
      </c>
      <c r="CT495" s="739">
        <f t="shared" si="548"/>
        <v>287.09262404437783</v>
      </c>
      <c r="CU495" s="739">
        <f t="shared" si="548"/>
        <v>293.91080581996994</v>
      </c>
      <c r="CV495" s="739">
        <f t="shared" si="548"/>
        <v>300.72898761898642</v>
      </c>
      <c r="CW495" s="739">
        <f t="shared" si="548"/>
        <v>307.54716942854384</v>
      </c>
      <c r="CX495" s="739">
        <f t="shared" si="548"/>
        <v>314.36535124284467</v>
      </c>
      <c r="CY495" s="739">
        <f t="shared" si="548"/>
        <v>321.18353305928008</v>
      </c>
      <c r="CZ495" s="739">
        <f t="shared" si="548"/>
        <v>328.00171487667598</v>
      </c>
      <c r="DA495" s="739">
        <f t="shared" si="548"/>
        <v>334.81989669450411</v>
      </c>
      <c r="DC495" s="11">
        <f>AG495</f>
        <v>0</v>
      </c>
      <c r="DD495" s="11">
        <f>AS495</f>
        <v>1.7300849999999999</v>
      </c>
      <c r="DE495" s="11">
        <f>BE495</f>
        <v>23.79783780831206</v>
      </c>
      <c r="DF495" s="11">
        <f>BQ495</f>
        <v>96.363315662437572</v>
      </c>
      <c r="DG495" s="11">
        <f>CC495</f>
        <v>171.24439262827923</v>
      </c>
      <c r="DH495" s="11">
        <f>CO495</f>
        <v>253.00171907245394</v>
      </c>
      <c r="DI495" s="11">
        <f>DA495</f>
        <v>334.81989669450411</v>
      </c>
    </row>
    <row r="496" spans="4:113" outlineLevel="2">
      <c r="E496" s="698"/>
      <c r="F496" s="740" t="s">
        <v>849</v>
      </c>
      <c r="I496" s="609" t="s">
        <v>736</v>
      </c>
      <c r="AK496" s="756"/>
      <c r="AL496" s="756"/>
      <c r="AM496" s="756"/>
      <c r="AN496" s="756"/>
      <c r="AO496" s="756"/>
      <c r="AP496" s="756"/>
      <c r="AQ496" s="756"/>
      <c r="AR496" s="739">
        <v>0</v>
      </c>
      <c r="AS496" s="739">
        <v>0</v>
      </c>
      <c r="AT496" s="739">
        <v>0</v>
      </c>
      <c r="AU496" s="739">
        <v>0</v>
      </c>
      <c r="AV496" s="739">
        <v>0</v>
      </c>
      <c r="AW496" s="739">
        <v>0</v>
      </c>
      <c r="AX496" s="739">
        <v>0</v>
      </c>
      <c r="AY496" s="739">
        <v>0</v>
      </c>
      <c r="AZ496" s="739">
        <v>0</v>
      </c>
      <c r="BA496" s="739">
        <v>0</v>
      </c>
      <c r="BB496" s="739">
        <v>0</v>
      </c>
      <c r="BC496" s="739">
        <v>0</v>
      </c>
      <c r="BD496" s="739">
        <v>0</v>
      </c>
      <c r="BE496" s="739">
        <v>0</v>
      </c>
      <c r="BF496" s="739">
        <v>0</v>
      </c>
      <c r="BG496" s="739">
        <v>0</v>
      </c>
      <c r="BH496" s="739">
        <v>0</v>
      </c>
      <c r="BI496" s="739">
        <v>0</v>
      </c>
      <c r="BJ496" s="739">
        <v>0</v>
      </c>
      <c r="BK496" s="739">
        <v>0</v>
      </c>
      <c r="BL496" s="739">
        <v>0</v>
      </c>
      <c r="BM496" s="739">
        <v>0</v>
      </c>
      <c r="BN496" s="739">
        <v>0</v>
      </c>
      <c r="BO496" s="739">
        <v>0</v>
      </c>
      <c r="BP496" s="739">
        <v>0</v>
      </c>
      <c r="BQ496" s="739">
        <v>0</v>
      </c>
      <c r="BR496" s="739">
        <v>0</v>
      </c>
      <c r="BS496" s="739">
        <v>0</v>
      </c>
      <c r="BT496" s="739">
        <v>0</v>
      </c>
      <c r="BU496" s="739">
        <v>0</v>
      </c>
      <c r="BV496" s="739">
        <v>0</v>
      </c>
      <c r="BW496" s="739">
        <v>0</v>
      </c>
      <c r="BX496" s="739">
        <v>0</v>
      </c>
      <c r="BY496" s="739">
        <v>0</v>
      </c>
      <c r="BZ496" s="739">
        <v>0</v>
      </c>
      <c r="CA496" s="739">
        <v>0</v>
      </c>
      <c r="CB496" s="739">
        <v>0</v>
      </c>
      <c r="CC496" s="739">
        <v>0</v>
      </c>
      <c r="CD496" s="739">
        <v>0</v>
      </c>
      <c r="CE496" s="739">
        <v>0</v>
      </c>
      <c r="CF496" s="739">
        <v>0</v>
      </c>
      <c r="CG496" s="739">
        <v>0</v>
      </c>
      <c r="CH496" s="739">
        <v>0</v>
      </c>
      <c r="CI496" s="739">
        <v>0</v>
      </c>
      <c r="CJ496" s="739">
        <v>0</v>
      </c>
      <c r="CK496" s="739">
        <v>0</v>
      </c>
      <c r="CL496" s="739">
        <v>0</v>
      </c>
      <c r="CM496" s="739">
        <v>0</v>
      </c>
      <c r="CN496" s="739">
        <v>0</v>
      </c>
      <c r="CO496" s="739">
        <v>0</v>
      </c>
      <c r="CP496" s="739">
        <v>0</v>
      </c>
      <c r="CQ496" s="739">
        <v>0</v>
      </c>
      <c r="CR496" s="739">
        <v>0</v>
      </c>
      <c r="CS496" s="739">
        <v>0</v>
      </c>
      <c r="CT496" s="739">
        <v>0</v>
      </c>
      <c r="CU496" s="739">
        <v>0</v>
      </c>
      <c r="CV496" s="739">
        <v>0</v>
      </c>
      <c r="CW496" s="739">
        <v>0</v>
      </c>
      <c r="CX496" s="739">
        <v>0</v>
      </c>
      <c r="CY496" s="739">
        <v>0</v>
      </c>
      <c r="CZ496" s="739">
        <v>0</v>
      </c>
      <c r="DA496" s="739">
        <v>0</v>
      </c>
      <c r="DC496" s="11">
        <f>AG496</f>
        <v>0</v>
      </c>
      <c r="DD496" s="11">
        <f>AS496</f>
        <v>0</v>
      </c>
      <c r="DE496" s="11">
        <f>BE496</f>
        <v>0</v>
      </c>
      <c r="DF496" s="11">
        <f>BQ496</f>
        <v>0</v>
      </c>
      <c r="DG496" s="11">
        <f>CC496</f>
        <v>0</v>
      </c>
      <c r="DH496" s="11">
        <f>CO496</f>
        <v>0</v>
      </c>
      <c r="DI496" s="11">
        <f>DA496</f>
        <v>0</v>
      </c>
    </row>
    <row r="497" spans="5:113" outlineLevel="2">
      <c r="E497" s="698"/>
      <c r="F497" s="12" t="s">
        <v>203</v>
      </c>
      <c r="I497" s="609" t="s">
        <v>736</v>
      </c>
      <c r="AK497" s="756"/>
      <c r="AL497" s="756"/>
      <c r="AM497" s="756"/>
      <c r="AN497" s="756"/>
      <c r="AO497" s="756"/>
      <c r="AP497" s="756"/>
      <c r="AQ497" s="756"/>
      <c r="AR497" s="739">
        <v>0</v>
      </c>
      <c r="AS497" s="739">
        <v>0.25325999999999999</v>
      </c>
      <c r="AT497" s="739">
        <v>0.77853824999999999</v>
      </c>
      <c r="AU497" s="739">
        <v>1.3152715875000001</v>
      </c>
      <c r="AV497" s="739">
        <v>1.9677078393749998</v>
      </c>
      <c r="AW497" s="739">
        <v>2.68781977771875</v>
      </c>
      <c r="AX497" s="739">
        <v>3.4539951499734376</v>
      </c>
      <c r="AY497" s="739">
        <v>4.2565084424880464</v>
      </c>
      <c r="AZ497" s="739">
        <v>5.0909831741196214</v>
      </c>
      <c r="BA497" s="739">
        <v>5.9554499283538309</v>
      </c>
      <c r="BB497" s="739">
        <v>6.849022467759224</v>
      </c>
      <c r="BC497" s="739">
        <v>7.7713019854916512</v>
      </c>
      <c r="BD497" s="739">
        <v>8.7221090184712438</v>
      </c>
      <c r="BE497" s="739">
        <v>9.7013628083120604</v>
      </c>
      <c r="BF497" s="739">
        <v>10.709027013740428</v>
      </c>
      <c r="BG497" s="739">
        <v>16.375793406183192</v>
      </c>
      <c r="BH497" s="739">
        <v>19.94958828278244</v>
      </c>
      <c r="BI497" s="739">
        <v>22.620920977252098</v>
      </c>
      <c r="BJ497" s="739">
        <v>24.925520689763445</v>
      </c>
      <c r="BK497" s="739">
        <v>27.10446556039355</v>
      </c>
      <c r="BL497" s="739">
        <v>29.266240752177097</v>
      </c>
      <c r="BM497" s="739">
        <v>31.459664588479697</v>
      </c>
      <c r="BN497" s="739">
        <v>33.706705314815864</v>
      </c>
      <c r="BO497" s="739">
        <v>36.017248641667138</v>
      </c>
      <c r="BP497" s="739">
        <v>38.395743138750213</v>
      </c>
      <c r="BQ497" s="739">
        <v>40.844190662437583</v>
      </c>
      <c r="BR497" s="739">
        <v>43.363492048096909</v>
      </c>
      <c r="BS497" s="739">
        <v>45.937177671643603</v>
      </c>
      <c r="BT497" s="739">
        <v>48.557836202239613</v>
      </c>
      <c r="BU497" s="739">
        <v>51.222132541007824</v>
      </c>
      <c r="BV497" s="739">
        <v>53.928565893453523</v>
      </c>
      <c r="BW497" s="739">
        <v>56.676460902054082</v>
      </c>
      <c r="BX497" s="739">
        <v>59.465513655924326</v>
      </c>
      <c r="BY497" s="739">
        <v>62.295587395165946</v>
      </c>
      <c r="BZ497" s="739">
        <v>65.166620577824673</v>
      </c>
      <c r="CA497" s="739">
        <v>68.078585510021099</v>
      </c>
      <c r="CB497" s="739">
        <v>71.031469729509467</v>
      </c>
      <c r="CC497" s="739">
        <v>74.025267628279252</v>
      </c>
      <c r="CD497" s="739">
        <v>77.059976682725662</v>
      </c>
      <c r="CE497" s="739">
        <v>80.113095757226546</v>
      </c>
      <c r="CF497" s="739">
        <v>83.174499340751936</v>
      </c>
      <c r="CG497" s="739">
        <v>86.239630953338363</v>
      </c>
      <c r="CH497" s="739">
        <v>89.306440179002237</v>
      </c>
      <c r="CI497" s="739">
        <v>92.374004330551003</v>
      </c>
      <c r="CJ497" s="739">
        <v>95.441908198747939</v>
      </c>
      <c r="CK497" s="739">
        <v>98.509964939436557</v>
      </c>
      <c r="CL497" s="739">
        <v>101.57809047274642</v>
      </c>
      <c r="CM497" s="739">
        <v>104.64624696273586</v>
      </c>
      <c r="CN497" s="739">
        <v>107.71441738323112</v>
      </c>
      <c r="CO497" s="739">
        <v>110.78259407245399</v>
      </c>
      <c r="CP497" s="739">
        <v>113.85077358260428</v>
      </c>
      <c r="CQ497" s="739">
        <v>116.91895436217189</v>
      </c>
      <c r="CR497" s="739">
        <v>119.98713571297732</v>
      </c>
      <c r="CS497" s="739">
        <v>123.05531732083978</v>
      </c>
      <c r="CT497" s="739">
        <v>126.12349904437788</v>
      </c>
      <c r="CU497" s="739">
        <v>129.19168081997003</v>
      </c>
      <c r="CV497" s="739">
        <v>132.25986261898649</v>
      </c>
      <c r="CW497" s="739">
        <v>135.3280444285439</v>
      </c>
      <c r="CX497" s="739">
        <v>138.39622624284473</v>
      </c>
      <c r="CY497" s="739">
        <v>141.46440805928012</v>
      </c>
      <c r="CZ497" s="739">
        <v>144.53258987667604</v>
      </c>
      <c r="DA497" s="739">
        <v>147.6007716945042</v>
      </c>
      <c r="DC497" s="11">
        <f>AG497</f>
        <v>0</v>
      </c>
      <c r="DD497" s="11">
        <f>AS497</f>
        <v>0.25325999999999999</v>
      </c>
      <c r="DE497" s="11">
        <f>BE497</f>
        <v>9.7013628083120604</v>
      </c>
      <c r="DF497" s="11">
        <f>BQ497</f>
        <v>40.844190662437583</v>
      </c>
      <c r="DG497" s="11">
        <f>CC497</f>
        <v>74.025267628279252</v>
      </c>
      <c r="DH497" s="11">
        <f>CO497</f>
        <v>110.78259407245399</v>
      </c>
      <c r="DI497" s="11">
        <f t="shared" ref="DI497:DI529" si="549">SUM(CP497:DA497)</f>
        <v>1568.7092637637766</v>
      </c>
    </row>
    <row r="498" spans="5:113" outlineLevel="2">
      <c r="E498" s="698"/>
      <c r="F498" s="12" t="s">
        <v>215</v>
      </c>
      <c r="I498" s="609" t="s">
        <v>736</v>
      </c>
      <c r="AK498" s="702"/>
      <c r="AL498" s="702"/>
      <c r="AM498" s="702"/>
      <c r="AN498" s="702"/>
      <c r="AO498" s="702"/>
      <c r="AP498" s="702"/>
      <c r="AQ498" s="702"/>
      <c r="AR498" s="702">
        <f>AR502+AR504</f>
        <v>9.6332600000000011E-3</v>
      </c>
      <c r="AS498" s="702">
        <f t="shared" ref="AS498:DA498" si="550">AS502+AS504</f>
        <v>4.1094733475951321E-2</v>
      </c>
      <c r="AT498" s="702">
        <f t="shared" si="550"/>
        <v>9.1470618931295281E-2</v>
      </c>
      <c r="AU498" s="702">
        <f t="shared" si="550"/>
        <v>0.15001380086904686</v>
      </c>
      <c r="AV498" s="702">
        <f t="shared" si="550"/>
        <v>0.20688364770835649</v>
      </c>
      <c r="AW498" s="702">
        <f t="shared" si="550"/>
        <v>0.26364254124515724</v>
      </c>
      <c r="AX498" s="702">
        <f t="shared" si="550"/>
        <v>0.31748472825898005</v>
      </c>
      <c r="AY498" s="702">
        <f t="shared" si="550"/>
        <v>0.36912145488912051</v>
      </c>
      <c r="AZ498" s="702">
        <f t="shared" si="550"/>
        <v>0.42246172679366673</v>
      </c>
      <c r="BA498" s="702">
        <f t="shared" si="550"/>
        <v>0.4808676010927681</v>
      </c>
      <c r="BB498" s="702">
        <f t="shared" si="550"/>
        <v>0.54528986906938526</v>
      </c>
      <c r="BC498" s="702">
        <f t="shared" si="550"/>
        <v>0.61682059740081363</v>
      </c>
      <c r="BD498" s="702">
        <f t="shared" si="550"/>
        <v>0.69630529436145294</v>
      </c>
      <c r="BE498" s="702">
        <f t="shared" si="550"/>
        <v>0.78272068720339449</v>
      </c>
      <c r="BF498" s="702">
        <f t="shared" si="550"/>
        <v>1.0405576616443897</v>
      </c>
      <c r="BG498" s="702">
        <f t="shared" si="550"/>
        <v>1.5129152999821411</v>
      </c>
      <c r="BH498" s="702">
        <f t="shared" si="550"/>
        <v>1.9552638455625218</v>
      </c>
      <c r="BI498" s="702">
        <f t="shared" si="550"/>
        <v>2.2438791915238276</v>
      </c>
      <c r="BJ498" s="702">
        <f t="shared" si="550"/>
        <v>2.4727604922042747</v>
      </c>
      <c r="BK498" s="702">
        <f t="shared" si="550"/>
        <v>2.6782683445032682</v>
      </c>
      <c r="BL498" s="702">
        <f t="shared" si="550"/>
        <v>2.8807422434728807</v>
      </c>
      <c r="BM498" s="702">
        <f t="shared" si="550"/>
        <v>3.066742456231784</v>
      </c>
      <c r="BN498" s="702">
        <f t="shared" si="550"/>
        <v>3.2635505718610549</v>
      </c>
      <c r="BO498" s="702">
        <f t="shared" si="550"/>
        <v>3.4949950376567185</v>
      </c>
      <c r="BP498" s="702">
        <f t="shared" si="550"/>
        <v>3.7381405861119004</v>
      </c>
      <c r="BQ498" s="702">
        <f t="shared" si="550"/>
        <v>3.9837853932687812</v>
      </c>
      <c r="BR498" s="702">
        <f t="shared" si="550"/>
        <v>4.2288639650101594</v>
      </c>
      <c r="BS498" s="702">
        <f t="shared" si="550"/>
        <v>4.4681620141869489</v>
      </c>
      <c r="BT498" s="702">
        <f t="shared" si="550"/>
        <v>4.7113880409532261</v>
      </c>
      <c r="BU498" s="702">
        <f t="shared" si="550"/>
        <v>4.9574183053152563</v>
      </c>
      <c r="BV498" s="702">
        <f t="shared" si="550"/>
        <v>5.2063162739085191</v>
      </c>
      <c r="BW498" s="702">
        <f t="shared" si="550"/>
        <v>5.458951301809404</v>
      </c>
      <c r="BX498" s="702">
        <f t="shared" si="550"/>
        <v>5.7433595875257382</v>
      </c>
      <c r="BY498" s="702">
        <f t="shared" si="550"/>
        <v>6.0624377762404178</v>
      </c>
      <c r="BZ498" s="702">
        <f t="shared" si="550"/>
        <v>6.3775922926036586</v>
      </c>
      <c r="CA498" s="702">
        <f t="shared" si="550"/>
        <v>6.6943134766728125</v>
      </c>
      <c r="CB498" s="702">
        <f t="shared" si="550"/>
        <v>7.0146091019317591</v>
      </c>
      <c r="CC498" s="702">
        <f t="shared" si="550"/>
        <v>7.3397557522670054</v>
      </c>
      <c r="CD498" s="702">
        <f t="shared" si="550"/>
        <v>7.7062601305832743</v>
      </c>
      <c r="CE498" s="702">
        <f t="shared" si="550"/>
        <v>8.0961025781251781</v>
      </c>
      <c r="CF498" s="702">
        <f t="shared" si="550"/>
        <v>8.4510506914647419</v>
      </c>
      <c r="CG498" s="702">
        <f t="shared" si="550"/>
        <v>8.8038730948980017</v>
      </c>
      <c r="CH498" s="702">
        <f t="shared" si="550"/>
        <v>9.1567086950058201</v>
      </c>
      <c r="CI498" s="702">
        <f t="shared" si="550"/>
        <v>9.511205379270125</v>
      </c>
      <c r="CJ498" s="702">
        <f t="shared" si="550"/>
        <v>9.8674146137383136</v>
      </c>
      <c r="CK498" s="702">
        <f t="shared" si="550"/>
        <v>10.198311948638649</v>
      </c>
      <c r="CL498" s="702">
        <f t="shared" si="550"/>
        <v>10.497750290483545</v>
      </c>
      <c r="CM498" s="702">
        <f t="shared" si="550"/>
        <v>10.799458437291168</v>
      </c>
      <c r="CN498" s="702">
        <f t="shared" si="550"/>
        <v>11.102389827482517</v>
      </c>
      <c r="CO498" s="702">
        <f t="shared" si="550"/>
        <v>11.406385808981209</v>
      </c>
      <c r="CP498" s="702">
        <f t="shared" si="550"/>
        <v>11.711389801721383</v>
      </c>
      <c r="CQ498" s="702">
        <f t="shared" si="550"/>
        <v>12.017415672988033</v>
      </c>
      <c r="CR498" s="702">
        <f t="shared" si="550"/>
        <v>12.324476109593501</v>
      </c>
      <c r="CS498" s="702">
        <f t="shared" si="550"/>
        <v>12.632014188321673</v>
      </c>
      <c r="CT498" s="702">
        <f t="shared" si="550"/>
        <v>12.939367826232839</v>
      </c>
      <c r="CU498" s="702">
        <f t="shared" si="550"/>
        <v>13.246596499413675</v>
      </c>
      <c r="CV498" s="702">
        <f t="shared" si="550"/>
        <v>13.553730947906132</v>
      </c>
      <c r="CW498" s="702">
        <f t="shared" si="550"/>
        <v>13.860796109967357</v>
      </c>
      <c r="CX498" s="702">
        <f t="shared" si="550"/>
        <v>14.167814536665682</v>
      </c>
      <c r="CY498" s="702">
        <f t="shared" si="550"/>
        <v>14.474808644071739</v>
      </c>
      <c r="CZ498" s="702">
        <f t="shared" si="550"/>
        <v>14.781800635475088</v>
      </c>
      <c r="DA498" s="702">
        <f t="shared" si="550"/>
        <v>15.088800505143123</v>
      </c>
      <c r="DC498" s="12">
        <f t="shared" ref="DC498:DC529" si="551">SUM(V498:AG498)</f>
        <v>0</v>
      </c>
      <c r="DD498" s="12">
        <f t="shared" ref="DD498:DD529" si="552">SUM(AH498:AS498)</f>
        <v>5.0727993475951319E-2</v>
      </c>
      <c r="DE498" s="12">
        <f t="shared" ref="DE498:DE529" si="553">SUM(AT498:BE498)</f>
        <v>4.9430825678234385</v>
      </c>
      <c r="DF498" s="12">
        <f t="shared" ref="DF498:DF529" si="554">SUM(BF498:BQ498)</f>
        <v>32.331601124023543</v>
      </c>
      <c r="DG498" s="12">
        <f t="shared" ref="DG498:DG529" si="555">SUM(BR498:CC498)</f>
        <v>68.263167888424903</v>
      </c>
      <c r="DH498" s="12">
        <f t="shared" ref="DH498:DH529" si="556">SUM(CD498:CO498)</f>
        <v>115.59691149596254</v>
      </c>
      <c r="DI498" s="12">
        <f t="shared" si="549"/>
        <v>160.79901147750024</v>
      </c>
    </row>
    <row r="499" spans="5:113" outlineLevel="2">
      <c r="E499" s="698"/>
      <c r="F499" s="12" t="s">
        <v>99</v>
      </c>
      <c r="I499" s="609" t="s">
        <v>736</v>
      </c>
      <c r="AK499" s="702"/>
      <c r="AL499" s="702"/>
      <c r="AM499" s="702"/>
      <c r="AN499" s="702"/>
      <c r="AO499" s="702"/>
      <c r="AP499" s="702"/>
      <c r="AQ499" s="702"/>
      <c r="AR499" s="702">
        <f>AR503</f>
        <v>-2.5794999999999998E-3</v>
      </c>
      <c r="AS499" s="702">
        <f t="shared" ref="AS499:DA499" si="557">AS503</f>
        <v>-5.2545281250000004E-3</v>
      </c>
      <c r="AT499" s="702">
        <f t="shared" si="557"/>
        <v>-1.0662920468750002E-2</v>
      </c>
      <c r="AU499" s="702">
        <f t="shared" si="557"/>
        <v>-1.67188767109375E-2</v>
      </c>
      <c r="AV499" s="702">
        <f t="shared" si="557"/>
        <v>-2.3708705457421875E-2</v>
      </c>
      <c r="AW499" s="702">
        <f t="shared" si="557"/>
        <v>-3.1277761205839846E-2</v>
      </c>
      <c r="AX499" s="702">
        <f t="shared" si="557"/>
        <v>-3.9266453480127937E-2</v>
      </c>
      <c r="AY499" s="702">
        <f t="shared" si="557"/>
        <v>-4.7602966566057565E-2</v>
      </c>
      <c r="AZ499" s="702">
        <f t="shared" si="557"/>
        <v>-5.6254983392225906E-2</v>
      </c>
      <c r="BA499" s="702">
        <f t="shared" si="557"/>
        <v>-6.5207961276501664E-2</v>
      </c>
      <c r="BB499" s="702">
        <f t="shared" si="557"/>
        <v>-7.4455356011925752E-2</v>
      </c>
      <c r="BC499" s="702">
        <f t="shared" si="557"/>
        <v>-8.3994222705366592E-2</v>
      </c>
      <c r="BD499" s="702">
        <f t="shared" si="557"/>
        <v>-9.382323615491496E-2</v>
      </c>
      <c r="BE499" s="702">
        <f t="shared" si="557"/>
        <v>-0.10394180001971175</v>
      </c>
      <c r="BF499" s="702">
        <f t="shared" si="557"/>
        <v>-0.13793195584220361</v>
      </c>
      <c r="BG499" s="702">
        <f t="shared" si="557"/>
        <v>-0.18499036971232499</v>
      </c>
      <c r="BH499" s="702">
        <f t="shared" si="557"/>
        <v>-0.21679426012054626</v>
      </c>
      <c r="BI499" s="702">
        <f t="shared" si="557"/>
        <v>-0.24213465663757916</v>
      </c>
      <c r="BJ499" s="702">
        <f t="shared" si="557"/>
        <v>-0.26496752257024397</v>
      </c>
      <c r="BK499" s="702">
        <f t="shared" si="557"/>
        <v>-0.28707304140660977</v>
      </c>
      <c r="BL499" s="702">
        <f t="shared" si="557"/>
        <v>-0.3092522957163078</v>
      </c>
      <c r="BM499" s="702">
        <f t="shared" si="557"/>
        <v>-0.3318657726556718</v>
      </c>
      <c r="BN499" s="702">
        <f t="shared" si="557"/>
        <v>-0.35507569144505235</v>
      </c>
      <c r="BO499" s="702">
        <f t="shared" si="557"/>
        <v>-0.37895505073360686</v>
      </c>
      <c r="BP499" s="702">
        <f t="shared" si="557"/>
        <v>-0.40353669991345636</v>
      </c>
      <c r="BQ499" s="702">
        <f t="shared" si="557"/>
        <v>-0.42883542121105528</v>
      </c>
      <c r="BR499" s="702">
        <f t="shared" si="557"/>
        <v>-0.45477192912830816</v>
      </c>
      <c r="BS499" s="702">
        <f t="shared" si="557"/>
        <v>-0.48122460769107195</v>
      </c>
      <c r="BT499" s="702">
        <f t="shared" si="557"/>
        <v>-0.50813872971098228</v>
      </c>
      <c r="BU499" s="702">
        <f t="shared" si="557"/>
        <v>-0.53548966795327535</v>
      </c>
      <c r="BV499" s="702">
        <f t="shared" si="557"/>
        <v>-0.56326634016230726</v>
      </c>
      <c r="BW499" s="702">
        <f t="shared" si="557"/>
        <v>-0.59146375932303819</v>
      </c>
      <c r="BX499" s="702">
        <f t="shared" si="557"/>
        <v>-0.62007968127870039</v>
      </c>
      <c r="BY499" s="702">
        <f t="shared" si="557"/>
        <v>-0.64911309615874846</v>
      </c>
      <c r="BZ499" s="702">
        <f t="shared" si="557"/>
        <v>-0.67856354952143683</v>
      </c>
      <c r="CA499" s="702">
        <f t="shared" si="557"/>
        <v>-0.70843083686797981</v>
      </c>
      <c r="CB499" s="702">
        <f t="shared" si="557"/>
        <v>-0.73871486617392401</v>
      </c>
      <c r="CC499" s="702">
        <f t="shared" si="557"/>
        <v>-0.7694155960282657</v>
      </c>
      <c r="CD499" s="702">
        <f t="shared" si="557"/>
        <v>-0.8004184244627196</v>
      </c>
      <c r="CE499" s="702">
        <f t="shared" si="557"/>
        <v>-0.83155719725822363</v>
      </c>
      <c r="CF499" s="702">
        <f t="shared" si="557"/>
        <v>-0.8627571450162006</v>
      </c>
      <c r="CG499" s="702">
        <f t="shared" si="557"/>
        <v>-0.89398462150729008</v>
      </c>
      <c r="CH499" s="702">
        <f t="shared" si="557"/>
        <v>-0.92522448592828044</v>
      </c>
      <c r="CI499" s="702">
        <f t="shared" si="557"/>
        <v>-0.95646992491772609</v>
      </c>
      <c r="CJ499" s="702">
        <f t="shared" si="557"/>
        <v>-0.9877178724629766</v>
      </c>
      <c r="CK499" s="702">
        <f t="shared" si="557"/>
        <v>-1.0189669488583393</v>
      </c>
      <c r="CL499" s="702">
        <f t="shared" si="557"/>
        <v>-1.0502165332362525</v>
      </c>
      <c r="CM499" s="702">
        <f t="shared" si="557"/>
        <v>-1.0814663462063134</v>
      </c>
      <c r="CN499" s="702">
        <f t="shared" si="557"/>
        <v>-1.1127162620428408</v>
      </c>
      <c r="CO499" s="702">
        <f t="shared" si="557"/>
        <v>-1.1439662241692783</v>
      </c>
      <c r="CP499" s="702">
        <f t="shared" si="557"/>
        <v>-1.1752162071261749</v>
      </c>
      <c r="CQ499" s="702">
        <f t="shared" si="557"/>
        <v>-1.2064661994567785</v>
      </c>
      <c r="CR499" s="702">
        <f t="shared" si="557"/>
        <v>-1.2377161960055501</v>
      </c>
      <c r="CS499" s="702">
        <f t="shared" si="557"/>
        <v>-1.2689661944524973</v>
      </c>
      <c r="CT499" s="702">
        <f t="shared" si="557"/>
        <v>-1.3002161937536239</v>
      </c>
      <c r="CU499" s="702">
        <f t="shared" si="557"/>
        <v>-1.3314661934391301</v>
      </c>
      <c r="CV499" s="702">
        <f t="shared" si="557"/>
        <v>-1.3627161932976082</v>
      </c>
      <c r="CW499" s="702">
        <f t="shared" si="557"/>
        <v>-1.3939661932339236</v>
      </c>
      <c r="CX499" s="702">
        <f t="shared" si="557"/>
        <v>-1.4252161932052652</v>
      </c>
      <c r="CY499" s="702">
        <f t="shared" si="557"/>
        <v>-1.4564661931923693</v>
      </c>
      <c r="CZ499" s="702">
        <f t="shared" si="557"/>
        <v>-1.4877161931865661</v>
      </c>
      <c r="DA499" s="702">
        <f t="shared" si="557"/>
        <v>-1.5189661931839542</v>
      </c>
      <c r="DC499" s="12">
        <f t="shared" si="551"/>
        <v>0</v>
      </c>
      <c r="DD499" s="12">
        <f t="shared" si="552"/>
        <v>-7.8340281249999998E-3</v>
      </c>
      <c r="DE499" s="12">
        <f t="shared" si="553"/>
        <v>-0.64691524344978135</v>
      </c>
      <c r="DF499" s="12">
        <f t="shared" si="554"/>
        <v>-3.5414127379646585</v>
      </c>
      <c r="DG499" s="12">
        <f t="shared" si="555"/>
        <v>-7.2986726599980383</v>
      </c>
      <c r="DH499" s="12">
        <f t="shared" si="556"/>
        <v>-11.665461986066441</v>
      </c>
      <c r="DI499" s="12">
        <f t="shared" si="549"/>
        <v>-16.165094343533443</v>
      </c>
    </row>
    <row r="500" spans="5:113" outlineLevel="2">
      <c r="E500" s="698" t="s">
        <v>217</v>
      </c>
      <c r="F500" s="698"/>
      <c r="G500" s="698"/>
      <c r="H500" s="703"/>
      <c r="I500" s="609" t="s">
        <v>736</v>
      </c>
      <c r="AK500" s="708"/>
      <c r="AL500" s="708"/>
      <c r="AM500" s="708"/>
      <c r="AN500" s="708"/>
      <c r="AO500" s="708"/>
      <c r="AP500" s="708"/>
      <c r="AQ500" s="708"/>
      <c r="AR500" s="708">
        <f>AR501+AR504</f>
        <v>7.0537600000000009E-3</v>
      </c>
      <c r="AS500" s="708">
        <f t="shared" ref="AS500:DA500" si="558">AS501+AS504</f>
        <v>3.5840205350951324E-2</v>
      </c>
      <c r="AT500" s="708">
        <f t="shared" si="558"/>
        <v>8.0807698462545277E-2</v>
      </c>
      <c r="AU500" s="708">
        <f t="shared" si="558"/>
        <v>0.13329492415810937</v>
      </c>
      <c r="AV500" s="708">
        <f t="shared" si="558"/>
        <v>0.18317494225093461</v>
      </c>
      <c r="AW500" s="708">
        <f t="shared" si="558"/>
        <v>0.23236478003931738</v>
      </c>
      <c r="AX500" s="708">
        <f t="shared" si="558"/>
        <v>0.27821827477885214</v>
      </c>
      <c r="AY500" s="708">
        <f t="shared" si="558"/>
        <v>0.32151848832306296</v>
      </c>
      <c r="AZ500" s="708">
        <f t="shared" si="558"/>
        <v>0.36620674340144083</v>
      </c>
      <c r="BA500" s="708">
        <f t="shared" si="558"/>
        <v>0.41565963981626641</v>
      </c>
      <c r="BB500" s="708">
        <f t="shared" si="558"/>
        <v>0.47083451305745949</v>
      </c>
      <c r="BC500" s="708">
        <f t="shared" si="558"/>
        <v>0.53282637469544702</v>
      </c>
      <c r="BD500" s="708">
        <f t="shared" si="558"/>
        <v>0.602482058206538</v>
      </c>
      <c r="BE500" s="708">
        <f t="shared" si="558"/>
        <v>0.67877888718368273</v>
      </c>
      <c r="BF500" s="708">
        <f t="shared" si="558"/>
        <v>0.90262570580218604</v>
      </c>
      <c r="BG500" s="708">
        <f t="shared" si="558"/>
        <v>1.3279249302698162</v>
      </c>
      <c r="BH500" s="708">
        <f t="shared" si="558"/>
        <v>1.7384695854419756</v>
      </c>
      <c r="BI500" s="708">
        <f t="shared" si="558"/>
        <v>2.0017445348862486</v>
      </c>
      <c r="BJ500" s="708">
        <f t="shared" si="558"/>
        <v>2.2077929696340308</v>
      </c>
      <c r="BK500" s="708">
        <f t="shared" si="558"/>
        <v>2.3911953030966586</v>
      </c>
      <c r="BL500" s="708">
        <f t="shared" si="558"/>
        <v>2.5714899477565729</v>
      </c>
      <c r="BM500" s="708">
        <f t="shared" si="558"/>
        <v>2.734876683576112</v>
      </c>
      <c r="BN500" s="708">
        <f t="shared" si="558"/>
        <v>2.9084748804160023</v>
      </c>
      <c r="BO500" s="708">
        <f t="shared" si="558"/>
        <v>3.1160399869231115</v>
      </c>
      <c r="BP500" s="708">
        <f t="shared" si="558"/>
        <v>3.3346038861984439</v>
      </c>
      <c r="BQ500" s="708">
        <f t="shared" si="558"/>
        <v>3.554949972057726</v>
      </c>
      <c r="BR500" s="708">
        <f t="shared" si="558"/>
        <v>3.7740920358818513</v>
      </c>
      <c r="BS500" s="708">
        <f t="shared" si="558"/>
        <v>3.9869374064958771</v>
      </c>
      <c r="BT500" s="708">
        <f t="shared" si="558"/>
        <v>4.203249311242244</v>
      </c>
      <c r="BU500" s="708">
        <f t="shared" si="558"/>
        <v>4.4219286373619813</v>
      </c>
      <c r="BV500" s="708">
        <f t="shared" si="558"/>
        <v>4.6430499337462123</v>
      </c>
      <c r="BW500" s="708">
        <f t="shared" si="558"/>
        <v>4.8674875424863657</v>
      </c>
      <c r="BX500" s="708">
        <f t="shared" si="558"/>
        <v>5.1232799062470376</v>
      </c>
      <c r="BY500" s="708">
        <f t="shared" si="558"/>
        <v>5.4133246800816694</v>
      </c>
      <c r="BZ500" s="708">
        <f t="shared" si="558"/>
        <v>5.6990287430822217</v>
      </c>
      <c r="CA500" s="708">
        <f t="shared" si="558"/>
        <v>5.9858826398048324</v>
      </c>
      <c r="CB500" s="708">
        <f t="shared" si="558"/>
        <v>6.2758942357578356</v>
      </c>
      <c r="CC500" s="708">
        <f t="shared" si="558"/>
        <v>6.57034015623874</v>
      </c>
      <c r="CD500" s="708">
        <f t="shared" si="558"/>
        <v>6.9058417061205546</v>
      </c>
      <c r="CE500" s="708">
        <f t="shared" si="558"/>
        <v>7.264545380866954</v>
      </c>
      <c r="CF500" s="708">
        <f t="shared" si="558"/>
        <v>7.5882935464485417</v>
      </c>
      <c r="CG500" s="708">
        <f t="shared" si="558"/>
        <v>7.909888473390712</v>
      </c>
      <c r="CH500" s="708">
        <f t="shared" si="558"/>
        <v>8.2314842090775393</v>
      </c>
      <c r="CI500" s="708">
        <f t="shared" si="558"/>
        <v>8.5547354543523983</v>
      </c>
      <c r="CJ500" s="708">
        <f t="shared" si="558"/>
        <v>8.8796967412753371</v>
      </c>
      <c r="CK500" s="708">
        <f t="shared" si="558"/>
        <v>9.1793449997803087</v>
      </c>
      <c r="CL500" s="708">
        <f t="shared" si="558"/>
        <v>9.4475337572472924</v>
      </c>
      <c r="CM500" s="708">
        <f t="shared" si="558"/>
        <v>9.7179920910848541</v>
      </c>
      <c r="CN500" s="708">
        <f t="shared" si="558"/>
        <v>9.9896735654396753</v>
      </c>
      <c r="CO500" s="708">
        <f t="shared" si="558"/>
        <v>10.262419584811932</v>
      </c>
      <c r="CP500" s="708">
        <f t="shared" si="558"/>
        <v>10.536173594595208</v>
      </c>
      <c r="CQ500" s="708">
        <f t="shared" si="558"/>
        <v>10.810949473531254</v>
      </c>
      <c r="CR500" s="708">
        <f t="shared" si="558"/>
        <v>11.086759913587951</v>
      </c>
      <c r="CS500" s="708">
        <f t="shared" si="558"/>
        <v>11.363047993869175</v>
      </c>
      <c r="CT500" s="708">
        <f t="shared" si="558"/>
        <v>11.639151632479216</v>
      </c>
      <c r="CU500" s="708">
        <f t="shared" si="558"/>
        <v>11.915130305974545</v>
      </c>
      <c r="CV500" s="708">
        <f t="shared" si="558"/>
        <v>12.191014754608524</v>
      </c>
      <c r="CW500" s="708">
        <f t="shared" si="558"/>
        <v>12.466829916733433</v>
      </c>
      <c r="CX500" s="708">
        <f t="shared" si="558"/>
        <v>12.742598343460417</v>
      </c>
      <c r="CY500" s="708">
        <f t="shared" si="558"/>
        <v>13.01834245087937</v>
      </c>
      <c r="CZ500" s="708">
        <f t="shared" si="558"/>
        <v>13.294084442288522</v>
      </c>
      <c r="DA500" s="708">
        <f t="shared" si="558"/>
        <v>13.569834311959168</v>
      </c>
      <c r="DC500" s="14">
        <f t="shared" si="551"/>
        <v>0</v>
      </c>
      <c r="DD500" s="14">
        <f t="shared" si="552"/>
        <v>4.2893965350951323E-2</v>
      </c>
      <c r="DE500" s="14">
        <f t="shared" si="553"/>
        <v>4.2961673243736564</v>
      </c>
      <c r="DF500" s="14">
        <f t="shared" si="554"/>
        <v>28.790188386058887</v>
      </c>
      <c r="DG500" s="14">
        <f t="shared" si="555"/>
        <v>60.96449522842687</v>
      </c>
      <c r="DH500" s="14">
        <f t="shared" si="556"/>
        <v>103.9314495098961</v>
      </c>
      <c r="DI500" s="14">
        <f t="shared" si="549"/>
        <v>144.63391713396678</v>
      </c>
    </row>
    <row r="501" spans="5:113" outlineLevel="2">
      <c r="E501" s="698"/>
      <c r="F501" s="14" t="s">
        <v>218</v>
      </c>
      <c r="G501" s="698"/>
      <c r="H501" s="703"/>
      <c r="I501" s="609" t="s">
        <v>736</v>
      </c>
      <c r="AK501" s="708"/>
      <c r="AL501" s="708"/>
      <c r="AM501" s="708"/>
      <c r="AN501" s="708"/>
      <c r="AO501" s="708"/>
      <c r="AP501" s="708"/>
      <c r="AQ501" s="708"/>
      <c r="AR501" s="708">
        <f>AR502+AR503</f>
        <v>-2.5794999999999998E-3</v>
      </c>
      <c r="AS501" s="708">
        <f t="shared" ref="AS501:DA501" si="559">AS502+AS503</f>
        <v>-5.2545281250000004E-3</v>
      </c>
      <c r="AT501" s="708">
        <f t="shared" si="559"/>
        <v>-1.0662920468750002E-2</v>
      </c>
      <c r="AU501" s="708">
        <f t="shared" si="559"/>
        <v>-1.67188767109375E-2</v>
      </c>
      <c r="AV501" s="708">
        <f t="shared" si="559"/>
        <v>-2.3708705457421875E-2</v>
      </c>
      <c r="AW501" s="708">
        <f t="shared" si="559"/>
        <v>-3.1277761205839846E-2</v>
      </c>
      <c r="AX501" s="708">
        <f t="shared" si="559"/>
        <v>-3.9266453480127937E-2</v>
      </c>
      <c r="AY501" s="708">
        <f t="shared" si="559"/>
        <v>-4.7602966566057565E-2</v>
      </c>
      <c r="AZ501" s="708">
        <f t="shared" si="559"/>
        <v>-5.6254983392225906E-2</v>
      </c>
      <c r="BA501" s="708">
        <f t="shared" si="559"/>
        <v>-6.5207961276501664E-2</v>
      </c>
      <c r="BB501" s="708">
        <f t="shared" si="559"/>
        <v>-7.4455356011925752E-2</v>
      </c>
      <c r="BC501" s="708">
        <f t="shared" si="559"/>
        <v>-8.3994222705366592E-2</v>
      </c>
      <c r="BD501" s="708">
        <f t="shared" si="559"/>
        <v>-9.382323615491496E-2</v>
      </c>
      <c r="BE501" s="708">
        <f t="shared" si="559"/>
        <v>-0.10394180001971175</v>
      </c>
      <c r="BF501" s="708">
        <f t="shared" si="559"/>
        <v>-0.13793195584220361</v>
      </c>
      <c r="BG501" s="708">
        <f t="shared" si="559"/>
        <v>-0.18499036971232499</v>
      </c>
      <c r="BH501" s="708">
        <f t="shared" si="559"/>
        <v>-0.21679426012054626</v>
      </c>
      <c r="BI501" s="708">
        <f t="shared" si="559"/>
        <v>-0.24213465663757916</v>
      </c>
      <c r="BJ501" s="708">
        <f t="shared" si="559"/>
        <v>-0.26496752257024397</v>
      </c>
      <c r="BK501" s="708">
        <f t="shared" si="559"/>
        <v>-0.28707304140660977</v>
      </c>
      <c r="BL501" s="708">
        <f t="shared" si="559"/>
        <v>-0.3092522957163078</v>
      </c>
      <c r="BM501" s="708">
        <f t="shared" si="559"/>
        <v>-0.3318657726556718</v>
      </c>
      <c r="BN501" s="708">
        <f t="shared" si="559"/>
        <v>-0.35507569144505235</v>
      </c>
      <c r="BO501" s="708">
        <f t="shared" si="559"/>
        <v>-0.37895505073360686</v>
      </c>
      <c r="BP501" s="708">
        <f t="shared" si="559"/>
        <v>-0.40353669991345636</v>
      </c>
      <c r="BQ501" s="708">
        <f t="shared" si="559"/>
        <v>-0.42883542121105528</v>
      </c>
      <c r="BR501" s="708">
        <f t="shared" si="559"/>
        <v>-0.45477192912830816</v>
      </c>
      <c r="BS501" s="708">
        <f t="shared" si="559"/>
        <v>-0.48122460769107195</v>
      </c>
      <c r="BT501" s="708">
        <f t="shared" si="559"/>
        <v>-0.50813872971098228</v>
      </c>
      <c r="BU501" s="708">
        <f t="shared" si="559"/>
        <v>-0.53548966795327535</v>
      </c>
      <c r="BV501" s="708">
        <f t="shared" si="559"/>
        <v>-0.56326634016230726</v>
      </c>
      <c r="BW501" s="708">
        <f t="shared" si="559"/>
        <v>-0.59146375932303819</v>
      </c>
      <c r="BX501" s="708">
        <f t="shared" si="559"/>
        <v>-0.62007968127870039</v>
      </c>
      <c r="BY501" s="708">
        <f t="shared" si="559"/>
        <v>-0.64911309615874846</v>
      </c>
      <c r="BZ501" s="708">
        <f t="shared" si="559"/>
        <v>-0.67856354952143683</v>
      </c>
      <c r="CA501" s="708">
        <f t="shared" si="559"/>
        <v>-0.70843083686797981</v>
      </c>
      <c r="CB501" s="708">
        <f t="shared" si="559"/>
        <v>-0.73871486617392401</v>
      </c>
      <c r="CC501" s="708">
        <f t="shared" si="559"/>
        <v>-0.7694155960282657</v>
      </c>
      <c r="CD501" s="708">
        <f t="shared" si="559"/>
        <v>-0.8004184244627196</v>
      </c>
      <c r="CE501" s="708">
        <f t="shared" si="559"/>
        <v>-0.83155719725822363</v>
      </c>
      <c r="CF501" s="708">
        <f t="shared" si="559"/>
        <v>-0.8627571450162006</v>
      </c>
      <c r="CG501" s="708">
        <f t="shared" si="559"/>
        <v>-0.89398462150729008</v>
      </c>
      <c r="CH501" s="708">
        <f t="shared" si="559"/>
        <v>-0.92522448592828044</v>
      </c>
      <c r="CI501" s="708">
        <f t="shared" si="559"/>
        <v>-0.95646992491772609</v>
      </c>
      <c r="CJ501" s="708">
        <f t="shared" si="559"/>
        <v>-0.9877178724629766</v>
      </c>
      <c r="CK501" s="708">
        <f t="shared" si="559"/>
        <v>-1.0189669488583393</v>
      </c>
      <c r="CL501" s="708">
        <f t="shared" si="559"/>
        <v>-1.0502165332362525</v>
      </c>
      <c r="CM501" s="708">
        <f t="shared" si="559"/>
        <v>-1.0814663462063134</v>
      </c>
      <c r="CN501" s="708">
        <f t="shared" si="559"/>
        <v>-1.1127162620428408</v>
      </c>
      <c r="CO501" s="708">
        <f t="shared" si="559"/>
        <v>-1.1439662241692783</v>
      </c>
      <c r="CP501" s="708">
        <f t="shared" si="559"/>
        <v>-1.1752162071261749</v>
      </c>
      <c r="CQ501" s="708">
        <f t="shared" si="559"/>
        <v>-1.2064661994567785</v>
      </c>
      <c r="CR501" s="708">
        <f t="shared" si="559"/>
        <v>-1.2377161960055501</v>
      </c>
      <c r="CS501" s="708">
        <f t="shared" si="559"/>
        <v>-1.2689661944524973</v>
      </c>
      <c r="CT501" s="708">
        <f t="shared" si="559"/>
        <v>-1.3002161937536239</v>
      </c>
      <c r="CU501" s="708">
        <f t="shared" si="559"/>
        <v>-1.3314661934391301</v>
      </c>
      <c r="CV501" s="708">
        <f t="shared" si="559"/>
        <v>-1.3627161932976082</v>
      </c>
      <c r="CW501" s="708">
        <f t="shared" si="559"/>
        <v>-1.3939661932339236</v>
      </c>
      <c r="CX501" s="708">
        <f t="shared" si="559"/>
        <v>-1.4252161932052652</v>
      </c>
      <c r="CY501" s="708">
        <f t="shared" si="559"/>
        <v>-1.4564661931923693</v>
      </c>
      <c r="CZ501" s="708">
        <f t="shared" si="559"/>
        <v>-1.4877161931865661</v>
      </c>
      <c r="DA501" s="708">
        <f t="shared" si="559"/>
        <v>-1.5189661931839542</v>
      </c>
      <c r="DC501" s="14">
        <f t="shared" si="551"/>
        <v>0</v>
      </c>
      <c r="DD501" s="14">
        <f t="shared" si="552"/>
        <v>-7.8340281249999998E-3</v>
      </c>
      <c r="DE501" s="14">
        <f t="shared" si="553"/>
        <v>-0.64691524344978135</v>
      </c>
      <c r="DF501" s="14">
        <f t="shared" si="554"/>
        <v>-3.5414127379646585</v>
      </c>
      <c r="DG501" s="14">
        <f t="shared" si="555"/>
        <v>-7.2986726599980383</v>
      </c>
      <c r="DH501" s="14">
        <f t="shared" si="556"/>
        <v>-11.665461986066441</v>
      </c>
      <c r="DI501" s="14">
        <f t="shared" si="549"/>
        <v>-16.165094343533443</v>
      </c>
    </row>
    <row r="502" spans="5:113" outlineLevel="2">
      <c r="F502" s="126" t="s">
        <v>737</v>
      </c>
      <c r="I502" s="609" t="s">
        <v>736</v>
      </c>
      <c r="AK502" s="710"/>
      <c r="AL502" s="710"/>
      <c r="AM502" s="710"/>
      <c r="AN502" s="710"/>
      <c r="AO502" s="710"/>
      <c r="AP502" s="710"/>
      <c r="AQ502" s="710"/>
      <c r="AR502" s="710">
        <v>0</v>
      </c>
      <c r="AS502" s="710">
        <v>0</v>
      </c>
      <c r="AT502" s="710">
        <v>0</v>
      </c>
      <c r="AU502" s="710">
        <v>0</v>
      </c>
      <c r="AV502" s="710">
        <v>0</v>
      </c>
      <c r="AW502" s="710">
        <v>0</v>
      </c>
      <c r="AX502" s="710">
        <v>0</v>
      </c>
      <c r="AY502" s="710">
        <v>0</v>
      </c>
      <c r="AZ502" s="710">
        <v>0</v>
      </c>
      <c r="BA502" s="710">
        <v>0</v>
      </c>
      <c r="BB502" s="710">
        <v>0</v>
      </c>
      <c r="BC502" s="710">
        <v>0</v>
      </c>
      <c r="BD502" s="710">
        <v>0</v>
      </c>
      <c r="BE502" s="710">
        <v>0</v>
      </c>
      <c r="BF502" s="710">
        <v>0</v>
      </c>
      <c r="BG502" s="710">
        <v>0</v>
      </c>
      <c r="BH502" s="710">
        <v>0</v>
      </c>
      <c r="BI502" s="710">
        <v>0</v>
      </c>
      <c r="BJ502" s="710">
        <v>0</v>
      </c>
      <c r="BK502" s="710">
        <v>0</v>
      </c>
      <c r="BL502" s="710">
        <v>0</v>
      </c>
      <c r="BM502" s="710">
        <v>0</v>
      </c>
      <c r="BN502" s="710">
        <v>0</v>
      </c>
      <c r="BO502" s="710">
        <v>0</v>
      </c>
      <c r="BP502" s="710">
        <v>0</v>
      </c>
      <c r="BQ502" s="710">
        <v>0</v>
      </c>
      <c r="BR502" s="710">
        <v>0</v>
      </c>
      <c r="BS502" s="710">
        <v>0</v>
      </c>
      <c r="BT502" s="710">
        <v>0</v>
      </c>
      <c r="BU502" s="710">
        <v>0</v>
      </c>
      <c r="BV502" s="710">
        <v>0</v>
      </c>
      <c r="BW502" s="710">
        <v>0</v>
      </c>
      <c r="BX502" s="710">
        <v>0</v>
      </c>
      <c r="BY502" s="710">
        <v>0</v>
      </c>
      <c r="BZ502" s="710">
        <v>0</v>
      </c>
      <c r="CA502" s="710">
        <v>0</v>
      </c>
      <c r="CB502" s="710">
        <v>0</v>
      </c>
      <c r="CC502" s="710">
        <v>0</v>
      </c>
      <c r="CD502" s="710">
        <v>0</v>
      </c>
      <c r="CE502" s="710">
        <v>0</v>
      </c>
      <c r="CF502" s="710">
        <v>0</v>
      </c>
      <c r="CG502" s="710">
        <v>0</v>
      </c>
      <c r="CH502" s="710">
        <v>0</v>
      </c>
      <c r="CI502" s="710">
        <v>0</v>
      </c>
      <c r="CJ502" s="710">
        <v>0</v>
      </c>
      <c r="CK502" s="710">
        <v>0</v>
      </c>
      <c r="CL502" s="710">
        <v>0</v>
      </c>
      <c r="CM502" s="710">
        <v>0</v>
      </c>
      <c r="CN502" s="710">
        <v>0</v>
      </c>
      <c r="CO502" s="710">
        <v>0</v>
      </c>
      <c r="CP502" s="710">
        <v>0</v>
      </c>
      <c r="CQ502" s="710">
        <v>0</v>
      </c>
      <c r="CR502" s="710">
        <v>0</v>
      </c>
      <c r="CS502" s="710">
        <v>0</v>
      </c>
      <c r="CT502" s="710">
        <v>0</v>
      </c>
      <c r="CU502" s="710">
        <v>0</v>
      </c>
      <c r="CV502" s="710">
        <v>0</v>
      </c>
      <c r="CW502" s="710">
        <v>0</v>
      </c>
      <c r="CX502" s="710">
        <v>0</v>
      </c>
      <c r="CY502" s="710">
        <v>0</v>
      </c>
      <c r="CZ502" s="710">
        <v>0</v>
      </c>
      <c r="DA502" s="710">
        <v>0</v>
      </c>
      <c r="DC502" s="12">
        <f t="shared" si="551"/>
        <v>0</v>
      </c>
      <c r="DD502" s="12">
        <f t="shared" si="552"/>
        <v>0</v>
      </c>
      <c r="DE502" s="12">
        <f t="shared" si="553"/>
        <v>0</v>
      </c>
      <c r="DF502" s="12">
        <f t="shared" si="554"/>
        <v>0</v>
      </c>
      <c r="DG502" s="12">
        <f t="shared" si="555"/>
        <v>0</v>
      </c>
      <c r="DH502" s="12">
        <f t="shared" si="556"/>
        <v>0</v>
      </c>
      <c r="DI502" s="12">
        <f t="shared" si="549"/>
        <v>0</v>
      </c>
    </row>
    <row r="503" spans="5:113" outlineLevel="2">
      <c r="F503" s="126" t="s">
        <v>798</v>
      </c>
      <c r="I503" s="609" t="s">
        <v>736</v>
      </c>
      <c r="AK503" s="710"/>
      <c r="AL503" s="710"/>
      <c r="AM503" s="710"/>
      <c r="AN503" s="710"/>
      <c r="AO503" s="710"/>
      <c r="AP503" s="710"/>
      <c r="AQ503" s="710"/>
      <c r="AR503" s="710">
        <v>-2.5794999999999998E-3</v>
      </c>
      <c r="AS503" s="710">
        <v>-5.2545281250000004E-3</v>
      </c>
      <c r="AT503" s="710">
        <v>-1.0662920468750002E-2</v>
      </c>
      <c r="AU503" s="710">
        <v>-1.67188767109375E-2</v>
      </c>
      <c r="AV503" s="710">
        <v>-2.3708705457421875E-2</v>
      </c>
      <c r="AW503" s="710">
        <v>-3.1277761205839846E-2</v>
      </c>
      <c r="AX503" s="710">
        <v>-3.9266453480127937E-2</v>
      </c>
      <c r="AY503" s="710">
        <v>-4.7602966566057565E-2</v>
      </c>
      <c r="AZ503" s="710">
        <v>-5.6254983392225906E-2</v>
      </c>
      <c r="BA503" s="710">
        <v>-6.5207961276501664E-2</v>
      </c>
      <c r="BB503" s="710">
        <v>-7.4455356011925752E-2</v>
      </c>
      <c r="BC503" s="710">
        <v>-8.3994222705366592E-2</v>
      </c>
      <c r="BD503" s="710">
        <v>-9.382323615491496E-2</v>
      </c>
      <c r="BE503" s="710">
        <v>-0.10394180001971175</v>
      </c>
      <c r="BF503" s="710">
        <v>-0.13793195584220361</v>
      </c>
      <c r="BG503" s="710">
        <v>-0.18499036971232499</v>
      </c>
      <c r="BH503" s="710">
        <v>-0.21679426012054626</v>
      </c>
      <c r="BI503" s="710">
        <v>-0.24213465663757916</v>
      </c>
      <c r="BJ503" s="710">
        <v>-0.26496752257024397</v>
      </c>
      <c r="BK503" s="710">
        <v>-0.28707304140660977</v>
      </c>
      <c r="BL503" s="710">
        <v>-0.3092522957163078</v>
      </c>
      <c r="BM503" s="710">
        <v>-0.3318657726556718</v>
      </c>
      <c r="BN503" s="710">
        <v>-0.35507569144505235</v>
      </c>
      <c r="BO503" s="710">
        <v>-0.37895505073360686</v>
      </c>
      <c r="BP503" s="710">
        <v>-0.40353669991345636</v>
      </c>
      <c r="BQ503" s="710">
        <v>-0.42883542121105528</v>
      </c>
      <c r="BR503" s="710">
        <v>-0.45477192912830816</v>
      </c>
      <c r="BS503" s="710">
        <v>-0.48122460769107195</v>
      </c>
      <c r="BT503" s="710">
        <v>-0.50813872971098228</v>
      </c>
      <c r="BU503" s="710">
        <v>-0.53548966795327535</v>
      </c>
      <c r="BV503" s="710">
        <v>-0.56326634016230726</v>
      </c>
      <c r="BW503" s="710">
        <v>-0.59146375932303819</v>
      </c>
      <c r="BX503" s="710">
        <v>-0.62007968127870039</v>
      </c>
      <c r="BY503" s="710">
        <v>-0.64911309615874846</v>
      </c>
      <c r="BZ503" s="710">
        <v>-0.67856354952143683</v>
      </c>
      <c r="CA503" s="710">
        <v>-0.70843083686797981</v>
      </c>
      <c r="CB503" s="710">
        <v>-0.73871486617392401</v>
      </c>
      <c r="CC503" s="710">
        <v>-0.7694155960282657</v>
      </c>
      <c r="CD503" s="710">
        <v>-0.8004184244627196</v>
      </c>
      <c r="CE503" s="710">
        <v>-0.83155719725822363</v>
      </c>
      <c r="CF503" s="710">
        <v>-0.8627571450162006</v>
      </c>
      <c r="CG503" s="710">
        <v>-0.89398462150729008</v>
      </c>
      <c r="CH503" s="710">
        <v>-0.92522448592828044</v>
      </c>
      <c r="CI503" s="710">
        <v>-0.95646992491772609</v>
      </c>
      <c r="CJ503" s="710">
        <v>-0.9877178724629766</v>
      </c>
      <c r="CK503" s="710">
        <v>-1.0189669488583393</v>
      </c>
      <c r="CL503" s="710">
        <v>-1.0502165332362525</v>
      </c>
      <c r="CM503" s="710">
        <v>-1.0814663462063134</v>
      </c>
      <c r="CN503" s="710">
        <v>-1.1127162620428408</v>
      </c>
      <c r="CO503" s="710">
        <v>-1.1439662241692783</v>
      </c>
      <c r="CP503" s="710">
        <v>-1.1752162071261749</v>
      </c>
      <c r="CQ503" s="710">
        <v>-1.2064661994567785</v>
      </c>
      <c r="CR503" s="710">
        <v>-1.2377161960055501</v>
      </c>
      <c r="CS503" s="710">
        <v>-1.2689661944524973</v>
      </c>
      <c r="CT503" s="710">
        <v>-1.3002161937536239</v>
      </c>
      <c r="CU503" s="710">
        <v>-1.3314661934391301</v>
      </c>
      <c r="CV503" s="710">
        <v>-1.3627161932976082</v>
      </c>
      <c r="CW503" s="710">
        <v>-1.3939661932339236</v>
      </c>
      <c r="CX503" s="710">
        <v>-1.4252161932052652</v>
      </c>
      <c r="CY503" s="710">
        <v>-1.4564661931923693</v>
      </c>
      <c r="CZ503" s="710">
        <v>-1.4877161931865661</v>
      </c>
      <c r="DA503" s="710">
        <v>-1.5189661931839542</v>
      </c>
      <c r="DC503" s="12">
        <f t="shared" si="551"/>
        <v>0</v>
      </c>
      <c r="DD503" s="12">
        <f t="shared" si="552"/>
        <v>-7.8340281249999998E-3</v>
      </c>
      <c r="DE503" s="12">
        <f t="shared" si="553"/>
        <v>-0.64691524344978135</v>
      </c>
      <c r="DF503" s="12">
        <f t="shared" si="554"/>
        <v>-3.5414127379646585</v>
      </c>
      <c r="DG503" s="12">
        <f t="shared" si="555"/>
        <v>-7.2986726599980383</v>
      </c>
      <c r="DH503" s="12">
        <f t="shared" si="556"/>
        <v>-11.665461986066441</v>
      </c>
      <c r="DI503" s="12">
        <f t="shared" si="549"/>
        <v>-16.165094343533443</v>
      </c>
    </row>
    <row r="504" spans="5:113" outlineLevel="2">
      <c r="E504" s="698"/>
      <c r="F504" s="698" t="s">
        <v>830</v>
      </c>
      <c r="G504" s="698"/>
      <c r="H504" s="703"/>
      <c r="I504" s="609" t="s">
        <v>736</v>
      </c>
      <c r="AK504" s="696"/>
      <c r="AL504" s="696"/>
      <c r="AM504" s="696"/>
      <c r="AN504" s="696"/>
      <c r="AO504" s="696"/>
      <c r="AP504" s="696"/>
      <c r="AQ504" s="696"/>
      <c r="AR504" s="696">
        <f>SUM(AR505:AR515)</f>
        <v>9.6332600000000011E-3</v>
      </c>
      <c r="AS504" s="696">
        <f t="shared" ref="AS504:DA504" si="560">SUM(AS505:AS515)</f>
        <v>4.1094733475951321E-2</v>
      </c>
      <c r="AT504" s="696">
        <f t="shared" si="560"/>
        <v>9.1470618931295281E-2</v>
      </c>
      <c r="AU504" s="696">
        <f t="shared" si="560"/>
        <v>0.15001380086904686</v>
      </c>
      <c r="AV504" s="696">
        <f t="shared" si="560"/>
        <v>0.20688364770835649</v>
      </c>
      <c r="AW504" s="696">
        <f t="shared" si="560"/>
        <v>0.26364254124515724</v>
      </c>
      <c r="AX504" s="696">
        <f t="shared" si="560"/>
        <v>0.31748472825898005</v>
      </c>
      <c r="AY504" s="696">
        <f t="shared" si="560"/>
        <v>0.36912145488912051</v>
      </c>
      <c r="AZ504" s="696">
        <f t="shared" si="560"/>
        <v>0.42246172679366673</v>
      </c>
      <c r="BA504" s="696">
        <f t="shared" si="560"/>
        <v>0.4808676010927681</v>
      </c>
      <c r="BB504" s="696">
        <f t="shared" si="560"/>
        <v>0.54528986906938526</v>
      </c>
      <c r="BC504" s="696">
        <f t="shared" si="560"/>
        <v>0.61682059740081363</v>
      </c>
      <c r="BD504" s="696">
        <f t="shared" si="560"/>
        <v>0.69630529436145294</v>
      </c>
      <c r="BE504" s="696">
        <f t="shared" si="560"/>
        <v>0.78272068720339449</v>
      </c>
      <c r="BF504" s="696">
        <f t="shared" si="560"/>
        <v>1.0405576616443897</v>
      </c>
      <c r="BG504" s="696">
        <f t="shared" si="560"/>
        <v>1.5129152999821411</v>
      </c>
      <c r="BH504" s="696">
        <f t="shared" si="560"/>
        <v>1.9552638455625218</v>
      </c>
      <c r="BI504" s="696">
        <f t="shared" si="560"/>
        <v>2.2438791915238276</v>
      </c>
      <c r="BJ504" s="696">
        <f t="shared" si="560"/>
        <v>2.4727604922042747</v>
      </c>
      <c r="BK504" s="696">
        <f t="shared" si="560"/>
        <v>2.6782683445032682</v>
      </c>
      <c r="BL504" s="696">
        <f t="shared" si="560"/>
        <v>2.8807422434728807</v>
      </c>
      <c r="BM504" s="696">
        <f t="shared" si="560"/>
        <v>3.066742456231784</v>
      </c>
      <c r="BN504" s="696">
        <f t="shared" si="560"/>
        <v>3.2635505718610549</v>
      </c>
      <c r="BO504" s="696">
        <f t="shared" si="560"/>
        <v>3.4949950376567185</v>
      </c>
      <c r="BP504" s="696">
        <f t="shared" si="560"/>
        <v>3.7381405861119004</v>
      </c>
      <c r="BQ504" s="696">
        <f t="shared" si="560"/>
        <v>3.9837853932687812</v>
      </c>
      <c r="BR504" s="696">
        <f t="shared" si="560"/>
        <v>4.2288639650101594</v>
      </c>
      <c r="BS504" s="696">
        <f t="shared" si="560"/>
        <v>4.4681620141869489</v>
      </c>
      <c r="BT504" s="696">
        <f t="shared" si="560"/>
        <v>4.7113880409532261</v>
      </c>
      <c r="BU504" s="696">
        <f t="shared" si="560"/>
        <v>4.9574183053152563</v>
      </c>
      <c r="BV504" s="696">
        <f t="shared" si="560"/>
        <v>5.2063162739085191</v>
      </c>
      <c r="BW504" s="696">
        <f t="shared" si="560"/>
        <v>5.458951301809404</v>
      </c>
      <c r="BX504" s="696">
        <f t="shared" si="560"/>
        <v>5.7433595875257382</v>
      </c>
      <c r="BY504" s="696">
        <f t="shared" si="560"/>
        <v>6.0624377762404178</v>
      </c>
      <c r="BZ504" s="696">
        <f t="shared" si="560"/>
        <v>6.3775922926036586</v>
      </c>
      <c r="CA504" s="696">
        <f t="shared" si="560"/>
        <v>6.6943134766728125</v>
      </c>
      <c r="CB504" s="696">
        <f t="shared" si="560"/>
        <v>7.0146091019317591</v>
      </c>
      <c r="CC504" s="696">
        <f t="shared" si="560"/>
        <v>7.3397557522670054</v>
      </c>
      <c r="CD504" s="696">
        <f t="shared" si="560"/>
        <v>7.7062601305832743</v>
      </c>
      <c r="CE504" s="696">
        <f t="shared" si="560"/>
        <v>8.0961025781251781</v>
      </c>
      <c r="CF504" s="696">
        <f t="shared" si="560"/>
        <v>8.4510506914647419</v>
      </c>
      <c r="CG504" s="696">
        <f t="shared" si="560"/>
        <v>8.8038730948980017</v>
      </c>
      <c r="CH504" s="696">
        <f t="shared" si="560"/>
        <v>9.1567086950058201</v>
      </c>
      <c r="CI504" s="696">
        <f t="shared" si="560"/>
        <v>9.511205379270125</v>
      </c>
      <c r="CJ504" s="696">
        <f t="shared" si="560"/>
        <v>9.8674146137383136</v>
      </c>
      <c r="CK504" s="696">
        <f t="shared" si="560"/>
        <v>10.198311948638649</v>
      </c>
      <c r="CL504" s="696">
        <f t="shared" si="560"/>
        <v>10.497750290483545</v>
      </c>
      <c r="CM504" s="696">
        <f t="shared" si="560"/>
        <v>10.799458437291168</v>
      </c>
      <c r="CN504" s="696">
        <f t="shared" si="560"/>
        <v>11.102389827482517</v>
      </c>
      <c r="CO504" s="696">
        <f t="shared" si="560"/>
        <v>11.406385808981209</v>
      </c>
      <c r="CP504" s="696">
        <f t="shared" si="560"/>
        <v>11.711389801721383</v>
      </c>
      <c r="CQ504" s="696">
        <f t="shared" si="560"/>
        <v>12.017415672988033</v>
      </c>
      <c r="CR504" s="696">
        <f t="shared" si="560"/>
        <v>12.324476109593501</v>
      </c>
      <c r="CS504" s="696">
        <f t="shared" si="560"/>
        <v>12.632014188321673</v>
      </c>
      <c r="CT504" s="696">
        <f t="shared" si="560"/>
        <v>12.939367826232839</v>
      </c>
      <c r="CU504" s="696">
        <f t="shared" si="560"/>
        <v>13.246596499413675</v>
      </c>
      <c r="CV504" s="696">
        <f t="shared" si="560"/>
        <v>13.553730947906132</v>
      </c>
      <c r="CW504" s="696">
        <f t="shared" si="560"/>
        <v>13.860796109967357</v>
      </c>
      <c r="CX504" s="696">
        <f t="shared" si="560"/>
        <v>14.167814536665682</v>
      </c>
      <c r="CY504" s="696">
        <f t="shared" si="560"/>
        <v>14.474808644071739</v>
      </c>
      <c r="CZ504" s="696">
        <f t="shared" si="560"/>
        <v>14.781800635475088</v>
      </c>
      <c r="DA504" s="696">
        <f t="shared" si="560"/>
        <v>15.088800505143123</v>
      </c>
      <c r="DC504" s="14">
        <f t="shared" si="551"/>
        <v>0</v>
      </c>
      <c r="DD504" s="14">
        <f t="shared" si="552"/>
        <v>5.0727993475951319E-2</v>
      </c>
      <c r="DE504" s="14">
        <f t="shared" si="553"/>
        <v>4.9430825678234385</v>
      </c>
      <c r="DF504" s="14">
        <f t="shared" si="554"/>
        <v>32.331601124023543</v>
      </c>
      <c r="DG504" s="14">
        <f t="shared" si="555"/>
        <v>68.263167888424903</v>
      </c>
      <c r="DH504" s="14">
        <f t="shared" si="556"/>
        <v>115.59691149596254</v>
      </c>
      <c r="DI504" s="14">
        <f t="shared" si="549"/>
        <v>160.79901147750024</v>
      </c>
    </row>
    <row r="505" spans="5:113" outlineLevel="2">
      <c r="E505" s="698"/>
      <c r="F505" s="126" t="s">
        <v>540</v>
      </c>
      <c r="G505" s="698"/>
      <c r="H505" s="703"/>
      <c r="I505" s="609" t="s">
        <v>736</v>
      </c>
      <c r="AK505" s="696"/>
      <c r="AL505" s="696"/>
      <c r="AM505" s="696"/>
      <c r="AN505" s="696"/>
      <c r="AO505" s="696"/>
      <c r="AP505" s="696"/>
      <c r="AQ505" s="696"/>
      <c r="AR505" s="696"/>
      <c r="AS505" s="696"/>
      <c r="AT505" s="696"/>
      <c r="AU505" s="696"/>
      <c r="AV505" s="696"/>
      <c r="AW505" s="696"/>
      <c r="AX505" s="696"/>
      <c r="AY505" s="696"/>
      <c r="AZ505" s="696"/>
      <c r="BA505" s="696"/>
      <c r="BB505" s="696"/>
      <c r="BC505" s="696"/>
      <c r="BD505" s="696"/>
      <c r="BE505" s="696"/>
      <c r="BF505" s="696"/>
      <c r="BG505" s="696"/>
      <c r="BH505" s="696"/>
      <c r="BI505" s="696"/>
      <c r="BJ505" s="696"/>
      <c r="BK505" s="696"/>
      <c r="BL505" s="696"/>
      <c r="BM505" s="696"/>
      <c r="BN505" s="696"/>
      <c r="BO505" s="696"/>
      <c r="BP505" s="696"/>
      <c r="BQ505" s="696"/>
      <c r="BR505" s="696"/>
      <c r="BS505" s="696"/>
      <c r="BT505" s="696"/>
      <c r="BU505" s="696"/>
      <c r="BV505" s="696"/>
      <c r="BW505" s="696"/>
      <c r="BX505" s="696"/>
      <c r="BY505" s="696"/>
      <c r="BZ505" s="696"/>
      <c r="CA505" s="696"/>
      <c r="CB505" s="696"/>
      <c r="CC505" s="696"/>
      <c r="CD505" s="696"/>
      <c r="CE505" s="696"/>
      <c r="CF505" s="696"/>
      <c r="CG505" s="696"/>
      <c r="CH505" s="696"/>
      <c r="CI505" s="696"/>
      <c r="CJ505" s="696"/>
      <c r="CK505" s="696"/>
      <c r="CL505" s="696"/>
      <c r="CM505" s="696"/>
      <c r="CN505" s="696"/>
      <c r="CO505" s="696"/>
      <c r="CP505" s="696"/>
      <c r="CQ505" s="696"/>
      <c r="CR505" s="696"/>
      <c r="CS505" s="696"/>
      <c r="CT505" s="696"/>
      <c r="CU505" s="696"/>
      <c r="CV505" s="696"/>
      <c r="CW505" s="696"/>
      <c r="CX505" s="696"/>
      <c r="CY505" s="696"/>
      <c r="CZ505" s="696"/>
      <c r="DA505" s="696"/>
      <c r="DC505" s="12">
        <f t="shared" si="551"/>
        <v>0</v>
      </c>
      <c r="DD505" s="12">
        <f t="shared" si="552"/>
        <v>0</v>
      </c>
      <c r="DE505" s="12">
        <f t="shared" si="553"/>
        <v>0</v>
      </c>
      <c r="DF505" s="12">
        <f t="shared" si="554"/>
        <v>0</v>
      </c>
      <c r="DG505" s="12">
        <f t="shared" si="555"/>
        <v>0</v>
      </c>
      <c r="DH505" s="12">
        <f t="shared" si="556"/>
        <v>0</v>
      </c>
      <c r="DI505" s="12">
        <f t="shared" si="549"/>
        <v>0</v>
      </c>
    </row>
    <row r="506" spans="5:113" outlineLevel="2">
      <c r="E506" s="698"/>
      <c r="F506" s="126" t="s">
        <v>799</v>
      </c>
      <c r="G506" s="698"/>
      <c r="H506" s="703"/>
      <c r="I506" s="609" t="s">
        <v>736</v>
      </c>
      <c r="AK506" s="696"/>
      <c r="AL506" s="696"/>
      <c r="AM506" s="696"/>
      <c r="AN506" s="696"/>
      <c r="AO506" s="696"/>
      <c r="AP506" s="696"/>
      <c r="AQ506" s="696"/>
      <c r="AR506" s="696"/>
      <c r="AS506" s="696"/>
      <c r="AT506" s="696"/>
      <c r="AU506" s="696"/>
      <c r="AV506" s="696"/>
      <c r="AW506" s="696"/>
      <c r="AX506" s="696"/>
      <c r="AY506" s="696"/>
      <c r="AZ506" s="696"/>
      <c r="BA506" s="696"/>
      <c r="BB506" s="696"/>
      <c r="BC506" s="696"/>
      <c r="BD506" s="696"/>
      <c r="BE506" s="696"/>
      <c r="BF506" s="696"/>
      <c r="BG506" s="696"/>
      <c r="BH506" s="696"/>
      <c r="BI506" s="696"/>
      <c r="BJ506" s="696"/>
      <c r="BK506" s="696"/>
      <c r="BL506" s="696"/>
      <c r="BM506" s="696"/>
      <c r="BN506" s="696"/>
      <c r="BO506" s="696"/>
      <c r="BP506" s="696"/>
      <c r="BQ506" s="696"/>
      <c r="BR506" s="696"/>
      <c r="BS506" s="696"/>
      <c r="BT506" s="696"/>
      <c r="BU506" s="696"/>
      <c r="BV506" s="696"/>
      <c r="BW506" s="696"/>
      <c r="BX506" s="696"/>
      <c r="BY506" s="696"/>
      <c r="BZ506" s="696"/>
      <c r="CA506" s="696"/>
      <c r="CB506" s="696"/>
      <c r="CC506" s="696"/>
      <c r="CD506" s="696"/>
      <c r="CE506" s="696"/>
      <c r="CF506" s="696"/>
      <c r="CG506" s="696"/>
      <c r="CH506" s="696"/>
      <c r="CI506" s="696"/>
      <c r="CJ506" s="696"/>
      <c r="CK506" s="696"/>
      <c r="CL506" s="696"/>
      <c r="CM506" s="696"/>
      <c r="CN506" s="696"/>
      <c r="CO506" s="696"/>
      <c r="CP506" s="696"/>
      <c r="CQ506" s="696"/>
      <c r="CR506" s="696"/>
      <c r="CS506" s="696"/>
      <c r="CT506" s="696"/>
      <c r="CU506" s="696"/>
      <c r="CV506" s="696"/>
      <c r="CW506" s="696"/>
      <c r="CX506" s="696"/>
      <c r="CY506" s="696"/>
      <c r="CZ506" s="696"/>
      <c r="DA506" s="696"/>
      <c r="DC506" s="12">
        <f t="shared" si="551"/>
        <v>0</v>
      </c>
      <c r="DD506" s="12">
        <f t="shared" si="552"/>
        <v>0</v>
      </c>
      <c r="DE506" s="12">
        <f t="shared" si="553"/>
        <v>0</v>
      </c>
      <c r="DF506" s="12">
        <f t="shared" si="554"/>
        <v>0</v>
      </c>
      <c r="DG506" s="12">
        <f t="shared" si="555"/>
        <v>0</v>
      </c>
      <c r="DH506" s="12">
        <f t="shared" si="556"/>
        <v>0</v>
      </c>
      <c r="DI506" s="12">
        <f t="shared" si="549"/>
        <v>0</v>
      </c>
    </row>
    <row r="507" spans="5:113" outlineLevel="2">
      <c r="F507" s="126" t="s">
        <v>800</v>
      </c>
      <c r="I507" s="609" t="s">
        <v>736</v>
      </c>
      <c r="AK507" s="710"/>
      <c r="AL507" s="710"/>
      <c r="AM507" s="710"/>
      <c r="AN507" s="710"/>
      <c r="AO507" s="710"/>
      <c r="AP507" s="710"/>
      <c r="AQ507" s="710"/>
      <c r="AR507" s="710"/>
      <c r="AS507" s="710"/>
      <c r="AT507" s="710"/>
      <c r="AU507" s="710"/>
      <c r="AV507" s="710"/>
      <c r="AW507" s="710"/>
      <c r="AX507" s="710"/>
      <c r="AY507" s="710"/>
      <c r="AZ507" s="710"/>
      <c r="BA507" s="710"/>
      <c r="BB507" s="710"/>
      <c r="BC507" s="710"/>
      <c r="BD507" s="710"/>
      <c r="BE507" s="710"/>
      <c r="BF507" s="710"/>
      <c r="BG507" s="710"/>
      <c r="BH507" s="710"/>
      <c r="BI507" s="710"/>
      <c r="BJ507" s="710"/>
      <c r="BK507" s="710"/>
      <c r="BL507" s="710"/>
      <c r="BM507" s="710"/>
      <c r="BN507" s="710"/>
      <c r="BO507" s="710"/>
      <c r="BP507" s="710"/>
      <c r="BQ507" s="710"/>
      <c r="BR507" s="710"/>
      <c r="BS507" s="710"/>
      <c r="BT507" s="710"/>
      <c r="BU507" s="710"/>
      <c r="BV507" s="710"/>
      <c r="BW507" s="710"/>
      <c r="BX507" s="710"/>
      <c r="BY507" s="710"/>
      <c r="BZ507" s="710"/>
      <c r="CA507" s="710"/>
      <c r="CB507" s="710"/>
      <c r="CC507" s="710"/>
      <c r="CD507" s="710"/>
      <c r="CE507" s="710"/>
      <c r="CF507" s="710"/>
      <c r="CG507" s="710"/>
      <c r="CH507" s="710"/>
      <c r="CI507" s="710"/>
      <c r="CJ507" s="710"/>
      <c r="CK507" s="710"/>
      <c r="CL507" s="710"/>
      <c r="CM507" s="710"/>
      <c r="CN507" s="710"/>
      <c r="CO507" s="710"/>
      <c r="CP507" s="710"/>
      <c r="CQ507" s="710"/>
      <c r="CR507" s="710"/>
      <c r="CS507" s="710"/>
      <c r="CT507" s="710"/>
      <c r="CU507" s="710"/>
      <c r="CV507" s="710"/>
      <c r="CW507" s="710"/>
      <c r="CX507" s="710"/>
      <c r="CY507" s="710"/>
      <c r="CZ507" s="710"/>
      <c r="DA507" s="710"/>
      <c r="DC507" s="12">
        <f t="shared" si="551"/>
        <v>0</v>
      </c>
      <c r="DD507" s="12">
        <f t="shared" si="552"/>
        <v>0</v>
      </c>
      <c r="DE507" s="12">
        <f t="shared" si="553"/>
        <v>0</v>
      </c>
      <c r="DF507" s="12">
        <f t="shared" si="554"/>
        <v>0</v>
      </c>
      <c r="DG507" s="12">
        <f t="shared" si="555"/>
        <v>0</v>
      </c>
      <c r="DH507" s="12">
        <f t="shared" si="556"/>
        <v>0</v>
      </c>
      <c r="DI507" s="12">
        <f t="shared" si="549"/>
        <v>0</v>
      </c>
    </row>
    <row r="508" spans="5:113" outlineLevel="2">
      <c r="F508" s="126" t="s">
        <v>223</v>
      </c>
      <c r="I508" s="609" t="s">
        <v>736</v>
      </c>
      <c r="AK508" s="710"/>
      <c r="AL508" s="710"/>
      <c r="AM508" s="710"/>
      <c r="AN508" s="710"/>
      <c r="AO508" s="710"/>
      <c r="AP508" s="710"/>
      <c r="AQ508" s="710"/>
      <c r="AR508" s="710">
        <v>5.6280000000000002E-3</v>
      </c>
      <c r="AS508" s="710">
        <v>1.4768249999999997E-2</v>
      </c>
      <c r="AT508" s="710">
        <v>2.1442875E-2</v>
      </c>
      <c r="AU508" s="710">
        <v>3.0574125000000001E-2</v>
      </c>
      <c r="AV508" s="710">
        <v>4.0052249999999998E-2</v>
      </c>
      <c r="AW508" s="710">
        <v>4.9877250000000005E-2</v>
      </c>
      <c r="AX508" s="710">
        <v>6.0049125000000002E-2</v>
      </c>
      <c r="AY508" s="710">
        <v>7.0567875000000002E-2</v>
      </c>
      <c r="AZ508" s="710">
        <v>8.143350000000002E-2</v>
      </c>
      <c r="BA508" s="710">
        <v>9.264600000000002E-2</v>
      </c>
      <c r="BB508" s="710">
        <v>0.10420537500000003</v>
      </c>
      <c r="BC508" s="710">
        <v>0.11611162500000002</v>
      </c>
      <c r="BD508" s="710">
        <v>0.12836475000000003</v>
      </c>
      <c r="BE508" s="710">
        <v>0.14096475</v>
      </c>
      <c r="BF508" s="710">
        <v>0.25681625000000002</v>
      </c>
      <c r="BG508" s="710">
        <v>0.27956625000000002</v>
      </c>
      <c r="BH508" s="710">
        <v>0.30319124999999997</v>
      </c>
      <c r="BI508" s="710">
        <v>0.32769124999999999</v>
      </c>
      <c r="BJ508" s="710">
        <v>0.35306624999999997</v>
      </c>
      <c r="BK508" s="710">
        <v>0.37931624999999997</v>
      </c>
      <c r="BL508" s="710">
        <v>0.40644124999999998</v>
      </c>
      <c r="BM508" s="710">
        <v>0.43444124999999995</v>
      </c>
      <c r="BN508" s="710">
        <v>0.46331625000000004</v>
      </c>
      <c r="BO508" s="710">
        <v>0.49306624999999998</v>
      </c>
      <c r="BP508" s="710">
        <v>0.52369124999999994</v>
      </c>
      <c r="BQ508" s="710">
        <v>0.55519124999999991</v>
      </c>
      <c r="BR508" s="710">
        <v>0.58719124999999994</v>
      </c>
      <c r="BS508" s="710">
        <v>0.6196912499999998</v>
      </c>
      <c r="BT508" s="710">
        <v>0.65269124999999995</v>
      </c>
      <c r="BU508" s="710">
        <v>0.68619124999999992</v>
      </c>
      <c r="BV508" s="710">
        <v>0.72019124999999995</v>
      </c>
      <c r="BW508" s="710">
        <v>0.75469124999999981</v>
      </c>
      <c r="BX508" s="710">
        <v>0.78969124999999984</v>
      </c>
      <c r="BY508" s="710">
        <v>0.82519124999999982</v>
      </c>
      <c r="BZ508" s="710">
        <v>0.86119124999999985</v>
      </c>
      <c r="CA508" s="710">
        <v>0.89769124999999972</v>
      </c>
      <c r="CB508" s="710">
        <v>0.93469124999999975</v>
      </c>
      <c r="CC508" s="710">
        <v>0.97219124999999973</v>
      </c>
      <c r="CD508" s="710">
        <v>1.0096912499999997</v>
      </c>
      <c r="CE508" s="710">
        <v>1.0471912499999996</v>
      </c>
      <c r="CF508" s="710">
        <v>1.0846912499999997</v>
      </c>
      <c r="CG508" s="710">
        <v>1.1221912499999995</v>
      </c>
      <c r="CH508" s="710">
        <v>1.1596912499999996</v>
      </c>
      <c r="CI508" s="710">
        <v>1.1971912499999997</v>
      </c>
      <c r="CJ508" s="710">
        <v>1.2346912499999996</v>
      </c>
      <c r="CK508" s="710">
        <v>1.2721912499999997</v>
      </c>
      <c r="CL508" s="710">
        <v>1.3096912499999995</v>
      </c>
      <c r="CM508" s="710">
        <v>1.3471912499999996</v>
      </c>
      <c r="CN508" s="710">
        <v>1.3846912499999997</v>
      </c>
      <c r="CO508" s="710">
        <v>1.4221912499999996</v>
      </c>
      <c r="CP508" s="710">
        <v>1.4596912499999997</v>
      </c>
      <c r="CQ508" s="710">
        <v>1.4971912499999995</v>
      </c>
      <c r="CR508" s="710">
        <v>1.5346912499999996</v>
      </c>
      <c r="CS508" s="710">
        <v>1.5721912499999997</v>
      </c>
      <c r="CT508" s="710">
        <v>1.6096912499999996</v>
      </c>
      <c r="CU508" s="710">
        <v>1.6471912499999997</v>
      </c>
      <c r="CV508" s="710">
        <v>1.6846912499999995</v>
      </c>
      <c r="CW508" s="710">
        <v>1.7221912499999996</v>
      </c>
      <c r="CX508" s="710">
        <v>1.7596912499999997</v>
      </c>
      <c r="CY508" s="710">
        <v>1.7971912499999996</v>
      </c>
      <c r="CZ508" s="710">
        <v>1.8346912499999997</v>
      </c>
      <c r="DA508" s="710">
        <v>1.8721912499999995</v>
      </c>
      <c r="DC508" s="12">
        <f t="shared" si="551"/>
        <v>0</v>
      </c>
      <c r="DD508" s="12">
        <f t="shared" si="552"/>
        <v>2.0396249999999998E-2</v>
      </c>
      <c r="DE508" s="12">
        <f t="shared" si="553"/>
        <v>0.93628950000000011</v>
      </c>
      <c r="DF508" s="12">
        <f t="shared" si="554"/>
        <v>4.7757949999999996</v>
      </c>
      <c r="DG508" s="12">
        <f t="shared" si="555"/>
        <v>9.3012949999999979</v>
      </c>
      <c r="DH508" s="12">
        <f t="shared" si="556"/>
        <v>14.591294999999995</v>
      </c>
      <c r="DI508" s="12">
        <f t="shared" si="549"/>
        <v>19.991294999999994</v>
      </c>
    </row>
    <row r="509" spans="5:113" outlineLevel="2">
      <c r="F509" s="126" t="s">
        <v>221</v>
      </c>
      <c r="I509" s="609" t="s">
        <v>736</v>
      </c>
      <c r="AK509" s="710"/>
      <c r="AL509" s="710"/>
      <c r="AM509" s="710"/>
      <c r="AN509" s="710"/>
      <c r="AO509" s="710"/>
      <c r="AP509" s="710"/>
      <c r="AQ509" s="710"/>
      <c r="AR509" s="710">
        <v>0</v>
      </c>
      <c r="AS509" s="710">
        <v>0</v>
      </c>
      <c r="AT509" s="710">
        <v>0</v>
      </c>
      <c r="AU509" s="710">
        <v>0</v>
      </c>
      <c r="AV509" s="710">
        <v>0</v>
      </c>
      <c r="AW509" s="710">
        <v>0</v>
      </c>
      <c r="AX509" s="710">
        <v>0</v>
      </c>
      <c r="AY509" s="710">
        <v>0</v>
      </c>
      <c r="AZ509" s="710">
        <v>0</v>
      </c>
      <c r="BA509" s="710">
        <v>0</v>
      </c>
      <c r="BB509" s="710">
        <v>0</v>
      </c>
      <c r="BC509" s="710">
        <v>0</v>
      </c>
      <c r="BD509" s="710">
        <v>0</v>
      </c>
      <c r="BE509" s="710">
        <v>0</v>
      </c>
      <c r="BF509" s="710">
        <v>0</v>
      </c>
      <c r="BG509" s="710">
        <v>0</v>
      </c>
      <c r="BH509" s="710">
        <v>0</v>
      </c>
      <c r="BI509" s="710">
        <v>0</v>
      </c>
      <c r="BJ509" s="710">
        <v>0</v>
      </c>
      <c r="BK509" s="710">
        <v>0</v>
      </c>
      <c r="BL509" s="710">
        <v>0</v>
      </c>
      <c r="BM509" s="710">
        <v>0</v>
      </c>
      <c r="BN509" s="710">
        <v>0</v>
      </c>
      <c r="BO509" s="710">
        <v>0</v>
      </c>
      <c r="BP509" s="710">
        <v>0</v>
      </c>
      <c r="BQ509" s="710">
        <v>0</v>
      </c>
      <c r="BR509" s="710">
        <v>0</v>
      </c>
      <c r="BS509" s="710">
        <v>0</v>
      </c>
      <c r="BT509" s="710">
        <v>0</v>
      </c>
      <c r="BU509" s="710">
        <v>0</v>
      </c>
      <c r="BV509" s="710">
        <v>0</v>
      </c>
      <c r="BW509" s="710">
        <v>0</v>
      </c>
      <c r="BX509" s="710">
        <v>0</v>
      </c>
      <c r="BY509" s="710">
        <v>0</v>
      </c>
      <c r="BZ509" s="710">
        <v>0</v>
      </c>
      <c r="CA509" s="710">
        <v>0</v>
      </c>
      <c r="CB509" s="710">
        <v>0</v>
      </c>
      <c r="CC509" s="710">
        <v>0</v>
      </c>
      <c r="CD509" s="710">
        <v>0</v>
      </c>
      <c r="CE509" s="710">
        <v>0</v>
      </c>
      <c r="CF509" s="710">
        <v>0</v>
      </c>
      <c r="CG509" s="710">
        <v>0</v>
      </c>
      <c r="CH509" s="710">
        <v>0</v>
      </c>
      <c r="CI509" s="710">
        <v>0</v>
      </c>
      <c r="CJ509" s="710">
        <v>0</v>
      </c>
      <c r="CK509" s="710">
        <v>0</v>
      </c>
      <c r="CL509" s="710">
        <v>0</v>
      </c>
      <c r="CM509" s="710">
        <v>0</v>
      </c>
      <c r="CN509" s="710">
        <v>0</v>
      </c>
      <c r="CO509" s="710">
        <v>0</v>
      </c>
      <c r="CP509" s="710">
        <v>0</v>
      </c>
      <c r="CQ509" s="710">
        <v>0</v>
      </c>
      <c r="CR509" s="710">
        <v>0</v>
      </c>
      <c r="CS509" s="710">
        <v>0</v>
      </c>
      <c r="CT509" s="710">
        <v>0</v>
      </c>
      <c r="CU509" s="710">
        <v>0</v>
      </c>
      <c r="CV509" s="710">
        <v>0</v>
      </c>
      <c r="CW509" s="710">
        <v>0</v>
      </c>
      <c r="CX509" s="710">
        <v>0</v>
      </c>
      <c r="CY509" s="710">
        <v>0</v>
      </c>
      <c r="CZ509" s="710">
        <v>0</v>
      </c>
      <c r="DA509" s="710">
        <v>0</v>
      </c>
      <c r="DC509" s="12">
        <f t="shared" si="551"/>
        <v>0</v>
      </c>
      <c r="DD509" s="12">
        <f t="shared" si="552"/>
        <v>0</v>
      </c>
      <c r="DE509" s="12">
        <f t="shared" si="553"/>
        <v>0</v>
      </c>
      <c r="DF509" s="12">
        <f t="shared" si="554"/>
        <v>0</v>
      </c>
      <c r="DG509" s="12">
        <f t="shared" si="555"/>
        <v>0</v>
      </c>
      <c r="DH509" s="12">
        <f t="shared" si="556"/>
        <v>0</v>
      </c>
      <c r="DI509" s="12">
        <f t="shared" si="549"/>
        <v>0</v>
      </c>
    </row>
    <row r="510" spans="5:113" outlineLevel="2">
      <c r="F510" s="126" t="s">
        <v>801</v>
      </c>
      <c r="I510" s="609" t="s">
        <v>736</v>
      </c>
      <c r="AK510" s="710"/>
      <c r="AL510" s="710"/>
      <c r="AM510" s="710"/>
      <c r="AN510" s="710"/>
      <c r="AO510" s="710"/>
      <c r="AP510" s="710"/>
      <c r="AQ510" s="710"/>
      <c r="AR510" s="710">
        <v>0</v>
      </c>
      <c r="AS510" s="710">
        <v>0</v>
      </c>
      <c r="AT510" s="710">
        <v>0</v>
      </c>
      <c r="AU510" s="710">
        <v>0</v>
      </c>
      <c r="AV510" s="710">
        <v>0</v>
      </c>
      <c r="AW510" s="710">
        <v>0</v>
      </c>
      <c r="AX510" s="710">
        <v>0</v>
      </c>
      <c r="AY510" s="710">
        <v>0</v>
      </c>
      <c r="AZ510" s="710">
        <v>0</v>
      </c>
      <c r="BA510" s="710">
        <v>0</v>
      </c>
      <c r="BB510" s="710">
        <v>0</v>
      </c>
      <c r="BC510" s="710">
        <v>0</v>
      </c>
      <c r="BD510" s="710">
        <v>0</v>
      </c>
      <c r="BE510" s="710">
        <v>0</v>
      </c>
      <c r="BF510" s="710">
        <v>0</v>
      </c>
      <c r="BG510" s="710">
        <v>0</v>
      </c>
      <c r="BH510" s="710">
        <v>0</v>
      </c>
      <c r="BI510" s="710">
        <v>0</v>
      </c>
      <c r="BJ510" s="710">
        <v>0</v>
      </c>
      <c r="BK510" s="710">
        <v>0</v>
      </c>
      <c r="BL510" s="710">
        <v>0</v>
      </c>
      <c r="BM510" s="710">
        <v>0</v>
      </c>
      <c r="BN510" s="710">
        <v>0</v>
      </c>
      <c r="BO510" s="710">
        <v>0</v>
      </c>
      <c r="BP510" s="710">
        <v>0</v>
      </c>
      <c r="BQ510" s="710">
        <v>0</v>
      </c>
      <c r="BR510" s="710">
        <v>0</v>
      </c>
      <c r="BS510" s="710">
        <v>0</v>
      </c>
      <c r="BT510" s="710">
        <v>0</v>
      </c>
      <c r="BU510" s="710">
        <v>0</v>
      </c>
      <c r="BV510" s="710">
        <v>0</v>
      </c>
      <c r="BW510" s="710">
        <v>0</v>
      </c>
      <c r="BX510" s="710">
        <v>0</v>
      </c>
      <c r="BY510" s="710">
        <v>0</v>
      </c>
      <c r="BZ510" s="710">
        <v>0</v>
      </c>
      <c r="CA510" s="710">
        <v>0</v>
      </c>
      <c r="CB510" s="710">
        <v>0</v>
      </c>
      <c r="CC510" s="710">
        <v>0</v>
      </c>
      <c r="CD510" s="710">
        <v>0</v>
      </c>
      <c r="CE510" s="710">
        <v>0</v>
      </c>
      <c r="CF510" s="710">
        <v>0</v>
      </c>
      <c r="CG510" s="710">
        <v>0</v>
      </c>
      <c r="CH510" s="710">
        <v>0</v>
      </c>
      <c r="CI510" s="710">
        <v>0</v>
      </c>
      <c r="CJ510" s="710">
        <v>0</v>
      </c>
      <c r="CK510" s="710">
        <v>0</v>
      </c>
      <c r="CL510" s="710">
        <v>0</v>
      </c>
      <c r="CM510" s="710">
        <v>0</v>
      </c>
      <c r="CN510" s="710">
        <v>0</v>
      </c>
      <c r="CO510" s="710">
        <v>0</v>
      </c>
      <c r="CP510" s="710">
        <v>0</v>
      </c>
      <c r="CQ510" s="710">
        <v>0</v>
      </c>
      <c r="CR510" s="710">
        <v>0</v>
      </c>
      <c r="CS510" s="710">
        <v>0</v>
      </c>
      <c r="CT510" s="710">
        <v>0</v>
      </c>
      <c r="CU510" s="710">
        <v>0</v>
      </c>
      <c r="CV510" s="710">
        <v>0</v>
      </c>
      <c r="CW510" s="710">
        <v>0</v>
      </c>
      <c r="CX510" s="710">
        <v>0</v>
      </c>
      <c r="CY510" s="710">
        <v>0</v>
      </c>
      <c r="CZ510" s="710">
        <v>0</v>
      </c>
      <c r="DA510" s="710">
        <v>0</v>
      </c>
      <c r="DC510" s="12">
        <f t="shared" si="551"/>
        <v>0</v>
      </c>
      <c r="DD510" s="12">
        <f t="shared" si="552"/>
        <v>0</v>
      </c>
      <c r="DE510" s="12">
        <f t="shared" si="553"/>
        <v>0</v>
      </c>
      <c r="DF510" s="12">
        <f t="shared" si="554"/>
        <v>0</v>
      </c>
      <c r="DG510" s="12">
        <f t="shared" si="555"/>
        <v>0</v>
      </c>
      <c r="DH510" s="12">
        <f t="shared" si="556"/>
        <v>0</v>
      </c>
      <c r="DI510" s="12">
        <f t="shared" si="549"/>
        <v>0</v>
      </c>
    </row>
    <row r="511" spans="5:113" outlineLevel="2">
      <c r="F511" s="126" t="s">
        <v>802</v>
      </c>
      <c r="I511" s="609" t="s">
        <v>736</v>
      </c>
      <c r="AK511" s="710"/>
      <c r="AL511" s="710"/>
      <c r="AM511" s="710"/>
      <c r="AN511" s="710"/>
      <c r="AO511" s="710"/>
      <c r="AP511" s="710"/>
      <c r="AQ511" s="710"/>
      <c r="AR511" s="710"/>
      <c r="AS511" s="710"/>
      <c r="AT511" s="710"/>
      <c r="AU511" s="710"/>
      <c r="AV511" s="710"/>
      <c r="AW511" s="710"/>
      <c r="AX511" s="710"/>
      <c r="AY511" s="710"/>
      <c r="AZ511" s="710"/>
      <c r="BA511" s="710"/>
      <c r="BB511" s="710"/>
      <c r="BC511" s="710"/>
      <c r="BD511" s="710"/>
      <c r="BE511" s="710"/>
      <c r="BF511" s="710"/>
      <c r="BG511" s="710"/>
      <c r="BH511" s="710"/>
      <c r="BI511" s="710"/>
      <c r="BJ511" s="710"/>
      <c r="BK511" s="710"/>
      <c r="BL511" s="710"/>
      <c r="BM511" s="710"/>
      <c r="BN511" s="710"/>
      <c r="BO511" s="710"/>
      <c r="BP511" s="710"/>
      <c r="BQ511" s="710"/>
      <c r="BR511" s="710"/>
      <c r="BS511" s="710"/>
      <c r="BT511" s="710"/>
      <c r="BU511" s="710"/>
      <c r="BV511" s="710"/>
      <c r="BW511" s="710"/>
      <c r="BX511" s="710"/>
      <c r="BY511" s="710"/>
      <c r="BZ511" s="710"/>
      <c r="CA511" s="710"/>
      <c r="CB511" s="710"/>
      <c r="CC511" s="710"/>
      <c r="CD511" s="710"/>
      <c r="CE511" s="710"/>
      <c r="CF511" s="710"/>
      <c r="CG511" s="710"/>
      <c r="CH511" s="710"/>
      <c r="CI511" s="710"/>
      <c r="CJ511" s="710"/>
      <c r="CK511" s="710"/>
      <c r="CL511" s="710"/>
      <c r="CM511" s="710"/>
      <c r="CN511" s="710"/>
      <c r="CO511" s="710"/>
      <c r="CP511" s="710"/>
      <c r="CQ511" s="710"/>
      <c r="CR511" s="710"/>
      <c r="CS511" s="710"/>
      <c r="CT511" s="710"/>
      <c r="CU511" s="710"/>
      <c r="CV511" s="710"/>
      <c r="CW511" s="710"/>
      <c r="CX511" s="710"/>
      <c r="CY511" s="710"/>
      <c r="CZ511" s="710"/>
      <c r="DA511" s="710"/>
      <c r="DC511" s="12">
        <f t="shared" si="551"/>
        <v>0</v>
      </c>
      <c r="DD511" s="12">
        <f t="shared" si="552"/>
        <v>0</v>
      </c>
      <c r="DE511" s="12">
        <f t="shared" si="553"/>
        <v>0</v>
      </c>
      <c r="DF511" s="12">
        <f t="shared" si="554"/>
        <v>0</v>
      </c>
      <c r="DG511" s="12">
        <f t="shared" si="555"/>
        <v>0</v>
      </c>
      <c r="DH511" s="12">
        <f t="shared" si="556"/>
        <v>0</v>
      </c>
      <c r="DI511" s="12">
        <f t="shared" si="549"/>
        <v>0</v>
      </c>
    </row>
    <row r="512" spans="5:113" outlineLevel="2">
      <c r="F512" s="126" t="s">
        <v>222</v>
      </c>
      <c r="I512" s="609" t="s">
        <v>736</v>
      </c>
      <c r="AK512" s="710"/>
      <c r="AL512" s="710"/>
      <c r="AM512" s="710"/>
      <c r="AN512" s="710"/>
      <c r="AO512" s="710"/>
      <c r="AP512" s="710"/>
      <c r="AQ512" s="710"/>
      <c r="AR512" s="710">
        <v>4.0052600000000001E-3</v>
      </c>
      <c r="AS512" s="710">
        <v>1.2030538249999998E-2</v>
      </c>
      <c r="AT512" s="710">
        <v>2.0375604920833332E-2</v>
      </c>
      <c r="AU512" s="710">
        <v>2.9144707839374995E-2</v>
      </c>
      <c r="AV512" s="710">
        <v>3.828981977771876E-2</v>
      </c>
      <c r="AW512" s="710">
        <v>4.7789328483306776E-2</v>
      </c>
      <c r="AX512" s="710">
        <v>5.7633508442488053E-2</v>
      </c>
      <c r="AY512" s="710">
        <v>6.7817983174119634E-2</v>
      </c>
      <c r="AZ512" s="710">
        <v>7.8340783261687169E-2</v>
      </c>
      <c r="BA512" s="710">
        <v>8.9201022467759253E-2</v>
      </c>
      <c r="BB512" s="710">
        <v>0.10039830198549168</v>
      </c>
      <c r="BC512" s="710">
        <v>0.11193244235180459</v>
      </c>
      <c r="BD512" s="710">
        <v>0.12380336280831208</v>
      </c>
      <c r="BE512" s="710">
        <v>0.13601102701374046</v>
      </c>
      <c r="BF512" s="710">
        <v>0.15334446007284988</v>
      </c>
      <c r="BG512" s="710">
        <v>0.16905158828278244</v>
      </c>
      <c r="BH512" s="710">
        <v>0.18432292097725211</v>
      </c>
      <c r="BI512" s="710">
        <v>0.1996941873564301</v>
      </c>
      <c r="BJ512" s="710">
        <v>0.21540646556039356</v>
      </c>
      <c r="BK512" s="710">
        <v>0.23156824075217708</v>
      </c>
      <c r="BL512" s="710">
        <v>0.24822833125514635</v>
      </c>
      <c r="BM512" s="710">
        <v>0.26540870531481586</v>
      </c>
      <c r="BN512" s="710">
        <v>0.28311924864166715</v>
      </c>
      <c r="BO512" s="710">
        <v>0.30136440980541684</v>
      </c>
      <c r="BP512" s="710">
        <v>0.32014619066243755</v>
      </c>
      <c r="BQ512" s="710">
        <v>0.3394654920480969</v>
      </c>
      <c r="BR512" s="710">
        <v>0.35910584433831028</v>
      </c>
      <c r="BS512" s="710">
        <v>0.3790598362022396</v>
      </c>
      <c r="BT512" s="710">
        <v>0.39932413254100779</v>
      </c>
      <c r="BU512" s="710">
        <v>0.41989723256012018</v>
      </c>
      <c r="BV512" s="710">
        <v>0.44077846090205403</v>
      </c>
      <c r="BW512" s="710">
        <v>0.46196751365592426</v>
      </c>
      <c r="BX512" s="710">
        <v>0.48346425406183247</v>
      </c>
      <c r="BY512" s="710">
        <v>0.50526862057782462</v>
      </c>
      <c r="BZ512" s="710">
        <v>0.52738058551002098</v>
      </c>
      <c r="CA512" s="710">
        <v>0.54980013639617609</v>
      </c>
      <c r="CB512" s="710">
        <v>0.5725272676282791</v>
      </c>
      <c r="CC512" s="710">
        <v>0.59556197668272559</v>
      </c>
      <c r="CD512" s="710">
        <v>0.61861509575722651</v>
      </c>
      <c r="CE512" s="710">
        <v>0.64167649934075177</v>
      </c>
      <c r="CF512" s="710">
        <v>0.66474163095333816</v>
      </c>
      <c r="CG512" s="710">
        <v>0.68780844017900211</v>
      </c>
      <c r="CH512" s="710">
        <v>0.71087600433055087</v>
      </c>
      <c r="CI512" s="710">
        <v>0.73394390819874777</v>
      </c>
      <c r="CJ512" s="710">
        <v>0.75701196493943645</v>
      </c>
      <c r="CK512" s="710">
        <v>0.78008009047274629</v>
      </c>
      <c r="CL512" s="710">
        <v>0.80314824696273579</v>
      </c>
      <c r="CM512" s="710">
        <v>0.82621641738323104</v>
      </c>
      <c r="CN512" s="710">
        <v>0.84928459407245394</v>
      </c>
      <c r="CO512" s="710">
        <v>0.87235277358260421</v>
      </c>
      <c r="CP512" s="710">
        <v>0.89542095436217184</v>
      </c>
      <c r="CQ512" s="710">
        <v>0.91848913571297719</v>
      </c>
      <c r="CR512" s="710">
        <v>0.94155731732083958</v>
      </c>
      <c r="CS512" s="710">
        <v>0.96462549904437789</v>
      </c>
      <c r="CT512" s="710">
        <v>0.98769368081996989</v>
      </c>
      <c r="CU512" s="710">
        <v>1.0107618626189865</v>
      </c>
      <c r="CV512" s="710">
        <v>1.0338300444285438</v>
      </c>
      <c r="CW512" s="710">
        <v>1.0568982262428446</v>
      </c>
      <c r="CX512" s="710">
        <v>1.0799664080592799</v>
      </c>
      <c r="CY512" s="710">
        <v>1.1030345898766758</v>
      </c>
      <c r="CZ512" s="710">
        <v>1.1261027716945042</v>
      </c>
      <c r="DA512" s="710">
        <v>1.1491709535125267</v>
      </c>
      <c r="DC512" s="12">
        <f t="shared" si="551"/>
        <v>0</v>
      </c>
      <c r="DD512" s="12">
        <f t="shared" si="552"/>
        <v>1.6035798249999997E-2</v>
      </c>
      <c r="DE512" s="12">
        <f t="shared" si="553"/>
        <v>0.90073789252663661</v>
      </c>
      <c r="DF512" s="12">
        <f t="shared" si="554"/>
        <v>2.9111202407294661</v>
      </c>
      <c r="DG512" s="12">
        <f t="shared" si="555"/>
        <v>5.694135861056516</v>
      </c>
      <c r="DH512" s="12">
        <f t="shared" si="556"/>
        <v>8.9457556661728237</v>
      </c>
      <c r="DI512" s="12">
        <f t="shared" si="549"/>
        <v>12.267551443693698</v>
      </c>
    </row>
    <row r="513" spans="2:113" outlineLevel="2">
      <c r="F513" s="126" t="s">
        <v>803</v>
      </c>
      <c r="I513" s="609" t="s">
        <v>736</v>
      </c>
      <c r="AK513" s="710"/>
      <c r="AL513" s="710"/>
      <c r="AM513" s="710"/>
      <c r="AN513" s="710"/>
      <c r="AO513" s="710"/>
      <c r="AP513" s="710"/>
      <c r="AQ513" s="710"/>
      <c r="AR513" s="710">
        <v>0</v>
      </c>
      <c r="AS513" s="710">
        <v>1.4295945225951324E-2</v>
      </c>
      <c r="AT513" s="710">
        <v>5.540845506414567E-2</v>
      </c>
      <c r="AU513" s="710">
        <v>0.10789166310389528</v>
      </c>
      <c r="AV513" s="710">
        <v>0.16255236320873612</v>
      </c>
      <c r="AW513" s="710">
        <v>0.22181190409480858</v>
      </c>
      <c r="AX513" s="710">
        <v>0.28213150451741759</v>
      </c>
      <c r="AY513" s="710">
        <v>0.3437458340622217</v>
      </c>
      <c r="AZ513" s="710">
        <v>0.40879569013274114</v>
      </c>
      <c r="BA513" s="710">
        <v>0.47788192943777619</v>
      </c>
      <c r="BB513" s="710">
        <v>0.55167200816771023</v>
      </c>
      <c r="BC513" s="710">
        <v>0.63095137151465053</v>
      </c>
      <c r="BD513" s="710">
        <v>0.71591371869407816</v>
      </c>
      <c r="BE513" s="710">
        <v>0.80497588768397799</v>
      </c>
      <c r="BF513" s="710">
        <v>1.0187530044935964</v>
      </c>
      <c r="BG513" s="710">
        <v>1.3700285404279704</v>
      </c>
      <c r="BH513" s="710">
        <v>1.8317646718162184</v>
      </c>
      <c r="BI513" s="710">
        <v>2.1424914092762544</v>
      </c>
      <c r="BJ513" s="710">
        <v>2.3794972872725979</v>
      </c>
      <c r="BK513" s="710">
        <v>2.6000995341087965</v>
      </c>
      <c r="BL513" s="710">
        <v>2.8040821477131348</v>
      </c>
      <c r="BM513" s="710">
        <v>2.9992093995087421</v>
      </c>
      <c r="BN513" s="710">
        <v>3.2182505909739918</v>
      </c>
      <c r="BO513" s="710">
        <v>3.4517795030618044</v>
      </c>
      <c r="BP513" s="710">
        <v>3.6866595139269553</v>
      </c>
      <c r="BQ513" s="710">
        <v>3.9299611311954599</v>
      </c>
      <c r="BR513" s="710">
        <v>4.1697061859236584</v>
      </c>
      <c r="BS513" s="710">
        <v>4.4153508060619648</v>
      </c>
      <c r="BT513" s="710">
        <v>4.665266788412203</v>
      </c>
      <c r="BU513" s="710">
        <v>4.9186642201530608</v>
      </c>
      <c r="BV513" s="710">
        <v>5.1759467992705419</v>
      </c>
      <c r="BW513" s="710">
        <v>5.4373417239750665</v>
      </c>
      <c r="BX513" s="710">
        <v>5.7366423713247396</v>
      </c>
      <c r="BY513" s="710">
        <v>6.0338147178502437</v>
      </c>
      <c r="BZ513" s="710">
        <v>6.3333357395277368</v>
      </c>
      <c r="CA513" s="710">
        <v>6.6361347944292595</v>
      </c>
      <c r="CB513" s="710">
        <v>6.943451015460627</v>
      </c>
      <c r="CC513" s="710">
        <v>7.2552412111180864</v>
      </c>
      <c r="CD513" s="710">
        <v>7.6161412411249882</v>
      </c>
      <c r="CE513" s="710">
        <v>7.9475210511562233</v>
      </c>
      <c r="CF513" s="710">
        <v>8.278430604831744</v>
      </c>
      <c r="CG513" s="710">
        <v>8.6091002612633734</v>
      </c>
      <c r="CH513" s="710">
        <v>8.9408471293585823</v>
      </c>
      <c r="CI513" s="710">
        <v>9.2735396018545657</v>
      </c>
      <c r="CJ513" s="710">
        <v>9.6072094989860375</v>
      </c>
      <c r="CK513" s="710">
        <v>9.9100280041653157</v>
      </c>
      <c r="CL513" s="710">
        <v>10.214421324421957</v>
      </c>
      <c r="CM513" s="710">
        <v>10.519485466303319</v>
      </c>
      <c r="CN513" s="710">
        <v>10.825120972728087</v>
      </c>
      <c r="CO513" s="710">
        <v>11.131269919471448</v>
      </c>
      <c r="CP513" s="710">
        <v>11.437942982589309</v>
      </c>
      <c r="CQ513" s="710">
        <v>11.745148483130716</v>
      </c>
      <c r="CR513" s="710">
        <v>12.052895970737863</v>
      </c>
      <c r="CS513" s="710">
        <v>12.360521276910029</v>
      </c>
      <c r="CT513" s="710">
        <v>12.668066873720631</v>
      </c>
      <c r="CU513" s="710">
        <v>12.975550891557903</v>
      </c>
      <c r="CV513" s="710">
        <v>13.282987776214785</v>
      </c>
      <c r="CW513" s="710">
        <v>13.590389728124908</v>
      </c>
      <c r="CX513" s="710">
        <v>13.897768928574822</v>
      </c>
      <c r="CY513" s="710">
        <v>14.205137443549646</v>
      </c>
      <c r="CZ513" s="710">
        <v>14.512507247277417</v>
      </c>
      <c r="DA513" s="710">
        <v>14.819876005970718</v>
      </c>
      <c r="DC513" s="12">
        <f>SUM(V513:AG513)</f>
        <v>0</v>
      </c>
      <c r="DD513" s="12">
        <f>SUM(AH513:AS513)</f>
        <v>1.4295945225951324E-2</v>
      </c>
      <c r="DE513" s="12">
        <f>SUM(AT513:BE513)</f>
        <v>4.763732329682159</v>
      </c>
      <c r="DF513" s="12">
        <f>SUM(BF513:BQ513)</f>
        <v>31.43257673377552</v>
      </c>
      <c r="DG513" s="12">
        <f>SUM(BR513:CC513)</f>
        <v>67.720896373507188</v>
      </c>
      <c r="DH513" s="12">
        <f>SUM(CD513:CO513)</f>
        <v>112.87311507566565</v>
      </c>
      <c r="DI513" s="12">
        <f t="shared" si="549"/>
        <v>157.54879360835875</v>
      </c>
    </row>
    <row r="514" spans="2:113" outlineLevel="2">
      <c r="F514" s="126" t="s">
        <v>224</v>
      </c>
      <c r="I514" s="609" t="s">
        <v>736</v>
      </c>
      <c r="AK514" s="710"/>
      <c r="AL514" s="710"/>
      <c r="AM514" s="710"/>
      <c r="AN514" s="710"/>
      <c r="AO514" s="710"/>
      <c r="AP514" s="710"/>
      <c r="AQ514" s="710"/>
      <c r="AR514" s="710">
        <v>0</v>
      </c>
      <c r="AS514" s="710">
        <v>0</v>
      </c>
      <c r="AT514" s="710">
        <v>0</v>
      </c>
      <c r="AU514" s="710">
        <v>0</v>
      </c>
      <c r="AV514" s="710">
        <v>0</v>
      </c>
      <c r="AW514" s="710">
        <v>0</v>
      </c>
      <c r="AX514" s="710">
        <v>0</v>
      </c>
      <c r="AY514" s="710">
        <v>0</v>
      </c>
      <c r="AZ514" s="710">
        <v>0</v>
      </c>
      <c r="BA514" s="710">
        <v>0</v>
      </c>
      <c r="BB514" s="710">
        <v>0</v>
      </c>
      <c r="BC514" s="710">
        <v>0</v>
      </c>
      <c r="BD514" s="710">
        <v>0</v>
      </c>
      <c r="BE514" s="710">
        <v>0</v>
      </c>
      <c r="BF514" s="710">
        <v>0</v>
      </c>
      <c r="BG514" s="710">
        <v>0</v>
      </c>
      <c r="BH514" s="710">
        <v>0</v>
      </c>
      <c r="BI514" s="710">
        <v>0</v>
      </c>
      <c r="BJ514" s="710">
        <v>0</v>
      </c>
      <c r="BK514" s="710">
        <v>0</v>
      </c>
      <c r="BL514" s="710">
        <v>0</v>
      </c>
      <c r="BM514" s="710">
        <v>0</v>
      </c>
      <c r="BN514" s="710">
        <v>0</v>
      </c>
      <c r="BO514" s="710">
        <v>0</v>
      </c>
      <c r="BP514" s="710">
        <v>0</v>
      </c>
      <c r="BQ514" s="710">
        <v>0</v>
      </c>
      <c r="BR514" s="710">
        <v>0</v>
      </c>
      <c r="BS514" s="710">
        <v>0</v>
      </c>
      <c r="BT514" s="710">
        <v>0</v>
      </c>
      <c r="BU514" s="710">
        <v>0</v>
      </c>
      <c r="BV514" s="710">
        <v>0</v>
      </c>
      <c r="BW514" s="710">
        <v>0</v>
      </c>
      <c r="BX514" s="710">
        <v>0</v>
      </c>
      <c r="BY514" s="710">
        <v>0</v>
      </c>
      <c r="BZ514" s="710">
        <v>0</v>
      </c>
      <c r="CA514" s="710">
        <v>0</v>
      </c>
      <c r="CB514" s="710">
        <v>0</v>
      </c>
      <c r="CC514" s="710">
        <v>0</v>
      </c>
      <c r="CD514" s="710">
        <v>0</v>
      </c>
      <c r="CE514" s="710">
        <v>0</v>
      </c>
      <c r="CF514" s="710">
        <v>0</v>
      </c>
      <c r="CG514" s="710">
        <v>0</v>
      </c>
      <c r="CH514" s="710">
        <v>0</v>
      </c>
      <c r="CI514" s="710">
        <v>0</v>
      </c>
      <c r="CJ514" s="710">
        <v>0</v>
      </c>
      <c r="CK514" s="710">
        <v>0</v>
      </c>
      <c r="CL514" s="710">
        <v>0</v>
      </c>
      <c r="CM514" s="710">
        <v>0</v>
      </c>
      <c r="CN514" s="710">
        <v>0</v>
      </c>
      <c r="CO514" s="710">
        <v>0</v>
      </c>
      <c r="CP514" s="710">
        <v>0</v>
      </c>
      <c r="CQ514" s="710">
        <v>0</v>
      </c>
      <c r="CR514" s="710">
        <v>0</v>
      </c>
      <c r="CS514" s="710">
        <v>0</v>
      </c>
      <c r="CT514" s="710">
        <v>0</v>
      </c>
      <c r="CU514" s="710">
        <v>0</v>
      </c>
      <c r="CV514" s="710">
        <v>0</v>
      </c>
      <c r="CW514" s="710">
        <v>0</v>
      </c>
      <c r="CX514" s="710">
        <v>0</v>
      </c>
      <c r="CY514" s="710">
        <v>0</v>
      </c>
      <c r="CZ514" s="710">
        <v>0</v>
      </c>
      <c r="DA514" s="710">
        <v>0</v>
      </c>
      <c r="DC514" s="12">
        <f>SUM(V514:AG514)</f>
        <v>0</v>
      </c>
      <c r="DD514" s="12">
        <f>SUM(AH514:AS514)</f>
        <v>0</v>
      </c>
      <c r="DE514" s="12">
        <f>SUM(AT514:BE514)</f>
        <v>0</v>
      </c>
      <c r="DF514" s="12">
        <f>SUM(BF514:BQ514)</f>
        <v>0</v>
      </c>
      <c r="DG514" s="12">
        <f>SUM(BR514:CC514)</f>
        <v>0</v>
      </c>
      <c r="DH514" s="12">
        <f>SUM(CD514:CO514)</f>
        <v>0</v>
      </c>
      <c r="DI514" s="12">
        <f t="shared" si="549"/>
        <v>0</v>
      </c>
    </row>
    <row r="515" spans="2:113" outlineLevel="2">
      <c r="F515" s="126" t="s">
        <v>804</v>
      </c>
      <c r="G515" s="230"/>
      <c r="H515" s="232"/>
      <c r="I515" s="609" t="s">
        <v>736</v>
      </c>
      <c r="AK515" s="710"/>
      <c r="AL515" s="710"/>
      <c r="AM515" s="710"/>
      <c r="AN515" s="710"/>
      <c r="AO515" s="710"/>
      <c r="AP515" s="710"/>
      <c r="AQ515" s="710"/>
      <c r="AR515" s="710">
        <v>0</v>
      </c>
      <c r="AS515" s="710">
        <v>0</v>
      </c>
      <c r="AT515" s="710">
        <v>-5.7563160536837259E-3</v>
      </c>
      <c r="AU515" s="710">
        <v>-1.7596695074223404E-2</v>
      </c>
      <c r="AV515" s="710">
        <v>-3.4010785278098393E-2</v>
      </c>
      <c r="AW515" s="710">
        <v>-5.5835941332958161E-2</v>
      </c>
      <c r="AX515" s="710">
        <v>-8.2329409700925574E-2</v>
      </c>
      <c r="AY515" s="710">
        <v>-0.11301023734722085</v>
      </c>
      <c r="AZ515" s="710">
        <v>-0.14610824660076155</v>
      </c>
      <c r="BA515" s="710">
        <v>-0.17886135081276738</v>
      </c>
      <c r="BB515" s="710">
        <v>-0.21098581608381678</v>
      </c>
      <c r="BC515" s="710">
        <v>-0.2421748414656415</v>
      </c>
      <c r="BD515" s="710">
        <v>-0.2717765371409373</v>
      </c>
      <c r="BE515" s="710">
        <v>-0.29923097749432376</v>
      </c>
      <c r="BF515" s="710">
        <v>-0.38835605292205677</v>
      </c>
      <c r="BG515" s="710">
        <v>-0.30573107872861166</v>
      </c>
      <c r="BH515" s="710">
        <v>-0.36401499723094849</v>
      </c>
      <c r="BI515" s="710">
        <v>-0.42599765510885679</v>
      </c>
      <c r="BJ515" s="710">
        <v>-0.47520951062871658</v>
      </c>
      <c r="BK515" s="710">
        <v>-0.53271568035770533</v>
      </c>
      <c r="BL515" s="710">
        <v>-0.57800948549540077</v>
      </c>
      <c r="BM515" s="710">
        <v>-0.63231689859177431</v>
      </c>
      <c r="BN515" s="710">
        <v>-0.70113551775460459</v>
      </c>
      <c r="BO515" s="710">
        <v>-0.75121512521050304</v>
      </c>
      <c r="BP515" s="710">
        <v>-0.79235636847749236</v>
      </c>
      <c r="BQ515" s="710">
        <v>-0.84083247997477506</v>
      </c>
      <c r="BR515" s="710">
        <v>-0.88713931525180945</v>
      </c>
      <c r="BS515" s="710">
        <v>-0.94593987807725577</v>
      </c>
      <c r="BT515" s="710">
        <v>-1.0058941299999844</v>
      </c>
      <c r="BU515" s="710">
        <v>-1.0673343973979248</v>
      </c>
      <c r="BV515" s="710">
        <v>-1.1306002362640768</v>
      </c>
      <c r="BW515" s="710">
        <v>-1.1950491858215864</v>
      </c>
      <c r="BX515" s="710">
        <v>-1.266438287860834</v>
      </c>
      <c r="BY515" s="710">
        <v>-1.30183681218765</v>
      </c>
      <c r="BZ515" s="710">
        <v>-1.3443152824340989</v>
      </c>
      <c r="CA515" s="710">
        <v>-1.3893127041526228</v>
      </c>
      <c r="CB515" s="710">
        <v>-1.4360604311571463</v>
      </c>
      <c r="CC515" s="710">
        <v>-1.4832386855338067</v>
      </c>
      <c r="CD515" s="710">
        <v>-1.5381874562989406</v>
      </c>
      <c r="CE515" s="710">
        <v>-1.540286222371795</v>
      </c>
      <c r="CF515" s="710">
        <v>-1.5768127943203398</v>
      </c>
      <c r="CG515" s="710">
        <v>-1.6152268565443733</v>
      </c>
      <c r="CH515" s="710">
        <v>-1.6547056886833134</v>
      </c>
      <c r="CI515" s="710">
        <v>-1.6934693807831878</v>
      </c>
      <c r="CJ515" s="710">
        <v>-1.7314981001871601</v>
      </c>
      <c r="CK515" s="710">
        <v>-1.7639873959994123</v>
      </c>
      <c r="CL515" s="710">
        <v>-1.8295105309011483</v>
      </c>
      <c r="CM515" s="710">
        <v>-1.8934346963953814</v>
      </c>
      <c r="CN515" s="710">
        <v>-1.9567069893180236</v>
      </c>
      <c r="CO515" s="710">
        <v>-2.0194281340728431</v>
      </c>
      <c r="CP515" s="710">
        <v>-2.0816653852300973</v>
      </c>
      <c r="CQ515" s="710">
        <v>-2.1434131958556586</v>
      </c>
      <c r="CR515" s="710">
        <v>-2.2046684284652018</v>
      </c>
      <c r="CS515" s="710">
        <v>-2.2653238376327351</v>
      </c>
      <c r="CT515" s="710">
        <v>-2.3260839783077616</v>
      </c>
      <c r="CU515" s="710">
        <v>-2.3869075047632133</v>
      </c>
      <c r="CV515" s="710">
        <v>-2.4477781227371973</v>
      </c>
      <c r="CW515" s="710">
        <v>-2.5086830944003955</v>
      </c>
      <c r="CX515" s="710">
        <v>-2.5696120499684176</v>
      </c>
      <c r="CY515" s="710">
        <v>-2.6305546393545818</v>
      </c>
      <c r="CZ515" s="710">
        <v>-2.691500633496835</v>
      </c>
      <c r="DA515" s="710">
        <v>-2.7524377043401205</v>
      </c>
      <c r="DC515" s="12">
        <f t="shared" si="551"/>
        <v>0</v>
      </c>
      <c r="DD515" s="12">
        <f t="shared" si="552"/>
        <v>0</v>
      </c>
      <c r="DE515" s="12">
        <f t="shared" si="553"/>
        <v>-1.6576771543853583</v>
      </c>
      <c r="DF515" s="12">
        <f t="shared" si="554"/>
        <v>-6.7878908504814461</v>
      </c>
      <c r="DG515" s="12">
        <f t="shared" si="555"/>
        <v>-14.453159346138797</v>
      </c>
      <c r="DH515" s="12">
        <f t="shared" si="556"/>
        <v>-20.813254245875921</v>
      </c>
      <c r="DI515" s="12">
        <f t="shared" si="549"/>
        <v>-29.008628574552215</v>
      </c>
    </row>
    <row r="516" spans="2:113" outlineLevel="2">
      <c r="E516" s="720" t="s">
        <v>621</v>
      </c>
      <c r="I516" s="609" t="s">
        <v>736</v>
      </c>
      <c r="O516" s="710"/>
      <c r="P516" s="710"/>
      <c r="Q516" s="710"/>
      <c r="R516" s="710"/>
      <c r="S516" s="710"/>
      <c r="T516" s="710"/>
      <c r="U516" s="710"/>
      <c r="V516" s="710"/>
      <c r="W516" s="710"/>
      <c r="X516" s="710"/>
      <c r="Y516" s="710"/>
      <c r="Z516" s="710"/>
      <c r="AA516" s="710"/>
      <c r="AB516" s="710"/>
      <c r="AC516" s="710"/>
      <c r="AD516" s="710"/>
      <c r="AE516" s="710"/>
      <c r="AF516" s="710"/>
      <c r="AG516" s="710"/>
      <c r="AH516" s="710"/>
      <c r="AI516" s="710"/>
      <c r="AJ516" s="710"/>
      <c r="AK516" s="710"/>
      <c r="AL516" s="710"/>
      <c r="AM516" s="710"/>
      <c r="AN516" s="710"/>
      <c r="AO516" s="710"/>
      <c r="AP516" s="710"/>
      <c r="AQ516" s="710"/>
      <c r="AR516" s="714">
        <v>-5.0651999999999997E-3</v>
      </c>
      <c r="AS516" s="714">
        <v>-1.5233085E-2</v>
      </c>
      <c r="AT516" s="714">
        <v>-1.9329269718749993E-2</v>
      </c>
      <c r="AU516" s="714">
        <v>-2.6238884337528412E-2</v>
      </c>
      <c r="AV516" s="714">
        <v>-4.4289306059353911E-2</v>
      </c>
      <c r="AW516" s="714">
        <v>-6.2775525362243567E-2</v>
      </c>
      <c r="AX516" s="714">
        <v>-8.1724444092890328E-2</v>
      </c>
      <c r="AY516" s="714">
        <v>-0.1230658042677136</v>
      </c>
      <c r="AZ516" s="714">
        <v>-0.2059305567495105</v>
      </c>
      <c r="BA516" s="714">
        <v>-0.28879789760450419</v>
      </c>
      <c r="BB516" s="714">
        <v>-0.3802101945086051</v>
      </c>
      <c r="BC516" s="714">
        <v>-0.47372227773853282</v>
      </c>
      <c r="BD516" s="714">
        <v>-0.55344309161861105</v>
      </c>
      <c r="BE516" s="714">
        <v>-0.6184082302636662</v>
      </c>
      <c r="BF516" s="714">
        <v>-0.75776590909670183</v>
      </c>
      <c r="BG516" s="714">
        <v>-0.81267540923725989</v>
      </c>
      <c r="BH516" s="714">
        <v>-0.85987921877225204</v>
      </c>
      <c r="BI516" s="714">
        <v>-0.8749107858067664</v>
      </c>
      <c r="BJ516" s="714">
        <v>-0.97076826832827667</v>
      </c>
      <c r="BK516" s="714">
        <v>-1.015835731406437</v>
      </c>
      <c r="BL516" s="714">
        <v>-1.0078150623167419</v>
      </c>
      <c r="BM516" s="714">
        <v>-1.1590455082126938</v>
      </c>
      <c r="BN516" s="714">
        <v>-1.4951896761226493</v>
      </c>
      <c r="BO516" s="714">
        <v>-1.6773922682367777</v>
      </c>
      <c r="BP516" s="714">
        <v>-1.7669635827731076</v>
      </c>
      <c r="BQ516" s="714">
        <v>-1.8541824286657813</v>
      </c>
      <c r="BR516" s="714">
        <v>-1.8908112129003454</v>
      </c>
      <c r="BS516" s="714">
        <v>-2.0256744054815536</v>
      </c>
      <c r="BT516" s="714">
        <v>-2.1586870553231274</v>
      </c>
      <c r="BU516" s="714">
        <v>-2.2960552180453586</v>
      </c>
      <c r="BV516" s="714">
        <v>-2.4432226179662635</v>
      </c>
      <c r="BW516" s="714">
        <v>-2.5957943871762259</v>
      </c>
      <c r="BX516" s="714">
        <v>-2.7188360193362304</v>
      </c>
      <c r="BY516" s="714">
        <v>-2.8825351442972762</v>
      </c>
      <c r="BZ516" s="714">
        <v>-3.0417875339828839</v>
      </c>
      <c r="CA516" s="714">
        <v>-3.1350088393627509</v>
      </c>
      <c r="CB516" s="714">
        <v>-3.2962019871440598</v>
      </c>
      <c r="CC516" s="714">
        <v>-3.4591592500194159</v>
      </c>
      <c r="CD516" s="714">
        <v>-3.4461543278321769</v>
      </c>
      <c r="CE516" s="714">
        <v>-3.3938311660046385</v>
      </c>
      <c r="CF516" s="714">
        <v>-3.559224380923379</v>
      </c>
      <c r="CG516" s="714">
        <v>-3.6350180097728035</v>
      </c>
      <c r="CH516" s="714">
        <v>-3.7986070075737315</v>
      </c>
      <c r="CI516" s="714">
        <v>-3.9619847535962109</v>
      </c>
      <c r="CJ516" s="714">
        <v>-3.9492842860142288</v>
      </c>
      <c r="CK516" s="714">
        <v>-3.8174251713408065</v>
      </c>
      <c r="CL516" s="714">
        <v>-3.9746452338981384</v>
      </c>
      <c r="CM516" s="714">
        <v>-4.1256970451163939</v>
      </c>
      <c r="CN516" s="714">
        <v>-4.2764891929136324</v>
      </c>
      <c r="CO516" s="714">
        <v>-4.4254669373367141</v>
      </c>
      <c r="CP516" s="714">
        <v>-4.574800746397667</v>
      </c>
      <c r="CQ516" s="714">
        <v>-4.7244432262549338</v>
      </c>
      <c r="CR516" s="714">
        <v>-4.8706837275582657</v>
      </c>
      <c r="CS516" s="714">
        <v>-5.0111225180432113</v>
      </c>
      <c r="CT516" s="714">
        <v>-5.1519766641446338</v>
      </c>
      <c r="CU516" s="714">
        <v>-5.2930627410503455</v>
      </c>
      <c r="CV516" s="714">
        <v>-5.4343556812752283</v>
      </c>
      <c r="CW516" s="714">
        <v>-5.575806887006955</v>
      </c>
      <c r="CX516" s="714">
        <v>-5.7174211714968068</v>
      </c>
      <c r="CY516" s="714">
        <v>-5.859201696197208</v>
      </c>
      <c r="CZ516" s="714">
        <v>-6.0010736140605383</v>
      </c>
      <c r="DA516" s="714">
        <v>-6.1429139670870505</v>
      </c>
      <c r="DC516" s="14">
        <f>SUM(V516:AG516)</f>
        <v>0</v>
      </c>
      <c r="DD516" s="12">
        <f>SUM(AH516:AS516)</f>
        <v>-2.0298284999999999E-2</v>
      </c>
      <c r="DE516" s="12">
        <f>SUM(AT516:BE516)</f>
        <v>-2.8779354823219103</v>
      </c>
      <c r="DF516" s="12">
        <f>SUM(BF516:BQ516)</f>
        <v>-14.252423848975445</v>
      </c>
      <c r="DG516" s="12">
        <f>SUM(BR516:CC516)</f>
        <v>-31.943773671035487</v>
      </c>
      <c r="DH516" s="12">
        <f>SUM(CD516:CO516)</f>
        <v>-46.363827512322857</v>
      </c>
      <c r="DI516" s="14">
        <f t="shared" si="549"/>
        <v>-64.356862640572842</v>
      </c>
    </row>
    <row r="517" spans="2:113" outlineLevel="2">
      <c r="E517" s="724" t="s">
        <v>701</v>
      </c>
      <c r="F517" s="698"/>
      <c r="G517" s="698"/>
      <c r="H517" s="703"/>
      <c r="I517" s="609" t="s">
        <v>736</v>
      </c>
      <c r="AK517" s="696"/>
      <c r="AL517" s="696"/>
      <c r="AM517" s="696"/>
      <c r="AN517" s="696"/>
      <c r="AO517" s="696"/>
      <c r="AP517" s="696"/>
      <c r="AQ517" s="696"/>
      <c r="AR517" s="696">
        <f t="shared" ref="AR517:DA517" si="561">SUM(AR518:AR526)</f>
        <v>-6.5127215999999988E-2</v>
      </c>
      <c r="AS517" s="696">
        <f t="shared" si="561"/>
        <v>-0.14229647187283298</v>
      </c>
      <c r="AT517" s="696">
        <f t="shared" si="561"/>
        <v>-0.23216435341123759</v>
      </c>
      <c r="AU517" s="696">
        <f t="shared" si="561"/>
        <v>-0.2643689906674489</v>
      </c>
      <c r="AV517" s="696">
        <f t="shared" si="561"/>
        <v>-0.27307407266216371</v>
      </c>
      <c r="AW517" s="696">
        <f t="shared" si="561"/>
        <v>-0.27957064406382814</v>
      </c>
      <c r="AX517" s="696">
        <f t="shared" si="561"/>
        <v>-0.28296609746768614</v>
      </c>
      <c r="AY517" s="696">
        <f t="shared" si="561"/>
        <v>-0.28314695822672609</v>
      </c>
      <c r="AZ517" s="696">
        <f t="shared" si="561"/>
        <v>-0.28146647915625422</v>
      </c>
      <c r="BA517" s="696">
        <f t="shared" si="561"/>
        <v>-0.2968557963708307</v>
      </c>
      <c r="BB517" s="696">
        <f t="shared" si="561"/>
        <v>-0.30945572563198859</v>
      </c>
      <c r="BC517" s="696">
        <f t="shared" si="561"/>
        <v>-0.32674556566821467</v>
      </c>
      <c r="BD517" s="696">
        <f t="shared" si="561"/>
        <v>-0.34818942015837484</v>
      </c>
      <c r="BE517" s="696">
        <f t="shared" si="561"/>
        <v>-0.37349178038625663</v>
      </c>
      <c r="BF517" s="696">
        <f t="shared" si="561"/>
        <v>-0.50389828066817366</v>
      </c>
      <c r="BG517" s="696">
        <f t="shared" si="561"/>
        <v>-0.70510697760514507</v>
      </c>
      <c r="BH517" s="696">
        <f t="shared" si="561"/>
        <v>-0.8799409444605546</v>
      </c>
      <c r="BI517" s="696">
        <f t="shared" si="561"/>
        <v>-1.0205748612336933</v>
      </c>
      <c r="BJ517" s="696">
        <f t="shared" si="561"/>
        <v>-0.97040313075413964</v>
      </c>
      <c r="BK517" s="696">
        <f t="shared" si="561"/>
        <v>-0.97698625206095779</v>
      </c>
      <c r="BL517" s="696">
        <f t="shared" si="561"/>
        <v>-1.0633214286791761</v>
      </c>
      <c r="BM517" s="696">
        <f t="shared" si="561"/>
        <v>-1.1048512986071868</v>
      </c>
      <c r="BN517" s="696">
        <f t="shared" si="561"/>
        <v>-1.2186802031089223</v>
      </c>
      <c r="BO517" s="696">
        <f t="shared" si="561"/>
        <v>-1.2852760632377012</v>
      </c>
      <c r="BP517" s="696">
        <f t="shared" si="561"/>
        <v>-1.3574287373697418</v>
      </c>
      <c r="BQ517" s="696">
        <f t="shared" si="561"/>
        <v>-1.4314999521086293</v>
      </c>
      <c r="BR517" s="696">
        <f t="shared" si="561"/>
        <v>-1.5420875855906402</v>
      </c>
      <c r="BS517" s="696">
        <f t="shared" si="561"/>
        <v>-1.6003662478904968</v>
      </c>
      <c r="BT517" s="696">
        <f t="shared" si="561"/>
        <v>-1.6597536404691722</v>
      </c>
      <c r="BU517" s="696">
        <f t="shared" si="561"/>
        <v>-1.7187235261128311</v>
      </c>
      <c r="BV517" s="696">
        <f t="shared" si="561"/>
        <v>-1.7796089159158244</v>
      </c>
      <c r="BW517" s="696">
        <f t="shared" si="561"/>
        <v>-1.8411570813434652</v>
      </c>
      <c r="BX517" s="696">
        <f t="shared" si="561"/>
        <v>-1.9133164822780322</v>
      </c>
      <c r="BY517" s="696">
        <f t="shared" si="561"/>
        <v>-1.9971711554680995</v>
      </c>
      <c r="BZ517" s="696">
        <f t="shared" si="561"/>
        <v>-2.0791210500769104</v>
      </c>
      <c r="CA517" s="696">
        <f t="shared" si="561"/>
        <v>-2.2983892192852684</v>
      </c>
      <c r="CB517" s="696">
        <f t="shared" si="561"/>
        <v>-2.3825846111392024</v>
      </c>
      <c r="CC517" s="696">
        <f t="shared" si="561"/>
        <v>-2.4688931637756921</v>
      </c>
      <c r="CD517" s="696">
        <f t="shared" si="561"/>
        <v>-2.6094614381752699</v>
      </c>
      <c r="CE517" s="696">
        <f t="shared" si="561"/>
        <v>-2.71117512492778</v>
      </c>
      <c r="CF517" s="696">
        <f t="shared" si="561"/>
        <v>-2.7999316432875263</v>
      </c>
      <c r="CG517" s="696">
        <f t="shared" si="561"/>
        <v>-3.0676982015736183</v>
      </c>
      <c r="CH517" s="696">
        <f t="shared" si="561"/>
        <v>-3.1567188307366534</v>
      </c>
      <c r="CI517" s="696">
        <f t="shared" si="561"/>
        <v>-3.250126573114132</v>
      </c>
      <c r="CJ517" s="696">
        <f t="shared" si="561"/>
        <v>-3.3443090266859521</v>
      </c>
      <c r="CK517" s="696">
        <f t="shared" si="561"/>
        <v>-3.4297191629846209</v>
      </c>
      <c r="CL517" s="696">
        <f t="shared" si="561"/>
        <v>-3.5040205246418328</v>
      </c>
      <c r="CM517" s="696">
        <f t="shared" si="561"/>
        <v>-3.5790215978307485</v>
      </c>
      <c r="CN517" s="696">
        <f t="shared" si="561"/>
        <v>-3.6543466316419848</v>
      </c>
      <c r="CO517" s="696">
        <f t="shared" si="561"/>
        <v>-3.7337146767688232</v>
      </c>
      <c r="CP517" s="696">
        <f t="shared" si="561"/>
        <v>-3.8411032913968528</v>
      </c>
      <c r="CQ517" s="696">
        <f t="shared" si="561"/>
        <v>-3.9209105943398845</v>
      </c>
      <c r="CR517" s="696">
        <f t="shared" si="561"/>
        <v>-4.0010102422528711</v>
      </c>
      <c r="CS517" s="696">
        <f t="shared" si="561"/>
        <v>-4.0812144892325719</v>
      </c>
      <c r="CT517" s="696">
        <f t="shared" si="561"/>
        <v>-4.1612906699209207</v>
      </c>
      <c r="CU517" s="696">
        <f t="shared" si="561"/>
        <v>-4.24125893297622</v>
      </c>
      <c r="CV517" s="696">
        <f t="shared" si="561"/>
        <v>-4.3211292053779502</v>
      </c>
      <c r="CW517" s="696">
        <f t="shared" si="561"/>
        <v>-4.4009885828518698</v>
      </c>
      <c r="CX517" s="696">
        <f t="shared" si="561"/>
        <v>-4.4808400030252837</v>
      </c>
      <c r="CY517" s="696">
        <f t="shared" si="561"/>
        <v>-4.560689228128779</v>
      </c>
      <c r="CZ517" s="696">
        <f t="shared" si="561"/>
        <v>-4.6405423811900643</v>
      </c>
      <c r="DA517" s="696">
        <f t="shared" si="561"/>
        <v>-4.7204015764409952</v>
      </c>
      <c r="DC517" s="12">
        <f t="shared" si="551"/>
        <v>0</v>
      </c>
      <c r="DD517" s="14">
        <f t="shared" si="552"/>
        <v>-0.20742368787283297</v>
      </c>
      <c r="DE517" s="14">
        <f t="shared" si="553"/>
        <v>-3.5514958838710102</v>
      </c>
      <c r="DF517" s="14">
        <f t="shared" si="554"/>
        <v>-12.517968129894021</v>
      </c>
      <c r="DG517" s="14">
        <f t="shared" si="555"/>
        <v>-23.281172679345637</v>
      </c>
      <c r="DH517" s="14">
        <f t="shared" si="556"/>
        <v>-38.840243432368936</v>
      </c>
      <c r="DI517" s="14">
        <f t="shared" si="549"/>
        <v>-51.37137919713426</v>
      </c>
    </row>
    <row r="518" spans="2:113" outlineLevel="2">
      <c r="F518" s="126" t="s">
        <v>100</v>
      </c>
      <c r="I518" s="609" t="s">
        <v>736</v>
      </c>
      <c r="AK518" s="710"/>
      <c r="AL518" s="710"/>
      <c r="AM518" s="710"/>
      <c r="AN518" s="710"/>
      <c r="AO518" s="710"/>
      <c r="AP518" s="710"/>
      <c r="AQ518" s="710"/>
      <c r="AR518" s="710">
        <v>-5.6279999999999997E-2</v>
      </c>
      <c r="AS518" s="710">
        <v>-0.1125</v>
      </c>
      <c r="AT518" s="710">
        <v>-0.11712500000000001</v>
      </c>
      <c r="AU518" s="710">
        <v>-0.12175</v>
      </c>
      <c r="AV518" s="710">
        <v>-0.12637500000000002</v>
      </c>
      <c r="AW518" s="710">
        <v>-0.13100000000000001</v>
      </c>
      <c r="AX518" s="710">
        <v>-0.13562500000000002</v>
      </c>
      <c r="AY518" s="710">
        <v>-0.14025000000000004</v>
      </c>
      <c r="AZ518" s="710">
        <v>-0.14487500000000003</v>
      </c>
      <c r="BA518" s="710">
        <v>-0.14950000000000002</v>
      </c>
      <c r="BB518" s="710">
        <v>-0.15412500000000004</v>
      </c>
      <c r="BC518" s="710">
        <v>-0.15875000000000003</v>
      </c>
      <c r="BD518" s="710">
        <v>-0.16337500000000002</v>
      </c>
      <c r="BE518" s="710">
        <v>-0.16800000000000001</v>
      </c>
      <c r="BF518" s="710">
        <v>-0.17499999999999999</v>
      </c>
      <c r="BG518" s="710">
        <v>-0.182</v>
      </c>
      <c r="BH518" s="710">
        <v>-0.189</v>
      </c>
      <c r="BI518" s="710">
        <v>-0.19600000000000001</v>
      </c>
      <c r="BJ518" s="710">
        <v>-0.20300000000000001</v>
      </c>
      <c r="BK518" s="710">
        <v>-0.21</v>
      </c>
      <c r="BL518" s="710">
        <v>-0.217</v>
      </c>
      <c r="BM518" s="710">
        <v>-0.224</v>
      </c>
      <c r="BN518" s="710">
        <v>-0.23100000000000001</v>
      </c>
      <c r="BO518" s="710">
        <v>-0.23799999999999999</v>
      </c>
      <c r="BP518" s="710">
        <v>-0.24499999999999997</v>
      </c>
      <c r="BQ518" s="710">
        <v>-0.25199999999999995</v>
      </c>
      <c r="BR518" s="710">
        <v>-0.25599999999999995</v>
      </c>
      <c r="BS518" s="710">
        <v>-0.25999999999999995</v>
      </c>
      <c r="BT518" s="710">
        <v>-0.2639999999999999</v>
      </c>
      <c r="BU518" s="710">
        <v>-0.2679999999999999</v>
      </c>
      <c r="BV518" s="710">
        <v>-0.27199999999999991</v>
      </c>
      <c r="BW518" s="710">
        <v>-0.27599999999999991</v>
      </c>
      <c r="BX518" s="710">
        <v>-0.27999999999999986</v>
      </c>
      <c r="BY518" s="710">
        <v>-0.28399999999999981</v>
      </c>
      <c r="BZ518" s="710">
        <v>-0.28799999999999981</v>
      </c>
      <c r="CA518" s="710">
        <v>-0.29199999999999982</v>
      </c>
      <c r="CB518" s="710">
        <v>-0.29599999999999976</v>
      </c>
      <c r="CC518" s="710">
        <v>-0.3</v>
      </c>
      <c r="CD518" s="710">
        <v>-0.3</v>
      </c>
      <c r="CE518" s="710">
        <v>-0.3</v>
      </c>
      <c r="CF518" s="710">
        <v>-0.3</v>
      </c>
      <c r="CG518" s="710">
        <v>-0.3</v>
      </c>
      <c r="CH518" s="710">
        <v>-0.3</v>
      </c>
      <c r="CI518" s="710">
        <v>-0.3</v>
      </c>
      <c r="CJ518" s="710">
        <v>-0.3</v>
      </c>
      <c r="CK518" s="710">
        <v>-0.3</v>
      </c>
      <c r="CL518" s="710">
        <v>-0.3</v>
      </c>
      <c r="CM518" s="710">
        <v>-0.3</v>
      </c>
      <c r="CN518" s="710">
        <v>-0.3</v>
      </c>
      <c r="CO518" s="710">
        <v>-0.3</v>
      </c>
      <c r="CP518" s="710">
        <v>-0.3</v>
      </c>
      <c r="CQ518" s="710">
        <v>-0.3</v>
      </c>
      <c r="CR518" s="710">
        <v>-0.3</v>
      </c>
      <c r="CS518" s="710">
        <v>-0.3</v>
      </c>
      <c r="CT518" s="710">
        <v>-0.3</v>
      </c>
      <c r="CU518" s="710">
        <v>-0.3</v>
      </c>
      <c r="CV518" s="710">
        <v>-0.3</v>
      </c>
      <c r="CW518" s="710">
        <v>-0.3</v>
      </c>
      <c r="CX518" s="710">
        <v>-0.3</v>
      </c>
      <c r="CY518" s="710">
        <v>-0.3</v>
      </c>
      <c r="CZ518" s="710">
        <v>-0.3</v>
      </c>
      <c r="DA518" s="710">
        <v>-0.3</v>
      </c>
      <c r="DC518" s="12">
        <f t="shared" si="551"/>
        <v>0</v>
      </c>
      <c r="DD518" s="12">
        <f t="shared" si="552"/>
        <v>-0.16877999999999999</v>
      </c>
      <c r="DE518" s="12">
        <f t="shared" si="553"/>
        <v>-1.7107500000000002</v>
      </c>
      <c r="DF518" s="12">
        <f t="shared" si="554"/>
        <v>-2.5620000000000003</v>
      </c>
      <c r="DG518" s="12">
        <f t="shared" si="555"/>
        <v>-3.3359999999999981</v>
      </c>
      <c r="DH518" s="12">
        <f t="shared" si="556"/>
        <v>-3.5999999999999992</v>
      </c>
      <c r="DI518" s="12">
        <f t="shared" si="549"/>
        <v>-3.5999999999999992</v>
      </c>
    </row>
    <row r="519" spans="2:113" outlineLevel="2">
      <c r="F519" s="126" t="s">
        <v>107</v>
      </c>
      <c r="I519" s="609" t="s">
        <v>736</v>
      </c>
      <c r="Q519" s="758"/>
      <c r="R519" s="758"/>
      <c r="S519" s="758"/>
      <c r="T519" s="758"/>
      <c r="U519" s="758"/>
      <c r="V519" s="758"/>
      <c r="W519" s="758"/>
      <c r="X519" s="758"/>
      <c r="Y519" s="758"/>
      <c r="Z519" s="758"/>
      <c r="AA519" s="758"/>
      <c r="AB519" s="758"/>
      <c r="AC519" s="758"/>
      <c r="AD519" s="758"/>
      <c r="AE519" s="758"/>
      <c r="AF519" s="758"/>
      <c r="AG519" s="758"/>
      <c r="AH519" s="758"/>
      <c r="AI519" s="758"/>
      <c r="AJ519" s="758"/>
      <c r="AK519" s="710"/>
      <c r="AL519" s="710"/>
      <c r="AM519" s="710"/>
      <c r="AN519" s="710"/>
      <c r="AO519" s="710"/>
      <c r="AP519" s="710"/>
      <c r="AQ519" s="710"/>
      <c r="AR519" s="710">
        <v>0</v>
      </c>
      <c r="AS519" s="710">
        <v>-1.8759999999999998E-3</v>
      </c>
      <c r="AT519" s="710">
        <v>-4.9227499999999992E-3</v>
      </c>
      <c r="AU519" s="710">
        <v>-7.1476249999999995E-3</v>
      </c>
      <c r="AV519" s="710">
        <v>-1.0191375000000001E-2</v>
      </c>
      <c r="AW519" s="710">
        <v>-1.335075E-2</v>
      </c>
      <c r="AX519" s="710">
        <v>-1.6625750000000002E-2</v>
      </c>
      <c r="AY519" s="710">
        <v>-2.0016375000000003E-2</v>
      </c>
      <c r="AZ519" s="710">
        <v>-2.3522625000000002E-2</v>
      </c>
      <c r="BA519" s="710">
        <v>-2.7144500000000009E-2</v>
      </c>
      <c r="BB519" s="710">
        <v>-3.0882000000000007E-2</v>
      </c>
      <c r="BC519" s="710">
        <v>-3.4735125000000013E-2</v>
      </c>
      <c r="BD519" s="710">
        <v>-3.8703875000000006E-2</v>
      </c>
      <c r="BE519" s="710">
        <v>-4.2788250000000007E-2</v>
      </c>
      <c r="BF519" s="710">
        <v>-4.6988250000000002E-2</v>
      </c>
      <c r="BG519" s="710">
        <v>-8.560541666666667E-2</v>
      </c>
      <c r="BH519" s="710">
        <v>-9.3188750000000001E-2</v>
      </c>
      <c r="BI519" s="710">
        <v>-0.10106374999999999</v>
      </c>
      <c r="BJ519" s="710">
        <v>-0.10923041666666665</v>
      </c>
      <c r="BK519" s="710">
        <v>-0.11768874999999999</v>
      </c>
      <c r="BL519" s="710">
        <v>-0.12643874999999999</v>
      </c>
      <c r="BM519" s="710">
        <v>-0.13548041666666666</v>
      </c>
      <c r="BN519" s="710">
        <v>-0.14481374999999999</v>
      </c>
      <c r="BO519" s="710">
        <v>-0.15443874999999999</v>
      </c>
      <c r="BP519" s="710">
        <v>-0.16435541666666664</v>
      </c>
      <c r="BQ519" s="710">
        <v>-0.17456374999999996</v>
      </c>
      <c r="BR519" s="710">
        <v>-0.18506374999999997</v>
      </c>
      <c r="BS519" s="710">
        <v>-0.19573041666666666</v>
      </c>
      <c r="BT519" s="710">
        <v>-0.20656374999999996</v>
      </c>
      <c r="BU519" s="710">
        <v>-0.21756374999999997</v>
      </c>
      <c r="BV519" s="710">
        <v>-0.22873041666666666</v>
      </c>
      <c r="BW519" s="710">
        <v>-0.24006374999999996</v>
      </c>
      <c r="BX519" s="710">
        <v>-0.25156374999999997</v>
      </c>
      <c r="BY519" s="710">
        <v>-0.26323041666666658</v>
      </c>
      <c r="BZ519" s="710">
        <v>-0.27506375</v>
      </c>
      <c r="CA519" s="710">
        <v>-0.2870637499999999</v>
      </c>
      <c r="CB519" s="710">
        <v>-0.29923041666666661</v>
      </c>
      <c r="CC519" s="710">
        <v>-0.31156374999999992</v>
      </c>
      <c r="CD519" s="710">
        <v>-0.32406374999999993</v>
      </c>
      <c r="CE519" s="710">
        <v>-0.33656374999999994</v>
      </c>
      <c r="CF519" s="710">
        <v>-0.34906374999999989</v>
      </c>
      <c r="CG519" s="710">
        <v>-0.36156374999999991</v>
      </c>
      <c r="CH519" s="710">
        <v>-0.37406374999999992</v>
      </c>
      <c r="CI519" s="710">
        <v>-0.38656374999999993</v>
      </c>
      <c r="CJ519" s="710">
        <v>-0.39906374999999994</v>
      </c>
      <c r="CK519" s="710">
        <v>-0.41156374999999989</v>
      </c>
      <c r="CL519" s="710">
        <v>-0.42406374999999991</v>
      </c>
      <c r="CM519" s="710">
        <v>-0.43656374999999992</v>
      </c>
      <c r="CN519" s="710">
        <v>-0.44906374999999993</v>
      </c>
      <c r="CO519" s="710">
        <v>-0.46156374999999994</v>
      </c>
      <c r="CP519" s="710">
        <v>-0.47406374999999989</v>
      </c>
      <c r="CQ519" s="710">
        <v>-0.48656374999999991</v>
      </c>
      <c r="CR519" s="710">
        <v>-0.49906374999999992</v>
      </c>
      <c r="CS519" s="710">
        <v>-0.51156374999999987</v>
      </c>
      <c r="CT519" s="710">
        <v>-0.52406374999999994</v>
      </c>
      <c r="CU519" s="710">
        <v>-0.53656374999999989</v>
      </c>
      <c r="CV519" s="710">
        <v>-0.54906374999999996</v>
      </c>
      <c r="CW519" s="710">
        <v>-0.56156374999999992</v>
      </c>
      <c r="CX519" s="710">
        <v>-0.57406374999999987</v>
      </c>
      <c r="CY519" s="710">
        <v>-0.58656374999999994</v>
      </c>
      <c r="CZ519" s="710">
        <v>-0.59906374999999989</v>
      </c>
      <c r="DA519" s="710">
        <v>-0.61156374999999996</v>
      </c>
      <c r="DC519" s="12">
        <f t="shared" si="551"/>
        <v>0</v>
      </c>
      <c r="DD519" s="12">
        <f t="shared" si="552"/>
        <v>-1.8759999999999998E-3</v>
      </c>
      <c r="DE519" s="12">
        <f t="shared" si="553"/>
        <v>-0.27003100000000002</v>
      </c>
      <c r="DF519" s="12">
        <f t="shared" si="554"/>
        <v>-1.4538561666666667</v>
      </c>
      <c r="DG519" s="12">
        <f t="shared" si="555"/>
        <v>-2.961431666666666</v>
      </c>
      <c r="DH519" s="12">
        <f t="shared" si="556"/>
        <v>-4.7137649999999987</v>
      </c>
      <c r="DI519" s="12">
        <f t="shared" si="549"/>
        <v>-6.5137649999999994</v>
      </c>
    </row>
    <row r="520" spans="2:113" outlineLevel="2">
      <c r="F520" s="126" t="s">
        <v>806</v>
      </c>
      <c r="I520" s="609" t="s">
        <v>736</v>
      </c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710"/>
      <c r="AL520" s="710"/>
      <c r="AM520" s="710"/>
      <c r="AN520" s="710"/>
      <c r="AO520" s="710"/>
      <c r="AP520" s="710"/>
      <c r="AQ520" s="710"/>
      <c r="AR520" s="710">
        <v>-3.7520000000000001E-3</v>
      </c>
      <c r="AS520" s="710">
        <v>-7.4999999999999997E-3</v>
      </c>
      <c r="AT520" s="710">
        <v>-7.8083333333333338E-3</v>
      </c>
      <c r="AU520" s="710">
        <v>-8.1166666666666661E-3</v>
      </c>
      <c r="AV520" s="710">
        <v>-8.4250000000000002E-3</v>
      </c>
      <c r="AW520" s="710">
        <v>-8.7333333333333343E-3</v>
      </c>
      <c r="AX520" s="710">
        <v>-9.0416666666666683E-3</v>
      </c>
      <c r="AY520" s="710">
        <v>-9.3500000000000024E-3</v>
      </c>
      <c r="AZ520" s="710">
        <v>-9.6583333333333365E-3</v>
      </c>
      <c r="BA520" s="710">
        <v>-9.9666666666666671E-3</v>
      </c>
      <c r="BB520" s="710">
        <v>-1.0275000000000001E-2</v>
      </c>
      <c r="BC520" s="710">
        <v>-1.0583333333333335E-2</v>
      </c>
      <c r="BD520" s="710">
        <v>-1.0891666666666669E-2</v>
      </c>
      <c r="BE520" s="710">
        <v>-1.12E-2</v>
      </c>
      <c r="BF520" s="710">
        <v>-1.1666666666666665E-2</v>
      </c>
      <c r="BG520" s="710">
        <v>-1.2133333333333333E-2</v>
      </c>
      <c r="BH520" s="710">
        <v>-1.26E-2</v>
      </c>
      <c r="BI520" s="710">
        <v>-1.3066666666666666E-2</v>
      </c>
      <c r="BJ520" s="710">
        <v>-1.3533333333333335E-2</v>
      </c>
      <c r="BK520" s="710">
        <v>-1.4E-2</v>
      </c>
      <c r="BL520" s="710">
        <v>-1.4466666666666666E-2</v>
      </c>
      <c r="BM520" s="710">
        <v>-1.4933333333333333E-2</v>
      </c>
      <c r="BN520" s="710">
        <v>-1.54E-2</v>
      </c>
      <c r="BO520" s="710">
        <v>-1.5866666666666668E-2</v>
      </c>
      <c r="BP520" s="710">
        <v>-1.6333333333333332E-2</v>
      </c>
      <c r="BQ520" s="710">
        <v>-1.6799999999999995E-2</v>
      </c>
      <c r="BR520" s="710">
        <v>-1.7066666666666664E-2</v>
      </c>
      <c r="BS520" s="710">
        <v>-1.7333333333333329E-2</v>
      </c>
      <c r="BT520" s="710">
        <v>-1.7599999999999994E-2</v>
      </c>
      <c r="BU520" s="710">
        <v>-1.7866666666666659E-2</v>
      </c>
      <c r="BV520" s="710">
        <v>-1.8133333333333324E-2</v>
      </c>
      <c r="BW520" s="710">
        <v>-1.8399999999999993E-2</v>
      </c>
      <c r="BX520" s="710">
        <v>-1.8666666666666658E-2</v>
      </c>
      <c r="BY520" s="710">
        <v>-1.8933333333333323E-2</v>
      </c>
      <c r="BZ520" s="710">
        <v>-1.9199999999999988E-2</v>
      </c>
      <c r="CA520" s="710">
        <v>-1.9466666666666653E-2</v>
      </c>
      <c r="CB520" s="710">
        <v>-1.9733333333333321E-2</v>
      </c>
      <c r="CC520" s="710">
        <v>-0.02</v>
      </c>
      <c r="CD520" s="710">
        <v>-0.02</v>
      </c>
      <c r="CE520" s="710">
        <v>-0.02</v>
      </c>
      <c r="CF520" s="710">
        <v>-0.02</v>
      </c>
      <c r="CG520" s="710">
        <v>-0.02</v>
      </c>
      <c r="CH520" s="710">
        <v>-0.02</v>
      </c>
      <c r="CI520" s="710">
        <v>-0.02</v>
      </c>
      <c r="CJ520" s="710">
        <v>-0.02</v>
      </c>
      <c r="CK520" s="710">
        <v>-0.02</v>
      </c>
      <c r="CL520" s="710">
        <v>-0.02</v>
      </c>
      <c r="CM520" s="710">
        <v>-0.02</v>
      </c>
      <c r="CN520" s="710">
        <v>-0.02</v>
      </c>
      <c r="CO520" s="710">
        <v>-0.02</v>
      </c>
      <c r="CP520" s="710">
        <v>-0.02</v>
      </c>
      <c r="CQ520" s="710">
        <v>-0.02</v>
      </c>
      <c r="CR520" s="710">
        <v>-0.02</v>
      </c>
      <c r="CS520" s="710">
        <v>-0.02</v>
      </c>
      <c r="CT520" s="710">
        <v>-0.02</v>
      </c>
      <c r="CU520" s="710">
        <v>-0.02</v>
      </c>
      <c r="CV520" s="710">
        <v>-0.02</v>
      </c>
      <c r="CW520" s="710">
        <v>-0.02</v>
      </c>
      <c r="CX520" s="710">
        <v>-0.02</v>
      </c>
      <c r="CY520" s="710">
        <v>-0.02</v>
      </c>
      <c r="CZ520" s="710">
        <v>-0.02</v>
      </c>
      <c r="DA520" s="710">
        <v>-0.02</v>
      </c>
      <c r="DC520" s="12">
        <f t="shared" si="551"/>
        <v>0</v>
      </c>
      <c r="DD520" s="12">
        <f t="shared" si="552"/>
        <v>-1.1252E-2</v>
      </c>
      <c r="DE520" s="12">
        <f t="shared" si="553"/>
        <v>-0.11405000000000004</v>
      </c>
      <c r="DF520" s="12">
        <f t="shared" si="554"/>
        <v>-0.17080000000000001</v>
      </c>
      <c r="DG520" s="12">
        <f t="shared" si="555"/>
        <v>-0.22239999999999993</v>
      </c>
      <c r="DH520" s="12">
        <f t="shared" si="556"/>
        <v>-0.23999999999999996</v>
      </c>
      <c r="DI520" s="12">
        <f t="shared" si="549"/>
        <v>-0.23999999999999996</v>
      </c>
    </row>
    <row r="521" spans="2:113" outlineLevel="2">
      <c r="F521" s="126" t="s">
        <v>807</v>
      </c>
      <c r="I521" s="609" t="s">
        <v>736</v>
      </c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759"/>
      <c r="AI521" s="759"/>
      <c r="AJ521" s="759"/>
      <c r="AK521" s="710"/>
      <c r="AL521" s="710"/>
      <c r="AM521" s="710"/>
      <c r="AN521" s="710"/>
      <c r="AO521" s="710"/>
      <c r="AP521" s="710"/>
      <c r="AQ521" s="710"/>
      <c r="AR521" s="710"/>
      <c r="AS521" s="710"/>
      <c r="AT521" s="710"/>
      <c r="AU521" s="710"/>
      <c r="AV521" s="710"/>
      <c r="AW521" s="710"/>
      <c r="AX521" s="710"/>
      <c r="AY521" s="710"/>
      <c r="AZ521" s="710"/>
      <c r="BA521" s="710"/>
      <c r="BB521" s="710"/>
      <c r="BC521" s="710"/>
      <c r="BD521" s="710"/>
      <c r="BE521" s="710"/>
      <c r="BF521" s="710"/>
      <c r="BG521" s="710"/>
      <c r="BH521" s="710"/>
      <c r="BI521" s="710"/>
      <c r="BJ521" s="710"/>
      <c r="BK521" s="710"/>
      <c r="BL521" s="710"/>
      <c r="BM521" s="710"/>
      <c r="BN521" s="710"/>
      <c r="BO521" s="710"/>
      <c r="BP521" s="710"/>
      <c r="BQ521" s="710"/>
      <c r="BR521" s="710"/>
      <c r="BS521" s="710"/>
      <c r="BT521" s="710"/>
      <c r="BU521" s="710"/>
      <c r="BV521" s="710"/>
      <c r="BW521" s="710"/>
      <c r="BX521" s="710"/>
      <c r="BY521" s="710"/>
      <c r="BZ521" s="710"/>
      <c r="CA521" s="710"/>
      <c r="CB521" s="710"/>
      <c r="CC521" s="710"/>
      <c r="CD521" s="710"/>
      <c r="CE521" s="710"/>
      <c r="CF521" s="710"/>
      <c r="CG521" s="710"/>
      <c r="CH521" s="710"/>
      <c r="CI521" s="710"/>
      <c r="CJ521" s="710"/>
      <c r="CK521" s="710"/>
      <c r="CL521" s="710"/>
      <c r="CM521" s="710"/>
      <c r="CN521" s="710"/>
      <c r="CO521" s="710"/>
      <c r="CP521" s="710"/>
      <c r="CQ521" s="710"/>
      <c r="CR521" s="710"/>
      <c r="CS521" s="710"/>
      <c r="CT521" s="710"/>
      <c r="CU521" s="710"/>
      <c r="CV521" s="710"/>
      <c r="CW521" s="710"/>
      <c r="CX521" s="710"/>
      <c r="CY521" s="710"/>
      <c r="CZ521" s="710"/>
      <c r="DA521" s="710"/>
      <c r="DC521" s="14">
        <f t="shared" si="551"/>
        <v>0</v>
      </c>
      <c r="DD521" s="12">
        <f t="shared" si="552"/>
        <v>0</v>
      </c>
      <c r="DE521" s="12">
        <f t="shared" si="553"/>
        <v>0</v>
      </c>
      <c r="DF521" s="12">
        <f t="shared" si="554"/>
        <v>0</v>
      </c>
      <c r="DG521" s="12">
        <f t="shared" si="555"/>
        <v>0</v>
      </c>
      <c r="DH521" s="12">
        <f t="shared" si="556"/>
        <v>0</v>
      </c>
      <c r="DI521" s="12">
        <f t="shared" si="549"/>
        <v>0</v>
      </c>
    </row>
    <row r="522" spans="2:113" outlineLevel="2">
      <c r="F522" s="126" t="s">
        <v>703</v>
      </c>
      <c r="G522" s="702"/>
      <c r="H522" s="725"/>
      <c r="I522" s="609" t="s">
        <v>736</v>
      </c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710"/>
      <c r="AL522" s="710"/>
      <c r="AM522" s="710"/>
      <c r="AN522" s="710"/>
      <c r="AO522" s="710"/>
      <c r="AP522" s="710"/>
      <c r="AQ522" s="710"/>
      <c r="AR522" s="710"/>
      <c r="AS522" s="710"/>
      <c r="AT522" s="710"/>
      <c r="AU522" s="710"/>
      <c r="AV522" s="710"/>
      <c r="AW522" s="710"/>
      <c r="AX522" s="710"/>
      <c r="AY522" s="710"/>
      <c r="AZ522" s="710"/>
      <c r="BA522" s="710"/>
      <c r="BB522" s="710"/>
      <c r="BC522" s="710"/>
      <c r="BD522" s="710"/>
      <c r="BE522" s="710"/>
      <c r="BF522" s="710"/>
      <c r="BG522" s="710"/>
      <c r="BH522" s="710"/>
      <c r="BI522" s="710"/>
      <c r="BJ522" s="710"/>
      <c r="BK522" s="710"/>
      <c r="BL522" s="710"/>
      <c r="BM522" s="710"/>
      <c r="BN522" s="710"/>
      <c r="BO522" s="710"/>
      <c r="BP522" s="710"/>
      <c r="BQ522" s="710"/>
      <c r="BR522" s="710"/>
      <c r="BS522" s="710"/>
      <c r="BT522" s="710"/>
      <c r="BU522" s="710"/>
      <c r="BV522" s="710"/>
      <c r="BW522" s="710"/>
      <c r="BX522" s="710"/>
      <c r="BY522" s="710"/>
      <c r="BZ522" s="710"/>
      <c r="CA522" s="710"/>
      <c r="CB522" s="710"/>
      <c r="CC522" s="710"/>
      <c r="CD522" s="710"/>
      <c r="CE522" s="710"/>
      <c r="CF522" s="710"/>
      <c r="CG522" s="710"/>
      <c r="CH522" s="710"/>
      <c r="CI522" s="710"/>
      <c r="CJ522" s="710"/>
      <c r="CK522" s="710"/>
      <c r="CL522" s="710"/>
      <c r="CM522" s="710"/>
      <c r="CN522" s="710"/>
      <c r="CO522" s="710"/>
      <c r="CP522" s="710"/>
      <c r="CQ522" s="710"/>
      <c r="CR522" s="710"/>
      <c r="CS522" s="710"/>
      <c r="CT522" s="710"/>
      <c r="CU522" s="710"/>
      <c r="CV522" s="710"/>
      <c r="CW522" s="710"/>
      <c r="CX522" s="710"/>
      <c r="CY522" s="710"/>
      <c r="CZ522" s="710"/>
      <c r="DA522" s="710"/>
      <c r="DC522" s="12">
        <f t="shared" si="551"/>
        <v>0</v>
      </c>
      <c r="DD522" s="12">
        <f t="shared" si="552"/>
        <v>0</v>
      </c>
      <c r="DE522" s="12">
        <f t="shared" si="553"/>
        <v>0</v>
      </c>
      <c r="DF522" s="12">
        <f t="shared" si="554"/>
        <v>0</v>
      </c>
      <c r="DG522" s="12">
        <f t="shared" si="555"/>
        <v>0</v>
      </c>
      <c r="DH522" s="12">
        <f t="shared" si="556"/>
        <v>0</v>
      </c>
      <c r="DI522" s="12">
        <f t="shared" si="549"/>
        <v>0</v>
      </c>
    </row>
    <row r="523" spans="2:113" outlineLevel="2">
      <c r="F523" s="126" t="s">
        <v>163</v>
      </c>
      <c r="G523" s="702"/>
      <c r="H523" s="725"/>
      <c r="I523" s="609" t="s">
        <v>736</v>
      </c>
      <c r="Q523" s="12"/>
      <c r="R523" s="12"/>
      <c r="S523" s="12"/>
      <c r="T523" s="12"/>
      <c r="U523" s="12"/>
      <c r="V523" s="12"/>
      <c r="W523" s="12"/>
      <c r="X523" s="12"/>
      <c r="Y523" s="12"/>
      <c r="Z523" s="702"/>
      <c r="AA523" s="702"/>
      <c r="AB523" s="702"/>
      <c r="AC523" s="702"/>
      <c r="AD523" s="702"/>
      <c r="AE523" s="702"/>
      <c r="AF523" s="702"/>
      <c r="AG523" s="702"/>
      <c r="AH523" s="702"/>
      <c r="AI523" s="702"/>
      <c r="AJ523" s="702"/>
      <c r="AK523" s="710"/>
      <c r="AL523" s="710"/>
      <c r="AM523" s="710"/>
      <c r="AN523" s="710"/>
      <c r="AO523" s="710"/>
      <c r="AP523" s="710"/>
      <c r="AQ523" s="710"/>
      <c r="AR523" s="710">
        <v>-2.6263999999999997E-3</v>
      </c>
      <c r="AS523" s="710">
        <v>-7.8764000000000004E-3</v>
      </c>
      <c r="AT523" s="710">
        <v>-1.3342233333333333E-2</v>
      </c>
      <c r="AU523" s="710">
        <v>-1.90239E-2</v>
      </c>
      <c r="AV523" s="710">
        <v>-2.49214E-2</v>
      </c>
      <c r="AW523" s="710">
        <v>-3.1034733333333338E-2</v>
      </c>
      <c r="AX523" s="710">
        <v>-3.7363900000000005E-2</v>
      </c>
      <c r="AY523" s="710">
        <v>-4.3908900000000008E-2</v>
      </c>
      <c r="AZ523" s="710">
        <v>-5.0669733333333342E-2</v>
      </c>
      <c r="BA523" s="710">
        <v>-5.7646400000000014E-2</v>
      </c>
      <c r="BB523" s="710">
        <v>-6.4838900000000019E-2</v>
      </c>
      <c r="BC523" s="710">
        <v>-7.2247233333333355E-2</v>
      </c>
      <c r="BD523" s="710">
        <v>-7.9871400000000009E-2</v>
      </c>
      <c r="BE523" s="710">
        <v>-8.7711400000000009E-2</v>
      </c>
      <c r="BF523" s="710">
        <v>-9.5878066666666678E-2</v>
      </c>
      <c r="BG523" s="710">
        <v>-0.1043714</v>
      </c>
      <c r="BH523" s="710">
        <v>-0.1131914</v>
      </c>
      <c r="BI523" s="710">
        <v>-0.12233806666666666</v>
      </c>
      <c r="BJ523" s="710">
        <v>-0.1318114</v>
      </c>
      <c r="BK523" s="710">
        <v>-0.1416114</v>
      </c>
      <c r="BL523" s="710">
        <v>-0.15173806666666664</v>
      </c>
      <c r="BM523" s="710">
        <v>-0.16219139999999999</v>
      </c>
      <c r="BN523" s="710">
        <v>-0.1729714</v>
      </c>
      <c r="BO523" s="710">
        <v>-0.18407806666666665</v>
      </c>
      <c r="BP523" s="710">
        <v>-0.19551139999999997</v>
      </c>
      <c r="BQ523" s="710">
        <v>-0.20727139999999999</v>
      </c>
      <c r="BR523" s="710">
        <v>-0.21921806666666666</v>
      </c>
      <c r="BS523" s="710">
        <v>-0.23135139999999996</v>
      </c>
      <c r="BT523" s="710">
        <v>-0.24367139999999998</v>
      </c>
      <c r="BU523" s="710">
        <v>-0.25617806666666665</v>
      </c>
      <c r="BV523" s="710">
        <v>-0.26887139999999998</v>
      </c>
      <c r="BW523" s="710">
        <v>-0.28175139999999999</v>
      </c>
      <c r="BX523" s="710">
        <v>-0.2948180666666666</v>
      </c>
      <c r="BY523" s="710">
        <v>-0.30807139999999994</v>
      </c>
      <c r="BZ523" s="710">
        <v>-0.32151139999999989</v>
      </c>
      <c r="CA523" s="710">
        <v>-0.33513806666666657</v>
      </c>
      <c r="CB523" s="710">
        <v>-0.34895139999999991</v>
      </c>
      <c r="CC523" s="710">
        <v>-0.36295139999999992</v>
      </c>
      <c r="CD523" s="710">
        <v>-0.37695139999999988</v>
      </c>
      <c r="CE523" s="710">
        <v>-0.39095139999999989</v>
      </c>
      <c r="CF523" s="710">
        <v>-0.40495139999999991</v>
      </c>
      <c r="CG523" s="710">
        <v>-0.41895139999999992</v>
      </c>
      <c r="CH523" s="710">
        <v>-0.43295139999999993</v>
      </c>
      <c r="CI523" s="710">
        <v>-0.44695139999999989</v>
      </c>
      <c r="CJ523" s="710">
        <v>-0.4609513999999999</v>
      </c>
      <c r="CK523" s="710">
        <v>-0.47495139999999991</v>
      </c>
      <c r="CL523" s="710">
        <v>-0.48895139999999992</v>
      </c>
      <c r="CM523" s="710">
        <v>-0.50295139999999994</v>
      </c>
      <c r="CN523" s="710">
        <v>-0.51695139999999995</v>
      </c>
      <c r="CO523" s="710">
        <v>-0.53095139999999996</v>
      </c>
      <c r="CP523" s="710">
        <v>-0.54495139999999986</v>
      </c>
      <c r="CQ523" s="710">
        <v>-0.55895139999999988</v>
      </c>
      <c r="CR523" s="710">
        <v>-0.57295139999999989</v>
      </c>
      <c r="CS523" s="710">
        <v>-0.5869513999999999</v>
      </c>
      <c r="CT523" s="710">
        <v>-0.60095139999999991</v>
      </c>
      <c r="CU523" s="710">
        <v>-0.61495139999999993</v>
      </c>
      <c r="CV523" s="710">
        <v>-0.62895139999999994</v>
      </c>
      <c r="CW523" s="710">
        <v>-0.64295139999999995</v>
      </c>
      <c r="CX523" s="710">
        <v>-0.65695139999999985</v>
      </c>
      <c r="CY523" s="710">
        <v>-0.67095139999999986</v>
      </c>
      <c r="CZ523" s="710">
        <v>-0.68495139999999988</v>
      </c>
      <c r="DA523" s="710">
        <v>-0.69895139999999989</v>
      </c>
      <c r="DC523" s="12">
        <f t="shared" si="551"/>
        <v>0</v>
      </c>
      <c r="DD523" s="12">
        <f t="shared" si="552"/>
        <v>-1.05028E-2</v>
      </c>
      <c r="DE523" s="12">
        <f t="shared" si="553"/>
        <v>-0.58258013333333347</v>
      </c>
      <c r="DF523" s="12">
        <f t="shared" si="554"/>
        <v>-1.7829634666666665</v>
      </c>
      <c r="DG523" s="12">
        <f t="shared" si="555"/>
        <v>-3.4724834666666662</v>
      </c>
      <c r="DH523" s="12">
        <f t="shared" si="556"/>
        <v>-5.4474168000000001</v>
      </c>
      <c r="DI523" s="12">
        <f t="shared" si="549"/>
        <v>-7.4634167999999992</v>
      </c>
    </row>
    <row r="524" spans="2:113" s="760" customFormat="1" outlineLevel="2">
      <c r="F524" s="717" t="s">
        <v>152</v>
      </c>
      <c r="G524" s="717"/>
      <c r="H524" s="761"/>
      <c r="I524" s="761" t="s">
        <v>736</v>
      </c>
      <c r="J524" s="762"/>
      <c r="K524" s="762"/>
      <c r="L524" s="762"/>
      <c r="M524" s="762"/>
      <c r="Q524" s="726"/>
      <c r="R524" s="726"/>
      <c r="S524" s="726"/>
      <c r="T524" s="726"/>
      <c r="U524" s="726"/>
      <c r="V524" s="726"/>
      <c r="W524" s="726"/>
      <c r="X524" s="726"/>
      <c r="Y524" s="726"/>
      <c r="Z524" s="726"/>
      <c r="AA524" s="726"/>
      <c r="AB524" s="726"/>
      <c r="AC524" s="726"/>
      <c r="AD524" s="726"/>
      <c r="AE524" s="726"/>
      <c r="AF524" s="726"/>
      <c r="AG524" s="726"/>
      <c r="AH524" s="726"/>
      <c r="AI524" s="726"/>
      <c r="AJ524" s="726"/>
      <c r="AK524" s="750"/>
      <c r="AL524" s="750"/>
      <c r="AM524" s="750"/>
      <c r="AN524" s="750"/>
      <c r="AO524" s="750"/>
      <c r="AP524" s="750"/>
      <c r="AQ524" s="750"/>
      <c r="AR524" s="750"/>
      <c r="AS524" s="750"/>
      <c r="AT524" s="750">
        <f>AT490/AT399*AT430</f>
        <v>-4.7797565777698238E-3</v>
      </c>
      <c r="AU524" s="750">
        <f t="shared" ref="AU524:DA524" si="562">AU490/AU399*AU430</f>
        <v>-4.8580679033951709E-3</v>
      </c>
      <c r="AV524" s="750">
        <f t="shared" si="562"/>
        <v>-4.9329738058551632E-3</v>
      </c>
      <c r="AW524" s="750">
        <f t="shared" si="562"/>
        <v>-5.0046916890080445E-3</v>
      </c>
      <c r="AX524" s="750">
        <f t="shared" si="562"/>
        <v>-5.0734208367514376E-3</v>
      </c>
      <c r="AY524" s="750">
        <f t="shared" si="562"/>
        <v>-5.1393442622950838E-3</v>
      </c>
      <c r="AZ524" s="750">
        <f t="shared" si="562"/>
        <v>-1.5516616790045685E-3</v>
      </c>
      <c r="BA524" s="750">
        <f t="shared" si="562"/>
        <v>-1.5697961704756031E-3</v>
      </c>
      <c r="BB524" s="750">
        <f t="shared" si="562"/>
        <v>-1.5872330758746032E-3</v>
      </c>
      <c r="BC524" s="750">
        <f t="shared" si="562"/>
        <v>-1.6040118870728093E-3</v>
      </c>
      <c r="BD524" s="750">
        <f t="shared" si="562"/>
        <v>-1.6201691701910467E-3</v>
      </c>
      <c r="BE524" s="750">
        <f t="shared" si="562"/>
        <v>-1.6357388316151202E-3</v>
      </c>
      <c r="BF524" s="750">
        <f t="shared" si="562"/>
        <v>-1.7171717171717172E-3</v>
      </c>
      <c r="BG524" s="750">
        <f t="shared" si="562"/>
        <v>-1.7998836532867948E-3</v>
      </c>
      <c r="BH524" s="750">
        <f t="shared" si="562"/>
        <v>-1.8839050131926121E-3</v>
      </c>
      <c r="BI524" s="750">
        <f t="shared" si="562"/>
        <v>-1.9692671394799057E-3</v>
      </c>
      <c r="BJ524" s="750">
        <f t="shared" si="562"/>
        <v>-2.0560023830801309E-3</v>
      </c>
      <c r="BK524" s="750">
        <f t="shared" si="562"/>
        <v>-2.1441441441441443E-3</v>
      </c>
      <c r="BL524" s="750">
        <f t="shared" si="562"/>
        <v>-2.2337269149258249E-3</v>
      </c>
      <c r="BM524" s="750">
        <f t="shared" si="562"/>
        <v>-2.3247863247863247E-3</v>
      </c>
      <c r="BN524" s="750">
        <f t="shared" si="562"/>
        <v>-2.4173591874422896E-3</v>
      </c>
      <c r="BO524" s="750">
        <f t="shared" si="562"/>
        <v>-2.5114835505896959E-3</v>
      </c>
      <c r="BP524" s="750">
        <f t="shared" si="562"/>
        <v>-2.6071987480438185E-3</v>
      </c>
      <c r="BQ524" s="750">
        <f t="shared" si="562"/>
        <v>-2.7045454545454543E-3</v>
      </c>
      <c r="BR524" s="750">
        <f t="shared" si="562"/>
        <v>-2.7336683417085424E-3</v>
      </c>
      <c r="BS524" s="750">
        <f t="shared" si="562"/>
        <v>-2.7624999999999998E-3</v>
      </c>
      <c r="BT524" s="750">
        <f t="shared" si="562"/>
        <v>-2.7910447761194026E-3</v>
      </c>
      <c r="BU524" s="750">
        <f t="shared" si="562"/>
        <v>-2.8193069306930688E-3</v>
      </c>
      <c r="BV524" s="750">
        <f t="shared" si="562"/>
        <v>-2.8472906403940882E-3</v>
      </c>
      <c r="BW524" s="750">
        <f t="shared" si="562"/>
        <v>-2.8749999999999995E-3</v>
      </c>
      <c r="BX524" s="750">
        <f t="shared" si="562"/>
        <v>-2.902439024390243E-3</v>
      </c>
      <c r="BY524" s="750">
        <f t="shared" si="562"/>
        <v>-2.9296116504854363E-3</v>
      </c>
      <c r="BZ524" s="750">
        <f t="shared" si="562"/>
        <v>-2.9565217391304341E-3</v>
      </c>
      <c r="CA524" s="750">
        <f t="shared" si="562"/>
        <v>-2.983173076923076E-3</v>
      </c>
      <c r="CB524" s="750">
        <f t="shared" si="562"/>
        <v>-3.0095693779904295E-3</v>
      </c>
      <c r="CC524" s="750">
        <f t="shared" si="562"/>
        <v>-3.0357142857142861E-3</v>
      </c>
      <c r="CD524" s="750">
        <f t="shared" si="562"/>
        <v>-3.0357142857142861E-3</v>
      </c>
      <c r="CE524" s="750">
        <f t="shared" si="562"/>
        <v>-3.0357142857142861E-3</v>
      </c>
      <c r="CF524" s="750">
        <f t="shared" si="562"/>
        <v>-3.0357142857142861E-3</v>
      </c>
      <c r="CG524" s="750">
        <f t="shared" si="562"/>
        <v>-3.0357142857142861E-3</v>
      </c>
      <c r="CH524" s="750">
        <f t="shared" si="562"/>
        <v>-3.0357142857142861E-3</v>
      </c>
      <c r="CI524" s="750">
        <f t="shared" si="562"/>
        <v>-3.0357142857142861E-3</v>
      </c>
      <c r="CJ524" s="750">
        <f t="shared" si="562"/>
        <v>-3.0357142857142861E-3</v>
      </c>
      <c r="CK524" s="750">
        <f t="shared" si="562"/>
        <v>-3.0357142857142861E-3</v>
      </c>
      <c r="CL524" s="750">
        <f t="shared" si="562"/>
        <v>-3.0357142857142861E-3</v>
      </c>
      <c r="CM524" s="750">
        <f t="shared" si="562"/>
        <v>-3.0357142857142861E-3</v>
      </c>
      <c r="CN524" s="750">
        <f t="shared" si="562"/>
        <v>-3.0357142857142861E-3</v>
      </c>
      <c r="CO524" s="750">
        <f t="shared" si="562"/>
        <v>-3.0357142857142861E-3</v>
      </c>
      <c r="CP524" s="750">
        <f t="shared" si="562"/>
        <v>-3.0357142857142861E-3</v>
      </c>
      <c r="CQ524" s="750">
        <f t="shared" si="562"/>
        <v>-3.0357142857142861E-3</v>
      </c>
      <c r="CR524" s="750">
        <f t="shared" si="562"/>
        <v>-3.0357142857142861E-3</v>
      </c>
      <c r="CS524" s="750">
        <f t="shared" si="562"/>
        <v>-3.0357142857142861E-3</v>
      </c>
      <c r="CT524" s="750">
        <f t="shared" si="562"/>
        <v>-3.0357142857142861E-3</v>
      </c>
      <c r="CU524" s="750">
        <f t="shared" si="562"/>
        <v>-3.0357142857142861E-3</v>
      </c>
      <c r="CV524" s="750">
        <f t="shared" si="562"/>
        <v>-3.0357142857142861E-3</v>
      </c>
      <c r="CW524" s="750">
        <f t="shared" si="562"/>
        <v>-3.0357142857142861E-3</v>
      </c>
      <c r="CX524" s="750">
        <f t="shared" si="562"/>
        <v>-3.0357142857142861E-3</v>
      </c>
      <c r="CY524" s="750">
        <f t="shared" si="562"/>
        <v>-3.0357142857142861E-3</v>
      </c>
      <c r="CZ524" s="750">
        <f t="shared" si="562"/>
        <v>-3.0357142857142861E-3</v>
      </c>
      <c r="DA524" s="750">
        <f t="shared" si="562"/>
        <v>-3.0357142857142861E-3</v>
      </c>
      <c r="DC524" s="726"/>
      <c r="DD524" s="12">
        <f>SUM(AH524:AS524)</f>
        <v>0</v>
      </c>
      <c r="DE524" s="12">
        <f>SUM(AT524:BE524)</f>
        <v>-3.9356865889308479E-2</v>
      </c>
      <c r="DF524" s="12">
        <f>SUM(BF524:BQ524)</f>
        <v>-2.6369474230688715E-2</v>
      </c>
      <c r="DG524" s="12">
        <f>SUM(BR524:CC524)</f>
        <v>-3.4645839843549006E-2</v>
      </c>
      <c r="DH524" s="12">
        <f>SUM(CD524:CO524)</f>
        <v>-3.6428571428571442E-2</v>
      </c>
      <c r="DI524" s="12">
        <f t="shared" si="549"/>
        <v>-3.6428571428571442E-2</v>
      </c>
    </row>
    <row r="525" spans="2:113" outlineLevel="2">
      <c r="F525" s="126" t="s">
        <v>144</v>
      </c>
      <c r="G525" s="718"/>
      <c r="H525" s="727"/>
      <c r="I525" s="609" t="s">
        <v>736</v>
      </c>
      <c r="Q525" s="12"/>
      <c r="R525" s="12"/>
      <c r="S525" s="12"/>
      <c r="T525" s="12"/>
      <c r="U525" s="12"/>
      <c r="V525" s="12"/>
      <c r="W525" s="12"/>
      <c r="X525" s="12"/>
      <c r="Y525" s="12"/>
      <c r="Z525" s="702"/>
      <c r="AA525" s="702"/>
      <c r="AB525" s="702"/>
      <c r="AC525" s="702"/>
      <c r="AD525" s="702"/>
      <c r="AE525" s="702"/>
      <c r="AF525" s="702"/>
      <c r="AG525" s="702"/>
      <c r="AH525" s="702"/>
      <c r="AI525" s="702"/>
      <c r="AJ525" s="702"/>
      <c r="AK525" s="710"/>
      <c r="AL525" s="710"/>
      <c r="AM525" s="710"/>
      <c r="AN525" s="710"/>
      <c r="AO525" s="710"/>
      <c r="AP525" s="710"/>
      <c r="AQ525" s="710"/>
      <c r="AR525" s="710"/>
      <c r="AS525" s="710"/>
      <c r="AT525" s="750">
        <f>AT431/AT399*AT490</f>
        <v>-5.5903585704910219E-2</v>
      </c>
      <c r="AU525" s="750">
        <f t="shared" ref="AU525:DA525" si="563">AU431/AU399*AU490</f>
        <v>-5.681950764204878E-2</v>
      </c>
      <c r="AV525" s="750">
        <f t="shared" si="563"/>
        <v>-5.7695600068481435E-2</v>
      </c>
      <c r="AW525" s="750">
        <f t="shared" si="563"/>
        <v>-5.8534405719392335E-2</v>
      </c>
      <c r="AX525" s="750">
        <f t="shared" si="563"/>
        <v>-5.9338255400601614E-2</v>
      </c>
      <c r="AY525" s="750">
        <f t="shared" si="563"/>
        <v>-6.0109289617486357E-2</v>
      </c>
      <c r="AZ525" s="750">
        <f t="shared" si="563"/>
        <v>-6.0849477608022291E-2</v>
      </c>
      <c r="BA525" s="750">
        <f t="shared" si="563"/>
        <v>-6.1560634136298163E-2</v>
      </c>
      <c r="BB525" s="750">
        <f t="shared" si="563"/>
        <v>-6.2244434348023667E-2</v>
      </c>
      <c r="BC525" s="750">
        <f t="shared" si="563"/>
        <v>-6.2902426944031739E-2</v>
      </c>
      <c r="BD525" s="750">
        <f t="shared" si="563"/>
        <v>-6.3536045889844961E-2</v>
      </c>
      <c r="BE525" s="750">
        <f t="shared" si="563"/>
        <v>-6.4146620847651784E-2</v>
      </c>
      <c r="BF525" s="750">
        <f t="shared" si="563"/>
        <v>-0.10101010101010101</v>
      </c>
      <c r="BG525" s="750">
        <f t="shared" si="563"/>
        <v>-0.10587550901687028</v>
      </c>
      <c r="BH525" s="750">
        <f t="shared" si="563"/>
        <v>-0.11081794195250658</v>
      </c>
      <c r="BI525" s="750">
        <f t="shared" si="563"/>
        <v>-0.11583924349881797</v>
      </c>
      <c r="BJ525" s="750">
        <f t="shared" si="563"/>
        <v>-0.12094131665177241</v>
      </c>
      <c r="BK525" s="750">
        <f t="shared" si="563"/>
        <v>-0.12612612612612611</v>
      </c>
      <c r="BL525" s="750">
        <f t="shared" si="563"/>
        <v>-0.13139570087798969</v>
      </c>
      <c r="BM525" s="750">
        <f t="shared" si="563"/>
        <v>-0.13675213675213674</v>
      </c>
      <c r="BN525" s="750">
        <f t="shared" si="563"/>
        <v>-0.14219759926131115</v>
      </c>
      <c r="BO525" s="750">
        <f t="shared" si="563"/>
        <v>-0.14773432650527621</v>
      </c>
      <c r="BP525" s="750">
        <f t="shared" si="563"/>
        <v>-0.15336463223787167</v>
      </c>
      <c r="BQ525" s="750">
        <f t="shared" si="563"/>
        <v>-0.15909090909090906</v>
      </c>
      <c r="BR525" s="750">
        <f t="shared" si="563"/>
        <v>-0.20904522613065324</v>
      </c>
      <c r="BS525" s="750">
        <f t="shared" si="563"/>
        <v>-0.21124999999999999</v>
      </c>
      <c r="BT525" s="750">
        <f t="shared" si="563"/>
        <v>-0.21343283582089548</v>
      </c>
      <c r="BU525" s="750">
        <f t="shared" si="563"/>
        <v>-0.21559405940594056</v>
      </c>
      <c r="BV525" s="750">
        <f t="shared" si="563"/>
        <v>-0.21773399014778322</v>
      </c>
      <c r="BW525" s="750">
        <f t="shared" si="563"/>
        <v>-0.21985294117647053</v>
      </c>
      <c r="BX525" s="750">
        <f t="shared" si="563"/>
        <v>-0.22195121951219504</v>
      </c>
      <c r="BY525" s="750">
        <f t="shared" si="563"/>
        <v>-0.22402912621359217</v>
      </c>
      <c r="BZ525" s="750">
        <f t="shared" si="563"/>
        <v>-0.22608695652173905</v>
      </c>
      <c r="CA525" s="750">
        <f t="shared" si="563"/>
        <v>-0.22812499999999991</v>
      </c>
      <c r="CB525" s="750">
        <f t="shared" si="563"/>
        <v>-0.23014354066985637</v>
      </c>
      <c r="CC525" s="750">
        <f t="shared" si="563"/>
        <v>-0.23214285714285715</v>
      </c>
      <c r="CD525" s="750">
        <f t="shared" si="563"/>
        <v>-0.27857142857142858</v>
      </c>
      <c r="CE525" s="750">
        <f t="shared" si="563"/>
        <v>-0.27857142857142858</v>
      </c>
      <c r="CF525" s="750">
        <f t="shared" si="563"/>
        <v>-0.27857142857142858</v>
      </c>
      <c r="CG525" s="750">
        <f t="shared" si="563"/>
        <v>-0.27857142857142858</v>
      </c>
      <c r="CH525" s="750">
        <f t="shared" si="563"/>
        <v>-0.27857142857142858</v>
      </c>
      <c r="CI525" s="750">
        <f t="shared" si="563"/>
        <v>-0.27857142857142858</v>
      </c>
      <c r="CJ525" s="750">
        <f t="shared" si="563"/>
        <v>-0.27857142857142858</v>
      </c>
      <c r="CK525" s="750">
        <f t="shared" si="563"/>
        <v>-0.27857142857142858</v>
      </c>
      <c r="CL525" s="750">
        <f t="shared" si="563"/>
        <v>-0.27857142857142858</v>
      </c>
      <c r="CM525" s="750">
        <f t="shared" si="563"/>
        <v>-0.27857142857142858</v>
      </c>
      <c r="CN525" s="750">
        <f t="shared" si="563"/>
        <v>-0.27857142857142858</v>
      </c>
      <c r="CO525" s="750">
        <f t="shared" si="563"/>
        <v>-0.27857142857142858</v>
      </c>
      <c r="CP525" s="750">
        <f t="shared" si="563"/>
        <v>-0.30642857142857144</v>
      </c>
      <c r="CQ525" s="750">
        <f t="shared" si="563"/>
        <v>-0.30642857142857144</v>
      </c>
      <c r="CR525" s="750">
        <f t="shared" si="563"/>
        <v>-0.30642857142857144</v>
      </c>
      <c r="CS525" s="750">
        <f t="shared" si="563"/>
        <v>-0.30642857142857144</v>
      </c>
      <c r="CT525" s="750">
        <f t="shared" si="563"/>
        <v>-0.30642857142857144</v>
      </c>
      <c r="CU525" s="750">
        <f t="shared" si="563"/>
        <v>-0.30642857142857144</v>
      </c>
      <c r="CV525" s="750">
        <f t="shared" si="563"/>
        <v>-0.30642857142857144</v>
      </c>
      <c r="CW525" s="750">
        <f t="shared" si="563"/>
        <v>-0.30642857142857144</v>
      </c>
      <c r="CX525" s="750">
        <f t="shared" si="563"/>
        <v>-0.30642857142857144</v>
      </c>
      <c r="CY525" s="750">
        <f t="shared" si="563"/>
        <v>-0.30642857142857144</v>
      </c>
      <c r="CZ525" s="750">
        <f t="shared" si="563"/>
        <v>-0.30642857142857144</v>
      </c>
      <c r="DA525" s="750">
        <f t="shared" si="563"/>
        <v>-0.30642857142857144</v>
      </c>
      <c r="DC525" s="12">
        <f>SUM(V525:AG525)</f>
        <v>0</v>
      </c>
      <c r="DD525" s="12">
        <f>SUM(AH525:AS525)</f>
        <v>0</v>
      </c>
      <c r="DE525" s="12">
        <f>SUM(AT525:BE525)</f>
        <v>-0.72364028392679325</v>
      </c>
      <c r="DF525" s="12">
        <f>SUM(BF525:BQ525)</f>
        <v>-1.5511455429816885</v>
      </c>
      <c r="DG525" s="12">
        <f>SUM(BR525:CC525)</f>
        <v>-2.6493877527419829</v>
      </c>
      <c r="DH525" s="12">
        <f>SUM(CD525:CO525)</f>
        <v>-3.3428571428571421</v>
      </c>
      <c r="DI525" s="12">
        <f t="shared" si="549"/>
        <v>-3.6771428571428575</v>
      </c>
    </row>
    <row r="526" spans="2:113" outlineLevel="2">
      <c r="F526" s="698" t="s">
        <v>808</v>
      </c>
      <c r="H526" s="126"/>
      <c r="I526" s="609" t="s">
        <v>736</v>
      </c>
      <c r="Q526" s="12"/>
      <c r="R526" s="12"/>
      <c r="S526" s="12"/>
      <c r="T526" s="12"/>
      <c r="U526" s="12"/>
      <c r="V526" s="12"/>
      <c r="W526" s="12"/>
      <c r="X526" s="12"/>
      <c r="Y526" s="12"/>
      <c r="Z526" s="702"/>
      <c r="AA526" s="702"/>
      <c r="AB526" s="702"/>
      <c r="AC526" s="702"/>
      <c r="AD526" s="702"/>
      <c r="AE526" s="702"/>
      <c r="AF526" s="702"/>
      <c r="AG526" s="702"/>
      <c r="AH526" s="702"/>
      <c r="AI526" s="702"/>
      <c r="AJ526" s="702"/>
      <c r="AK526" s="714"/>
      <c r="AL526" s="714"/>
      <c r="AM526" s="714"/>
      <c r="AN526" s="714"/>
      <c r="AO526" s="714"/>
      <c r="AP526" s="714"/>
      <c r="AQ526" s="714"/>
      <c r="AR526" s="714">
        <v>-2.468816E-3</v>
      </c>
      <c r="AS526" s="714">
        <v>-1.2544071872832963E-2</v>
      </c>
      <c r="AT526" s="714">
        <v>-2.8282694461890846E-2</v>
      </c>
      <c r="AU526" s="714">
        <v>-4.6653223455338275E-2</v>
      </c>
      <c r="AV526" s="714">
        <v>-4.0532723787827116E-2</v>
      </c>
      <c r="AW526" s="714">
        <v>-3.1912729988761088E-2</v>
      </c>
      <c r="AX526" s="714">
        <v>-1.9898104563666433E-2</v>
      </c>
      <c r="AY526" s="714">
        <v>-4.373049346944582E-3</v>
      </c>
      <c r="AZ526" s="714">
        <v>9.660351797439265E-3</v>
      </c>
      <c r="BA526" s="714">
        <v>1.0532200602609808E-2</v>
      </c>
      <c r="BB526" s="714">
        <v>1.4496841791909736E-2</v>
      </c>
      <c r="BC526" s="714">
        <v>1.4076564829556614E-2</v>
      </c>
      <c r="BD526" s="714">
        <v>9.8087365683278138E-3</v>
      </c>
      <c r="BE526" s="714">
        <v>1.9902292930102372E-3</v>
      </c>
      <c r="BF526" s="714">
        <v>-7.1638024607567602E-2</v>
      </c>
      <c r="BG526" s="714">
        <v>-0.21332143493498806</v>
      </c>
      <c r="BH526" s="714">
        <v>-0.35925894749485537</v>
      </c>
      <c r="BI526" s="714">
        <v>-0.47029786726206213</v>
      </c>
      <c r="BJ526" s="714">
        <v>-0.3898306617192871</v>
      </c>
      <c r="BK526" s="714">
        <v>-0.36541583179068743</v>
      </c>
      <c r="BL526" s="714">
        <v>-0.42004851755292727</v>
      </c>
      <c r="BM526" s="714">
        <v>-0.42916922553026376</v>
      </c>
      <c r="BN526" s="714">
        <v>-0.50988009466016893</v>
      </c>
      <c r="BO526" s="714">
        <v>-0.54264676984850202</v>
      </c>
      <c r="BP526" s="714">
        <v>-0.58025675638382634</v>
      </c>
      <c r="BQ526" s="714">
        <v>-0.619069347563175</v>
      </c>
      <c r="BR526" s="714">
        <v>-0.65296020778494523</v>
      </c>
      <c r="BS526" s="714">
        <v>-0.68193859789049693</v>
      </c>
      <c r="BT526" s="714">
        <v>-0.71169460987215771</v>
      </c>
      <c r="BU526" s="714">
        <v>-0.74070167644286422</v>
      </c>
      <c r="BV526" s="714">
        <v>-0.77129248512764703</v>
      </c>
      <c r="BW526" s="714">
        <v>-0.80221399016699502</v>
      </c>
      <c r="BX526" s="714">
        <v>-0.84341434040811381</v>
      </c>
      <c r="BY526" s="714">
        <v>-0.8959772676040223</v>
      </c>
      <c r="BZ526" s="714">
        <v>-0.94630242181604141</v>
      </c>
      <c r="CA526" s="714">
        <v>-1.1336125628750122</v>
      </c>
      <c r="CB526" s="714">
        <v>-1.185516351091356</v>
      </c>
      <c r="CC526" s="714">
        <v>-1.2391994423471211</v>
      </c>
      <c r="CD526" s="714">
        <v>-1.3068391453181272</v>
      </c>
      <c r="CE526" s="714">
        <v>-1.3820528320706378</v>
      </c>
      <c r="CF526" s="714">
        <v>-1.4443093504303837</v>
      </c>
      <c r="CG526" s="714">
        <v>-1.6855759087164757</v>
      </c>
      <c r="CH526" s="714">
        <v>-1.7480965378795104</v>
      </c>
      <c r="CI526" s="714">
        <v>-1.8150042802569892</v>
      </c>
      <c r="CJ526" s="714">
        <v>-1.8826867338288096</v>
      </c>
      <c r="CK526" s="714">
        <v>-1.9415968701274779</v>
      </c>
      <c r="CL526" s="714">
        <v>-1.9893982317846901</v>
      </c>
      <c r="CM526" s="714">
        <v>-2.0378993049736058</v>
      </c>
      <c r="CN526" s="714">
        <v>-2.0867243387848422</v>
      </c>
      <c r="CO526" s="714">
        <v>-2.1395923839116806</v>
      </c>
      <c r="CP526" s="714">
        <v>-2.1926238556825672</v>
      </c>
      <c r="CQ526" s="714">
        <v>-2.245931158625599</v>
      </c>
      <c r="CR526" s="714">
        <v>-2.299530806538586</v>
      </c>
      <c r="CS526" s="714">
        <v>-2.3532350535182864</v>
      </c>
      <c r="CT526" s="714">
        <v>-2.4068112342066352</v>
      </c>
      <c r="CU526" s="714">
        <v>-2.4602794972619346</v>
      </c>
      <c r="CV526" s="714">
        <v>-2.5136497696636648</v>
      </c>
      <c r="CW526" s="714">
        <v>-2.567009147137584</v>
      </c>
      <c r="CX526" s="714">
        <v>-2.620360567310998</v>
      </c>
      <c r="CY526" s="714">
        <v>-2.6737097924144937</v>
      </c>
      <c r="CZ526" s="714">
        <v>-2.7270629454757787</v>
      </c>
      <c r="DA526" s="714">
        <v>-2.78042214072671</v>
      </c>
      <c r="DC526" s="14">
        <f t="shared" si="551"/>
        <v>0</v>
      </c>
      <c r="DD526" s="12">
        <f t="shared" si="552"/>
        <v>-1.5012887872832963E-2</v>
      </c>
      <c r="DE526" s="12">
        <f t="shared" si="553"/>
        <v>-0.11108760072157482</v>
      </c>
      <c r="DF526" s="12">
        <f t="shared" si="554"/>
        <v>-4.9708334793483111</v>
      </c>
      <c r="DG526" s="12">
        <f t="shared" si="555"/>
        <v>-10.604823953426774</v>
      </c>
      <c r="DH526" s="12">
        <f t="shared" si="556"/>
        <v>-21.459775918083228</v>
      </c>
      <c r="DI526" s="12">
        <f t="shared" si="549"/>
        <v>-29.840625968562836</v>
      </c>
    </row>
    <row r="527" spans="2:113" s="698" customFormat="1" outlineLevel="2">
      <c r="B527" s="126"/>
      <c r="G527" s="126" t="s">
        <v>827</v>
      </c>
      <c r="H527" s="126"/>
      <c r="I527" s="609" t="s">
        <v>736</v>
      </c>
      <c r="J527" s="703"/>
      <c r="K527" s="703"/>
      <c r="L527" s="703"/>
      <c r="M527" s="703"/>
      <c r="Q527" s="14"/>
      <c r="R527" s="14"/>
      <c r="S527" s="14"/>
      <c r="T527" s="14"/>
      <c r="U527" s="14"/>
      <c r="V527" s="14"/>
      <c r="W527" s="14"/>
      <c r="X527" s="14"/>
      <c r="Y527" s="14"/>
      <c r="Z527" s="708"/>
      <c r="AA527" s="708"/>
      <c r="AB527" s="708"/>
      <c r="AC527" s="708"/>
      <c r="AD527" s="708"/>
      <c r="AE527" s="708"/>
      <c r="AF527" s="708"/>
      <c r="AG527" s="708"/>
      <c r="AH527" s="708"/>
      <c r="AI527" s="708"/>
      <c r="AJ527" s="708"/>
      <c r="AK527" s="710"/>
      <c r="AL527" s="710"/>
      <c r="AM527" s="710"/>
      <c r="AN527" s="710"/>
      <c r="AO527" s="710"/>
      <c r="AP527" s="710"/>
      <c r="AQ527" s="710"/>
      <c r="AR527" s="710">
        <v>0</v>
      </c>
      <c r="AS527" s="710">
        <v>0</v>
      </c>
      <c r="AT527" s="710">
        <v>0</v>
      </c>
      <c r="AU527" s="710">
        <v>0</v>
      </c>
      <c r="AV527" s="710">
        <v>-6.7367159999999995E-2</v>
      </c>
      <c r="AW527" s="710">
        <v>-0.14118555149999998</v>
      </c>
      <c r="AX527" s="710">
        <v>-0.2213665474540909</v>
      </c>
      <c r="AY527" s="710">
        <v>-0.30902406161750701</v>
      </c>
      <c r="AZ527" s="710">
        <v>-0.39380774853698158</v>
      </c>
      <c r="BA527" s="710">
        <v>-0.44575164153800872</v>
      </c>
      <c r="BB527" s="710">
        <v>-0.51225406103434445</v>
      </c>
      <c r="BC527" s="710">
        <v>-0.57304513135132307</v>
      </c>
      <c r="BD527" s="710">
        <v>-0.63050701983033175</v>
      </c>
      <c r="BE527" s="710">
        <v>-0.68446525659228341</v>
      </c>
      <c r="BF527" s="710">
        <v>-0.69794563549485</v>
      </c>
      <c r="BG527" s="710">
        <v>-0.71843511616985023</v>
      </c>
      <c r="BH527" s="710">
        <v>-0.71201544974238873</v>
      </c>
      <c r="BI527" s="710">
        <v>-0.65803634270892819</v>
      </c>
      <c r="BJ527" s="710">
        <v>-1.0939910790074963</v>
      </c>
      <c r="BK527" s="710">
        <v>-1.3471500694089802</v>
      </c>
      <c r="BL527" s="710">
        <v>-1.3713513261767807</v>
      </c>
      <c r="BM527" s="710">
        <v>-1.508678896346787</v>
      </c>
      <c r="BN527" s="710">
        <v>-1.4516746099583768</v>
      </c>
      <c r="BO527" s="710">
        <v>-1.5656206444988199</v>
      </c>
      <c r="BP527" s="710">
        <v>-1.6767274393875113</v>
      </c>
      <c r="BQ527" s="710">
        <v>-1.7861804075915118</v>
      </c>
      <c r="BR527" s="710">
        <v>-1.9084914422105792</v>
      </c>
      <c r="BS527" s="710">
        <v>-2.0385414125230286</v>
      </c>
      <c r="BT527" s="710">
        <v>-2.1698361401789361</v>
      </c>
      <c r="BU527" s="710">
        <v>-2.3056381332395119</v>
      </c>
      <c r="BV527" s="710">
        <v>-2.4393571190957921</v>
      </c>
      <c r="BW527" s="710">
        <v>-2.5754475705806654</v>
      </c>
      <c r="BX527" s="710">
        <v>-2.713524647938141</v>
      </c>
      <c r="BY527" s="710">
        <v>-2.8533896297844628</v>
      </c>
      <c r="BZ527" s="710">
        <v>-2.9953075378935319</v>
      </c>
      <c r="CA527" s="710">
        <v>-2.7469896030190832</v>
      </c>
      <c r="CB527" s="710">
        <v>-2.8887046612111038</v>
      </c>
      <c r="CC527" s="710">
        <v>-3.029770320961251</v>
      </c>
      <c r="CD527" s="710">
        <v>-3.1720155766401907</v>
      </c>
      <c r="CE527" s="710">
        <v>-3.3158230035222744</v>
      </c>
      <c r="CF527" s="710">
        <v>-3.4616954023617312</v>
      </c>
      <c r="CG527" s="710">
        <v>-3.093957305629353</v>
      </c>
      <c r="CH527" s="710">
        <v>-3.2369226722789386</v>
      </c>
      <c r="CI527" s="710">
        <v>-3.3690089393324287</v>
      </c>
      <c r="CJ527" s="710">
        <v>-3.5005917874787378</v>
      </c>
      <c r="CK527" s="710">
        <v>-3.6319253708446566</v>
      </c>
      <c r="CL527" s="710">
        <v>-3.7635388092910342</v>
      </c>
      <c r="CM527" s="710">
        <v>-3.8954226483031231</v>
      </c>
      <c r="CN527" s="710">
        <v>-4.0276040260544121</v>
      </c>
      <c r="CO527" s="710">
        <v>-4.1492984879214152</v>
      </c>
      <c r="CP527" s="710">
        <v>-4.2715340069307297</v>
      </c>
      <c r="CQ527" s="710">
        <v>-4.3940033060295427</v>
      </c>
      <c r="CR527" s="710">
        <v>-4.5166718949062759</v>
      </c>
      <c r="CS527" s="710">
        <v>-4.6395192695312142</v>
      </c>
      <c r="CT527" s="710">
        <v>-4.7625481061745436</v>
      </c>
      <c r="CU527" s="710">
        <v>-4.8857603137975882</v>
      </c>
      <c r="CV527" s="710">
        <v>-5.0091582698551962</v>
      </c>
      <c r="CW527" s="710">
        <v>-5.1325180677689062</v>
      </c>
      <c r="CX527" s="710">
        <v>-5.2558538654289935</v>
      </c>
      <c r="CY527" s="710">
        <v>-5.3791716154093878</v>
      </c>
      <c r="CZ527" s="710">
        <v>-5.50247602664344</v>
      </c>
      <c r="DA527" s="710">
        <v>-5.6257710527399958</v>
      </c>
      <c r="DC527" s="12">
        <f t="shared" si="551"/>
        <v>0</v>
      </c>
      <c r="DD527" s="12">
        <f t="shared" si="552"/>
        <v>0</v>
      </c>
      <c r="DE527" s="12">
        <f t="shared" si="553"/>
        <v>-3.9787741794548706</v>
      </c>
      <c r="DF527" s="12">
        <f t="shared" si="554"/>
        <v>-14.587807016492281</v>
      </c>
      <c r="DG527" s="12">
        <f t="shared" si="555"/>
        <v>-30.664998218636089</v>
      </c>
      <c r="DH527" s="12">
        <f t="shared" si="556"/>
        <v>-42.617804029658295</v>
      </c>
      <c r="DI527" s="12">
        <f t="shared" si="549"/>
        <v>-59.374985795215821</v>
      </c>
    </row>
    <row r="528" spans="2:113" s="698" customFormat="1" outlineLevel="2">
      <c r="B528" s="126"/>
      <c r="G528" s="126" t="s">
        <v>828</v>
      </c>
      <c r="H528" s="126"/>
      <c r="I528" s="609" t="s">
        <v>736</v>
      </c>
      <c r="J528" s="703"/>
      <c r="K528" s="703"/>
      <c r="L528" s="703"/>
      <c r="M528" s="703"/>
      <c r="Q528" s="14"/>
      <c r="R528" s="14"/>
      <c r="S528" s="14"/>
      <c r="T528" s="14"/>
      <c r="U528" s="14"/>
      <c r="V528" s="14"/>
      <c r="W528" s="14"/>
      <c r="X528" s="14"/>
      <c r="Y528" s="14"/>
      <c r="Z528" s="708"/>
      <c r="AA528" s="708"/>
      <c r="AB528" s="708"/>
      <c r="AC528" s="708"/>
      <c r="AD528" s="708"/>
      <c r="AE528" s="708"/>
      <c r="AF528" s="708"/>
      <c r="AG528" s="708"/>
      <c r="AH528" s="708"/>
      <c r="AI528" s="708"/>
      <c r="AJ528" s="708"/>
      <c r="AK528" s="710"/>
      <c r="AL528" s="710"/>
      <c r="AM528" s="710"/>
      <c r="AN528" s="710"/>
      <c r="AO528" s="710"/>
      <c r="AP528" s="710"/>
      <c r="AQ528" s="710"/>
      <c r="AR528" s="710">
        <v>0</v>
      </c>
      <c r="AS528" s="710">
        <v>0</v>
      </c>
      <c r="AT528" s="710">
        <v>0</v>
      </c>
      <c r="AU528" s="710">
        <v>0</v>
      </c>
      <c r="AV528" s="710">
        <v>0</v>
      </c>
      <c r="AW528" s="710">
        <v>0</v>
      </c>
      <c r="AX528" s="710">
        <v>0</v>
      </c>
      <c r="AY528" s="710">
        <v>0</v>
      </c>
      <c r="AZ528" s="710">
        <v>0</v>
      </c>
      <c r="BA528" s="710">
        <v>0</v>
      </c>
      <c r="BB528" s="710">
        <v>0</v>
      </c>
      <c r="BC528" s="710">
        <v>0</v>
      </c>
      <c r="BD528" s="710">
        <v>0</v>
      </c>
      <c r="BE528" s="710">
        <v>0</v>
      </c>
      <c r="BF528" s="710">
        <v>0</v>
      </c>
      <c r="BG528" s="710">
        <v>0</v>
      </c>
      <c r="BH528" s="710">
        <v>0</v>
      </c>
      <c r="BI528" s="710">
        <v>0</v>
      </c>
      <c r="BJ528" s="710">
        <v>0</v>
      </c>
      <c r="BK528" s="710">
        <v>0</v>
      </c>
      <c r="BL528" s="710">
        <v>0</v>
      </c>
      <c r="BM528" s="710">
        <v>0</v>
      </c>
      <c r="BN528" s="710">
        <v>0</v>
      </c>
      <c r="BO528" s="710">
        <v>0</v>
      </c>
      <c r="BP528" s="710">
        <v>0</v>
      </c>
      <c r="BQ528" s="710">
        <v>0</v>
      </c>
      <c r="BR528" s="710">
        <v>0</v>
      </c>
      <c r="BS528" s="710">
        <v>0</v>
      </c>
      <c r="BT528" s="710">
        <v>0</v>
      </c>
      <c r="BU528" s="710">
        <v>0</v>
      </c>
      <c r="BV528" s="710">
        <v>0</v>
      </c>
      <c r="BW528" s="710">
        <v>0</v>
      </c>
      <c r="BX528" s="710">
        <v>0</v>
      </c>
      <c r="BY528" s="710">
        <v>0</v>
      </c>
      <c r="BZ528" s="710">
        <v>0</v>
      </c>
      <c r="CA528" s="710">
        <v>0</v>
      </c>
      <c r="CB528" s="710">
        <v>0</v>
      </c>
      <c r="CC528" s="710">
        <v>0</v>
      </c>
      <c r="CD528" s="710">
        <v>0</v>
      </c>
      <c r="CE528" s="710">
        <v>0</v>
      </c>
      <c r="CF528" s="710">
        <v>0</v>
      </c>
      <c r="CG528" s="710">
        <v>0</v>
      </c>
      <c r="CH528" s="710">
        <v>0</v>
      </c>
      <c r="CI528" s="710">
        <v>0</v>
      </c>
      <c r="CJ528" s="710">
        <v>0</v>
      </c>
      <c r="CK528" s="710">
        <v>0</v>
      </c>
      <c r="CL528" s="710">
        <v>0</v>
      </c>
      <c r="CM528" s="710">
        <v>0</v>
      </c>
      <c r="CN528" s="710">
        <v>0</v>
      </c>
      <c r="CO528" s="710">
        <v>0</v>
      </c>
      <c r="CP528" s="710">
        <v>0</v>
      </c>
      <c r="CQ528" s="710">
        <v>0</v>
      </c>
      <c r="CR528" s="710">
        <v>0</v>
      </c>
      <c r="CS528" s="710">
        <v>0</v>
      </c>
      <c r="CT528" s="710">
        <v>0</v>
      </c>
      <c r="CU528" s="710">
        <v>0</v>
      </c>
      <c r="CV528" s="710">
        <v>0</v>
      </c>
      <c r="CW528" s="710">
        <v>0</v>
      </c>
      <c r="CX528" s="710">
        <v>0</v>
      </c>
      <c r="CY528" s="710">
        <v>0</v>
      </c>
      <c r="CZ528" s="710">
        <v>0</v>
      </c>
      <c r="DA528" s="710">
        <v>0</v>
      </c>
      <c r="DC528" s="12">
        <f t="shared" si="551"/>
        <v>0</v>
      </c>
      <c r="DD528" s="12">
        <f t="shared" si="552"/>
        <v>0</v>
      </c>
      <c r="DE528" s="12">
        <f t="shared" si="553"/>
        <v>0</v>
      </c>
      <c r="DF528" s="12">
        <f t="shared" si="554"/>
        <v>0</v>
      </c>
      <c r="DG528" s="12">
        <f t="shared" si="555"/>
        <v>0</v>
      </c>
      <c r="DH528" s="12">
        <f t="shared" si="556"/>
        <v>0</v>
      </c>
      <c r="DI528" s="12">
        <f t="shared" si="549"/>
        <v>0</v>
      </c>
    </row>
    <row r="529" spans="2:113" s="698" customFormat="1" outlineLevel="2">
      <c r="B529" s="126"/>
      <c r="E529" s="698" t="s">
        <v>820</v>
      </c>
      <c r="F529" s="126"/>
      <c r="G529" s="126"/>
      <c r="H529" s="609"/>
      <c r="I529" s="609" t="s">
        <v>736</v>
      </c>
      <c r="J529" s="703"/>
      <c r="K529" s="703"/>
      <c r="L529" s="703"/>
      <c r="M529" s="703"/>
      <c r="O529" s="714"/>
      <c r="P529" s="714"/>
      <c r="Q529" s="714"/>
      <c r="R529" s="714"/>
      <c r="S529" s="714"/>
      <c r="T529" s="714"/>
      <c r="U529" s="714"/>
      <c r="V529" s="714"/>
      <c r="W529" s="714"/>
      <c r="X529" s="714"/>
      <c r="Y529" s="714"/>
      <c r="Z529" s="714"/>
      <c r="AA529" s="714"/>
      <c r="AB529" s="714"/>
      <c r="AC529" s="714"/>
      <c r="AD529" s="714"/>
      <c r="AE529" s="714"/>
      <c r="AF529" s="714"/>
      <c r="AG529" s="714"/>
      <c r="AH529" s="714"/>
      <c r="AI529" s="714"/>
      <c r="AJ529" s="714"/>
      <c r="AK529" s="696"/>
      <c r="AL529" s="696"/>
      <c r="AM529" s="696"/>
      <c r="AN529" s="696"/>
      <c r="AO529" s="696"/>
      <c r="AP529" s="696"/>
      <c r="AQ529" s="696"/>
      <c r="AR529" s="696">
        <f t="shared" ref="AR529:DA529" si="564">AR500+AR516+AR517</f>
        <v>-6.3138655999999987E-2</v>
      </c>
      <c r="AS529" s="696">
        <f t="shared" si="564"/>
        <v>-0.12168935152188165</v>
      </c>
      <c r="AT529" s="696">
        <f t="shared" si="564"/>
        <v>-0.17068592466744231</v>
      </c>
      <c r="AU529" s="696">
        <f t="shared" si="564"/>
        <v>-0.15731295084686794</v>
      </c>
      <c r="AV529" s="696">
        <f t="shared" si="564"/>
        <v>-0.13418843647058301</v>
      </c>
      <c r="AW529" s="696">
        <f t="shared" si="564"/>
        <v>-0.10998138938675434</v>
      </c>
      <c r="AX529" s="696">
        <f t="shared" si="564"/>
        <v>-8.6472266781724316E-2</v>
      </c>
      <c r="AY529" s="696">
        <f t="shared" si="564"/>
        <v>-8.4694274171376732E-2</v>
      </c>
      <c r="AZ529" s="696">
        <f t="shared" si="564"/>
        <v>-0.12119029250432389</v>
      </c>
      <c r="BA529" s="696">
        <f t="shared" si="564"/>
        <v>-0.16999405415906849</v>
      </c>
      <c r="BB529" s="696">
        <f t="shared" si="564"/>
        <v>-0.2188314070831342</v>
      </c>
      <c r="BC529" s="696">
        <f t="shared" si="564"/>
        <v>-0.26764146871130046</v>
      </c>
      <c r="BD529" s="696">
        <f t="shared" si="564"/>
        <v>-0.29915045357044789</v>
      </c>
      <c r="BE529" s="696">
        <f t="shared" si="564"/>
        <v>-0.3131211234662401</v>
      </c>
      <c r="BF529" s="696">
        <f t="shared" si="564"/>
        <v>-0.35903848396268945</v>
      </c>
      <c r="BG529" s="696">
        <f t="shared" si="564"/>
        <v>-0.18985745657258879</v>
      </c>
      <c r="BH529" s="696">
        <f t="shared" si="564"/>
        <v>-1.3505777908310312E-3</v>
      </c>
      <c r="BI529" s="696">
        <f t="shared" si="564"/>
        <v>0.10625888784578885</v>
      </c>
      <c r="BJ529" s="696">
        <f t="shared" si="564"/>
        <v>0.26662157055161462</v>
      </c>
      <c r="BK529" s="696">
        <f t="shared" si="564"/>
        <v>0.39837331962926381</v>
      </c>
      <c r="BL529" s="696">
        <f t="shared" si="564"/>
        <v>0.5003534567606549</v>
      </c>
      <c r="BM529" s="696">
        <f t="shared" si="564"/>
        <v>0.47097987675623143</v>
      </c>
      <c r="BN529" s="696">
        <f t="shared" si="564"/>
        <v>0.19460500118443069</v>
      </c>
      <c r="BO529" s="696">
        <f t="shared" si="564"/>
        <v>0.15337165544863263</v>
      </c>
      <c r="BP529" s="696">
        <f t="shared" si="564"/>
        <v>0.21021156605559455</v>
      </c>
      <c r="BQ529" s="696">
        <f t="shared" si="564"/>
        <v>0.26926759128331534</v>
      </c>
      <c r="BR529" s="696">
        <f t="shared" si="564"/>
        <v>0.34119323739086571</v>
      </c>
      <c r="BS529" s="696">
        <f t="shared" si="564"/>
        <v>0.36089675312382674</v>
      </c>
      <c r="BT529" s="696">
        <f t="shared" si="564"/>
        <v>0.38480861544994438</v>
      </c>
      <c r="BU529" s="696">
        <f t="shared" si="564"/>
        <v>0.40714989320379158</v>
      </c>
      <c r="BV529" s="696">
        <f t="shared" si="564"/>
        <v>0.42021839986412446</v>
      </c>
      <c r="BW529" s="696">
        <f t="shared" si="564"/>
        <v>0.43053607396667459</v>
      </c>
      <c r="BX529" s="696">
        <f t="shared" si="564"/>
        <v>0.49112740463277493</v>
      </c>
      <c r="BY529" s="696">
        <f t="shared" si="564"/>
        <v>0.53361838031629372</v>
      </c>
      <c r="BZ529" s="696">
        <f t="shared" si="564"/>
        <v>0.57812015902242742</v>
      </c>
      <c r="CA529" s="696">
        <f t="shared" si="564"/>
        <v>0.55248458115681309</v>
      </c>
      <c r="CB529" s="696">
        <f t="shared" si="564"/>
        <v>0.59710763747457341</v>
      </c>
      <c r="CC529" s="696">
        <f t="shared" si="564"/>
        <v>0.64228774244363196</v>
      </c>
      <c r="CD529" s="696">
        <f t="shared" si="564"/>
        <v>0.85022594011310781</v>
      </c>
      <c r="CE529" s="696">
        <f t="shared" si="564"/>
        <v>1.1595390899345355</v>
      </c>
      <c r="CF529" s="696">
        <f t="shared" si="564"/>
        <v>1.2291375222376368</v>
      </c>
      <c r="CG529" s="696">
        <f t="shared" si="564"/>
        <v>1.2071722620442902</v>
      </c>
      <c r="CH529" s="696">
        <f t="shared" si="564"/>
        <v>1.2761583707671544</v>
      </c>
      <c r="CI529" s="696">
        <f t="shared" si="564"/>
        <v>1.3426241276420559</v>
      </c>
      <c r="CJ529" s="696">
        <f t="shared" si="564"/>
        <v>1.5861034285751563</v>
      </c>
      <c r="CK529" s="696">
        <f t="shared" si="564"/>
        <v>1.9322006654548813</v>
      </c>
      <c r="CL529" s="696">
        <f t="shared" si="564"/>
        <v>1.9688679987073208</v>
      </c>
      <c r="CM529" s="696">
        <f t="shared" si="564"/>
        <v>2.0132734481377117</v>
      </c>
      <c r="CN529" s="696">
        <f t="shared" si="564"/>
        <v>2.0588377408840581</v>
      </c>
      <c r="CO529" s="696">
        <f t="shared" si="564"/>
        <v>2.1032379707063944</v>
      </c>
      <c r="CP529" s="696">
        <f t="shared" si="564"/>
        <v>2.1202695568006886</v>
      </c>
      <c r="CQ529" s="696">
        <f t="shared" si="564"/>
        <v>2.1655956529364357</v>
      </c>
      <c r="CR529" s="696">
        <f t="shared" si="564"/>
        <v>2.2150659437768141</v>
      </c>
      <c r="CS529" s="696">
        <f t="shared" si="564"/>
        <v>2.2707109865933921</v>
      </c>
      <c r="CT529" s="696">
        <f t="shared" si="564"/>
        <v>2.3258842984136612</v>
      </c>
      <c r="CU529" s="696">
        <f t="shared" si="564"/>
        <v>2.3808086319479793</v>
      </c>
      <c r="CV529" s="696">
        <f t="shared" si="564"/>
        <v>2.4355298679553457</v>
      </c>
      <c r="CW529" s="696">
        <f t="shared" si="564"/>
        <v>2.4900344468746081</v>
      </c>
      <c r="CX529" s="696">
        <f t="shared" si="564"/>
        <v>2.5443371689383261</v>
      </c>
      <c r="CY529" s="696">
        <f t="shared" si="564"/>
        <v>2.598451526553383</v>
      </c>
      <c r="CZ529" s="696">
        <f t="shared" si="564"/>
        <v>2.6524684470379194</v>
      </c>
      <c r="DA529" s="696">
        <f t="shared" si="564"/>
        <v>2.7065187684311223</v>
      </c>
      <c r="DC529" s="14">
        <f t="shared" si="551"/>
        <v>0</v>
      </c>
      <c r="DD529" s="14">
        <f t="shared" si="552"/>
        <v>-0.18482800752188164</v>
      </c>
      <c r="DE529" s="14">
        <f t="shared" si="553"/>
        <v>-2.1332640418192641</v>
      </c>
      <c r="DF529" s="14">
        <f t="shared" si="554"/>
        <v>2.0197964071894177</v>
      </c>
      <c r="DG529" s="14">
        <f t="shared" si="555"/>
        <v>5.739548878045742</v>
      </c>
      <c r="DH529" s="14">
        <f t="shared" si="556"/>
        <v>18.727378565204305</v>
      </c>
      <c r="DI529" s="14">
        <f t="shared" si="549"/>
        <v>28.90567529625968</v>
      </c>
    </row>
    <row r="530" spans="2:113" s="698" customFormat="1" outlineLevel="2">
      <c r="B530" s="126"/>
      <c r="E530" s="229"/>
      <c r="F530" s="230" t="s">
        <v>423</v>
      </c>
      <c r="G530" s="126"/>
      <c r="H530" s="609"/>
      <c r="I530" s="609" t="s">
        <v>736</v>
      </c>
      <c r="J530" s="703"/>
      <c r="K530" s="703"/>
      <c r="L530" s="703"/>
      <c r="M530" s="703"/>
      <c r="O530" s="714"/>
      <c r="P530" s="714"/>
      <c r="Q530" s="714"/>
      <c r="R530" s="714"/>
      <c r="S530" s="714"/>
      <c r="T530" s="714"/>
      <c r="U530" s="714"/>
      <c r="V530" s="714"/>
      <c r="W530" s="714"/>
      <c r="X530" s="714"/>
      <c r="Y530" s="714"/>
      <c r="Z530" s="714"/>
      <c r="AA530" s="714"/>
      <c r="AB530" s="714"/>
      <c r="AC530" s="714"/>
      <c r="AD530" s="714"/>
      <c r="AE530" s="714"/>
      <c r="AF530" s="714"/>
      <c r="AG530" s="714"/>
      <c r="AH530" s="714"/>
      <c r="AI530" s="714"/>
      <c r="AJ530" s="714"/>
      <c r="AK530" s="696"/>
      <c r="AL530" s="696"/>
      <c r="AM530" s="696"/>
      <c r="AN530" s="696"/>
      <c r="AO530" s="696"/>
      <c r="AP530" s="696"/>
      <c r="AQ530" s="696"/>
      <c r="AR530" s="739">
        <v>0</v>
      </c>
      <c r="AS530" s="739">
        <v>0</v>
      </c>
      <c r="AT530" s="739">
        <v>0</v>
      </c>
      <c r="AU530" s="739">
        <v>0</v>
      </c>
      <c r="AV530" s="739">
        <v>6.7367159999999995E-2</v>
      </c>
      <c r="AW530" s="739">
        <v>0.20855271149999999</v>
      </c>
      <c r="AX530" s="739">
        <v>0.42991925895409089</v>
      </c>
      <c r="AY530" s="739">
        <v>0.73894332057159795</v>
      </c>
      <c r="AZ530" s="739">
        <v>1.0653839091085795</v>
      </c>
      <c r="BA530" s="739">
        <v>1.3699499991465882</v>
      </c>
      <c r="BB530" s="739">
        <v>1.6608375127268418</v>
      </c>
      <c r="BC530" s="739">
        <v>1.9248585824606577</v>
      </c>
      <c r="BD530" s="739">
        <v>2.1615578537540081</v>
      </c>
      <c r="BE530" s="739">
        <v>2.4002714688082829</v>
      </c>
      <c r="BF530" s="739">
        <v>2.5859630432687881</v>
      </c>
      <c r="BG530" s="739">
        <v>2.7313530280873155</v>
      </c>
      <c r="BH530" s="739">
        <v>2.812861457999372</v>
      </c>
      <c r="BI530" s="739">
        <v>2.7864325441160172</v>
      </c>
      <c r="BJ530" s="739">
        <v>3.1824779876286633</v>
      </c>
      <c r="BK530" s="739">
        <v>3.8111929408677931</v>
      </c>
      <c r="BL530" s="739">
        <v>4.4705288173021849</v>
      </c>
      <c r="BM530" s="739">
        <v>5.3211713709400446</v>
      </c>
      <c r="BN530" s="739">
        <v>5.678854901890924</v>
      </c>
      <c r="BO530" s="739">
        <v>5.8973254769807637</v>
      </c>
      <c r="BP530" s="739">
        <v>6.202701590191495</v>
      </c>
      <c r="BQ530" s="739">
        <v>6.4802031014362198</v>
      </c>
      <c r="BR530" s="739">
        <v>6.937019933688422</v>
      </c>
      <c r="BS530" s="739">
        <v>7.40994070171263</v>
      </c>
      <c r="BT530" s="739">
        <v>7.9030494025040552</v>
      </c>
      <c r="BU530" s="739">
        <v>8.4225071281520556</v>
      </c>
      <c r="BV530" s="739">
        <v>8.9533728050372687</v>
      </c>
      <c r="BW530" s="739">
        <v>9.4902789630949052</v>
      </c>
      <c r="BX530" s="739">
        <v>10.03396747085411</v>
      </c>
      <c r="BY530" s="739">
        <v>10.581718967399061</v>
      </c>
      <c r="BZ530" s="739">
        <v>11.137669386196801</v>
      </c>
      <c r="CA530" s="739">
        <v>11.309211418635218</v>
      </c>
      <c r="CB530" s="739">
        <v>11.484391431908183</v>
      </c>
      <c r="CC530" s="739">
        <v>11.660772123084971</v>
      </c>
      <c r="CD530" s="739">
        <v>11.837480161831628</v>
      </c>
      <c r="CE530" s="739">
        <v>12.406313562334821</v>
      </c>
      <c r="CF530" s="739">
        <v>12.979304303485449</v>
      </c>
      <c r="CG530" s="739">
        <v>13.04349128815355</v>
      </c>
      <c r="CH530" s="739">
        <v>13.108398383792297</v>
      </c>
      <c r="CI530" s="739">
        <v>13.161584319602451</v>
      </c>
      <c r="CJ530" s="739">
        <v>13.200480704719457</v>
      </c>
      <c r="CK530" s="739">
        <v>13.738448769934761</v>
      </c>
      <c r="CL530" s="739">
        <v>14.265064906946858</v>
      </c>
      <c r="CM530" s="739">
        <v>14.791478615917553</v>
      </c>
      <c r="CN530" s="739">
        <v>15.318490854493227</v>
      </c>
      <c r="CO530" s="739">
        <v>15.835863971569985</v>
      </c>
      <c r="CP530" s="739">
        <v>16.343859169209679</v>
      </c>
      <c r="CQ530" s="739">
        <v>16.842439826936101</v>
      </c>
      <c r="CR530" s="739">
        <v>17.331507695787963</v>
      </c>
      <c r="CS530" s="739">
        <v>17.821728477397762</v>
      </c>
      <c r="CT530" s="739">
        <v>18.312742576641575</v>
      </c>
      <c r="CU530" s="739">
        <v>18.804499584409619</v>
      </c>
      <c r="CV530" s="739">
        <v>19.296985959358544</v>
      </c>
      <c r="CW530" s="739">
        <v>19.789984757596233</v>
      </c>
      <c r="CX530" s="739">
        <v>20.283290516850684</v>
      </c>
      <c r="CY530" s="739">
        <v>20.776701818462485</v>
      </c>
      <c r="CZ530" s="739">
        <v>21.270019575250728</v>
      </c>
      <c r="DA530" s="739">
        <v>21.763272560221814</v>
      </c>
      <c r="DC530" s="11">
        <f>AG530</f>
        <v>0</v>
      </c>
      <c r="DD530" s="11">
        <f>AS530</f>
        <v>0</v>
      </c>
      <c r="DE530" s="11">
        <f>BE530</f>
        <v>2.4002714688082829</v>
      </c>
      <c r="DF530" s="11">
        <f>BQ530</f>
        <v>6.4802031014362198</v>
      </c>
      <c r="DG530" s="11">
        <f>CC530</f>
        <v>11.660772123084971</v>
      </c>
      <c r="DH530" s="11">
        <f>CO530</f>
        <v>15.835863971569985</v>
      </c>
      <c r="DI530" s="11">
        <f t="shared" ref="DI530:DI535" si="565">DA530</f>
        <v>21.763272560221814</v>
      </c>
    </row>
    <row r="531" spans="2:113" s="698" customFormat="1" outlineLevel="2">
      <c r="B531" s="126"/>
      <c r="E531" s="229"/>
      <c r="F531" s="230" t="s">
        <v>810</v>
      </c>
      <c r="G531" s="126"/>
      <c r="H531" s="609"/>
      <c r="I531" s="609" t="s">
        <v>736</v>
      </c>
      <c r="J531" s="703"/>
      <c r="K531" s="703"/>
      <c r="L531" s="703"/>
      <c r="M531" s="703"/>
      <c r="O531" s="714"/>
      <c r="P531" s="714"/>
      <c r="Q531" s="714"/>
      <c r="R531" s="714"/>
      <c r="S531" s="714"/>
      <c r="T531" s="714"/>
      <c r="U531" s="714"/>
      <c r="V531" s="714"/>
      <c r="W531" s="714"/>
      <c r="X531" s="714"/>
      <c r="Y531" s="714"/>
      <c r="Z531" s="714"/>
      <c r="AA531" s="714"/>
      <c r="AB531" s="714"/>
      <c r="AC531" s="714"/>
      <c r="AD531" s="714"/>
      <c r="AE531" s="714"/>
      <c r="AF531" s="714"/>
      <c r="AG531" s="714"/>
      <c r="AH531" s="714"/>
      <c r="AI531" s="714"/>
      <c r="AJ531" s="714"/>
      <c r="AK531" s="696"/>
      <c r="AL531" s="696"/>
      <c r="AM531" s="696"/>
      <c r="AN531" s="696"/>
      <c r="AO531" s="696"/>
      <c r="AP531" s="696"/>
      <c r="AQ531" s="696"/>
      <c r="AR531" s="739">
        <v>0</v>
      </c>
      <c r="AS531" s="739">
        <v>7.8792000000000001E-2</v>
      </c>
      <c r="AT531" s="739">
        <v>0.2360421</v>
      </c>
      <c r="AU531" s="739">
        <v>0.47489177263636362</v>
      </c>
      <c r="AV531" s="739">
        <v>0.80300178088735541</v>
      </c>
      <c r="AW531" s="739">
        <v>1.2158016028052465</v>
      </c>
      <c r="AX531" s="739">
        <v>1.7054922094811251</v>
      </c>
      <c r="AY531" s="739">
        <v>2.236333677581213</v>
      </c>
      <c r="AZ531" s="739">
        <v>2.760003765173543</v>
      </c>
      <c r="BA531" s="739">
        <v>3.2662231084520865</v>
      </c>
      <c r="BB531" s="739">
        <v>3.7452092365835097</v>
      </c>
      <c r="BC531" s="739">
        <v>4.1856753043514354</v>
      </c>
      <c r="BD531" s="739">
        <v>4.5864384773197182</v>
      </c>
      <c r="BE531" s="739">
        <v>4.9752879596585089</v>
      </c>
      <c r="BF531" s="739">
        <v>5.0980010123818449</v>
      </c>
      <c r="BG531" s="739">
        <v>5.7983775191986382</v>
      </c>
      <c r="BH531" s="739">
        <v>6.6839393768333943</v>
      </c>
      <c r="BI531" s="739">
        <v>7.4406785622131029</v>
      </c>
      <c r="BJ531" s="739">
        <v>8.3273040865606163</v>
      </c>
      <c r="BK531" s="739">
        <v>9.0570915437023416</v>
      </c>
      <c r="BL531" s="739">
        <v>9.9587267580584165</v>
      </c>
      <c r="BM531" s="739">
        <v>11.038643436037201</v>
      </c>
      <c r="BN531" s="739">
        <v>11.799934926851812</v>
      </c>
      <c r="BO531" s="739">
        <v>12.435522221364343</v>
      </c>
      <c r="BP531" s="739">
        <v>13.182054202146364</v>
      </c>
      <c r="BQ531" s="739">
        <v>13.924881264571724</v>
      </c>
      <c r="BR531" s="739">
        <v>14.863040421388094</v>
      </c>
      <c r="BS531" s="739">
        <v>15.820791709806306</v>
      </c>
      <c r="BT531" s="739">
        <v>16.804483801705402</v>
      </c>
      <c r="BU531" s="739">
        <v>17.817886910842525</v>
      </c>
      <c r="BV531" s="739">
        <v>18.850024349777463</v>
      </c>
      <c r="BW531" s="739">
        <v>19.895275219678965</v>
      </c>
      <c r="BX531" s="739">
        <v>20.393421705486936</v>
      </c>
      <c r="BY531" s="739">
        <v>21.009125562816696</v>
      </c>
      <c r="BZ531" s="739">
        <v>21.667587003119252</v>
      </c>
      <c r="CA531" s="739">
        <v>22.353145148698953</v>
      </c>
      <c r="CB531" s="739">
        <v>23.045241576447523</v>
      </c>
      <c r="CC531" s="739">
        <v>23.744521078443569</v>
      </c>
      <c r="CD531" s="739">
        <v>23.713566200320091</v>
      </c>
      <c r="CE531" s="739">
        <v>24.219666441225918</v>
      </c>
      <c r="CF531" s="739">
        <v>24.758050948363572</v>
      </c>
      <c r="CG531" s="739">
        <v>25.312046816960731</v>
      </c>
      <c r="CH531" s="739">
        <v>25.85437861859824</v>
      </c>
      <c r="CI531" s="739">
        <v>26.384574396191567</v>
      </c>
      <c r="CJ531" s="739">
        <v>26.900925167931153</v>
      </c>
      <c r="CK531" s="739">
        <v>27.917377128537609</v>
      </c>
      <c r="CL531" s="739">
        <v>28.908103776964079</v>
      </c>
      <c r="CM531" s="739">
        <v>29.887716259573025</v>
      </c>
      <c r="CN531" s="739">
        <v>30.857841825151532</v>
      </c>
      <c r="CO531" s="739">
        <v>31.819450311431154</v>
      </c>
      <c r="CP531" s="739">
        <v>32.772410683360107</v>
      </c>
      <c r="CQ531" s="739">
        <v>33.716630382500362</v>
      </c>
      <c r="CR531" s="739">
        <v>34.651995369003345</v>
      </c>
      <c r="CS531" s="739">
        <v>35.589179746044408</v>
      </c>
      <c r="CT531" s="739">
        <v>36.527508415611948</v>
      </c>
      <c r="CU531" s="739">
        <v>37.466697533862622</v>
      </c>
      <c r="CV531" s="739">
        <v>38.406522580683621</v>
      </c>
      <c r="CW531" s="739">
        <v>39.346795060695044</v>
      </c>
      <c r="CX531" s="739">
        <v>40.287326819762669</v>
      </c>
      <c r="CY531" s="739">
        <v>41.227931564029042</v>
      </c>
      <c r="CZ531" s="739">
        <v>42.168424472304331</v>
      </c>
      <c r="DA531" s="739">
        <v>43.108848487500651</v>
      </c>
      <c r="DC531" s="11">
        <f>AG531</f>
        <v>0</v>
      </c>
      <c r="DD531" s="11">
        <f>AS531</f>
        <v>7.8792000000000001E-2</v>
      </c>
      <c r="DE531" s="11">
        <f>BE531</f>
        <v>4.9752879596585089</v>
      </c>
      <c r="DF531" s="11">
        <f>BQ531</f>
        <v>13.924881264571724</v>
      </c>
      <c r="DG531" s="11">
        <f>CC531</f>
        <v>23.744521078443569</v>
      </c>
      <c r="DH531" s="11">
        <f>CO531</f>
        <v>31.819450311431154</v>
      </c>
      <c r="DI531" s="11">
        <f t="shared" si="565"/>
        <v>43.108848487500651</v>
      </c>
    </row>
    <row r="532" spans="2:113" s="698" customFormat="1" outlineLevel="2">
      <c r="B532" s="126"/>
      <c r="E532" s="230" t="s">
        <v>811</v>
      </c>
      <c r="F532" s="229"/>
      <c r="G532" s="126"/>
      <c r="H532" s="609"/>
      <c r="I532" s="609" t="s">
        <v>812</v>
      </c>
      <c r="J532" s="703"/>
      <c r="K532" s="703"/>
      <c r="L532" s="703"/>
      <c r="M532" s="703"/>
      <c r="O532" s="714"/>
      <c r="P532" s="714"/>
      <c r="Q532" s="714"/>
      <c r="R532" s="714"/>
      <c r="S532" s="714"/>
      <c r="T532" s="714"/>
      <c r="U532" s="714"/>
      <c r="V532" s="714"/>
      <c r="W532" s="714"/>
      <c r="X532" s="714"/>
      <c r="Y532" s="714"/>
      <c r="Z532" s="714"/>
      <c r="AA532" s="714"/>
      <c r="AB532" s="714"/>
      <c r="AC532" s="714"/>
      <c r="AD532" s="714"/>
      <c r="AE532" s="714"/>
      <c r="AF532" s="714"/>
      <c r="AG532" s="714"/>
      <c r="AH532" s="714"/>
      <c r="AI532" s="714"/>
      <c r="AJ532" s="714"/>
      <c r="AK532" s="696"/>
      <c r="AL532" s="696"/>
      <c r="AM532" s="696"/>
      <c r="AN532" s="696"/>
      <c r="AO532" s="696"/>
      <c r="AP532" s="696"/>
      <c r="AQ532" s="696"/>
      <c r="AR532" s="753">
        <f t="shared" ref="AR532:DA533" si="566">AR530/AR$446</f>
        <v>0</v>
      </c>
      <c r="AS532" s="753">
        <f t="shared" si="566"/>
        <v>0</v>
      </c>
      <c r="AT532" s="753">
        <f t="shared" si="566"/>
        <v>0</v>
      </c>
      <c r="AU532" s="753">
        <f t="shared" si="566"/>
        <v>0</v>
      </c>
      <c r="AV532" s="753">
        <f t="shared" si="566"/>
        <v>2.0045595430094871E-3</v>
      </c>
      <c r="AW532" s="753">
        <f t="shared" si="566"/>
        <v>5.591833569487537E-3</v>
      </c>
      <c r="AX532" s="753">
        <f t="shared" si="566"/>
        <v>1.0460428782240327E-2</v>
      </c>
      <c r="AY532" s="753">
        <f t="shared" si="566"/>
        <v>1.6551888118286534E-2</v>
      </c>
      <c r="AZ532" s="753">
        <f t="shared" si="566"/>
        <v>2.1897729789966187E-2</v>
      </c>
      <c r="BA532" s="753">
        <f t="shared" si="566"/>
        <v>2.5914800470758687E-2</v>
      </c>
      <c r="BB532" s="753">
        <f t="shared" si="566"/>
        <v>2.9330420288016138E-2</v>
      </c>
      <c r="BC532" s="753">
        <f t="shared" si="566"/>
        <v>3.1908373850030661E-2</v>
      </c>
      <c r="BD532" s="753">
        <f t="shared" si="566"/>
        <v>3.3726695073539863E-2</v>
      </c>
      <c r="BE532" s="753">
        <f t="shared" si="566"/>
        <v>3.526789717373803E-2</v>
      </c>
      <c r="BF532" s="753">
        <f t="shared" si="566"/>
        <v>3.5920508386092939E-2</v>
      </c>
      <c r="BG532" s="753">
        <f t="shared" si="566"/>
        <v>3.5960552345804676E-2</v>
      </c>
      <c r="BH532" s="753">
        <f t="shared" si="566"/>
        <v>3.5276202599425918E-2</v>
      </c>
      <c r="BI532" s="753">
        <f t="shared" si="566"/>
        <v>3.3388802564516068E-2</v>
      </c>
      <c r="BJ532" s="753">
        <f t="shared" si="566"/>
        <v>3.6492428302641711E-2</v>
      </c>
      <c r="BK532" s="753">
        <f t="shared" si="566"/>
        <v>4.193106081195884E-2</v>
      </c>
      <c r="BL532" s="753">
        <f t="shared" si="566"/>
        <v>4.7361991974252303E-2</v>
      </c>
      <c r="BM532" s="753">
        <f t="shared" si="566"/>
        <v>5.4314498711276804E-2</v>
      </c>
      <c r="BN532" s="753">
        <f t="shared" si="566"/>
        <v>5.6130731317000984E-2</v>
      </c>
      <c r="BO532" s="753">
        <f t="shared" si="566"/>
        <v>5.6642151549788529E-2</v>
      </c>
      <c r="BP532" s="753">
        <f t="shared" si="566"/>
        <v>5.8042781631804548E-2</v>
      </c>
      <c r="BQ532" s="753">
        <f t="shared" si="566"/>
        <v>5.9205960981654683E-2</v>
      </c>
      <c r="BR532" s="753">
        <f t="shared" si="566"/>
        <v>6.1961593736568517E-2</v>
      </c>
      <c r="BS532" s="753">
        <f t="shared" si="566"/>
        <v>6.4758200559073373E-2</v>
      </c>
      <c r="BT532" s="753">
        <f t="shared" si="566"/>
        <v>6.7615870016134588E-2</v>
      </c>
      <c r="BU532" s="753">
        <f t="shared" si="566"/>
        <v>7.0575550673955059E-2</v>
      </c>
      <c r="BV532" s="753">
        <f t="shared" si="566"/>
        <v>7.3502066942844668E-2</v>
      </c>
      <c r="BW532" s="753">
        <f t="shared" si="566"/>
        <v>7.6352504040376967E-2</v>
      </c>
      <c r="BX532" s="753">
        <f t="shared" si="566"/>
        <v>7.9137146211887305E-2</v>
      </c>
      <c r="BY532" s="753">
        <f t="shared" si="566"/>
        <v>8.1839161372761468E-2</v>
      </c>
      <c r="BZ532" s="753">
        <f t="shared" si="566"/>
        <v>8.4496345251494548E-2</v>
      </c>
      <c r="CA532" s="753">
        <f t="shared" si="566"/>
        <v>8.4190231170726854E-2</v>
      </c>
      <c r="CB532" s="753">
        <f t="shared" si="566"/>
        <v>8.3921347477865102E-2</v>
      </c>
      <c r="CC532" s="753">
        <f t="shared" si="566"/>
        <v>8.367104429765683E-2</v>
      </c>
      <c r="CD532" s="753">
        <f t="shared" si="566"/>
        <v>8.3432591854123994E-2</v>
      </c>
      <c r="CE532" s="753">
        <f t="shared" si="566"/>
        <v>8.5918823498509211E-2</v>
      </c>
      <c r="CF532" s="753">
        <f t="shared" si="566"/>
        <v>8.8348920738560696E-2</v>
      </c>
      <c r="CG532" s="753">
        <f t="shared" si="566"/>
        <v>8.7292647250351615E-2</v>
      </c>
      <c r="CH532" s="753">
        <f t="shared" si="566"/>
        <v>8.6276367497876663E-2</v>
      </c>
      <c r="CI532" s="753">
        <f t="shared" si="566"/>
        <v>8.5217411396253717E-2</v>
      </c>
      <c r="CJ532" s="753">
        <f t="shared" si="566"/>
        <v>8.4101350821526977E-2</v>
      </c>
      <c r="CK532" s="753">
        <f t="shared" si="566"/>
        <v>8.6149963637051033E-2</v>
      </c>
      <c r="CL532" s="753">
        <f t="shared" si="566"/>
        <v>8.8064894683363482E-2</v>
      </c>
      <c r="CM532" s="753">
        <f t="shared" si="566"/>
        <v>8.9920038901372915E-2</v>
      </c>
      <c r="CN532" s="753">
        <f t="shared" si="566"/>
        <v>9.1722895214160327E-2</v>
      </c>
      <c r="CO532" s="753">
        <f t="shared" si="566"/>
        <v>9.3415408835854002E-2</v>
      </c>
      <c r="CP532" s="753">
        <f t="shared" si="566"/>
        <v>9.5003946615065574E-2</v>
      </c>
      <c r="CQ532" s="753">
        <f t="shared" si="566"/>
        <v>9.6492801233992551E-2</v>
      </c>
      <c r="CR532" s="753">
        <f t="shared" si="566"/>
        <v>9.7885670634766442E-2</v>
      </c>
      <c r="CS532" s="753">
        <f t="shared" si="566"/>
        <v>9.9245984923584052E-2</v>
      </c>
      <c r="CT532" s="753">
        <f t="shared" si="566"/>
        <v>0.10057311954247618</v>
      </c>
      <c r="CU532" s="753">
        <f t="shared" si="566"/>
        <v>0.10186815678538509</v>
      </c>
      <c r="CV532" s="753">
        <f t="shared" si="566"/>
        <v>0.10313231660331292</v>
      </c>
      <c r="CW532" s="753">
        <f t="shared" si="566"/>
        <v>0.10436568105113934</v>
      </c>
      <c r="CX532" s="753">
        <f t="shared" si="566"/>
        <v>0.10556838756885174</v>
      </c>
      <c r="CY532" s="753">
        <f t="shared" si="566"/>
        <v>0.1067405874706987</v>
      </c>
      <c r="CZ532" s="753">
        <f t="shared" si="566"/>
        <v>0.10788243649482983</v>
      </c>
      <c r="DA532" s="753">
        <f t="shared" si="566"/>
        <v>0.10899522403031416</v>
      </c>
      <c r="DC532" s="729">
        <f>AG532</f>
        <v>0</v>
      </c>
      <c r="DD532" s="729">
        <f>AS532</f>
        <v>0</v>
      </c>
      <c r="DE532" s="729">
        <f>BE532</f>
        <v>3.526789717373803E-2</v>
      </c>
      <c r="DF532" s="729">
        <f>BQ532</f>
        <v>5.9205960981654683E-2</v>
      </c>
      <c r="DG532" s="729">
        <f>CC532</f>
        <v>8.367104429765683E-2</v>
      </c>
      <c r="DH532" s="729">
        <f>CO532</f>
        <v>9.3415408835854002E-2</v>
      </c>
      <c r="DI532" s="729">
        <f t="shared" si="565"/>
        <v>0.10899522403031416</v>
      </c>
    </row>
    <row r="533" spans="2:113" s="698" customFormat="1" outlineLevel="2">
      <c r="B533" s="126"/>
      <c r="E533" s="230" t="s">
        <v>813</v>
      </c>
      <c r="F533" s="229"/>
      <c r="G533" s="126"/>
      <c r="H533" s="609"/>
      <c r="I533" s="609" t="s">
        <v>812</v>
      </c>
      <c r="J533" s="703"/>
      <c r="K533" s="703"/>
      <c r="L533" s="703"/>
      <c r="M533" s="703"/>
      <c r="O533" s="714"/>
      <c r="P533" s="714"/>
      <c r="Q533" s="714"/>
      <c r="R533" s="714"/>
      <c r="S533" s="714"/>
      <c r="T533" s="714"/>
      <c r="U533" s="714"/>
      <c r="V533" s="714"/>
      <c r="W533" s="714"/>
      <c r="X533" s="714"/>
      <c r="Y533" s="714"/>
      <c r="Z533" s="714"/>
      <c r="AA533" s="714"/>
      <c r="AB533" s="714"/>
      <c r="AC533" s="714"/>
      <c r="AD533" s="714"/>
      <c r="AE533" s="714"/>
      <c r="AF533" s="714"/>
      <c r="AG533" s="714"/>
      <c r="AH533" s="714"/>
      <c r="AI533" s="714"/>
      <c r="AJ533" s="714"/>
      <c r="AK533" s="696"/>
      <c r="AL533" s="696"/>
      <c r="AM533" s="696"/>
      <c r="AN533" s="696"/>
      <c r="AO533" s="696"/>
      <c r="AP533" s="696"/>
      <c r="AQ533" s="696"/>
      <c r="AR533" s="753">
        <f t="shared" si="566"/>
        <v>0</v>
      </c>
      <c r="AS533" s="753">
        <f t="shared" si="566"/>
        <v>4.322111609420338E-3</v>
      </c>
      <c r="AT533" s="753">
        <f t="shared" si="566"/>
        <v>9.6036196535245026E-3</v>
      </c>
      <c r="AU533" s="753">
        <f t="shared" si="566"/>
        <v>1.6076921199472217E-2</v>
      </c>
      <c r="AV533" s="753">
        <f t="shared" si="566"/>
        <v>2.3893910370147139E-2</v>
      </c>
      <c r="AW533" s="753">
        <f t="shared" si="566"/>
        <v>3.2598762046798568E-2</v>
      </c>
      <c r="AX533" s="753">
        <f t="shared" si="566"/>
        <v>4.1496582031111298E-2</v>
      </c>
      <c r="AY533" s="753">
        <f t="shared" si="566"/>
        <v>5.0092535917163068E-2</v>
      </c>
      <c r="AZ533" s="753">
        <f t="shared" si="566"/>
        <v>5.6728674191849425E-2</v>
      </c>
      <c r="BA533" s="753">
        <f t="shared" si="566"/>
        <v>6.1785846345666487E-2</v>
      </c>
      <c r="BB533" s="753">
        <f t="shared" si="566"/>
        <v>6.6140462347336934E-2</v>
      </c>
      <c r="BC533" s="753">
        <f t="shared" si="566"/>
        <v>6.9385924578080682E-2</v>
      </c>
      <c r="BD533" s="753">
        <f t="shared" si="566"/>
        <v>7.1562004102489446E-2</v>
      </c>
      <c r="BE533" s="753">
        <f t="shared" si="566"/>
        <v>7.3103374535419416E-2</v>
      </c>
      <c r="BF533" s="753">
        <f t="shared" si="566"/>
        <v>7.0814155134288348E-2</v>
      </c>
      <c r="BG533" s="753">
        <f t="shared" si="566"/>
        <v>7.6340500900352298E-2</v>
      </c>
      <c r="BH533" s="753">
        <f t="shared" si="566"/>
        <v>8.3823538108825021E-2</v>
      </c>
      <c r="BI533" s="753">
        <f t="shared" si="566"/>
        <v>8.9158931187611271E-2</v>
      </c>
      <c r="BJ533" s="753">
        <f t="shared" si="566"/>
        <v>9.5486456941541689E-2</v>
      </c>
      <c r="BK533" s="753">
        <f t="shared" si="566"/>
        <v>9.9646872302399936E-2</v>
      </c>
      <c r="BL533" s="753">
        <f t="shared" si="566"/>
        <v>0.10550544601422983</v>
      </c>
      <c r="BM533" s="753">
        <f t="shared" si="566"/>
        <v>0.11267413561517528</v>
      </c>
      <c r="BN533" s="753">
        <f t="shared" si="566"/>
        <v>0.11663248813007557</v>
      </c>
      <c r="BO533" s="753">
        <f t="shared" si="566"/>
        <v>0.11943969126559023</v>
      </c>
      <c r="BP533" s="753">
        <f t="shared" si="566"/>
        <v>0.1233532005995103</v>
      </c>
      <c r="BQ533" s="753">
        <f t="shared" si="566"/>
        <v>0.1272237866497867</v>
      </c>
      <c r="BR533" s="753">
        <f t="shared" si="566"/>
        <v>0.1327569591962498</v>
      </c>
      <c r="BS533" s="753">
        <f t="shared" si="566"/>
        <v>0.13826372487841468</v>
      </c>
      <c r="BT533" s="753">
        <f t="shared" si="566"/>
        <v>0.14377359099695552</v>
      </c>
      <c r="BU533" s="753">
        <f t="shared" si="566"/>
        <v>0.14930318982761981</v>
      </c>
      <c r="BV533" s="753">
        <f t="shared" si="566"/>
        <v>0.15474791252432696</v>
      </c>
      <c r="BW533" s="753">
        <f t="shared" si="566"/>
        <v>0.16006421808064181</v>
      </c>
      <c r="BX533" s="753">
        <f t="shared" si="566"/>
        <v>0.16084138203115181</v>
      </c>
      <c r="BY533" s="753">
        <f t="shared" si="566"/>
        <v>0.16248486871869525</v>
      </c>
      <c r="BZ533" s="753">
        <f t="shared" si="566"/>
        <v>0.16438195898069638</v>
      </c>
      <c r="CA533" s="753">
        <f t="shared" si="566"/>
        <v>0.16640563057834173</v>
      </c>
      <c r="CB533" s="753">
        <f t="shared" si="566"/>
        <v>0.16840141138650266</v>
      </c>
      <c r="CC533" s="753">
        <f t="shared" si="566"/>
        <v>0.1703771288908002</v>
      </c>
      <c r="CD533" s="753">
        <f t="shared" si="566"/>
        <v>0.16713728455287419</v>
      </c>
      <c r="CE533" s="753">
        <f t="shared" si="566"/>
        <v>0.16773115040990744</v>
      </c>
      <c r="CF533" s="753">
        <f t="shared" si="566"/>
        <v>0.16852575683049767</v>
      </c>
      <c r="CG533" s="753">
        <f t="shared" si="566"/>
        <v>0.16939909148282381</v>
      </c>
      <c r="CH533" s="753">
        <f t="shared" si="566"/>
        <v>0.17016738474209397</v>
      </c>
      <c r="CI533" s="753">
        <f t="shared" si="566"/>
        <v>0.17083240712036357</v>
      </c>
      <c r="CJ533" s="753">
        <f t="shared" si="566"/>
        <v>0.17138801196557668</v>
      </c>
      <c r="CK533" s="753">
        <f t="shared" si="566"/>
        <v>0.17506205138156772</v>
      </c>
      <c r="CL533" s="753">
        <f t="shared" si="566"/>
        <v>0.17846319881617401</v>
      </c>
      <c r="CM533" s="753">
        <f t="shared" si="566"/>
        <v>0.1816927623342468</v>
      </c>
      <c r="CN533" s="753">
        <f t="shared" si="566"/>
        <v>0.18476823984480836</v>
      </c>
      <c r="CO533" s="753">
        <f t="shared" si="566"/>
        <v>0.1877022286318486</v>
      </c>
      <c r="CP533" s="753">
        <f t="shared" si="566"/>
        <v>0.19050019476884078</v>
      </c>
      <c r="CQ533" s="753">
        <f t="shared" si="566"/>
        <v>0.19316750703632748</v>
      </c>
      <c r="CR533" s="753">
        <f t="shared" si="566"/>
        <v>0.19570910188915921</v>
      </c>
      <c r="CS533" s="753">
        <f t="shared" si="566"/>
        <v>0.19818970988129334</v>
      </c>
      <c r="CT533" s="753">
        <f t="shared" si="566"/>
        <v>0.20060815331713533</v>
      </c>
      <c r="CU533" s="753">
        <f t="shared" si="566"/>
        <v>0.20296543396317906</v>
      </c>
      <c r="CV533" s="753">
        <f t="shared" si="566"/>
        <v>0.20526281434652693</v>
      </c>
      <c r="CW533" s="753">
        <f t="shared" si="566"/>
        <v>0.20750167895469515</v>
      </c>
      <c r="CX533" s="753">
        <f t="shared" si="566"/>
        <v>0.20968334148191553</v>
      </c>
      <c r="CY533" s="753">
        <f t="shared" si="566"/>
        <v>0.21180905775120187</v>
      </c>
      <c r="CZ533" s="753">
        <f t="shared" si="566"/>
        <v>0.21388002766644254</v>
      </c>
      <c r="DA533" s="753">
        <f t="shared" si="566"/>
        <v>0.21589853206047949</v>
      </c>
      <c r="DC533" s="729">
        <f>AG533</f>
        <v>0</v>
      </c>
      <c r="DD533" s="729">
        <f>AS533</f>
        <v>4.322111609420338E-3</v>
      </c>
      <c r="DE533" s="729">
        <f>BE533</f>
        <v>7.3103374535419416E-2</v>
      </c>
      <c r="DF533" s="729">
        <f>BQ533</f>
        <v>0.1272237866497867</v>
      </c>
      <c r="DG533" s="729">
        <f>CC533</f>
        <v>0.1703771288908002</v>
      </c>
      <c r="DH533" s="729">
        <f>CO533</f>
        <v>0.1877022286318486</v>
      </c>
      <c r="DI533" s="729">
        <f t="shared" si="565"/>
        <v>0.21589853206047949</v>
      </c>
    </row>
    <row r="534" spans="2:113" s="698" customFormat="1" outlineLevel="2">
      <c r="B534" s="126"/>
      <c r="E534" s="230" t="s">
        <v>814</v>
      </c>
      <c r="F534" s="229"/>
      <c r="G534" s="126"/>
      <c r="H534" s="609"/>
      <c r="I534" s="609" t="s">
        <v>812</v>
      </c>
      <c r="J534" s="703"/>
      <c r="K534" s="703"/>
      <c r="L534" s="703"/>
      <c r="M534" s="703"/>
      <c r="O534" s="714"/>
      <c r="P534" s="714"/>
      <c r="Q534" s="714"/>
      <c r="R534" s="714"/>
      <c r="S534" s="714"/>
      <c r="T534" s="714"/>
      <c r="U534" s="714"/>
      <c r="V534" s="714"/>
      <c r="W534" s="714"/>
      <c r="X534" s="714"/>
      <c r="Y534" s="714"/>
      <c r="Z534" s="714"/>
      <c r="AA534" s="714"/>
      <c r="AB534" s="714"/>
      <c r="AC534" s="714"/>
      <c r="AD534" s="714"/>
      <c r="AE534" s="714"/>
      <c r="AF534" s="714"/>
      <c r="AG534" s="714"/>
      <c r="AH534" s="714"/>
      <c r="AI534" s="714"/>
      <c r="AJ534" s="714"/>
      <c r="AK534" s="730"/>
      <c r="AL534" s="730"/>
      <c r="AM534" s="730"/>
      <c r="AN534" s="730"/>
      <c r="AO534" s="730"/>
      <c r="AP534" s="730"/>
      <c r="AQ534" s="730"/>
      <c r="AR534" s="730">
        <f>AR516+AQ534</f>
        <v>-5.0651999999999997E-3</v>
      </c>
      <c r="AS534" s="730">
        <f>AS516+AR534</f>
        <v>-2.0298284999999999E-2</v>
      </c>
      <c r="AT534" s="730">
        <f>AT516</f>
        <v>-1.9329269718749993E-2</v>
      </c>
      <c r="AU534" s="730">
        <f t="shared" ref="AU534:BE534" si="567">AU516+AT534</f>
        <v>-4.5568154056278405E-2</v>
      </c>
      <c r="AV534" s="730">
        <f t="shared" si="567"/>
        <v>-8.9857460115632309E-2</v>
      </c>
      <c r="AW534" s="730">
        <f t="shared" si="567"/>
        <v>-0.15263298547787588</v>
      </c>
      <c r="AX534" s="730">
        <f t="shared" si="567"/>
        <v>-0.23435742957076622</v>
      </c>
      <c r="AY534" s="730">
        <f t="shared" si="567"/>
        <v>-0.35742323383847985</v>
      </c>
      <c r="AZ534" s="730">
        <f t="shared" si="567"/>
        <v>-0.5633537905879904</v>
      </c>
      <c r="BA534" s="730">
        <f t="shared" si="567"/>
        <v>-0.85215168819249465</v>
      </c>
      <c r="BB534" s="730">
        <f t="shared" si="567"/>
        <v>-1.2323618827010998</v>
      </c>
      <c r="BC534" s="730">
        <f t="shared" si="567"/>
        <v>-1.7060841604396326</v>
      </c>
      <c r="BD534" s="730">
        <f t="shared" si="567"/>
        <v>-2.2595272520582439</v>
      </c>
      <c r="BE534" s="730">
        <f t="shared" si="567"/>
        <v>-2.8779354823219103</v>
      </c>
      <c r="BF534" s="730">
        <f>BF516</f>
        <v>-0.75776590909670183</v>
      </c>
      <c r="BG534" s="730">
        <f t="shared" ref="BG534:BQ534" si="568">BG516+BF534</f>
        <v>-1.5704413183339616</v>
      </c>
      <c r="BH534" s="730">
        <f t="shared" si="568"/>
        <v>-2.4303205371062138</v>
      </c>
      <c r="BI534" s="730">
        <f t="shared" si="568"/>
        <v>-3.3052313229129799</v>
      </c>
      <c r="BJ534" s="730">
        <f t="shared" si="568"/>
        <v>-4.2759995912412565</v>
      </c>
      <c r="BK534" s="730">
        <f t="shared" si="568"/>
        <v>-5.2918353226476933</v>
      </c>
      <c r="BL534" s="730">
        <f t="shared" si="568"/>
        <v>-6.2996503849644352</v>
      </c>
      <c r="BM534" s="730">
        <f t="shared" si="568"/>
        <v>-7.4586958931771292</v>
      </c>
      <c r="BN534" s="730">
        <f t="shared" si="568"/>
        <v>-8.9538855692997785</v>
      </c>
      <c r="BO534" s="730">
        <f t="shared" si="568"/>
        <v>-10.631277837536556</v>
      </c>
      <c r="BP534" s="730">
        <f t="shared" si="568"/>
        <v>-12.398241420309663</v>
      </c>
      <c r="BQ534" s="730">
        <f t="shared" si="568"/>
        <v>-14.252423848975445</v>
      </c>
      <c r="BR534" s="730">
        <f>BR516</f>
        <v>-1.8908112129003454</v>
      </c>
      <c r="BS534" s="730">
        <f t="shared" ref="BS534:CC534" si="569">BS516+BR534</f>
        <v>-3.9164856183818992</v>
      </c>
      <c r="BT534" s="730">
        <f t="shared" si="569"/>
        <v>-6.0751726737050262</v>
      </c>
      <c r="BU534" s="730">
        <f t="shared" si="569"/>
        <v>-8.3712278917503848</v>
      </c>
      <c r="BV534" s="730">
        <f t="shared" si="569"/>
        <v>-10.814450509716648</v>
      </c>
      <c r="BW534" s="730">
        <f t="shared" si="569"/>
        <v>-13.410244896892873</v>
      </c>
      <c r="BX534" s="730">
        <f t="shared" si="569"/>
        <v>-16.129080916229103</v>
      </c>
      <c r="BY534" s="730">
        <f t="shared" si="569"/>
        <v>-19.011616060526379</v>
      </c>
      <c r="BZ534" s="730">
        <f t="shared" si="569"/>
        <v>-22.053403594509263</v>
      </c>
      <c r="CA534" s="730">
        <f t="shared" si="569"/>
        <v>-25.188412433872013</v>
      </c>
      <c r="CB534" s="730">
        <f t="shared" si="569"/>
        <v>-28.484614421016072</v>
      </c>
      <c r="CC534" s="730">
        <f t="shared" si="569"/>
        <v>-31.943773671035487</v>
      </c>
      <c r="CD534" s="730">
        <f>CD516</f>
        <v>-3.4461543278321769</v>
      </c>
      <c r="CE534" s="730">
        <f t="shared" ref="CE534:CO534" si="570">CE516+CD534</f>
        <v>-6.8399854938368154</v>
      </c>
      <c r="CF534" s="730">
        <f t="shared" si="570"/>
        <v>-10.399209874760194</v>
      </c>
      <c r="CG534" s="730">
        <f t="shared" si="570"/>
        <v>-14.034227884532998</v>
      </c>
      <c r="CH534" s="730">
        <f t="shared" si="570"/>
        <v>-17.832834892106728</v>
      </c>
      <c r="CI534" s="730">
        <f t="shared" si="570"/>
        <v>-21.79481964570294</v>
      </c>
      <c r="CJ534" s="730">
        <f t="shared" si="570"/>
        <v>-25.74410393171717</v>
      </c>
      <c r="CK534" s="730">
        <f t="shared" si="570"/>
        <v>-29.561529103057978</v>
      </c>
      <c r="CL534" s="730">
        <f t="shared" si="570"/>
        <v>-33.536174336956115</v>
      </c>
      <c r="CM534" s="730">
        <f t="shared" si="570"/>
        <v>-37.661871382072512</v>
      </c>
      <c r="CN534" s="730">
        <f t="shared" si="570"/>
        <v>-41.938360574986142</v>
      </c>
      <c r="CO534" s="730">
        <f t="shared" si="570"/>
        <v>-46.363827512322857</v>
      </c>
      <c r="CP534" s="730">
        <f>CP516</f>
        <v>-4.574800746397667</v>
      </c>
      <c r="CQ534" s="730">
        <f t="shared" ref="CQ534:DA534" si="571">CQ516+CP534</f>
        <v>-9.2992439726526008</v>
      </c>
      <c r="CR534" s="730">
        <f t="shared" si="571"/>
        <v>-14.169927700210867</v>
      </c>
      <c r="CS534" s="730">
        <f t="shared" si="571"/>
        <v>-19.181050218254079</v>
      </c>
      <c r="CT534" s="730">
        <f t="shared" si="571"/>
        <v>-24.333026882398713</v>
      </c>
      <c r="CU534" s="730">
        <f t="shared" si="571"/>
        <v>-29.626089623449058</v>
      </c>
      <c r="CV534" s="730">
        <f t="shared" si="571"/>
        <v>-35.060445304724283</v>
      </c>
      <c r="CW534" s="730">
        <f t="shared" si="571"/>
        <v>-40.636252191731238</v>
      </c>
      <c r="CX534" s="730">
        <f t="shared" si="571"/>
        <v>-46.353673363228047</v>
      </c>
      <c r="CY534" s="730">
        <f t="shared" si="571"/>
        <v>-52.212875059425258</v>
      </c>
      <c r="CZ534" s="730">
        <f t="shared" si="571"/>
        <v>-58.213948673485795</v>
      </c>
      <c r="DA534" s="730">
        <f t="shared" si="571"/>
        <v>-64.356862640572842</v>
      </c>
      <c r="DC534" s="729"/>
      <c r="DD534" s="729"/>
      <c r="DE534" s="729"/>
      <c r="DF534" s="729"/>
      <c r="DG534" s="729"/>
      <c r="DH534" s="729"/>
      <c r="DI534" s="12">
        <f t="shared" si="565"/>
        <v>-64.356862640572842</v>
      </c>
    </row>
    <row r="535" spans="2:113" s="698" customFormat="1" outlineLevel="2">
      <c r="B535" s="126"/>
      <c r="E535" s="230" t="s">
        <v>815</v>
      </c>
      <c r="F535" s="229"/>
      <c r="G535" s="126"/>
      <c r="H535" s="609"/>
      <c r="I535" s="609" t="s">
        <v>812</v>
      </c>
      <c r="J535" s="703"/>
      <c r="K535" s="703"/>
      <c r="L535" s="703"/>
      <c r="M535" s="703"/>
      <c r="O535" s="714"/>
      <c r="P535" s="714"/>
      <c r="Q535" s="714"/>
      <c r="R535" s="714"/>
      <c r="S535" s="714"/>
      <c r="T535" s="714"/>
      <c r="U535" s="714"/>
      <c r="V535" s="714"/>
      <c r="W535" s="714"/>
      <c r="X535" s="714"/>
      <c r="Y535" s="714"/>
      <c r="Z535" s="714"/>
      <c r="AA535" s="714"/>
      <c r="AB535" s="714"/>
      <c r="AC535" s="714"/>
      <c r="AD535" s="714"/>
      <c r="AE535" s="714"/>
      <c r="AF535" s="714"/>
      <c r="AG535" s="714"/>
      <c r="AH535" s="714"/>
      <c r="AI535" s="714"/>
      <c r="AJ535" s="714"/>
      <c r="AK535" s="697"/>
      <c r="AL535" s="697"/>
      <c r="AM535" s="697"/>
      <c r="AN535" s="697"/>
      <c r="AO535" s="697"/>
      <c r="AP535" s="697"/>
      <c r="AQ535" s="697"/>
      <c r="AR535" s="697">
        <f>AR534/AVERAGE($AQ494:AR494)</f>
        <v>-8.9999999999999993E-3</v>
      </c>
      <c r="AS535" s="697">
        <f>AS534/AVERAGE($AQ494:AS494)</f>
        <v>-1.7705454045885423E-2</v>
      </c>
      <c r="AT535" s="697">
        <f>AT534/AVERAGE($AS494:AT494)</f>
        <v>-8.3084635649845612E-3</v>
      </c>
      <c r="AU535" s="697">
        <f>AU534/AVERAGE($AS494:AU494)</f>
        <v>-1.5146310534663993E-2</v>
      </c>
      <c r="AV535" s="697">
        <f>AV534/AVERAGE($AS494:AV494)</f>
        <v>-2.3964341581120967E-2</v>
      </c>
      <c r="AW535" s="697">
        <f>AW534/AVERAGE($AS494:AW494)</f>
        <v>-3.3658043958255182E-2</v>
      </c>
      <c r="AX535" s="697">
        <f>AX534/AVERAGE($AS494:AX494)</f>
        <v>-4.3760167057295032E-2</v>
      </c>
      <c r="AY535" s="697">
        <f>AY534/AVERAGE($AS494:AY494)</f>
        <v>-5.7587504948860654E-2</v>
      </c>
      <c r="AZ535" s="697">
        <f>AZ534/AVERAGE($AS494:AZ494)</f>
        <v>-7.9512736130229397E-2</v>
      </c>
      <c r="BA535" s="697">
        <f>BA534/AVERAGE($AS494:BA494)</f>
        <v>-0.10666613191657681</v>
      </c>
      <c r="BB535" s="697">
        <f>BB534/AVERAGE($AS494:BB494)</f>
        <v>-0.13820330317683108</v>
      </c>
      <c r="BC535" s="697">
        <f>BC534/AVERAGE($AS494:BC494)</f>
        <v>-0.17288311207034426</v>
      </c>
      <c r="BD535" s="697">
        <f>BD534/AVERAGE($AS494:BD494)</f>
        <v>-0.20839338145277128</v>
      </c>
      <c r="BE535" s="697">
        <f>BE534/AVERAGE($AS494:BE494)</f>
        <v>-0.24308608100712484</v>
      </c>
      <c r="BF535" s="697">
        <f>BF534/AVERAGE($BE494:BF494)</f>
        <v>-2.5179761490512216E-2</v>
      </c>
      <c r="BG535" s="697">
        <f>BG534/AVERAGE($BE494:BG494)</f>
        <v>-4.5075421127360134E-2</v>
      </c>
      <c r="BH535" s="697">
        <f>BH534/AVERAGE($BE494:BH494)</f>
        <v>-6.28031908956692E-2</v>
      </c>
      <c r="BI535" s="697">
        <f>BI534/AVERAGE($BE494:BI494)</f>
        <v>-7.8628712339585363E-2</v>
      </c>
      <c r="BJ535" s="697">
        <f>BJ534/AVERAGE($BE494:BJ494)</f>
        <v>-9.4877502746361725E-2</v>
      </c>
      <c r="BK535" s="697">
        <f>BK534/AVERAGE($BE494:BK494)</f>
        <v>-0.11042801831732067</v>
      </c>
      <c r="BL535" s="697">
        <f>BL534/AVERAGE($BE494:BL494)</f>
        <v>-0.12432755631961674</v>
      </c>
      <c r="BM535" s="697">
        <f>BM534/AVERAGE($BE494:BM494)</f>
        <v>-0.13977423735556896</v>
      </c>
      <c r="BN535" s="697">
        <f>BN534/AVERAGE($BE494:BN494)</f>
        <v>-0.15980509274650995</v>
      </c>
      <c r="BO535" s="697">
        <f>BO534/AVERAGE($BE494:BO494)</f>
        <v>-0.18113330447505158</v>
      </c>
      <c r="BP535" s="697">
        <f>BP534/AVERAGE($BE494:BP494)</f>
        <v>-0.2020384206465117</v>
      </c>
      <c r="BQ535" s="697">
        <f>BQ534/AVERAGE($BE494:BQ494)</f>
        <v>-0.2224929037920938</v>
      </c>
      <c r="BR535" s="697">
        <f>BR534/AVERAGE($BQ494:BR494)</f>
        <v>-1.9056185098622301E-2</v>
      </c>
      <c r="BS535" s="697">
        <f>BS534/AVERAGE($BQ494:BS494)</f>
        <v>-3.8352770106240976E-2</v>
      </c>
      <c r="BT535" s="697">
        <f>BT534/AVERAGE($BQ494:BT494)</f>
        <v>-5.7834111951180059E-2</v>
      </c>
      <c r="BU535" s="697">
        <f>BU534/AVERAGE($BQ494:BU494)</f>
        <v>-7.7508433502836163E-2</v>
      </c>
      <c r="BV535" s="697">
        <f>BV534/AVERAGE($BQ494:BV494)</f>
        <v>-9.7432142278307432E-2</v>
      </c>
      <c r="BW535" s="697">
        <f>BW534/AVERAGE($BQ494:BW494)</f>
        <v>-0.1176169644017185</v>
      </c>
      <c r="BX535" s="697">
        <f>BX534/AVERAGE($BQ494:BX494)</f>
        <v>-0.13777467509567196</v>
      </c>
      <c r="BY535" s="697">
        <f>BY534/AVERAGE($BQ494:BY494)</f>
        <v>-0.15823042916603303</v>
      </c>
      <c r="BZ535" s="697">
        <f>BZ534/AVERAGE($BQ494:BZ494)</f>
        <v>-0.17891067676059125</v>
      </c>
      <c r="CA535" s="697">
        <f>CA534/AVERAGE($BQ494:CA494)</f>
        <v>-0.19926157972258293</v>
      </c>
      <c r="CB535" s="697">
        <f>CB534/AVERAGE($BQ494:CB494)</f>
        <v>-0.2198173654758058</v>
      </c>
      <c r="CC535" s="697">
        <f>CC534/AVERAGE($BQ494:CC494)</f>
        <v>-0.24056254678671837</v>
      </c>
      <c r="CD535" s="697">
        <f>CD534/AVERAGE($CC494:CD494)</f>
        <v>-1.9733271398851726E-2</v>
      </c>
      <c r="CE535" s="697">
        <f>CE534/AVERAGE($CC494:CE494)</f>
        <v>-3.8419278997771159E-2</v>
      </c>
      <c r="CF535" s="697">
        <f>CF534/AVERAGE($CC494:CF494)</f>
        <v>-5.7315711141969927E-2</v>
      </c>
      <c r="CG535" s="697">
        <f>CG534/AVERAGE($CC494:CG494)</f>
        <v>-7.592569224916329E-2</v>
      </c>
      <c r="CH535" s="697">
        <f>CH534/AVERAGE($CC494:CH494)</f>
        <v>-9.4730905006062918E-2</v>
      </c>
      <c r="CI535" s="697">
        <f>CI534/AVERAGE($CC494:CI494)</f>
        <v>-0.11371972046004981</v>
      </c>
      <c r="CJ535" s="697">
        <f>CJ534/AVERAGE($CC494:CJ494)</f>
        <v>-0.13197977479149903</v>
      </c>
      <c r="CK535" s="697">
        <f>CK534/AVERAGE($CC494:CK494)</f>
        <v>-0.14894818204311983</v>
      </c>
      <c r="CL535" s="697">
        <f>CL534/AVERAGE($CC494:CL494)</f>
        <v>-0.16612230157943267</v>
      </c>
      <c r="CM535" s="697">
        <f>CM534/AVERAGE($CC494:CM494)</f>
        <v>-0.18346183649833095</v>
      </c>
      <c r="CN535" s="697">
        <f>CN534/AVERAGE($CC494:CN494)</f>
        <v>-0.2009574355494195</v>
      </c>
      <c r="CO535" s="697">
        <f>CO534/AVERAGE($CC494:CO494)</f>
        <v>-0.21859301882698451</v>
      </c>
      <c r="CP535" s="697">
        <f>CP534/AVERAGE($CC494:CP494)</f>
        <v>-2.1227826284457803E-2</v>
      </c>
      <c r="CQ535" s="697">
        <f>CQ534/AVERAGE($CC494:CQ494)</f>
        <v>-4.2478170884727703E-2</v>
      </c>
      <c r="CR535" s="697">
        <f>CR534/AVERAGE($CC494:CR494)</f>
        <v>-6.3734677516614033E-2</v>
      </c>
      <c r="CS535" s="697">
        <f>CS534/AVERAGE($CC494:CS494)</f>
        <v>-8.4971351443431445E-2</v>
      </c>
      <c r="CT535" s="697">
        <f>CT534/AVERAGE($CC494:CT494)</f>
        <v>-0.10619087948890932</v>
      </c>
      <c r="CU535" s="697">
        <f>CU534/AVERAGE($CC494:CU494)</f>
        <v>-0.1273950044794066</v>
      </c>
      <c r="CV535" s="697">
        <f>CV534/AVERAGE($CC494:CV494)</f>
        <v>-0.14858526397969149</v>
      </c>
      <c r="CW535" s="697">
        <f>CW534/AVERAGE($CC494:CW494)</f>
        <v>-0.16976290621035975</v>
      </c>
      <c r="CX535" s="697">
        <f>CX534/AVERAGE($CC494:CX494)</f>
        <v>-0.19092913007473739</v>
      </c>
      <c r="CY535" s="697">
        <f>CY534/AVERAGE($CC494:CY494)</f>
        <v>-0.21208508165649767</v>
      </c>
      <c r="CZ535" s="697">
        <f>CZ534/AVERAGE($CC494:CZ494)</f>
        <v>-0.23323154513578762</v>
      </c>
      <c r="DA535" s="697">
        <f>DA534/AVERAGE($CC494:DA494)</f>
        <v>-0.25436877689781695</v>
      </c>
      <c r="DC535" s="729">
        <f>AG535</f>
        <v>0</v>
      </c>
      <c r="DD535" s="729">
        <f>AS535</f>
        <v>-1.7705454045885423E-2</v>
      </c>
      <c r="DE535" s="729">
        <f>BE535</f>
        <v>-0.24308608100712484</v>
      </c>
      <c r="DF535" s="729">
        <f>BQ535</f>
        <v>-0.2224929037920938</v>
      </c>
      <c r="DG535" s="729">
        <f>CC535</f>
        <v>-0.24056254678671837</v>
      </c>
      <c r="DH535" s="729">
        <f>CO535</f>
        <v>-0.21859301882698451</v>
      </c>
      <c r="DI535" s="729">
        <f t="shared" si="565"/>
        <v>-0.25436877689781695</v>
      </c>
    </row>
    <row r="536" spans="2:113" outlineLevel="2">
      <c r="F536" s="698"/>
      <c r="O536" s="710"/>
      <c r="P536" s="710"/>
      <c r="Q536" s="710"/>
      <c r="R536" s="710"/>
      <c r="S536" s="710"/>
      <c r="T536" s="710"/>
      <c r="U536" s="710"/>
      <c r="V536" s="710"/>
      <c r="W536" s="710"/>
      <c r="X536" s="710"/>
      <c r="Y536" s="710"/>
      <c r="Z536" s="710"/>
      <c r="AA536" s="710"/>
      <c r="AB536" s="710"/>
      <c r="AC536" s="710"/>
      <c r="AD536" s="710"/>
      <c r="AE536" s="710"/>
      <c r="AF536" s="710"/>
      <c r="AG536" s="710"/>
      <c r="AH536" s="710"/>
      <c r="AI536" s="710"/>
      <c r="AJ536" s="710"/>
      <c r="AK536" s="710"/>
      <c r="AL536" s="710"/>
      <c r="AM536" s="710"/>
      <c r="AN536" s="710"/>
      <c r="AO536" s="710"/>
      <c r="AP536" s="710"/>
      <c r="AQ536" s="710"/>
      <c r="AR536" s="710"/>
      <c r="AS536" s="710"/>
      <c r="AT536" s="710"/>
      <c r="AU536" s="710"/>
      <c r="AV536" s="710"/>
      <c r="AW536" s="710"/>
      <c r="AX536" s="710"/>
      <c r="AY536" s="710"/>
      <c r="AZ536" s="710"/>
      <c r="BA536" s="710"/>
      <c r="BB536" s="710"/>
      <c r="BC536" s="710"/>
      <c r="BD536" s="710"/>
      <c r="BE536" s="710"/>
      <c r="BF536" s="710"/>
      <c r="BG536" s="710"/>
      <c r="BH536" s="710"/>
      <c r="BI536" s="710"/>
      <c r="BJ536" s="710"/>
      <c r="BK536" s="710"/>
      <c r="BL536" s="710"/>
      <c r="BM536" s="710"/>
      <c r="BN536" s="710"/>
      <c r="BO536" s="710"/>
      <c r="BP536" s="710"/>
      <c r="BQ536" s="710"/>
      <c r="BR536" s="710"/>
      <c r="BS536" s="710"/>
      <c r="BT536" s="710"/>
      <c r="BU536" s="710"/>
      <c r="BV536" s="710"/>
      <c r="BW536" s="710"/>
      <c r="BX536" s="710"/>
      <c r="BY536" s="710"/>
      <c r="BZ536" s="710"/>
      <c r="CA536" s="710"/>
      <c r="CB536" s="710"/>
      <c r="CC536" s="710"/>
      <c r="CD536" s="710"/>
      <c r="CE536" s="710"/>
      <c r="CF536" s="710"/>
      <c r="CG536" s="710"/>
      <c r="CH536" s="710"/>
      <c r="CI536" s="710"/>
      <c r="CJ536" s="710"/>
      <c r="CK536" s="710"/>
      <c r="CL536" s="710"/>
      <c r="CM536" s="710"/>
      <c r="CN536" s="710"/>
      <c r="CO536" s="710"/>
      <c r="CP536" s="710"/>
      <c r="CQ536" s="710"/>
      <c r="CR536" s="710"/>
      <c r="CS536" s="710"/>
      <c r="CT536" s="710"/>
      <c r="CU536" s="710"/>
      <c r="CV536" s="710"/>
      <c r="CW536" s="710"/>
      <c r="CX536" s="710"/>
      <c r="CY536" s="710"/>
      <c r="CZ536" s="710"/>
      <c r="DA536" s="710"/>
      <c r="DC536" s="12"/>
      <c r="DD536" s="12"/>
      <c r="DE536" s="12"/>
      <c r="DF536" s="12"/>
      <c r="DG536" s="12"/>
      <c r="DH536" s="12"/>
    </row>
    <row r="537" spans="2:113" outlineLevel="1">
      <c r="O537" s="710"/>
      <c r="P537" s="710"/>
      <c r="Q537" s="710"/>
      <c r="R537" s="710"/>
      <c r="S537" s="710"/>
      <c r="T537" s="710"/>
      <c r="U537" s="710"/>
      <c r="V537" s="710"/>
      <c r="W537" s="710"/>
      <c r="X537" s="710"/>
      <c r="Y537" s="710"/>
      <c r="Z537" s="710"/>
      <c r="AA537" s="710"/>
      <c r="AB537" s="710"/>
      <c r="AC537" s="710"/>
      <c r="AD537" s="710"/>
      <c r="AE537" s="710"/>
      <c r="AF537" s="710"/>
      <c r="AG537" s="710"/>
      <c r="AH537" s="710"/>
      <c r="AI537" s="710"/>
      <c r="AJ537" s="710"/>
      <c r="AK537" s="710"/>
      <c r="AL537" s="710"/>
      <c r="AM537" s="710"/>
      <c r="AN537" s="710"/>
      <c r="AO537" s="710"/>
      <c r="AP537" s="710"/>
      <c r="AQ537" s="710"/>
      <c r="AR537" s="710"/>
      <c r="AS537" s="710"/>
      <c r="AT537" s="710"/>
      <c r="AU537" s="710"/>
      <c r="AV537" s="710"/>
      <c r="AW537" s="710"/>
      <c r="AX537" s="710"/>
      <c r="AY537" s="710"/>
      <c r="AZ537" s="710"/>
      <c r="BA537" s="710"/>
      <c r="BB537" s="710"/>
      <c r="BC537" s="710"/>
      <c r="BD537" s="710"/>
      <c r="BE537" s="710"/>
      <c r="BF537" s="710"/>
      <c r="BG537" s="710"/>
      <c r="BH537" s="710"/>
      <c r="BI537" s="710"/>
      <c r="BJ537" s="710"/>
      <c r="BK537" s="710"/>
      <c r="BL537" s="710"/>
      <c r="BM537" s="710"/>
      <c r="BN537" s="710"/>
      <c r="BO537" s="710"/>
      <c r="BP537" s="710"/>
      <c r="BQ537" s="710"/>
      <c r="BR537" s="710"/>
      <c r="BS537" s="710"/>
      <c r="BT537" s="710"/>
      <c r="BU537" s="710"/>
      <c r="BV537" s="710"/>
      <c r="BW537" s="710"/>
      <c r="BX537" s="710"/>
      <c r="BY537" s="710"/>
      <c r="BZ537" s="710"/>
      <c r="CA537" s="710"/>
      <c r="CB537" s="710"/>
      <c r="CC537" s="710"/>
      <c r="CD537" s="710"/>
      <c r="CE537" s="710"/>
      <c r="CF537" s="710"/>
      <c r="CG537" s="710"/>
      <c r="CH537" s="710"/>
      <c r="CI537" s="710"/>
      <c r="CJ537" s="710"/>
      <c r="CK537" s="710"/>
      <c r="CL537" s="710"/>
      <c r="CM537" s="710"/>
      <c r="CN537" s="710"/>
      <c r="CO537" s="710"/>
      <c r="CP537" s="710"/>
      <c r="CQ537" s="710"/>
      <c r="CR537" s="710"/>
      <c r="CS537" s="710"/>
      <c r="CT537" s="710"/>
      <c r="CU537" s="710"/>
      <c r="CV537" s="710"/>
      <c r="CW537" s="710"/>
      <c r="CX537" s="710"/>
      <c r="CY537" s="710"/>
      <c r="CZ537" s="710"/>
      <c r="DA537" s="710"/>
      <c r="DC537" s="12"/>
      <c r="DD537" s="12"/>
      <c r="DE537" s="12"/>
      <c r="DF537" s="12"/>
      <c r="DG537" s="12"/>
      <c r="DH537" s="12"/>
    </row>
    <row r="538" spans="2:113" outlineLevel="1">
      <c r="E538" s="735" t="s">
        <v>851</v>
      </c>
      <c r="F538" s="734"/>
      <c r="G538" s="734"/>
      <c r="H538" s="736"/>
      <c r="I538" s="736"/>
      <c r="O538" s="696"/>
      <c r="P538" s="696"/>
      <c r="Q538" s="696"/>
      <c r="R538" s="696"/>
      <c r="S538" s="696"/>
      <c r="T538" s="696"/>
      <c r="U538" s="696"/>
      <c r="V538" s="696"/>
      <c r="W538" s="696"/>
      <c r="X538" s="696"/>
      <c r="Y538" s="696"/>
      <c r="Z538" s="697"/>
      <c r="AA538" s="697"/>
      <c r="AB538" s="697"/>
      <c r="AC538" s="697"/>
      <c r="AD538" s="697"/>
      <c r="AE538" s="697"/>
      <c r="AF538" s="697"/>
      <c r="AG538" s="697"/>
      <c r="AH538" s="697"/>
      <c r="AI538" s="697"/>
      <c r="AJ538" s="697"/>
      <c r="AK538" s="697"/>
      <c r="AL538" s="697"/>
      <c r="AM538" s="697"/>
      <c r="AN538" s="697"/>
      <c r="AO538" s="697"/>
      <c r="AP538" s="697"/>
      <c r="AQ538" s="697"/>
      <c r="AR538" s="697"/>
      <c r="AS538" s="697"/>
      <c r="AT538" s="697"/>
      <c r="AU538" s="697"/>
      <c r="AV538" s="697"/>
      <c r="AW538" s="697"/>
      <c r="AX538" s="697"/>
      <c r="AY538" s="697"/>
      <c r="AZ538" s="697"/>
      <c r="BA538" s="697"/>
      <c r="BB538" s="697"/>
      <c r="BC538" s="697"/>
      <c r="BD538" s="697"/>
      <c r="BE538" s="697"/>
      <c r="BF538" s="697"/>
      <c r="BG538" s="697"/>
      <c r="BH538" s="697"/>
      <c r="BI538" s="697"/>
      <c r="BJ538" s="697"/>
      <c r="BK538" s="697"/>
      <c r="BL538" s="697"/>
      <c r="BM538" s="697"/>
      <c r="BN538" s="697"/>
      <c r="BO538" s="697"/>
      <c r="BP538" s="697"/>
      <c r="BQ538" s="697"/>
      <c r="BR538" s="697"/>
      <c r="BS538" s="697"/>
      <c r="BT538" s="697"/>
      <c r="BU538" s="697"/>
      <c r="BV538" s="697"/>
      <c r="BW538" s="697"/>
      <c r="BX538" s="697"/>
      <c r="BY538" s="697"/>
      <c r="BZ538" s="697"/>
      <c r="CA538" s="697"/>
      <c r="CB538" s="697"/>
      <c r="CC538" s="697"/>
      <c r="CD538" s="697"/>
      <c r="CE538" s="697"/>
      <c r="CF538" s="697"/>
      <c r="CG538" s="697"/>
      <c r="CH538" s="697"/>
      <c r="CI538" s="697"/>
      <c r="CJ538" s="697"/>
      <c r="CK538" s="697"/>
      <c r="CL538" s="697"/>
      <c r="CM538" s="697"/>
      <c r="CN538" s="697"/>
      <c r="CO538" s="697"/>
      <c r="CP538" s="697"/>
      <c r="CQ538" s="697"/>
      <c r="CR538" s="697"/>
      <c r="CS538" s="697"/>
      <c r="CT538" s="697"/>
      <c r="CU538" s="697"/>
      <c r="CV538" s="697"/>
      <c r="CW538" s="697"/>
      <c r="CX538" s="697"/>
      <c r="CY538" s="697"/>
      <c r="CZ538" s="697"/>
      <c r="DA538" s="697"/>
    </row>
    <row r="539" spans="2:113" outlineLevel="1">
      <c r="E539" s="698"/>
      <c r="F539" s="126" t="s">
        <v>845</v>
      </c>
      <c r="I539" s="699" t="s">
        <v>743</v>
      </c>
      <c r="O539" s="696"/>
      <c r="P539" s="696"/>
      <c r="Q539" s="696"/>
      <c r="R539" s="696"/>
      <c r="S539" s="696"/>
      <c r="T539" s="696"/>
      <c r="U539" s="696"/>
      <c r="V539" s="696"/>
      <c r="W539" s="696"/>
      <c r="X539" s="696"/>
      <c r="Y539" s="696"/>
      <c r="Z539" s="697"/>
      <c r="AA539" s="697"/>
      <c r="AB539" s="697"/>
      <c r="AC539" s="697"/>
      <c r="AD539" s="697"/>
      <c r="AE539" s="697"/>
      <c r="AF539" s="697"/>
      <c r="AG539" s="697"/>
      <c r="AH539" s="697"/>
      <c r="AI539" s="697"/>
      <c r="AJ539" s="697"/>
      <c r="AK539" s="697"/>
      <c r="AL539" s="697"/>
      <c r="AM539" s="697"/>
      <c r="AN539" s="697"/>
      <c r="AO539" s="697"/>
      <c r="AP539" s="738"/>
      <c r="AQ539" s="738"/>
      <c r="AR539" s="738">
        <v>1.5</v>
      </c>
      <c r="AS539" s="738">
        <v>2.5</v>
      </c>
      <c r="AT539" s="739">
        <f t="shared" ref="AT539:BD539" si="572">AS539+($BE539-$AS539)/12</f>
        <v>2.6041666666666665</v>
      </c>
      <c r="AU539" s="739">
        <f t="shared" si="572"/>
        <v>2.708333333333333</v>
      </c>
      <c r="AV539" s="739">
        <f t="shared" si="572"/>
        <v>2.8124999999999996</v>
      </c>
      <c r="AW539" s="739">
        <f t="shared" si="572"/>
        <v>2.9166666666666661</v>
      </c>
      <c r="AX539" s="739">
        <f t="shared" si="572"/>
        <v>3.0208333333333326</v>
      </c>
      <c r="AY539" s="739">
        <f t="shared" si="572"/>
        <v>3.1249999999999991</v>
      </c>
      <c r="AZ539" s="739">
        <f t="shared" si="572"/>
        <v>3.2291666666666656</v>
      </c>
      <c r="BA539" s="739">
        <f t="shared" si="572"/>
        <v>3.3333333333333321</v>
      </c>
      <c r="BB539" s="739">
        <f t="shared" si="572"/>
        <v>3.4374999999999987</v>
      </c>
      <c r="BC539" s="739">
        <f t="shared" si="572"/>
        <v>3.5416666666666652</v>
      </c>
      <c r="BD539" s="739">
        <f t="shared" si="572"/>
        <v>3.6458333333333317</v>
      </c>
      <c r="BE539" s="738">
        <f>AS539*1.5</f>
        <v>3.75</v>
      </c>
      <c r="BF539" s="739">
        <f t="shared" ref="BF539:BP539" si="573">BE539+($BQ539-$BE539)/12</f>
        <v>3.7708333333333335</v>
      </c>
      <c r="BG539" s="739">
        <f t="shared" si="573"/>
        <v>3.791666666666667</v>
      </c>
      <c r="BH539" s="739">
        <f t="shared" si="573"/>
        <v>3.8125000000000004</v>
      </c>
      <c r="BI539" s="739">
        <f t="shared" si="573"/>
        <v>3.8333333333333339</v>
      </c>
      <c r="BJ539" s="739">
        <f t="shared" si="573"/>
        <v>3.8541666666666674</v>
      </c>
      <c r="BK539" s="739">
        <f t="shared" si="573"/>
        <v>3.8750000000000009</v>
      </c>
      <c r="BL539" s="739">
        <f t="shared" si="573"/>
        <v>3.8958333333333344</v>
      </c>
      <c r="BM539" s="739">
        <f t="shared" si="573"/>
        <v>3.9166666666666679</v>
      </c>
      <c r="BN539" s="739">
        <f t="shared" si="573"/>
        <v>3.9375000000000013</v>
      </c>
      <c r="BO539" s="739">
        <f t="shared" si="573"/>
        <v>3.9583333333333348</v>
      </c>
      <c r="BP539" s="739">
        <f t="shared" si="573"/>
        <v>3.9791666666666683</v>
      </c>
      <c r="BQ539" s="738">
        <v>4</v>
      </c>
      <c r="BR539" s="739">
        <f t="shared" ref="BR539:CB539" si="574">BQ539+SUM($CC539-$BQ539)/12</f>
        <v>4</v>
      </c>
      <c r="BS539" s="739">
        <f t="shared" si="574"/>
        <v>4</v>
      </c>
      <c r="BT539" s="739">
        <f t="shared" si="574"/>
        <v>4</v>
      </c>
      <c r="BU539" s="739">
        <f t="shared" si="574"/>
        <v>4</v>
      </c>
      <c r="BV539" s="739">
        <f t="shared" si="574"/>
        <v>4</v>
      </c>
      <c r="BW539" s="739">
        <f t="shared" si="574"/>
        <v>4</v>
      </c>
      <c r="BX539" s="739">
        <f t="shared" si="574"/>
        <v>4</v>
      </c>
      <c r="BY539" s="739">
        <f t="shared" si="574"/>
        <v>4</v>
      </c>
      <c r="BZ539" s="739">
        <f t="shared" si="574"/>
        <v>4</v>
      </c>
      <c r="CA539" s="739">
        <f t="shared" si="574"/>
        <v>4</v>
      </c>
      <c r="CB539" s="739">
        <f t="shared" si="574"/>
        <v>4</v>
      </c>
      <c r="CC539" s="738">
        <v>4</v>
      </c>
      <c r="CD539" s="739">
        <f t="shared" ref="CD539:CN539" si="575">CC539+($CO539-$CC539)/12</f>
        <v>4</v>
      </c>
      <c r="CE539" s="739">
        <f t="shared" si="575"/>
        <v>4</v>
      </c>
      <c r="CF539" s="739">
        <f t="shared" si="575"/>
        <v>4</v>
      </c>
      <c r="CG539" s="739">
        <f t="shared" si="575"/>
        <v>4</v>
      </c>
      <c r="CH539" s="739">
        <f t="shared" si="575"/>
        <v>4</v>
      </c>
      <c r="CI539" s="739">
        <f t="shared" si="575"/>
        <v>4</v>
      </c>
      <c r="CJ539" s="739">
        <f t="shared" si="575"/>
        <v>4</v>
      </c>
      <c r="CK539" s="739">
        <f t="shared" si="575"/>
        <v>4</v>
      </c>
      <c r="CL539" s="739">
        <f t="shared" si="575"/>
        <v>4</v>
      </c>
      <c r="CM539" s="739">
        <f t="shared" si="575"/>
        <v>4</v>
      </c>
      <c r="CN539" s="739">
        <f t="shared" si="575"/>
        <v>4</v>
      </c>
      <c r="CO539" s="738">
        <v>4</v>
      </c>
      <c r="CP539" s="710">
        <f>CO539+($DA539-$CO539)/12</f>
        <v>4</v>
      </c>
      <c r="CQ539" s="710">
        <f t="shared" ref="CQ539:CZ539" si="576">CP539+($DA539-$CO539)/12</f>
        <v>4</v>
      </c>
      <c r="CR539" s="710">
        <f t="shared" si="576"/>
        <v>4</v>
      </c>
      <c r="CS539" s="710">
        <f t="shared" si="576"/>
        <v>4</v>
      </c>
      <c r="CT539" s="710">
        <f t="shared" si="576"/>
        <v>4</v>
      </c>
      <c r="CU539" s="710">
        <f t="shared" si="576"/>
        <v>4</v>
      </c>
      <c r="CV539" s="710">
        <f t="shared" si="576"/>
        <v>4</v>
      </c>
      <c r="CW539" s="710">
        <f t="shared" si="576"/>
        <v>4</v>
      </c>
      <c r="CX539" s="710">
        <f t="shared" si="576"/>
        <v>4</v>
      </c>
      <c r="CY539" s="710">
        <f t="shared" si="576"/>
        <v>4</v>
      </c>
      <c r="CZ539" s="710">
        <f t="shared" si="576"/>
        <v>4</v>
      </c>
      <c r="DA539" s="738">
        <v>4</v>
      </c>
      <c r="DC539" s="11">
        <f>AG539</f>
        <v>0</v>
      </c>
      <c r="DD539" s="12">
        <f>SUM(AH539:AS539)</f>
        <v>4</v>
      </c>
      <c r="DE539" s="12">
        <f>SUM(AT539:BE539)</f>
        <v>38.124999999999986</v>
      </c>
      <c r="DF539" s="12">
        <f>SUM(BF539:BQ539)</f>
        <v>46.625000000000014</v>
      </c>
      <c r="DG539" s="12">
        <f>SUM(BR539:CC539)</f>
        <v>48</v>
      </c>
      <c r="DH539" s="12">
        <f>SUM(CD539:CO539)</f>
        <v>48</v>
      </c>
      <c r="DI539" s="12">
        <f>SUM(CP539:DA539)</f>
        <v>48</v>
      </c>
    </row>
    <row r="540" spans="2:113" outlineLevel="1">
      <c r="E540" s="698"/>
      <c r="F540" s="126" t="s">
        <v>194</v>
      </c>
      <c r="I540" s="699" t="s">
        <v>743</v>
      </c>
      <c r="O540" s="696"/>
      <c r="P540" s="696"/>
      <c r="Q540" s="696"/>
      <c r="R540" s="696"/>
      <c r="S540" s="696"/>
      <c r="T540" s="696"/>
      <c r="U540" s="696"/>
      <c r="V540" s="696"/>
      <c r="W540" s="696"/>
      <c r="X540" s="696"/>
      <c r="Y540" s="696"/>
      <c r="Z540" s="697"/>
      <c r="AA540" s="697"/>
      <c r="AB540" s="697"/>
      <c r="AC540" s="697"/>
      <c r="AD540" s="697"/>
      <c r="AE540" s="697"/>
      <c r="AF540" s="697"/>
      <c r="AG540" s="697"/>
      <c r="AH540" s="697"/>
      <c r="AI540" s="697"/>
      <c r="AJ540" s="697"/>
      <c r="AK540" s="697"/>
      <c r="AL540" s="697"/>
      <c r="AM540" s="697"/>
      <c r="AN540" s="697"/>
      <c r="AO540" s="697"/>
      <c r="AP540" s="739"/>
      <c r="AQ540" s="739"/>
      <c r="AR540" s="739">
        <f t="shared" ref="AR540:DA540" si="577">AQ540+AR539</f>
        <v>1.5</v>
      </c>
      <c r="AS540" s="739">
        <f t="shared" si="577"/>
        <v>4</v>
      </c>
      <c r="AT540" s="739">
        <f t="shared" si="577"/>
        <v>6.6041666666666661</v>
      </c>
      <c r="AU540" s="739">
        <f t="shared" si="577"/>
        <v>9.3125</v>
      </c>
      <c r="AV540" s="739">
        <f t="shared" si="577"/>
        <v>12.125</v>
      </c>
      <c r="AW540" s="739">
        <f t="shared" si="577"/>
        <v>15.041666666666666</v>
      </c>
      <c r="AX540" s="739">
        <f t="shared" si="577"/>
        <v>18.0625</v>
      </c>
      <c r="AY540" s="739">
        <f t="shared" si="577"/>
        <v>21.1875</v>
      </c>
      <c r="AZ540" s="739">
        <f t="shared" si="577"/>
        <v>24.416666666666664</v>
      </c>
      <c r="BA540" s="739">
        <f t="shared" si="577"/>
        <v>27.749999999999996</v>
      </c>
      <c r="BB540" s="739">
        <f t="shared" si="577"/>
        <v>31.187499999999996</v>
      </c>
      <c r="BC540" s="739">
        <f t="shared" si="577"/>
        <v>34.729166666666664</v>
      </c>
      <c r="BD540" s="739">
        <f t="shared" si="577"/>
        <v>38.374999999999993</v>
      </c>
      <c r="BE540" s="739">
        <f t="shared" si="577"/>
        <v>42.124999999999993</v>
      </c>
      <c r="BF540" s="739">
        <f t="shared" si="577"/>
        <v>45.895833333333329</v>
      </c>
      <c r="BG540" s="739">
        <f t="shared" si="577"/>
        <v>49.687499999999993</v>
      </c>
      <c r="BH540" s="739">
        <f t="shared" si="577"/>
        <v>53.499999999999993</v>
      </c>
      <c r="BI540" s="739">
        <f t="shared" si="577"/>
        <v>57.333333333333329</v>
      </c>
      <c r="BJ540" s="739">
        <f t="shared" si="577"/>
        <v>61.187499999999993</v>
      </c>
      <c r="BK540" s="739">
        <f t="shared" si="577"/>
        <v>65.0625</v>
      </c>
      <c r="BL540" s="739">
        <f t="shared" si="577"/>
        <v>68.958333333333329</v>
      </c>
      <c r="BM540" s="739">
        <f t="shared" si="577"/>
        <v>72.875</v>
      </c>
      <c r="BN540" s="739">
        <f t="shared" si="577"/>
        <v>76.8125</v>
      </c>
      <c r="BO540" s="739">
        <f t="shared" si="577"/>
        <v>80.770833333333329</v>
      </c>
      <c r="BP540" s="739">
        <f t="shared" si="577"/>
        <v>84.75</v>
      </c>
      <c r="BQ540" s="739">
        <f t="shared" si="577"/>
        <v>88.75</v>
      </c>
      <c r="BR540" s="739">
        <f t="shared" si="577"/>
        <v>92.75</v>
      </c>
      <c r="BS540" s="739">
        <f t="shared" si="577"/>
        <v>96.75</v>
      </c>
      <c r="BT540" s="739">
        <f t="shared" si="577"/>
        <v>100.75</v>
      </c>
      <c r="BU540" s="739">
        <f t="shared" si="577"/>
        <v>104.75</v>
      </c>
      <c r="BV540" s="739">
        <f t="shared" si="577"/>
        <v>108.75</v>
      </c>
      <c r="BW540" s="739">
        <f t="shared" si="577"/>
        <v>112.75</v>
      </c>
      <c r="BX540" s="739">
        <f t="shared" si="577"/>
        <v>116.75</v>
      </c>
      <c r="BY540" s="739">
        <f t="shared" si="577"/>
        <v>120.75</v>
      </c>
      <c r="BZ540" s="739">
        <f t="shared" si="577"/>
        <v>124.75</v>
      </c>
      <c r="CA540" s="739">
        <f t="shared" si="577"/>
        <v>128.75</v>
      </c>
      <c r="CB540" s="739">
        <f t="shared" si="577"/>
        <v>132.75</v>
      </c>
      <c r="CC540" s="739">
        <f t="shared" si="577"/>
        <v>136.75</v>
      </c>
      <c r="CD540" s="739">
        <f t="shared" si="577"/>
        <v>140.75</v>
      </c>
      <c r="CE540" s="739">
        <f t="shared" si="577"/>
        <v>144.75</v>
      </c>
      <c r="CF540" s="739">
        <f t="shared" si="577"/>
        <v>148.75</v>
      </c>
      <c r="CG540" s="739">
        <f t="shared" si="577"/>
        <v>152.75</v>
      </c>
      <c r="CH540" s="739">
        <f t="shared" si="577"/>
        <v>156.75</v>
      </c>
      <c r="CI540" s="739">
        <f t="shared" si="577"/>
        <v>160.75</v>
      </c>
      <c r="CJ540" s="739">
        <f t="shared" si="577"/>
        <v>164.75</v>
      </c>
      <c r="CK540" s="739">
        <f t="shared" si="577"/>
        <v>168.75</v>
      </c>
      <c r="CL540" s="739">
        <f t="shared" si="577"/>
        <v>172.75</v>
      </c>
      <c r="CM540" s="739">
        <f t="shared" si="577"/>
        <v>176.75</v>
      </c>
      <c r="CN540" s="739">
        <f t="shared" si="577"/>
        <v>180.75</v>
      </c>
      <c r="CO540" s="739">
        <f t="shared" si="577"/>
        <v>184.75</v>
      </c>
      <c r="CP540" s="739">
        <f t="shared" si="577"/>
        <v>188.75</v>
      </c>
      <c r="CQ540" s="739">
        <f t="shared" si="577"/>
        <v>192.75</v>
      </c>
      <c r="CR540" s="739">
        <f t="shared" si="577"/>
        <v>196.75</v>
      </c>
      <c r="CS540" s="739">
        <f t="shared" si="577"/>
        <v>200.75</v>
      </c>
      <c r="CT540" s="739">
        <f t="shared" si="577"/>
        <v>204.75</v>
      </c>
      <c r="CU540" s="739">
        <f t="shared" si="577"/>
        <v>208.75</v>
      </c>
      <c r="CV540" s="739">
        <f t="shared" si="577"/>
        <v>212.75</v>
      </c>
      <c r="CW540" s="739">
        <f t="shared" si="577"/>
        <v>216.75</v>
      </c>
      <c r="CX540" s="739">
        <f t="shared" si="577"/>
        <v>220.75</v>
      </c>
      <c r="CY540" s="739">
        <f t="shared" si="577"/>
        <v>224.75</v>
      </c>
      <c r="CZ540" s="739">
        <f t="shared" si="577"/>
        <v>228.75</v>
      </c>
      <c r="DA540" s="739">
        <f t="shared" si="577"/>
        <v>232.75</v>
      </c>
      <c r="DC540" s="12">
        <f>SUM(V540:AG540)</f>
        <v>0</v>
      </c>
      <c r="DD540" s="11">
        <f>AS540</f>
        <v>4</v>
      </c>
      <c r="DE540" s="11">
        <f>BE540</f>
        <v>42.124999999999993</v>
      </c>
      <c r="DF540" s="11">
        <f>BQ540</f>
        <v>88.75</v>
      </c>
      <c r="DG540" s="11">
        <f>CC540</f>
        <v>136.75</v>
      </c>
      <c r="DH540" s="11">
        <f>CO540</f>
        <v>184.75</v>
      </c>
      <c r="DI540" s="11">
        <f>DA540</f>
        <v>232.75</v>
      </c>
    </row>
    <row r="541" spans="2:113" outlineLevel="1">
      <c r="E541" s="698"/>
      <c r="F541" s="126" t="s">
        <v>794</v>
      </c>
      <c r="I541" s="699" t="s">
        <v>743</v>
      </c>
      <c r="O541" s="696"/>
      <c r="P541" s="696"/>
      <c r="Q541" s="696"/>
      <c r="R541" s="696"/>
      <c r="S541" s="696"/>
      <c r="T541" s="696"/>
      <c r="U541" s="696"/>
      <c r="V541" s="696"/>
      <c r="W541" s="696"/>
      <c r="X541" s="696"/>
      <c r="Y541" s="696"/>
      <c r="Z541" s="697"/>
      <c r="AA541" s="697"/>
      <c r="AB541" s="697"/>
      <c r="AC541" s="697"/>
      <c r="AD541" s="697"/>
      <c r="AE541" s="697"/>
      <c r="AF541" s="697"/>
      <c r="AG541" s="697"/>
      <c r="AH541" s="697"/>
      <c r="AI541" s="697"/>
      <c r="AJ541" s="697"/>
      <c r="AK541" s="697"/>
      <c r="AL541" s="697"/>
      <c r="AM541" s="697"/>
      <c r="AN541" s="697"/>
      <c r="AO541" s="697"/>
      <c r="AP541" s="739"/>
      <c r="AQ541" s="739"/>
      <c r="AR541" s="739">
        <v>0.60000000000000009</v>
      </c>
      <c r="AS541" s="739">
        <v>1.6</v>
      </c>
      <c r="AT541" s="739">
        <v>2.3114583333333329</v>
      </c>
      <c r="AU541" s="739">
        <v>3.2593749999999999</v>
      </c>
      <c r="AV541" s="739">
        <v>4.2437499999999995</v>
      </c>
      <c r="AW541" s="739">
        <v>5.2645833333333325</v>
      </c>
      <c r="AX541" s="739">
        <v>6.3218749999999995</v>
      </c>
      <c r="AY541" s="739">
        <v>7.4156249999999995</v>
      </c>
      <c r="AZ541" s="739">
        <v>8.5458333333333325</v>
      </c>
      <c r="BA541" s="739">
        <v>9.7124999999999986</v>
      </c>
      <c r="BB541" s="739">
        <v>10.915624999999999</v>
      </c>
      <c r="BC541" s="739">
        <v>12.155208333333333</v>
      </c>
      <c r="BD541" s="739">
        <v>13.431249999999997</v>
      </c>
      <c r="BE541" s="739">
        <v>14.743749999999997</v>
      </c>
      <c r="BF541" s="739">
        <v>22.947916666666664</v>
      </c>
      <c r="BG541" s="739">
        <v>24.843749999999996</v>
      </c>
      <c r="BH541" s="739">
        <v>26.749999999999996</v>
      </c>
      <c r="BI541" s="739">
        <v>28.666666666666664</v>
      </c>
      <c r="BJ541" s="739">
        <v>30.593749999999996</v>
      </c>
      <c r="BK541" s="739">
        <v>32.53125</v>
      </c>
      <c r="BL541" s="739">
        <v>34.479166666666664</v>
      </c>
      <c r="BM541" s="739">
        <v>36.4375</v>
      </c>
      <c r="BN541" s="739">
        <v>38.40625</v>
      </c>
      <c r="BO541" s="739">
        <v>40.385416666666664</v>
      </c>
      <c r="BP541" s="739">
        <v>42.375</v>
      </c>
      <c r="BQ541" s="739">
        <v>44.375</v>
      </c>
      <c r="BR541" s="739">
        <v>46.375</v>
      </c>
      <c r="BS541" s="739">
        <v>48.375</v>
      </c>
      <c r="BT541" s="739">
        <v>50.375</v>
      </c>
      <c r="BU541" s="739">
        <v>52.375</v>
      </c>
      <c r="BV541" s="739">
        <v>54.375</v>
      </c>
      <c r="BW541" s="739">
        <v>56.375</v>
      </c>
      <c r="BX541" s="739">
        <v>58.375</v>
      </c>
      <c r="BY541" s="739">
        <v>60.375</v>
      </c>
      <c r="BZ541" s="739">
        <v>62.375</v>
      </c>
      <c r="CA541" s="739">
        <v>64.375</v>
      </c>
      <c r="CB541" s="739">
        <v>66.375</v>
      </c>
      <c r="CC541" s="739">
        <v>68.375</v>
      </c>
      <c r="CD541" s="739">
        <v>70.375</v>
      </c>
      <c r="CE541" s="739">
        <v>72.375</v>
      </c>
      <c r="CF541" s="739">
        <v>74.375</v>
      </c>
      <c r="CG541" s="739">
        <v>76.375</v>
      </c>
      <c r="CH541" s="739">
        <v>78.375</v>
      </c>
      <c r="CI541" s="739">
        <v>80.375</v>
      </c>
      <c r="CJ541" s="739">
        <v>82.375</v>
      </c>
      <c r="CK541" s="739">
        <v>84.375</v>
      </c>
      <c r="CL541" s="739">
        <v>86.375</v>
      </c>
      <c r="CM541" s="739">
        <v>88.375</v>
      </c>
      <c r="CN541" s="739">
        <v>90.375</v>
      </c>
      <c r="CO541" s="739">
        <v>92.375</v>
      </c>
      <c r="CP541" s="739">
        <v>94.375</v>
      </c>
      <c r="CQ541" s="739">
        <v>96.375</v>
      </c>
      <c r="CR541" s="739">
        <v>98.375</v>
      </c>
      <c r="CS541" s="739">
        <v>100.375</v>
      </c>
      <c r="CT541" s="739">
        <v>102.375</v>
      </c>
      <c r="CU541" s="739">
        <v>104.375</v>
      </c>
      <c r="CV541" s="739">
        <v>106.375</v>
      </c>
      <c r="CW541" s="739">
        <v>108.375</v>
      </c>
      <c r="CX541" s="739">
        <v>110.375</v>
      </c>
      <c r="CY541" s="739">
        <v>112.375</v>
      </c>
      <c r="CZ541" s="739">
        <v>114.375</v>
      </c>
      <c r="DA541" s="739">
        <v>116.375</v>
      </c>
      <c r="DC541" s="11">
        <f>AG541</f>
        <v>0</v>
      </c>
      <c r="DD541" s="11">
        <f>AS541</f>
        <v>1.6</v>
      </c>
      <c r="DE541" s="11">
        <f>BE541</f>
        <v>14.743749999999997</v>
      </c>
      <c r="DF541" s="11">
        <f>BQ541</f>
        <v>44.375</v>
      </c>
      <c r="DG541" s="11">
        <f>CC541</f>
        <v>68.375</v>
      </c>
      <c r="DH541" s="11">
        <f>CO541</f>
        <v>92.375</v>
      </c>
      <c r="DI541" s="11">
        <f>DA541</f>
        <v>116.375</v>
      </c>
    </row>
    <row r="542" spans="2:113" outlineLevel="1">
      <c r="E542" s="698"/>
      <c r="F542" s="12" t="s">
        <v>847</v>
      </c>
      <c r="I542" s="609" t="s">
        <v>736</v>
      </c>
      <c r="O542" s="696"/>
      <c r="P542" s="696"/>
      <c r="Q542" s="696"/>
      <c r="R542" s="696"/>
      <c r="S542" s="696"/>
      <c r="T542" s="696"/>
      <c r="U542" s="696"/>
      <c r="V542" s="696"/>
      <c r="W542" s="696"/>
      <c r="X542" s="696"/>
      <c r="Y542" s="696"/>
      <c r="Z542" s="697"/>
      <c r="AA542" s="697"/>
      <c r="AB542" s="697"/>
      <c r="AC542" s="697"/>
      <c r="AD542" s="697"/>
      <c r="AE542" s="697"/>
      <c r="AF542" s="697"/>
      <c r="AG542" s="697"/>
      <c r="AH542" s="697"/>
      <c r="AI542" s="697"/>
      <c r="AJ542" s="697"/>
      <c r="AK542" s="697"/>
      <c r="AL542" s="697"/>
      <c r="AM542" s="697"/>
      <c r="AN542" s="697"/>
      <c r="AO542" s="697"/>
      <c r="AP542" s="739"/>
      <c r="AQ542" s="739"/>
      <c r="AR542" s="739">
        <v>0.60000000000000009</v>
      </c>
      <c r="AS542" s="739">
        <v>1.6</v>
      </c>
      <c r="AT542" s="739">
        <v>2.3114583333333329</v>
      </c>
      <c r="AU542" s="739">
        <v>3.2593749999999999</v>
      </c>
      <c r="AV542" s="739">
        <v>4.2437499999999995</v>
      </c>
      <c r="AW542" s="739">
        <v>5.2645833333333325</v>
      </c>
      <c r="AX542" s="739">
        <v>6.3218749999999995</v>
      </c>
      <c r="AY542" s="739">
        <v>7.4156249999999995</v>
      </c>
      <c r="AZ542" s="739">
        <v>8.5458333333333325</v>
      </c>
      <c r="BA542" s="739">
        <v>9.7124999999999986</v>
      </c>
      <c r="BB542" s="739">
        <v>10.915624999999999</v>
      </c>
      <c r="BC542" s="739">
        <v>12.155208333333333</v>
      </c>
      <c r="BD542" s="739">
        <v>13.431249999999997</v>
      </c>
      <c r="BE542" s="739">
        <v>14.743749999999997</v>
      </c>
      <c r="BF542" s="739">
        <v>22.947916666666664</v>
      </c>
      <c r="BG542" s="739">
        <v>24.843749999999996</v>
      </c>
      <c r="BH542" s="739">
        <v>26.749999999999996</v>
      </c>
      <c r="BI542" s="739">
        <v>28.666666666666664</v>
      </c>
      <c r="BJ542" s="739">
        <v>30.593749999999996</v>
      </c>
      <c r="BK542" s="739">
        <v>32.53125</v>
      </c>
      <c r="BL542" s="739">
        <v>34.479166666666664</v>
      </c>
      <c r="BM542" s="739">
        <v>36.4375</v>
      </c>
      <c r="BN542" s="739">
        <v>38.40625</v>
      </c>
      <c r="BO542" s="739">
        <v>40.385416666666664</v>
      </c>
      <c r="BP542" s="739">
        <v>42.375</v>
      </c>
      <c r="BQ542" s="739">
        <v>44.375</v>
      </c>
      <c r="BR542" s="739">
        <v>46.375</v>
      </c>
      <c r="BS542" s="739">
        <v>48.375</v>
      </c>
      <c r="BT542" s="739">
        <v>50.375</v>
      </c>
      <c r="BU542" s="739">
        <v>52.375</v>
      </c>
      <c r="BV542" s="739">
        <v>54.375</v>
      </c>
      <c r="BW542" s="739">
        <v>56.375</v>
      </c>
      <c r="BX542" s="739">
        <v>58.375</v>
      </c>
      <c r="BY542" s="739">
        <v>60.375</v>
      </c>
      <c r="BZ542" s="739">
        <v>62.375</v>
      </c>
      <c r="CA542" s="739">
        <v>64.375</v>
      </c>
      <c r="CB542" s="739">
        <v>66.375</v>
      </c>
      <c r="CC542" s="739">
        <v>68.375</v>
      </c>
      <c r="CD542" s="739">
        <v>70.375</v>
      </c>
      <c r="CE542" s="739">
        <v>72.375</v>
      </c>
      <c r="CF542" s="739">
        <v>74.375</v>
      </c>
      <c r="CG542" s="739">
        <v>76.375</v>
      </c>
      <c r="CH542" s="739">
        <v>78.375</v>
      </c>
      <c r="CI542" s="739">
        <v>80.375</v>
      </c>
      <c r="CJ542" s="739">
        <v>82.375</v>
      </c>
      <c r="CK542" s="739">
        <v>84.375</v>
      </c>
      <c r="CL542" s="739">
        <v>86.375</v>
      </c>
      <c r="CM542" s="739">
        <v>88.375</v>
      </c>
      <c r="CN542" s="739">
        <v>90.375</v>
      </c>
      <c r="CO542" s="739">
        <v>92.375</v>
      </c>
      <c r="CP542" s="739">
        <v>94.375</v>
      </c>
      <c r="CQ542" s="739">
        <v>96.375</v>
      </c>
      <c r="CR542" s="739">
        <v>98.375</v>
      </c>
      <c r="CS542" s="739">
        <v>100.375</v>
      </c>
      <c r="CT542" s="739">
        <v>102.375</v>
      </c>
      <c r="CU542" s="739">
        <v>104.375</v>
      </c>
      <c r="CV542" s="739">
        <v>106.375</v>
      </c>
      <c r="CW542" s="739">
        <v>108.375</v>
      </c>
      <c r="CX542" s="739">
        <v>110.375</v>
      </c>
      <c r="CY542" s="739">
        <v>112.375</v>
      </c>
      <c r="CZ542" s="739">
        <v>114.375</v>
      </c>
      <c r="DA542" s="739">
        <v>116.375</v>
      </c>
      <c r="DC542" s="12">
        <f>SUM(V542:AG542)</f>
        <v>0</v>
      </c>
      <c r="DD542" s="12">
        <f>SUM(AH542:AS542)</f>
        <v>2.2000000000000002</v>
      </c>
      <c r="DE542" s="12">
        <f>SUM(AT542:BE542)</f>
        <v>98.320833333333312</v>
      </c>
      <c r="DF542" s="12">
        <f>SUM(BF542:BQ542)</f>
        <v>402.79166666666669</v>
      </c>
      <c r="DG542" s="12">
        <f>SUM(BR542:CC542)</f>
        <v>688.5</v>
      </c>
      <c r="DH542" s="12">
        <f>SUM(CD542:CO542)</f>
        <v>976.5</v>
      </c>
      <c r="DI542" s="12">
        <f>SUM(CP542:DA542)</f>
        <v>1264.5</v>
      </c>
    </row>
    <row r="543" spans="2:113" outlineLevel="1">
      <c r="E543" s="698"/>
      <c r="F543" s="12" t="s">
        <v>796</v>
      </c>
      <c r="I543" s="609" t="s">
        <v>736</v>
      </c>
      <c r="O543" s="696"/>
      <c r="P543" s="696"/>
      <c r="Q543" s="696"/>
      <c r="R543" s="696"/>
      <c r="S543" s="696"/>
      <c r="T543" s="696"/>
      <c r="U543" s="696"/>
      <c r="V543" s="696"/>
      <c r="W543" s="696"/>
      <c r="X543" s="696"/>
      <c r="Y543" s="696"/>
      <c r="Z543" s="697"/>
      <c r="AA543" s="697"/>
      <c r="AB543" s="697"/>
      <c r="AC543" s="697"/>
      <c r="AD543" s="697"/>
      <c r="AE543" s="697"/>
      <c r="AF543" s="697"/>
      <c r="AG543" s="697"/>
      <c r="AH543" s="697"/>
      <c r="AI543" s="697"/>
      <c r="AJ543" s="697"/>
      <c r="AK543" s="697"/>
      <c r="AL543" s="697"/>
      <c r="AM543" s="697"/>
      <c r="AN543" s="697"/>
      <c r="AO543" s="697"/>
      <c r="AP543" s="739"/>
      <c r="AQ543" s="739"/>
      <c r="AR543" s="739">
        <v>0.60000000000000009</v>
      </c>
      <c r="AS543" s="739">
        <v>1.84</v>
      </c>
      <c r="AT543" s="739">
        <v>3.323458333333333</v>
      </c>
      <c r="AU543" s="739">
        <v>5.0872770833333334</v>
      </c>
      <c r="AV543" s="739">
        <v>7.041752395833333</v>
      </c>
      <c r="AW543" s="739">
        <v>9.1375471510416659</v>
      </c>
      <c r="AX543" s="739">
        <v>11.347525933072916</v>
      </c>
      <c r="AY543" s="739">
        <v>13.584944263190103</v>
      </c>
      <c r="AZ543" s="739">
        <v>15.867414678087888</v>
      </c>
      <c r="BA543" s="739">
        <v>18.186451915902882</v>
      </c>
      <c r="BB543" s="739">
        <v>20.556540393911252</v>
      </c>
      <c r="BC543" s="739">
        <v>22.994337553883064</v>
      </c>
      <c r="BD543" s="739">
        <v>25.544341669998218</v>
      </c>
      <c r="BE543" s="739">
        <v>28.174857458623897</v>
      </c>
      <c r="BF543" s="739">
        <v>37.752561388936236</v>
      </c>
      <c r="BG543" s="739">
        <v>44.849523872727133</v>
      </c>
      <c r="BH543" s="739">
        <v>50.599242751297709</v>
      </c>
      <c r="BI543" s="739">
        <v>55.666761765449699</v>
      </c>
      <c r="BJ543" s="739">
        <v>60.360300734071828</v>
      </c>
      <c r="BK543" s="739">
        <v>64.887811376370692</v>
      </c>
      <c r="BL543" s="739">
        <v>69.389974390250032</v>
      </c>
      <c r="BM543" s="739">
        <v>73.494257356292678</v>
      </c>
      <c r="BN543" s="739">
        <v>77.491431499598434</v>
      </c>
      <c r="BO543" s="739">
        <v>81.64449412052349</v>
      </c>
      <c r="BP543" s="739">
        <v>85.777826795023699</v>
      </c>
      <c r="BQ543" s="739">
        <v>90.107664871127795</v>
      </c>
      <c r="BR543" s="739">
        <v>94.379013064108378</v>
      </c>
      <c r="BS543" s="739">
        <v>98.623599167253033</v>
      </c>
      <c r="BT543" s="739">
        <v>102.86963085903078</v>
      </c>
      <c r="BU543" s="739">
        <v>107.11272088934567</v>
      </c>
      <c r="BV543" s="739">
        <v>111.34598160154596</v>
      </c>
      <c r="BW543" s="739">
        <v>115.57660053055365</v>
      </c>
      <c r="BX543" s="739">
        <v>119.79908003451609</v>
      </c>
      <c r="BY543" s="739">
        <v>124.02329919304064</v>
      </c>
      <c r="BZ543" s="739">
        <v>128.24883841168787</v>
      </c>
      <c r="CA543" s="739">
        <v>132.47485138633013</v>
      </c>
      <c r="CB543" s="739">
        <v>136.70146651616548</v>
      </c>
      <c r="CC543" s="739">
        <v>140.92883694430154</v>
      </c>
      <c r="CD543" s="739">
        <v>145.49775918403469</v>
      </c>
      <c r="CE543" s="739">
        <v>149.91378624348894</v>
      </c>
      <c r="CF543" s="739">
        <v>154.24787863902631</v>
      </c>
      <c r="CG543" s="739">
        <v>158.53753098126086</v>
      </c>
      <c r="CH543" s="739">
        <v>162.80306427626786</v>
      </c>
      <c r="CI543" s="739">
        <v>167.05520477410823</v>
      </c>
      <c r="CJ543" s="739">
        <v>171.72208101908669</v>
      </c>
      <c r="CK543" s="739">
        <v>176.18838098348525</v>
      </c>
      <c r="CL543" s="739">
        <v>180.55738634000068</v>
      </c>
      <c r="CM543" s="739">
        <v>184.87511353540711</v>
      </c>
      <c r="CN543" s="739">
        <v>189.16578443892894</v>
      </c>
      <c r="CO543" s="739">
        <v>193.44183865597208</v>
      </c>
      <c r="CP543" s="739">
        <v>197.70991736822654</v>
      </c>
      <c r="CQ543" s="739">
        <v>201.964694473902</v>
      </c>
      <c r="CR543" s="739">
        <v>206.22527101692583</v>
      </c>
      <c r="CS543" s="739">
        <v>210.49054758757032</v>
      </c>
      <c r="CT543" s="739">
        <v>214.75924376139301</v>
      </c>
      <c r="CU543" s="739">
        <v>219.03019344829858</v>
      </c>
      <c r="CV543" s="739">
        <v>223.30252962343141</v>
      </c>
      <c r="CW543" s="739">
        <v>227.57564275563462</v>
      </c>
      <c r="CX543" s="739">
        <v>231.84931274639231</v>
      </c>
      <c r="CY543" s="739">
        <v>236.12282776953668</v>
      </c>
      <c r="CZ543" s="739">
        <v>240.39610929322984</v>
      </c>
      <c r="DA543" s="739">
        <v>248.59286011127642</v>
      </c>
      <c r="DC543" s="11">
        <f>AG543</f>
        <v>0</v>
      </c>
      <c r="DD543" s="11">
        <f>AS543</f>
        <v>1.84</v>
      </c>
      <c r="DE543" s="11">
        <f>BE543</f>
        <v>28.174857458623897</v>
      </c>
      <c r="DF543" s="11">
        <f>BQ543</f>
        <v>90.107664871127795</v>
      </c>
      <c r="DG543" s="11">
        <f>CC543</f>
        <v>140.92883694430154</v>
      </c>
      <c r="DH543" s="11">
        <f>CO543</f>
        <v>193.44183865597208</v>
      </c>
      <c r="DI543" s="11">
        <f>DA543</f>
        <v>248.59286011127642</v>
      </c>
    </row>
    <row r="544" spans="2:113" outlineLevel="1">
      <c r="E544" s="698"/>
      <c r="F544" s="740" t="s">
        <v>848</v>
      </c>
      <c r="I544" s="609" t="s">
        <v>736</v>
      </c>
      <c r="O544" s="696"/>
      <c r="P544" s="696"/>
      <c r="Q544" s="696"/>
      <c r="R544" s="696"/>
      <c r="S544" s="696"/>
      <c r="T544" s="696"/>
      <c r="U544" s="696"/>
      <c r="V544" s="696"/>
      <c r="W544" s="696"/>
      <c r="X544" s="696"/>
      <c r="Y544" s="696"/>
      <c r="Z544" s="697"/>
      <c r="AA544" s="697"/>
      <c r="AB544" s="697"/>
      <c r="AC544" s="697"/>
      <c r="AD544" s="697"/>
      <c r="AE544" s="697"/>
      <c r="AF544" s="697"/>
      <c r="AG544" s="697"/>
      <c r="AH544" s="697"/>
      <c r="AI544" s="697"/>
      <c r="AJ544" s="697"/>
      <c r="AK544" s="697"/>
      <c r="AL544" s="697"/>
      <c r="AM544" s="697"/>
      <c r="AN544" s="697"/>
      <c r="AO544" s="697"/>
      <c r="AP544" s="721"/>
      <c r="AQ544" s="739"/>
      <c r="AR544" s="739">
        <f t="shared" ref="AR544:DA544" si="578">AR543-AR545</f>
        <v>0.60000000000000009</v>
      </c>
      <c r="AS544" s="739">
        <f t="shared" si="578"/>
        <v>1.84</v>
      </c>
      <c r="AT544" s="739">
        <f t="shared" si="578"/>
        <v>3.323458333333333</v>
      </c>
      <c r="AU544" s="739">
        <f t="shared" si="578"/>
        <v>5.0872770833333334</v>
      </c>
      <c r="AV544" s="739">
        <f t="shared" si="578"/>
        <v>7.041752395833333</v>
      </c>
      <c r="AW544" s="739">
        <f t="shared" si="578"/>
        <v>9.1375471510416659</v>
      </c>
      <c r="AX544" s="739">
        <f t="shared" si="578"/>
        <v>11.347525933072916</v>
      </c>
      <c r="AY544" s="739">
        <f t="shared" si="578"/>
        <v>13.584944263190103</v>
      </c>
      <c r="AZ544" s="739">
        <f t="shared" si="578"/>
        <v>15.867414678087888</v>
      </c>
      <c r="BA544" s="739">
        <f t="shared" si="578"/>
        <v>18.186451915902882</v>
      </c>
      <c r="BB544" s="739">
        <f t="shared" si="578"/>
        <v>20.556540393911252</v>
      </c>
      <c r="BC544" s="739">
        <f t="shared" si="578"/>
        <v>22.994337553883064</v>
      </c>
      <c r="BD544" s="739">
        <f t="shared" si="578"/>
        <v>25.544341669998218</v>
      </c>
      <c r="BE544" s="739">
        <f t="shared" si="578"/>
        <v>28.174857458623897</v>
      </c>
      <c r="BF544" s="739">
        <f t="shared" si="578"/>
        <v>37.752561388936236</v>
      </c>
      <c r="BG544" s="739">
        <f t="shared" si="578"/>
        <v>44.849523872727133</v>
      </c>
      <c r="BH544" s="739">
        <f t="shared" si="578"/>
        <v>50.599242751297709</v>
      </c>
      <c r="BI544" s="739">
        <f t="shared" si="578"/>
        <v>55.666761765449699</v>
      </c>
      <c r="BJ544" s="739">
        <f t="shared" si="578"/>
        <v>60.360300734071828</v>
      </c>
      <c r="BK544" s="739">
        <f t="shared" si="578"/>
        <v>64.887811376370692</v>
      </c>
      <c r="BL544" s="739">
        <f t="shared" si="578"/>
        <v>69.389974390250032</v>
      </c>
      <c r="BM544" s="739">
        <f t="shared" si="578"/>
        <v>73.494257356292678</v>
      </c>
      <c r="BN544" s="739">
        <f t="shared" si="578"/>
        <v>77.491431499598434</v>
      </c>
      <c r="BO544" s="739">
        <f t="shared" si="578"/>
        <v>81.64449412052349</v>
      </c>
      <c r="BP544" s="739">
        <f t="shared" si="578"/>
        <v>85.777826795023699</v>
      </c>
      <c r="BQ544" s="739">
        <f t="shared" si="578"/>
        <v>90.107664871127795</v>
      </c>
      <c r="BR544" s="739">
        <f t="shared" si="578"/>
        <v>94.379013064108378</v>
      </c>
      <c r="BS544" s="739">
        <f t="shared" si="578"/>
        <v>98.623599167253033</v>
      </c>
      <c r="BT544" s="739">
        <f t="shared" si="578"/>
        <v>102.86963085903078</v>
      </c>
      <c r="BU544" s="739">
        <f t="shared" si="578"/>
        <v>107.11272088934567</v>
      </c>
      <c r="BV544" s="739">
        <f t="shared" si="578"/>
        <v>111.34598160154596</v>
      </c>
      <c r="BW544" s="739">
        <f t="shared" si="578"/>
        <v>115.57660053055365</v>
      </c>
      <c r="BX544" s="739">
        <f t="shared" si="578"/>
        <v>119.79908003451609</v>
      </c>
      <c r="BY544" s="739">
        <f t="shared" si="578"/>
        <v>124.02329919304064</v>
      </c>
      <c r="BZ544" s="739">
        <f t="shared" si="578"/>
        <v>128.24883841168787</v>
      </c>
      <c r="CA544" s="739">
        <f t="shared" si="578"/>
        <v>132.47485138633013</v>
      </c>
      <c r="CB544" s="739">
        <f t="shared" si="578"/>
        <v>136.70146651616548</v>
      </c>
      <c r="CC544" s="739">
        <f t="shared" si="578"/>
        <v>140.92883694430154</v>
      </c>
      <c r="CD544" s="739">
        <f t="shared" si="578"/>
        <v>145.49775918403469</v>
      </c>
      <c r="CE544" s="739">
        <f t="shared" si="578"/>
        <v>149.91378624348894</v>
      </c>
      <c r="CF544" s="739">
        <f t="shared" si="578"/>
        <v>154.24787863902631</v>
      </c>
      <c r="CG544" s="739">
        <f t="shared" si="578"/>
        <v>158.53753098126086</v>
      </c>
      <c r="CH544" s="739">
        <f t="shared" si="578"/>
        <v>162.80306427626786</v>
      </c>
      <c r="CI544" s="739">
        <f t="shared" si="578"/>
        <v>167.05520477410823</v>
      </c>
      <c r="CJ544" s="739">
        <f t="shared" si="578"/>
        <v>171.72208101908669</v>
      </c>
      <c r="CK544" s="739">
        <f t="shared" si="578"/>
        <v>176.18838098348525</v>
      </c>
      <c r="CL544" s="739">
        <f t="shared" si="578"/>
        <v>180.55738634000068</v>
      </c>
      <c r="CM544" s="739">
        <f t="shared" si="578"/>
        <v>184.87511353540711</v>
      </c>
      <c r="CN544" s="739">
        <f t="shared" si="578"/>
        <v>189.16578443892894</v>
      </c>
      <c r="CO544" s="739">
        <f t="shared" si="578"/>
        <v>193.44183865597208</v>
      </c>
      <c r="CP544" s="739">
        <f t="shared" si="578"/>
        <v>197.70991736822654</v>
      </c>
      <c r="CQ544" s="739">
        <f t="shared" si="578"/>
        <v>201.964694473902</v>
      </c>
      <c r="CR544" s="739">
        <f t="shared" si="578"/>
        <v>206.22527101692583</v>
      </c>
      <c r="CS544" s="739">
        <f t="shared" si="578"/>
        <v>210.49054758757032</v>
      </c>
      <c r="CT544" s="739">
        <f t="shared" si="578"/>
        <v>214.75924376139301</v>
      </c>
      <c r="CU544" s="739">
        <f t="shared" si="578"/>
        <v>219.03019344829858</v>
      </c>
      <c r="CV544" s="739">
        <f t="shared" si="578"/>
        <v>223.30252962343141</v>
      </c>
      <c r="CW544" s="739">
        <f t="shared" si="578"/>
        <v>227.57564275563462</v>
      </c>
      <c r="CX544" s="739">
        <f t="shared" si="578"/>
        <v>231.84931274639231</v>
      </c>
      <c r="CY544" s="739">
        <f t="shared" si="578"/>
        <v>236.12282776953668</v>
      </c>
      <c r="CZ544" s="739">
        <f t="shared" si="578"/>
        <v>240.39610929322984</v>
      </c>
      <c r="DA544" s="739">
        <f t="shared" si="578"/>
        <v>248.59286011127642</v>
      </c>
      <c r="DC544" s="11">
        <f>AG544</f>
        <v>0</v>
      </c>
      <c r="DD544" s="11">
        <f>AS544</f>
        <v>1.84</v>
      </c>
      <c r="DE544" s="11">
        <f>BE544</f>
        <v>28.174857458623897</v>
      </c>
      <c r="DF544" s="11">
        <f>BQ544</f>
        <v>90.107664871127795</v>
      </c>
      <c r="DG544" s="11">
        <f>CC544</f>
        <v>140.92883694430154</v>
      </c>
      <c r="DH544" s="11">
        <f>CO544</f>
        <v>193.44183865597208</v>
      </c>
      <c r="DI544" s="11">
        <f>DA544</f>
        <v>248.59286011127642</v>
      </c>
    </row>
    <row r="545" spans="5:113" outlineLevel="1">
      <c r="E545" s="698"/>
      <c r="F545" s="740" t="s">
        <v>849</v>
      </c>
      <c r="I545" s="609" t="s">
        <v>736</v>
      </c>
      <c r="O545" s="696"/>
      <c r="P545" s="696"/>
      <c r="Q545" s="696"/>
      <c r="R545" s="696"/>
      <c r="S545" s="696"/>
      <c r="T545" s="696"/>
      <c r="U545" s="696"/>
      <c r="V545" s="696"/>
      <c r="W545" s="696"/>
      <c r="X545" s="696"/>
      <c r="Y545" s="696"/>
      <c r="Z545" s="697"/>
      <c r="AA545" s="697"/>
      <c r="AB545" s="697"/>
      <c r="AC545" s="697"/>
      <c r="AD545" s="697"/>
      <c r="AE545" s="697"/>
      <c r="AF545" s="697"/>
      <c r="AG545" s="697"/>
      <c r="AH545" s="697"/>
      <c r="AI545" s="697"/>
      <c r="AJ545" s="697"/>
      <c r="AK545" s="697"/>
      <c r="AL545" s="697"/>
      <c r="AM545" s="697"/>
      <c r="AN545" s="697"/>
      <c r="AO545" s="697"/>
      <c r="AP545" s="739"/>
      <c r="AQ545" s="739"/>
      <c r="AR545" s="739">
        <v>0</v>
      </c>
      <c r="AS545" s="739">
        <v>0</v>
      </c>
      <c r="AT545" s="739">
        <v>0</v>
      </c>
      <c r="AU545" s="739">
        <v>0</v>
      </c>
      <c r="AV545" s="739">
        <v>0</v>
      </c>
      <c r="AW545" s="739">
        <v>0</v>
      </c>
      <c r="AX545" s="739">
        <v>0</v>
      </c>
      <c r="AY545" s="739">
        <v>0</v>
      </c>
      <c r="AZ545" s="739">
        <v>0</v>
      </c>
      <c r="BA545" s="739">
        <v>0</v>
      </c>
      <c r="BB545" s="739">
        <v>0</v>
      </c>
      <c r="BC545" s="739">
        <v>0</v>
      </c>
      <c r="BD545" s="739">
        <v>0</v>
      </c>
      <c r="BE545" s="739">
        <v>0</v>
      </c>
      <c r="BF545" s="739">
        <v>0</v>
      </c>
      <c r="BG545" s="739">
        <v>0</v>
      </c>
      <c r="BH545" s="739">
        <v>0</v>
      </c>
      <c r="BI545" s="739">
        <v>0</v>
      </c>
      <c r="BJ545" s="739">
        <v>0</v>
      </c>
      <c r="BK545" s="739">
        <v>0</v>
      </c>
      <c r="BL545" s="739">
        <v>0</v>
      </c>
      <c r="BM545" s="739">
        <v>0</v>
      </c>
      <c r="BN545" s="739">
        <v>0</v>
      </c>
      <c r="BO545" s="739">
        <v>0</v>
      </c>
      <c r="BP545" s="739">
        <v>0</v>
      </c>
      <c r="BQ545" s="739">
        <v>0</v>
      </c>
      <c r="BR545" s="739">
        <v>0</v>
      </c>
      <c r="BS545" s="739">
        <v>0</v>
      </c>
      <c r="BT545" s="739">
        <v>0</v>
      </c>
      <c r="BU545" s="739">
        <v>0</v>
      </c>
      <c r="BV545" s="739">
        <v>0</v>
      </c>
      <c r="BW545" s="739">
        <v>0</v>
      </c>
      <c r="BX545" s="739">
        <v>0</v>
      </c>
      <c r="BY545" s="739">
        <v>0</v>
      </c>
      <c r="BZ545" s="739">
        <v>0</v>
      </c>
      <c r="CA545" s="739">
        <v>0</v>
      </c>
      <c r="CB545" s="739">
        <v>0</v>
      </c>
      <c r="CC545" s="739">
        <v>0</v>
      </c>
      <c r="CD545" s="739">
        <v>0</v>
      </c>
      <c r="CE545" s="739">
        <v>0</v>
      </c>
      <c r="CF545" s="739">
        <v>0</v>
      </c>
      <c r="CG545" s="739">
        <v>0</v>
      </c>
      <c r="CH545" s="739">
        <v>0</v>
      </c>
      <c r="CI545" s="739">
        <v>0</v>
      </c>
      <c r="CJ545" s="739">
        <v>0</v>
      </c>
      <c r="CK545" s="739">
        <v>0</v>
      </c>
      <c r="CL545" s="739">
        <v>0</v>
      </c>
      <c r="CM545" s="739">
        <v>0</v>
      </c>
      <c r="CN545" s="739">
        <v>0</v>
      </c>
      <c r="CO545" s="739">
        <v>0</v>
      </c>
      <c r="CP545" s="739">
        <v>0</v>
      </c>
      <c r="CQ545" s="739">
        <v>0</v>
      </c>
      <c r="CR545" s="739">
        <v>0</v>
      </c>
      <c r="CS545" s="739">
        <v>0</v>
      </c>
      <c r="CT545" s="739">
        <v>0</v>
      </c>
      <c r="CU545" s="739">
        <v>0</v>
      </c>
      <c r="CV545" s="739">
        <v>0</v>
      </c>
      <c r="CW545" s="739">
        <v>0</v>
      </c>
      <c r="CX545" s="739">
        <v>0</v>
      </c>
      <c r="CY545" s="739">
        <v>0</v>
      </c>
      <c r="CZ545" s="739">
        <v>0</v>
      </c>
      <c r="DA545" s="739">
        <v>0</v>
      </c>
      <c r="DC545" s="11">
        <f>AG545</f>
        <v>0</v>
      </c>
      <c r="DD545" s="11">
        <f>AS545</f>
        <v>0</v>
      </c>
      <c r="DE545" s="11">
        <f>BE545</f>
        <v>0</v>
      </c>
      <c r="DF545" s="11">
        <f>BQ545</f>
        <v>0</v>
      </c>
      <c r="DG545" s="11">
        <f>CC545</f>
        <v>0</v>
      </c>
      <c r="DH545" s="11">
        <f>CO545</f>
        <v>0</v>
      </c>
      <c r="DI545" s="11">
        <f>DA545</f>
        <v>0</v>
      </c>
    </row>
    <row r="546" spans="5:113" outlineLevel="1">
      <c r="E546" s="698"/>
      <c r="F546" s="12" t="s">
        <v>203</v>
      </c>
      <c r="I546" s="609" t="s">
        <v>736</v>
      </c>
      <c r="O546" s="696"/>
      <c r="P546" s="696"/>
      <c r="Q546" s="696"/>
      <c r="R546" s="696"/>
      <c r="S546" s="696"/>
      <c r="T546" s="696"/>
      <c r="U546" s="696"/>
      <c r="V546" s="696"/>
      <c r="W546" s="696"/>
      <c r="X546" s="696"/>
      <c r="Y546" s="696"/>
      <c r="Z546" s="697"/>
      <c r="AA546" s="697"/>
      <c r="AB546" s="697"/>
      <c r="AC546" s="697"/>
      <c r="AD546" s="697"/>
      <c r="AE546" s="697"/>
      <c r="AF546" s="697"/>
      <c r="AG546" s="697"/>
      <c r="AH546" s="697"/>
      <c r="AI546" s="697"/>
      <c r="AJ546" s="697"/>
      <c r="AK546" s="697"/>
      <c r="AL546" s="697"/>
      <c r="AM546" s="697"/>
      <c r="AN546" s="697"/>
      <c r="AO546" s="697"/>
      <c r="AP546" s="739"/>
      <c r="AQ546" s="739"/>
      <c r="AR546" s="739">
        <v>0</v>
      </c>
      <c r="AS546" s="739">
        <v>0.27000000000000007</v>
      </c>
      <c r="AT546" s="739">
        <v>0.82800000000000007</v>
      </c>
      <c r="AU546" s="739">
        <v>1.8279020833333333</v>
      </c>
      <c r="AV546" s="739">
        <v>2.7980023958333335</v>
      </c>
      <c r="AW546" s="739">
        <v>3.8729638177083334</v>
      </c>
      <c r="AX546" s="739">
        <v>5.0256509330729164</v>
      </c>
      <c r="AY546" s="739">
        <v>6.2411392631901039</v>
      </c>
      <c r="AZ546" s="739">
        <v>7.4717193447545567</v>
      </c>
      <c r="BA546" s="739">
        <v>8.7270780729483395</v>
      </c>
      <c r="BB546" s="739">
        <v>10.002548553746585</v>
      </c>
      <c r="BC546" s="739">
        <v>11.306097216651189</v>
      </c>
      <c r="BD546" s="739">
        <v>12.646885654635685</v>
      </c>
      <c r="BE546" s="739">
        <v>14.04938791849902</v>
      </c>
      <c r="BF546" s="739">
        <v>15.496171602243145</v>
      </c>
      <c r="BG546" s="739">
        <v>20.76390876391493</v>
      </c>
      <c r="BH546" s="739">
        <v>24.667238129999927</v>
      </c>
      <c r="BI546" s="739">
        <v>27.829583513213741</v>
      </c>
      <c r="BJ546" s="739">
        <v>30.616718970997336</v>
      </c>
      <c r="BK546" s="739">
        <v>33.198165403739509</v>
      </c>
      <c r="BL546" s="739">
        <v>35.688296257003884</v>
      </c>
      <c r="BM546" s="739">
        <v>38.164485914637524</v>
      </c>
      <c r="BN546" s="739">
        <v>40.421841545960973</v>
      </c>
      <c r="BO546" s="739">
        <v>42.620287324779142</v>
      </c>
      <c r="BP546" s="739">
        <v>44.904471766287926</v>
      </c>
      <c r="BQ546" s="739">
        <v>47.177804737263038</v>
      </c>
      <c r="BR546" s="739">
        <v>49.559215679120292</v>
      </c>
      <c r="BS546" s="739">
        <v>51.908457185259614</v>
      </c>
      <c r="BT546" s="739">
        <v>54.242979541989172</v>
      </c>
      <c r="BU546" s="739">
        <v>56.57829697246693</v>
      </c>
      <c r="BV546" s="739">
        <v>58.911996489140122</v>
      </c>
      <c r="BW546" s="739">
        <v>61.240289880850284</v>
      </c>
      <c r="BX546" s="739">
        <v>63.56713029180451</v>
      </c>
      <c r="BY546" s="739">
        <v>65.889494018983854</v>
      </c>
      <c r="BZ546" s="739">
        <v>68.212814556172361</v>
      </c>
      <c r="CA546" s="739">
        <v>70.536861126428335</v>
      </c>
      <c r="CB546" s="739">
        <v>72.861168262481584</v>
      </c>
      <c r="CC546" s="739">
        <v>75.185806583891022</v>
      </c>
      <c r="CD546" s="739">
        <v>77.510860319365847</v>
      </c>
      <c r="CE546" s="739">
        <v>80.02376755121908</v>
      </c>
      <c r="CF546" s="739">
        <v>82.45258243391892</v>
      </c>
      <c r="CG546" s="739">
        <v>84.836333251464481</v>
      </c>
      <c r="CH546" s="739">
        <v>87.195642039693482</v>
      </c>
      <c r="CI546" s="739">
        <v>89.541685351947336</v>
      </c>
      <c r="CJ546" s="739">
        <v>91.880362625759531</v>
      </c>
      <c r="CK546" s="739">
        <v>94.447144560497691</v>
      </c>
      <c r="CL546" s="739">
        <v>96.903609540916889</v>
      </c>
      <c r="CM546" s="739">
        <v>99.306562487000377</v>
      </c>
      <c r="CN546" s="739">
        <v>101.68131244447392</v>
      </c>
      <c r="CO546" s="739">
        <v>104.04118144141093</v>
      </c>
      <c r="CP546" s="739">
        <v>106.39301126078465</v>
      </c>
      <c r="CQ546" s="739">
        <v>108.74045455252461</v>
      </c>
      <c r="CR546" s="739">
        <v>111.08058196064611</v>
      </c>
      <c r="CS546" s="739">
        <v>113.42389905930922</v>
      </c>
      <c r="CT546" s="739">
        <v>115.76980117316369</v>
      </c>
      <c r="CU546" s="739">
        <v>118.11758406876616</v>
      </c>
      <c r="CV546" s="739">
        <v>120.46660639656423</v>
      </c>
      <c r="CW546" s="739">
        <v>122.81639129288729</v>
      </c>
      <c r="CX546" s="739">
        <v>125.16660351559905</v>
      </c>
      <c r="CY546" s="739">
        <v>127.51712201051578</v>
      </c>
      <c r="CZ546" s="739">
        <v>129.86755527324519</v>
      </c>
      <c r="DA546" s="739">
        <v>132.21786011127642</v>
      </c>
      <c r="DC546" s="11">
        <f>AG546</f>
        <v>0</v>
      </c>
      <c r="DD546" s="11">
        <f>AS546</f>
        <v>0.27000000000000007</v>
      </c>
      <c r="DE546" s="11">
        <f>BE546</f>
        <v>14.04938791849902</v>
      </c>
      <c r="DF546" s="11">
        <f>BQ546</f>
        <v>47.177804737263038</v>
      </c>
      <c r="DG546" s="11">
        <f>CC546</f>
        <v>75.185806583891022</v>
      </c>
      <c r="DH546" s="11">
        <f>CO546</f>
        <v>104.04118144141093</v>
      </c>
      <c r="DI546" s="11">
        <f>DA546</f>
        <v>132.21786011127642</v>
      </c>
    </row>
    <row r="547" spans="5:113" outlineLevel="1">
      <c r="E547" s="698"/>
      <c r="F547" s="12" t="s">
        <v>215</v>
      </c>
      <c r="I547" s="609" t="s">
        <v>736</v>
      </c>
      <c r="O547" s="696"/>
      <c r="P547" s="696"/>
      <c r="Q547" s="696"/>
      <c r="R547" s="696"/>
      <c r="S547" s="696"/>
      <c r="T547" s="696"/>
      <c r="U547" s="696"/>
      <c r="V547" s="696"/>
      <c r="W547" s="696"/>
      <c r="X547" s="696"/>
      <c r="Y547" s="696"/>
      <c r="Z547" s="697"/>
      <c r="AA547" s="697"/>
      <c r="AB547" s="697"/>
      <c r="AC547" s="697"/>
      <c r="AD547" s="697"/>
      <c r="AE547" s="697"/>
      <c r="AF547" s="697"/>
      <c r="AG547" s="697"/>
      <c r="AH547" s="697"/>
      <c r="AI547" s="697"/>
      <c r="AJ547" s="697"/>
      <c r="AK547" s="697"/>
      <c r="AL547" s="697"/>
      <c r="AM547" s="697"/>
      <c r="AN547" s="697"/>
      <c r="AO547" s="697"/>
      <c r="AP547" s="702"/>
      <c r="AQ547" s="702"/>
      <c r="AR547" s="702">
        <f t="shared" ref="AR547:DA547" si="579">AR551+AR553</f>
        <v>2.2042500000000003E-2</v>
      </c>
      <c r="AS547" s="702">
        <f t="shared" si="579"/>
        <v>6.3024111413043482E-2</v>
      </c>
      <c r="AT547" s="702">
        <f t="shared" si="579"/>
        <v>9.8372252079713077E-2</v>
      </c>
      <c r="AU547" s="702">
        <f t="shared" si="579"/>
        <v>0.14876164278530443</v>
      </c>
      <c r="AV547" s="702">
        <f t="shared" si="579"/>
        <v>0.20193638304993983</v>
      </c>
      <c r="AW547" s="702">
        <f t="shared" si="579"/>
        <v>0.25312886625079545</v>
      </c>
      <c r="AX547" s="702">
        <f t="shared" si="579"/>
        <v>0.30405527127568188</v>
      </c>
      <c r="AY547" s="702">
        <f t="shared" si="579"/>
        <v>0.35476405855408177</v>
      </c>
      <c r="AZ547" s="702">
        <f t="shared" si="579"/>
        <v>0.40636322894903593</v>
      </c>
      <c r="BA547" s="702">
        <f t="shared" si="579"/>
        <v>0.46034259385739684</v>
      </c>
      <c r="BB547" s="702">
        <f t="shared" si="579"/>
        <v>0.51768511582980525</v>
      </c>
      <c r="BC547" s="702">
        <f t="shared" si="579"/>
        <v>0.57967445709668253</v>
      </c>
      <c r="BD547" s="702">
        <f t="shared" si="579"/>
        <v>0.64708626429654048</v>
      </c>
      <c r="BE547" s="702">
        <f t="shared" si="579"/>
        <v>0.7197192798015084</v>
      </c>
      <c r="BF547" s="702">
        <f t="shared" si="579"/>
        <v>0.9841064419910005</v>
      </c>
      <c r="BG547" s="702">
        <f t="shared" si="579"/>
        <v>1.2044246835628749</v>
      </c>
      <c r="BH547" s="702">
        <f t="shared" si="579"/>
        <v>1.4006300844381343</v>
      </c>
      <c r="BI547" s="702">
        <f t="shared" si="579"/>
        <v>1.5582141233659508</v>
      </c>
      <c r="BJ547" s="702">
        <f t="shared" si="579"/>
        <v>1.6975590177141795</v>
      </c>
      <c r="BK547" s="702">
        <f t="shared" si="579"/>
        <v>1.8270748634515988</v>
      </c>
      <c r="BL547" s="702">
        <f t="shared" si="579"/>
        <v>1.9526742746887551</v>
      </c>
      <c r="BM547" s="702">
        <f t="shared" si="579"/>
        <v>2.0683750142204387</v>
      </c>
      <c r="BN547" s="702">
        <f t="shared" si="579"/>
        <v>2.1802150165302088</v>
      </c>
      <c r="BO547" s="702">
        <f t="shared" si="579"/>
        <v>2.2970064501866525</v>
      </c>
      <c r="BP547" s="702">
        <f t="shared" si="579"/>
        <v>2.4164486271444585</v>
      </c>
      <c r="BQ547" s="702">
        <f t="shared" si="579"/>
        <v>2.5368569932625933</v>
      </c>
      <c r="BR547" s="702">
        <f t="shared" si="579"/>
        <v>2.6567004116865967</v>
      </c>
      <c r="BS547" s="702">
        <f t="shared" si="579"/>
        <v>2.7738930385903271</v>
      </c>
      <c r="BT547" s="702">
        <f t="shared" si="579"/>
        <v>2.8908404631919669</v>
      </c>
      <c r="BU547" s="702">
        <f t="shared" si="579"/>
        <v>3.0075819933202683</v>
      </c>
      <c r="BV547" s="702">
        <f t="shared" si="579"/>
        <v>3.1239591829350055</v>
      </c>
      <c r="BW547" s="702">
        <f t="shared" si="579"/>
        <v>3.2401550953070988</v>
      </c>
      <c r="BX547" s="702">
        <f t="shared" si="579"/>
        <v>3.3662205892216104</v>
      </c>
      <c r="BY547" s="702">
        <f t="shared" si="579"/>
        <v>3.5010295567465253</v>
      </c>
      <c r="BZ547" s="702">
        <f t="shared" si="579"/>
        <v>3.6332877359176274</v>
      </c>
      <c r="CA547" s="702">
        <f t="shared" si="579"/>
        <v>3.7647064030175716</v>
      </c>
      <c r="CB547" s="702">
        <f t="shared" si="579"/>
        <v>3.8959348361751962</v>
      </c>
      <c r="CC547" s="702">
        <f t="shared" si="579"/>
        <v>4.0273498073048382</v>
      </c>
      <c r="CD547" s="702">
        <f t="shared" si="579"/>
        <v>4.1724067662427942</v>
      </c>
      <c r="CE547" s="702">
        <f t="shared" si="579"/>
        <v>4.3240193392748818</v>
      </c>
      <c r="CF547" s="702">
        <f t="shared" si="579"/>
        <v>4.4657091182905031</v>
      </c>
      <c r="CG547" s="702">
        <f t="shared" si="579"/>
        <v>4.6045145512373722</v>
      </c>
      <c r="CH547" s="702">
        <f t="shared" si="579"/>
        <v>4.7421813613413342</v>
      </c>
      <c r="CI547" s="702">
        <f t="shared" si="579"/>
        <v>4.879679068051562</v>
      </c>
      <c r="CJ547" s="702">
        <f t="shared" si="579"/>
        <v>5.0185310523603359</v>
      </c>
      <c r="CK547" s="702">
        <f t="shared" si="579"/>
        <v>5.1523808454854105</v>
      </c>
      <c r="CL547" s="702">
        <f t="shared" si="579"/>
        <v>5.2785052895713083</v>
      </c>
      <c r="CM547" s="702">
        <f t="shared" si="579"/>
        <v>5.4027317088909026</v>
      </c>
      <c r="CN547" s="702">
        <f t="shared" si="579"/>
        <v>5.5260493976987508</v>
      </c>
      <c r="CO547" s="702">
        <f t="shared" si="579"/>
        <v>5.6490114414006101</v>
      </c>
      <c r="CP547" s="702">
        <f t="shared" si="579"/>
        <v>5.7719068090166106</v>
      </c>
      <c r="CQ547" s="702">
        <f t="shared" si="579"/>
        <v>5.8948710920085414</v>
      </c>
      <c r="CR547" s="702">
        <f t="shared" si="579"/>
        <v>6.0181434548560535</v>
      </c>
      <c r="CS547" s="702">
        <f t="shared" si="579"/>
        <v>6.1417799203908547</v>
      </c>
      <c r="CT547" s="702">
        <f t="shared" si="579"/>
        <v>6.2655850670414708</v>
      </c>
      <c r="CU547" s="702">
        <f t="shared" si="579"/>
        <v>6.3894817050344397</v>
      </c>
      <c r="CV547" s="702">
        <f t="shared" si="579"/>
        <v>6.5134191460442157</v>
      </c>
      <c r="CW547" s="702">
        <f t="shared" si="579"/>
        <v>6.6373668968413604</v>
      </c>
      <c r="CX547" s="702">
        <f t="shared" si="579"/>
        <v>6.7613083185665364</v>
      </c>
      <c r="CY547" s="702">
        <f t="shared" si="579"/>
        <v>6.8852316837290459</v>
      </c>
      <c r="CZ547" s="702">
        <f t="shared" si="579"/>
        <v>7.0091354301132629</v>
      </c>
      <c r="DA547" s="702">
        <f t="shared" si="579"/>
        <v>7.1451324854281193</v>
      </c>
      <c r="DC547" s="12">
        <f t="shared" ref="DC547:DC561" si="580">SUM(V547:AG547)</f>
        <v>0</v>
      </c>
      <c r="DD547" s="12">
        <f t="shared" ref="DD547:DD561" si="581">SUM(AH547:AS547)</f>
        <v>8.5066611413043489E-2</v>
      </c>
      <c r="DE547" s="12">
        <f t="shared" ref="DE547:DE561" si="582">SUM(AT547:BE547)</f>
        <v>4.6918894138264866</v>
      </c>
      <c r="DF547" s="12">
        <f t="shared" ref="DF547:DF561" si="583">SUM(BF547:BQ547)</f>
        <v>22.123585590556846</v>
      </c>
      <c r="DG547" s="12">
        <f t="shared" ref="DG547:DG561" si="584">SUM(BR547:CC547)</f>
        <v>39.881659113414628</v>
      </c>
      <c r="DH547" s="12">
        <f t="shared" ref="DH547:DH561" si="585">SUM(CD547:CO547)</f>
        <v>59.215719939845762</v>
      </c>
      <c r="DI547" s="12">
        <f t="shared" ref="DI547:DI578" si="586">SUM(CP547:DA547)</f>
        <v>77.433362009070507</v>
      </c>
    </row>
    <row r="548" spans="5:113" outlineLevel="1">
      <c r="E548" s="698"/>
      <c r="F548" s="12" t="s">
        <v>99</v>
      </c>
      <c r="I548" s="609" t="s">
        <v>736</v>
      </c>
      <c r="O548" s="696"/>
      <c r="P548" s="696"/>
      <c r="Q548" s="696"/>
      <c r="R548" s="696"/>
      <c r="S548" s="696"/>
      <c r="T548" s="696"/>
      <c r="U548" s="696"/>
      <c r="V548" s="696"/>
      <c r="W548" s="696"/>
      <c r="X548" s="696"/>
      <c r="Y548" s="696"/>
      <c r="Z548" s="697"/>
      <c r="AA548" s="697"/>
      <c r="AB548" s="697"/>
      <c r="AC548" s="697"/>
      <c r="AD548" s="697"/>
      <c r="AE548" s="697"/>
      <c r="AF548" s="697"/>
      <c r="AG548" s="697"/>
      <c r="AH548" s="697"/>
      <c r="AI548" s="697"/>
      <c r="AJ548" s="697"/>
      <c r="AK548" s="697"/>
      <c r="AL548" s="697"/>
      <c r="AM548" s="697"/>
      <c r="AN548" s="697"/>
      <c r="AO548" s="697"/>
      <c r="AP548" s="702"/>
      <c r="AQ548" s="702"/>
      <c r="AR548" s="702">
        <f t="shared" ref="AR548:DA548" si="587">AR552</f>
        <v>-2.7500000000000007E-3</v>
      </c>
      <c r="AS548" s="702">
        <f t="shared" si="587"/>
        <v>-5.5916666666666675E-3</v>
      </c>
      <c r="AT548" s="702">
        <f t="shared" si="587"/>
        <v>-1.1832925347222223E-2</v>
      </c>
      <c r="AU548" s="702">
        <f t="shared" si="587"/>
        <v>-1.9274601996527776E-2</v>
      </c>
      <c r="AV548" s="702">
        <f t="shared" si="587"/>
        <v>-2.7795692556423612E-2</v>
      </c>
      <c r="AW548" s="702">
        <f t="shared" si="587"/>
        <v>-3.7077561461588547E-2</v>
      </c>
      <c r="AX548" s="702">
        <f t="shared" si="587"/>
        <v>-4.6944959151095915E-2</v>
      </c>
      <c r="AY548" s="702">
        <f t="shared" si="587"/>
        <v>-5.7136910866436082E-2</v>
      </c>
      <c r="AZ548" s="702">
        <f t="shared" si="587"/>
        <v>-6.7494989240428738E-2</v>
      </c>
      <c r="BA548" s="702">
        <f t="shared" si="587"/>
        <v>-7.8040110944562174E-2</v>
      </c>
      <c r="BB548" s="702">
        <f t="shared" si="587"/>
        <v>-8.8786024043324072E-2</v>
      </c>
      <c r="BC548" s="702">
        <f t="shared" si="587"/>
        <v>-9.9804095297028647E-2</v>
      </c>
      <c r="BD548" s="702">
        <f t="shared" si="587"/>
        <v>-0.11123447322139461</v>
      </c>
      <c r="BE548" s="702">
        <f t="shared" si="587"/>
        <v>-0.12310649800309235</v>
      </c>
      <c r="BF548" s="702">
        <f t="shared" si="587"/>
        <v>-0.1510836681923253</v>
      </c>
      <c r="BG548" s="702">
        <f t="shared" si="587"/>
        <v>-0.18929644539131188</v>
      </c>
      <c r="BH548" s="702">
        <f t="shared" si="587"/>
        <v>-0.21873675684672358</v>
      </c>
      <c r="BI548" s="702">
        <f t="shared" si="587"/>
        <v>-0.24352626035087951</v>
      </c>
      <c r="BJ548" s="702">
        <f t="shared" si="587"/>
        <v>-0.26589535156140348</v>
      </c>
      <c r="BK548" s="702">
        <f t="shared" si="587"/>
        <v>-0.28702692358643078</v>
      </c>
      <c r="BL548" s="702">
        <f t="shared" si="587"/>
        <v>-0.30771992571517248</v>
      </c>
      <c r="BM548" s="702">
        <f t="shared" si="587"/>
        <v>-0.32744303108582701</v>
      </c>
      <c r="BN548" s="702">
        <f t="shared" si="587"/>
        <v>-0.34600887029475041</v>
      </c>
      <c r="BO548" s="702">
        <f t="shared" si="587"/>
        <v>-0.36468649621277938</v>
      </c>
      <c r="BP548" s="702">
        <f t="shared" si="587"/>
        <v>-0.38367615209812894</v>
      </c>
      <c r="BQ548" s="702">
        <f t="shared" si="587"/>
        <v>-0.4030709184015972</v>
      </c>
      <c r="BR548" s="702">
        <f t="shared" si="587"/>
        <v>-0.4227819702682496</v>
      </c>
      <c r="BS548" s="702">
        <f t="shared" si="587"/>
        <v>-0.44229765303020324</v>
      </c>
      <c r="BT548" s="702">
        <f t="shared" si="587"/>
        <v>-0.46175531881023374</v>
      </c>
      <c r="BU548" s="702">
        <f t="shared" si="587"/>
        <v>-0.48120955609002936</v>
      </c>
      <c r="BV548" s="702">
        <f t="shared" si="587"/>
        <v>-0.50063452654162666</v>
      </c>
      <c r="BW548" s="702">
        <f t="shared" si="587"/>
        <v>-0.52003091738606155</v>
      </c>
      <c r="BX548" s="702">
        <f t="shared" si="587"/>
        <v>-0.53940260129495143</v>
      </c>
      <c r="BY548" s="702">
        <f t="shared" si="587"/>
        <v>-0.55875961906315086</v>
      </c>
      <c r="BZ548" s="702">
        <f t="shared" si="587"/>
        <v>-0.57812364867750288</v>
      </c>
      <c r="CA548" s="702">
        <f t="shared" si="587"/>
        <v>-0.59749178912045786</v>
      </c>
      <c r="CB548" s="702">
        <f t="shared" si="587"/>
        <v>-0.61686239519321917</v>
      </c>
      <c r="CC548" s="702">
        <f t="shared" si="587"/>
        <v>-0.63623611209690356</v>
      </c>
      <c r="CD548" s="702">
        <f t="shared" si="587"/>
        <v>-0.65639428279410372</v>
      </c>
      <c r="CE548" s="702">
        <f t="shared" si="587"/>
        <v>-0.67698479160474168</v>
      </c>
      <c r="CF548" s="702">
        <f t="shared" si="587"/>
        <v>-0.6970371486890975</v>
      </c>
      <c r="CG548" s="702">
        <f t="shared" si="587"/>
        <v>-0.71679989704649139</v>
      </c>
      <c r="CH548" s="702">
        <f t="shared" si="587"/>
        <v>-0.73640553079850335</v>
      </c>
      <c r="CI548" s="702">
        <f t="shared" si="587"/>
        <v>-0.75592519990711182</v>
      </c>
      <c r="CJ548" s="702">
        <f t="shared" si="587"/>
        <v>-0.77636461327607165</v>
      </c>
      <c r="CK548" s="702">
        <f t="shared" si="587"/>
        <v>-0.79729480875589409</v>
      </c>
      <c r="CL548" s="702">
        <f t="shared" si="587"/>
        <v>-0.81754238344965513</v>
      </c>
      <c r="CM548" s="702">
        <f t="shared" si="587"/>
        <v>-0.83744947888114274</v>
      </c>
      <c r="CN548" s="702">
        <f t="shared" si="587"/>
        <v>-0.85717705785785359</v>
      </c>
      <c r="CO548" s="702">
        <f t="shared" si="587"/>
        <v>-0.87680913625914814</v>
      </c>
      <c r="CP548" s="702">
        <f t="shared" si="587"/>
        <v>-0.89638944088878858</v>
      </c>
      <c r="CQ548" s="702">
        <f t="shared" si="587"/>
        <v>-0.91592098547154466</v>
      </c>
      <c r="CR548" s="702">
        <f t="shared" si="587"/>
        <v>-0.93543533758314712</v>
      </c>
      <c r="CS548" s="702">
        <f t="shared" si="587"/>
        <v>-0.9549737509686369</v>
      </c>
      <c r="CT548" s="702">
        <f t="shared" si="587"/>
        <v>-0.97453077184137415</v>
      </c>
      <c r="CU548" s="702">
        <f t="shared" si="587"/>
        <v>-0.99410079360554315</v>
      </c>
      <c r="CV548" s="702">
        <f t="shared" si="587"/>
        <v>-1.0136791570393813</v>
      </c>
      <c r="CW548" s="702">
        <f t="shared" si="587"/>
        <v>-1.033262478368693</v>
      </c>
      <c r="CX548" s="702">
        <f t="shared" si="587"/>
        <v>-1.0528488563588116</v>
      </c>
      <c r="CY548" s="702">
        <f t="shared" si="587"/>
        <v>-1.072436155349004</v>
      </c>
      <c r="CZ548" s="702">
        <f t="shared" si="587"/>
        <v>-1.0920225641021732</v>
      </c>
      <c r="DA548" s="702">
        <f t="shared" si="587"/>
        <v>-1.1205997215519936</v>
      </c>
      <c r="DC548" s="12">
        <f t="shared" si="580"/>
        <v>0</v>
      </c>
      <c r="DD548" s="12">
        <f t="shared" si="581"/>
        <v>-8.3416666666666674E-3</v>
      </c>
      <c r="DE548" s="12">
        <f t="shared" si="582"/>
        <v>-0.76852884212912476</v>
      </c>
      <c r="DF548" s="12">
        <f t="shared" si="583"/>
        <v>-3.4881707997373299</v>
      </c>
      <c r="DG548" s="12">
        <f t="shared" si="584"/>
        <v>-6.3555861075725888</v>
      </c>
      <c r="DH548" s="12">
        <f t="shared" si="585"/>
        <v>-9.2021843293198149</v>
      </c>
      <c r="DI548" s="12">
        <f t="shared" si="586"/>
        <v>-12.056200013129093</v>
      </c>
    </row>
    <row r="549" spans="5:113" outlineLevel="1">
      <c r="E549" s="698" t="s">
        <v>217</v>
      </c>
      <c r="F549" s="698"/>
      <c r="G549" s="698"/>
      <c r="H549" s="703"/>
      <c r="I549" s="609" t="s">
        <v>736</v>
      </c>
      <c r="O549" s="696"/>
      <c r="P549" s="696"/>
      <c r="Q549" s="696"/>
      <c r="R549" s="696"/>
      <c r="S549" s="696"/>
      <c r="T549" s="696"/>
      <c r="U549" s="696"/>
      <c r="V549" s="696"/>
      <c r="W549" s="696"/>
      <c r="X549" s="696"/>
      <c r="Y549" s="696"/>
      <c r="Z549" s="697"/>
      <c r="AA549" s="697"/>
      <c r="AB549" s="697"/>
      <c r="AC549" s="697"/>
      <c r="AD549" s="697"/>
      <c r="AE549" s="697"/>
      <c r="AF549" s="697"/>
      <c r="AG549" s="697"/>
      <c r="AH549" s="697"/>
      <c r="AI549" s="697"/>
      <c r="AJ549" s="697"/>
      <c r="AK549" s="697"/>
      <c r="AL549" s="697"/>
      <c r="AM549" s="697"/>
      <c r="AN549" s="697"/>
      <c r="AO549" s="697"/>
      <c r="AP549" s="708"/>
      <c r="AQ549" s="708"/>
      <c r="AR549" s="708">
        <f t="shared" ref="AR549:DA549" si="588">AR550+AR553</f>
        <v>1.9292500000000004E-2</v>
      </c>
      <c r="AS549" s="708">
        <f t="shared" si="588"/>
        <v>5.7432444746376814E-2</v>
      </c>
      <c r="AT549" s="708">
        <f t="shared" si="588"/>
        <v>8.6539326732490846E-2</v>
      </c>
      <c r="AU549" s="708">
        <f t="shared" si="588"/>
        <v>0.12948704078877665</v>
      </c>
      <c r="AV549" s="708">
        <f t="shared" si="588"/>
        <v>0.17414069049351621</v>
      </c>
      <c r="AW549" s="708">
        <f t="shared" si="588"/>
        <v>0.21605130478920689</v>
      </c>
      <c r="AX549" s="708">
        <f t="shared" si="588"/>
        <v>0.25711031212458602</v>
      </c>
      <c r="AY549" s="708">
        <f t="shared" si="588"/>
        <v>0.29762714768764575</v>
      </c>
      <c r="AZ549" s="708">
        <f t="shared" si="588"/>
        <v>0.33886823970860719</v>
      </c>
      <c r="BA549" s="708">
        <f t="shared" si="588"/>
        <v>0.38230248291283464</v>
      </c>
      <c r="BB549" s="708">
        <f t="shared" si="588"/>
        <v>0.42889909178648117</v>
      </c>
      <c r="BC549" s="708">
        <f t="shared" si="588"/>
        <v>0.47987036179965392</v>
      </c>
      <c r="BD549" s="708">
        <f t="shared" si="588"/>
        <v>0.5358517910751458</v>
      </c>
      <c r="BE549" s="708">
        <f t="shared" si="588"/>
        <v>0.59661278179841593</v>
      </c>
      <c r="BF549" s="708">
        <f t="shared" si="588"/>
        <v>0.83302277379867518</v>
      </c>
      <c r="BG549" s="708">
        <f t="shared" si="588"/>
        <v>1.0151282381715632</v>
      </c>
      <c r="BH549" s="708">
        <f t="shared" si="588"/>
        <v>1.181893327591411</v>
      </c>
      <c r="BI549" s="708">
        <f t="shared" si="588"/>
        <v>1.3146878630150711</v>
      </c>
      <c r="BJ549" s="708">
        <f t="shared" si="588"/>
        <v>1.431663666152776</v>
      </c>
      <c r="BK549" s="708">
        <f t="shared" si="588"/>
        <v>1.5400479398651681</v>
      </c>
      <c r="BL549" s="708">
        <f t="shared" si="588"/>
        <v>1.6449543489735827</v>
      </c>
      <c r="BM549" s="708">
        <f t="shared" si="588"/>
        <v>1.7409319831346117</v>
      </c>
      <c r="BN549" s="708">
        <f t="shared" si="588"/>
        <v>1.8342061462354584</v>
      </c>
      <c r="BO549" s="708">
        <f t="shared" si="588"/>
        <v>1.9323199539738731</v>
      </c>
      <c r="BP549" s="708">
        <f t="shared" si="588"/>
        <v>2.0327724750463299</v>
      </c>
      <c r="BQ549" s="708">
        <f t="shared" si="588"/>
        <v>2.1337860748609958</v>
      </c>
      <c r="BR549" s="708">
        <f t="shared" si="588"/>
        <v>2.2339184414183468</v>
      </c>
      <c r="BS549" s="708">
        <f t="shared" si="588"/>
        <v>2.3315953855601239</v>
      </c>
      <c r="BT549" s="708">
        <f t="shared" si="588"/>
        <v>2.429085144381733</v>
      </c>
      <c r="BU549" s="708">
        <f t="shared" si="588"/>
        <v>2.526372437230239</v>
      </c>
      <c r="BV549" s="708">
        <f t="shared" si="588"/>
        <v>2.623324656393379</v>
      </c>
      <c r="BW549" s="708">
        <f t="shared" si="588"/>
        <v>2.7201241779210372</v>
      </c>
      <c r="BX549" s="708">
        <f t="shared" si="588"/>
        <v>2.8268179879266588</v>
      </c>
      <c r="BY549" s="708">
        <f t="shared" si="588"/>
        <v>2.9422699376833745</v>
      </c>
      <c r="BZ549" s="708">
        <f t="shared" si="588"/>
        <v>3.0551640872401249</v>
      </c>
      <c r="CA549" s="708">
        <f t="shared" si="588"/>
        <v>3.167214613897114</v>
      </c>
      <c r="CB549" s="708">
        <f t="shared" si="588"/>
        <v>3.2790724409819774</v>
      </c>
      <c r="CC549" s="708">
        <f t="shared" si="588"/>
        <v>3.3911136952079346</v>
      </c>
      <c r="CD549" s="708">
        <f t="shared" si="588"/>
        <v>3.5160124834486899</v>
      </c>
      <c r="CE549" s="708">
        <f t="shared" si="588"/>
        <v>3.6470345476701396</v>
      </c>
      <c r="CF549" s="708">
        <f t="shared" si="588"/>
        <v>3.7686719696014053</v>
      </c>
      <c r="CG549" s="708">
        <f t="shared" si="588"/>
        <v>3.8877146541908809</v>
      </c>
      <c r="CH549" s="708">
        <f t="shared" si="588"/>
        <v>4.0057758305428308</v>
      </c>
      <c r="CI549" s="708">
        <f t="shared" si="588"/>
        <v>4.1237538681444494</v>
      </c>
      <c r="CJ549" s="708">
        <f t="shared" si="588"/>
        <v>4.2421664390842642</v>
      </c>
      <c r="CK549" s="708">
        <f t="shared" si="588"/>
        <v>4.3550860367295154</v>
      </c>
      <c r="CL549" s="708">
        <f t="shared" si="588"/>
        <v>4.4609629061216527</v>
      </c>
      <c r="CM549" s="708">
        <f t="shared" si="588"/>
        <v>4.5652822300097595</v>
      </c>
      <c r="CN549" s="708">
        <f t="shared" si="588"/>
        <v>4.6688723398408971</v>
      </c>
      <c r="CO549" s="708">
        <f t="shared" si="588"/>
        <v>4.7722023051414624</v>
      </c>
      <c r="CP549" s="708">
        <f t="shared" si="588"/>
        <v>4.8755173681278219</v>
      </c>
      <c r="CQ549" s="708">
        <f t="shared" si="588"/>
        <v>4.9789501065369972</v>
      </c>
      <c r="CR549" s="708">
        <f t="shared" si="588"/>
        <v>5.0827081172729063</v>
      </c>
      <c r="CS549" s="708">
        <f t="shared" si="588"/>
        <v>5.1868061694222174</v>
      </c>
      <c r="CT549" s="708">
        <f t="shared" si="588"/>
        <v>5.2910542952000972</v>
      </c>
      <c r="CU549" s="708">
        <f t="shared" si="588"/>
        <v>5.3953809114288962</v>
      </c>
      <c r="CV549" s="708">
        <f t="shared" si="588"/>
        <v>5.4997399890048344</v>
      </c>
      <c r="CW549" s="708">
        <f t="shared" si="588"/>
        <v>5.6041044184726676</v>
      </c>
      <c r="CX549" s="708">
        <f t="shared" si="588"/>
        <v>5.708459462207724</v>
      </c>
      <c r="CY549" s="708">
        <f t="shared" si="588"/>
        <v>5.8127955283800414</v>
      </c>
      <c r="CZ549" s="708">
        <f t="shared" si="588"/>
        <v>5.9171128660110899</v>
      </c>
      <c r="DA549" s="708">
        <f t="shared" si="588"/>
        <v>6.0245327638761257</v>
      </c>
      <c r="DB549" s="698"/>
      <c r="DC549" s="14">
        <f t="shared" si="580"/>
        <v>0</v>
      </c>
      <c r="DD549" s="14">
        <f t="shared" si="581"/>
        <v>7.6724944746376811E-2</v>
      </c>
      <c r="DE549" s="14">
        <f t="shared" si="582"/>
        <v>3.9233605716973603</v>
      </c>
      <c r="DF549" s="14">
        <f t="shared" si="583"/>
        <v>18.635414790819517</v>
      </c>
      <c r="DG549" s="14">
        <f t="shared" si="584"/>
        <v>33.526073005842044</v>
      </c>
      <c r="DH549" s="14">
        <f t="shared" si="585"/>
        <v>50.013535610525942</v>
      </c>
      <c r="DI549" s="14">
        <f t="shared" si="586"/>
        <v>65.377161995941421</v>
      </c>
    </row>
    <row r="550" spans="5:113" outlineLevel="1">
      <c r="E550" s="698"/>
      <c r="F550" s="14" t="s">
        <v>218</v>
      </c>
      <c r="G550" s="698"/>
      <c r="H550" s="703"/>
      <c r="I550" s="609" t="s">
        <v>736</v>
      </c>
      <c r="O550" s="696"/>
      <c r="P550" s="696"/>
      <c r="Q550" s="696"/>
      <c r="R550" s="696"/>
      <c r="S550" s="696"/>
      <c r="T550" s="696"/>
      <c r="U550" s="696"/>
      <c r="V550" s="696"/>
      <c r="W550" s="696"/>
      <c r="X550" s="696"/>
      <c r="Y550" s="696"/>
      <c r="Z550" s="697"/>
      <c r="AA550" s="697"/>
      <c r="AB550" s="697"/>
      <c r="AC550" s="697"/>
      <c r="AD550" s="697"/>
      <c r="AE550" s="697"/>
      <c r="AF550" s="697"/>
      <c r="AG550" s="697"/>
      <c r="AH550" s="697"/>
      <c r="AI550" s="697"/>
      <c r="AJ550" s="697"/>
      <c r="AK550" s="697"/>
      <c r="AL550" s="697"/>
      <c r="AM550" s="697"/>
      <c r="AN550" s="697"/>
      <c r="AO550" s="697"/>
      <c r="AP550" s="708"/>
      <c r="AQ550" s="708"/>
      <c r="AR550" s="708">
        <f t="shared" ref="AR550:DA550" si="589">AR551+AR552</f>
        <v>-2.7500000000000007E-3</v>
      </c>
      <c r="AS550" s="708">
        <f t="shared" si="589"/>
        <v>-1.4645552536231886E-3</v>
      </c>
      <c r="AT550" s="708">
        <f t="shared" si="589"/>
        <v>4.256386793745395E-3</v>
      </c>
      <c r="AU550" s="708">
        <f t="shared" si="589"/>
        <v>1.80836718284406E-2</v>
      </c>
      <c r="AV550" s="708">
        <f t="shared" si="589"/>
        <v>3.4727686583440484E-2</v>
      </c>
      <c r="AW550" s="708">
        <f t="shared" si="589"/>
        <v>4.9704598857445902E-2</v>
      </c>
      <c r="AX550" s="708">
        <f t="shared" si="589"/>
        <v>6.4702636839560984E-2</v>
      </c>
      <c r="AY550" s="708">
        <f t="shared" si="589"/>
        <v>7.9848471188467912E-2</v>
      </c>
      <c r="AZ550" s="708">
        <f t="shared" si="589"/>
        <v>9.5587837963074018E-2</v>
      </c>
      <c r="BA550" s="708">
        <f t="shared" si="589"/>
        <v>0.11179610566294026</v>
      </c>
      <c r="BB550" s="708">
        <f t="shared" si="589"/>
        <v>0.1292790178481143</v>
      </c>
      <c r="BC550" s="708">
        <f t="shared" si="589"/>
        <v>0.14836340192111691</v>
      </c>
      <c r="BD550" s="708">
        <f t="shared" si="589"/>
        <v>0.16938455946650122</v>
      </c>
      <c r="BE550" s="708">
        <f t="shared" si="589"/>
        <v>0.19190103917084628</v>
      </c>
      <c r="BF550" s="708">
        <f t="shared" si="589"/>
        <v>0.23644431956002213</v>
      </c>
      <c r="BG550" s="708">
        <f t="shared" si="589"/>
        <v>0.29563308247415188</v>
      </c>
      <c r="BH550" s="708">
        <f t="shared" si="589"/>
        <v>0.39106459867825516</v>
      </c>
      <c r="BI550" s="708">
        <f t="shared" si="589"/>
        <v>0.46351642298113271</v>
      </c>
      <c r="BJ550" s="708">
        <f t="shared" si="589"/>
        <v>0.51979221354462757</v>
      </c>
      <c r="BK550" s="708">
        <f t="shared" si="589"/>
        <v>0.57197200751085042</v>
      </c>
      <c r="BL550" s="708">
        <f t="shared" si="589"/>
        <v>0.61729659329101161</v>
      </c>
      <c r="BM550" s="708">
        <f t="shared" si="589"/>
        <v>0.65747511473652831</v>
      </c>
      <c r="BN550" s="708">
        <f t="shared" si="589"/>
        <v>0.70001398022258665</v>
      </c>
      <c r="BO550" s="708">
        <f t="shared" si="589"/>
        <v>0.74191841689638593</v>
      </c>
      <c r="BP550" s="708">
        <f t="shared" si="589"/>
        <v>0.78224282781649634</v>
      </c>
      <c r="BQ550" s="708">
        <f t="shared" si="589"/>
        <v>0.82459428789164768</v>
      </c>
      <c r="BR550" s="708">
        <f t="shared" si="589"/>
        <v>0.86448181738890617</v>
      </c>
      <c r="BS550" s="708">
        <f t="shared" si="589"/>
        <v>0.90575425787667974</v>
      </c>
      <c r="BT550" s="708">
        <f t="shared" si="589"/>
        <v>0.94660470346273229</v>
      </c>
      <c r="BU550" s="708">
        <f t="shared" si="589"/>
        <v>0.98706739051482018</v>
      </c>
      <c r="BV550" s="708">
        <f t="shared" si="589"/>
        <v>1.0273998753163647</v>
      </c>
      <c r="BW550" s="708">
        <f t="shared" si="589"/>
        <v>1.0677187363229004</v>
      </c>
      <c r="BX550" s="708">
        <f t="shared" si="589"/>
        <v>1.1178591329149405</v>
      </c>
      <c r="BY550" s="708">
        <f t="shared" si="589"/>
        <v>1.1661420599205554</v>
      </c>
      <c r="BZ550" s="708">
        <f t="shared" si="589"/>
        <v>1.2138492321339407</v>
      </c>
      <c r="CA550" s="708">
        <f t="shared" si="589"/>
        <v>1.2613139990924926</v>
      </c>
      <c r="CB550" s="708">
        <f t="shared" si="589"/>
        <v>1.3089000556713923</v>
      </c>
      <c r="CC550" s="708">
        <f t="shared" si="589"/>
        <v>1.3565849091477566</v>
      </c>
      <c r="CD550" s="708">
        <f t="shared" si="589"/>
        <v>1.4169205651090326</v>
      </c>
      <c r="CE550" s="708">
        <f t="shared" si="589"/>
        <v>1.4693678785280606</v>
      </c>
      <c r="CF550" s="708">
        <f t="shared" si="589"/>
        <v>1.5230622105450555</v>
      </c>
      <c r="CG550" s="708">
        <f t="shared" si="589"/>
        <v>1.5749754970349508</v>
      </c>
      <c r="CH550" s="708">
        <f t="shared" si="589"/>
        <v>1.6262843045486624</v>
      </c>
      <c r="CI550" s="708">
        <f t="shared" si="589"/>
        <v>1.6773543084780305</v>
      </c>
      <c r="CJ550" s="708">
        <f t="shared" si="589"/>
        <v>1.728518764456104</v>
      </c>
      <c r="CK550" s="708">
        <f t="shared" si="589"/>
        <v>1.7729614895937034</v>
      </c>
      <c r="CL550" s="708">
        <f t="shared" si="589"/>
        <v>1.8199739414798692</v>
      </c>
      <c r="CM550" s="708">
        <f t="shared" si="589"/>
        <v>1.8651652407470389</v>
      </c>
      <c r="CN550" s="708">
        <f t="shared" si="589"/>
        <v>1.909527035486184</v>
      </c>
      <c r="CO550" s="708">
        <f t="shared" si="589"/>
        <v>1.9535069342006883</v>
      </c>
      <c r="CP550" s="708">
        <f t="shared" si="589"/>
        <v>1.9973507370296071</v>
      </c>
      <c r="CQ550" s="708">
        <f t="shared" si="589"/>
        <v>2.0411828411247028</v>
      </c>
      <c r="CR550" s="708">
        <f t="shared" si="589"/>
        <v>2.085221461002174</v>
      </c>
      <c r="CS550" s="708">
        <f t="shared" si="589"/>
        <v>2.1292400428945641</v>
      </c>
      <c r="CT550" s="708">
        <f t="shared" si="589"/>
        <v>2.1733434992909659</v>
      </c>
      <c r="CU550" s="708">
        <f t="shared" si="589"/>
        <v>2.2174980326850235</v>
      </c>
      <c r="CV550" s="708">
        <f t="shared" si="589"/>
        <v>2.2616797413609211</v>
      </c>
      <c r="CW550" s="708">
        <f t="shared" si="589"/>
        <v>2.3058720093848084</v>
      </c>
      <c r="CX550" s="708">
        <f t="shared" si="589"/>
        <v>2.3500649209411062</v>
      </c>
      <c r="CY550" s="708">
        <f t="shared" si="589"/>
        <v>2.3942498947451063</v>
      </c>
      <c r="CZ550" s="708">
        <f t="shared" si="589"/>
        <v>2.4384317267326283</v>
      </c>
      <c r="DA550" s="708">
        <f t="shared" si="589"/>
        <v>2.4841070937303456</v>
      </c>
      <c r="DB550" s="698"/>
      <c r="DC550" s="14">
        <f t="shared" si="580"/>
        <v>0</v>
      </c>
      <c r="DD550" s="14">
        <f t="shared" si="581"/>
        <v>-4.2145552536231893E-3</v>
      </c>
      <c r="DE550" s="14">
        <f t="shared" si="582"/>
        <v>1.0976354141236944</v>
      </c>
      <c r="DF550" s="14">
        <f t="shared" si="583"/>
        <v>6.801963865603696</v>
      </c>
      <c r="DG550" s="14">
        <f t="shared" si="584"/>
        <v>13.223676169763481</v>
      </c>
      <c r="DH550" s="14">
        <f t="shared" si="585"/>
        <v>20.337618170207378</v>
      </c>
      <c r="DI550" s="14">
        <f t="shared" si="586"/>
        <v>26.878242000921951</v>
      </c>
    </row>
    <row r="551" spans="5:113" outlineLevel="1">
      <c r="F551" s="126" t="s">
        <v>737</v>
      </c>
      <c r="I551" s="609" t="s">
        <v>736</v>
      </c>
      <c r="O551" s="696"/>
      <c r="P551" s="696"/>
      <c r="Q551" s="696"/>
      <c r="R551" s="696"/>
      <c r="S551" s="696"/>
      <c r="T551" s="696"/>
      <c r="U551" s="696"/>
      <c r="V551" s="696"/>
      <c r="W551" s="696"/>
      <c r="X551" s="696"/>
      <c r="Y551" s="696"/>
      <c r="Z551" s="697"/>
      <c r="AA551" s="697"/>
      <c r="AB551" s="697"/>
      <c r="AC551" s="697"/>
      <c r="AD551" s="697"/>
      <c r="AE551" s="697"/>
      <c r="AF551" s="697"/>
      <c r="AG551" s="697"/>
      <c r="AH551" s="697"/>
      <c r="AI551" s="697"/>
      <c r="AJ551" s="697"/>
      <c r="AK551" s="697"/>
      <c r="AL551" s="697"/>
      <c r="AM551" s="697"/>
      <c r="AN551" s="697"/>
      <c r="AO551" s="697"/>
      <c r="AP551" s="710"/>
      <c r="AQ551" s="710"/>
      <c r="AR551" s="710">
        <v>0</v>
      </c>
      <c r="AS551" s="710">
        <v>4.1271114130434789E-3</v>
      </c>
      <c r="AT551" s="710">
        <v>1.6089312140967617E-2</v>
      </c>
      <c r="AU551" s="710">
        <v>3.7358273824968376E-2</v>
      </c>
      <c r="AV551" s="710">
        <v>6.2523379139864096E-2</v>
      </c>
      <c r="AW551" s="710">
        <v>8.6782160319034449E-2</v>
      </c>
      <c r="AX551" s="710">
        <v>0.11164759599065691</v>
      </c>
      <c r="AY551" s="710">
        <v>0.13698538205490399</v>
      </c>
      <c r="AZ551" s="710">
        <v>0.16308282720350276</v>
      </c>
      <c r="BA551" s="710">
        <v>0.18983621660750244</v>
      </c>
      <c r="BB551" s="710">
        <v>0.21806504189143835</v>
      </c>
      <c r="BC551" s="710">
        <v>0.24816749721814554</v>
      </c>
      <c r="BD551" s="710">
        <v>0.28061903268789584</v>
      </c>
      <c r="BE551" s="710">
        <v>0.31500753717393865</v>
      </c>
      <c r="BF551" s="710">
        <v>0.38752798775234742</v>
      </c>
      <c r="BG551" s="710">
        <v>0.48492952786546373</v>
      </c>
      <c r="BH551" s="710">
        <v>0.60980135552497872</v>
      </c>
      <c r="BI551" s="710">
        <v>0.70704268333201226</v>
      </c>
      <c r="BJ551" s="710">
        <v>0.78568756510603099</v>
      </c>
      <c r="BK551" s="710">
        <v>0.8589989310972812</v>
      </c>
      <c r="BL551" s="710">
        <v>0.92501651900618409</v>
      </c>
      <c r="BM551" s="710">
        <v>0.98491814582235537</v>
      </c>
      <c r="BN551" s="710">
        <v>1.046022850517337</v>
      </c>
      <c r="BO551" s="710">
        <v>1.1066049131091653</v>
      </c>
      <c r="BP551" s="710">
        <v>1.1659189799146252</v>
      </c>
      <c r="BQ551" s="710">
        <v>1.2276652062932449</v>
      </c>
      <c r="BR551" s="710">
        <v>1.2872637876571558</v>
      </c>
      <c r="BS551" s="710">
        <v>1.3480519109068829</v>
      </c>
      <c r="BT551" s="710">
        <v>1.408360022272966</v>
      </c>
      <c r="BU551" s="710">
        <v>1.4682769466048495</v>
      </c>
      <c r="BV551" s="710">
        <v>1.5280344018579912</v>
      </c>
      <c r="BW551" s="710">
        <v>1.5877496537089619</v>
      </c>
      <c r="BX551" s="710">
        <v>1.6572617342098921</v>
      </c>
      <c r="BY551" s="710">
        <v>1.7249016789837064</v>
      </c>
      <c r="BZ551" s="710">
        <v>1.7919728808114435</v>
      </c>
      <c r="CA551" s="710">
        <v>1.8588057882129505</v>
      </c>
      <c r="CB551" s="710">
        <v>1.9257624508646114</v>
      </c>
      <c r="CC551" s="710">
        <v>1.9928210212446602</v>
      </c>
      <c r="CD551" s="710">
        <v>2.0733148479031365</v>
      </c>
      <c r="CE551" s="710">
        <v>2.1463526701328024</v>
      </c>
      <c r="CF551" s="710">
        <v>2.2200993592341529</v>
      </c>
      <c r="CG551" s="710">
        <v>2.291775394081442</v>
      </c>
      <c r="CH551" s="710">
        <v>2.3626898353471657</v>
      </c>
      <c r="CI551" s="710">
        <v>2.4332795083851422</v>
      </c>
      <c r="CJ551" s="710">
        <v>2.5048833777321757</v>
      </c>
      <c r="CK551" s="710">
        <v>2.5702562983495976</v>
      </c>
      <c r="CL551" s="710">
        <v>2.6375163249295244</v>
      </c>
      <c r="CM551" s="710">
        <v>2.7026147196281816</v>
      </c>
      <c r="CN551" s="710">
        <v>2.7667040933440377</v>
      </c>
      <c r="CO551" s="710">
        <v>2.8303160704598365</v>
      </c>
      <c r="CP551" s="710">
        <v>2.8937401779183958</v>
      </c>
      <c r="CQ551" s="710">
        <v>2.9571038265962475</v>
      </c>
      <c r="CR551" s="710">
        <v>3.0206567985853212</v>
      </c>
      <c r="CS551" s="710">
        <v>3.084213793863201</v>
      </c>
      <c r="CT551" s="710">
        <v>3.14787427113234</v>
      </c>
      <c r="CU551" s="710">
        <v>3.2115988262905666</v>
      </c>
      <c r="CV551" s="710">
        <v>3.2753588984003024</v>
      </c>
      <c r="CW551" s="710">
        <v>3.3391344877535016</v>
      </c>
      <c r="CX551" s="710">
        <v>3.4029137772999176</v>
      </c>
      <c r="CY551" s="710">
        <v>3.4666860500941103</v>
      </c>
      <c r="CZ551" s="710">
        <v>3.5304542908348018</v>
      </c>
      <c r="DA551" s="710">
        <v>3.6047068152823392</v>
      </c>
      <c r="DC551" s="12">
        <f t="shared" si="580"/>
        <v>0</v>
      </c>
      <c r="DD551" s="12">
        <f t="shared" si="581"/>
        <v>4.1271114130434789E-3</v>
      </c>
      <c r="DE551" s="12">
        <f t="shared" si="582"/>
        <v>1.8661642562528191</v>
      </c>
      <c r="DF551" s="12">
        <f t="shared" si="583"/>
        <v>10.290134665341027</v>
      </c>
      <c r="DG551" s="12">
        <f t="shared" si="584"/>
        <v>19.579262277336067</v>
      </c>
      <c r="DH551" s="12">
        <f t="shared" si="585"/>
        <v>29.539802499527198</v>
      </c>
      <c r="DI551" s="12">
        <f t="shared" si="586"/>
        <v>38.934442014051051</v>
      </c>
    </row>
    <row r="552" spans="5:113" outlineLevel="1">
      <c r="F552" s="126" t="s">
        <v>798</v>
      </c>
      <c r="I552" s="609" t="s">
        <v>736</v>
      </c>
      <c r="O552" s="696"/>
      <c r="P552" s="696"/>
      <c r="Q552" s="696"/>
      <c r="R552" s="696"/>
      <c r="S552" s="696"/>
      <c r="T552" s="696"/>
      <c r="U552" s="696"/>
      <c r="V552" s="696"/>
      <c r="W552" s="696"/>
      <c r="X552" s="696"/>
      <c r="Y552" s="696"/>
      <c r="Z552" s="697"/>
      <c r="AA552" s="697"/>
      <c r="AB552" s="697"/>
      <c r="AC552" s="697"/>
      <c r="AD552" s="697"/>
      <c r="AE552" s="697"/>
      <c r="AF552" s="697"/>
      <c r="AG552" s="697"/>
      <c r="AH552" s="697"/>
      <c r="AI552" s="697"/>
      <c r="AJ552" s="697"/>
      <c r="AK552" s="697"/>
      <c r="AL552" s="697"/>
      <c r="AM552" s="697"/>
      <c r="AN552" s="697"/>
      <c r="AO552" s="697"/>
      <c r="AP552" s="710"/>
      <c r="AQ552" s="710"/>
      <c r="AR552" s="710">
        <v>-2.7500000000000007E-3</v>
      </c>
      <c r="AS552" s="710">
        <v>-5.5916666666666675E-3</v>
      </c>
      <c r="AT552" s="710">
        <v>-1.1832925347222223E-2</v>
      </c>
      <c r="AU552" s="710">
        <v>-1.9274601996527776E-2</v>
      </c>
      <c r="AV552" s="710">
        <v>-2.7795692556423612E-2</v>
      </c>
      <c r="AW552" s="710">
        <v>-3.7077561461588547E-2</v>
      </c>
      <c r="AX552" s="710">
        <v>-4.6944959151095915E-2</v>
      </c>
      <c r="AY552" s="710">
        <v>-5.7136910866436082E-2</v>
      </c>
      <c r="AZ552" s="710">
        <v>-6.7494989240428738E-2</v>
      </c>
      <c r="BA552" s="710">
        <v>-7.8040110944562174E-2</v>
      </c>
      <c r="BB552" s="710">
        <v>-8.8786024043324072E-2</v>
      </c>
      <c r="BC552" s="710">
        <v>-9.9804095297028647E-2</v>
      </c>
      <c r="BD552" s="710">
        <v>-0.11123447322139461</v>
      </c>
      <c r="BE552" s="710">
        <v>-0.12310649800309235</v>
      </c>
      <c r="BF552" s="710">
        <v>-0.1510836681923253</v>
      </c>
      <c r="BG552" s="710">
        <v>-0.18929644539131188</v>
      </c>
      <c r="BH552" s="710">
        <v>-0.21873675684672358</v>
      </c>
      <c r="BI552" s="710">
        <v>-0.24352626035087951</v>
      </c>
      <c r="BJ552" s="710">
        <v>-0.26589535156140348</v>
      </c>
      <c r="BK552" s="710">
        <v>-0.28702692358643078</v>
      </c>
      <c r="BL552" s="710">
        <v>-0.30771992571517248</v>
      </c>
      <c r="BM552" s="710">
        <v>-0.32744303108582701</v>
      </c>
      <c r="BN552" s="710">
        <v>-0.34600887029475041</v>
      </c>
      <c r="BO552" s="710">
        <v>-0.36468649621277938</v>
      </c>
      <c r="BP552" s="710">
        <v>-0.38367615209812894</v>
      </c>
      <c r="BQ552" s="710">
        <v>-0.4030709184015972</v>
      </c>
      <c r="BR552" s="710">
        <v>-0.4227819702682496</v>
      </c>
      <c r="BS552" s="710">
        <v>-0.44229765303020324</v>
      </c>
      <c r="BT552" s="710">
        <v>-0.46175531881023374</v>
      </c>
      <c r="BU552" s="710">
        <v>-0.48120955609002936</v>
      </c>
      <c r="BV552" s="710">
        <v>-0.50063452654162666</v>
      </c>
      <c r="BW552" s="710">
        <v>-0.52003091738606155</v>
      </c>
      <c r="BX552" s="710">
        <v>-0.53940260129495143</v>
      </c>
      <c r="BY552" s="710">
        <v>-0.55875961906315086</v>
      </c>
      <c r="BZ552" s="710">
        <v>-0.57812364867750288</v>
      </c>
      <c r="CA552" s="710">
        <v>-0.59749178912045786</v>
      </c>
      <c r="CB552" s="710">
        <v>-0.61686239519321917</v>
      </c>
      <c r="CC552" s="710">
        <v>-0.63623611209690356</v>
      </c>
      <c r="CD552" s="710">
        <v>-0.65639428279410372</v>
      </c>
      <c r="CE552" s="710">
        <v>-0.67698479160474168</v>
      </c>
      <c r="CF552" s="710">
        <v>-0.6970371486890975</v>
      </c>
      <c r="CG552" s="710">
        <v>-0.71679989704649139</v>
      </c>
      <c r="CH552" s="710">
        <v>-0.73640553079850335</v>
      </c>
      <c r="CI552" s="710">
        <v>-0.75592519990711182</v>
      </c>
      <c r="CJ552" s="710">
        <v>-0.77636461327607165</v>
      </c>
      <c r="CK552" s="710">
        <v>-0.79729480875589409</v>
      </c>
      <c r="CL552" s="710">
        <v>-0.81754238344965513</v>
      </c>
      <c r="CM552" s="710">
        <v>-0.83744947888114274</v>
      </c>
      <c r="CN552" s="710">
        <v>-0.85717705785785359</v>
      </c>
      <c r="CO552" s="710">
        <v>-0.87680913625914814</v>
      </c>
      <c r="CP552" s="710">
        <v>-0.89638944088878858</v>
      </c>
      <c r="CQ552" s="710">
        <v>-0.91592098547154466</v>
      </c>
      <c r="CR552" s="710">
        <v>-0.93543533758314712</v>
      </c>
      <c r="CS552" s="710">
        <v>-0.9549737509686369</v>
      </c>
      <c r="CT552" s="710">
        <v>-0.97453077184137415</v>
      </c>
      <c r="CU552" s="710">
        <v>-0.99410079360554315</v>
      </c>
      <c r="CV552" s="710">
        <v>-1.0136791570393813</v>
      </c>
      <c r="CW552" s="710">
        <v>-1.033262478368693</v>
      </c>
      <c r="CX552" s="710">
        <v>-1.0528488563588116</v>
      </c>
      <c r="CY552" s="710">
        <v>-1.072436155349004</v>
      </c>
      <c r="CZ552" s="710">
        <v>-1.0920225641021732</v>
      </c>
      <c r="DA552" s="710">
        <v>-1.1205997215519936</v>
      </c>
      <c r="DC552" s="12">
        <f t="shared" si="580"/>
        <v>0</v>
      </c>
      <c r="DD552" s="12">
        <f t="shared" si="581"/>
        <v>-8.3416666666666674E-3</v>
      </c>
      <c r="DE552" s="12">
        <f t="shared" si="582"/>
        <v>-0.76852884212912476</v>
      </c>
      <c r="DF552" s="12">
        <f t="shared" si="583"/>
        <v>-3.4881707997373299</v>
      </c>
      <c r="DG552" s="12">
        <f t="shared" si="584"/>
        <v>-6.3555861075725888</v>
      </c>
      <c r="DH552" s="12">
        <f t="shared" si="585"/>
        <v>-9.2021843293198149</v>
      </c>
      <c r="DI552" s="12">
        <f t="shared" si="586"/>
        <v>-12.056200013129093</v>
      </c>
    </row>
    <row r="553" spans="5:113" outlineLevel="1">
      <c r="E553" s="698"/>
      <c r="F553" s="698" t="s">
        <v>830</v>
      </c>
      <c r="G553" s="698"/>
      <c r="H553" s="703"/>
      <c r="I553" s="609" t="s">
        <v>736</v>
      </c>
      <c r="O553" s="696"/>
      <c r="P553" s="696"/>
      <c r="Q553" s="696"/>
      <c r="R553" s="696"/>
      <c r="S553" s="696"/>
      <c r="T553" s="696"/>
      <c r="U553" s="696"/>
      <c r="V553" s="696"/>
      <c r="W553" s="696"/>
      <c r="X553" s="696"/>
      <c r="Y553" s="696"/>
      <c r="Z553" s="697"/>
      <c r="AA553" s="697"/>
      <c r="AB553" s="697"/>
      <c r="AC553" s="697"/>
      <c r="AD553" s="697"/>
      <c r="AE553" s="697"/>
      <c r="AF553" s="697"/>
      <c r="AG553" s="697"/>
      <c r="AH553" s="697"/>
      <c r="AI553" s="697"/>
      <c r="AJ553" s="697"/>
      <c r="AK553" s="697"/>
      <c r="AL553" s="697"/>
      <c r="AM553" s="697"/>
      <c r="AN553" s="697"/>
      <c r="AO553" s="697"/>
      <c r="AP553" s="696"/>
      <c r="AQ553" s="696"/>
      <c r="AR553" s="696">
        <f>SUM(AR554:AR564)</f>
        <v>2.2042500000000003E-2</v>
      </c>
      <c r="AS553" s="696">
        <f t="shared" ref="AS553:DA553" si="590">SUM(AS554:AS564)</f>
        <v>5.8897000000000005E-2</v>
      </c>
      <c r="AT553" s="696">
        <f t="shared" si="590"/>
        <v>8.2282939938745456E-2</v>
      </c>
      <c r="AU553" s="696">
        <f t="shared" si="590"/>
        <v>0.11140336896033606</v>
      </c>
      <c r="AV553" s="696">
        <f t="shared" si="590"/>
        <v>0.13941300391007574</v>
      </c>
      <c r="AW553" s="696">
        <f t="shared" si="590"/>
        <v>0.16634670593176099</v>
      </c>
      <c r="AX553" s="696">
        <f t="shared" si="590"/>
        <v>0.192407675285025</v>
      </c>
      <c r="AY553" s="696">
        <f t="shared" si="590"/>
        <v>0.21777867649917781</v>
      </c>
      <c r="AZ553" s="696">
        <f t="shared" si="590"/>
        <v>0.24328040174553317</v>
      </c>
      <c r="BA553" s="696">
        <f t="shared" si="590"/>
        <v>0.2705063772498944</v>
      </c>
      <c r="BB553" s="696">
        <f t="shared" si="590"/>
        <v>0.29962007393836687</v>
      </c>
      <c r="BC553" s="696">
        <f t="shared" si="590"/>
        <v>0.33150695987853701</v>
      </c>
      <c r="BD553" s="696">
        <f t="shared" si="590"/>
        <v>0.36646723160864458</v>
      </c>
      <c r="BE553" s="696">
        <f t="shared" si="590"/>
        <v>0.4047117426275697</v>
      </c>
      <c r="BF553" s="696">
        <f t="shared" si="590"/>
        <v>0.59657845423865308</v>
      </c>
      <c r="BG553" s="696">
        <f t="shared" si="590"/>
        <v>0.71949515569741118</v>
      </c>
      <c r="BH553" s="696">
        <f t="shared" si="590"/>
        <v>0.7908287289131557</v>
      </c>
      <c r="BI553" s="696">
        <f t="shared" si="590"/>
        <v>0.85117144003393852</v>
      </c>
      <c r="BJ553" s="696">
        <f t="shared" si="590"/>
        <v>0.91187145260814839</v>
      </c>
      <c r="BK553" s="696">
        <f t="shared" si="590"/>
        <v>0.96807593235431766</v>
      </c>
      <c r="BL553" s="696">
        <f t="shared" si="590"/>
        <v>1.027657755682571</v>
      </c>
      <c r="BM553" s="696">
        <f t="shared" si="590"/>
        <v>1.0834568683980834</v>
      </c>
      <c r="BN553" s="696">
        <f t="shared" si="590"/>
        <v>1.1341921660128718</v>
      </c>
      <c r="BO553" s="696">
        <f t="shared" si="590"/>
        <v>1.1904015370774872</v>
      </c>
      <c r="BP553" s="696">
        <f t="shared" si="590"/>
        <v>1.2505296472298333</v>
      </c>
      <c r="BQ553" s="696">
        <f t="shared" si="590"/>
        <v>1.3091917869693481</v>
      </c>
      <c r="BR553" s="696">
        <f t="shared" si="590"/>
        <v>1.3694366240294407</v>
      </c>
      <c r="BS553" s="696">
        <f t="shared" si="590"/>
        <v>1.4258411276834442</v>
      </c>
      <c r="BT553" s="696">
        <f t="shared" si="590"/>
        <v>1.4824804409190009</v>
      </c>
      <c r="BU553" s="696">
        <f t="shared" si="590"/>
        <v>1.5393050467154188</v>
      </c>
      <c r="BV553" s="696">
        <f t="shared" si="590"/>
        <v>1.5959247810770143</v>
      </c>
      <c r="BW553" s="696">
        <f t="shared" si="590"/>
        <v>1.6524054415981371</v>
      </c>
      <c r="BX553" s="696">
        <f t="shared" si="590"/>
        <v>1.7089588550117183</v>
      </c>
      <c r="BY553" s="696">
        <f t="shared" si="590"/>
        <v>1.7761278777628191</v>
      </c>
      <c r="BZ553" s="696">
        <f t="shared" si="590"/>
        <v>1.8413148551061842</v>
      </c>
      <c r="CA553" s="696">
        <f t="shared" si="590"/>
        <v>1.9059006148046214</v>
      </c>
      <c r="CB553" s="696">
        <f t="shared" si="590"/>
        <v>1.9701723853105848</v>
      </c>
      <c r="CC553" s="696">
        <f t="shared" si="590"/>
        <v>2.0345287860601777</v>
      </c>
      <c r="CD553" s="696">
        <f t="shared" si="590"/>
        <v>2.0990919183396572</v>
      </c>
      <c r="CE553" s="696">
        <f t="shared" si="590"/>
        <v>2.177666669142079</v>
      </c>
      <c r="CF553" s="696">
        <f t="shared" si="590"/>
        <v>2.2456097590563497</v>
      </c>
      <c r="CG553" s="696">
        <f t="shared" si="590"/>
        <v>2.3127391571559301</v>
      </c>
      <c r="CH553" s="696">
        <f t="shared" si="590"/>
        <v>2.379491525994168</v>
      </c>
      <c r="CI553" s="696">
        <f t="shared" si="590"/>
        <v>2.4463995596664194</v>
      </c>
      <c r="CJ553" s="696">
        <f t="shared" si="590"/>
        <v>2.5136476746281602</v>
      </c>
      <c r="CK553" s="696">
        <f t="shared" si="590"/>
        <v>2.5821245471358125</v>
      </c>
      <c r="CL553" s="696">
        <f t="shared" si="590"/>
        <v>2.6409889646417839</v>
      </c>
      <c r="CM553" s="696">
        <f t="shared" si="590"/>
        <v>2.7001169892627206</v>
      </c>
      <c r="CN553" s="696">
        <f t="shared" si="590"/>
        <v>2.7593453043547127</v>
      </c>
      <c r="CO553" s="696">
        <f t="shared" si="590"/>
        <v>2.818695370940774</v>
      </c>
      <c r="CP553" s="696">
        <f t="shared" si="590"/>
        <v>2.8781666310982148</v>
      </c>
      <c r="CQ553" s="696">
        <f t="shared" si="590"/>
        <v>2.9377672654122944</v>
      </c>
      <c r="CR553" s="696">
        <f t="shared" si="590"/>
        <v>2.9974866562707319</v>
      </c>
      <c r="CS553" s="696">
        <f t="shared" si="590"/>
        <v>3.0575661265276532</v>
      </c>
      <c r="CT553" s="696">
        <f t="shared" si="590"/>
        <v>3.1177107959091312</v>
      </c>
      <c r="CU553" s="696">
        <f t="shared" si="590"/>
        <v>3.1778828787438731</v>
      </c>
      <c r="CV553" s="696">
        <f t="shared" si="590"/>
        <v>3.2380602476439133</v>
      </c>
      <c r="CW553" s="696">
        <f t="shared" si="590"/>
        <v>3.2982324090878592</v>
      </c>
      <c r="CX553" s="696">
        <f t="shared" si="590"/>
        <v>3.3583945412666183</v>
      </c>
      <c r="CY553" s="696">
        <f t="shared" si="590"/>
        <v>3.4185456336349356</v>
      </c>
      <c r="CZ553" s="696">
        <f t="shared" si="590"/>
        <v>3.4786811392784616</v>
      </c>
      <c r="DA553" s="696">
        <f t="shared" si="590"/>
        <v>3.5404256701457806</v>
      </c>
      <c r="DB553" s="698"/>
      <c r="DC553" s="14">
        <f t="shared" si="580"/>
        <v>0</v>
      </c>
      <c r="DD553" s="14">
        <f t="shared" si="581"/>
        <v>8.0939500000000011E-2</v>
      </c>
      <c r="DE553" s="14">
        <f t="shared" si="582"/>
        <v>2.8257251575736673</v>
      </c>
      <c r="DF553" s="14">
        <f t="shared" si="583"/>
        <v>11.83345092521582</v>
      </c>
      <c r="DG553" s="14">
        <f t="shared" si="584"/>
        <v>20.302396836078561</v>
      </c>
      <c r="DH553" s="14">
        <f t="shared" si="585"/>
        <v>29.675917440318571</v>
      </c>
      <c r="DI553" s="14">
        <f t="shared" si="586"/>
        <v>38.49891999501947</v>
      </c>
    </row>
    <row r="554" spans="5:113" outlineLevel="1">
      <c r="E554" s="698"/>
      <c r="F554" s="126" t="s">
        <v>540</v>
      </c>
      <c r="G554" s="698"/>
      <c r="H554" s="703"/>
      <c r="I554" s="609" t="s">
        <v>736</v>
      </c>
      <c r="O554" s="696"/>
      <c r="P554" s="696"/>
      <c r="Q554" s="696"/>
      <c r="R554" s="696"/>
      <c r="S554" s="696"/>
      <c r="T554" s="696"/>
      <c r="U554" s="696"/>
      <c r="V554" s="696"/>
      <c r="W554" s="696"/>
      <c r="X554" s="696"/>
      <c r="Y554" s="696"/>
      <c r="Z554" s="697"/>
      <c r="AA554" s="697"/>
      <c r="AB554" s="697"/>
      <c r="AC554" s="697"/>
      <c r="AD554" s="697"/>
      <c r="AE554" s="697"/>
      <c r="AF554" s="697"/>
      <c r="AG554" s="697"/>
      <c r="AH554" s="697"/>
      <c r="AI554" s="697"/>
      <c r="AJ554" s="697"/>
      <c r="AK554" s="697"/>
      <c r="AL554" s="697"/>
      <c r="AM554" s="697"/>
      <c r="AN554" s="697"/>
      <c r="AO554" s="697"/>
      <c r="AP554" s="696"/>
      <c r="AQ554" s="696"/>
      <c r="AR554" s="696"/>
      <c r="AS554" s="696"/>
      <c r="AT554" s="696"/>
      <c r="AU554" s="696"/>
      <c r="AV554" s="696"/>
      <c r="AW554" s="696"/>
      <c r="AX554" s="696"/>
      <c r="AY554" s="696"/>
      <c r="AZ554" s="696"/>
      <c r="BA554" s="696"/>
      <c r="BB554" s="696"/>
      <c r="BC554" s="696"/>
      <c r="BD554" s="696"/>
      <c r="BE554" s="696"/>
      <c r="BF554" s="696"/>
      <c r="BG554" s="696"/>
      <c r="BH554" s="696"/>
      <c r="BI554" s="696"/>
      <c r="BJ554" s="696"/>
      <c r="BK554" s="696"/>
      <c r="BL554" s="696"/>
      <c r="BM554" s="696"/>
      <c r="BN554" s="696"/>
      <c r="BO554" s="696"/>
      <c r="BP554" s="696"/>
      <c r="BQ554" s="696"/>
      <c r="BR554" s="696"/>
      <c r="BS554" s="696"/>
      <c r="BT554" s="696"/>
      <c r="BU554" s="696"/>
      <c r="BV554" s="696"/>
      <c r="BW554" s="696"/>
      <c r="BX554" s="696"/>
      <c r="BY554" s="696"/>
      <c r="BZ554" s="696"/>
      <c r="CA554" s="696"/>
      <c r="CB554" s="696"/>
      <c r="CC554" s="696"/>
      <c r="CD554" s="696"/>
      <c r="CE554" s="696"/>
      <c r="CF554" s="696"/>
      <c r="CG554" s="696"/>
      <c r="CH554" s="696"/>
      <c r="CI554" s="696"/>
      <c r="CJ554" s="696"/>
      <c r="CK554" s="696"/>
      <c r="CL554" s="696"/>
      <c r="CM554" s="696"/>
      <c r="CN554" s="696"/>
      <c r="CO554" s="696"/>
      <c r="CP554" s="696"/>
      <c r="CQ554" s="696"/>
      <c r="CR554" s="696"/>
      <c r="CS554" s="696"/>
      <c r="CT554" s="696"/>
      <c r="CU554" s="696"/>
      <c r="CV554" s="696"/>
      <c r="CW554" s="696"/>
      <c r="CX554" s="696"/>
      <c r="CY554" s="696"/>
      <c r="CZ554" s="696"/>
      <c r="DA554" s="696"/>
      <c r="DB554" s="698"/>
      <c r="DC554" s="12">
        <f t="shared" si="580"/>
        <v>0</v>
      </c>
      <c r="DD554" s="12">
        <f t="shared" si="581"/>
        <v>0</v>
      </c>
      <c r="DE554" s="12">
        <f t="shared" si="582"/>
        <v>0</v>
      </c>
      <c r="DF554" s="12">
        <f t="shared" si="583"/>
        <v>0</v>
      </c>
      <c r="DG554" s="12">
        <f t="shared" si="584"/>
        <v>0</v>
      </c>
      <c r="DH554" s="12">
        <f t="shared" si="585"/>
        <v>0</v>
      </c>
      <c r="DI554" s="12">
        <f t="shared" si="586"/>
        <v>0</v>
      </c>
    </row>
    <row r="555" spans="5:113" outlineLevel="1">
      <c r="E555" s="698"/>
      <c r="F555" s="126" t="s">
        <v>799</v>
      </c>
      <c r="G555" s="698"/>
      <c r="H555" s="703"/>
      <c r="I555" s="609" t="s">
        <v>736</v>
      </c>
      <c r="O555" s="696"/>
      <c r="P555" s="696"/>
      <c r="Q555" s="696"/>
      <c r="R555" s="696"/>
      <c r="S555" s="696"/>
      <c r="T555" s="696"/>
      <c r="U555" s="696"/>
      <c r="V555" s="696"/>
      <c r="W555" s="696"/>
      <c r="X555" s="696"/>
      <c r="Y555" s="696"/>
      <c r="Z555" s="697"/>
      <c r="AA555" s="697"/>
      <c r="AB555" s="697"/>
      <c r="AC555" s="697"/>
      <c r="AD555" s="697"/>
      <c r="AE555" s="697"/>
      <c r="AF555" s="697"/>
      <c r="AG555" s="697"/>
      <c r="AH555" s="697"/>
      <c r="AI555" s="697"/>
      <c r="AJ555" s="697"/>
      <c r="AK555" s="697"/>
      <c r="AL555" s="697"/>
      <c r="AM555" s="697"/>
      <c r="AN555" s="697"/>
      <c r="AO555" s="697"/>
      <c r="AP555" s="696"/>
      <c r="AQ555" s="696"/>
      <c r="AR555" s="696"/>
      <c r="AS555" s="696"/>
      <c r="AT555" s="696"/>
      <c r="AU555" s="696"/>
      <c r="AV555" s="696"/>
      <c r="AW555" s="696"/>
      <c r="AX555" s="696"/>
      <c r="AY555" s="696"/>
      <c r="AZ555" s="696"/>
      <c r="BA555" s="696"/>
      <c r="BB555" s="696"/>
      <c r="BC555" s="696"/>
      <c r="BD555" s="696"/>
      <c r="BE555" s="696"/>
      <c r="BF555" s="696"/>
      <c r="BG555" s="696"/>
      <c r="BH555" s="696"/>
      <c r="BI555" s="696"/>
      <c r="BJ555" s="696"/>
      <c r="BK555" s="696"/>
      <c r="BL555" s="696"/>
      <c r="BM555" s="696"/>
      <c r="BN555" s="696"/>
      <c r="BO555" s="696"/>
      <c r="BP555" s="696"/>
      <c r="BQ555" s="696"/>
      <c r="BR555" s="696"/>
      <c r="BS555" s="696"/>
      <c r="BT555" s="696"/>
      <c r="BU555" s="696"/>
      <c r="BV555" s="696"/>
      <c r="BW555" s="696"/>
      <c r="BX555" s="696"/>
      <c r="BY555" s="696"/>
      <c r="BZ555" s="696"/>
      <c r="CA555" s="696"/>
      <c r="CB555" s="696"/>
      <c r="CC555" s="696"/>
      <c r="CD555" s="696"/>
      <c r="CE555" s="696"/>
      <c r="CF555" s="696"/>
      <c r="CG555" s="696"/>
      <c r="CH555" s="696"/>
      <c r="CI555" s="696"/>
      <c r="CJ555" s="696"/>
      <c r="CK555" s="696"/>
      <c r="CL555" s="696"/>
      <c r="CM555" s="696"/>
      <c r="CN555" s="696"/>
      <c r="CO555" s="696"/>
      <c r="CP555" s="696"/>
      <c r="CQ555" s="696"/>
      <c r="CR555" s="696"/>
      <c r="CS555" s="696"/>
      <c r="CT555" s="696"/>
      <c r="CU555" s="696"/>
      <c r="CV555" s="696"/>
      <c r="CW555" s="696"/>
      <c r="CX555" s="696"/>
      <c r="CY555" s="696"/>
      <c r="CZ555" s="696"/>
      <c r="DA555" s="696"/>
      <c r="DB555" s="698"/>
      <c r="DC555" s="12">
        <f t="shared" si="580"/>
        <v>0</v>
      </c>
      <c r="DD555" s="12">
        <f t="shared" si="581"/>
        <v>0</v>
      </c>
      <c r="DE555" s="12">
        <f t="shared" si="582"/>
        <v>0</v>
      </c>
      <c r="DF555" s="12">
        <f t="shared" si="583"/>
        <v>0</v>
      </c>
      <c r="DG555" s="12">
        <f t="shared" si="584"/>
        <v>0</v>
      </c>
      <c r="DH555" s="12">
        <f t="shared" si="585"/>
        <v>0</v>
      </c>
      <c r="DI555" s="12">
        <f t="shared" si="586"/>
        <v>0</v>
      </c>
    </row>
    <row r="556" spans="5:113" outlineLevel="1">
      <c r="F556" s="126" t="s">
        <v>800</v>
      </c>
      <c r="I556" s="609" t="s">
        <v>736</v>
      </c>
      <c r="O556" s="696"/>
      <c r="P556" s="696"/>
      <c r="Q556" s="696"/>
      <c r="R556" s="696"/>
      <c r="S556" s="696"/>
      <c r="T556" s="696"/>
      <c r="U556" s="696"/>
      <c r="V556" s="696"/>
      <c r="W556" s="696"/>
      <c r="X556" s="696"/>
      <c r="Y556" s="696"/>
      <c r="Z556" s="697"/>
      <c r="AA556" s="697"/>
      <c r="AB556" s="697"/>
      <c r="AC556" s="697"/>
      <c r="AD556" s="697"/>
      <c r="AE556" s="697"/>
      <c r="AF556" s="697"/>
      <c r="AG556" s="697"/>
      <c r="AH556" s="697"/>
      <c r="AI556" s="697"/>
      <c r="AJ556" s="697"/>
      <c r="AK556" s="697"/>
      <c r="AL556" s="697"/>
      <c r="AM556" s="697"/>
      <c r="AN556" s="697"/>
      <c r="AO556" s="697"/>
      <c r="AP556" s="710"/>
      <c r="AQ556" s="710"/>
      <c r="AR556" s="710"/>
      <c r="AS556" s="710"/>
      <c r="AT556" s="710"/>
      <c r="AU556" s="710"/>
      <c r="AV556" s="710"/>
      <c r="AW556" s="710"/>
      <c r="AX556" s="710"/>
      <c r="AY556" s="710"/>
      <c r="AZ556" s="710"/>
      <c r="BA556" s="710"/>
      <c r="BB556" s="710"/>
      <c r="BC556" s="710"/>
      <c r="BD556" s="710"/>
      <c r="BE556" s="710"/>
      <c r="BF556" s="710"/>
      <c r="BG556" s="710"/>
      <c r="BH556" s="710"/>
      <c r="BI556" s="710"/>
      <c r="BJ556" s="710"/>
      <c r="BK556" s="710"/>
      <c r="BL556" s="710"/>
      <c r="BM556" s="710"/>
      <c r="BN556" s="710"/>
      <c r="BO556" s="710"/>
      <c r="BP556" s="710"/>
      <c r="BQ556" s="710"/>
      <c r="BR556" s="710"/>
      <c r="BS556" s="710"/>
      <c r="BT556" s="710"/>
      <c r="BU556" s="710"/>
      <c r="BV556" s="710"/>
      <c r="BW556" s="710"/>
      <c r="BX556" s="710"/>
      <c r="BY556" s="710"/>
      <c r="BZ556" s="710"/>
      <c r="CA556" s="710"/>
      <c r="CB556" s="710"/>
      <c r="CC556" s="710"/>
      <c r="CD556" s="710"/>
      <c r="CE556" s="710"/>
      <c r="CF556" s="710"/>
      <c r="CG556" s="710"/>
      <c r="CH556" s="710"/>
      <c r="CI556" s="710"/>
      <c r="CJ556" s="710"/>
      <c r="CK556" s="710"/>
      <c r="CL556" s="710"/>
      <c r="CM556" s="710"/>
      <c r="CN556" s="710"/>
      <c r="CO556" s="710"/>
      <c r="CP556" s="710"/>
      <c r="CQ556" s="710"/>
      <c r="CR556" s="710"/>
      <c r="CS556" s="710"/>
      <c r="CT556" s="710"/>
      <c r="CU556" s="710"/>
      <c r="CV556" s="710"/>
      <c r="CW556" s="710"/>
      <c r="CX556" s="710"/>
      <c r="CY556" s="710"/>
      <c r="CZ556" s="710"/>
      <c r="DA556" s="710"/>
      <c r="DC556" s="12">
        <f t="shared" si="580"/>
        <v>0</v>
      </c>
      <c r="DD556" s="12">
        <f t="shared" si="581"/>
        <v>0</v>
      </c>
      <c r="DE556" s="12">
        <f t="shared" si="582"/>
        <v>0</v>
      </c>
      <c r="DF556" s="12">
        <f t="shared" si="583"/>
        <v>0</v>
      </c>
      <c r="DG556" s="12">
        <f t="shared" si="584"/>
        <v>0</v>
      </c>
      <c r="DH556" s="12">
        <f t="shared" si="585"/>
        <v>0</v>
      </c>
      <c r="DI556" s="12">
        <f t="shared" si="586"/>
        <v>0</v>
      </c>
    </row>
    <row r="557" spans="5:113" outlineLevel="1">
      <c r="F557" s="126" t="s">
        <v>223</v>
      </c>
      <c r="I557" s="609" t="s">
        <v>736</v>
      </c>
      <c r="O557" s="696"/>
      <c r="P557" s="696"/>
      <c r="Q557" s="696"/>
      <c r="R557" s="696"/>
      <c r="S557" s="696"/>
      <c r="T557" s="696"/>
      <c r="U557" s="696"/>
      <c r="V557" s="696"/>
      <c r="W557" s="696"/>
      <c r="X557" s="696"/>
      <c r="Y557" s="696"/>
      <c r="Z557" s="697"/>
      <c r="AA557" s="697"/>
      <c r="AB557" s="697"/>
      <c r="AC557" s="697"/>
      <c r="AD557" s="697"/>
      <c r="AE557" s="697"/>
      <c r="AF557" s="697"/>
      <c r="AG557" s="697"/>
      <c r="AH557" s="697"/>
      <c r="AI557" s="697"/>
      <c r="AJ557" s="697"/>
      <c r="AK557" s="697"/>
      <c r="AL557" s="697"/>
      <c r="AM557" s="697"/>
      <c r="AN557" s="697"/>
      <c r="AO557" s="697"/>
      <c r="AP557" s="710"/>
      <c r="AQ557" s="710"/>
      <c r="AR557" s="710">
        <v>1.8000000000000002E-2</v>
      </c>
      <c r="AS557" s="710">
        <v>4.8000000000000001E-2</v>
      </c>
      <c r="AT557" s="710">
        <v>6.9343749999999982E-2</v>
      </c>
      <c r="AU557" s="710">
        <v>9.778125E-2</v>
      </c>
      <c r="AV557" s="710">
        <v>0.1273125</v>
      </c>
      <c r="AW557" s="710">
        <v>0.15793749999999998</v>
      </c>
      <c r="AX557" s="710">
        <v>0.18965624999999997</v>
      </c>
      <c r="AY557" s="710">
        <v>0.22246874999999997</v>
      </c>
      <c r="AZ557" s="710">
        <v>0.25637500000000002</v>
      </c>
      <c r="BA557" s="710">
        <v>0.29137499999999994</v>
      </c>
      <c r="BB557" s="710">
        <v>0.32746874999999992</v>
      </c>
      <c r="BC557" s="710">
        <v>0.36465625000000002</v>
      </c>
      <c r="BD557" s="710">
        <v>0.40293749999999989</v>
      </c>
      <c r="BE557" s="710">
        <v>0.44231249999999989</v>
      </c>
      <c r="BF557" s="710">
        <v>0.68843749999999992</v>
      </c>
      <c r="BG557" s="710">
        <v>0.74531249999999993</v>
      </c>
      <c r="BH557" s="710">
        <v>0.80249999999999988</v>
      </c>
      <c r="BI557" s="710">
        <v>0.85999999999999988</v>
      </c>
      <c r="BJ557" s="710">
        <v>0.91781249999999992</v>
      </c>
      <c r="BK557" s="710">
        <v>0.97593750000000001</v>
      </c>
      <c r="BL557" s="710">
        <v>1.034375</v>
      </c>
      <c r="BM557" s="710">
        <v>1.0931249999999999</v>
      </c>
      <c r="BN557" s="710">
        <v>1.1521874999999999</v>
      </c>
      <c r="BO557" s="710">
        <v>1.2115625000000001</v>
      </c>
      <c r="BP557" s="710">
        <v>1.27125</v>
      </c>
      <c r="BQ557" s="710">
        <v>1.33125</v>
      </c>
      <c r="BR557" s="710">
        <v>1.3912500000000001</v>
      </c>
      <c r="BS557" s="710">
        <v>1.4512499999999999</v>
      </c>
      <c r="BT557" s="710">
        <v>1.51125</v>
      </c>
      <c r="BU557" s="710">
        <v>1.57125</v>
      </c>
      <c r="BV557" s="710">
        <v>1.6312500000000001</v>
      </c>
      <c r="BW557" s="710">
        <v>1.6912499999999999</v>
      </c>
      <c r="BX557" s="710">
        <v>1.75125</v>
      </c>
      <c r="BY557" s="710">
        <v>1.81125</v>
      </c>
      <c r="BZ557" s="710">
        <v>1.8712500000000001</v>
      </c>
      <c r="CA557" s="710">
        <v>1.9312499999999999</v>
      </c>
      <c r="CB557" s="710">
        <v>1.99125</v>
      </c>
      <c r="CC557" s="710">
        <v>2.05125</v>
      </c>
      <c r="CD557" s="710">
        <v>2.1112500000000001</v>
      </c>
      <c r="CE557" s="710">
        <v>2.1712500000000001</v>
      </c>
      <c r="CF557" s="710">
        <v>2.2312500000000002</v>
      </c>
      <c r="CG557" s="710">
        <v>2.2912499999999998</v>
      </c>
      <c r="CH557" s="710">
        <v>2.3512499999999998</v>
      </c>
      <c r="CI557" s="710">
        <v>2.4112499999999999</v>
      </c>
      <c r="CJ557" s="710">
        <v>2.4712499999999999</v>
      </c>
      <c r="CK557" s="710">
        <v>2.53125</v>
      </c>
      <c r="CL557" s="710">
        <v>2.5912500000000001</v>
      </c>
      <c r="CM557" s="710">
        <v>2.6512500000000001</v>
      </c>
      <c r="CN557" s="710">
        <v>2.7112500000000002</v>
      </c>
      <c r="CO557" s="710">
        <v>2.7712500000000002</v>
      </c>
      <c r="CP557" s="710">
        <v>2.8312499999999998</v>
      </c>
      <c r="CQ557" s="710">
        <v>2.8912499999999999</v>
      </c>
      <c r="CR557" s="710">
        <v>2.9512499999999999</v>
      </c>
      <c r="CS557" s="710">
        <v>3.01125</v>
      </c>
      <c r="CT557" s="710">
        <v>3.07125</v>
      </c>
      <c r="CU557" s="710">
        <v>3.1312500000000001</v>
      </c>
      <c r="CV557" s="710">
        <v>3.1912500000000001</v>
      </c>
      <c r="CW557" s="710">
        <v>3.2512500000000002</v>
      </c>
      <c r="CX557" s="710">
        <v>3.3112499999999998</v>
      </c>
      <c r="CY557" s="710">
        <v>3.3712499999999999</v>
      </c>
      <c r="CZ557" s="710">
        <v>3.4312499999999999</v>
      </c>
      <c r="DA557" s="710">
        <v>3.49125</v>
      </c>
      <c r="DC557" s="12">
        <f t="shared" si="580"/>
        <v>0</v>
      </c>
      <c r="DD557" s="12">
        <f t="shared" si="581"/>
        <v>6.6000000000000003E-2</v>
      </c>
      <c r="DE557" s="12">
        <f t="shared" si="582"/>
        <v>2.9496249999999993</v>
      </c>
      <c r="DF557" s="12">
        <f t="shared" si="583"/>
        <v>12.083749999999998</v>
      </c>
      <c r="DG557" s="12">
        <f t="shared" si="584"/>
        <v>20.655000000000001</v>
      </c>
      <c r="DH557" s="12">
        <f t="shared" si="585"/>
        <v>29.295000000000002</v>
      </c>
      <c r="DI557" s="12">
        <f t="shared" si="586"/>
        <v>37.935000000000002</v>
      </c>
    </row>
    <row r="558" spans="5:113" outlineLevel="1">
      <c r="F558" s="126" t="s">
        <v>221</v>
      </c>
      <c r="I558" s="609" t="s">
        <v>736</v>
      </c>
      <c r="O558" s="696"/>
      <c r="P558" s="696"/>
      <c r="Q558" s="696"/>
      <c r="R558" s="696"/>
      <c r="S558" s="696"/>
      <c r="T558" s="696"/>
      <c r="U558" s="696"/>
      <c r="V558" s="696"/>
      <c r="W558" s="696"/>
      <c r="X558" s="696"/>
      <c r="Y558" s="696"/>
      <c r="Z558" s="697"/>
      <c r="AA558" s="697"/>
      <c r="AB558" s="697"/>
      <c r="AC558" s="697"/>
      <c r="AD558" s="697"/>
      <c r="AE558" s="697"/>
      <c r="AF558" s="697"/>
      <c r="AG558" s="697"/>
      <c r="AH558" s="697"/>
      <c r="AI558" s="697"/>
      <c r="AJ558" s="697"/>
      <c r="AK558" s="697"/>
      <c r="AL558" s="697"/>
      <c r="AM558" s="697"/>
      <c r="AN558" s="697"/>
      <c r="AO558" s="697"/>
      <c r="AP558" s="710"/>
      <c r="AQ558" s="710"/>
      <c r="AR558" s="710">
        <v>0</v>
      </c>
      <c r="AS558" s="710">
        <v>0</v>
      </c>
      <c r="AT558" s="710">
        <v>0</v>
      </c>
      <c r="AU558" s="710">
        <v>0</v>
      </c>
      <c r="AV558" s="710">
        <v>0</v>
      </c>
      <c r="AW558" s="710">
        <v>0</v>
      </c>
      <c r="AX558" s="710">
        <v>0</v>
      </c>
      <c r="AY558" s="710">
        <v>0</v>
      </c>
      <c r="AZ558" s="710">
        <v>0</v>
      </c>
      <c r="BA558" s="710">
        <v>0</v>
      </c>
      <c r="BB558" s="710">
        <v>0</v>
      </c>
      <c r="BC558" s="710">
        <v>0</v>
      </c>
      <c r="BD558" s="710">
        <v>0</v>
      </c>
      <c r="BE558" s="710">
        <v>0</v>
      </c>
      <c r="BF558" s="710">
        <v>0</v>
      </c>
      <c r="BG558" s="710">
        <v>0</v>
      </c>
      <c r="BH558" s="710">
        <v>0</v>
      </c>
      <c r="BI558" s="710">
        <v>0</v>
      </c>
      <c r="BJ558" s="710">
        <v>0</v>
      </c>
      <c r="BK558" s="710">
        <v>0</v>
      </c>
      <c r="BL558" s="710">
        <v>0</v>
      </c>
      <c r="BM558" s="710">
        <v>0</v>
      </c>
      <c r="BN558" s="710">
        <v>0</v>
      </c>
      <c r="BO558" s="710">
        <v>0</v>
      </c>
      <c r="BP558" s="710">
        <v>0</v>
      </c>
      <c r="BQ558" s="710">
        <v>0</v>
      </c>
      <c r="BR558" s="710">
        <v>0</v>
      </c>
      <c r="BS558" s="710">
        <v>0</v>
      </c>
      <c r="BT558" s="710">
        <v>0</v>
      </c>
      <c r="BU558" s="710">
        <v>0</v>
      </c>
      <c r="BV558" s="710">
        <v>0</v>
      </c>
      <c r="BW558" s="710">
        <v>0</v>
      </c>
      <c r="BX558" s="710">
        <v>0</v>
      </c>
      <c r="BY558" s="710">
        <v>0</v>
      </c>
      <c r="BZ558" s="710">
        <v>0</v>
      </c>
      <c r="CA558" s="710">
        <v>0</v>
      </c>
      <c r="CB558" s="710">
        <v>0</v>
      </c>
      <c r="CC558" s="710">
        <v>0</v>
      </c>
      <c r="CD558" s="710">
        <v>0</v>
      </c>
      <c r="CE558" s="710">
        <v>0</v>
      </c>
      <c r="CF558" s="710">
        <v>0</v>
      </c>
      <c r="CG558" s="710">
        <v>0</v>
      </c>
      <c r="CH558" s="710">
        <v>0</v>
      </c>
      <c r="CI558" s="710">
        <v>0</v>
      </c>
      <c r="CJ558" s="710">
        <v>0</v>
      </c>
      <c r="CK558" s="710">
        <v>0</v>
      </c>
      <c r="CL558" s="710">
        <v>0</v>
      </c>
      <c r="CM558" s="710">
        <v>0</v>
      </c>
      <c r="CN558" s="710">
        <v>0</v>
      </c>
      <c r="CO558" s="710">
        <v>0</v>
      </c>
      <c r="CP558" s="710">
        <v>0</v>
      </c>
      <c r="CQ558" s="710">
        <v>0</v>
      </c>
      <c r="CR558" s="710">
        <v>0</v>
      </c>
      <c r="CS558" s="710">
        <v>0</v>
      </c>
      <c r="CT558" s="710">
        <v>0</v>
      </c>
      <c r="CU558" s="710">
        <v>0</v>
      </c>
      <c r="CV558" s="710">
        <v>0</v>
      </c>
      <c r="CW558" s="710">
        <v>0</v>
      </c>
      <c r="CX558" s="710">
        <v>0</v>
      </c>
      <c r="CY558" s="710">
        <v>0</v>
      </c>
      <c r="CZ558" s="710">
        <v>0</v>
      </c>
      <c r="DA558" s="710">
        <v>0</v>
      </c>
      <c r="DC558" s="12">
        <f t="shared" si="580"/>
        <v>0</v>
      </c>
      <c r="DD558" s="12">
        <f t="shared" si="581"/>
        <v>0</v>
      </c>
      <c r="DE558" s="12">
        <f t="shared" si="582"/>
        <v>0</v>
      </c>
      <c r="DF558" s="12">
        <f t="shared" si="583"/>
        <v>0</v>
      </c>
      <c r="DG558" s="12">
        <f t="shared" si="584"/>
        <v>0</v>
      </c>
      <c r="DH558" s="12">
        <f t="shared" si="585"/>
        <v>0</v>
      </c>
      <c r="DI558" s="12">
        <f t="shared" si="586"/>
        <v>0</v>
      </c>
    </row>
    <row r="559" spans="5:113" outlineLevel="1">
      <c r="F559" s="126" t="s">
        <v>801</v>
      </c>
      <c r="I559" s="609" t="s">
        <v>736</v>
      </c>
      <c r="O559" s="696"/>
      <c r="P559" s="696"/>
      <c r="Q559" s="696"/>
      <c r="R559" s="696"/>
      <c r="S559" s="696"/>
      <c r="T559" s="696"/>
      <c r="U559" s="696"/>
      <c r="V559" s="696"/>
      <c r="W559" s="696"/>
      <c r="X559" s="696"/>
      <c r="Y559" s="696"/>
      <c r="Z559" s="697"/>
      <c r="AA559" s="697"/>
      <c r="AB559" s="697"/>
      <c r="AC559" s="697"/>
      <c r="AD559" s="697"/>
      <c r="AE559" s="697"/>
      <c r="AF559" s="697"/>
      <c r="AG559" s="697"/>
      <c r="AH559" s="697"/>
      <c r="AI559" s="697"/>
      <c r="AJ559" s="697"/>
      <c r="AK559" s="697"/>
      <c r="AL559" s="697"/>
      <c r="AM559" s="697"/>
      <c r="AN559" s="697"/>
      <c r="AO559" s="697"/>
      <c r="AP559" s="710"/>
      <c r="AQ559" s="710"/>
      <c r="AR559" s="710">
        <v>0</v>
      </c>
      <c r="AS559" s="710">
        <v>0</v>
      </c>
      <c r="AT559" s="710">
        <v>0</v>
      </c>
      <c r="AU559" s="710">
        <v>0</v>
      </c>
      <c r="AV559" s="710">
        <v>0</v>
      </c>
      <c r="AW559" s="710">
        <v>0</v>
      </c>
      <c r="AX559" s="710">
        <v>0</v>
      </c>
      <c r="AY559" s="710">
        <v>0</v>
      </c>
      <c r="AZ559" s="710">
        <v>0</v>
      </c>
      <c r="BA559" s="710">
        <v>0</v>
      </c>
      <c r="BB559" s="710">
        <v>0</v>
      </c>
      <c r="BC559" s="710">
        <v>0</v>
      </c>
      <c r="BD559" s="710">
        <v>0</v>
      </c>
      <c r="BE559" s="710">
        <v>0</v>
      </c>
      <c r="BF559" s="710">
        <v>0</v>
      </c>
      <c r="BG559" s="710">
        <v>0</v>
      </c>
      <c r="BH559" s="710">
        <v>0</v>
      </c>
      <c r="BI559" s="710">
        <v>0</v>
      </c>
      <c r="BJ559" s="710">
        <v>0</v>
      </c>
      <c r="BK559" s="710">
        <v>0</v>
      </c>
      <c r="BL559" s="710">
        <v>0</v>
      </c>
      <c r="BM559" s="710">
        <v>0</v>
      </c>
      <c r="BN559" s="710">
        <v>0</v>
      </c>
      <c r="BO559" s="710">
        <v>0</v>
      </c>
      <c r="BP559" s="710">
        <v>0</v>
      </c>
      <c r="BQ559" s="710">
        <v>0</v>
      </c>
      <c r="BR559" s="710">
        <v>0</v>
      </c>
      <c r="BS559" s="710">
        <v>0</v>
      </c>
      <c r="BT559" s="710">
        <v>0</v>
      </c>
      <c r="BU559" s="710">
        <v>0</v>
      </c>
      <c r="BV559" s="710">
        <v>0</v>
      </c>
      <c r="BW559" s="710">
        <v>0</v>
      </c>
      <c r="BX559" s="710">
        <v>0</v>
      </c>
      <c r="BY559" s="710">
        <v>0</v>
      </c>
      <c r="BZ559" s="710">
        <v>0</v>
      </c>
      <c r="CA559" s="710">
        <v>0</v>
      </c>
      <c r="CB559" s="710">
        <v>0</v>
      </c>
      <c r="CC559" s="710">
        <v>0</v>
      </c>
      <c r="CD559" s="710">
        <v>0</v>
      </c>
      <c r="CE559" s="710">
        <v>0</v>
      </c>
      <c r="CF559" s="710">
        <v>0</v>
      </c>
      <c r="CG559" s="710">
        <v>0</v>
      </c>
      <c r="CH559" s="710">
        <v>0</v>
      </c>
      <c r="CI559" s="710">
        <v>0</v>
      </c>
      <c r="CJ559" s="710">
        <v>0</v>
      </c>
      <c r="CK559" s="710">
        <v>0</v>
      </c>
      <c r="CL559" s="710">
        <v>0</v>
      </c>
      <c r="CM559" s="710">
        <v>0</v>
      </c>
      <c r="CN559" s="710">
        <v>0</v>
      </c>
      <c r="CO559" s="710">
        <v>0</v>
      </c>
      <c r="CP559" s="710">
        <v>0</v>
      </c>
      <c r="CQ559" s="710">
        <v>0</v>
      </c>
      <c r="CR559" s="710">
        <v>0</v>
      </c>
      <c r="CS559" s="710">
        <v>0</v>
      </c>
      <c r="CT559" s="710">
        <v>0</v>
      </c>
      <c r="CU559" s="710">
        <v>0</v>
      </c>
      <c r="CV559" s="710">
        <v>0</v>
      </c>
      <c r="CW559" s="710">
        <v>0</v>
      </c>
      <c r="CX559" s="710">
        <v>0</v>
      </c>
      <c r="CY559" s="710">
        <v>0</v>
      </c>
      <c r="CZ559" s="710">
        <v>0</v>
      </c>
      <c r="DA559" s="710">
        <v>0</v>
      </c>
      <c r="DC559" s="12">
        <f t="shared" si="580"/>
        <v>0</v>
      </c>
      <c r="DD559" s="12">
        <f t="shared" si="581"/>
        <v>0</v>
      </c>
      <c r="DE559" s="12">
        <f t="shared" si="582"/>
        <v>0</v>
      </c>
      <c r="DF559" s="12">
        <f t="shared" si="583"/>
        <v>0</v>
      </c>
      <c r="DG559" s="12">
        <f t="shared" si="584"/>
        <v>0</v>
      </c>
      <c r="DH559" s="12">
        <f t="shared" si="585"/>
        <v>0</v>
      </c>
      <c r="DI559" s="12">
        <f t="shared" si="586"/>
        <v>0</v>
      </c>
    </row>
    <row r="560" spans="5:113" outlineLevel="1">
      <c r="F560" s="126" t="s">
        <v>802</v>
      </c>
      <c r="I560" s="609" t="s">
        <v>736</v>
      </c>
      <c r="O560" s="696"/>
      <c r="P560" s="696"/>
      <c r="Q560" s="696"/>
      <c r="R560" s="696"/>
      <c r="S560" s="696"/>
      <c r="T560" s="696"/>
      <c r="U560" s="696"/>
      <c r="V560" s="696"/>
      <c r="W560" s="696"/>
      <c r="X560" s="696"/>
      <c r="Y560" s="696"/>
      <c r="Z560" s="697"/>
      <c r="AA560" s="697"/>
      <c r="AB560" s="697"/>
      <c r="AC560" s="697"/>
      <c r="AD560" s="697"/>
      <c r="AE560" s="697"/>
      <c r="AF560" s="697"/>
      <c r="AG560" s="697"/>
      <c r="AH560" s="697"/>
      <c r="AI560" s="697"/>
      <c r="AJ560" s="697"/>
      <c r="AK560" s="697"/>
      <c r="AL560" s="697"/>
      <c r="AM560" s="697"/>
      <c r="AN560" s="697"/>
      <c r="AO560" s="697"/>
      <c r="AP560" s="710"/>
      <c r="AQ560" s="710"/>
      <c r="AR560" s="710"/>
      <c r="AS560" s="710"/>
      <c r="AT560" s="710"/>
      <c r="AU560" s="710"/>
      <c r="AV560" s="710"/>
      <c r="AW560" s="710"/>
      <c r="AX560" s="710"/>
      <c r="AY560" s="710"/>
      <c r="AZ560" s="710"/>
      <c r="BA560" s="710"/>
      <c r="BB560" s="710"/>
      <c r="BC560" s="710"/>
      <c r="BD560" s="710"/>
      <c r="BE560" s="710"/>
      <c r="BF560" s="710"/>
      <c r="BG560" s="710"/>
      <c r="BH560" s="710"/>
      <c r="BI560" s="710"/>
      <c r="BJ560" s="710"/>
      <c r="BK560" s="710"/>
      <c r="BL560" s="710"/>
      <c r="BM560" s="710"/>
      <c r="BN560" s="710"/>
      <c r="BO560" s="710"/>
      <c r="BP560" s="710"/>
      <c r="BQ560" s="710"/>
      <c r="BR560" s="710"/>
      <c r="BS560" s="710"/>
      <c r="BT560" s="710"/>
      <c r="BU560" s="710"/>
      <c r="BV560" s="710"/>
      <c r="BW560" s="710"/>
      <c r="BX560" s="710"/>
      <c r="BY560" s="710"/>
      <c r="BZ560" s="710"/>
      <c r="CA560" s="710"/>
      <c r="CB560" s="710"/>
      <c r="CC560" s="710"/>
      <c r="CD560" s="710"/>
      <c r="CE560" s="710"/>
      <c r="CF560" s="710"/>
      <c r="CG560" s="710"/>
      <c r="CH560" s="710"/>
      <c r="CI560" s="710"/>
      <c r="CJ560" s="710"/>
      <c r="CK560" s="710"/>
      <c r="CL560" s="710"/>
      <c r="CM560" s="710"/>
      <c r="CN560" s="710"/>
      <c r="CO560" s="710"/>
      <c r="CP560" s="710"/>
      <c r="CQ560" s="710"/>
      <c r="CR560" s="710"/>
      <c r="CS560" s="710"/>
      <c r="CT560" s="710"/>
      <c r="CU560" s="710"/>
      <c r="CV560" s="710"/>
      <c r="CW560" s="710"/>
      <c r="CX560" s="710"/>
      <c r="CY560" s="710"/>
      <c r="CZ560" s="710"/>
      <c r="DA560" s="710"/>
      <c r="DC560" s="12">
        <f t="shared" si="580"/>
        <v>0</v>
      </c>
      <c r="DD560" s="12">
        <f t="shared" si="581"/>
        <v>0</v>
      </c>
      <c r="DE560" s="12">
        <f t="shared" si="582"/>
        <v>0</v>
      </c>
      <c r="DF560" s="12">
        <f t="shared" si="583"/>
        <v>0</v>
      </c>
      <c r="DG560" s="12">
        <f t="shared" si="584"/>
        <v>0</v>
      </c>
      <c r="DH560" s="12">
        <f t="shared" si="585"/>
        <v>0</v>
      </c>
      <c r="DI560" s="12">
        <f t="shared" si="586"/>
        <v>0</v>
      </c>
    </row>
    <row r="561" spans="5:113" outlineLevel="1">
      <c r="F561" s="126" t="s">
        <v>222</v>
      </c>
      <c r="I561" s="609" t="s">
        <v>736</v>
      </c>
      <c r="O561" s="696"/>
      <c r="P561" s="696"/>
      <c r="Q561" s="696"/>
      <c r="R561" s="696"/>
      <c r="S561" s="696"/>
      <c r="T561" s="696"/>
      <c r="U561" s="696"/>
      <c r="V561" s="696"/>
      <c r="W561" s="696"/>
      <c r="X561" s="696"/>
      <c r="Y561" s="696"/>
      <c r="Z561" s="697"/>
      <c r="AA561" s="697"/>
      <c r="AB561" s="697"/>
      <c r="AC561" s="697"/>
      <c r="AD561" s="697"/>
      <c r="AE561" s="697"/>
      <c r="AF561" s="697"/>
      <c r="AG561" s="697"/>
      <c r="AH561" s="697"/>
      <c r="AI561" s="697"/>
      <c r="AJ561" s="697"/>
      <c r="AK561" s="697"/>
      <c r="AL561" s="697"/>
      <c r="AM561" s="697"/>
      <c r="AN561" s="697"/>
      <c r="AO561" s="697"/>
      <c r="AP561" s="710"/>
      <c r="AQ561" s="710"/>
      <c r="AR561" s="710">
        <v>4.0425000000000001E-3</v>
      </c>
      <c r="AS561" s="710">
        <v>1.0897000000000002E-2</v>
      </c>
      <c r="AT561" s="710">
        <v>1.8130602604166667E-2</v>
      </c>
      <c r="AU561" s="710">
        <v>2.5761297578125005E-2</v>
      </c>
      <c r="AV561" s="710">
        <v>3.3745354292968752E-2</v>
      </c>
      <c r="AW561" s="710">
        <v>4.2058720902799475E-2</v>
      </c>
      <c r="AX561" s="710">
        <v>5.0688168892373049E-2</v>
      </c>
      <c r="AY561" s="710">
        <v>5.9591410328305179E-2</v>
      </c>
      <c r="AZ561" s="710">
        <v>6.8777031322234505E-2</v>
      </c>
      <c r="BA561" s="710">
        <v>7.8240895309002648E-2</v>
      </c>
      <c r="BB561" s="710">
        <v>8.7990063442031724E-2</v>
      </c>
      <c r="BC561" s="710">
        <v>9.8032656224184667E-2</v>
      </c>
      <c r="BD561" s="710">
        <v>0.10839036656412411</v>
      </c>
      <c r="BE561" s="710">
        <v>0.11904774301107915</v>
      </c>
      <c r="BF561" s="710">
        <v>0.13314395701043974</v>
      </c>
      <c r="BG561" s="710">
        <v>0.14608289288795448</v>
      </c>
      <c r="BH561" s="710">
        <v>0.15841713084125761</v>
      </c>
      <c r="BI561" s="710">
        <v>0.17047087969399008</v>
      </c>
      <c r="BJ561" s="710">
        <v>0.18239439660786</v>
      </c>
      <c r="BK561" s="710">
        <v>0.19428905804598073</v>
      </c>
      <c r="BL561" s="710">
        <v>0.20622344584858021</v>
      </c>
      <c r="BM561" s="710">
        <v>0.21801595046119268</v>
      </c>
      <c r="BN561" s="710">
        <v>0.22980832285605426</v>
      </c>
      <c r="BO561" s="710">
        <v>0.24172877421708852</v>
      </c>
      <c r="BP561" s="710">
        <v>0.25369169056257407</v>
      </c>
      <c r="BQ561" s="710">
        <v>0.26580248662467482</v>
      </c>
      <c r="BR561" s="710">
        <v>0.27788476886875285</v>
      </c>
      <c r="BS561" s="710">
        <v>0.28995400459403592</v>
      </c>
      <c r="BT561" s="710">
        <v>0.3020239450437775</v>
      </c>
      <c r="BU561" s="710">
        <v>0.31409245143355602</v>
      </c>
      <c r="BV561" s="710">
        <v>0.3261561660307537</v>
      </c>
      <c r="BW561" s="710">
        <v>0.33821859275864496</v>
      </c>
      <c r="BX561" s="710">
        <v>0.35027705151682664</v>
      </c>
      <c r="BY561" s="710">
        <v>0.36233635835660732</v>
      </c>
      <c r="BZ561" s="710">
        <v>0.37439630872569785</v>
      </c>
      <c r="CA561" s="710">
        <v>0.38645649005083599</v>
      </c>
      <c r="CB561" s="710">
        <v>0.39851696492663069</v>
      </c>
      <c r="CC561" s="710">
        <v>0.41057780801034705</v>
      </c>
      <c r="CD561" s="710">
        <v>0.42280515760221693</v>
      </c>
      <c r="CE561" s="710">
        <v>0.43495797079370085</v>
      </c>
      <c r="CF561" s="710">
        <v>0.44707084083652537</v>
      </c>
      <c r="CG561" s="710">
        <v>0.45916204635336472</v>
      </c>
      <c r="CH561" s="710">
        <v>0.47124149383468061</v>
      </c>
      <c r="CI561" s="710">
        <v>0.48331441232737776</v>
      </c>
      <c r="CJ561" s="710">
        <v>0.49558951449680483</v>
      </c>
      <c r="CK561" s="710">
        <v>0.50776683572944903</v>
      </c>
      <c r="CL561" s="710">
        <v>0.51989672584075031</v>
      </c>
      <c r="CM561" s="710">
        <v>0.53200161784851097</v>
      </c>
      <c r="CN561" s="710">
        <v>0.54409331991397791</v>
      </c>
      <c r="CO561" s="710">
        <v>0.55617789634478643</v>
      </c>
      <c r="CP561" s="710">
        <v>0.56825858471701052</v>
      </c>
      <c r="CQ561" s="710">
        <v>0.58033278855602721</v>
      </c>
      <c r="CR561" s="710">
        <v>0.59240981962075145</v>
      </c>
      <c r="CS561" s="710">
        <v>0.60448914194894054</v>
      </c>
      <c r="CT561" s="710">
        <v>0.61657013133367922</v>
      </c>
      <c r="CU561" s="710">
        <v>0.62865221930604553</v>
      </c>
      <c r="CV561" s="710">
        <v>0.64073498319142286</v>
      </c>
      <c r="CW561" s="710">
        <v>0.65281812584337184</v>
      </c>
      <c r="CX561" s="710">
        <v>0.66490153996386625</v>
      </c>
      <c r="CY561" s="710">
        <v>0.67698487853764922</v>
      </c>
      <c r="CZ561" s="710">
        <v>0.68906810328044954</v>
      </c>
      <c r="DA561" s="710">
        <v>0.70306401930424733</v>
      </c>
      <c r="DC561" s="12">
        <f t="shared" si="580"/>
        <v>0</v>
      </c>
      <c r="DD561" s="12">
        <f t="shared" si="581"/>
        <v>1.4939500000000001E-2</v>
      </c>
      <c r="DE561" s="12">
        <f t="shared" si="582"/>
        <v>0.79045431047139492</v>
      </c>
      <c r="DF561" s="12">
        <f t="shared" si="583"/>
        <v>2.4000689856576471</v>
      </c>
      <c r="DG561" s="12">
        <f t="shared" si="584"/>
        <v>4.1308909103164666</v>
      </c>
      <c r="DH561" s="12">
        <f t="shared" si="585"/>
        <v>5.8740778319221469</v>
      </c>
      <c r="DI561" s="12">
        <f t="shared" si="586"/>
        <v>7.6182843356034615</v>
      </c>
    </row>
    <row r="562" spans="5:113" outlineLevel="1">
      <c r="F562" s="126" t="s">
        <v>803</v>
      </c>
      <c r="I562" s="609" t="s">
        <v>736</v>
      </c>
      <c r="O562" s="696"/>
      <c r="P562" s="696"/>
      <c r="Q562" s="696"/>
      <c r="R562" s="696"/>
      <c r="S562" s="696"/>
      <c r="T562" s="696"/>
      <c r="U562" s="696"/>
      <c r="V562" s="696"/>
      <c r="W562" s="696"/>
      <c r="X562" s="696"/>
      <c r="Y562" s="696"/>
      <c r="Z562" s="697"/>
      <c r="AA562" s="697"/>
      <c r="AB562" s="697"/>
      <c r="AC562" s="697"/>
      <c r="AD562" s="697"/>
      <c r="AE562" s="697"/>
      <c r="AF562" s="697"/>
      <c r="AG562" s="697"/>
      <c r="AH562" s="697"/>
      <c r="AI562" s="697"/>
      <c r="AJ562" s="697"/>
      <c r="AK562" s="697"/>
      <c r="AL562" s="697"/>
      <c r="AM562" s="697"/>
      <c r="AN562" s="697"/>
      <c r="AO562" s="697"/>
      <c r="AP562" s="710"/>
      <c r="AQ562" s="710"/>
      <c r="AR562" s="710">
        <v>0</v>
      </c>
      <c r="AS562" s="710">
        <v>0</v>
      </c>
      <c r="AT562" s="710">
        <v>0</v>
      </c>
      <c r="AU562" s="710">
        <v>0</v>
      </c>
      <c r="AV562" s="710">
        <v>0</v>
      </c>
      <c r="AW562" s="710">
        <v>0</v>
      </c>
      <c r="AX562" s="710">
        <v>0</v>
      </c>
      <c r="AY562" s="710">
        <v>0</v>
      </c>
      <c r="AZ562" s="710">
        <v>0</v>
      </c>
      <c r="BA562" s="710">
        <v>0</v>
      </c>
      <c r="BB562" s="710">
        <v>0</v>
      </c>
      <c r="BC562" s="710">
        <v>0</v>
      </c>
      <c r="BD562" s="710">
        <v>0</v>
      </c>
      <c r="BE562" s="710">
        <v>0</v>
      </c>
      <c r="BF562" s="710">
        <v>0</v>
      </c>
      <c r="BG562" s="710">
        <v>0</v>
      </c>
      <c r="BH562" s="710">
        <v>0</v>
      </c>
      <c r="BI562" s="710">
        <v>0</v>
      </c>
      <c r="BJ562" s="710">
        <v>0</v>
      </c>
      <c r="BK562" s="710">
        <v>0</v>
      </c>
      <c r="BL562" s="710">
        <v>0</v>
      </c>
      <c r="BM562" s="710">
        <v>0</v>
      </c>
      <c r="BN562" s="710">
        <v>0</v>
      </c>
      <c r="BO562" s="710">
        <v>0</v>
      </c>
      <c r="BP562" s="710">
        <v>0</v>
      </c>
      <c r="BQ562" s="710">
        <v>0</v>
      </c>
      <c r="BR562" s="710">
        <v>0</v>
      </c>
      <c r="BS562" s="710">
        <v>0</v>
      </c>
      <c r="BT562" s="710">
        <v>0</v>
      </c>
      <c r="BU562" s="710">
        <v>0</v>
      </c>
      <c r="BV562" s="710">
        <v>0</v>
      </c>
      <c r="BW562" s="710">
        <v>0</v>
      </c>
      <c r="BX562" s="710">
        <v>0</v>
      </c>
      <c r="BY562" s="710">
        <v>0</v>
      </c>
      <c r="BZ562" s="710">
        <v>0</v>
      </c>
      <c r="CA562" s="710">
        <v>0</v>
      </c>
      <c r="CB562" s="710">
        <v>0</v>
      </c>
      <c r="CC562" s="710">
        <v>0</v>
      </c>
      <c r="CD562" s="710">
        <v>0</v>
      </c>
      <c r="CE562" s="710">
        <v>0</v>
      </c>
      <c r="CF562" s="710">
        <v>0</v>
      </c>
      <c r="CG562" s="710">
        <v>0</v>
      </c>
      <c r="CH562" s="710">
        <v>0</v>
      </c>
      <c r="CI562" s="710">
        <v>0</v>
      </c>
      <c r="CJ562" s="710">
        <v>0</v>
      </c>
      <c r="CK562" s="710">
        <v>0</v>
      </c>
      <c r="CL562" s="710">
        <v>0</v>
      </c>
      <c r="CM562" s="710">
        <v>0</v>
      </c>
      <c r="CN562" s="710">
        <v>0</v>
      </c>
      <c r="CO562" s="710">
        <v>0</v>
      </c>
      <c r="CP562" s="710">
        <v>0</v>
      </c>
      <c r="CQ562" s="710">
        <v>0</v>
      </c>
      <c r="CR562" s="710">
        <v>0</v>
      </c>
      <c r="CS562" s="710">
        <v>0</v>
      </c>
      <c r="CT562" s="710">
        <v>0</v>
      </c>
      <c r="CU562" s="710">
        <v>0</v>
      </c>
      <c r="CV562" s="710">
        <v>0</v>
      </c>
      <c r="CW562" s="710">
        <v>0</v>
      </c>
      <c r="CX562" s="710">
        <v>0</v>
      </c>
      <c r="CY562" s="710">
        <v>0</v>
      </c>
      <c r="CZ562" s="710">
        <v>0</v>
      </c>
      <c r="DA562" s="710">
        <v>0</v>
      </c>
      <c r="DC562" s="12">
        <f>SUM(V562:AG562)</f>
        <v>0</v>
      </c>
      <c r="DD562" s="12">
        <f>SUM(AH562:AS562)</f>
        <v>0</v>
      </c>
      <c r="DE562" s="12">
        <f>SUM(AT562:BE562)</f>
        <v>0</v>
      </c>
      <c r="DF562" s="12">
        <f>SUM(BF562:BQ562)</f>
        <v>0</v>
      </c>
      <c r="DG562" s="12">
        <f>SUM(BR562:CC562)</f>
        <v>0</v>
      </c>
      <c r="DH562" s="12">
        <f>SUM(CD562:CO562)</f>
        <v>0</v>
      </c>
      <c r="DI562" s="12">
        <f t="shared" si="586"/>
        <v>0</v>
      </c>
    </row>
    <row r="563" spans="5:113" outlineLevel="1">
      <c r="F563" s="126" t="s">
        <v>224</v>
      </c>
      <c r="I563" s="609" t="s">
        <v>736</v>
      </c>
      <c r="O563" s="696"/>
      <c r="P563" s="696"/>
      <c r="Q563" s="696"/>
      <c r="R563" s="696"/>
      <c r="S563" s="696"/>
      <c r="T563" s="696"/>
      <c r="U563" s="696"/>
      <c r="V563" s="696"/>
      <c r="W563" s="696"/>
      <c r="X563" s="696"/>
      <c r="Y563" s="696"/>
      <c r="Z563" s="697"/>
      <c r="AA563" s="697"/>
      <c r="AB563" s="697"/>
      <c r="AC563" s="697"/>
      <c r="AD563" s="697"/>
      <c r="AE563" s="697"/>
      <c r="AF563" s="697"/>
      <c r="AG563" s="697"/>
      <c r="AH563" s="697"/>
      <c r="AI563" s="697"/>
      <c r="AJ563" s="697"/>
      <c r="AK563" s="697"/>
      <c r="AL563" s="697"/>
      <c r="AM563" s="697"/>
      <c r="AN563" s="697"/>
      <c r="AO563" s="697"/>
      <c r="AP563" s="710"/>
      <c r="AQ563" s="710"/>
      <c r="AR563" s="710">
        <v>0</v>
      </c>
      <c r="AS563" s="710">
        <v>0</v>
      </c>
      <c r="AT563" s="710">
        <v>0</v>
      </c>
      <c r="AU563" s="710">
        <v>0</v>
      </c>
      <c r="AV563" s="710">
        <v>0</v>
      </c>
      <c r="AW563" s="710">
        <v>0</v>
      </c>
      <c r="AX563" s="710">
        <v>0</v>
      </c>
      <c r="AY563" s="710">
        <v>0</v>
      </c>
      <c r="AZ563" s="710">
        <v>0</v>
      </c>
      <c r="BA563" s="710">
        <v>0</v>
      </c>
      <c r="BB563" s="710">
        <v>0</v>
      </c>
      <c r="BC563" s="710">
        <v>0</v>
      </c>
      <c r="BD563" s="710">
        <v>0</v>
      </c>
      <c r="BE563" s="710">
        <v>0</v>
      </c>
      <c r="BF563" s="710">
        <v>0</v>
      </c>
      <c r="BG563" s="710">
        <v>0</v>
      </c>
      <c r="BH563" s="710">
        <v>0</v>
      </c>
      <c r="BI563" s="710">
        <v>0</v>
      </c>
      <c r="BJ563" s="710">
        <v>0</v>
      </c>
      <c r="BK563" s="710">
        <v>0</v>
      </c>
      <c r="BL563" s="710">
        <v>0</v>
      </c>
      <c r="BM563" s="710">
        <v>0</v>
      </c>
      <c r="BN563" s="710">
        <v>0</v>
      </c>
      <c r="BO563" s="710">
        <v>0</v>
      </c>
      <c r="BP563" s="710">
        <v>0</v>
      </c>
      <c r="BQ563" s="710">
        <v>0</v>
      </c>
      <c r="BR563" s="710">
        <v>0</v>
      </c>
      <c r="BS563" s="710">
        <v>0</v>
      </c>
      <c r="BT563" s="710">
        <v>0</v>
      </c>
      <c r="BU563" s="710">
        <v>0</v>
      </c>
      <c r="BV563" s="710">
        <v>0</v>
      </c>
      <c r="BW563" s="710">
        <v>0</v>
      </c>
      <c r="BX563" s="710">
        <v>0</v>
      </c>
      <c r="BY563" s="710">
        <v>0</v>
      </c>
      <c r="BZ563" s="710">
        <v>0</v>
      </c>
      <c r="CA563" s="710">
        <v>0</v>
      </c>
      <c r="CB563" s="710">
        <v>0</v>
      </c>
      <c r="CC563" s="710">
        <v>0</v>
      </c>
      <c r="CD563" s="710">
        <v>0</v>
      </c>
      <c r="CE563" s="710">
        <v>0</v>
      </c>
      <c r="CF563" s="710">
        <v>0</v>
      </c>
      <c r="CG563" s="710">
        <v>0</v>
      </c>
      <c r="CH563" s="710">
        <v>0</v>
      </c>
      <c r="CI563" s="710">
        <v>0</v>
      </c>
      <c r="CJ563" s="710">
        <v>0</v>
      </c>
      <c r="CK563" s="710">
        <v>0</v>
      </c>
      <c r="CL563" s="710">
        <v>0</v>
      </c>
      <c r="CM563" s="710">
        <v>0</v>
      </c>
      <c r="CN563" s="710">
        <v>0</v>
      </c>
      <c r="CO563" s="710">
        <v>0</v>
      </c>
      <c r="CP563" s="710">
        <v>0</v>
      </c>
      <c r="CQ563" s="710">
        <v>0</v>
      </c>
      <c r="CR563" s="710">
        <v>0</v>
      </c>
      <c r="CS563" s="710">
        <v>0</v>
      </c>
      <c r="CT563" s="710">
        <v>0</v>
      </c>
      <c r="CU563" s="710">
        <v>0</v>
      </c>
      <c r="CV563" s="710">
        <v>0</v>
      </c>
      <c r="CW563" s="710">
        <v>0</v>
      </c>
      <c r="CX563" s="710">
        <v>0</v>
      </c>
      <c r="CY563" s="710">
        <v>0</v>
      </c>
      <c r="CZ563" s="710">
        <v>0</v>
      </c>
      <c r="DA563" s="710">
        <v>0</v>
      </c>
      <c r="DC563" s="12">
        <f>SUM(V563:AG563)</f>
        <v>0</v>
      </c>
      <c r="DD563" s="12">
        <f>SUM(AH563:AS563)</f>
        <v>0</v>
      </c>
      <c r="DE563" s="12">
        <f>SUM(AT563:BE563)</f>
        <v>0</v>
      </c>
      <c r="DF563" s="12">
        <f>SUM(BF563:BQ563)</f>
        <v>0</v>
      </c>
      <c r="DG563" s="12">
        <f>SUM(BR563:CC563)</f>
        <v>0</v>
      </c>
      <c r="DH563" s="12">
        <f>SUM(CD563:CO563)</f>
        <v>0</v>
      </c>
      <c r="DI563" s="12">
        <f t="shared" si="586"/>
        <v>0</v>
      </c>
    </row>
    <row r="564" spans="5:113" outlineLevel="1">
      <c r="F564" s="126" t="s">
        <v>804</v>
      </c>
      <c r="G564" s="230"/>
      <c r="H564" s="232"/>
      <c r="I564" s="609" t="s">
        <v>736</v>
      </c>
      <c r="O564" s="696"/>
      <c r="P564" s="696"/>
      <c r="Q564" s="696"/>
      <c r="R564" s="696"/>
      <c r="S564" s="696"/>
      <c r="T564" s="696"/>
      <c r="U564" s="696"/>
      <c r="V564" s="696"/>
      <c r="W564" s="696"/>
      <c r="X564" s="696"/>
      <c r="Y564" s="696"/>
      <c r="Z564" s="697"/>
      <c r="AA564" s="697"/>
      <c r="AB564" s="697"/>
      <c r="AC564" s="697"/>
      <c r="AD564" s="697"/>
      <c r="AE564" s="697"/>
      <c r="AF564" s="697"/>
      <c r="AG564" s="697"/>
      <c r="AH564" s="697"/>
      <c r="AI564" s="697"/>
      <c r="AJ564" s="697"/>
      <c r="AK564" s="697"/>
      <c r="AL564" s="697"/>
      <c r="AM564" s="697"/>
      <c r="AN564" s="697"/>
      <c r="AO564" s="697"/>
      <c r="AP564" s="710"/>
      <c r="AQ564" s="710"/>
      <c r="AR564" s="710">
        <v>0</v>
      </c>
      <c r="AS564" s="710">
        <v>0</v>
      </c>
      <c r="AT564" s="710">
        <v>-5.1914126654212028E-3</v>
      </c>
      <c r="AU564" s="710">
        <v>-1.2139178617788951E-2</v>
      </c>
      <c r="AV564" s="710">
        <v>-2.1644850382893016E-2</v>
      </c>
      <c r="AW564" s="710">
        <v>-3.3649514971038477E-2</v>
      </c>
      <c r="AX564" s="710">
        <v>-4.7936743607348016E-2</v>
      </c>
      <c r="AY564" s="710">
        <v>-6.4281483829127364E-2</v>
      </c>
      <c r="AZ564" s="710">
        <v>-8.1871629576701369E-2</v>
      </c>
      <c r="BA564" s="710">
        <v>-9.9109518059108156E-2</v>
      </c>
      <c r="BB564" s="710">
        <v>-0.11583873950366476</v>
      </c>
      <c r="BC564" s="710">
        <v>-0.13118194634564767</v>
      </c>
      <c r="BD564" s="710">
        <v>-0.14486063495547943</v>
      </c>
      <c r="BE564" s="710">
        <v>-0.15664850038350933</v>
      </c>
      <c r="BF564" s="710">
        <v>-0.2250030027717865</v>
      </c>
      <c r="BG564" s="710">
        <v>-0.17190023719054329</v>
      </c>
      <c r="BH564" s="710">
        <v>-0.17008840192810185</v>
      </c>
      <c r="BI564" s="710">
        <v>-0.17929943966005132</v>
      </c>
      <c r="BJ564" s="710">
        <v>-0.18833544399971158</v>
      </c>
      <c r="BK564" s="710">
        <v>-0.20215062569166309</v>
      </c>
      <c r="BL564" s="710">
        <v>-0.21294069016600908</v>
      </c>
      <c r="BM564" s="710">
        <v>-0.22768408206310917</v>
      </c>
      <c r="BN564" s="710">
        <v>-0.24780365684318242</v>
      </c>
      <c r="BO564" s="710">
        <v>-0.26288973713960145</v>
      </c>
      <c r="BP564" s="710">
        <v>-0.27441204333274077</v>
      </c>
      <c r="BQ564" s="710">
        <v>-0.28786069965532685</v>
      </c>
      <c r="BR564" s="710">
        <v>-0.29969814483931234</v>
      </c>
      <c r="BS564" s="710">
        <v>-0.31536287691059156</v>
      </c>
      <c r="BT564" s="710">
        <v>-0.3307935041247767</v>
      </c>
      <c r="BU564" s="710">
        <v>-0.34603740471813715</v>
      </c>
      <c r="BV564" s="710">
        <v>-0.36148138495373949</v>
      </c>
      <c r="BW564" s="710">
        <v>-0.37706315116050787</v>
      </c>
      <c r="BX564" s="710">
        <v>-0.39256819650510832</v>
      </c>
      <c r="BY564" s="710">
        <v>-0.39745848059378813</v>
      </c>
      <c r="BZ564" s="710">
        <v>-0.40433145361951384</v>
      </c>
      <c r="CA564" s="710">
        <v>-0.41180587524621448</v>
      </c>
      <c r="CB564" s="710">
        <v>-0.41959457961604602</v>
      </c>
      <c r="CC564" s="710">
        <v>-0.42729902195016922</v>
      </c>
      <c r="CD564" s="710">
        <v>-0.43496323926255975</v>
      </c>
      <c r="CE564" s="710">
        <v>-0.42854130165162219</v>
      </c>
      <c r="CF564" s="710">
        <v>-0.43271108178017575</v>
      </c>
      <c r="CG564" s="710">
        <v>-0.43767288919743452</v>
      </c>
      <c r="CH564" s="710">
        <v>-0.44299996784051271</v>
      </c>
      <c r="CI564" s="710">
        <v>-0.44816485266095829</v>
      </c>
      <c r="CJ564" s="710">
        <v>-0.4531918398686447</v>
      </c>
      <c r="CK564" s="710">
        <v>-0.45689228859363651</v>
      </c>
      <c r="CL564" s="710">
        <v>-0.4701577611989663</v>
      </c>
      <c r="CM564" s="710">
        <v>-0.48313462858579087</v>
      </c>
      <c r="CN564" s="710">
        <v>-0.49599801555926504</v>
      </c>
      <c r="CO564" s="710">
        <v>-0.50873252540401259</v>
      </c>
      <c r="CP564" s="710">
        <v>-0.52134195361879565</v>
      </c>
      <c r="CQ564" s="710">
        <v>-0.53381552314373282</v>
      </c>
      <c r="CR564" s="710">
        <v>-0.54617316335001964</v>
      </c>
      <c r="CS564" s="710">
        <v>-0.5581730154212875</v>
      </c>
      <c r="CT564" s="710">
        <v>-0.57010933542454822</v>
      </c>
      <c r="CU564" s="710">
        <v>-0.58201934056217242</v>
      </c>
      <c r="CV564" s="710">
        <v>-0.59392473554750924</v>
      </c>
      <c r="CW564" s="710">
        <v>-0.60583571675551273</v>
      </c>
      <c r="CX564" s="710">
        <v>-0.61775699869724787</v>
      </c>
      <c r="CY564" s="710">
        <v>-0.62968924490271294</v>
      </c>
      <c r="CZ564" s="710">
        <v>-0.64163696400198778</v>
      </c>
      <c r="DA564" s="710">
        <v>-0.65388834915846672</v>
      </c>
      <c r="DC564" s="12">
        <f t="shared" ref="DC564:DC578" si="591">SUM(V564:AG564)</f>
        <v>0</v>
      </c>
      <c r="DD564" s="12">
        <f t="shared" ref="DD564:DD578" si="592">SUM(AH564:AS564)</f>
        <v>0</v>
      </c>
      <c r="DE564" s="12">
        <f t="shared" ref="DE564:DE578" si="593">SUM(AT564:BE564)</f>
        <v>-0.9143541528977277</v>
      </c>
      <c r="DF564" s="12">
        <f t="shared" ref="DF564:DF578" si="594">SUM(BF564:BQ564)</f>
        <v>-2.6503680604418274</v>
      </c>
      <c r="DG564" s="12">
        <f t="shared" ref="DG564:DG578" si="595">SUM(BR564:CC564)</f>
        <v>-4.4834940742379059</v>
      </c>
      <c r="DH564" s="12">
        <f t="shared" ref="DH564:DH578" si="596">SUM(CD564:CO564)</f>
        <v>-5.4931603916035803</v>
      </c>
      <c r="DI564" s="12">
        <f t="shared" si="586"/>
        <v>-7.0543643405839935</v>
      </c>
    </row>
    <row r="565" spans="5:113" outlineLevel="1">
      <c r="E565" s="720" t="s">
        <v>621</v>
      </c>
      <c r="I565" s="609" t="s">
        <v>736</v>
      </c>
      <c r="O565" s="696"/>
      <c r="P565" s="696"/>
      <c r="Q565" s="696"/>
      <c r="R565" s="696"/>
      <c r="S565" s="696"/>
      <c r="T565" s="696"/>
      <c r="U565" s="696"/>
      <c r="V565" s="696"/>
      <c r="W565" s="696"/>
      <c r="X565" s="696"/>
      <c r="Y565" s="696"/>
      <c r="Z565" s="697"/>
      <c r="AA565" s="697"/>
      <c r="AB565" s="697"/>
      <c r="AC565" s="697"/>
      <c r="AD565" s="697"/>
      <c r="AE565" s="697"/>
      <c r="AF565" s="697"/>
      <c r="AG565" s="697"/>
      <c r="AH565" s="697"/>
      <c r="AI565" s="697"/>
      <c r="AJ565" s="697"/>
      <c r="AK565" s="697"/>
      <c r="AL565" s="697"/>
      <c r="AM565" s="697"/>
      <c r="AN565" s="697"/>
      <c r="AO565" s="697"/>
      <c r="AP565" s="710"/>
      <c r="AQ565" s="714"/>
      <c r="AR565" s="714">
        <v>-5.4000000000000003E-3</v>
      </c>
      <c r="AS565" s="714">
        <v>-1.6200000000000003E-2</v>
      </c>
      <c r="AT565" s="714">
        <v>-2.2408828124999999E-2</v>
      </c>
      <c r="AU565" s="714">
        <v>-3.1008990847537873E-2</v>
      </c>
      <c r="AV565" s="714">
        <v>-5.1409982859809744E-2</v>
      </c>
      <c r="AW565" s="714">
        <v>-7.2181239647210571E-2</v>
      </c>
      <c r="AX565" s="714">
        <v>-9.6500582877077065E-2</v>
      </c>
      <c r="AY565" s="714">
        <v>-0.14336880862996762</v>
      </c>
      <c r="AZ565" s="714">
        <v>-0.23435489520967839</v>
      </c>
      <c r="BA565" s="714">
        <v>-0.33046648042160515</v>
      </c>
      <c r="BB565" s="714">
        <v>-0.44546321750978174</v>
      </c>
      <c r="BC565" s="714">
        <v>-0.56050041649382321</v>
      </c>
      <c r="BD565" s="714">
        <v>-0.65943839024235629</v>
      </c>
      <c r="BE565" s="714">
        <v>-0.74072876995604953</v>
      </c>
      <c r="BF565" s="714">
        <v>-0.86289365261228845</v>
      </c>
      <c r="BG565" s="714">
        <v>-0.93835590149271697</v>
      </c>
      <c r="BH565" s="714">
        <v>-0.99796846513629589</v>
      </c>
      <c r="BI565" s="714">
        <v>-1.0161189541035029</v>
      </c>
      <c r="BJ565" s="714">
        <v>-1.0925436608082317</v>
      </c>
      <c r="BK565" s="714">
        <v>-1.1317599759911503</v>
      </c>
      <c r="BL565" s="714">
        <v>-1.1178990770793444</v>
      </c>
      <c r="BM565" s="714">
        <v>-1.2224274976542724</v>
      </c>
      <c r="BN565" s="714">
        <v>-1.4857735426583081</v>
      </c>
      <c r="BO565" s="714">
        <v>-1.6514543490737255</v>
      </c>
      <c r="BP565" s="714">
        <v>-1.7378639054775247</v>
      </c>
      <c r="BQ565" s="714">
        <v>-1.8217066029778415</v>
      </c>
      <c r="BR565" s="714">
        <v>-1.8487606562100947</v>
      </c>
      <c r="BS565" s="714">
        <v>-1.9707843230446409</v>
      </c>
      <c r="BT565" s="714">
        <v>-2.0839339174673817</v>
      </c>
      <c r="BU565" s="714">
        <v>-2.190232736027613</v>
      </c>
      <c r="BV565" s="714">
        <v>-2.3003698713378009</v>
      </c>
      <c r="BW565" s="714">
        <v>-2.4142447101324698</v>
      </c>
      <c r="BX565" s="714">
        <v>-2.5007870061734723</v>
      </c>
      <c r="BY565" s="714">
        <v>-2.6226918109080604</v>
      </c>
      <c r="BZ565" s="714">
        <v>-2.7368349993042163</v>
      </c>
      <c r="CA565" s="714">
        <v>-2.7912261703862473</v>
      </c>
      <c r="CB565" s="714">
        <v>-2.9033886520732768</v>
      </c>
      <c r="CC565" s="714">
        <v>-3.0148631178558012</v>
      </c>
      <c r="CD565" s="714">
        <v>-2.9765225658006238</v>
      </c>
      <c r="CE565" s="714">
        <v>-2.8974626967092245</v>
      </c>
      <c r="CF565" s="714">
        <v>-3.0083225256516419</v>
      </c>
      <c r="CG565" s="714">
        <v>-3.0442889089649241</v>
      </c>
      <c r="CH565" s="714">
        <v>-3.152621443112023</v>
      </c>
      <c r="CI565" s="714">
        <v>-3.2587066415552686</v>
      </c>
      <c r="CJ565" s="714">
        <v>-3.2225591052382505</v>
      </c>
      <c r="CK565" s="714">
        <v>-3.0868321519798636</v>
      </c>
      <c r="CL565" s="714">
        <v>-3.1927251904482112</v>
      </c>
      <c r="CM565" s="714">
        <v>-3.2907903801423664</v>
      </c>
      <c r="CN565" s="714">
        <v>-3.3889205024518252</v>
      </c>
      <c r="CO565" s="714">
        <v>-3.4841757130976858</v>
      </c>
      <c r="CP565" s="714">
        <v>-3.5790567464502216</v>
      </c>
      <c r="CQ565" s="714">
        <v>-3.6767926890247167</v>
      </c>
      <c r="CR565" s="714">
        <v>-3.775221952926997</v>
      </c>
      <c r="CS565" s="714">
        <v>-3.8655945735432535</v>
      </c>
      <c r="CT565" s="714">
        <v>-3.9548026239415881</v>
      </c>
      <c r="CU565" s="714">
        <v>-4.0433725369358973</v>
      </c>
      <c r="CV565" s="714">
        <v>-4.1317495463381313</v>
      </c>
      <c r="CW565" s="714">
        <v>-4.2200572504985843</v>
      </c>
      <c r="CX565" s="714">
        <v>-4.3083246692796582</v>
      </c>
      <c r="CY565" s="714">
        <v>-4.3966778983545547</v>
      </c>
      <c r="CZ565" s="714">
        <v>-4.4853484293218324</v>
      </c>
      <c r="DA565" s="714">
        <v>-4.6079763881059037</v>
      </c>
      <c r="DC565" s="14">
        <f>SUM(V565:AG565)</f>
        <v>0</v>
      </c>
      <c r="DD565" s="12">
        <f>SUM(AH565:AS565)</f>
        <v>-2.1600000000000001E-2</v>
      </c>
      <c r="DE565" s="12">
        <f>SUM(AT565:BE565)</f>
        <v>-3.3878306028198968</v>
      </c>
      <c r="DF565" s="12">
        <f>SUM(BF565:BQ565)</f>
        <v>-15.076765585065202</v>
      </c>
      <c r="DG565" s="12">
        <f>SUM(BR565:CC565)</f>
        <v>-29.378117970921071</v>
      </c>
      <c r="DH565" s="12">
        <f>SUM(CD565:CO565)</f>
        <v>-38.003927825151905</v>
      </c>
      <c r="DI565" s="14">
        <f t="shared" si="586"/>
        <v>-49.044975304721341</v>
      </c>
    </row>
    <row r="566" spans="5:113" outlineLevel="1">
      <c r="E566" s="724" t="s">
        <v>701</v>
      </c>
      <c r="F566" s="698"/>
      <c r="G566" s="698"/>
      <c r="H566" s="703"/>
      <c r="I566" s="609" t="s">
        <v>736</v>
      </c>
      <c r="O566" s="696"/>
      <c r="P566" s="696"/>
      <c r="Q566" s="696"/>
      <c r="R566" s="696"/>
      <c r="S566" s="696"/>
      <c r="T566" s="696"/>
      <c r="U566" s="696"/>
      <c r="V566" s="696"/>
      <c r="W566" s="696"/>
      <c r="X566" s="696"/>
      <c r="Y566" s="696"/>
      <c r="Z566" s="697"/>
      <c r="AA566" s="697"/>
      <c r="AB566" s="697"/>
      <c r="AC566" s="697"/>
      <c r="AD566" s="697"/>
      <c r="AE566" s="697"/>
      <c r="AF566" s="697"/>
      <c r="AG566" s="697"/>
      <c r="AH566" s="697"/>
      <c r="AI566" s="697"/>
      <c r="AJ566" s="697"/>
      <c r="AK566" s="697"/>
      <c r="AL566" s="697"/>
      <c r="AM566" s="697"/>
      <c r="AN566" s="697"/>
      <c r="AO566" s="697"/>
      <c r="AP566" s="696"/>
      <c r="AQ566" s="696"/>
      <c r="AR566" s="696">
        <f t="shared" ref="AR566:DA566" si="597">SUM(AR567:AR575)</f>
        <v>-0.18312924999999999</v>
      </c>
      <c r="AS566" s="696">
        <f t="shared" si="597"/>
        <v>-0.31074324447463769</v>
      </c>
      <c r="AT566" s="696">
        <f t="shared" si="597"/>
        <v>-0.4121915646761129</v>
      </c>
      <c r="AU566" s="696">
        <f t="shared" si="597"/>
        <v>-0.43399386180551397</v>
      </c>
      <c r="AV566" s="696">
        <f t="shared" si="597"/>
        <v>-0.45708960352546862</v>
      </c>
      <c r="AW566" s="696">
        <f t="shared" si="597"/>
        <v>-0.48003768744943004</v>
      </c>
      <c r="AX566" s="696">
        <f t="shared" si="597"/>
        <v>-0.50303073486299166</v>
      </c>
      <c r="AY566" s="696">
        <f t="shared" si="597"/>
        <v>-0.52610288372569147</v>
      </c>
      <c r="AZ566" s="696">
        <f t="shared" si="597"/>
        <v>-0.54450105701937224</v>
      </c>
      <c r="BA566" s="696">
        <f t="shared" si="597"/>
        <v>-0.56808150678418023</v>
      </c>
      <c r="BB566" s="696">
        <f t="shared" si="597"/>
        <v>-0.59212191546366988</v>
      </c>
      <c r="BC566" s="696">
        <f t="shared" si="597"/>
        <v>-0.61674569609824159</v>
      </c>
      <c r="BD566" s="696">
        <f t="shared" si="597"/>
        <v>-0.64201842022972533</v>
      </c>
      <c r="BE566" s="696">
        <f t="shared" si="597"/>
        <v>-0.66791890275028831</v>
      </c>
      <c r="BF566" s="696">
        <f t="shared" si="597"/>
        <v>-0.74534938235822257</v>
      </c>
      <c r="BG566" s="696">
        <f t="shared" si="597"/>
        <v>-0.80887998132151928</v>
      </c>
      <c r="BH566" s="696">
        <f t="shared" si="597"/>
        <v>-0.8393630959517534</v>
      </c>
      <c r="BI566" s="696">
        <f t="shared" si="597"/>
        <v>-0.86653013381923771</v>
      </c>
      <c r="BJ566" s="696">
        <f t="shared" si="597"/>
        <v>-0.8921969743007111</v>
      </c>
      <c r="BK566" s="696">
        <f t="shared" si="597"/>
        <v>-0.91708705750003039</v>
      </c>
      <c r="BL566" s="696">
        <f t="shared" si="597"/>
        <v>-0.94171249325339845</v>
      </c>
      <c r="BM566" s="696">
        <f t="shared" si="597"/>
        <v>-0.96552895838672137</v>
      </c>
      <c r="BN566" s="696">
        <f t="shared" si="597"/>
        <v>-0.9891597766734076</v>
      </c>
      <c r="BO566" s="696">
        <f t="shared" si="597"/>
        <v>-1.0133600796618196</v>
      </c>
      <c r="BP566" s="696">
        <f t="shared" si="597"/>
        <v>-1.037880621917779</v>
      </c>
      <c r="BQ566" s="696">
        <f t="shared" si="597"/>
        <v>-1.0625445165770087</v>
      </c>
      <c r="BR566" s="696">
        <f t="shared" si="597"/>
        <v>-1.1270095577096739</v>
      </c>
      <c r="BS566" s="696">
        <f t="shared" si="597"/>
        <v>-1.1457845385560126</v>
      </c>
      <c r="BT566" s="696">
        <f t="shared" si="597"/>
        <v>-1.1645506786172777</v>
      </c>
      <c r="BU566" s="696">
        <f t="shared" si="597"/>
        <v>-1.1833063031289646</v>
      </c>
      <c r="BV566" s="696">
        <f t="shared" si="597"/>
        <v>-1.2020380075112593</v>
      </c>
      <c r="BW566" s="696">
        <f t="shared" si="597"/>
        <v>-1.2207638883803391</v>
      </c>
      <c r="BX566" s="696">
        <f t="shared" si="597"/>
        <v>-1.2404885061097393</v>
      </c>
      <c r="BY566" s="696">
        <f t="shared" si="597"/>
        <v>-1.261098110273192</v>
      </c>
      <c r="BZ566" s="696">
        <f t="shared" si="597"/>
        <v>-1.281460973941404</v>
      </c>
      <c r="CA566" s="696">
        <f t="shared" si="597"/>
        <v>-1.3017483844666347</v>
      </c>
      <c r="CB566" s="696">
        <f t="shared" si="597"/>
        <v>-1.3220253062991549</v>
      </c>
      <c r="CC566" s="696">
        <f t="shared" si="597"/>
        <v>-1.3423292266636508</v>
      </c>
      <c r="CD566" s="696">
        <f t="shared" si="597"/>
        <v>-1.4019619626305835</v>
      </c>
      <c r="CE566" s="696">
        <f t="shared" si="597"/>
        <v>-1.4250641690527284</v>
      </c>
      <c r="CF566" s="696">
        <f t="shared" si="597"/>
        <v>-1.447227911245855</v>
      </c>
      <c r="CG566" s="696">
        <f t="shared" si="597"/>
        <v>-1.4691321797048025</v>
      </c>
      <c r="CH566" s="696">
        <f t="shared" si="597"/>
        <v>-1.4909382973399976</v>
      </c>
      <c r="CI566" s="696">
        <f t="shared" si="597"/>
        <v>-1.5127361011001592</v>
      </c>
      <c r="CJ566" s="696">
        <f t="shared" si="597"/>
        <v>-1.5345773581941409</v>
      </c>
      <c r="CK566" s="696">
        <f t="shared" si="597"/>
        <v>-1.555869317958666</v>
      </c>
      <c r="CL566" s="696">
        <f t="shared" si="597"/>
        <v>-1.5764570048978797</v>
      </c>
      <c r="CM566" s="696">
        <f t="shared" si="597"/>
        <v>-1.5968889372866903</v>
      </c>
      <c r="CN566" s="696">
        <f t="shared" si="597"/>
        <v>-1.6172479482698041</v>
      </c>
      <c r="CO566" s="696">
        <f t="shared" si="597"/>
        <v>-1.6375809447998606</v>
      </c>
      <c r="CP566" s="696">
        <f t="shared" si="597"/>
        <v>-1.6801981653842109</v>
      </c>
      <c r="CQ566" s="696">
        <f t="shared" si="597"/>
        <v>-1.7005414392251283</v>
      </c>
      <c r="CR566" s="696">
        <f t="shared" si="597"/>
        <v>-1.7209172402987192</v>
      </c>
      <c r="CS566" s="696">
        <f t="shared" si="597"/>
        <v>-1.7413270455136505</v>
      </c>
      <c r="CT566" s="696">
        <f t="shared" si="597"/>
        <v>-1.7617518580914384</v>
      </c>
      <c r="CU566" s="696">
        <f t="shared" si="597"/>
        <v>-1.7821845197143182</v>
      </c>
      <c r="CV566" s="696">
        <f t="shared" si="597"/>
        <v>-1.802620427471912</v>
      </c>
      <c r="CW566" s="696">
        <f t="shared" si="597"/>
        <v>-1.8230568704186951</v>
      </c>
      <c r="CX566" s="696">
        <f t="shared" si="597"/>
        <v>-1.843492374792201</v>
      </c>
      <c r="CY566" s="696">
        <f t="shared" si="597"/>
        <v>-1.8639259814094327</v>
      </c>
      <c r="CZ566" s="696">
        <f t="shared" si="597"/>
        <v>-1.8843577151725377</v>
      </c>
      <c r="DA566" s="696">
        <f t="shared" si="597"/>
        <v>-1.9050997049590412</v>
      </c>
      <c r="DB566" s="698"/>
      <c r="DC566" s="12">
        <f t="shared" si="591"/>
        <v>0</v>
      </c>
      <c r="DD566" s="14">
        <f t="shared" si="592"/>
        <v>-0.49387249447463766</v>
      </c>
      <c r="DE566" s="14">
        <f t="shared" si="593"/>
        <v>-6.4438338343906869</v>
      </c>
      <c r="DF566" s="14">
        <f t="shared" si="594"/>
        <v>-11.079593071721607</v>
      </c>
      <c r="DG566" s="14">
        <f t="shared" si="595"/>
        <v>-14.7926034816573</v>
      </c>
      <c r="DH566" s="14">
        <f t="shared" si="596"/>
        <v>-18.265682132481171</v>
      </c>
      <c r="DI566" s="14">
        <f t="shared" si="586"/>
        <v>-21.509473342451287</v>
      </c>
    </row>
    <row r="567" spans="5:113" outlineLevel="1">
      <c r="F567" s="126" t="s">
        <v>100</v>
      </c>
      <c r="I567" s="609" t="s">
        <v>736</v>
      </c>
      <c r="O567" s="696"/>
      <c r="P567" s="696"/>
      <c r="Q567" s="696"/>
      <c r="R567" s="696"/>
      <c r="S567" s="696"/>
      <c r="T567" s="696"/>
      <c r="U567" s="696"/>
      <c r="V567" s="696"/>
      <c r="W567" s="696"/>
      <c r="X567" s="696"/>
      <c r="Y567" s="696"/>
      <c r="Z567" s="697"/>
      <c r="AA567" s="697"/>
      <c r="AB567" s="697"/>
      <c r="AC567" s="697"/>
      <c r="AD567" s="697"/>
      <c r="AE567" s="697"/>
      <c r="AF567" s="697"/>
      <c r="AG567" s="697"/>
      <c r="AH567" s="697"/>
      <c r="AI567" s="697"/>
      <c r="AJ567" s="697"/>
      <c r="AK567" s="697"/>
      <c r="AL567" s="697"/>
      <c r="AM567" s="697"/>
      <c r="AN567" s="697"/>
      <c r="AO567" s="697"/>
      <c r="AP567" s="710"/>
      <c r="AQ567" s="710"/>
      <c r="AR567" s="710">
        <v>-0.15</v>
      </c>
      <c r="AS567" s="710">
        <v>-0.25</v>
      </c>
      <c r="AT567" s="710">
        <v>-0.26041666666666663</v>
      </c>
      <c r="AU567" s="710">
        <v>-0.27083333333333331</v>
      </c>
      <c r="AV567" s="710">
        <v>-0.28124999999999994</v>
      </c>
      <c r="AW567" s="710">
        <v>-0.29166666666666663</v>
      </c>
      <c r="AX567" s="710">
        <v>-0.30208333333333326</v>
      </c>
      <c r="AY567" s="710">
        <v>-0.31249999999999989</v>
      </c>
      <c r="AZ567" s="710">
        <v>-0.32291666666666657</v>
      </c>
      <c r="BA567" s="710">
        <v>-0.3333333333333332</v>
      </c>
      <c r="BB567" s="710">
        <v>-0.34374999999999989</v>
      </c>
      <c r="BC567" s="710">
        <v>-0.35416666666666652</v>
      </c>
      <c r="BD567" s="710">
        <v>-0.36458333333333315</v>
      </c>
      <c r="BE567" s="710">
        <v>-0.375</v>
      </c>
      <c r="BF567" s="710">
        <v>-0.37708333333333338</v>
      </c>
      <c r="BG567" s="710">
        <v>-0.37916666666666671</v>
      </c>
      <c r="BH567" s="710">
        <v>-0.38125000000000003</v>
      </c>
      <c r="BI567" s="710">
        <v>-0.38333333333333336</v>
      </c>
      <c r="BJ567" s="710">
        <v>-0.38541666666666674</v>
      </c>
      <c r="BK567" s="710">
        <v>-0.38750000000000012</v>
      </c>
      <c r="BL567" s="710">
        <v>-0.38958333333333345</v>
      </c>
      <c r="BM567" s="710">
        <v>-0.39166666666666677</v>
      </c>
      <c r="BN567" s="710">
        <v>-0.3937500000000001</v>
      </c>
      <c r="BO567" s="710">
        <v>-0.39583333333333348</v>
      </c>
      <c r="BP567" s="710">
        <v>-0.39791666666666686</v>
      </c>
      <c r="BQ567" s="710">
        <v>-0.4</v>
      </c>
      <c r="BR567" s="710">
        <v>-0.4</v>
      </c>
      <c r="BS567" s="710">
        <v>-0.4</v>
      </c>
      <c r="BT567" s="710">
        <v>-0.4</v>
      </c>
      <c r="BU567" s="710">
        <v>-0.4</v>
      </c>
      <c r="BV567" s="710">
        <v>-0.4</v>
      </c>
      <c r="BW567" s="710">
        <v>-0.4</v>
      </c>
      <c r="BX567" s="710">
        <v>-0.4</v>
      </c>
      <c r="BY567" s="710">
        <v>-0.4</v>
      </c>
      <c r="BZ567" s="710">
        <v>-0.4</v>
      </c>
      <c r="CA567" s="710">
        <v>-0.4</v>
      </c>
      <c r="CB567" s="710">
        <v>-0.4</v>
      </c>
      <c r="CC567" s="710">
        <v>-0.4</v>
      </c>
      <c r="CD567" s="710">
        <v>-0.4</v>
      </c>
      <c r="CE567" s="710">
        <v>-0.4</v>
      </c>
      <c r="CF567" s="710">
        <v>-0.4</v>
      </c>
      <c r="CG567" s="710">
        <v>-0.4</v>
      </c>
      <c r="CH567" s="710">
        <v>-0.4</v>
      </c>
      <c r="CI567" s="710">
        <v>-0.4</v>
      </c>
      <c r="CJ567" s="710">
        <v>-0.4</v>
      </c>
      <c r="CK567" s="710">
        <v>-0.4</v>
      </c>
      <c r="CL567" s="710">
        <v>-0.4</v>
      </c>
      <c r="CM567" s="710">
        <v>-0.4</v>
      </c>
      <c r="CN567" s="710">
        <v>-0.4</v>
      </c>
      <c r="CO567" s="710">
        <v>-0.4</v>
      </c>
      <c r="CP567" s="710">
        <v>-0.4</v>
      </c>
      <c r="CQ567" s="710">
        <v>-0.4</v>
      </c>
      <c r="CR567" s="710">
        <v>-0.4</v>
      </c>
      <c r="CS567" s="710">
        <v>-0.4</v>
      </c>
      <c r="CT567" s="710">
        <v>-0.4</v>
      </c>
      <c r="CU567" s="710">
        <v>-0.4</v>
      </c>
      <c r="CV567" s="710">
        <v>-0.4</v>
      </c>
      <c r="CW567" s="710">
        <v>-0.4</v>
      </c>
      <c r="CX567" s="710">
        <v>-0.4</v>
      </c>
      <c r="CY567" s="710">
        <v>-0.4</v>
      </c>
      <c r="CZ567" s="710">
        <v>-0.4</v>
      </c>
      <c r="DA567" s="710">
        <v>-0.4</v>
      </c>
      <c r="DC567" s="12">
        <f t="shared" si="591"/>
        <v>0</v>
      </c>
      <c r="DD567" s="12">
        <f t="shared" si="592"/>
        <v>-0.4</v>
      </c>
      <c r="DE567" s="12">
        <f t="shared" si="593"/>
        <v>-3.8124999999999987</v>
      </c>
      <c r="DF567" s="12">
        <f t="shared" si="594"/>
        <v>-4.6625000000000014</v>
      </c>
      <c r="DG567" s="12">
        <f t="shared" si="595"/>
        <v>-4.8</v>
      </c>
      <c r="DH567" s="12">
        <f t="shared" si="596"/>
        <v>-4.8</v>
      </c>
      <c r="DI567" s="12">
        <f t="shared" si="586"/>
        <v>-4.8</v>
      </c>
    </row>
    <row r="568" spans="5:113" outlineLevel="1">
      <c r="F568" s="126" t="s">
        <v>107</v>
      </c>
      <c r="I568" s="609" t="s">
        <v>736</v>
      </c>
      <c r="O568" s="696"/>
      <c r="P568" s="696"/>
      <c r="Q568" s="696"/>
      <c r="R568" s="696"/>
      <c r="S568" s="696"/>
      <c r="T568" s="696"/>
      <c r="U568" s="696"/>
      <c r="V568" s="696"/>
      <c r="W568" s="696"/>
      <c r="X568" s="696"/>
      <c r="Y568" s="696"/>
      <c r="Z568" s="697"/>
      <c r="AA568" s="697"/>
      <c r="AB568" s="697"/>
      <c r="AC568" s="697"/>
      <c r="AD568" s="697"/>
      <c r="AE568" s="697"/>
      <c r="AF568" s="697"/>
      <c r="AG568" s="697"/>
      <c r="AH568" s="697"/>
      <c r="AI568" s="697"/>
      <c r="AJ568" s="697"/>
      <c r="AK568" s="697"/>
      <c r="AL568" s="697"/>
      <c r="AM568" s="697"/>
      <c r="AN568" s="697"/>
      <c r="AO568" s="697"/>
      <c r="AP568" s="710"/>
      <c r="AQ568" s="710"/>
      <c r="AR568" s="710">
        <v>0</v>
      </c>
      <c r="AS568" s="710">
        <v>-3.0000000000000005E-3</v>
      </c>
      <c r="AT568" s="710">
        <v>-8.0000000000000002E-3</v>
      </c>
      <c r="AU568" s="710">
        <v>-1.1557291666666664E-2</v>
      </c>
      <c r="AV568" s="710">
        <v>-1.6296874999999999E-2</v>
      </c>
      <c r="AW568" s="710">
        <v>-2.1218749999999998E-2</v>
      </c>
      <c r="AX568" s="710">
        <v>-2.6322916666666665E-2</v>
      </c>
      <c r="AY568" s="710">
        <v>-3.1609374999999995E-2</v>
      </c>
      <c r="AZ568" s="710">
        <v>-3.7078125000000003E-2</v>
      </c>
      <c r="BA568" s="710">
        <v>-4.2729166666666665E-2</v>
      </c>
      <c r="BB568" s="710">
        <v>-4.8562499999999995E-2</v>
      </c>
      <c r="BC568" s="710">
        <v>-5.4578124999999991E-2</v>
      </c>
      <c r="BD568" s="710">
        <v>-6.0776041666666662E-2</v>
      </c>
      <c r="BE568" s="710">
        <v>-6.7156249999999987E-2</v>
      </c>
      <c r="BF568" s="710">
        <v>-7.3718749999999986E-2</v>
      </c>
      <c r="BG568" s="710">
        <v>-0.11473958333333331</v>
      </c>
      <c r="BH568" s="710">
        <v>-0.12421874999999999</v>
      </c>
      <c r="BI568" s="710">
        <v>-0.13374999999999998</v>
      </c>
      <c r="BJ568" s="710">
        <v>-0.14333333333333331</v>
      </c>
      <c r="BK568" s="710">
        <v>-0.15296874999999996</v>
      </c>
      <c r="BL568" s="710">
        <v>-0.16265625</v>
      </c>
      <c r="BM568" s="710">
        <v>-0.1723958333333333</v>
      </c>
      <c r="BN568" s="710">
        <v>-0.1821875</v>
      </c>
      <c r="BO568" s="710">
        <v>-0.19203124999999999</v>
      </c>
      <c r="BP568" s="710">
        <v>-0.20192708333333331</v>
      </c>
      <c r="BQ568" s="710">
        <v>-0.21187500000000001</v>
      </c>
      <c r="BR568" s="710">
        <v>-0.22187499999999999</v>
      </c>
      <c r="BS568" s="710">
        <v>-0.231875</v>
      </c>
      <c r="BT568" s="710">
        <v>-0.24187500000000001</v>
      </c>
      <c r="BU568" s="710">
        <v>-0.25187500000000002</v>
      </c>
      <c r="BV568" s="710">
        <v>-0.26187500000000002</v>
      </c>
      <c r="BW568" s="710">
        <v>-0.27187499999999998</v>
      </c>
      <c r="BX568" s="710">
        <v>-0.28187499999999999</v>
      </c>
      <c r="BY568" s="710">
        <v>-0.291875</v>
      </c>
      <c r="BZ568" s="710">
        <v>-0.301875</v>
      </c>
      <c r="CA568" s="710">
        <v>-0.31187500000000001</v>
      </c>
      <c r="CB568" s="710">
        <v>-0.32187500000000002</v>
      </c>
      <c r="CC568" s="710">
        <v>-0.33187499999999998</v>
      </c>
      <c r="CD568" s="710">
        <v>-0.34187499999999998</v>
      </c>
      <c r="CE568" s="710">
        <v>-0.35187499999999999</v>
      </c>
      <c r="CF568" s="710">
        <v>-0.361875</v>
      </c>
      <c r="CG568" s="710">
        <v>-0.37187500000000001</v>
      </c>
      <c r="CH568" s="710">
        <v>-0.38187500000000002</v>
      </c>
      <c r="CI568" s="710">
        <v>-0.39187499999999997</v>
      </c>
      <c r="CJ568" s="710">
        <v>-0.40187499999999998</v>
      </c>
      <c r="CK568" s="710">
        <v>-0.41187499999999999</v>
      </c>
      <c r="CL568" s="710">
        <v>-0.421875</v>
      </c>
      <c r="CM568" s="710">
        <v>-0.43187500000000001</v>
      </c>
      <c r="CN568" s="710">
        <v>-0.44187500000000002</v>
      </c>
      <c r="CO568" s="710">
        <v>-0.45187500000000003</v>
      </c>
      <c r="CP568" s="710">
        <v>-0.46187499999999998</v>
      </c>
      <c r="CQ568" s="710">
        <v>-0.47187499999999999</v>
      </c>
      <c r="CR568" s="710">
        <v>-0.481875</v>
      </c>
      <c r="CS568" s="710">
        <v>-0.49187500000000001</v>
      </c>
      <c r="CT568" s="710">
        <v>-0.50187499999999996</v>
      </c>
      <c r="CU568" s="710">
        <v>-0.51187499999999997</v>
      </c>
      <c r="CV568" s="710">
        <v>-0.52187499999999998</v>
      </c>
      <c r="CW568" s="710">
        <v>-0.53187499999999999</v>
      </c>
      <c r="CX568" s="710">
        <v>-0.541875</v>
      </c>
      <c r="CY568" s="710">
        <v>-0.551875</v>
      </c>
      <c r="CZ568" s="710">
        <v>-0.56187500000000001</v>
      </c>
      <c r="DA568" s="710">
        <v>-0.57187500000000002</v>
      </c>
      <c r="DC568" s="12">
        <f t="shared" si="591"/>
        <v>0</v>
      </c>
      <c r="DD568" s="12">
        <f t="shared" si="592"/>
        <v>-3.0000000000000005E-3</v>
      </c>
      <c r="DE568" s="12">
        <f t="shared" si="593"/>
        <v>-0.42588541666666663</v>
      </c>
      <c r="DF568" s="12">
        <f t="shared" si="594"/>
        <v>-1.8658020833333333</v>
      </c>
      <c r="DG568" s="12">
        <f t="shared" si="595"/>
        <v>-3.3225000000000002</v>
      </c>
      <c r="DH568" s="12">
        <f t="shared" si="596"/>
        <v>-4.7625000000000002</v>
      </c>
      <c r="DI568" s="12">
        <f t="shared" si="586"/>
        <v>-6.2024999999999997</v>
      </c>
    </row>
    <row r="569" spans="5:113" outlineLevel="1">
      <c r="F569" s="126" t="s">
        <v>806</v>
      </c>
      <c r="I569" s="609" t="s">
        <v>736</v>
      </c>
      <c r="O569" s="696"/>
      <c r="P569" s="696"/>
      <c r="Q569" s="696"/>
      <c r="R569" s="696"/>
      <c r="S569" s="696"/>
      <c r="T569" s="696"/>
      <c r="U569" s="696"/>
      <c r="V569" s="696"/>
      <c r="W569" s="696"/>
      <c r="X569" s="696"/>
      <c r="Y569" s="696"/>
      <c r="Z569" s="697"/>
      <c r="AA569" s="697"/>
      <c r="AB569" s="697"/>
      <c r="AC569" s="697"/>
      <c r="AD569" s="697"/>
      <c r="AE569" s="697"/>
      <c r="AF569" s="697"/>
      <c r="AG569" s="697"/>
      <c r="AH569" s="697"/>
      <c r="AI569" s="697"/>
      <c r="AJ569" s="697"/>
      <c r="AK569" s="697"/>
      <c r="AL569" s="697"/>
      <c r="AM569" s="697"/>
      <c r="AN569" s="697"/>
      <c r="AO569" s="697"/>
      <c r="AP569" s="710"/>
      <c r="AQ569" s="710"/>
      <c r="AR569" s="710">
        <v>-6.0000000000000001E-3</v>
      </c>
      <c r="AS569" s="710">
        <v>-0.01</v>
      </c>
      <c r="AT569" s="710">
        <v>-1.0416666666666666E-2</v>
      </c>
      <c r="AU569" s="710">
        <v>-1.0833333333333332E-2</v>
      </c>
      <c r="AV569" s="710">
        <v>-1.1249999999999998E-2</v>
      </c>
      <c r="AW569" s="710">
        <v>-1.1666666666666664E-2</v>
      </c>
      <c r="AX569" s="710">
        <v>-1.208333333333333E-2</v>
      </c>
      <c r="AY569" s="710">
        <v>-1.2499999999999997E-2</v>
      </c>
      <c r="AZ569" s="710">
        <v>-1.2916666666666663E-2</v>
      </c>
      <c r="BA569" s="710">
        <v>-1.3333333333333329E-2</v>
      </c>
      <c r="BB569" s="710">
        <v>-1.3749999999999995E-2</v>
      </c>
      <c r="BC569" s="710">
        <v>-1.4166666666666661E-2</v>
      </c>
      <c r="BD569" s="710">
        <v>-1.4583333333333327E-2</v>
      </c>
      <c r="BE569" s="710">
        <v>-1.4999999999999999E-2</v>
      </c>
      <c r="BF569" s="710">
        <v>-1.5083333333333334E-2</v>
      </c>
      <c r="BG569" s="710">
        <v>-1.5166666666666669E-2</v>
      </c>
      <c r="BH569" s="710">
        <v>-1.5250000000000001E-2</v>
      </c>
      <c r="BI569" s="710">
        <v>-1.5333333333333336E-2</v>
      </c>
      <c r="BJ569" s="710">
        <v>-1.5416666666666671E-2</v>
      </c>
      <c r="BK569" s="710">
        <v>-1.5500000000000003E-2</v>
      </c>
      <c r="BL569" s="710">
        <v>-1.5583333333333338E-2</v>
      </c>
      <c r="BM569" s="710">
        <v>-1.5666666666666672E-2</v>
      </c>
      <c r="BN569" s="710">
        <v>-1.5750000000000007E-2</v>
      </c>
      <c r="BO569" s="710">
        <v>-1.5833333333333338E-2</v>
      </c>
      <c r="BP569" s="710">
        <v>-1.5916666666666673E-2</v>
      </c>
      <c r="BQ569" s="710">
        <v>-1.6E-2</v>
      </c>
      <c r="BR569" s="710">
        <v>-1.6E-2</v>
      </c>
      <c r="BS569" s="710">
        <v>-1.6E-2</v>
      </c>
      <c r="BT569" s="710">
        <v>-1.6E-2</v>
      </c>
      <c r="BU569" s="710">
        <v>-1.6E-2</v>
      </c>
      <c r="BV569" s="710">
        <v>-1.6E-2</v>
      </c>
      <c r="BW569" s="710">
        <v>-1.6E-2</v>
      </c>
      <c r="BX569" s="710">
        <v>-1.6E-2</v>
      </c>
      <c r="BY569" s="710">
        <v>-1.6E-2</v>
      </c>
      <c r="BZ569" s="710">
        <v>-1.6E-2</v>
      </c>
      <c r="CA569" s="710">
        <v>-1.6E-2</v>
      </c>
      <c r="CB569" s="710">
        <v>-1.6E-2</v>
      </c>
      <c r="CC569" s="710">
        <v>-1.6E-2</v>
      </c>
      <c r="CD569" s="710">
        <v>-1.6E-2</v>
      </c>
      <c r="CE569" s="710">
        <v>-1.6E-2</v>
      </c>
      <c r="CF569" s="710">
        <v>-1.6E-2</v>
      </c>
      <c r="CG569" s="710">
        <v>-1.6E-2</v>
      </c>
      <c r="CH569" s="710">
        <v>-1.6E-2</v>
      </c>
      <c r="CI569" s="710">
        <v>-1.6E-2</v>
      </c>
      <c r="CJ569" s="710">
        <v>-1.6E-2</v>
      </c>
      <c r="CK569" s="710">
        <v>-1.6E-2</v>
      </c>
      <c r="CL569" s="710">
        <v>-1.6E-2</v>
      </c>
      <c r="CM569" s="710">
        <v>-1.6E-2</v>
      </c>
      <c r="CN569" s="710">
        <v>-1.6E-2</v>
      </c>
      <c r="CO569" s="710">
        <v>-1.6E-2</v>
      </c>
      <c r="CP569" s="710">
        <v>-1.6E-2</v>
      </c>
      <c r="CQ569" s="710">
        <v>-1.6E-2</v>
      </c>
      <c r="CR569" s="710">
        <v>-1.6E-2</v>
      </c>
      <c r="CS569" s="710">
        <v>-1.6E-2</v>
      </c>
      <c r="CT569" s="710">
        <v>-1.6E-2</v>
      </c>
      <c r="CU569" s="710">
        <v>-1.6E-2</v>
      </c>
      <c r="CV569" s="710">
        <v>-1.6E-2</v>
      </c>
      <c r="CW569" s="710">
        <v>-1.6E-2</v>
      </c>
      <c r="CX569" s="710">
        <v>-1.6E-2</v>
      </c>
      <c r="CY569" s="710">
        <v>-1.6E-2</v>
      </c>
      <c r="CZ569" s="710">
        <v>-1.6E-2</v>
      </c>
      <c r="DA569" s="710">
        <v>-1.6E-2</v>
      </c>
      <c r="DC569" s="12">
        <f t="shared" si="591"/>
        <v>0</v>
      </c>
      <c r="DD569" s="12">
        <f t="shared" si="592"/>
        <v>-1.6E-2</v>
      </c>
      <c r="DE569" s="12">
        <f t="shared" si="593"/>
        <v>-0.15249999999999997</v>
      </c>
      <c r="DF569" s="12">
        <f t="shared" si="594"/>
        <v>-0.18650000000000005</v>
      </c>
      <c r="DG569" s="12">
        <f t="shared" si="595"/>
        <v>-0.19200000000000006</v>
      </c>
      <c r="DH569" s="12">
        <f t="shared" si="596"/>
        <v>-0.19200000000000006</v>
      </c>
      <c r="DI569" s="12">
        <f t="shared" si="586"/>
        <v>-0.19200000000000006</v>
      </c>
    </row>
    <row r="570" spans="5:113" outlineLevel="1">
      <c r="F570" s="126" t="s">
        <v>807</v>
      </c>
      <c r="I570" s="609" t="s">
        <v>736</v>
      </c>
      <c r="O570" s="696"/>
      <c r="P570" s="696"/>
      <c r="Q570" s="696"/>
      <c r="R570" s="696"/>
      <c r="S570" s="696"/>
      <c r="T570" s="696"/>
      <c r="U570" s="696"/>
      <c r="V570" s="696"/>
      <c r="W570" s="696"/>
      <c r="X570" s="696"/>
      <c r="Y570" s="696"/>
      <c r="Z570" s="697"/>
      <c r="AA570" s="697"/>
      <c r="AB570" s="697"/>
      <c r="AC570" s="697"/>
      <c r="AD570" s="697"/>
      <c r="AE570" s="697"/>
      <c r="AF570" s="697"/>
      <c r="AG570" s="697"/>
      <c r="AH570" s="697"/>
      <c r="AI570" s="697"/>
      <c r="AJ570" s="697"/>
      <c r="AK570" s="697"/>
      <c r="AL570" s="697"/>
      <c r="AM570" s="697"/>
      <c r="AN570" s="697"/>
      <c r="AO570" s="697"/>
      <c r="AP570" s="710"/>
      <c r="AQ570" s="710"/>
      <c r="AR570" s="710"/>
      <c r="AS570" s="710"/>
      <c r="AT570" s="710"/>
      <c r="AU570" s="710"/>
      <c r="AV570" s="710"/>
      <c r="AW570" s="710"/>
      <c r="AX570" s="710"/>
      <c r="AY570" s="710"/>
      <c r="AZ570" s="710"/>
      <c r="BA570" s="710"/>
      <c r="BB570" s="710"/>
      <c r="BC570" s="710"/>
      <c r="BD570" s="710"/>
      <c r="BE570" s="710"/>
      <c r="BF570" s="710"/>
      <c r="BG570" s="710"/>
      <c r="BH570" s="710"/>
      <c r="BI570" s="710"/>
      <c r="BJ570" s="710"/>
      <c r="BK570" s="710"/>
      <c r="BL570" s="710"/>
      <c r="BM570" s="710"/>
      <c r="BN570" s="710"/>
      <c r="BO570" s="710"/>
      <c r="BP570" s="710"/>
      <c r="BQ570" s="710"/>
      <c r="BR570" s="710"/>
      <c r="BS570" s="710"/>
      <c r="BT570" s="710"/>
      <c r="BU570" s="710"/>
      <c r="BV570" s="710"/>
      <c r="BW570" s="710"/>
      <c r="BX570" s="710"/>
      <c r="BY570" s="710"/>
      <c r="BZ570" s="710"/>
      <c r="CA570" s="710"/>
      <c r="CB570" s="710"/>
      <c r="CC570" s="710"/>
      <c r="CD570" s="710"/>
      <c r="CE570" s="710"/>
      <c r="CF570" s="710"/>
      <c r="CG570" s="710"/>
      <c r="CH570" s="710"/>
      <c r="CI570" s="710"/>
      <c r="CJ570" s="710"/>
      <c r="CK570" s="710"/>
      <c r="CL570" s="710"/>
      <c r="CM570" s="710"/>
      <c r="CN570" s="710"/>
      <c r="CO570" s="710"/>
      <c r="CP570" s="710"/>
      <c r="CQ570" s="710"/>
      <c r="CR570" s="710"/>
      <c r="CS570" s="710"/>
      <c r="CT570" s="710"/>
      <c r="CU570" s="710"/>
      <c r="CV570" s="710"/>
      <c r="CW570" s="710"/>
      <c r="CX570" s="710"/>
      <c r="CY570" s="710"/>
      <c r="CZ570" s="710"/>
      <c r="DA570" s="710"/>
      <c r="DC570" s="14">
        <f t="shared" si="591"/>
        <v>0</v>
      </c>
      <c r="DD570" s="12">
        <f t="shared" si="592"/>
        <v>0</v>
      </c>
      <c r="DE570" s="12">
        <f t="shared" si="593"/>
        <v>0</v>
      </c>
      <c r="DF570" s="12">
        <f t="shared" si="594"/>
        <v>0</v>
      </c>
      <c r="DG570" s="12">
        <f t="shared" si="595"/>
        <v>0</v>
      </c>
      <c r="DH570" s="12">
        <f t="shared" si="596"/>
        <v>0</v>
      </c>
      <c r="DI570" s="12">
        <f t="shared" si="586"/>
        <v>0</v>
      </c>
    </row>
    <row r="571" spans="5:113" outlineLevel="1">
      <c r="F571" s="126" t="s">
        <v>703</v>
      </c>
      <c r="G571" s="702"/>
      <c r="H571" s="725"/>
      <c r="I571" s="609" t="s">
        <v>736</v>
      </c>
      <c r="O571" s="696"/>
      <c r="P571" s="696"/>
      <c r="Q571" s="696"/>
      <c r="R571" s="696"/>
      <c r="S571" s="696"/>
      <c r="T571" s="696"/>
      <c r="U571" s="696"/>
      <c r="V571" s="696"/>
      <c r="W571" s="696"/>
      <c r="X571" s="696"/>
      <c r="Y571" s="696"/>
      <c r="Z571" s="697"/>
      <c r="AA571" s="697"/>
      <c r="AB571" s="697"/>
      <c r="AC571" s="697"/>
      <c r="AD571" s="697"/>
      <c r="AE571" s="697"/>
      <c r="AF571" s="697"/>
      <c r="AG571" s="697"/>
      <c r="AH571" s="697"/>
      <c r="AI571" s="697"/>
      <c r="AJ571" s="697"/>
      <c r="AK571" s="697"/>
      <c r="AL571" s="697"/>
      <c r="AM571" s="697"/>
      <c r="AN571" s="697"/>
      <c r="AO571" s="697"/>
      <c r="AP571" s="710"/>
      <c r="AQ571" s="710"/>
      <c r="AR571" s="710"/>
      <c r="AS571" s="710"/>
      <c r="AT571" s="710"/>
      <c r="AU571" s="710"/>
      <c r="AV571" s="710"/>
      <c r="AW571" s="710"/>
      <c r="AX571" s="710"/>
      <c r="AY571" s="710"/>
      <c r="AZ571" s="710"/>
      <c r="BA571" s="710"/>
      <c r="BB571" s="710"/>
      <c r="BC571" s="710"/>
      <c r="BD571" s="710"/>
      <c r="BE571" s="710"/>
      <c r="BF571" s="710"/>
      <c r="BG571" s="710"/>
      <c r="BH571" s="710"/>
      <c r="BI571" s="710"/>
      <c r="BJ571" s="710"/>
      <c r="BK571" s="710"/>
      <c r="BL571" s="710"/>
      <c r="BM571" s="710"/>
      <c r="BN571" s="710"/>
      <c r="BO571" s="710"/>
      <c r="BP571" s="710"/>
      <c r="BQ571" s="710"/>
      <c r="BR571" s="710"/>
      <c r="BS571" s="710"/>
      <c r="BT571" s="710"/>
      <c r="BU571" s="710"/>
      <c r="BV571" s="710"/>
      <c r="BW571" s="710"/>
      <c r="BX571" s="710"/>
      <c r="BY571" s="710"/>
      <c r="BZ571" s="710"/>
      <c r="CA571" s="710"/>
      <c r="CB571" s="710"/>
      <c r="CC571" s="710"/>
      <c r="CD571" s="710"/>
      <c r="CE571" s="710"/>
      <c r="CF571" s="710"/>
      <c r="CG571" s="710"/>
      <c r="CH571" s="710"/>
      <c r="CI571" s="710"/>
      <c r="CJ571" s="710"/>
      <c r="CK571" s="710"/>
      <c r="CL571" s="710"/>
      <c r="CM571" s="710"/>
      <c r="CN571" s="710"/>
      <c r="CO571" s="710"/>
      <c r="CP571" s="710"/>
      <c r="CQ571" s="710"/>
      <c r="CR571" s="710"/>
      <c r="CS571" s="710"/>
      <c r="CT571" s="710"/>
      <c r="CU571" s="710"/>
      <c r="CV571" s="710"/>
      <c r="CW571" s="710"/>
      <c r="CX571" s="710"/>
      <c r="CY571" s="710"/>
      <c r="CZ571" s="710"/>
      <c r="DA571" s="710"/>
      <c r="DC571" s="12">
        <f t="shared" si="591"/>
        <v>0</v>
      </c>
      <c r="DD571" s="12">
        <f t="shared" si="592"/>
        <v>0</v>
      </c>
      <c r="DE571" s="12">
        <f t="shared" si="593"/>
        <v>0</v>
      </c>
      <c r="DF571" s="12">
        <f t="shared" si="594"/>
        <v>0</v>
      </c>
      <c r="DG571" s="12">
        <f t="shared" si="595"/>
        <v>0</v>
      </c>
      <c r="DH571" s="12">
        <f t="shared" si="596"/>
        <v>0</v>
      </c>
      <c r="DI571" s="12">
        <f t="shared" si="586"/>
        <v>0</v>
      </c>
    </row>
    <row r="572" spans="5:113" outlineLevel="1">
      <c r="F572" s="126" t="s">
        <v>163</v>
      </c>
      <c r="G572" s="702"/>
      <c r="H572" s="725"/>
      <c r="I572" s="609" t="s">
        <v>736</v>
      </c>
      <c r="O572" s="696"/>
      <c r="P572" s="696"/>
      <c r="Q572" s="696"/>
      <c r="R572" s="696"/>
      <c r="S572" s="696"/>
      <c r="T572" s="696"/>
      <c r="U572" s="696"/>
      <c r="V572" s="696"/>
      <c r="W572" s="696"/>
      <c r="X572" s="696"/>
      <c r="Y572" s="696"/>
      <c r="Z572" s="697"/>
      <c r="AA572" s="697"/>
      <c r="AB572" s="697"/>
      <c r="AC572" s="697"/>
      <c r="AD572" s="697"/>
      <c r="AE572" s="697"/>
      <c r="AF572" s="697"/>
      <c r="AG572" s="697"/>
      <c r="AH572" s="697"/>
      <c r="AI572" s="697"/>
      <c r="AJ572" s="697"/>
      <c r="AK572" s="697"/>
      <c r="AL572" s="697"/>
      <c r="AM572" s="697"/>
      <c r="AN572" s="697"/>
      <c r="AO572" s="697"/>
      <c r="AP572" s="710"/>
      <c r="AQ572" s="749"/>
      <c r="AR572" s="749">
        <v>-2.52E-2</v>
      </c>
      <c r="AS572" s="749">
        <v>-4.2000000000000003E-2</v>
      </c>
      <c r="AT572" s="749">
        <v>-4.3749999999999997E-2</v>
      </c>
      <c r="AU572" s="749">
        <v>-4.5499999999999999E-2</v>
      </c>
      <c r="AV572" s="749">
        <v>-4.7249999999999993E-2</v>
      </c>
      <c r="AW572" s="749">
        <v>-4.8999999999999995E-2</v>
      </c>
      <c r="AX572" s="749">
        <v>-5.074999999999999E-2</v>
      </c>
      <c r="AY572" s="749">
        <v>-5.2499999999999977E-2</v>
      </c>
      <c r="AZ572" s="749">
        <v>-5.4249999999999979E-2</v>
      </c>
      <c r="BA572" s="749">
        <v>-5.599999999999998E-2</v>
      </c>
      <c r="BB572" s="749">
        <v>-5.7749999999999975E-2</v>
      </c>
      <c r="BC572" s="749">
        <v>-5.9499999999999977E-2</v>
      </c>
      <c r="BD572" s="749">
        <v>-6.1249999999999971E-2</v>
      </c>
      <c r="BE572" s="749">
        <v>-6.3E-2</v>
      </c>
      <c r="BF572" s="749">
        <v>-6.3350000000000004E-2</v>
      </c>
      <c r="BG572" s="749">
        <v>-6.3700000000000007E-2</v>
      </c>
      <c r="BH572" s="749">
        <v>-6.405000000000001E-2</v>
      </c>
      <c r="BI572" s="749">
        <v>-6.4400000000000013E-2</v>
      </c>
      <c r="BJ572" s="749">
        <v>-6.4750000000000002E-2</v>
      </c>
      <c r="BK572" s="749">
        <v>-6.5100000000000019E-2</v>
      </c>
      <c r="BL572" s="749">
        <v>-6.5450000000000022E-2</v>
      </c>
      <c r="BM572" s="749">
        <v>-6.5800000000000011E-2</v>
      </c>
      <c r="BN572" s="749">
        <v>-6.6150000000000014E-2</v>
      </c>
      <c r="BO572" s="749">
        <v>-6.6500000000000017E-2</v>
      </c>
      <c r="BP572" s="749">
        <v>-6.6850000000000034E-2</v>
      </c>
      <c r="BQ572" s="749">
        <v>-6.7199999999999996E-2</v>
      </c>
      <c r="BR572" s="749">
        <v>-6.7199999999999996E-2</v>
      </c>
      <c r="BS572" s="749">
        <v>-6.7199999999999996E-2</v>
      </c>
      <c r="BT572" s="749">
        <v>-6.7199999999999996E-2</v>
      </c>
      <c r="BU572" s="749">
        <v>-6.7199999999999996E-2</v>
      </c>
      <c r="BV572" s="749">
        <v>-6.7199999999999996E-2</v>
      </c>
      <c r="BW572" s="749">
        <v>-6.7199999999999996E-2</v>
      </c>
      <c r="BX572" s="749">
        <v>-6.7199999999999996E-2</v>
      </c>
      <c r="BY572" s="749">
        <v>-6.7199999999999996E-2</v>
      </c>
      <c r="BZ572" s="749">
        <v>-6.7199999999999996E-2</v>
      </c>
      <c r="CA572" s="749">
        <v>-6.7199999999999996E-2</v>
      </c>
      <c r="CB572" s="749">
        <v>-6.7199999999999996E-2</v>
      </c>
      <c r="CC572" s="749">
        <v>-6.7199999999999996E-2</v>
      </c>
      <c r="CD572" s="749">
        <v>-6.7199999999999996E-2</v>
      </c>
      <c r="CE572" s="749">
        <v>-6.7199999999999996E-2</v>
      </c>
      <c r="CF572" s="749">
        <v>-6.7199999999999996E-2</v>
      </c>
      <c r="CG572" s="749">
        <v>-6.7199999999999996E-2</v>
      </c>
      <c r="CH572" s="749">
        <v>-6.7199999999999996E-2</v>
      </c>
      <c r="CI572" s="749">
        <v>-6.7199999999999996E-2</v>
      </c>
      <c r="CJ572" s="749">
        <v>-6.7199999999999996E-2</v>
      </c>
      <c r="CK572" s="749">
        <v>-6.7199999999999996E-2</v>
      </c>
      <c r="CL572" s="749">
        <v>-6.7199999999999996E-2</v>
      </c>
      <c r="CM572" s="749">
        <v>-6.7199999999999996E-2</v>
      </c>
      <c r="CN572" s="749">
        <v>-6.7199999999999996E-2</v>
      </c>
      <c r="CO572" s="749">
        <v>-6.7199999999999996E-2</v>
      </c>
      <c r="CP572" s="749">
        <v>-6.7199999999999996E-2</v>
      </c>
      <c r="CQ572" s="749">
        <v>-6.7199999999999996E-2</v>
      </c>
      <c r="CR572" s="749">
        <v>-6.7199999999999996E-2</v>
      </c>
      <c r="CS572" s="749">
        <v>-6.7199999999999996E-2</v>
      </c>
      <c r="CT572" s="749">
        <v>-6.7199999999999996E-2</v>
      </c>
      <c r="CU572" s="749">
        <v>-6.7199999999999996E-2</v>
      </c>
      <c r="CV572" s="749">
        <v>-6.7199999999999996E-2</v>
      </c>
      <c r="CW572" s="749">
        <v>-6.7199999999999996E-2</v>
      </c>
      <c r="CX572" s="749">
        <v>-6.7199999999999996E-2</v>
      </c>
      <c r="CY572" s="749">
        <v>-6.7199999999999996E-2</v>
      </c>
      <c r="CZ572" s="749">
        <v>-6.7199999999999996E-2</v>
      </c>
      <c r="DA572" s="749">
        <v>-6.7199999999999996E-2</v>
      </c>
      <c r="DC572" s="12">
        <f t="shared" si="591"/>
        <v>0</v>
      </c>
      <c r="DD572" s="12">
        <f t="shared" si="592"/>
        <v>-6.720000000000001E-2</v>
      </c>
      <c r="DE572" s="12">
        <f t="shared" si="593"/>
        <v>-0.64049999999999985</v>
      </c>
      <c r="DF572" s="12">
        <f t="shared" si="594"/>
        <v>-0.78330000000000022</v>
      </c>
      <c r="DG572" s="12">
        <f t="shared" si="595"/>
        <v>-0.80640000000000012</v>
      </c>
      <c r="DH572" s="12">
        <f t="shared" si="596"/>
        <v>-0.80640000000000012</v>
      </c>
      <c r="DI572" s="12">
        <f t="shared" si="586"/>
        <v>-0.80640000000000012</v>
      </c>
    </row>
    <row r="573" spans="5:113" outlineLevel="1">
      <c r="F573" s="718" t="s">
        <v>152</v>
      </c>
      <c r="I573" s="609" t="s">
        <v>736</v>
      </c>
      <c r="O573" s="696"/>
      <c r="P573" s="696"/>
      <c r="Q573" s="696"/>
      <c r="R573" s="696"/>
      <c r="S573" s="696"/>
      <c r="T573" s="696"/>
      <c r="U573" s="696"/>
      <c r="V573" s="696"/>
      <c r="W573" s="696"/>
      <c r="X573" s="696"/>
      <c r="Y573" s="696"/>
      <c r="Z573" s="697"/>
      <c r="AA573" s="697"/>
      <c r="AB573" s="697"/>
      <c r="AC573" s="697"/>
      <c r="AD573" s="697"/>
      <c r="AE573" s="697"/>
      <c r="AF573" s="697"/>
      <c r="AG573" s="697"/>
      <c r="AH573" s="697"/>
      <c r="AI573" s="697"/>
      <c r="AJ573" s="697"/>
      <c r="AK573" s="697"/>
      <c r="AL573" s="697"/>
      <c r="AM573" s="697"/>
      <c r="AN573" s="697"/>
      <c r="AO573" s="697"/>
      <c r="AP573" s="710"/>
      <c r="AQ573" s="749"/>
      <c r="AR573" s="749"/>
      <c r="AS573" s="749"/>
      <c r="AT573" s="751">
        <f>AT539/AT399*AT430</f>
        <v>-6.3764095221048875E-3</v>
      </c>
      <c r="AU573" s="751">
        <f t="shared" ref="AU573:DA573" si="598">AU539/AU399*AU430</f>
        <v>-6.484074203710187E-3</v>
      </c>
      <c r="AV573" s="751">
        <f t="shared" si="598"/>
        <v>-6.5870570107858248E-3</v>
      </c>
      <c r="AW573" s="751">
        <f t="shared" si="598"/>
        <v>-6.6856568364611268E-3</v>
      </c>
      <c r="AX573" s="751">
        <f t="shared" si="598"/>
        <v>-6.7801476620180483E-3</v>
      </c>
      <c r="AY573" s="751">
        <f t="shared" si="598"/>
        <v>-6.8707810993249756E-3</v>
      </c>
      <c r="AZ573" s="751">
        <f t="shared" si="598"/>
        <v>-2.075129941723106E-3</v>
      </c>
      <c r="BA573" s="751">
        <f t="shared" si="598"/>
        <v>-2.1000617665225445E-3</v>
      </c>
      <c r="BB573" s="751">
        <f t="shared" si="598"/>
        <v>-2.1240345297592004E-3</v>
      </c>
      <c r="BC573" s="751">
        <f t="shared" si="598"/>
        <v>-2.1471025260029718E-3</v>
      </c>
      <c r="BD573" s="751">
        <f t="shared" si="598"/>
        <v>-2.1693160274172374E-3</v>
      </c>
      <c r="BE573" s="751">
        <f t="shared" si="598"/>
        <v>-2.1907216494845361E-3</v>
      </c>
      <c r="BF573" s="751">
        <f t="shared" si="598"/>
        <v>-2.2200577200577202E-3</v>
      </c>
      <c r="BG573" s="751">
        <f t="shared" si="598"/>
        <v>-2.2498545666084935E-3</v>
      </c>
      <c r="BH573" s="751">
        <f t="shared" si="598"/>
        <v>-2.2801231310466143E-3</v>
      </c>
      <c r="BI573" s="751">
        <f t="shared" si="598"/>
        <v>-2.3108747044917263E-3</v>
      </c>
      <c r="BJ573" s="751">
        <f t="shared" si="598"/>
        <v>-2.3421209413166523E-3</v>
      </c>
      <c r="BK573" s="751">
        <f t="shared" si="598"/>
        <v>-2.3738738738738746E-3</v>
      </c>
      <c r="BL573" s="751">
        <f t="shared" si="598"/>
        <v>-2.4061459279442936E-3</v>
      </c>
      <c r="BM573" s="751">
        <f t="shared" si="598"/>
        <v>-2.4389499389499392E-3</v>
      </c>
      <c r="BN573" s="751">
        <f t="shared" si="598"/>
        <v>-2.4722991689750699E-3</v>
      </c>
      <c r="BO573" s="751">
        <f t="shared" si="598"/>
        <v>-2.5062073246430797E-3</v>
      </c>
      <c r="BP573" s="751">
        <f t="shared" si="598"/>
        <v>-2.5406885758998445E-3</v>
      </c>
      <c r="BQ573" s="751">
        <f t="shared" si="598"/>
        <v>-2.5757575757575759E-3</v>
      </c>
      <c r="BR573" s="751">
        <f t="shared" si="598"/>
        <v>-2.5628140703517592E-3</v>
      </c>
      <c r="BS573" s="751">
        <f t="shared" si="598"/>
        <v>-2.5500000000000006E-3</v>
      </c>
      <c r="BT573" s="751">
        <f t="shared" si="598"/>
        <v>-2.5373134328358212E-3</v>
      </c>
      <c r="BU573" s="751">
        <f t="shared" si="598"/>
        <v>-2.5247524752475253E-3</v>
      </c>
      <c r="BV573" s="751">
        <f t="shared" si="598"/>
        <v>-2.5123152709359609E-3</v>
      </c>
      <c r="BW573" s="751">
        <f t="shared" si="598"/>
        <v>-2.5000000000000009E-3</v>
      </c>
      <c r="BX573" s="751">
        <f t="shared" si="598"/>
        <v>-2.487804878048781E-3</v>
      </c>
      <c r="BY573" s="751">
        <f t="shared" si="598"/>
        <v>-2.4757281553398065E-3</v>
      </c>
      <c r="BZ573" s="751">
        <f t="shared" si="598"/>
        <v>-2.4637681159420297E-3</v>
      </c>
      <c r="CA573" s="751">
        <f t="shared" si="598"/>
        <v>-2.4519230769230777E-3</v>
      </c>
      <c r="CB573" s="751">
        <f t="shared" si="598"/>
        <v>-2.4401913875598093E-3</v>
      </c>
      <c r="CC573" s="751">
        <f t="shared" si="598"/>
        <v>-2.4285714285714288E-3</v>
      </c>
      <c r="CD573" s="751">
        <f t="shared" si="598"/>
        <v>-2.4285714285714288E-3</v>
      </c>
      <c r="CE573" s="751">
        <f t="shared" si="598"/>
        <v>-2.4285714285714288E-3</v>
      </c>
      <c r="CF573" s="751">
        <f t="shared" si="598"/>
        <v>-2.4285714285714288E-3</v>
      </c>
      <c r="CG573" s="751">
        <f t="shared" si="598"/>
        <v>-2.4285714285714288E-3</v>
      </c>
      <c r="CH573" s="751">
        <f t="shared" si="598"/>
        <v>-2.4285714285714288E-3</v>
      </c>
      <c r="CI573" s="751">
        <f t="shared" si="598"/>
        <v>-2.4285714285714288E-3</v>
      </c>
      <c r="CJ573" s="751">
        <f t="shared" si="598"/>
        <v>-2.4285714285714288E-3</v>
      </c>
      <c r="CK573" s="751">
        <f t="shared" si="598"/>
        <v>-2.4285714285714288E-3</v>
      </c>
      <c r="CL573" s="751">
        <f t="shared" si="598"/>
        <v>-2.4285714285714288E-3</v>
      </c>
      <c r="CM573" s="751">
        <f t="shared" si="598"/>
        <v>-2.4285714285714288E-3</v>
      </c>
      <c r="CN573" s="751">
        <f t="shared" si="598"/>
        <v>-2.4285714285714288E-3</v>
      </c>
      <c r="CO573" s="751">
        <f t="shared" si="598"/>
        <v>-2.4285714285714288E-3</v>
      </c>
      <c r="CP573" s="751">
        <f t="shared" si="598"/>
        <v>-2.4285714285714288E-3</v>
      </c>
      <c r="CQ573" s="751">
        <f t="shared" si="598"/>
        <v>-2.4285714285714288E-3</v>
      </c>
      <c r="CR573" s="751">
        <f t="shared" si="598"/>
        <v>-2.4285714285714288E-3</v>
      </c>
      <c r="CS573" s="751">
        <f t="shared" si="598"/>
        <v>-2.4285714285714288E-3</v>
      </c>
      <c r="CT573" s="751">
        <f t="shared" si="598"/>
        <v>-2.4285714285714288E-3</v>
      </c>
      <c r="CU573" s="751">
        <f t="shared" si="598"/>
        <v>-2.4285714285714288E-3</v>
      </c>
      <c r="CV573" s="751">
        <f t="shared" si="598"/>
        <v>-2.4285714285714288E-3</v>
      </c>
      <c r="CW573" s="751">
        <f t="shared" si="598"/>
        <v>-2.4285714285714288E-3</v>
      </c>
      <c r="CX573" s="751">
        <f t="shared" si="598"/>
        <v>-2.4285714285714288E-3</v>
      </c>
      <c r="CY573" s="751">
        <f t="shared" si="598"/>
        <v>-2.4285714285714288E-3</v>
      </c>
      <c r="CZ573" s="751">
        <f t="shared" si="598"/>
        <v>-2.4285714285714288E-3</v>
      </c>
      <c r="DA573" s="751">
        <f t="shared" si="598"/>
        <v>-2.4285714285714288E-3</v>
      </c>
      <c r="DC573" s="12"/>
      <c r="DD573" s="12">
        <f>SUM(AH573:AS573)</f>
        <v>0</v>
      </c>
      <c r="DE573" s="12">
        <f>SUM(AT573:BE573)</f>
        <v>-5.2590492775314655E-2</v>
      </c>
      <c r="DF573" s="12">
        <f>SUM(BF573:BQ573)</f>
        <v>-2.8716953449564882E-2</v>
      </c>
      <c r="DG573" s="12">
        <f>SUM(BR573:CC573)</f>
        <v>-2.9935182291755999E-2</v>
      </c>
      <c r="DH573" s="12">
        <f>SUM(CD573:CO573)</f>
        <v>-2.9142857142857147E-2</v>
      </c>
      <c r="DI573" s="12">
        <f t="shared" si="586"/>
        <v>-2.9142857142857147E-2</v>
      </c>
    </row>
    <row r="574" spans="5:113" outlineLevel="1">
      <c r="F574" s="126" t="s">
        <v>144</v>
      </c>
      <c r="G574" s="718"/>
      <c r="H574" s="727"/>
      <c r="I574" s="609" t="s">
        <v>736</v>
      </c>
      <c r="O574" s="696"/>
      <c r="P574" s="696"/>
      <c r="Q574" s="696"/>
      <c r="R574" s="696"/>
      <c r="S574" s="696"/>
      <c r="T574" s="696"/>
      <c r="U574" s="696"/>
      <c r="V574" s="696"/>
      <c r="W574" s="696"/>
      <c r="X574" s="696"/>
      <c r="Y574" s="696"/>
      <c r="Z574" s="697"/>
      <c r="AA574" s="697"/>
      <c r="AB574" s="697"/>
      <c r="AC574" s="697"/>
      <c r="AD574" s="697"/>
      <c r="AE574" s="697"/>
      <c r="AF574" s="697"/>
      <c r="AG574" s="697"/>
      <c r="AH574" s="697"/>
      <c r="AI574" s="697"/>
      <c r="AJ574" s="697"/>
      <c r="AK574" s="697"/>
      <c r="AL574" s="697"/>
      <c r="AM574" s="697"/>
      <c r="AN574" s="697"/>
      <c r="AO574" s="697"/>
      <c r="AP574" s="710"/>
      <c r="AQ574" s="749"/>
      <c r="AR574" s="749"/>
      <c r="AS574" s="749"/>
      <c r="AT574" s="751">
        <f>AT431/AT399*AT539</f>
        <v>-7.457788914742558E-2</v>
      </c>
      <c r="AU574" s="751">
        <f t="shared" ref="AU574:DA574" si="599">AU431/AU399*AU539</f>
        <v>-7.5837125189592819E-2</v>
      </c>
      <c r="AV574" s="751">
        <f t="shared" si="599"/>
        <v>-7.7041602465331274E-2</v>
      </c>
      <c r="AW574" s="751">
        <f t="shared" si="599"/>
        <v>-7.8194816800714925E-2</v>
      </c>
      <c r="AX574" s="751">
        <f t="shared" si="599"/>
        <v>-7.929997265518185E-2</v>
      </c>
      <c r="AY574" s="751">
        <f t="shared" si="599"/>
        <v>-8.0360012857602053E-2</v>
      </c>
      <c r="AZ574" s="751">
        <f t="shared" si="599"/>
        <v>-8.1377644773455132E-2</v>
      </c>
      <c r="BA574" s="751">
        <f t="shared" si="599"/>
        <v>-8.2355363393040976E-2</v>
      </c>
      <c r="BB574" s="751">
        <f t="shared" si="599"/>
        <v>-8.3295471755262765E-2</v>
      </c>
      <c r="BC574" s="751">
        <f t="shared" si="599"/>
        <v>-8.4200099058940062E-2</v>
      </c>
      <c r="BD574" s="751">
        <f t="shared" si="599"/>
        <v>-8.5071216761460303E-2</v>
      </c>
      <c r="BE574" s="751">
        <f t="shared" si="599"/>
        <v>-8.5910652920962199E-2</v>
      </c>
      <c r="BF574" s="751">
        <f t="shared" si="599"/>
        <v>-0.13059163059163059</v>
      </c>
      <c r="BG574" s="751">
        <f t="shared" si="599"/>
        <v>-0.13234438627108785</v>
      </c>
      <c r="BH574" s="751">
        <f t="shared" si="599"/>
        <v>-0.13412489006156553</v>
      </c>
      <c r="BI574" s="751">
        <f t="shared" si="599"/>
        <v>-0.13593380614657213</v>
      </c>
      <c r="BJ574" s="751">
        <f t="shared" si="599"/>
        <v>-0.13777182007745012</v>
      </c>
      <c r="BK574" s="751">
        <f t="shared" si="599"/>
        <v>-0.13963963963963966</v>
      </c>
      <c r="BL574" s="751">
        <f t="shared" si="599"/>
        <v>-0.14153799576142903</v>
      </c>
      <c r="BM574" s="751">
        <f t="shared" si="599"/>
        <v>-0.14346764346764349</v>
      </c>
      <c r="BN574" s="751">
        <f t="shared" si="599"/>
        <v>-0.14542936288088645</v>
      </c>
      <c r="BO574" s="751">
        <f t="shared" si="599"/>
        <v>-0.14742396027312232</v>
      </c>
      <c r="BP574" s="751">
        <f t="shared" si="599"/>
        <v>-0.14945226917057911</v>
      </c>
      <c r="BQ574" s="751">
        <f t="shared" si="599"/>
        <v>-0.15151515151515152</v>
      </c>
      <c r="BR574" s="751">
        <f t="shared" si="599"/>
        <v>-0.19597989949748745</v>
      </c>
      <c r="BS574" s="751">
        <f t="shared" si="599"/>
        <v>-0.19500000000000003</v>
      </c>
      <c r="BT574" s="751">
        <f t="shared" si="599"/>
        <v>-0.19402985074626869</v>
      </c>
      <c r="BU574" s="751">
        <f t="shared" si="599"/>
        <v>-0.1930693069306931</v>
      </c>
      <c r="BV574" s="751">
        <f t="shared" si="599"/>
        <v>-0.19211822660098526</v>
      </c>
      <c r="BW574" s="751">
        <f t="shared" si="599"/>
        <v>-0.19117647058823534</v>
      </c>
      <c r="BX574" s="751">
        <f t="shared" si="599"/>
        <v>-0.19024390243902442</v>
      </c>
      <c r="BY574" s="751">
        <f t="shared" si="599"/>
        <v>-0.18932038834951462</v>
      </c>
      <c r="BZ574" s="751">
        <f t="shared" si="599"/>
        <v>-0.18840579710144931</v>
      </c>
      <c r="CA574" s="751">
        <f t="shared" si="599"/>
        <v>-0.18750000000000006</v>
      </c>
      <c r="CB574" s="751">
        <f t="shared" si="599"/>
        <v>-0.18660287081339719</v>
      </c>
      <c r="CC574" s="751">
        <f t="shared" si="599"/>
        <v>-0.18571428571428572</v>
      </c>
      <c r="CD574" s="751">
        <f t="shared" si="599"/>
        <v>-0.22285714285714286</v>
      </c>
      <c r="CE574" s="751">
        <f t="shared" si="599"/>
        <v>-0.22285714285714286</v>
      </c>
      <c r="CF574" s="751">
        <f t="shared" si="599"/>
        <v>-0.22285714285714286</v>
      </c>
      <c r="CG574" s="751">
        <f t="shared" si="599"/>
        <v>-0.22285714285714286</v>
      </c>
      <c r="CH574" s="751">
        <f t="shared" si="599"/>
        <v>-0.22285714285714286</v>
      </c>
      <c r="CI574" s="751">
        <f t="shared" si="599"/>
        <v>-0.22285714285714286</v>
      </c>
      <c r="CJ574" s="751">
        <f t="shared" si="599"/>
        <v>-0.22285714285714286</v>
      </c>
      <c r="CK574" s="751">
        <f t="shared" si="599"/>
        <v>-0.22285714285714286</v>
      </c>
      <c r="CL574" s="751">
        <f t="shared" si="599"/>
        <v>-0.22285714285714286</v>
      </c>
      <c r="CM574" s="751">
        <f t="shared" si="599"/>
        <v>-0.22285714285714286</v>
      </c>
      <c r="CN574" s="751">
        <f t="shared" si="599"/>
        <v>-0.22285714285714286</v>
      </c>
      <c r="CO574" s="751">
        <f t="shared" si="599"/>
        <v>-0.22285714285714286</v>
      </c>
      <c r="CP574" s="751">
        <f t="shared" si="599"/>
        <v>-0.24514285714285716</v>
      </c>
      <c r="CQ574" s="751">
        <f t="shared" si="599"/>
        <v>-0.24514285714285716</v>
      </c>
      <c r="CR574" s="751">
        <f t="shared" si="599"/>
        <v>-0.24514285714285716</v>
      </c>
      <c r="CS574" s="751">
        <f t="shared" si="599"/>
        <v>-0.24514285714285716</v>
      </c>
      <c r="CT574" s="751">
        <f t="shared" si="599"/>
        <v>-0.24514285714285716</v>
      </c>
      <c r="CU574" s="751">
        <f t="shared" si="599"/>
        <v>-0.24514285714285716</v>
      </c>
      <c r="CV574" s="751">
        <f t="shared" si="599"/>
        <v>-0.24514285714285716</v>
      </c>
      <c r="CW574" s="751">
        <f t="shared" si="599"/>
        <v>-0.24514285714285716</v>
      </c>
      <c r="CX574" s="751">
        <f t="shared" si="599"/>
        <v>-0.24514285714285716</v>
      </c>
      <c r="CY574" s="751">
        <f t="shared" si="599"/>
        <v>-0.24514285714285716</v>
      </c>
      <c r="CZ574" s="751">
        <f t="shared" si="599"/>
        <v>-0.24514285714285716</v>
      </c>
      <c r="DA574" s="751">
        <f t="shared" si="599"/>
        <v>-0.24514285714285716</v>
      </c>
      <c r="DC574" s="12">
        <f>SUM(V574:AG574)</f>
        <v>0</v>
      </c>
      <c r="DD574" s="12">
        <f>SUM(AH574:AS574)</f>
        <v>0</v>
      </c>
      <c r="DE574" s="12">
        <f>SUM(AT574:BE574)</f>
        <v>-0.96752186777896998</v>
      </c>
      <c r="DF574" s="12">
        <f>SUM(BF574:BQ574)</f>
        <v>-1.689232555856758</v>
      </c>
      <c r="DG574" s="12">
        <f>SUM(BR574:CC574)</f>
        <v>-2.289160998781341</v>
      </c>
      <c r="DH574" s="12">
        <f>SUM(CD574:CO574)</f>
        <v>-2.6742857142857144</v>
      </c>
      <c r="DI574" s="12">
        <f t="shared" si="586"/>
        <v>-2.9417142857142857</v>
      </c>
    </row>
    <row r="575" spans="5:113" outlineLevel="1">
      <c r="F575" s="698" t="s">
        <v>808</v>
      </c>
      <c r="H575" s="126"/>
      <c r="I575" s="609" t="s">
        <v>736</v>
      </c>
      <c r="O575" s="696"/>
      <c r="P575" s="696"/>
      <c r="Q575" s="696"/>
      <c r="R575" s="696"/>
      <c r="S575" s="696"/>
      <c r="T575" s="696"/>
      <c r="U575" s="696"/>
      <c r="V575" s="696"/>
      <c r="W575" s="696"/>
      <c r="X575" s="696"/>
      <c r="Y575" s="696"/>
      <c r="Z575" s="697"/>
      <c r="AA575" s="697"/>
      <c r="AB575" s="697"/>
      <c r="AC575" s="697"/>
      <c r="AD575" s="697"/>
      <c r="AE575" s="697"/>
      <c r="AF575" s="697"/>
      <c r="AG575" s="697"/>
      <c r="AH575" s="697"/>
      <c r="AI575" s="697"/>
      <c r="AJ575" s="697"/>
      <c r="AK575" s="697"/>
      <c r="AL575" s="697"/>
      <c r="AM575" s="697"/>
      <c r="AN575" s="697"/>
      <c r="AO575" s="697"/>
      <c r="AP575" s="714"/>
      <c r="AQ575" s="714"/>
      <c r="AR575" s="714">
        <v>-1.9292500000000004E-3</v>
      </c>
      <c r="AS575" s="714">
        <v>-5.7432444746376814E-3</v>
      </c>
      <c r="AT575" s="714">
        <v>-8.6539326732490846E-3</v>
      </c>
      <c r="AU575" s="714">
        <v>-1.2948704078877667E-2</v>
      </c>
      <c r="AV575" s="714">
        <v>-1.7414069049351621E-2</v>
      </c>
      <c r="AW575" s="714">
        <v>-2.1605130478920691E-2</v>
      </c>
      <c r="AX575" s="714">
        <v>-2.5711031212458602E-2</v>
      </c>
      <c r="AY575" s="714">
        <v>-2.9762714768764575E-2</v>
      </c>
      <c r="AZ575" s="714">
        <v>-3.3886823970860722E-2</v>
      </c>
      <c r="BA575" s="714">
        <v>-3.8230248291283464E-2</v>
      </c>
      <c r="BB575" s="714">
        <v>-4.2889909178648121E-2</v>
      </c>
      <c r="BC575" s="714">
        <v>-4.7987036179965394E-2</v>
      </c>
      <c r="BD575" s="714">
        <v>-5.3585179107514584E-2</v>
      </c>
      <c r="BE575" s="714">
        <v>-5.9661278179841598E-2</v>
      </c>
      <c r="BF575" s="714">
        <v>-8.330227737986752E-2</v>
      </c>
      <c r="BG575" s="714">
        <v>-0.10151282381715632</v>
      </c>
      <c r="BH575" s="714">
        <v>-0.11818933275914111</v>
      </c>
      <c r="BI575" s="714">
        <v>-0.13146878630150713</v>
      </c>
      <c r="BJ575" s="714">
        <v>-0.1431663666152776</v>
      </c>
      <c r="BK575" s="714">
        <v>-0.15400479398651681</v>
      </c>
      <c r="BL575" s="714">
        <v>-0.16449543489735829</v>
      </c>
      <c r="BM575" s="714">
        <v>-0.17409319831346118</v>
      </c>
      <c r="BN575" s="714">
        <v>-0.18342061462354586</v>
      </c>
      <c r="BO575" s="714">
        <v>-0.19323199539738733</v>
      </c>
      <c r="BP575" s="714">
        <v>-0.203277247504633</v>
      </c>
      <c r="BQ575" s="714">
        <v>-0.2133786074860996</v>
      </c>
      <c r="BR575" s="714">
        <v>-0.22339184414183469</v>
      </c>
      <c r="BS575" s="714">
        <v>-0.2331595385560124</v>
      </c>
      <c r="BT575" s="714">
        <v>-0.2429085144381733</v>
      </c>
      <c r="BU575" s="714">
        <v>-0.25263724372302393</v>
      </c>
      <c r="BV575" s="714">
        <v>-0.26233246563933793</v>
      </c>
      <c r="BW575" s="714">
        <v>-0.27201241779210372</v>
      </c>
      <c r="BX575" s="714">
        <v>-0.28268179879266592</v>
      </c>
      <c r="BY575" s="714">
        <v>-0.29422699376833744</v>
      </c>
      <c r="BZ575" s="714">
        <v>-0.30551640872401253</v>
      </c>
      <c r="CA575" s="714">
        <v>-0.31672146138971141</v>
      </c>
      <c r="CB575" s="714">
        <v>-0.32790724409819777</v>
      </c>
      <c r="CC575" s="714">
        <v>-0.33911136952079346</v>
      </c>
      <c r="CD575" s="714">
        <v>-0.351601248344869</v>
      </c>
      <c r="CE575" s="714">
        <v>-0.36470345476701399</v>
      </c>
      <c r="CF575" s="714">
        <v>-0.37686719696014054</v>
      </c>
      <c r="CG575" s="714">
        <v>-0.38877146541908814</v>
      </c>
      <c r="CH575" s="714">
        <v>-0.40057758305428309</v>
      </c>
      <c r="CI575" s="714">
        <v>-0.41237538681444497</v>
      </c>
      <c r="CJ575" s="714">
        <v>-0.42421664390842645</v>
      </c>
      <c r="CK575" s="714">
        <v>-0.43550860367295158</v>
      </c>
      <c r="CL575" s="714">
        <v>-0.44609629061216527</v>
      </c>
      <c r="CM575" s="714">
        <v>-0.45652822300097595</v>
      </c>
      <c r="CN575" s="714">
        <v>-0.46688723398408971</v>
      </c>
      <c r="CO575" s="714">
        <v>-0.47722023051414625</v>
      </c>
      <c r="CP575" s="714">
        <v>-0.48755173681278219</v>
      </c>
      <c r="CQ575" s="714">
        <v>-0.49789501065369973</v>
      </c>
      <c r="CR575" s="714">
        <v>-0.50827081172729061</v>
      </c>
      <c r="CS575" s="714">
        <v>-0.51868061694222178</v>
      </c>
      <c r="CT575" s="714">
        <v>-0.52910542952000972</v>
      </c>
      <c r="CU575" s="714">
        <v>-0.53953809114288964</v>
      </c>
      <c r="CV575" s="714">
        <v>-0.54997399890048349</v>
      </c>
      <c r="CW575" s="714">
        <v>-0.56041044184726674</v>
      </c>
      <c r="CX575" s="714">
        <v>-0.57084594622077245</v>
      </c>
      <c r="CY575" s="714">
        <v>-0.58127955283800414</v>
      </c>
      <c r="CZ575" s="714">
        <v>-0.59171128660110905</v>
      </c>
      <c r="DA575" s="714">
        <v>-0.60245327638761259</v>
      </c>
      <c r="DC575" s="14">
        <f t="shared" si="591"/>
        <v>0</v>
      </c>
      <c r="DD575" s="12">
        <f t="shared" si="592"/>
        <v>-7.6724944746376818E-3</v>
      </c>
      <c r="DE575" s="12">
        <f t="shared" si="593"/>
        <v>-0.39233605716973619</v>
      </c>
      <c r="DF575" s="12">
        <f t="shared" si="594"/>
        <v>-1.863541479081952</v>
      </c>
      <c r="DG575" s="12">
        <f t="shared" si="595"/>
        <v>-3.352607300584205</v>
      </c>
      <c r="DH575" s="12">
        <f t="shared" si="596"/>
        <v>-5.0013535610525945</v>
      </c>
      <c r="DI575" s="12">
        <f t="shared" si="586"/>
        <v>-6.5377161995941417</v>
      </c>
    </row>
    <row r="576" spans="5:113" outlineLevel="1">
      <c r="F576" s="698"/>
      <c r="G576" s="126" t="s">
        <v>827</v>
      </c>
      <c r="H576" s="126"/>
      <c r="I576" s="609" t="s">
        <v>736</v>
      </c>
      <c r="O576" s="696"/>
      <c r="P576" s="696"/>
      <c r="Q576" s="696"/>
      <c r="R576" s="696"/>
      <c r="S576" s="696"/>
      <c r="T576" s="696"/>
      <c r="U576" s="696"/>
      <c r="V576" s="696"/>
      <c r="W576" s="696"/>
      <c r="X576" s="696"/>
      <c r="Y576" s="696"/>
      <c r="Z576" s="697"/>
      <c r="AA576" s="697"/>
      <c r="AB576" s="697"/>
      <c r="AC576" s="697"/>
      <c r="AD576" s="697"/>
      <c r="AE576" s="697"/>
      <c r="AF576" s="697"/>
      <c r="AG576" s="697"/>
      <c r="AH576" s="697"/>
      <c r="AI576" s="697"/>
      <c r="AJ576" s="697"/>
      <c r="AK576" s="697"/>
      <c r="AL576" s="697"/>
      <c r="AM576" s="697"/>
      <c r="AN576" s="697"/>
      <c r="AO576" s="697"/>
      <c r="AP576" s="710"/>
      <c r="AQ576" s="710"/>
      <c r="AR576" s="710"/>
      <c r="AS576" s="710"/>
      <c r="AT576" s="710"/>
      <c r="AU576" s="710"/>
      <c r="AV576" s="710"/>
      <c r="AW576" s="710"/>
      <c r="AX576" s="710"/>
      <c r="AY576" s="710"/>
      <c r="AZ576" s="710"/>
      <c r="BA576" s="710"/>
      <c r="BB576" s="710"/>
      <c r="BC576" s="710"/>
      <c r="BD576" s="710"/>
      <c r="BE576" s="710"/>
      <c r="BF576" s="710"/>
      <c r="BG576" s="710"/>
      <c r="BH576" s="710"/>
      <c r="BI576" s="710"/>
      <c r="BJ576" s="710"/>
      <c r="BK576" s="710"/>
      <c r="BL576" s="710"/>
      <c r="BM576" s="710"/>
      <c r="BN576" s="710"/>
      <c r="BO576" s="710"/>
      <c r="BP576" s="710"/>
      <c r="BQ576" s="710"/>
      <c r="BR576" s="710"/>
      <c r="BS576" s="710"/>
      <c r="BT576" s="710"/>
      <c r="BU576" s="710"/>
      <c r="BV576" s="710"/>
      <c r="BW576" s="710"/>
      <c r="BX576" s="710"/>
      <c r="BY576" s="710"/>
      <c r="BZ576" s="710"/>
      <c r="CA576" s="710"/>
      <c r="CB576" s="710"/>
      <c r="CC576" s="710"/>
      <c r="CD576" s="710"/>
      <c r="CE576" s="710"/>
      <c r="CF576" s="710"/>
      <c r="CG576" s="710"/>
      <c r="CH576" s="710"/>
      <c r="CI576" s="710"/>
      <c r="CJ576" s="710"/>
      <c r="CK576" s="710"/>
      <c r="CL576" s="710"/>
      <c r="CM576" s="710"/>
      <c r="CN576" s="710"/>
      <c r="CO576" s="710"/>
      <c r="CP576" s="710"/>
      <c r="CQ576" s="710"/>
      <c r="CR576" s="710"/>
      <c r="CS576" s="710"/>
      <c r="CT576" s="710"/>
      <c r="CU576" s="710"/>
      <c r="CV576" s="710"/>
      <c r="CW576" s="710"/>
      <c r="CX576" s="710"/>
      <c r="CY576" s="710"/>
      <c r="CZ576" s="710"/>
      <c r="DA576" s="710"/>
      <c r="DC576" s="12">
        <f t="shared" si="591"/>
        <v>0</v>
      </c>
      <c r="DD576" s="12">
        <f t="shared" si="592"/>
        <v>0</v>
      </c>
      <c r="DE576" s="12">
        <f t="shared" si="593"/>
        <v>0</v>
      </c>
      <c r="DF576" s="12">
        <f t="shared" si="594"/>
        <v>0</v>
      </c>
      <c r="DG576" s="12">
        <f t="shared" si="595"/>
        <v>0</v>
      </c>
      <c r="DH576" s="12">
        <f t="shared" si="596"/>
        <v>0</v>
      </c>
      <c r="DI576" s="12">
        <f t="shared" si="586"/>
        <v>0</v>
      </c>
    </row>
    <row r="577" spans="2:113" outlineLevel="1">
      <c r="F577" s="698"/>
      <c r="G577" s="126" t="s">
        <v>828</v>
      </c>
      <c r="H577" s="126"/>
      <c r="I577" s="609" t="s">
        <v>736</v>
      </c>
      <c r="O577" s="696"/>
      <c r="P577" s="696"/>
      <c r="Q577" s="696"/>
      <c r="R577" s="696"/>
      <c r="S577" s="696"/>
      <c r="T577" s="696"/>
      <c r="U577" s="696"/>
      <c r="V577" s="696"/>
      <c r="W577" s="696"/>
      <c r="X577" s="696"/>
      <c r="Y577" s="696"/>
      <c r="Z577" s="697"/>
      <c r="AA577" s="697"/>
      <c r="AB577" s="697"/>
      <c r="AC577" s="697"/>
      <c r="AD577" s="697"/>
      <c r="AE577" s="697"/>
      <c r="AF577" s="697"/>
      <c r="AG577" s="697"/>
      <c r="AH577" s="697"/>
      <c r="AI577" s="697"/>
      <c r="AJ577" s="697"/>
      <c r="AK577" s="697"/>
      <c r="AL577" s="697"/>
      <c r="AM577" s="697"/>
      <c r="AN577" s="697"/>
      <c r="AO577" s="697"/>
      <c r="AP577" s="710"/>
      <c r="AQ577" s="710"/>
      <c r="AR577" s="710"/>
      <c r="AS577" s="710"/>
      <c r="AT577" s="710"/>
      <c r="AU577" s="710"/>
      <c r="AV577" s="710"/>
      <c r="AW577" s="710"/>
      <c r="AX577" s="710"/>
      <c r="AY577" s="710"/>
      <c r="AZ577" s="710"/>
      <c r="BA577" s="710"/>
      <c r="BB577" s="710"/>
      <c r="BC577" s="710"/>
      <c r="BD577" s="710"/>
      <c r="BE577" s="710"/>
      <c r="BF577" s="710"/>
      <c r="BG577" s="710"/>
      <c r="BH577" s="710"/>
      <c r="BI577" s="710"/>
      <c r="BJ577" s="710"/>
      <c r="BK577" s="710"/>
      <c r="BL577" s="710"/>
      <c r="BM577" s="710"/>
      <c r="BN577" s="710"/>
      <c r="BO577" s="710"/>
      <c r="BP577" s="710"/>
      <c r="BQ577" s="710"/>
      <c r="BR577" s="710"/>
      <c r="BS577" s="710"/>
      <c r="BT577" s="710"/>
      <c r="BU577" s="710"/>
      <c r="BV577" s="710"/>
      <c r="BW577" s="710"/>
      <c r="BX577" s="710"/>
      <c r="BY577" s="710"/>
      <c r="BZ577" s="710"/>
      <c r="CA577" s="710"/>
      <c r="CB577" s="710"/>
      <c r="CC577" s="710"/>
      <c r="CD577" s="710"/>
      <c r="CE577" s="710"/>
      <c r="CF577" s="710"/>
      <c r="CG577" s="710"/>
      <c r="CH577" s="710"/>
      <c r="CI577" s="710"/>
      <c r="CJ577" s="710"/>
      <c r="CK577" s="710"/>
      <c r="CL577" s="710"/>
      <c r="CM577" s="710"/>
      <c r="CN577" s="710"/>
      <c r="CO577" s="710"/>
      <c r="CP577" s="710"/>
      <c r="CQ577" s="710"/>
      <c r="CR577" s="710"/>
      <c r="CS577" s="710"/>
      <c r="CT577" s="710"/>
      <c r="CU577" s="710"/>
      <c r="CV577" s="710"/>
      <c r="CW577" s="710"/>
      <c r="CX577" s="710"/>
      <c r="CY577" s="710"/>
      <c r="CZ577" s="710"/>
      <c r="DA577" s="710"/>
      <c r="DC577" s="12">
        <f t="shared" si="591"/>
        <v>0</v>
      </c>
      <c r="DD577" s="12">
        <f t="shared" si="592"/>
        <v>0</v>
      </c>
      <c r="DE577" s="12">
        <f t="shared" si="593"/>
        <v>0</v>
      </c>
      <c r="DF577" s="12">
        <f t="shared" si="594"/>
        <v>0</v>
      </c>
      <c r="DG577" s="12">
        <f t="shared" si="595"/>
        <v>0</v>
      </c>
      <c r="DH577" s="12">
        <f t="shared" si="596"/>
        <v>0</v>
      </c>
      <c r="DI577" s="12">
        <f t="shared" si="586"/>
        <v>0</v>
      </c>
    </row>
    <row r="578" spans="2:113" outlineLevel="1">
      <c r="E578" s="698" t="s">
        <v>820</v>
      </c>
      <c r="I578" s="609" t="s">
        <v>736</v>
      </c>
      <c r="O578" s="696"/>
      <c r="P578" s="696"/>
      <c r="Q578" s="696"/>
      <c r="R578" s="696"/>
      <c r="S578" s="696"/>
      <c r="T578" s="696"/>
      <c r="U578" s="696"/>
      <c r="V578" s="696"/>
      <c r="W578" s="696"/>
      <c r="X578" s="696"/>
      <c r="Y578" s="696"/>
      <c r="Z578" s="697"/>
      <c r="AA578" s="697"/>
      <c r="AB578" s="697"/>
      <c r="AC578" s="697"/>
      <c r="AD578" s="697"/>
      <c r="AE578" s="697"/>
      <c r="AF578" s="697"/>
      <c r="AG578" s="697"/>
      <c r="AH578" s="697"/>
      <c r="AI578" s="697"/>
      <c r="AJ578" s="697"/>
      <c r="AK578" s="697"/>
      <c r="AL578" s="697"/>
      <c r="AM578" s="697"/>
      <c r="AN578" s="697"/>
      <c r="AO578" s="697"/>
      <c r="AP578" s="696"/>
      <c r="AQ578" s="696"/>
      <c r="AR578" s="696">
        <f t="shared" ref="AR578:DA578" si="600">AR549+AR565+AR566</f>
        <v>-0.16923674999999999</v>
      </c>
      <c r="AS578" s="696">
        <f t="shared" si="600"/>
        <v>-0.26951079972826086</v>
      </c>
      <c r="AT578" s="696">
        <f t="shared" si="600"/>
        <v>-0.34806106606862208</v>
      </c>
      <c r="AU578" s="696">
        <f t="shared" si="600"/>
        <v>-0.3355158118642752</v>
      </c>
      <c r="AV578" s="696">
        <f t="shared" si="600"/>
        <v>-0.33435889589176215</v>
      </c>
      <c r="AW578" s="696">
        <f t="shared" si="600"/>
        <v>-0.33616762230743369</v>
      </c>
      <c r="AX578" s="696">
        <f t="shared" si="600"/>
        <v>-0.34242100561548272</v>
      </c>
      <c r="AY578" s="696">
        <f t="shared" si="600"/>
        <v>-0.37184454466801331</v>
      </c>
      <c r="AZ578" s="696">
        <f t="shared" si="600"/>
        <v>-0.43998771252044344</v>
      </c>
      <c r="BA578" s="696">
        <f t="shared" si="600"/>
        <v>-0.5162455042929508</v>
      </c>
      <c r="BB578" s="696">
        <f t="shared" si="600"/>
        <v>-0.60868604118697045</v>
      </c>
      <c r="BC578" s="696">
        <f t="shared" si="600"/>
        <v>-0.69737575079241088</v>
      </c>
      <c r="BD578" s="696">
        <f t="shared" si="600"/>
        <v>-0.76560501939693582</v>
      </c>
      <c r="BE578" s="696">
        <f t="shared" si="600"/>
        <v>-0.81203489090792191</v>
      </c>
      <c r="BF578" s="696">
        <f t="shared" si="600"/>
        <v>-0.77522026117183584</v>
      </c>
      <c r="BG578" s="696">
        <f t="shared" si="600"/>
        <v>-0.73210764464267308</v>
      </c>
      <c r="BH578" s="696">
        <f t="shared" si="600"/>
        <v>-0.65543823349663832</v>
      </c>
      <c r="BI578" s="696">
        <f t="shared" si="600"/>
        <v>-0.56796122490766954</v>
      </c>
      <c r="BJ578" s="696">
        <f t="shared" si="600"/>
        <v>-0.55307696895616687</v>
      </c>
      <c r="BK578" s="696">
        <f t="shared" si="600"/>
        <v>-0.50879909362601261</v>
      </c>
      <c r="BL578" s="696">
        <f t="shared" si="600"/>
        <v>-0.41465722135916017</v>
      </c>
      <c r="BM578" s="696">
        <f t="shared" si="600"/>
        <v>-0.44702447290638203</v>
      </c>
      <c r="BN578" s="696">
        <f t="shared" si="600"/>
        <v>-0.64072717309625726</v>
      </c>
      <c r="BO578" s="696">
        <f t="shared" si="600"/>
        <v>-0.73249447476167195</v>
      </c>
      <c r="BP578" s="696">
        <f t="shared" si="600"/>
        <v>-0.74297205234897379</v>
      </c>
      <c r="BQ578" s="696">
        <f t="shared" si="600"/>
        <v>-0.75046504469385433</v>
      </c>
      <c r="BR578" s="696">
        <f t="shared" si="600"/>
        <v>-0.74185177250142176</v>
      </c>
      <c r="BS578" s="696">
        <f t="shared" si="600"/>
        <v>-0.78497347604052958</v>
      </c>
      <c r="BT578" s="696">
        <f t="shared" si="600"/>
        <v>-0.81939945170292638</v>
      </c>
      <c r="BU578" s="696">
        <f t="shared" si="600"/>
        <v>-0.84716660192633864</v>
      </c>
      <c r="BV578" s="696">
        <f t="shared" si="600"/>
        <v>-0.87908322245568127</v>
      </c>
      <c r="BW578" s="696">
        <f t="shared" si="600"/>
        <v>-0.91488442059177166</v>
      </c>
      <c r="BX578" s="696">
        <f t="shared" si="600"/>
        <v>-0.9144575243565527</v>
      </c>
      <c r="BY578" s="696">
        <f t="shared" si="600"/>
        <v>-0.9415199834978778</v>
      </c>
      <c r="BZ578" s="696">
        <f t="shared" si="600"/>
        <v>-0.96313188600549537</v>
      </c>
      <c r="CA578" s="696">
        <f t="shared" si="600"/>
        <v>-0.92575994095576797</v>
      </c>
      <c r="CB578" s="696">
        <f t="shared" si="600"/>
        <v>-0.94634151739045436</v>
      </c>
      <c r="CC578" s="696">
        <f t="shared" si="600"/>
        <v>-0.96607864931151743</v>
      </c>
      <c r="CD578" s="696">
        <f t="shared" si="600"/>
        <v>-0.86247204498251739</v>
      </c>
      <c r="CE578" s="696">
        <f t="shared" si="600"/>
        <v>-0.67549231809181332</v>
      </c>
      <c r="CF578" s="696">
        <f t="shared" si="600"/>
        <v>-0.6868784672960917</v>
      </c>
      <c r="CG578" s="696">
        <f t="shared" si="600"/>
        <v>-0.62570643447884566</v>
      </c>
      <c r="CH578" s="696">
        <f t="shared" si="600"/>
        <v>-0.63778390990918976</v>
      </c>
      <c r="CI578" s="696">
        <f t="shared" si="600"/>
        <v>-0.64768887451097834</v>
      </c>
      <c r="CJ578" s="696">
        <f t="shared" si="600"/>
        <v>-0.51497002434812722</v>
      </c>
      <c r="CK578" s="696">
        <f t="shared" si="600"/>
        <v>-0.28761543320901417</v>
      </c>
      <c r="CL578" s="696">
        <f t="shared" si="600"/>
        <v>-0.3082192892244382</v>
      </c>
      <c r="CM578" s="696">
        <f t="shared" si="600"/>
        <v>-0.32239708741929718</v>
      </c>
      <c r="CN578" s="696">
        <f t="shared" si="600"/>
        <v>-0.33729611088073219</v>
      </c>
      <c r="CO578" s="696">
        <f t="shared" si="600"/>
        <v>-0.34955435275608404</v>
      </c>
      <c r="CP578" s="696">
        <f t="shared" si="600"/>
        <v>-0.38373754370661062</v>
      </c>
      <c r="CQ578" s="696">
        <f t="shared" si="600"/>
        <v>-0.39838402171284781</v>
      </c>
      <c r="CR578" s="696">
        <f t="shared" si="600"/>
        <v>-0.41343107595280992</v>
      </c>
      <c r="CS578" s="696">
        <f t="shared" si="600"/>
        <v>-0.42011544963468661</v>
      </c>
      <c r="CT578" s="696">
        <f t="shared" si="600"/>
        <v>-0.42550018683292934</v>
      </c>
      <c r="CU578" s="696">
        <f t="shared" si="600"/>
        <v>-0.43017614522131931</v>
      </c>
      <c r="CV578" s="696">
        <f t="shared" si="600"/>
        <v>-0.43462998480520887</v>
      </c>
      <c r="CW578" s="696">
        <f t="shared" si="600"/>
        <v>-0.43900970244461179</v>
      </c>
      <c r="CX578" s="696">
        <f t="shared" si="600"/>
        <v>-0.4433575818641351</v>
      </c>
      <c r="CY578" s="696">
        <f t="shared" si="600"/>
        <v>-0.44780835138394592</v>
      </c>
      <c r="CZ578" s="696">
        <f t="shared" si="600"/>
        <v>-0.45259327848328024</v>
      </c>
      <c r="DA578" s="696">
        <f t="shared" si="600"/>
        <v>-0.48854332918881926</v>
      </c>
      <c r="DC578" s="14">
        <f t="shared" si="591"/>
        <v>0</v>
      </c>
      <c r="DD578" s="14">
        <f t="shared" si="592"/>
        <v>-0.43874754972826085</v>
      </c>
      <c r="DE578" s="14">
        <f t="shared" si="593"/>
        <v>-5.9083038655132221</v>
      </c>
      <c r="DF578" s="14">
        <f t="shared" si="594"/>
        <v>-7.520943865967296</v>
      </c>
      <c r="DG578" s="14">
        <f t="shared" si="595"/>
        <v>-10.644648446736335</v>
      </c>
      <c r="DH578" s="14">
        <f t="shared" si="596"/>
        <v>-6.2560743471071287</v>
      </c>
      <c r="DI578" s="14">
        <f t="shared" si="586"/>
        <v>-5.1772866512312046</v>
      </c>
    </row>
    <row r="579" spans="2:113" outlineLevel="1">
      <c r="E579" s="229"/>
      <c r="F579" s="230" t="s">
        <v>423</v>
      </c>
      <c r="I579" s="609" t="s">
        <v>736</v>
      </c>
      <c r="O579" s="696"/>
      <c r="P579" s="696"/>
      <c r="Q579" s="696"/>
      <c r="R579" s="696"/>
      <c r="S579" s="696"/>
      <c r="T579" s="696"/>
      <c r="U579" s="696"/>
      <c r="V579" s="696"/>
      <c r="W579" s="696"/>
      <c r="X579" s="696"/>
      <c r="Y579" s="696"/>
      <c r="Z579" s="697"/>
      <c r="AA579" s="697"/>
      <c r="AB579" s="697"/>
      <c r="AC579" s="697"/>
      <c r="AD579" s="697"/>
      <c r="AE579" s="697"/>
      <c r="AF579" s="697"/>
      <c r="AG579" s="697"/>
      <c r="AH579" s="697"/>
      <c r="AI579" s="697"/>
      <c r="AJ579" s="697"/>
      <c r="AK579" s="697"/>
      <c r="AL579" s="697"/>
      <c r="AM579" s="697"/>
      <c r="AN579" s="697"/>
      <c r="AO579" s="697"/>
      <c r="AP579" s="696"/>
      <c r="AQ579" s="739"/>
      <c r="AR579" s="739">
        <v>0</v>
      </c>
      <c r="AS579" s="739">
        <v>0</v>
      </c>
      <c r="AT579" s="739">
        <v>0</v>
      </c>
      <c r="AU579" s="739">
        <v>0</v>
      </c>
      <c r="AV579" s="739">
        <v>7.1820000000000009E-2</v>
      </c>
      <c r="AW579" s="739">
        <v>0.22195799999999999</v>
      </c>
      <c r="AX579" s="739">
        <v>0.47508415704545448</v>
      </c>
      <c r="AY579" s="739">
        <v>0.8367173168807851</v>
      </c>
      <c r="AZ579" s="739">
        <v>1.2318653129822428</v>
      </c>
      <c r="BA579" s="739">
        <v>1.6155212976197069</v>
      </c>
      <c r="BB579" s="739">
        <v>1.9806756004493704</v>
      </c>
      <c r="BC579" s="739">
        <v>2.310569320587609</v>
      </c>
      <c r="BD579" s="739">
        <v>2.6017362156739448</v>
      </c>
      <c r="BE579" s="739">
        <v>2.8859376097386953</v>
      </c>
      <c r="BF579" s="739">
        <v>3.0971455642942844</v>
      </c>
      <c r="BG579" s="739">
        <v>3.2557869212462225</v>
      </c>
      <c r="BH579" s="739">
        <v>3.3392560574272432</v>
      </c>
      <c r="BI579" s="739">
        <v>3.2987492121455437</v>
      </c>
      <c r="BJ579" s="739">
        <v>3.5769893560596824</v>
      </c>
      <c r="BK579" s="739">
        <v>4.0634811654967118</v>
      </c>
      <c r="BL579" s="739">
        <v>4.5830870090502227</v>
      </c>
      <c r="BM579" s="739">
        <v>5.3072434468939322</v>
      </c>
      <c r="BN579" s="739">
        <v>5.6446547546843338</v>
      </c>
      <c r="BO579" s="739">
        <v>5.8631973233337016</v>
      </c>
      <c r="BP579" s="739">
        <v>6.1618454704179513</v>
      </c>
      <c r="BQ579" s="739">
        <v>6.4085491821121243</v>
      </c>
      <c r="BR579" s="739">
        <v>6.8039853990981376</v>
      </c>
      <c r="BS579" s="739">
        <v>7.1897976716804042</v>
      </c>
      <c r="BT579" s="739">
        <v>7.5686290039704627</v>
      </c>
      <c r="BU579" s="739">
        <v>7.9633305783004857</v>
      </c>
      <c r="BV579" s="739">
        <v>8.3639493211224298</v>
      </c>
      <c r="BW579" s="739">
        <v>8.7619105780127455</v>
      </c>
      <c r="BX579" s="739">
        <v>9.1602309678143055</v>
      </c>
      <c r="BY579" s="739">
        <v>9.5518824568419962</v>
      </c>
      <c r="BZ579" s="739">
        <v>9.942657270488267</v>
      </c>
      <c r="CA579" s="739">
        <v>9.9917822613349507</v>
      </c>
      <c r="CB579" s="739">
        <v>10.039753828966884</v>
      </c>
      <c r="CC579" s="739">
        <v>10.084755877543373</v>
      </c>
      <c r="CD579" s="739">
        <v>10.12658850815752</v>
      </c>
      <c r="CE579" s="739">
        <v>10.506065136251985</v>
      </c>
      <c r="CF579" s="739">
        <v>10.882564406360951</v>
      </c>
      <c r="CG579" s="739">
        <v>10.836142218141184</v>
      </c>
      <c r="CH579" s="739">
        <v>10.796103524950002</v>
      </c>
      <c r="CI579" s="739">
        <v>10.74974896244056</v>
      </c>
      <c r="CJ579" s="739">
        <v>10.694717336194737</v>
      </c>
      <c r="CK579" s="739">
        <v>11.051963735066877</v>
      </c>
      <c r="CL579" s="739">
        <v>11.392542943493266</v>
      </c>
      <c r="CM579" s="739">
        <v>11.729413635135188</v>
      </c>
      <c r="CN579" s="739">
        <v>12.073724762164554</v>
      </c>
      <c r="CO579" s="739">
        <v>12.413507700339839</v>
      </c>
      <c r="CP579" s="739">
        <v>12.747516386639917</v>
      </c>
      <c r="CQ579" s="739">
        <v>13.074979905852462</v>
      </c>
      <c r="CR579" s="739">
        <v>13.386610447697441</v>
      </c>
      <c r="CS579" s="739">
        <v>13.695376277110004</v>
      </c>
      <c r="CT579" s="739">
        <v>14.002773342623755</v>
      </c>
      <c r="CU579" s="739">
        <v>14.309506700059806</v>
      </c>
      <c r="CV579" s="739">
        <v>14.616410320571292</v>
      </c>
      <c r="CW579" s="739">
        <v>14.923779527453812</v>
      </c>
      <c r="CX579" s="739">
        <v>15.231716492337215</v>
      </c>
      <c r="CY579" s="739">
        <v>15.54039556293629</v>
      </c>
      <c r="CZ579" s="739">
        <v>15.849374285969809</v>
      </c>
      <c r="DA579" s="739">
        <v>16.1585073480659</v>
      </c>
      <c r="DC579" s="11">
        <f>AG579</f>
        <v>0</v>
      </c>
      <c r="DD579" s="11">
        <f t="shared" ref="DD579:DD584" si="601">AS579</f>
        <v>0</v>
      </c>
      <c r="DE579" s="11">
        <f t="shared" ref="DE579:DE584" si="602">BE579</f>
        <v>2.8859376097386953</v>
      </c>
      <c r="DF579" s="11">
        <f t="shared" ref="DF579:DF584" si="603">BQ579</f>
        <v>6.4085491821121243</v>
      </c>
      <c r="DG579" s="11">
        <f t="shared" ref="DG579:DG584" si="604">CC579</f>
        <v>10.084755877543373</v>
      </c>
      <c r="DH579" s="11">
        <f t="shared" ref="DH579:DH584" si="605">CO579</f>
        <v>12.413507700339839</v>
      </c>
      <c r="DI579" s="11">
        <f t="shared" ref="DI579:DI584" si="606">DA579</f>
        <v>16.1585073480659</v>
      </c>
    </row>
    <row r="580" spans="2:113" outlineLevel="1">
      <c r="E580" s="229"/>
      <c r="F580" s="230" t="s">
        <v>810</v>
      </c>
      <c r="I580" s="609" t="s">
        <v>736</v>
      </c>
      <c r="O580" s="696"/>
      <c r="P580" s="696"/>
      <c r="Q580" s="696"/>
      <c r="R580" s="696"/>
      <c r="S580" s="696"/>
      <c r="T580" s="696"/>
      <c r="U580" s="696"/>
      <c r="V580" s="696"/>
      <c r="W580" s="696"/>
      <c r="X580" s="696"/>
      <c r="Y580" s="696"/>
      <c r="Z580" s="697"/>
      <c r="AA580" s="697"/>
      <c r="AB580" s="697"/>
      <c r="AC580" s="697"/>
      <c r="AD580" s="697"/>
      <c r="AE580" s="697"/>
      <c r="AF580" s="697"/>
      <c r="AG580" s="697"/>
      <c r="AH580" s="697"/>
      <c r="AI580" s="697"/>
      <c r="AJ580" s="697"/>
      <c r="AK580" s="697"/>
      <c r="AL580" s="697"/>
      <c r="AM580" s="697"/>
      <c r="AN580" s="697"/>
      <c r="AO580" s="697"/>
      <c r="AP580" s="696"/>
      <c r="AQ580" s="739"/>
      <c r="AR580" s="739">
        <v>0</v>
      </c>
      <c r="AS580" s="739">
        <v>8.4000000000000019E-2</v>
      </c>
      <c r="AT580" s="739">
        <v>0.25120000000000003</v>
      </c>
      <c r="AU580" s="739">
        <v>0.52591398484848484</v>
      </c>
      <c r="AV580" s="739">
        <v>0.9113693464049587</v>
      </c>
      <c r="AW580" s="739">
        <v>1.401912040031718</v>
      </c>
      <c r="AX580" s="739">
        <v>1.9893077581485288</v>
      </c>
      <c r="AY580" s="739">
        <v>2.6312461139939614</v>
      </c>
      <c r="AZ580" s="739">
        <v>3.2728608714493288</v>
      </c>
      <c r="BA580" s="739">
        <v>3.900591527359007</v>
      </c>
      <c r="BB580" s="739">
        <v>4.4832365809948769</v>
      </c>
      <c r="BC580" s="739">
        <v>5.0110469626083773</v>
      </c>
      <c r="BD580" s="739">
        <v>5.4832235500322239</v>
      </c>
      <c r="BE580" s="739">
        <v>5.9354829328654395</v>
      </c>
      <c r="BF580" s="739">
        <v>6.0669618939463721</v>
      </c>
      <c r="BG580" s="739">
        <v>6.6155408532037523</v>
      </c>
      <c r="BH580" s="739">
        <v>7.3367881707509186</v>
      </c>
      <c r="BI580" s="739">
        <v>7.9409490504667115</v>
      </c>
      <c r="BJ580" s="739">
        <v>8.6891098682520624</v>
      </c>
      <c r="BK580" s="739">
        <v>9.281310553576601</v>
      </c>
      <c r="BL580" s="739">
        <v>10.041504066788457</v>
      </c>
      <c r="BM580" s="739">
        <v>10.981790145251539</v>
      </c>
      <c r="BN580" s="739">
        <v>11.681359877699807</v>
      </c>
      <c r="BO580" s="739">
        <v>12.243218105285674</v>
      </c>
      <c r="BP580" s="739">
        <v>12.884185837621272</v>
      </c>
      <c r="BQ580" s="739">
        <v>13.48258416144453</v>
      </c>
      <c r="BR580" s="739">
        <v>14.24475870401095</v>
      </c>
      <c r="BS580" s="739">
        <v>14.993159218580097</v>
      </c>
      <c r="BT580" s="739">
        <v>15.733985117533575</v>
      </c>
      <c r="BU580" s="739">
        <v>16.484082934679176</v>
      </c>
      <c r="BV580" s="739">
        <v>17.239515655125931</v>
      </c>
      <c r="BW580" s="739">
        <v>17.99155904104855</v>
      </c>
      <c r="BX580" s="739">
        <v>18.255221431617809</v>
      </c>
      <c r="BY580" s="739">
        <v>18.608793027112185</v>
      </c>
      <c r="BZ580" s="739">
        <v>18.989183695946565</v>
      </c>
      <c r="CA580" s="739">
        <v>19.383246146642556</v>
      </c>
      <c r="CB580" s="739">
        <v>19.772708023231026</v>
      </c>
      <c r="CC580" s="739">
        <v>20.158356076984827</v>
      </c>
      <c r="CD580" s="739">
        <v>19.936947922953539</v>
      </c>
      <c r="CE580" s="739">
        <v>20.183465833678014</v>
      </c>
      <c r="CF580" s="739">
        <v>20.454545706471581</v>
      </c>
      <c r="CG580" s="739">
        <v>20.735852608597963</v>
      </c>
      <c r="CH580" s="739">
        <v>21.005639341159828</v>
      </c>
      <c r="CI580" s="739">
        <v>21.265068782588518</v>
      </c>
      <c r="CJ580" s="739">
        <v>21.514220672851316</v>
      </c>
      <c r="CK580" s="739">
        <v>22.188049951817597</v>
      </c>
      <c r="CL580" s="739">
        <v>22.836587725445696</v>
      </c>
      <c r="CM580" s="739">
        <v>23.473635094776739</v>
      </c>
      <c r="CN580" s="739">
        <v>24.101395591312006</v>
      </c>
      <c r="CO580" s="739">
        <v>24.721550081752849</v>
      </c>
      <c r="CP580" s="739">
        <v>25.334415020178419</v>
      </c>
      <c r="CQ580" s="739">
        <v>25.940153607830549</v>
      </c>
      <c r="CR580" s="739">
        <v>26.529702701751503</v>
      </c>
      <c r="CS580" s="739">
        <v>27.116883399195853</v>
      </c>
      <c r="CT580" s="739">
        <v>27.703298770162032</v>
      </c>
      <c r="CU580" s="739">
        <v>28.289831138716771</v>
      </c>
      <c r="CV580" s="739">
        <v>28.876854374927596</v>
      </c>
      <c r="CW580" s="739">
        <v>29.464513745745268</v>
      </c>
      <c r="CX580" s="739">
        <v>30.052813768393552</v>
      </c>
      <c r="CY580" s="739">
        <v>30.641876538000556</v>
      </c>
      <c r="CZ580" s="739">
        <v>31.231212526926214</v>
      </c>
      <c r="DA580" s="739">
        <v>31.820663778046089</v>
      </c>
      <c r="DC580" s="11">
        <f>AG580</f>
        <v>0</v>
      </c>
      <c r="DD580" s="11">
        <f t="shared" si="601"/>
        <v>8.4000000000000019E-2</v>
      </c>
      <c r="DE580" s="11">
        <f t="shared" si="602"/>
        <v>5.9354829328654395</v>
      </c>
      <c r="DF580" s="11">
        <f t="shared" si="603"/>
        <v>13.48258416144453</v>
      </c>
      <c r="DG580" s="11">
        <f t="shared" si="604"/>
        <v>20.158356076984827</v>
      </c>
      <c r="DH580" s="11">
        <f t="shared" si="605"/>
        <v>24.721550081752849</v>
      </c>
      <c r="DI580" s="11">
        <f t="shared" si="606"/>
        <v>31.820663778046089</v>
      </c>
    </row>
    <row r="581" spans="2:113" outlineLevel="1">
      <c r="E581" s="230" t="s">
        <v>811</v>
      </c>
      <c r="F581" s="229"/>
      <c r="I581" s="609" t="s">
        <v>812</v>
      </c>
      <c r="O581" s="696"/>
      <c r="P581" s="696"/>
      <c r="Q581" s="696"/>
      <c r="R581" s="696"/>
      <c r="S581" s="696"/>
      <c r="T581" s="696"/>
      <c r="U581" s="696"/>
      <c r="V581" s="696"/>
      <c r="W581" s="696"/>
      <c r="X581" s="696"/>
      <c r="Y581" s="696"/>
      <c r="Z581" s="697"/>
      <c r="AA581" s="697"/>
      <c r="AB581" s="697"/>
      <c r="AC581" s="697"/>
      <c r="AD581" s="697"/>
      <c r="AE581" s="697"/>
      <c r="AF581" s="697"/>
      <c r="AG581" s="697"/>
      <c r="AH581" s="697"/>
      <c r="AI581" s="697"/>
      <c r="AJ581" s="697"/>
      <c r="AK581" s="697"/>
      <c r="AL581" s="697"/>
      <c r="AM581" s="697"/>
      <c r="AN581" s="697"/>
      <c r="AO581" s="697"/>
      <c r="AP581" s="696"/>
      <c r="AQ581" s="753"/>
      <c r="AR581" s="753">
        <f t="shared" ref="AR581:DA581" si="607">AR579/AR543</f>
        <v>0</v>
      </c>
      <c r="AS581" s="753">
        <f t="shared" si="607"/>
        <v>0</v>
      </c>
      <c r="AT581" s="753">
        <f t="shared" si="607"/>
        <v>0</v>
      </c>
      <c r="AU581" s="753">
        <f t="shared" si="607"/>
        <v>0</v>
      </c>
      <c r="AV581" s="753">
        <f t="shared" si="607"/>
        <v>1.0199165770511404E-2</v>
      </c>
      <c r="AW581" s="753">
        <f t="shared" si="607"/>
        <v>2.4290763848446695E-2</v>
      </c>
      <c r="AX581" s="753">
        <f t="shared" si="607"/>
        <v>4.1866761076156576E-2</v>
      </c>
      <c r="AY581" s="753">
        <f t="shared" si="607"/>
        <v>6.1591516363299514E-2</v>
      </c>
      <c r="AZ581" s="753">
        <f t="shared" si="607"/>
        <v>7.7634910158577222E-2</v>
      </c>
      <c r="BA581" s="753">
        <f t="shared" si="607"/>
        <v>8.883103230306498E-2</v>
      </c>
      <c r="BB581" s="753">
        <f t="shared" si="607"/>
        <v>9.6352575019677769E-2</v>
      </c>
      <c r="BC581" s="753">
        <f t="shared" si="607"/>
        <v>0.10048427423374161</v>
      </c>
      <c r="BD581" s="753">
        <f t="shared" si="607"/>
        <v>0.10185176229182995</v>
      </c>
      <c r="BE581" s="753">
        <f t="shared" si="607"/>
        <v>0.10242953718494691</v>
      </c>
      <c r="BF581" s="753">
        <f t="shared" si="607"/>
        <v>8.2038024715375565E-2</v>
      </c>
      <c r="BG581" s="753">
        <f t="shared" si="607"/>
        <v>7.2593567113118387E-2</v>
      </c>
      <c r="BH581" s="753">
        <f t="shared" si="607"/>
        <v>6.5994190344708312E-2</v>
      </c>
      <c r="BI581" s="753">
        <f t="shared" si="607"/>
        <v>5.9258866647295357E-2</v>
      </c>
      <c r="BJ581" s="753">
        <f t="shared" si="607"/>
        <v>5.9260628468680979E-2</v>
      </c>
      <c r="BK581" s="753">
        <f t="shared" si="607"/>
        <v>6.2623181138398737E-2</v>
      </c>
      <c r="BL581" s="753">
        <f t="shared" si="607"/>
        <v>6.6048259122778855E-2</v>
      </c>
      <c r="BM581" s="753">
        <f t="shared" si="607"/>
        <v>7.2213035926942643E-2</v>
      </c>
      <c r="BN581" s="753">
        <f t="shared" si="607"/>
        <v>7.2842308439141232E-2</v>
      </c>
      <c r="BO581" s="753">
        <f t="shared" si="607"/>
        <v>7.1813750412593136E-2</v>
      </c>
      <c r="BP581" s="753">
        <f t="shared" si="607"/>
        <v>7.1834945004405543E-2</v>
      </c>
      <c r="BQ581" s="753">
        <f t="shared" si="607"/>
        <v>7.1121021627601241E-2</v>
      </c>
      <c r="BR581" s="753">
        <f t="shared" si="607"/>
        <v>7.2092143986252827E-2</v>
      </c>
      <c r="BS581" s="753">
        <f t="shared" si="607"/>
        <v>7.2901392084539773E-2</v>
      </c>
      <c r="BT581" s="753">
        <f t="shared" si="607"/>
        <v>7.3574960275129858E-2</v>
      </c>
      <c r="BU581" s="753">
        <f t="shared" si="607"/>
        <v>7.4345329968110122E-2</v>
      </c>
      <c r="BV581" s="753">
        <f t="shared" si="607"/>
        <v>7.5116759498811608E-2</v>
      </c>
      <c r="BW581" s="753">
        <f t="shared" si="607"/>
        <v>7.5810419564092138E-2</v>
      </c>
      <c r="BX581" s="753">
        <f t="shared" si="607"/>
        <v>7.6463283066740509E-2</v>
      </c>
      <c r="BY581" s="753">
        <f t="shared" si="607"/>
        <v>7.7016838924552522E-2</v>
      </c>
      <c r="BZ581" s="753">
        <f t="shared" si="607"/>
        <v>7.7526294924961672E-2</v>
      </c>
      <c r="CA581" s="753">
        <f t="shared" si="607"/>
        <v>7.5423992982610641E-2</v>
      </c>
      <c r="CB581" s="753">
        <f t="shared" si="607"/>
        <v>7.3442912390260601E-2</v>
      </c>
      <c r="CC581" s="753">
        <f t="shared" si="607"/>
        <v>7.1559207442612405E-2</v>
      </c>
      <c r="CD581" s="753">
        <f t="shared" si="607"/>
        <v>6.9599618337412156E-2</v>
      </c>
      <c r="CE581" s="753">
        <f t="shared" si="607"/>
        <v>7.0080713718937801E-2</v>
      </c>
      <c r="CF581" s="753">
        <f t="shared" si="607"/>
        <v>7.0552441319653575E-2</v>
      </c>
      <c r="CG581" s="753">
        <f t="shared" si="607"/>
        <v>6.8350643226694485E-2</v>
      </c>
      <c r="CH581" s="753">
        <f t="shared" si="607"/>
        <v>6.6313884034944245E-2</v>
      </c>
      <c r="CI581" s="753">
        <f t="shared" si="607"/>
        <v>6.4348482748420519E-2</v>
      </c>
      <c r="CJ581" s="753">
        <f t="shared" si="607"/>
        <v>6.2279220428303757E-2</v>
      </c>
      <c r="CK581" s="753">
        <f t="shared" si="607"/>
        <v>6.2728107684370038E-2</v>
      </c>
      <c r="CL581" s="753">
        <f t="shared" si="607"/>
        <v>6.3096521136168898E-2</v>
      </c>
      <c r="CM581" s="753">
        <f t="shared" si="607"/>
        <v>6.3445065216356344E-2</v>
      </c>
      <c r="CN581" s="753">
        <f t="shared" si="607"/>
        <v>6.3826155443361829E-2</v>
      </c>
      <c r="CO581" s="753">
        <f t="shared" si="607"/>
        <v>6.4171783036123448E-2</v>
      </c>
      <c r="CP581" s="753">
        <f t="shared" si="607"/>
        <v>6.4475857136180967E-2</v>
      </c>
      <c r="CQ581" s="753">
        <f t="shared" si="607"/>
        <v>6.4738938357080125E-2</v>
      </c>
      <c r="CR581" s="753">
        <f t="shared" si="607"/>
        <v>6.4912560820922588E-2</v>
      </c>
      <c r="CS581" s="753">
        <f t="shared" si="607"/>
        <v>6.5064091637712707E-2</v>
      </c>
      <c r="CT581" s="753">
        <f t="shared" si="607"/>
        <v>6.5202191520945446E-2</v>
      </c>
      <c r="CU581" s="753">
        <f t="shared" si="607"/>
        <v>6.5331206053276497E-2</v>
      </c>
      <c r="CV581" s="753">
        <f t="shared" si="607"/>
        <v>6.5455641479833793E-2</v>
      </c>
      <c r="CW581" s="753">
        <f t="shared" si="607"/>
        <v>6.5577226748640305E-2</v>
      </c>
      <c r="CX581" s="753">
        <f t="shared" si="607"/>
        <v>6.569662127486392E-2</v>
      </c>
      <c r="CY581" s="753">
        <f t="shared" si="607"/>
        <v>6.5814879949278787E-2</v>
      </c>
      <c r="CZ581" s="753">
        <f t="shared" si="607"/>
        <v>6.593024459741606E-2</v>
      </c>
      <c r="DA581" s="753">
        <f t="shared" si="607"/>
        <v>6.4999885116704251E-2</v>
      </c>
      <c r="DC581" s="729">
        <f>AG581</f>
        <v>0</v>
      </c>
      <c r="DD581" s="729">
        <f t="shared" si="601"/>
        <v>0</v>
      </c>
      <c r="DE581" s="729">
        <f t="shared" si="602"/>
        <v>0.10242953718494691</v>
      </c>
      <c r="DF581" s="729">
        <f t="shared" si="603"/>
        <v>7.1121021627601241E-2</v>
      </c>
      <c r="DG581" s="729">
        <f t="shared" si="604"/>
        <v>7.1559207442612405E-2</v>
      </c>
      <c r="DH581" s="729">
        <f t="shared" si="605"/>
        <v>6.4171783036123448E-2</v>
      </c>
      <c r="DI581" s="729">
        <f t="shared" si="606"/>
        <v>6.4999885116704251E-2</v>
      </c>
    </row>
    <row r="582" spans="2:113" outlineLevel="1">
      <c r="E582" s="230" t="s">
        <v>813</v>
      </c>
      <c r="F582" s="229"/>
      <c r="I582" s="609" t="s">
        <v>812</v>
      </c>
      <c r="O582" s="696"/>
      <c r="P582" s="696"/>
      <c r="Q582" s="696"/>
      <c r="R582" s="696"/>
      <c r="S582" s="696"/>
      <c r="T582" s="696"/>
      <c r="U582" s="696"/>
      <c r="V582" s="696"/>
      <c r="W582" s="696"/>
      <c r="X582" s="696"/>
      <c r="Y582" s="696"/>
      <c r="Z582" s="697"/>
      <c r="AA582" s="697"/>
      <c r="AB582" s="697"/>
      <c r="AC582" s="697"/>
      <c r="AD582" s="697"/>
      <c r="AE582" s="697"/>
      <c r="AF582" s="697"/>
      <c r="AG582" s="697"/>
      <c r="AH582" s="697"/>
      <c r="AI582" s="697"/>
      <c r="AJ582" s="697"/>
      <c r="AK582" s="697"/>
      <c r="AL582" s="697"/>
      <c r="AM582" s="697"/>
      <c r="AN582" s="697"/>
      <c r="AO582" s="697"/>
      <c r="AP582" s="697"/>
      <c r="AQ582" s="753"/>
      <c r="AR582" s="753">
        <f t="shared" ref="AR582:DA582" si="608">AR580/AR543</f>
        <v>0</v>
      </c>
      <c r="AS582" s="753">
        <f t="shared" si="608"/>
        <v>4.5652173913043485E-2</v>
      </c>
      <c r="AT582" s="753">
        <f t="shared" si="608"/>
        <v>7.558391735516469E-2</v>
      </c>
      <c r="AU582" s="753">
        <f t="shared" si="608"/>
        <v>0.10337828591476887</v>
      </c>
      <c r="AV582" s="753">
        <f t="shared" si="608"/>
        <v>0.12942365694996943</v>
      </c>
      <c r="AW582" s="753">
        <f t="shared" si="608"/>
        <v>0.1534232345790853</v>
      </c>
      <c r="AX582" s="753">
        <f t="shared" si="608"/>
        <v>0.17530761946536685</v>
      </c>
      <c r="AY582" s="753">
        <f t="shared" si="608"/>
        <v>0.19368839967371904</v>
      </c>
      <c r="AZ582" s="753">
        <f t="shared" si="608"/>
        <v>0.20626302002234725</v>
      </c>
      <c r="BA582" s="753">
        <f t="shared" si="608"/>
        <v>0.21447787316602371</v>
      </c>
      <c r="BB582" s="753">
        <f t="shared" si="608"/>
        <v>0.21809295217413091</v>
      </c>
      <c r="BC582" s="753">
        <f t="shared" si="608"/>
        <v>0.21792525881060487</v>
      </c>
      <c r="BD582" s="753">
        <f t="shared" si="608"/>
        <v>0.21465511309192439</v>
      </c>
      <c r="BE582" s="753">
        <f t="shared" si="608"/>
        <v>0.21066594361948326</v>
      </c>
      <c r="BF582" s="753">
        <f t="shared" si="608"/>
        <v>0.1607033184170745</v>
      </c>
      <c r="BG582" s="753">
        <f t="shared" si="608"/>
        <v>0.14750526386806626</v>
      </c>
      <c r="BH582" s="753">
        <f t="shared" si="608"/>
        <v>0.14499798360248689</v>
      </c>
      <c r="BI582" s="753">
        <f t="shared" si="608"/>
        <v>0.14265153564932825</v>
      </c>
      <c r="BJ582" s="753">
        <f t="shared" si="608"/>
        <v>0.14395405196096522</v>
      </c>
      <c r="BK582" s="753">
        <f t="shared" si="608"/>
        <v>0.1430362707064034</v>
      </c>
      <c r="BL582" s="753">
        <f t="shared" si="608"/>
        <v>0.1447111654821332</v>
      </c>
      <c r="BM582" s="753">
        <f t="shared" si="608"/>
        <v>0.14942378548044832</v>
      </c>
      <c r="BN582" s="753">
        <f t="shared" si="608"/>
        <v>0.15074389066822622</v>
      </c>
      <c r="BO582" s="753">
        <f t="shared" si="608"/>
        <v>0.1499576699833825</v>
      </c>
      <c r="BP582" s="753">
        <f t="shared" si="608"/>
        <v>0.15020415320627747</v>
      </c>
      <c r="BQ582" s="753">
        <f t="shared" si="608"/>
        <v>0.14962749484993706</v>
      </c>
      <c r="BR582" s="753">
        <f t="shared" si="608"/>
        <v>0.15093142258581346</v>
      </c>
      <c r="BS582" s="753">
        <f t="shared" si="608"/>
        <v>0.15202405251053161</v>
      </c>
      <c r="BT582" s="753">
        <f t="shared" si="608"/>
        <v>0.152950729832937</v>
      </c>
      <c r="BU582" s="753">
        <f t="shared" si="608"/>
        <v>0.15389472695505788</v>
      </c>
      <c r="BV582" s="753">
        <f t="shared" si="608"/>
        <v>0.15482835938182229</v>
      </c>
      <c r="BW582" s="753">
        <f t="shared" si="608"/>
        <v>0.1556678337869293</v>
      </c>
      <c r="BX582" s="753">
        <f t="shared" si="608"/>
        <v>0.15238198345394788</v>
      </c>
      <c r="BY582" s="753">
        <f t="shared" si="608"/>
        <v>0.15004271897450366</v>
      </c>
      <c r="BZ582" s="753">
        <f t="shared" si="608"/>
        <v>0.14806515155318553</v>
      </c>
      <c r="CA582" s="753">
        <f t="shared" si="608"/>
        <v>0.14631642114559626</v>
      </c>
      <c r="CB582" s="753">
        <f t="shared" si="608"/>
        <v>0.14464152087858417</v>
      </c>
      <c r="CC582" s="753">
        <f t="shared" si="608"/>
        <v>0.14303925664945275</v>
      </c>
      <c r="CD582" s="753">
        <f t="shared" si="608"/>
        <v>0.13702580737161757</v>
      </c>
      <c r="CE582" s="753">
        <f t="shared" si="608"/>
        <v>0.13463382080748842</v>
      </c>
      <c r="CF582" s="753">
        <f t="shared" si="608"/>
        <v>0.13260827887519724</v>
      </c>
      <c r="CG582" s="753">
        <f t="shared" si="608"/>
        <v>0.13079459784856207</v>
      </c>
      <c r="CH582" s="753">
        <f t="shared" si="608"/>
        <v>0.12902484013147572</v>
      </c>
      <c r="CI582" s="753">
        <f t="shared" si="608"/>
        <v>0.12729366206424461</v>
      </c>
      <c r="CJ582" s="753">
        <f t="shared" si="608"/>
        <v>0.1252851150252485</v>
      </c>
      <c r="CK582" s="753">
        <f t="shared" si="608"/>
        <v>0.12593367296960042</v>
      </c>
      <c r="CL582" s="753">
        <f t="shared" si="608"/>
        <v>0.12647828033156724</v>
      </c>
      <c r="CM582" s="753">
        <f t="shared" si="608"/>
        <v>0.12697022679735145</v>
      </c>
      <c r="CN582" s="753">
        <f t="shared" si="608"/>
        <v>0.12740885283666614</v>
      </c>
      <c r="CO582" s="753">
        <f t="shared" si="608"/>
        <v>0.12779836178934928</v>
      </c>
      <c r="CP582" s="753">
        <f t="shared" si="608"/>
        <v>0.12813932329451191</v>
      </c>
      <c r="CQ582" s="753">
        <f t="shared" si="608"/>
        <v>0.12843905057466642</v>
      </c>
      <c r="CR582" s="753">
        <f t="shared" si="608"/>
        <v>0.12864428578966006</v>
      </c>
      <c r="CS582" s="753">
        <f t="shared" si="608"/>
        <v>0.12882708373360294</v>
      </c>
      <c r="CT582" s="753">
        <f t="shared" si="608"/>
        <v>0.12899700280627557</v>
      </c>
      <c r="CU582" s="753">
        <f t="shared" si="608"/>
        <v>0.12915950396306664</v>
      </c>
      <c r="CV582" s="753">
        <f t="shared" si="608"/>
        <v>0.1293171842863777</v>
      </c>
      <c r="CW582" s="753">
        <f t="shared" si="608"/>
        <v>0.12947129749462499</v>
      </c>
      <c r="CX582" s="753">
        <f t="shared" si="608"/>
        <v>0.1296221818059333</v>
      </c>
      <c r="CY582" s="753">
        <f t="shared" si="608"/>
        <v>0.12977091976853672</v>
      </c>
      <c r="CZ582" s="753">
        <f t="shared" si="608"/>
        <v>0.12991563224025007</v>
      </c>
      <c r="DA582" s="753">
        <f t="shared" si="608"/>
        <v>0.12800312834327726</v>
      </c>
      <c r="DC582" s="729">
        <f>AG582</f>
        <v>0</v>
      </c>
      <c r="DD582" s="729">
        <f t="shared" si="601"/>
        <v>4.5652173913043485E-2</v>
      </c>
      <c r="DE582" s="729">
        <f t="shared" si="602"/>
        <v>0.21066594361948326</v>
      </c>
      <c r="DF582" s="729">
        <f t="shared" si="603"/>
        <v>0.14962749484993706</v>
      </c>
      <c r="DG582" s="729">
        <f t="shared" si="604"/>
        <v>0.14303925664945275</v>
      </c>
      <c r="DH582" s="729">
        <f t="shared" si="605"/>
        <v>0.12779836178934928</v>
      </c>
      <c r="DI582" s="729">
        <f t="shared" si="606"/>
        <v>0.12800312834327726</v>
      </c>
    </row>
    <row r="583" spans="2:113" outlineLevel="1">
      <c r="E583" s="230" t="s">
        <v>814</v>
      </c>
      <c r="F583" s="229"/>
      <c r="I583" s="609" t="s">
        <v>812</v>
      </c>
      <c r="O583" s="696"/>
      <c r="P583" s="696"/>
      <c r="Q583" s="696"/>
      <c r="R583" s="696"/>
      <c r="S583" s="696"/>
      <c r="T583" s="696"/>
      <c r="U583" s="696"/>
      <c r="V583" s="696"/>
      <c r="W583" s="696"/>
      <c r="X583" s="696"/>
      <c r="Y583" s="696"/>
      <c r="Z583" s="697"/>
      <c r="AA583" s="697"/>
      <c r="AB583" s="697"/>
      <c r="AC583" s="697"/>
      <c r="AD583" s="697"/>
      <c r="AE583" s="697"/>
      <c r="AF583" s="697"/>
      <c r="AG583" s="697"/>
      <c r="AH583" s="697"/>
      <c r="AI583" s="697"/>
      <c r="AJ583" s="697"/>
      <c r="AK583" s="697"/>
      <c r="AL583" s="697"/>
      <c r="AM583" s="697"/>
      <c r="AN583" s="697"/>
      <c r="AO583" s="697"/>
      <c r="AP583" s="697"/>
      <c r="AQ583" s="730"/>
      <c r="AR583" s="730">
        <f>AR565+AQ583</f>
        <v>-5.4000000000000003E-3</v>
      </c>
      <c r="AS583" s="730">
        <f>AS565+AR583</f>
        <v>-2.1600000000000001E-2</v>
      </c>
      <c r="AT583" s="730">
        <f>AT565</f>
        <v>-2.2408828124999999E-2</v>
      </c>
      <c r="AU583" s="730">
        <f t="shared" ref="AU583:BE583" si="609">AU565+AT583</f>
        <v>-5.3417818972537875E-2</v>
      </c>
      <c r="AV583" s="730">
        <f t="shared" si="609"/>
        <v>-0.10482780183234762</v>
      </c>
      <c r="AW583" s="730">
        <f t="shared" si="609"/>
        <v>-0.1770090414795582</v>
      </c>
      <c r="AX583" s="730">
        <f t="shared" si="609"/>
        <v>-0.27350962435663528</v>
      </c>
      <c r="AY583" s="730">
        <f t="shared" si="609"/>
        <v>-0.41687843298660288</v>
      </c>
      <c r="AZ583" s="730">
        <f t="shared" si="609"/>
        <v>-0.65123332819628121</v>
      </c>
      <c r="BA583" s="730">
        <f t="shared" si="609"/>
        <v>-0.9816998086178863</v>
      </c>
      <c r="BB583" s="730">
        <f t="shared" si="609"/>
        <v>-1.427163026127668</v>
      </c>
      <c r="BC583" s="730">
        <f t="shared" si="609"/>
        <v>-1.9876634426214912</v>
      </c>
      <c r="BD583" s="730">
        <f t="shared" si="609"/>
        <v>-2.6471018328638474</v>
      </c>
      <c r="BE583" s="730">
        <f t="shared" si="609"/>
        <v>-3.3878306028198968</v>
      </c>
      <c r="BF583" s="730">
        <f>BF565</f>
        <v>-0.86289365261228845</v>
      </c>
      <c r="BG583" s="730">
        <f t="shared" ref="BG583:BQ583" si="610">BG565+BF583</f>
        <v>-1.8012495541050053</v>
      </c>
      <c r="BH583" s="730">
        <f t="shared" si="610"/>
        <v>-2.7992180192413012</v>
      </c>
      <c r="BI583" s="730">
        <f t="shared" si="610"/>
        <v>-3.8153369733448042</v>
      </c>
      <c r="BJ583" s="730">
        <f t="shared" si="610"/>
        <v>-4.9078806341530363</v>
      </c>
      <c r="BK583" s="730">
        <f t="shared" si="610"/>
        <v>-6.0396406101441862</v>
      </c>
      <c r="BL583" s="730">
        <f t="shared" si="610"/>
        <v>-7.1575396872235304</v>
      </c>
      <c r="BM583" s="730">
        <f t="shared" si="610"/>
        <v>-8.3799671848778026</v>
      </c>
      <c r="BN583" s="730">
        <f t="shared" si="610"/>
        <v>-9.8657407275361102</v>
      </c>
      <c r="BO583" s="730">
        <f t="shared" si="610"/>
        <v>-11.517195076609836</v>
      </c>
      <c r="BP583" s="730">
        <f t="shared" si="610"/>
        <v>-13.255058982087361</v>
      </c>
      <c r="BQ583" s="730">
        <f t="shared" si="610"/>
        <v>-15.076765585065202</v>
      </c>
      <c r="BR583" s="730">
        <f>BR565</f>
        <v>-1.8487606562100947</v>
      </c>
      <c r="BS583" s="730">
        <f t="shared" ref="BS583:CC583" si="611">BS565+BR583</f>
        <v>-3.8195449792547356</v>
      </c>
      <c r="BT583" s="730">
        <f t="shared" si="611"/>
        <v>-5.9034788967221168</v>
      </c>
      <c r="BU583" s="730">
        <f t="shared" si="611"/>
        <v>-8.0937116327497307</v>
      </c>
      <c r="BV583" s="730">
        <f t="shared" si="611"/>
        <v>-10.394081504087531</v>
      </c>
      <c r="BW583" s="730">
        <f t="shared" si="611"/>
        <v>-12.808326214220001</v>
      </c>
      <c r="BX583" s="730">
        <f t="shared" si="611"/>
        <v>-15.309113220393474</v>
      </c>
      <c r="BY583" s="730">
        <f t="shared" si="611"/>
        <v>-17.931805031301536</v>
      </c>
      <c r="BZ583" s="730">
        <f t="shared" si="611"/>
        <v>-20.668640030605751</v>
      </c>
      <c r="CA583" s="730">
        <f t="shared" si="611"/>
        <v>-23.459866200991996</v>
      </c>
      <c r="CB583" s="730">
        <f t="shared" si="611"/>
        <v>-26.363254853065271</v>
      </c>
      <c r="CC583" s="730">
        <f t="shared" si="611"/>
        <v>-29.378117970921071</v>
      </c>
      <c r="CD583" s="730">
        <f>CD565</f>
        <v>-2.9765225658006238</v>
      </c>
      <c r="CE583" s="730">
        <f t="shared" ref="CE583:CO583" si="612">CE565+CD583</f>
        <v>-5.8739852625098479</v>
      </c>
      <c r="CF583" s="730">
        <f t="shared" si="612"/>
        <v>-8.8823077881614907</v>
      </c>
      <c r="CG583" s="730">
        <f t="shared" si="612"/>
        <v>-11.926596697126415</v>
      </c>
      <c r="CH583" s="730">
        <f t="shared" si="612"/>
        <v>-15.079218140238439</v>
      </c>
      <c r="CI583" s="730">
        <f t="shared" si="612"/>
        <v>-18.337924781793706</v>
      </c>
      <c r="CJ583" s="730">
        <f t="shared" si="612"/>
        <v>-21.560483887031957</v>
      </c>
      <c r="CK583" s="730">
        <f t="shared" si="612"/>
        <v>-24.64731603901182</v>
      </c>
      <c r="CL583" s="730">
        <f t="shared" si="612"/>
        <v>-27.840041229460031</v>
      </c>
      <c r="CM583" s="730">
        <f t="shared" si="612"/>
        <v>-31.130831609602396</v>
      </c>
      <c r="CN583" s="730">
        <f t="shared" si="612"/>
        <v>-34.519752112054221</v>
      </c>
      <c r="CO583" s="730">
        <f t="shared" si="612"/>
        <v>-38.003927825151905</v>
      </c>
      <c r="CP583" s="730">
        <f>CP565</f>
        <v>-3.5790567464502216</v>
      </c>
      <c r="CQ583" s="730">
        <f t="shared" ref="CQ583:DA583" si="613">CQ565+CP583</f>
        <v>-7.2558494354749383</v>
      </c>
      <c r="CR583" s="730">
        <f t="shared" si="613"/>
        <v>-11.031071388401935</v>
      </c>
      <c r="CS583" s="730">
        <f t="shared" si="613"/>
        <v>-14.896665961945189</v>
      </c>
      <c r="CT583" s="730">
        <f t="shared" si="613"/>
        <v>-18.851468585886778</v>
      </c>
      <c r="CU583" s="730">
        <f t="shared" si="613"/>
        <v>-22.894841122822676</v>
      </c>
      <c r="CV583" s="730">
        <f t="shared" si="613"/>
        <v>-27.026590669160807</v>
      </c>
      <c r="CW583" s="730">
        <f t="shared" si="613"/>
        <v>-31.246647919659392</v>
      </c>
      <c r="CX583" s="730">
        <f t="shared" si="613"/>
        <v>-35.554972588939052</v>
      </c>
      <c r="CY583" s="730">
        <f t="shared" si="613"/>
        <v>-39.951650487293605</v>
      </c>
      <c r="CZ583" s="730">
        <f t="shared" si="613"/>
        <v>-44.436998916615437</v>
      </c>
      <c r="DA583" s="730">
        <f t="shared" si="613"/>
        <v>-49.044975304721341</v>
      </c>
      <c r="DC583" s="729"/>
      <c r="DD583" s="11">
        <f t="shared" si="601"/>
        <v>-2.1600000000000001E-2</v>
      </c>
      <c r="DE583" s="11">
        <f t="shared" si="602"/>
        <v>-3.3878306028198968</v>
      </c>
      <c r="DF583" s="11">
        <f t="shared" si="603"/>
        <v>-15.076765585065202</v>
      </c>
      <c r="DG583" s="11">
        <f t="shared" si="604"/>
        <v>-29.378117970921071</v>
      </c>
      <c r="DH583" s="11">
        <f t="shared" si="605"/>
        <v>-38.003927825151905</v>
      </c>
      <c r="DI583" s="11">
        <f t="shared" si="606"/>
        <v>-49.044975304721341</v>
      </c>
    </row>
    <row r="584" spans="2:113" outlineLevel="1">
      <c r="E584" s="230" t="s">
        <v>815</v>
      </c>
      <c r="F584" s="229"/>
      <c r="I584" s="609" t="s">
        <v>812</v>
      </c>
      <c r="O584" s="696"/>
      <c r="P584" s="696"/>
      <c r="Q584" s="696"/>
      <c r="R584" s="696"/>
      <c r="S584" s="696"/>
      <c r="T584" s="696"/>
      <c r="U584" s="696"/>
      <c r="V584" s="696"/>
      <c r="W584" s="696"/>
      <c r="X584" s="696"/>
      <c r="Y584" s="696"/>
      <c r="Z584" s="697"/>
      <c r="AA584" s="697"/>
      <c r="AB584" s="697"/>
      <c r="AC584" s="697"/>
      <c r="AD584" s="697"/>
      <c r="AE584" s="697"/>
      <c r="AF584" s="697"/>
      <c r="AG584" s="697"/>
      <c r="AH584" s="697"/>
      <c r="AI584" s="697"/>
      <c r="AJ584" s="697"/>
      <c r="AK584" s="697"/>
      <c r="AL584" s="697"/>
      <c r="AM584" s="697"/>
      <c r="AN584" s="697"/>
      <c r="AO584" s="697"/>
      <c r="AP584" s="697"/>
      <c r="AQ584" s="697"/>
      <c r="AR584" s="697">
        <f>AR583/AVERAGE($AP543:AR543)</f>
        <v>-8.9999999999999993E-3</v>
      </c>
      <c r="AS584" s="697">
        <f>AS583/AVERAGE($AP543:AS543)</f>
        <v>-1.7704918032786884E-2</v>
      </c>
      <c r="AT584" s="697">
        <f>AT583/AVERAGE($AS543:AT543)</f>
        <v>-8.6797749408907155E-3</v>
      </c>
      <c r="AU584" s="697">
        <f>AU583/AVERAGE($AS543:AU543)</f>
        <v>-1.563336193977435E-2</v>
      </c>
      <c r="AV584" s="697">
        <f>AV583/AVERAGE($AS543:AV543)</f>
        <v>-2.4248171337515032E-2</v>
      </c>
      <c r="AW584" s="697">
        <f>AW583/AVERAGE($AS543:AW543)</f>
        <v>-3.3486342663513212E-2</v>
      </c>
      <c r="AX584" s="697">
        <f>AX583/AVERAGE($AS543:AX543)</f>
        <v>-4.3440013256305129E-2</v>
      </c>
      <c r="AY584" s="697">
        <f>AY583/AVERAGE($AS543:AY543)</f>
        <v>-5.6814772212277286E-2</v>
      </c>
      <c r="AZ584" s="697">
        <f>AZ583/AVERAGE($AS543:AZ543)</f>
        <v>-7.7493274395276465E-2</v>
      </c>
      <c r="BA584" s="697">
        <f>BA583/AVERAGE($AS543:BA543)</f>
        <v>-0.10343799550545042</v>
      </c>
      <c r="BB584" s="697">
        <f>BB583/AVERAGE($AS543:BB543)</f>
        <v>-0.13467243630508766</v>
      </c>
      <c r="BC584" s="697">
        <f>BC583/AVERAGE($AS543:BC543)</f>
        <v>-0.16953372208391665</v>
      </c>
      <c r="BD584" s="697">
        <f>BD583/AVERAGE($AS543:BD543)</f>
        <v>-0.20558471835276976</v>
      </c>
      <c r="BE584" s="697">
        <f>BE583/AVERAGE($AS543:BE543)</f>
        <v>-0.24107862470735825</v>
      </c>
      <c r="BF584" s="697">
        <f>BF583/AVERAGE($BE543:BF543)</f>
        <v>-2.6177079815835159E-2</v>
      </c>
      <c r="BG584" s="697">
        <f>BG583/AVERAGE($BE543:BG543)</f>
        <v>-4.8780445908852423E-2</v>
      </c>
      <c r="BH584" s="697">
        <f>BH583/AVERAGE($BE543:BH543)</f>
        <v>-6.9383670485486507E-2</v>
      </c>
      <c r="BI584" s="697">
        <f>BI583/AVERAGE($BE543:BI543)</f>
        <v>-8.7893594837201466E-2</v>
      </c>
      <c r="BJ584" s="697">
        <f>BJ583/AVERAGE($BE543:BJ543)</f>
        <v>-0.10615334903355335</v>
      </c>
      <c r="BK584" s="697">
        <f>BK583/AVERAGE($BE543:BK543)</f>
        <v>-0.12351325901297136</v>
      </c>
      <c r="BL584" s="697">
        <f>BL583/AVERAGE($BE543:BL543)</f>
        <v>-0.13908903448359369</v>
      </c>
      <c r="BM584" s="697">
        <f>BM583/AVERAGE($BE543:BM543)</f>
        <v>-0.15544836278417357</v>
      </c>
      <c r="BN584" s="697">
        <f>BN583/AVERAGE($BE543:BN543)</f>
        <v>-0.17533897654476299</v>
      </c>
      <c r="BO584" s="697">
        <f>BO583/AVERAGE($BE543:BO543)</f>
        <v>-0.19662725489833541</v>
      </c>
      <c r="BP584" s="697">
        <f>BP583/AVERAGE($BE543:BP543)</f>
        <v>-0.21786480594274457</v>
      </c>
      <c r="BQ584" s="697">
        <f>BQ583/AVERAGE($BE543:BQ543)</f>
        <v>-0.23896456862512913</v>
      </c>
      <c r="BR584" s="697">
        <f>BR583/AVERAGE($BQ543:BR543)</f>
        <v>-2.0042213095290272E-2</v>
      </c>
      <c r="BS584" s="697">
        <f>BS583/AVERAGE($BQ543:BS543)</f>
        <v>-4.0474104490442246E-2</v>
      </c>
      <c r="BT584" s="697">
        <f>BT583/AVERAGE($BQ543:BT543)</f>
        <v>-6.1179131607137026E-2</v>
      </c>
      <c r="BU584" s="697">
        <f>BU583/AVERAGE($BQ543:BU543)</f>
        <v>-8.2070904726479377E-2</v>
      </c>
      <c r="BV584" s="697">
        <f>BV583/AVERAGE($BQ543:BV543)</f>
        <v>-0.10317754019361283</v>
      </c>
      <c r="BW584" s="697">
        <f>BW583/AVERAGE($BQ543:BW543)</f>
        <v>-0.12452276303598984</v>
      </c>
      <c r="BX584" s="697">
        <f>BX583/AVERAGE($BQ543:BX543)</f>
        <v>-0.14583331942918609</v>
      </c>
      <c r="BY584" s="697">
        <f>BY583/AVERAGE($BQ543:BY543)</f>
        <v>-0.16744132717054927</v>
      </c>
      <c r="BZ584" s="697">
        <f>BZ583/AVERAGE($BQ543:BZ543)</f>
        <v>-0.18925828111133627</v>
      </c>
      <c r="CA584" s="697">
        <f>CA583/AVERAGE($BQ543:CA543)</f>
        <v>-0.21073549558019036</v>
      </c>
      <c r="CB584" s="697">
        <f>CB583/AVERAGE($BQ543:CB543)</f>
        <v>-0.23240117239999827</v>
      </c>
      <c r="CC584" s="697">
        <f>CC583/AVERAGE($BQ543:CC543)</f>
        <v>-0.2542388985697932</v>
      </c>
      <c r="CD584" s="697">
        <f>CD583/AVERAGE($CC543:CD543)</f>
        <v>-2.0783842045638556E-2</v>
      </c>
      <c r="CE584" s="697">
        <f>CE583/AVERAGE($CC543:CE543)</f>
        <v>-4.0385800855152316E-2</v>
      </c>
      <c r="CF584" s="697">
        <f>CF583/AVERAGE($CC543:CF543)</f>
        <v>-6.0159054112985742E-2</v>
      </c>
      <c r="CG584" s="697">
        <f>CG583/AVERAGE($CC543:CG543)</f>
        <v>-7.9603431256922944E-2</v>
      </c>
      <c r="CH584" s="697">
        <f>CH583/AVERAGE($CC543:CH543)</f>
        <v>-9.9213121966176487E-2</v>
      </c>
      <c r="CI584" s="697">
        <f>CI583/AVERAGE($CC543:CI543)</f>
        <v>-0.11896883198490651</v>
      </c>
      <c r="CJ584" s="697">
        <f>CJ583/AVERAGE($CC543:CJ543)</f>
        <v>-0.13790919009316246</v>
      </c>
      <c r="CK584" s="697">
        <f>CK583/AVERAGE($CC543:CK543)</f>
        <v>-0.15546057593501691</v>
      </c>
      <c r="CL584" s="697">
        <f>CL583/AVERAGE($CC543:CL543)</f>
        <v>-0.17319361821598989</v>
      </c>
      <c r="CM584" s="697">
        <f>CM583/AVERAGE($CC543:CM543)</f>
        <v>-0.19105840805080665</v>
      </c>
      <c r="CN584" s="697">
        <f>CN583/AVERAGE($CC543:CN543)</f>
        <v>-0.20905300478818117</v>
      </c>
      <c r="CO584" s="697">
        <f>CO583/AVERAGE($CC543:CO543)</f>
        <v>-0.22715673900000191</v>
      </c>
      <c r="CP584" s="697">
        <f>CP583/AVERAGE($CC543:CP543)</f>
        <v>-2.1118542247578163E-2</v>
      </c>
      <c r="CQ584" s="697">
        <f>CQ583/AVERAGE($CC543:CQ543)</f>
        <v>-4.22734988619963E-2</v>
      </c>
      <c r="CR584" s="697">
        <f>CR583/AVERAGE($CC543:CR543)</f>
        <v>-6.346912783978928E-2</v>
      </c>
      <c r="CS584" s="697">
        <f>CS583/AVERAGE($CC543:CS543)</f>
        <v>-8.4659244608945389E-2</v>
      </c>
      <c r="CT584" s="697">
        <f>CT583/AVERAGE($CC543:CT543)</f>
        <v>-0.10583827518370419</v>
      </c>
      <c r="CU584" s="697">
        <f>CU583/AVERAGE($CC543:CU543)</f>
        <v>-0.12700363143984739</v>
      </c>
      <c r="CV584" s="697">
        <f>CV583/AVERAGE($CC543:CV543)</f>
        <v>-0.14815516070910237</v>
      </c>
      <c r="CW584" s="697">
        <f>CW583/AVERAGE($CC543:CW543)</f>
        <v>-0.16929330353856484</v>
      </c>
      <c r="CX584" s="697">
        <f>CX583/AVERAGE($CC543:CX543)</f>
        <v>-0.19041856945464439</v>
      </c>
      <c r="CY584" s="697">
        <f>CY583/AVERAGE($CC543:CY543)</f>
        <v>-0.21153209058877445</v>
      </c>
      <c r="CZ584" s="697">
        <f>CZ583/AVERAGE($CC543:CZ543)</f>
        <v>-0.23263612724217678</v>
      </c>
      <c r="DA584" s="697">
        <f>DA583/AVERAGE($CC543:DA543)</f>
        <v>-0.25370082859888848</v>
      </c>
      <c r="DC584" s="729">
        <f>AG584</f>
        <v>0</v>
      </c>
      <c r="DD584" s="729">
        <f t="shared" si="601"/>
        <v>-1.7704918032786884E-2</v>
      </c>
      <c r="DE584" s="729">
        <f t="shared" si="602"/>
        <v>-0.24107862470735825</v>
      </c>
      <c r="DF584" s="729">
        <f t="shared" si="603"/>
        <v>-0.23896456862512913</v>
      </c>
      <c r="DG584" s="729">
        <f t="shared" si="604"/>
        <v>-0.2542388985697932</v>
      </c>
      <c r="DH584" s="729">
        <f t="shared" si="605"/>
        <v>-0.22715673900000191</v>
      </c>
      <c r="DI584" s="729">
        <f t="shared" si="606"/>
        <v>-0.25370082859888848</v>
      </c>
    </row>
    <row r="585" spans="2:113" outlineLevel="1">
      <c r="F585" s="698"/>
      <c r="O585" s="696"/>
      <c r="P585" s="696"/>
      <c r="Q585" s="696"/>
      <c r="R585" s="696"/>
      <c r="S585" s="696"/>
      <c r="T585" s="696"/>
      <c r="U585" s="696"/>
      <c r="V585" s="696"/>
      <c r="W585" s="696"/>
      <c r="X585" s="696"/>
      <c r="Y585" s="696"/>
      <c r="Z585" s="697"/>
      <c r="AA585" s="697"/>
      <c r="AB585" s="697"/>
      <c r="AC585" s="697"/>
      <c r="AD585" s="697"/>
      <c r="AE585" s="697"/>
      <c r="AF585" s="697"/>
      <c r="AG585" s="697"/>
      <c r="AH585" s="697"/>
      <c r="AI585" s="697"/>
      <c r="AJ585" s="697"/>
      <c r="AK585" s="697"/>
      <c r="AL585" s="697"/>
      <c r="AM585" s="697"/>
      <c r="AN585" s="697"/>
      <c r="AO585" s="697"/>
      <c r="AP585" s="697"/>
      <c r="AQ585" s="697"/>
      <c r="AR585" s="697"/>
      <c r="AS585" s="697"/>
      <c r="AT585" s="697"/>
      <c r="AU585" s="697"/>
      <c r="AV585" s="697"/>
      <c r="AW585" s="697"/>
      <c r="AX585" s="697"/>
      <c r="AY585" s="697"/>
      <c r="AZ585" s="697"/>
      <c r="BA585" s="697"/>
      <c r="BB585" s="697"/>
      <c r="BC585" s="697"/>
      <c r="BD585" s="697"/>
      <c r="BE585" s="697"/>
      <c r="BF585" s="697"/>
      <c r="BG585" s="697"/>
      <c r="BH585" s="697"/>
      <c r="BI585" s="697"/>
      <c r="BJ585" s="697"/>
      <c r="BK585" s="697"/>
      <c r="BL585" s="697"/>
      <c r="BM585" s="697"/>
      <c r="BN585" s="697"/>
      <c r="BO585" s="697"/>
      <c r="BP585" s="697"/>
      <c r="BQ585" s="697"/>
      <c r="BR585" s="697"/>
      <c r="BS585" s="697"/>
      <c r="BT585" s="697"/>
      <c r="BU585" s="697"/>
      <c r="BV585" s="697"/>
      <c r="BW585" s="697"/>
      <c r="BX585" s="697"/>
      <c r="BY585" s="697"/>
      <c r="BZ585" s="697"/>
      <c r="CA585" s="697"/>
      <c r="CB585" s="697"/>
      <c r="CC585" s="697"/>
      <c r="CD585" s="697"/>
      <c r="CE585" s="697"/>
      <c r="CF585" s="697"/>
      <c r="CG585" s="697"/>
      <c r="CH585" s="697"/>
      <c r="CI585" s="697"/>
      <c r="CJ585" s="697"/>
      <c r="CK585" s="697"/>
      <c r="CL585" s="697"/>
      <c r="CM585" s="697"/>
      <c r="CN585" s="697"/>
      <c r="CO585" s="697"/>
      <c r="CP585" s="697"/>
      <c r="CQ585" s="697"/>
      <c r="CR585" s="697"/>
      <c r="CS585" s="697"/>
      <c r="CT585" s="697"/>
      <c r="CU585" s="697"/>
      <c r="CV585" s="697"/>
      <c r="CW585" s="697"/>
      <c r="CX585" s="697"/>
      <c r="CY585" s="697"/>
      <c r="CZ585" s="697"/>
      <c r="DA585" s="697"/>
      <c r="DC585" s="729"/>
      <c r="DD585" s="729"/>
      <c r="DE585" s="729"/>
      <c r="DF585" s="729"/>
      <c r="DG585" s="729"/>
      <c r="DH585" s="729"/>
    </row>
    <row r="586" spans="2:113">
      <c r="F586" s="698"/>
      <c r="O586" s="696"/>
      <c r="P586" s="696"/>
      <c r="Q586" s="696"/>
      <c r="R586" s="696"/>
      <c r="S586" s="696"/>
      <c r="T586" s="696"/>
      <c r="U586" s="696"/>
      <c r="V586" s="696"/>
      <c r="W586" s="696"/>
      <c r="X586" s="696"/>
      <c r="Y586" s="696"/>
      <c r="Z586" s="697"/>
      <c r="AA586" s="697"/>
      <c r="AB586" s="697"/>
      <c r="AC586" s="697"/>
      <c r="AD586" s="697"/>
      <c r="AE586" s="697"/>
      <c r="AF586" s="697"/>
      <c r="AG586" s="697"/>
      <c r="AH586" s="697"/>
      <c r="AI586" s="697"/>
      <c r="AJ586" s="697"/>
      <c r="AK586" s="697"/>
      <c r="AL586" s="697"/>
      <c r="AM586" s="697"/>
      <c r="AN586" s="697"/>
      <c r="AO586" s="697"/>
      <c r="AP586" s="697"/>
      <c r="AQ586" s="697"/>
      <c r="AR586" s="697"/>
      <c r="AS586" s="697"/>
      <c r="AT586" s="697"/>
      <c r="AU586" s="697"/>
      <c r="AV586" s="697"/>
      <c r="AW586" s="697"/>
      <c r="AX586" s="697"/>
      <c r="AY586" s="697"/>
      <c r="AZ586" s="697"/>
      <c r="BA586" s="697"/>
      <c r="BB586" s="697"/>
      <c r="BC586" s="697"/>
      <c r="BD586" s="697"/>
      <c r="BE586" s="697"/>
      <c r="BF586" s="697"/>
      <c r="BG586" s="697"/>
      <c r="BH586" s="697"/>
      <c r="BI586" s="697"/>
      <c r="BJ586" s="697"/>
      <c r="BK586" s="697"/>
      <c r="BL586" s="697"/>
      <c r="BM586" s="697"/>
      <c r="BN586" s="697"/>
      <c r="BO586" s="697"/>
      <c r="BP586" s="697"/>
      <c r="BQ586" s="697"/>
      <c r="BR586" s="697"/>
      <c r="BS586" s="697"/>
      <c r="BT586" s="697"/>
      <c r="BU586" s="697"/>
      <c r="BV586" s="697"/>
      <c r="BW586" s="697"/>
      <c r="BX586" s="697"/>
      <c r="BY586" s="697"/>
      <c r="BZ586" s="697"/>
      <c r="CA586" s="697"/>
      <c r="CB586" s="697"/>
      <c r="CC586" s="697"/>
      <c r="CD586" s="697"/>
      <c r="CE586" s="697"/>
      <c r="CF586" s="697"/>
      <c r="CG586" s="697"/>
      <c r="CH586" s="697"/>
      <c r="CI586" s="697"/>
      <c r="CJ586" s="697"/>
      <c r="CK586" s="697"/>
      <c r="CL586" s="697"/>
      <c r="CM586" s="697"/>
      <c r="CN586" s="697"/>
      <c r="CO586" s="697"/>
      <c r="CP586" s="697"/>
      <c r="CQ586" s="697"/>
      <c r="CR586" s="697"/>
      <c r="CS586" s="697"/>
      <c r="CT586" s="697"/>
      <c r="CU586" s="697"/>
      <c r="CV586" s="697"/>
      <c r="CW586" s="697"/>
      <c r="CX586" s="697"/>
      <c r="CY586" s="697"/>
      <c r="CZ586" s="697"/>
      <c r="DA586" s="697"/>
      <c r="DC586" s="729"/>
      <c r="DD586" s="729"/>
      <c r="DE586" s="729"/>
      <c r="DF586" s="729"/>
      <c r="DG586" s="729"/>
      <c r="DH586" s="729"/>
    </row>
    <row r="587" spans="2:113">
      <c r="B587" s="694"/>
      <c r="C587" s="694"/>
      <c r="D587" s="693" t="s">
        <v>852</v>
      </c>
      <c r="E587" s="694"/>
      <c r="F587" s="694"/>
      <c r="G587" s="694"/>
      <c r="H587" s="695"/>
      <c r="I587" s="695"/>
      <c r="O587" s="696"/>
      <c r="P587" s="696"/>
      <c r="Q587" s="696"/>
      <c r="R587" s="696"/>
      <c r="S587" s="696"/>
      <c r="T587" s="696"/>
      <c r="U587" s="696"/>
      <c r="V587" s="696"/>
      <c r="W587" s="696"/>
      <c r="X587" s="696"/>
      <c r="Y587" s="696"/>
      <c r="Z587" s="697"/>
      <c r="AA587" s="697"/>
      <c r="AB587" s="697"/>
      <c r="AC587" s="697"/>
      <c r="AD587" s="697"/>
      <c r="AE587" s="697"/>
      <c r="AF587" s="697"/>
      <c r="AG587" s="697"/>
      <c r="AH587" s="697"/>
      <c r="AI587" s="697"/>
      <c r="AJ587" s="697"/>
      <c r="AK587" s="697"/>
      <c r="AL587" s="697"/>
      <c r="AM587" s="697"/>
      <c r="AN587" s="697"/>
      <c r="AO587" s="697"/>
      <c r="AP587" s="697"/>
      <c r="AQ587" s="697"/>
      <c r="AR587" s="697"/>
      <c r="AS587" s="697"/>
      <c r="AT587" s="697"/>
      <c r="AU587" s="697"/>
      <c r="AV587" s="697"/>
      <c r="AW587" s="697"/>
      <c r="AX587" s="697"/>
      <c r="AY587" s="697"/>
      <c r="AZ587" s="697"/>
      <c r="BA587" s="697"/>
      <c r="BB587" s="697"/>
      <c r="BC587" s="697"/>
      <c r="BD587" s="697"/>
      <c r="BE587" s="697"/>
      <c r="BF587" s="697"/>
      <c r="BG587" s="697"/>
      <c r="BH587" s="697"/>
      <c r="BI587" s="697"/>
      <c r="BJ587" s="697"/>
      <c r="BK587" s="697"/>
      <c r="BL587" s="697"/>
      <c r="BM587" s="697"/>
      <c r="BN587" s="697"/>
      <c r="BO587" s="697"/>
      <c r="BP587" s="697"/>
      <c r="BQ587" s="697"/>
      <c r="BR587" s="697"/>
      <c r="BS587" s="697"/>
      <c r="BT587" s="697"/>
      <c r="BU587" s="697"/>
      <c r="BV587" s="697"/>
      <c r="BW587" s="697"/>
      <c r="BX587" s="697"/>
      <c r="BY587" s="697"/>
      <c r="BZ587" s="697"/>
      <c r="CA587" s="697"/>
      <c r="CB587" s="697"/>
      <c r="CC587" s="697"/>
      <c r="CD587" s="697"/>
      <c r="CE587" s="697"/>
      <c r="CF587" s="697"/>
      <c r="CG587" s="697"/>
      <c r="CH587" s="697"/>
      <c r="CI587" s="697"/>
      <c r="CJ587" s="697"/>
      <c r="CK587" s="697"/>
      <c r="CL587" s="697"/>
      <c r="CM587" s="697"/>
      <c r="CN587" s="697"/>
      <c r="CO587" s="697"/>
      <c r="CP587" s="697"/>
      <c r="CQ587" s="697"/>
      <c r="CR587" s="697"/>
      <c r="CS587" s="697"/>
      <c r="CT587" s="697"/>
      <c r="CU587" s="697"/>
      <c r="CV587" s="697"/>
      <c r="CW587" s="697"/>
      <c r="CX587" s="697"/>
      <c r="CY587" s="697"/>
      <c r="CZ587" s="697"/>
      <c r="DA587" s="697"/>
      <c r="DC587" s="729"/>
      <c r="DD587" s="729"/>
      <c r="DE587" s="729"/>
      <c r="DF587" s="729"/>
      <c r="DG587" s="729"/>
      <c r="DH587" s="729"/>
    </row>
    <row r="588" spans="2:113" outlineLevel="1">
      <c r="E588" s="698" t="s">
        <v>853</v>
      </c>
      <c r="O588" s="696"/>
      <c r="P588" s="696"/>
      <c r="Q588" s="696"/>
      <c r="R588" s="696"/>
      <c r="S588" s="696"/>
      <c r="T588" s="696"/>
      <c r="U588" s="696"/>
      <c r="V588" s="696"/>
      <c r="W588" s="696"/>
      <c r="X588" s="696"/>
      <c r="Y588" s="696"/>
      <c r="Z588" s="697"/>
      <c r="AA588" s="697"/>
      <c r="AB588" s="697"/>
      <c r="AC588" s="697"/>
      <c r="AD588" s="697"/>
      <c r="AE588" s="697"/>
      <c r="AF588" s="697"/>
      <c r="AG588" s="697"/>
      <c r="AH588" s="697"/>
      <c r="AI588" s="697"/>
      <c r="AJ588" s="697"/>
      <c r="AK588" s="697"/>
      <c r="AL588" s="697"/>
      <c r="AM588" s="697"/>
      <c r="AN588" s="697"/>
      <c r="AO588" s="697"/>
      <c r="AP588" s="697"/>
      <c r="AQ588" s="697"/>
      <c r="AR588" s="697"/>
      <c r="AS588" s="697"/>
      <c r="AT588" s="697"/>
      <c r="AU588" s="697"/>
      <c r="AV588" s="697"/>
      <c r="AW588" s="697"/>
      <c r="AX588" s="697"/>
      <c r="AY588" s="697"/>
      <c r="AZ588" s="697"/>
      <c r="BA588" s="697"/>
      <c r="BB588" s="697"/>
      <c r="BC588" s="697"/>
      <c r="BD588" s="697"/>
      <c r="BE588" s="697"/>
      <c r="BF588" s="697"/>
      <c r="BG588" s="697"/>
      <c r="BH588" s="697"/>
      <c r="BI588" s="697"/>
      <c r="BJ588" s="697"/>
      <c r="BK588" s="697"/>
      <c r="BL588" s="697"/>
      <c r="BM588" s="697"/>
      <c r="BN588" s="697"/>
      <c r="BO588" s="697"/>
      <c r="BP588" s="697"/>
      <c r="BQ588" s="697"/>
      <c r="BR588" s="697"/>
      <c r="BS588" s="697"/>
      <c r="BT588" s="697"/>
      <c r="BU588" s="697"/>
      <c r="BV588" s="697"/>
      <c r="BW588" s="697"/>
      <c r="BX588" s="697"/>
      <c r="BY588" s="697"/>
      <c r="BZ588" s="697"/>
      <c r="CA588" s="697"/>
      <c r="CB588" s="697"/>
      <c r="CC588" s="697"/>
      <c r="CD588" s="697"/>
      <c r="CE588" s="697"/>
      <c r="CF588" s="697"/>
      <c r="CG588" s="697"/>
      <c r="CH588" s="697"/>
      <c r="CI588" s="697"/>
      <c r="CJ588" s="697"/>
      <c r="CK588" s="697"/>
      <c r="CL588" s="697"/>
      <c r="CM588" s="697"/>
      <c r="CN588" s="697"/>
      <c r="CO588" s="697"/>
      <c r="CP588" s="697"/>
      <c r="CQ588" s="697"/>
      <c r="CR588" s="697"/>
      <c r="CS588" s="697"/>
      <c r="CT588" s="697"/>
      <c r="CU588" s="697"/>
      <c r="CV588" s="697"/>
      <c r="CW588" s="697"/>
      <c r="CX588" s="697"/>
      <c r="CY588" s="697"/>
      <c r="CZ588" s="697"/>
      <c r="DA588" s="697"/>
    </row>
    <row r="589" spans="2:113" outlineLevel="1">
      <c r="E589" s="698" t="s">
        <v>793</v>
      </c>
      <c r="I589" s="699" t="s">
        <v>743</v>
      </c>
      <c r="V589" s="698"/>
      <c r="AA589" s="698"/>
      <c r="AH589" s="12"/>
      <c r="AI589" s="12"/>
      <c r="AJ589" s="12"/>
      <c r="AK589" s="12"/>
      <c r="AL589" s="12"/>
      <c r="AM589" s="12"/>
      <c r="AN589" s="12"/>
      <c r="AO589" s="14"/>
      <c r="AP589" s="14"/>
      <c r="AQ589" s="14"/>
      <c r="AR589" s="14"/>
      <c r="AS589" s="14"/>
      <c r="AT589" s="708">
        <f t="shared" ref="AT589:DA592" si="614">AT631+AT670</f>
        <v>8.3333333333333329E-2</v>
      </c>
      <c r="AU589" s="708">
        <f t="shared" si="614"/>
        <v>0.16666666666666666</v>
      </c>
      <c r="AV589" s="708">
        <f t="shared" si="614"/>
        <v>0.25</v>
      </c>
      <c r="AW589" s="708">
        <f t="shared" si="614"/>
        <v>0.33333333333333331</v>
      </c>
      <c r="AX589" s="708">
        <f t="shared" si="614"/>
        <v>0.41666666666666663</v>
      </c>
      <c r="AY589" s="708">
        <f t="shared" si="614"/>
        <v>0.49999999999999994</v>
      </c>
      <c r="AZ589" s="708">
        <f t="shared" si="614"/>
        <v>0.58333333333333326</v>
      </c>
      <c r="BA589" s="708">
        <f t="shared" si="614"/>
        <v>0.66666666666666663</v>
      </c>
      <c r="BB589" s="708">
        <f t="shared" si="614"/>
        <v>0.75</v>
      </c>
      <c r="BC589" s="708">
        <f t="shared" si="614"/>
        <v>0.83333333333333337</v>
      </c>
      <c r="BD589" s="708">
        <f t="shared" si="614"/>
        <v>0.91666666666666674</v>
      </c>
      <c r="BE589" s="708">
        <f t="shared" si="614"/>
        <v>1</v>
      </c>
      <c r="BF589" s="14">
        <f t="shared" si="614"/>
        <v>1.1304347826086956</v>
      </c>
      <c r="BG589" s="14">
        <f t="shared" si="614"/>
        <v>1.2608695652173911</v>
      </c>
      <c r="BH589" s="14">
        <f t="shared" si="614"/>
        <v>1.3913043478260867</v>
      </c>
      <c r="BI589" s="14">
        <f t="shared" si="614"/>
        <v>1.5217391304347823</v>
      </c>
      <c r="BJ589" s="14">
        <f t="shared" si="614"/>
        <v>1.6521739130434778</v>
      </c>
      <c r="BK589" s="14">
        <f t="shared" si="614"/>
        <v>1.7826086956521734</v>
      </c>
      <c r="BL589" s="14">
        <f t="shared" si="614"/>
        <v>1.913043478260869</v>
      </c>
      <c r="BM589" s="14">
        <f t="shared" si="614"/>
        <v>2.0434782608695645</v>
      </c>
      <c r="BN589" s="14">
        <f t="shared" si="614"/>
        <v>2.1739130434782603</v>
      </c>
      <c r="BO589" s="14">
        <f t="shared" si="614"/>
        <v>2.3043478260869561</v>
      </c>
      <c r="BP589" s="14">
        <f t="shared" si="614"/>
        <v>2.4347826086956519</v>
      </c>
      <c r="BQ589" s="14">
        <f t="shared" si="614"/>
        <v>4</v>
      </c>
      <c r="BR589" s="14">
        <f t="shared" si="614"/>
        <v>4.083333333333333</v>
      </c>
      <c r="BS589" s="14">
        <f t="shared" si="614"/>
        <v>4.1666666666666661</v>
      </c>
      <c r="BT589" s="14">
        <f t="shared" si="614"/>
        <v>4.2499999999999991</v>
      </c>
      <c r="BU589" s="14">
        <f t="shared" si="614"/>
        <v>4.3333333333333321</v>
      </c>
      <c r="BV589" s="14">
        <f t="shared" si="614"/>
        <v>4.4166666666666652</v>
      </c>
      <c r="BW589" s="14">
        <f t="shared" si="614"/>
        <v>4.4999999999999982</v>
      </c>
      <c r="BX589" s="14">
        <f t="shared" si="614"/>
        <v>4.5833333333333313</v>
      </c>
      <c r="BY589" s="14">
        <f t="shared" si="614"/>
        <v>4.6666666666666643</v>
      </c>
      <c r="BZ589" s="14">
        <f t="shared" si="614"/>
        <v>4.7499999999999973</v>
      </c>
      <c r="CA589" s="14">
        <f t="shared" si="614"/>
        <v>4.8333333333333304</v>
      </c>
      <c r="CB589" s="14">
        <f t="shared" si="614"/>
        <v>4.9166666666666634</v>
      </c>
      <c r="CC589" s="14">
        <f t="shared" si="614"/>
        <v>5</v>
      </c>
      <c r="CD589" s="14">
        <f t="shared" si="614"/>
        <v>5.166666666666667</v>
      </c>
      <c r="CE589" s="14">
        <f t="shared" si="614"/>
        <v>5.3333333333333339</v>
      </c>
      <c r="CF589" s="14">
        <f t="shared" si="614"/>
        <v>5.5000000000000009</v>
      </c>
      <c r="CG589" s="14">
        <f t="shared" si="614"/>
        <v>5.6666666666666679</v>
      </c>
      <c r="CH589" s="14">
        <f t="shared" si="614"/>
        <v>5.8333333333333348</v>
      </c>
      <c r="CI589" s="14">
        <f t="shared" si="614"/>
        <v>6.0000000000000018</v>
      </c>
      <c r="CJ589" s="14">
        <f t="shared" si="614"/>
        <v>6.1666666666666687</v>
      </c>
      <c r="CK589" s="14">
        <f t="shared" si="614"/>
        <v>6.3333333333333357</v>
      </c>
      <c r="CL589" s="14">
        <f t="shared" si="614"/>
        <v>6.5000000000000027</v>
      </c>
      <c r="CM589" s="14">
        <f t="shared" si="614"/>
        <v>6.6666666666666696</v>
      </c>
      <c r="CN589" s="14">
        <f t="shared" si="614"/>
        <v>6.8333333333333366</v>
      </c>
      <c r="CO589" s="14">
        <f t="shared" si="614"/>
        <v>7</v>
      </c>
      <c r="CP589" s="14">
        <f t="shared" si="614"/>
        <v>7.083333333333333</v>
      </c>
      <c r="CQ589" s="14">
        <f t="shared" si="614"/>
        <v>7.1666666666666661</v>
      </c>
      <c r="CR589" s="14">
        <f t="shared" si="614"/>
        <v>7.2499999999999991</v>
      </c>
      <c r="CS589" s="14">
        <f t="shared" si="614"/>
        <v>7.3333333333333321</v>
      </c>
      <c r="CT589" s="14">
        <f t="shared" si="614"/>
        <v>7.4166666666666652</v>
      </c>
      <c r="CU589" s="14">
        <f t="shared" si="614"/>
        <v>7.4999999999999982</v>
      </c>
      <c r="CV589" s="14">
        <f t="shared" si="614"/>
        <v>7.5833333333333313</v>
      </c>
      <c r="CW589" s="14">
        <f t="shared" si="614"/>
        <v>7.6666666666666643</v>
      </c>
      <c r="CX589" s="14">
        <f t="shared" si="614"/>
        <v>7.7499999999999973</v>
      </c>
      <c r="CY589" s="14">
        <f t="shared" si="614"/>
        <v>7.8333333333333304</v>
      </c>
      <c r="CZ589" s="14">
        <f t="shared" si="614"/>
        <v>7.9166666666666634</v>
      </c>
      <c r="DA589" s="14">
        <f t="shared" si="614"/>
        <v>8</v>
      </c>
      <c r="DC589" s="12">
        <f>SUM(V589:AG589)</f>
        <v>0</v>
      </c>
      <c r="DD589" s="12">
        <f>SUM(AH589:AS589)</f>
        <v>0</v>
      </c>
      <c r="DE589" s="12">
        <f>SUM(AT589:BE589)</f>
        <v>6.5</v>
      </c>
      <c r="DF589" s="12">
        <f>SUM(BF589:BQ589)</f>
        <v>23.60869565217391</v>
      </c>
      <c r="DG589" s="12">
        <f>SUM(BR589:CC589)</f>
        <v>54.499999999999979</v>
      </c>
      <c r="DH589" s="12">
        <f>SUM(CD589:CO589)</f>
        <v>73.000000000000028</v>
      </c>
      <c r="DI589" s="12">
        <f>SUM(CP589:DA589)</f>
        <v>90.499999999999972</v>
      </c>
    </row>
    <row r="590" spans="2:113" outlineLevel="1">
      <c r="E590" s="698" t="s">
        <v>794</v>
      </c>
      <c r="I590" s="699" t="s">
        <v>743</v>
      </c>
      <c r="V590" s="698"/>
      <c r="W590" s="12"/>
      <c r="AA590" s="698"/>
      <c r="AH590" s="12"/>
      <c r="AI590" s="12"/>
      <c r="AJ590" s="12"/>
      <c r="AK590" s="12"/>
      <c r="AL590" s="12"/>
      <c r="AM590" s="12"/>
      <c r="AN590" s="12"/>
      <c r="AO590" s="14"/>
      <c r="AP590" s="14"/>
      <c r="AQ590" s="14"/>
      <c r="AR590" s="14"/>
      <c r="AS590" s="14"/>
      <c r="AT590" s="708">
        <f t="shared" si="614"/>
        <v>8.3333333333333329E-2</v>
      </c>
      <c r="AU590" s="708">
        <f t="shared" si="614"/>
        <v>0.25</v>
      </c>
      <c r="AV590" s="708">
        <f t="shared" si="614"/>
        <v>0.5</v>
      </c>
      <c r="AW590" s="708">
        <f t="shared" si="614"/>
        <v>0.83333333333333326</v>
      </c>
      <c r="AX590" s="708">
        <f t="shared" si="614"/>
        <v>1.25</v>
      </c>
      <c r="AY590" s="708">
        <f t="shared" si="614"/>
        <v>1.75</v>
      </c>
      <c r="AZ590" s="708">
        <f t="shared" si="614"/>
        <v>2.333333333333333</v>
      </c>
      <c r="BA590" s="708">
        <f t="shared" si="614"/>
        <v>2.9999999999999996</v>
      </c>
      <c r="BB590" s="708">
        <f t="shared" si="614"/>
        <v>3.7499999999999996</v>
      </c>
      <c r="BC590" s="708">
        <f t="shared" si="614"/>
        <v>4.583333333333333</v>
      </c>
      <c r="BD590" s="708">
        <f t="shared" si="614"/>
        <v>5.5</v>
      </c>
      <c r="BE590" s="708">
        <f t="shared" si="614"/>
        <v>6.5</v>
      </c>
      <c r="BF590" s="14">
        <f t="shared" si="614"/>
        <v>7.6304347826086953</v>
      </c>
      <c r="BG590" s="14">
        <f t="shared" si="614"/>
        <v>8.891304347826086</v>
      </c>
      <c r="BH590" s="14">
        <f t="shared" si="614"/>
        <v>10.282608695652172</v>
      </c>
      <c r="BI590" s="14">
        <f t="shared" si="614"/>
        <v>11.804347826086953</v>
      </c>
      <c r="BJ590" s="14">
        <f t="shared" si="614"/>
        <v>13.456521739130432</v>
      </c>
      <c r="BK590" s="14">
        <f t="shared" si="614"/>
        <v>15.239130434782606</v>
      </c>
      <c r="BL590" s="14">
        <f t="shared" si="614"/>
        <v>17.152173913043473</v>
      </c>
      <c r="BM590" s="14">
        <f t="shared" si="614"/>
        <v>19.195652173913039</v>
      </c>
      <c r="BN590" s="14">
        <f t="shared" si="614"/>
        <v>21.369565217391301</v>
      </c>
      <c r="BO590" s="14">
        <f t="shared" si="614"/>
        <v>23.673913043478258</v>
      </c>
      <c r="BP590" s="14">
        <f t="shared" si="614"/>
        <v>26.10869565217391</v>
      </c>
      <c r="BQ590" s="14">
        <f t="shared" si="614"/>
        <v>30.10869565217391</v>
      </c>
      <c r="BR590" s="14">
        <f t="shared" si="614"/>
        <v>34.108695652173907</v>
      </c>
      <c r="BS590" s="14">
        <f t="shared" si="614"/>
        <v>38.108695652173907</v>
      </c>
      <c r="BT590" s="14">
        <f t="shared" si="614"/>
        <v>42.108695652173907</v>
      </c>
      <c r="BU590" s="14">
        <f t="shared" si="614"/>
        <v>46.1086956521739</v>
      </c>
      <c r="BV590" s="14">
        <f t="shared" si="614"/>
        <v>50.1086956521739</v>
      </c>
      <c r="BW590" s="14">
        <f t="shared" si="614"/>
        <v>54.1086956521739</v>
      </c>
      <c r="BX590" s="14">
        <f t="shared" si="614"/>
        <v>58.108695652173893</v>
      </c>
      <c r="BY590" s="14">
        <f t="shared" si="614"/>
        <v>62.108695652173893</v>
      </c>
      <c r="BZ590" s="14">
        <f t="shared" si="614"/>
        <v>66.108695652173893</v>
      </c>
      <c r="CA590" s="14">
        <f t="shared" si="614"/>
        <v>70.108695652173893</v>
      </c>
      <c r="CB590" s="14">
        <f t="shared" si="614"/>
        <v>74.108695652173878</v>
      </c>
      <c r="CC590" s="14">
        <f t="shared" si="614"/>
        <v>78.108695652173878</v>
      </c>
      <c r="CD590" s="14">
        <f t="shared" si="614"/>
        <v>82.144927536231847</v>
      </c>
      <c r="CE590" s="14">
        <f t="shared" si="614"/>
        <v>86.217391304347785</v>
      </c>
      <c r="CF590" s="14">
        <f t="shared" si="614"/>
        <v>90.326086956521692</v>
      </c>
      <c r="CG590" s="14">
        <f t="shared" si="614"/>
        <v>94.471014492753582</v>
      </c>
      <c r="CH590" s="14">
        <f t="shared" si="614"/>
        <v>98.652173913043427</v>
      </c>
      <c r="CI590" s="14">
        <f t="shared" si="614"/>
        <v>102.86956521739125</v>
      </c>
      <c r="CJ590" s="14">
        <f t="shared" si="614"/>
        <v>107.12318840579705</v>
      </c>
      <c r="CK590" s="14">
        <f t="shared" si="614"/>
        <v>111.41304347826082</v>
      </c>
      <c r="CL590" s="14">
        <f t="shared" si="614"/>
        <v>115.73913043478255</v>
      </c>
      <c r="CM590" s="14">
        <f t="shared" si="614"/>
        <v>120.10144927536227</v>
      </c>
      <c r="CN590" s="14">
        <f t="shared" si="614"/>
        <v>124.49999999999996</v>
      </c>
      <c r="CO590" s="14">
        <f t="shared" si="614"/>
        <v>127.49999999999994</v>
      </c>
      <c r="CP590" s="14">
        <f t="shared" si="614"/>
        <v>130.49999999999994</v>
      </c>
      <c r="CQ590" s="14">
        <f t="shared" si="614"/>
        <v>133.49999999999994</v>
      </c>
      <c r="CR590" s="14">
        <f t="shared" si="614"/>
        <v>136.49999999999994</v>
      </c>
      <c r="CS590" s="14">
        <f t="shared" si="614"/>
        <v>139.49999999999994</v>
      </c>
      <c r="CT590" s="14">
        <f t="shared" si="614"/>
        <v>142.49999999999994</v>
      </c>
      <c r="CU590" s="14">
        <f t="shared" si="614"/>
        <v>145.49999999999994</v>
      </c>
      <c r="CV590" s="14">
        <f t="shared" si="614"/>
        <v>148.49999999999994</v>
      </c>
      <c r="CW590" s="14">
        <f t="shared" si="614"/>
        <v>151.49999999999994</v>
      </c>
      <c r="CX590" s="14">
        <f t="shared" si="614"/>
        <v>154.49999999999994</v>
      </c>
      <c r="CY590" s="14">
        <f t="shared" si="614"/>
        <v>157.49999999999994</v>
      </c>
      <c r="CZ590" s="14">
        <f t="shared" si="614"/>
        <v>160.49999999999994</v>
      </c>
      <c r="DA590" s="14">
        <f t="shared" si="614"/>
        <v>163.49999999999994</v>
      </c>
      <c r="DC590" s="11">
        <f>AG590</f>
        <v>0</v>
      </c>
      <c r="DD590" s="11">
        <f>AS590</f>
        <v>0</v>
      </c>
      <c r="DE590" s="11">
        <f>BE590</f>
        <v>6.5</v>
      </c>
      <c r="DF590" s="11">
        <f>BQ590</f>
        <v>30.10869565217391</v>
      </c>
      <c r="DG590" s="11">
        <f>CC590</f>
        <v>78.108695652173878</v>
      </c>
      <c r="DH590" s="11">
        <f>CO590</f>
        <v>127.49999999999994</v>
      </c>
      <c r="DI590" s="11">
        <f>DA590</f>
        <v>163.49999999999994</v>
      </c>
    </row>
    <row r="591" spans="2:113" outlineLevel="1">
      <c r="E591" s="698" t="s">
        <v>795</v>
      </c>
      <c r="F591" s="12"/>
      <c r="I591" s="609" t="s">
        <v>736</v>
      </c>
      <c r="V591" s="698"/>
      <c r="AA591" s="698"/>
      <c r="AB591" s="12"/>
      <c r="AH591" s="12"/>
      <c r="AI591" s="12"/>
      <c r="AJ591" s="12"/>
      <c r="AK591" s="12"/>
      <c r="AL591" s="12"/>
      <c r="AM591" s="12"/>
      <c r="AN591" s="12"/>
      <c r="AO591" s="14"/>
      <c r="AP591" s="14"/>
      <c r="AQ591" s="14"/>
      <c r="AR591" s="14"/>
      <c r="AS591" s="14"/>
      <c r="AT591" s="708">
        <f t="shared" si="614"/>
        <v>1.6666666666666665</v>
      </c>
      <c r="AU591" s="708">
        <f t="shared" si="614"/>
        <v>3.333333333333333</v>
      </c>
      <c r="AV591" s="708">
        <f t="shared" si="614"/>
        <v>5</v>
      </c>
      <c r="AW591" s="708">
        <f t="shared" si="614"/>
        <v>6.6666666666666661</v>
      </c>
      <c r="AX591" s="708">
        <f t="shared" si="614"/>
        <v>8.3333333333333321</v>
      </c>
      <c r="AY591" s="708">
        <f t="shared" si="614"/>
        <v>9.9999999999999982</v>
      </c>
      <c r="AZ591" s="708">
        <f t="shared" si="614"/>
        <v>11.666666666666666</v>
      </c>
      <c r="BA591" s="708">
        <f t="shared" si="614"/>
        <v>13.333333333333332</v>
      </c>
      <c r="BB591" s="708">
        <f t="shared" si="614"/>
        <v>15</v>
      </c>
      <c r="BC591" s="708">
        <f t="shared" si="614"/>
        <v>16.666666666666668</v>
      </c>
      <c r="BD591" s="708">
        <f t="shared" si="614"/>
        <v>18.333333333333336</v>
      </c>
      <c r="BE591" s="708">
        <f t="shared" si="614"/>
        <v>20</v>
      </c>
      <c r="BF591" s="14">
        <f t="shared" si="614"/>
        <v>22.60869565217391</v>
      </c>
      <c r="BG591" s="14">
        <f t="shared" si="614"/>
        <v>25.217391304347824</v>
      </c>
      <c r="BH591" s="14">
        <f t="shared" si="614"/>
        <v>27.826086956521731</v>
      </c>
      <c r="BI591" s="14">
        <f t="shared" si="614"/>
        <v>30.434782608695645</v>
      </c>
      <c r="BJ591" s="14">
        <f t="shared" si="614"/>
        <v>33.043478260869556</v>
      </c>
      <c r="BK591" s="14">
        <f t="shared" si="614"/>
        <v>35.652173913043463</v>
      </c>
      <c r="BL591" s="14">
        <f t="shared" si="614"/>
        <v>38.260869565217376</v>
      </c>
      <c r="BM591" s="14">
        <f t="shared" si="614"/>
        <v>40.86956521739129</v>
      </c>
      <c r="BN591" s="14">
        <f t="shared" si="614"/>
        <v>43.478260869565212</v>
      </c>
      <c r="BO591" s="14">
        <f t="shared" si="614"/>
        <v>46.086956521739118</v>
      </c>
      <c r="BP591" s="14">
        <f t="shared" si="614"/>
        <v>48.695652173913039</v>
      </c>
      <c r="BQ591" s="14">
        <f t="shared" si="614"/>
        <v>80</v>
      </c>
      <c r="BR591" s="14">
        <f t="shared" si="614"/>
        <v>81.666666666666657</v>
      </c>
      <c r="BS591" s="14">
        <f t="shared" si="614"/>
        <v>83.333333333333329</v>
      </c>
      <c r="BT591" s="14">
        <f t="shared" si="614"/>
        <v>84.999999999999986</v>
      </c>
      <c r="BU591" s="14">
        <f t="shared" si="614"/>
        <v>86.666666666666643</v>
      </c>
      <c r="BV591" s="14">
        <f t="shared" si="614"/>
        <v>88.3333333333333</v>
      </c>
      <c r="BW591" s="14">
        <f t="shared" si="614"/>
        <v>89.999999999999972</v>
      </c>
      <c r="BX591" s="14">
        <f t="shared" si="614"/>
        <v>91.666666666666629</v>
      </c>
      <c r="BY591" s="14">
        <f t="shared" si="614"/>
        <v>93.333333333333286</v>
      </c>
      <c r="BZ591" s="14">
        <f t="shared" si="614"/>
        <v>94.999999999999943</v>
      </c>
      <c r="CA591" s="14">
        <f t="shared" si="614"/>
        <v>96.666666666666615</v>
      </c>
      <c r="CB591" s="14">
        <f t="shared" si="614"/>
        <v>98.333333333333272</v>
      </c>
      <c r="CC591" s="14">
        <f t="shared" si="614"/>
        <v>100</v>
      </c>
      <c r="CD591" s="14">
        <f t="shared" si="614"/>
        <v>103.33333333333334</v>
      </c>
      <c r="CE591" s="14">
        <f t="shared" si="614"/>
        <v>106.66666666666667</v>
      </c>
      <c r="CF591" s="14">
        <f t="shared" si="614"/>
        <v>110.00000000000001</v>
      </c>
      <c r="CG591" s="14">
        <f t="shared" si="614"/>
        <v>113.33333333333336</v>
      </c>
      <c r="CH591" s="14">
        <f t="shared" si="614"/>
        <v>116.6666666666667</v>
      </c>
      <c r="CI591" s="14">
        <f t="shared" si="614"/>
        <v>120.00000000000003</v>
      </c>
      <c r="CJ591" s="14">
        <f t="shared" si="614"/>
        <v>123.33333333333337</v>
      </c>
      <c r="CK591" s="14">
        <f t="shared" si="614"/>
        <v>126.66666666666671</v>
      </c>
      <c r="CL591" s="14">
        <f t="shared" si="614"/>
        <v>130.00000000000006</v>
      </c>
      <c r="CM591" s="14">
        <f t="shared" si="614"/>
        <v>133.3333333333334</v>
      </c>
      <c r="CN591" s="14">
        <f t="shared" si="614"/>
        <v>136.66666666666674</v>
      </c>
      <c r="CO591" s="14">
        <f t="shared" si="614"/>
        <v>140</v>
      </c>
      <c r="CP591" s="14">
        <f t="shared" si="614"/>
        <v>141.66666666666666</v>
      </c>
      <c r="CQ591" s="14">
        <f t="shared" si="614"/>
        <v>143.33333333333331</v>
      </c>
      <c r="CR591" s="14">
        <f t="shared" si="614"/>
        <v>144.99999999999997</v>
      </c>
      <c r="CS591" s="14">
        <f t="shared" si="614"/>
        <v>146.66666666666666</v>
      </c>
      <c r="CT591" s="14">
        <f t="shared" si="614"/>
        <v>148.33333333333331</v>
      </c>
      <c r="CU591" s="14">
        <f t="shared" si="614"/>
        <v>149.99999999999997</v>
      </c>
      <c r="CV591" s="14">
        <f t="shared" si="614"/>
        <v>151.66666666666663</v>
      </c>
      <c r="CW591" s="14">
        <f t="shared" si="614"/>
        <v>153.33333333333329</v>
      </c>
      <c r="CX591" s="14">
        <f t="shared" si="614"/>
        <v>154.99999999999994</v>
      </c>
      <c r="CY591" s="14">
        <f t="shared" si="614"/>
        <v>156.6666666666666</v>
      </c>
      <c r="CZ591" s="14">
        <f t="shared" si="614"/>
        <v>158.33333333333326</v>
      </c>
      <c r="DA591" s="14">
        <f t="shared" si="614"/>
        <v>160</v>
      </c>
      <c r="DC591" s="12">
        <f>SUM(V591:AG591)</f>
        <v>0</v>
      </c>
      <c r="DD591" s="12">
        <f>SUM(AH591:AS591)</f>
        <v>0</v>
      </c>
      <c r="DE591" s="12">
        <f>SUM(AT591:BE591)</f>
        <v>130</v>
      </c>
      <c r="DF591" s="12">
        <f>SUM(BF591:BQ591)</f>
        <v>472.17391304347819</v>
      </c>
      <c r="DG591" s="12">
        <f>SUM(BR591:CC591)</f>
        <v>1089.9999999999995</v>
      </c>
      <c r="DH591" s="12">
        <f>SUM(CD591:CO591)</f>
        <v>1460.0000000000005</v>
      </c>
      <c r="DI591" s="12">
        <f t="shared" ref="DI591:DI622" si="615">SUM(CP591:DA591)</f>
        <v>1809.9999999999995</v>
      </c>
    </row>
    <row r="592" spans="2:113" outlineLevel="1">
      <c r="E592" s="698" t="s">
        <v>796</v>
      </c>
      <c r="F592" s="12"/>
      <c r="I592" s="609" t="s">
        <v>736</v>
      </c>
      <c r="V592" s="698"/>
      <c r="AA592" s="698"/>
      <c r="AH592" s="12"/>
      <c r="AI592" s="12"/>
      <c r="AJ592" s="12"/>
      <c r="AK592" s="12"/>
      <c r="AL592" s="12"/>
      <c r="AM592" s="12"/>
      <c r="AN592" s="12"/>
      <c r="AO592" s="14"/>
      <c r="AP592" s="14"/>
      <c r="AQ592" s="14"/>
      <c r="AR592" s="14"/>
      <c r="AS592" s="14"/>
      <c r="AT592" s="708">
        <f t="shared" si="614"/>
        <v>1.6666666666666665</v>
      </c>
      <c r="AU592" s="708">
        <f t="shared" si="614"/>
        <v>4.9305555555555554</v>
      </c>
      <c r="AV592" s="708">
        <f t="shared" si="614"/>
        <v>9.7222222222222214</v>
      </c>
      <c r="AW592" s="708">
        <f t="shared" si="614"/>
        <v>15.97222222222222</v>
      </c>
      <c r="AX592" s="708">
        <f t="shared" si="614"/>
        <v>23.611111111111107</v>
      </c>
      <c r="AY592" s="708">
        <f t="shared" si="614"/>
        <v>32.569444444444443</v>
      </c>
      <c r="AZ592" s="708">
        <f t="shared" si="614"/>
        <v>42.777777777777771</v>
      </c>
      <c r="BA592" s="708">
        <f t="shared" si="614"/>
        <v>54.166666666666657</v>
      </c>
      <c r="BB592" s="708">
        <f t="shared" si="614"/>
        <v>66.630040210866653</v>
      </c>
      <c r="BC592" s="708">
        <f t="shared" si="614"/>
        <v>80.064818670690329</v>
      </c>
      <c r="BD592" s="708">
        <f t="shared" si="614"/>
        <v>94.375472214606873</v>
      </c>
      <c r="BE592" s="708">
        <f t="shared" si="614"/>
        <v>109.49310115610771</v>
      </c>
      <c r="BF592" s="14">
        <f t="shared" si="614"/>
        <v>126.27502761454646</v>
      </c>
      <c r="BG592" s="14">
        <f t="shared" si="614"/>
        <v>144.60924540840358</v>
      </c>
      <c r="BH592" s="14">
        <f t="shared" si="614"/>
        <v>164.37889760102649</v>
      </c>
      <c r="BI592" s="14">
        <f t="shared" si="614"/>
        <v>185.46446003899158</v>
      </c>
      <c r="BJ592" s="14">
        <f t="shared" si="614"/>
        <v>207.72976363748447</v>
      </c>
      <c r="BK592" s="14">
        <f t="shared" si="614"/>
        <v>231.04192567352612</v>
      </c>
      <c r="BL592" s="14">
        <f t="shared" si="614"/>
        <v>255.2805606992151</v>
      </c>
      <c r="BM592" s="14">
        <f t="shared" si="614"/>
        <v>280.32694681098104</v>
      </c>
      <c r="BN592" s="14">
        <f t="shared" si="614"/>
        <v>306.04902502396823</v>
      </c>
      <c r="BO592" s="14">
        <f t="shared" si="614"/>
        <v>332.31701519722674</v>
      </c>
      <c r="BP592" s="14">
        <f t="shared" si="614"/>
        <v>359.00319402354859</v>
      </c>
      <c r="BQ592" s="14">
        <f t="shared" si="614"/>
        <v>414.67740124185315</v>
      </c>
      <c r="BR592" s="14">
        <f t="shared" si="614"/>
        <v>468.3823561998064</v>
      </c>
      <c r="BS592" s="14">
        <f t="shared" si="614"/>
        <v>520.10462687166626</v>
      </c>
      <c r="BT592" s="14">
        <f t="shared" si="614"/>
        <v>569.83256320138207</v>
      </c>
      <c r="BU592" s="14">
        <f t="shared" si="614"/>
        <v>617.55626976730741</v>
      </c>
      <c r="BV592" s="14">
        <f t="shared" si="614"/>
        <v>663.26758063802981</v>
      </c>
      <c r="BW592" s="14">
        <f t="shared" si="614"/>
        <v>706.96003428313611</v>
      </c>
      <c r="BX592" s="14">
        <f t="shared" si="614"/>
        <v>748.62884875855741</v>
      </c>
      <c r="BY592" s="14">
        <f t="shared" si="614"/>
        <v>787.83291013352584</v>
      </c>
      <c r="BZ592" s="14">
        <f t="shared" si="614"/>
        <v>824.62086983649021</v>
      </c>
      <c r="CA592" s="14">
        <f t="shared" si="614"/>
        <v>859.03406568922821</v>
      </c>
      <c r="CB592" s="14">
        <f t="shared" si="614"/>
        <v>891.10903381787057</v>
      </c>
      <c r="CC592" s="14">
        <f t="shared" si="614"/>
        <v>920.88087579566445</v>
      </c>
      <c r="CD592" s="14">
        <f t="shared" si="614"/>
        <v>950.05020945117269</v>
      </c>
      <c r="CE592" s="14">
        <f t="shared" si="614"/>
        <v>978.61995378972824</v>
      </c>
      <c r="CF592" s="14">
        <f t="shared" si="614"/>
        <v>1006.5925070104736</v>
      </c>
      <c r="CG592" s="14">
        <f t="shared" si="614"/>
        <v>1033.9698075945741</v>
      </c>
      <c r="CH592" s="14">
        <f t="shared" si="614"/>
        <v>1060.7533300942368</v>
      </c>
      <c r="CI592" s="14">
        <f t="shared" si="614"/>
        <v>1086.9440886263869</v>
      </c>
      <c r="CJ592" s="14">
        <f t="shared" si="614"/>
        <v>1112.5426425019796</v>
      </c>
      <c r="CK592" s="14">
        <f t="shared" si="614"/>
        <v>1137.5491025019046</v>
      </c>
      <c r="CL592" s="14">
        <f t="shared" si="614"/>
        <v>1161.9376987388659</v>
      </c>
      <c r="CM592" s="14">
        <f t="shared" si="614"/>
        <v>1185.6837041598992</v>
      </c>
      <c r="CN592" s="14">
        <f t="shared" si="614"/>
        <v>1208.7630765088145</v>
      </c>
      <c r="CO592" s="14">
        <f t="shared" si="614"/>
        <v>1231.1522240846434</v>
      </c>
      <c r="CP592" s="14">
        <f t="shared" si="614"/>
        <v>1308.1902717382693</v>
      </c>
      <c r="CQ592" s="14">
        <f t="shared" si="614"/>
        <v>1380.6484656544576</v>
      </c>
      <c r="CR592" s="14">
        <f t="shared" si="614"/>
        <v>1448.4650527128324</v>
      </c>
      <c r="CS592" s="14">
        <f t="shared" si="614"/>
        <v>1511.5786068029988</v>
      </c>
      <c r="CT592" s="14">
        <f t="shared" si="614"/>
        <v>1569.9280248918774</v>
      </c>
      <c r="CU592" s="14">
        <f t="shared" si="614"/>
        <v>1623.4525225647717</v>
      </c>
      <c r="CV592" s="14">
        <f t="shared" si="614"/>
        <v>1672.0916294566005</v>
      </c>
      <c r="CW592" s="14">
        <f t="shared" si="614"/>
        <v>1715.785184691355</v>
      </c>
      <c r="CX592" s="14">
        <f t="shared" si="614"/>
        <v>1753.6283269764792</v>
      </c>
      <c r="CY592" s="14">
        <f t="shared" si="614"/>
        <v>1785.6539667211832</v>
      </c>
      <c r="CZ592" s="14">
        <f t="shared" si="614"/>
        <v>1811.8820708788292</v>
      </c>
      <c r="DA592" s="14">
        <f t="shared" si="614"/>
        <v>1832.3243398202208</v>
      </c>
      <c r="DC592" s="11">
        <f>AG592</f>
        <v>0</v>
      </c>
      <c r="DD592" s="11">
        <f>AS592</f>
        <v>0</v>
      </c>
      <c r="DE592" s="11">
        <f>BE592</f>
        <v>109.49310115610771</v>
      </c>
      <c r="DF592" s="11">
        <f>BQ592</f>
        <v>414.67740124185315</v>
      </c>
      <c r="DG592" s="11">
        <f>CC592</f>
        <v>920.88087579566445</v>
      </c>
      <c r="DH592" s="11">
        <f>CO592</f>
        <v>1231.1522240846434</v>
      </c>
      <c r="DI592" s="11">
        <f>DA592</f>
        <v>1832.3243398202208</v>
      </c>
    </row>
    <row r="593" spans="5:113" outlineLevel="1">
      <c r="E593" s="698" t="s">
        <v>215</v>
      </c>
      <c r="F593" s="12"/>
      <c r="I593" s="609" t="s">
        <v>736</v>
      </c>
      <c r="V593" s="698"/>
      <c r="AA593" s="698"/>
      <c r="AH593" s="12"/>
      <c r="AI593" s="12"/>
      <c r="AJ593" s="12"/>
      <c r="AK593" s="12"/>
      <c r="AL593" s="12"/>
      <c r="AM593" s="12"/>
      <c r="AN593" s="12"/>
      <c r="AO593" s="14"/>
      <c r="AP593" s="14"/>
      <c r="AQ593" s="14"/>
      <c r="AR593" s="14"/>
      <c r="AS593" s="14"/>
      <c r="AT593" s="708">
        <f t="shared" ref="AT593:DA593" si="616">AT597+AT599</f>
        <v>0.33388888888888885</v>
      </c>
      <c r="AU593" s="708">
        <f t="shared" si="616"/>
        <v>0.66399238719353149</v>
      </c>
      <c r="AV593" s="708">
        <f t="shared" si="616"/>
        <v>1.0866648034722224</v>
      </c>
      <c r="AW593" s="708">
        <f t="shared" si="616"/>
        <v>1.5628474184319645</v>
      </c>
      <c r="AX593" s="708">
        <f t="shared" si="616"/>
        <v>2.088127958394812</v>
      </c>
      <c r="AY593" s="708">
        <f t="shared" si="616"/>
        <v>2.6588782815848573</v>
      </c>
      <c r="AZ593" s="708">
        <f t="shared" si="616"/>
        <v>3.2728625649400991</v>
      </c>
      <c r="BA593" s="708">
        <f t="shared" si="616"/>
        <v>3.9274070368994711</v>
      </c>
      <c r="BB593" s="708">
        <f t="shared" si="616"/>
        <v>4.6198985422111827</v>
      </c>
      <c r="BC593" s="708">
        <f t="shared" si="616"/>
        <v>5.3481622276240746</v>
      </c>
      <c r="BD593" s="708">
        <f t="shared" si="616"/>
        <v>6.1080598135046236</v>
      </c>
      <c r="BE593" s="708">
        <f t="shared" si="616"/>
        <v>6.8943329944277361</v>
      </c>
      <c r="BF593" s="14">
        <f t="shared" si="616"/>
        <v>7.9178247031515756</v>
      </c>
      <c r="BG593" s="14">
        <f t="shared" si="616"/>
        <v>8.9631893902897311</v>
      </c>
      <c r="BH593" s="14">
        <f t="shared" si="616"/>
        <v>10.060155031091426</v>
      </c>
      <c r="BI593" s="14">
        <f t="shared" si="616"/>
        <v>11.203629292897036</v>
      </c>
      <c r="BJ593" s="14">
        <f t="shared" si="616"/>
        <v>12.389002470547622</v>
      </c>
      <c r="BK593" s="14">
        <f t="shared" si="616"/>
        <v>13.611442715580649</v>
      </c>
      <c r="BL593" s="14">
        <f t="shared" si="616"/>
        <v>14.865978561970952</v>
      </c>
      <c r="BM593" s="14">
        <f t="shared" si="616"/>
        <v>16.147899584384199</v>
      </c>
      <c r="BN593" s="14">
        <f t="shared" si="616"/>
        <v>17.452936625262147</v>
      </c>
      <c r="BO593" s="14">
        <f t="shared" si="616"/>
        <v>18.776622793483789</v>
      </c>
      <c r="BP593" s="14">
        <f t="shared" si="616"/>
        <v>20.114548065064998</v>
      </c>
      <c r="BQ593" s="14">
        <f t="shared" si="616"/>
        <v>26.689660125873637</v>
      </c>
      <c r="BR593" s="14">
        <f t="shared" si="616"/>
        <v>28.956640636976729</v>
      </c>
      <c r="BS593" s="14">
        <f t="shared" si="616"/>
        <v>31.110120319673314</v>
      </c>
      <c r="BT593" s="14">
        <f t="shared" si="616"/>
        <v>33.163901935430268</v>
      </c>
      <c r="BU593" s="14">
        <f t="shared" si="616"/>
        <v>35.122057395751774</v>
      </c>
      <c r="BV593" s="14">
        <f t="shared" si="616"/>
        <v>36.987976370981926</v>
      </c>
      <c r="BW593" s="14">
        <f t="shared" si="616"/>
        <v>38.764183117080179</v>
      </c>
      <c r="BX593" s="14">
        <f t="shared" si="616"/>
        <v>40.45225880310749</v>
      </c>
      <c r="BY593" s="14">
        <f t="shared" si="616"/>
        <v>42.064454794786194</v>
      </c>
      <c r="BZ593" s="14">
        <f t="shared" si="616"/>
        <v>43.593739875750181</v>
      </c>
      <c r="CA593" s="14">
        <f t="shared" si="616"/>
        <v>45.041010459624644</v>
      </c>
      <c r="CB593" s="14">
        <f t="shared" si="616"/>
        <v>46.407602936553616</v>
      </c>
      <c r="CC593" s="14">
        <f t="shared" si="616"/>
        <v>47.694763657350627</v>
      </c>
      <c r="CD593" s="14">
        <f t="shared" si="616"/>
        <v>49.208306306077255</v>
      </c>
      <c r="CE593" s="14">
        <f t="shared" si="616"/>
        <v>50.708912079324392</v>
      </c>
      <c r="CF593" s="14">
        <f t="shared" si="616"/>
        <v>52.194430636610853</v>
      </c>
      <c r="CG593" s="14">
        <f t="shared" si="616"/>
        <v>53.663446226830146</v>
      </c>
      <c r="CH593" s="14">
        <f t="shared" si="616"/>
        <v>55.114708062291896</v>
      </c>
      <c r="CI593" s="14">
        <f t="shared" si="616"/>
        <v>56.547089925700533</v>
      </c>
      <c r="CJ593" s="14">
        <f t="shared" si="616"/>
        <v>57.959541555122051</v>
      </c>
      <c r="CK593" s="14">
        <f t="shared" si="616"/>
        <v>59.351035376689595</v>
      </c>
      <c r="CL593" s="14">
        <f t="shared" si="616"/>
        <v>60.721195649131815</v>
      </c>
      <c r="CM593" s="14">
        <f t="shared" si="616"/>
        <v>62.069209358455254</v>
      </c>
      <c r="CN593" s="14">
        <f t="shared" si="616"/>
        <v>63.394252084627531</v>
      </c>
      <c r="CO593" s="14">
        <f t="shared" si="616"/>
        <v>64.695514801038172</v>
      </c>
      <c r="CP593" s="14">
        <f t="shared" si="616"/>
        <v>66.996468413040475</v>
      </c>
      <c r="CQ593" s="14">
        <f t="shared" si="616"/>
        <v>70.039824585755184</v>
      </c>
      <c r="CR593" s="14">
        <f t="shared" si="616"/>
        <v>72.838105674812908</v>
      </c>
      <c r="CS593" s="14">
        <f t="shared" si="616"/>
        <v>75.416925883558406</v>
      </c>
      <c r="CT593" s="14">
        <f t="shared" si="616"/>
        <v>77.782171579173124</v>
      </c>
      <c r="CU593" s="14">
        <f t="shared" si="616"/>
        <v>79.93825920113494</v>
      </c>
      <c r="CV593" s="14">
        <f t="shared" si="616"/>
        <v>81.887885703348701</v>
      </c>
      <c r="CW593" s="14">
        <f t="shared" si="616"/>
        <v>83.631923089702752</v>
      </c>
      <c r="CX593" s="14">
        <f t="shared" si="616"/>
        <v>85.192167570536995</v>
      </c>
      <c r="CY593" s="14">
        <f t="shared" si="616"/>
        <v>86.553190022132554</v>
      </c>
      <c r="CZ593" s="14">
        <f t="shared" si="616"/>
        <v>87.714514954635575</v>
      </c>
      <c r="DA593" s="14">
        <f t="shared" si="616"/>
        <v>88.676583190246049</v>
      </c>
      <c r="DC593" s="12">
        <f t="shared" ref="DC593:DC607" si="617">SUM(V593:AG593)</f>
        <v>0</v>
      </c>
      <c r="DD593" s="12">
        <f t="shared" ref="DD593:DD607" si="618">SUM(AH593:AS593)</f>
        <v>0</v>
      </c>
      <c r="DE593" s="12">
        <f t="shared" ref="DE593:DE607" si="619">SUM(AT593:BE593)</f>
        <v>38.565122917573461</v>
      </c>
      <c r="DF593" s="12">
        <f t="shared" ref="DF593:DF607" si="620">SUM(BF593:BQ593)</f>
        <v>178.19288935959779</v>
      </c>
      <c r="DG593" s="12">
        <f t="shared" ref="DG593:DG607" si="621">SUM(BR593:CC593)</f>
        <v>469.35871030306697</v>
      </c>
      <c r="DH593" s="12">
        <f t="shared" ref="DH593:DH607" si="622">SUM(CD593:CO593)</f>
        <v>685.62764206189945</v>
      </c>
      <c r="DI593" s="12">
        <f t="shared" si="615"/>
        <v>956.66801986807764</v>
      </c>
    </row>
    <row r="594" spans="5:113" outlineLevel="1">
      <c r="E594" s="698" t="s">
        <v>99</v>
      </c>
      <c r="F594" s="12"/>
      <c r="I594" s="609" t="s">
        <v>736</v>
      </c>
      <c r="V594" s="698"/>
      <c r="AA594" s="698"/>
      <c r="AH594" s="12"/>
      <c r="AI594" s="12"/>
      <c r="AJ594" s="12"/>
      <c r="AK594" s="12"/>
      <c r="AL594" s="12"/>
      <c r="AM594" s="12"/>
      <c r="AN594" s="12"/>
      <c r="AO594" s="14"/>
      <c r="AP594" s="14"/>
      <c r="AQ594" s="14"/>
      <c r="AR594" s="14"/>
      <c r="AS594" s="14"/>
      <c r="AT594" s="708">
        <f t="shared" ref="AT594:DA594" si="623">AT598</f>
        <v>-1.1111111111111112E-2</v>
      </c>
      <c r="AU594" s="708">
        <f t="shared" si="623"/>
        <v>-2.1990740740740738E-2</v>
      </c>
      <c r="AV594" s="708">
        <f t="shared" si="623"/>
        <v>-4.8842592592592597E-2</v>
      </c>
      <c r="AW594" s="708">
        <f t="shared" si="623"/>
        <v>-8.564814814814814E-2</v>
      </c>
      <c r="AX594" s="708">
        <f t="shared" si="623"/>
        <v>-0.13194444444444445</v>
      </c>
      <c r="AY594" s="708">
        <f t="shared" si="623"/>
        <v>-0.18726851851851853</v>
      </c>
      <c r="AZ594" s="708">
        <f t="shared" si="623"/>
        <v>-0.25115740740740738</v>
      </c>
      <c r="BA594" s="708">
        <f t="shared" si="623"/>
        <v>-0.32314814814814813</v>
      </c>
      <c r="BB594" s="708">
        <f t="shared" si="623"/>
        <v>-0.40265568959177772</v>
      </c>
      <c r="BC594" s="708">
        <f t="shared" si="623"/>
        <v>-0.48898286293852328</v>
      </c>
      <c r="BD594" s="708">
        <f t="shared" si="623"/>
        <v>-0.58146763628432396</v>
      </c>
      <c r="BE594" s="708">
        <f t="shared" si="623"/>
        <v>-0.6795619112357153</v>
      </c>
      <c r="BF594" s="14">
        <f t="shared" si="623"/>
        <v>-0.78589376256884735</v>
      </c>
      <c r="BG594" s="14">
        <f t="shared" si="623"/>
        <v>-0.90294757674316672</v>
      </c>
      <c r="BH594" s="14">
        <f t="shared" si="623"/>
        <v>-1.0299604766981003</v>
      </c>
      <c r="BI594" s="14">
        <f t="shared" si="623"/>
        <v>-1.1661445254667271</v>
      </c>
      <c r="BJ594" s="14">
        <f t="shared" si="623"/>
        <v>-1.3106474122549201</v>
      </c>
      <c r="BK594" s="14">
        <f t="shared" si="623"/>
        <v>-1.4625722977033686</v>
      </c>
      <c r="BL594" s="14">
        <f t="shared" si="623"/>
        <v>-1.6210749545758041</v>
      </c>
      <c r="BM594" s="14">
        <f t="shared" si="623"/>
        <v>-1.7853583583673205</v>
      </c>
      <c r="BN594" s="14">
        <f t="shared" si="623"/>
        <v>-1.9545865727831642</v>
      </c>
      <c r="BO594" s="14">
        <f t="shared" si="623"/>
        <v>-2.1278868007373162</v>
      </c>
      <c r="BP594" s="14">
        <f t="shared" si="623"/>
        <v>-2.3044006974025844</v>
      </c>
      <c r="BQ594" s="14">
        <f t="shared" si="623"/>
        <v>-2.578935317551339</v>
      </c>
      <c r="BR594" s="14">
        <f t="shared" si="623"/>
        <v>-2.9435325248055317</v>
      </c>
      <c r="BS594" s="14">
        <f t="shared" si="623"/>
        <v>-3.2949566102382426</v>
      </c>
      <c r="BT594" s="14">
        <f t="shared" si="623"/>
        <v>-3.6331239669101616</v>
      </c>
      <c r="BU594" s="14">
        <f t="shared" si="623"/>
        <v>-3.9579627765622987</v>
      </c>
      <c r="BV594" s="14">
        <f t="shared" si="623"/>
        <v>-4.2694128346844575</v>
      </c>
      <c r="BW594" s="14">
        <f t="shared" si="623"/>
        <v>-4.5674253830705531</v>
      </c>
      <c r="BX594" s="14">
        <f t="shared" si="623"/>
        <v>-4.8519629434723113</v>
      </c>
      <c r="BY594" s="14">
        <f t="shared" si="623"/>
        <v>-5.1215391963069443</v>
      </c>
      <c r="BZ594" s="14">
        <f t="shared" si="623"/>
        <v>-5.3748459332333871</v>
      </c>
      <c r="CA594" s="14">
        <f t="shared" si="623"/>
        <v>-5.6121831184190611</v>
      </c>
      <c r="CB594" s="14">
        <f t="shared" si="623"/>
        <v>-5.8338103316903291</v>
      </c>
      <c r="CC594" s="14">
        <f t="shared" si="623"/>
        <v>-6.0399663653784508</v>
      </c>
      <c r="CD594" s="14">
        <f t="shared" si="623"/>
        <v>-6.2364369508227897</v>
      </c>
      <c r="CE594" s="14">
        <f t="shared" si="623"/>
        <v>-6.4289005441363365</v>
      </c>
      <c r="CF594" s="14">
        <f t="shared" si="623"/>
        <v>-6.6173748693340064</v>
      </c>
      <c r="CG594" s="14">
        <f t="shared" si="623"/>
        <v>-6.8018743820168259</v>
      </c>
      <c r="CH594" s="14">
        <f t="shared" si="623"/>
        <v>-6.9824104589627041</v>
      </c>
      <c r="CI594" s="14">
        <f t="shared" si="623"/>
        <v>-7.1589913957354128</v>
      </c>
      <c r="CJ594" s="14">
        <f t="shared" si="623"/>
        <v>-7.3316224370945555</v>
      </c>
      <c r="CK594" s="14">
        <f t="shared" si="623"/>
        <v>-7.5003058166796137</v>
      </c>
      <c r="CL594" s="14">
        <f t="shared" si="623"/>
        <v>-7.6649560041359024</v>
      </c>
      <c r="CM594" s="14">
        <f t="shared" si="623"/>
        <v>-7.8254046763292173</v>
      </c>
      <c r="CN594" s="14">
        <f t="shared" si="623"/>
        <v>-7.9814892688957118</v>
      </c>
      <c r="CO594" s="14">
        <f t="shared" si="623"/>
        <v>-8.1330510019781936</v>
      </c>
      <c r="CP594" s="14">
        <f t="shared" si="623"/>
        <v>-8.4644749860763753</v>
      </c>
      <c r="CQ594" s="14">
        <f t="shared" si="623"/>
        <v>-8.962795791309091</v>
      </c>
      <c r="CR594" s="14">
        <f t="shared" si="623"/>
        <v>-9.4303783945576338</v>
      </c>
      <c r="CS594" s="14">
        <f t="shared" si="623"/>
        <v>-9.8668121983861052</v>
      </c>
      <c r="CT594" s="14">
        <f t="shared" si="623"/>
        <v>-10.271688772316255</v>
      </c>
      <c r="CU594" s="14">
        <f t="shared" si="623"/>
        <v>-10.644601824855497</v>
      </c>
      <c r="CV594" s="14">
        <f t="shared" si="623"/>
        <v>-10.985147173404576</v>
      </c>
      <c r="CW594" s="14">
        <f t="shared" si="623"/>
        <v>-11.292922713826519</v>
      </c>
      <c r="CX594" s="14">
        <f t="shared" si="623"/>
        <v>-11.564711705559448</v>
      </c>
      <c r="CY594" s="14">
        <f t="shared" si="623"/>
        <v>-11.797607645658877</v>
      </c>
      <c r="CZ594" s="14">
        <f t="shared" si="623"/>
        <v>-11.991786792000042</v>
      </c>
      <c r="DA594" s="14">
        <f t="shared" si="623"/>
        <v>-12.147354702330167</v>
      </c>
      <c r="DC594" s="12">
        <f t="shared" si="617"/>
        <v>0</v>
      </c>
      <c r="DD594" s="12">
        <f t="shared" si="618"/>
        <v>0</v>
      </c>
      <c r="DE594" s="12">
        <f t="shared" si="619"/>
        <v>-3.2137792111614516</v>
      </c>
      <c r="DF594" s="12">
        <f t="shared" si="620"/>
        <v>-19.030408752852658</v>
      </c>
      <c r="DG594" s="12">
        <f t="shared" si="621"/>
        <v>-55.500721984771729</v>
      </c>
      <c r="DH594" s="12">
        <f t="shared" si="622"/>
        <v>-86.662817806121268</v>
      </c>
      <c r="DI594" s="12">
        <f t="shared" si="615"/>
        <v>-127.42028270028057</v>
      </c>
    </row>
    <row r="595" spans="5:113" outlineLevel="1">
      <c r="E595" s="698" t="s">
        <v>217</v>
      </c>
      <c r="F595" s="698"/>
      <c r="G595" s="698"/>
      <c r="I595" s="609" t="s">
        <v>736</v>
      </c>
      <c r="V595" s="698"/>
      <c r="W595" s="698"/>
      <c r="AA595" s="698"/>
      <c r="AH595" s="12"/>
      <c r="AI595" s="12"/>
      <c r="AJ595" s="12"/>
      <c r="AK595" s="12"/>
      <c r="AL595" s="12"/>
      <c r="AM595" s="12"/>
      <c r="AN595" s="12"/>
      <c r="AO595" s="14"/>
      <c r="AP595" s="14"/>
      <c r="AQ595" s="14"/>
      <c r="AR595" s="14"/>
      <c r="AS595" s="14"/>
      <c r="AT595" s="708">
        <f t="shared" ref="AT595:DA595" si="624">AT596+AT599</f>
        <v>0.32277777777777772</v>
      </c>
      <c r="AU595" s="708">
        <f t="shared" si="624"/>
        <v>0.64200164645279079</v>
      </c>
      <c r="AV595" s="708">
        <f t="shared" si="624"/>
        <v>1.0378222108796298</v>
      </c>
      <c r="AW595" s="708">
        <f t="shared" si="624"/>
        <v>1.4771992702838164</v>
      </c>
      <c r="AX595" s="708">
        <f t="shared" si="624"/>
        <v>1.9561835139503676</v>
      </c>
      <c r="AY595" s="708">
        <f t="shared" si="624"/>
        <v>2.4716097630663389</v>
      </c>
      <c r="AZ595" s="708">
        <f t="shared" si="624"/>
        <v>3.0217051575326916</v>
      </c>
      <c r="BA595" s="708">
        <f t="shared" si="624"/>
        <v>3.6042588887513229</v>
      </c>
      <c r="BB595" s="708">
        <f t="shared" si="624"/>
        <v>4.217242852619405</v>
      </c>
      <c r="BC595" s="708">
        <f t="shared" si="624"/>
        <v>4.8591793646855512</v>
      </c>
      <c r="BD595" s="708">
        <f t="shared" si="624"/>
        <v>5.5265921772202997</v>
      </c>
      <c r="BE595" s="708">
        <f t="shared" si="624"/>
        <v>6.2147710831920211</v>
      </c>
      <c r="BF595" s="14">
        <f t="shared" si="624"/>
        <v>7.1319309405827287</v>
      </c>
      <c r="BG595" s="14">
        <f t="shared" si="624"/>
        <v>8.0602418135465648</v>
      </c>
      <c r="BH595" s="14">
        <f t="shared" si="624"/>
        <v>9.0301945543933257</v>
      </c>
      <c r="BI595" s="14">
        <f t="shared" si="624"/>
        <v>10.037484767430309</v>
      </c>
      <c r="BJ595" s="14">
        <f t="shared" si="624"/>
        <v>11.078355058292701</v>
      </c>
      <c r="BK595" s="14">
        <f t="shared" si="624"/>
        <v>12.14887041787728</v>
      </c>
      <c r="BL595" s="14">
        <f t="shared" si="624"/>
        <v>13.244903607395148</v>
      </c>
      <c r="BM595" s="14">
        <f t="shared" si="624"/>
        <v>14.362541226016877</v>
      </c>
      <c r="BN595" s="14">
        <f t="shared" si="624"/>
        <v>15.498350052478983</v>
      </c>
      <c r="BO595" s="14">
        <f t="shared" si="624"/>
        <v>16.648735992746474</v>
      </c>
      <c r="BP595" s="14">
        <f t="shared" si="624"/>
        <v>17.810147367662413</v>
      </c>
      <c r="BQ595" s="14">
        <f t="shared" si="624"/>
        <v>24.110724808322299</v>
      </c>
      <c r="BR595" s="14">
        <f t="shared" si="624"/>
        <v>26.013108112171199</v>
      </c>
      <c r="BS595" s="14">
        <f t="shared" si="624"/>
        <v>27.815163709435069</v>
      </c>
      <c r="BT595" s="14">
        <f t="shared" si="624"/>
        <v>29.530777968520106</v>
      </c>
      <c r="BU595" s="14">
        <f t="shared" si="624"/>
        <v>31.164094619189477</v>
      </c>
      <c r="BV595" s="14">
        <f t="shared" si="624"/>
        <v>32.718563536297466</v>
      </c>
      <c r="BW595" s="14">
        <f t="shared" si="624"/>
        <v>34.196757734009623</v>
      </c>
      <c r="BX595" s="14">
        <f t="shared" si="624"/>
        <v>35.600295859635182</v>
      </c>
      <c r="BY595" s="14">
        <f t="shared" si="624"/>
        <v>36.942915598479246</v>
      </c>
      <c r="BZ595" s="14">
        <f t="shared" si="624"/>
        <v>38.218893942516793</v>
      </c>
      <c r="CA595" s="14">
        <f t="shared" si="624"/>
        <v>39.428827341205576</v>
      </c>
      <c r="CB595" s="14">
        <f t="shared" si="624"/>
        <v>40.573792604863286</v>
      </c>
      <c r="CC595" s="14">
        <f t="shared" si="624"/>
        <v>41.654797291972173</v>
      </c>
      <c r="CD595" s="14">
        <f t="shared" si="624"/>
        <v>42.971869355254469</v>
      </c>
      <c r="CE595" s="14">
        <f t="shared" si="624"/>
        <v>44.280011535188052</v>
      </c>
      <c r="CF595" s="14">
        <f t="shared" si="624"/>
        <v>45.577055767276846</v>
      </c>
      <c r="CG595" s="14">
        <f t="shared" si="624"/>
        <v>46.861571844813326</v>
      </c>
      <c r="CH595" s="14">
        <f t="shared" si="624"/>
        <v>48.132297603329192</v>
      </c>
      <c r="CI595" s="14">
        <f t="shared" si="624"/>
        <v>49.38809852996512</v>
      </c>
      <c r="CJ595" s="14">
        <f t="shared" si="624"/>
        <v>50.627919118027492</v>
      </c>
      <c r="CK595" s="14">
        <f t="shared" si="624"/>
        <v>51.850729560009981</v>
      </c>
      <c r="CL595" s="14">
        <f t="shared" si="624"/>
        <v>53.056239644995912</v>
      </c>
      <c r="CM595" s="14">
        <f t="shared" si="624"/>
        <v>54.243804682126033</v>
      </c>
      <c r="CN595" s="14">
        <f t="shared" si="624"/>
        <v>55.412762815731817</v>
      </c>
      <c r="CO595" s="14">
        <f t="shared" si="624"/>
        <v>56.562463799059977</v>
      </c>
      <c r="CP595" s="14">
        <f t="shared" si="624"/>
        <v>58.531993426964107</v>
      </c>
      <c r="CQ595" s="14">
        <f t="shared" si="624"/>
        <v>61.0770287944461</v>
      </c>
      <c r="CR595" s="14">
        <f t="shared" si="624"/>
        <v>63.40772728025528</v>
      </c>
      <c r="CS595" s="14">
        <f t="shared" si="624"/>
        <v>65.550113685172292</v>
      </c>
      <c r="CT595" s="14">
        <f t="shared" si="624"/>
        <v>67.510482806856871</v>
      </c>
      <c r="CU595" s="14">
        <f t="shared" si="624"/>
        <v>69.293657376279441</v>
      </c>
      <c r="CV595" s="14">
        <f t="shared" si="624"/>
        <v>70.902738529944131</v>
      </c>
      <c r="CW595" s="14">
        <f t="shared" si="624"/>
        <v>72.339000375876239</v>
      </c>
      <c r="CX595" s="14">
        <f t="shared" si="624"/>
        <v>73.627455864977549</v>
      </c>
      <c r="CY595" s="14">
        <f t="shared" si="624"/>
        <v>74.755582376473683</v>
      </c>
      <c r="CZ595" s="14">
        <f t="shared" si="624"/>
        <v>75.722728162635534</v>
      </c>
      <c r="DA595" s="14">
        <f t="shared" si="624"/>
        <v>76.529228487915873</v>
      </c>
      <c r="DC595" s="12">
        <f t="shared" si="617"/>
        <v>0</v>
      </c>
      <c r="DD595" s="14">
        <f t="shared" si="618"/>
        <v>0</v>
      </c>
      <c r="DE595" s="14">
        <f t="shared" si="619"/>
        <v>35.35134370641201</v>
      </c>
      <c r="DF595" s="14">
        <f t="shared" si="620"/>
        <v>159.16248060674508</v>
      </c>
      <c r="DG595" s="14">
        <f t="shared" si="621"/>
        <v>413.85798831829521</v>
      </c>
      <c r="DH595" s="14">
        <f t="shared" si="622"/>
        <v>598.96482425577824</v>
      </c>
      <c r="DI595" s="14">
        <f t="shared" si="615"/>
        <v>829.24773716779714</v>
      </c>
    </row>
    <row r="596" spans="5:113" outlineLevel="1">
      <c r="E596" s="14" t="s">
        <v>218</v>
      </c>
      <c r="G596" s="698"/>
      <c r="I596" s="609" t="s">
        <v>736</v>
      </c>
      <c r="V596" s="698"/>
      <c r="W596" s="698"/>
      <c r="AA596" s="698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702">
        <f t="shared" ref="AT596:DA596" si="625">AT597+AT598</f>
        <v>5.6944444444444436E-2</v>
      </c>
      <c r="AU596" s="702">
        <f t="shared" si="625"/>
        <v>0.11033497978612415</v>
      </c>
      <c r="AV596" s="702">
        <f t="shared" si="625"/>
        <v>0.24032221087962963</v>
      </c>
      <c r="AW596" s="702">
        <f t="shared" si="625"/>
        <v>0.41386593695048313</v>
      </c>
      <c r="AX596" s="702">
        <f t="shared" si="625"/>
        <v>0.627016847283701</v>
      </c>
      <c r="AY596" s="702">
        <f t="shared" si="625"/>
        <v>0.8766097630663392</v>
      </c>
      <c r="AZ596" s="702">
        <f t="shared" si="625"/>
        <v>1.1608718241993585</v>
      </c>
      <c r="BA596" s="702">
        <f t="shared" si="625"/>
        <v>1.4775922220846565</v>
      </c>
      <c r="BB596" s="702">
        <f t="shared" si="625"/>
        <v>1.8247428526194049</v>
      </c>
      <c r="BC596" s="702">
        <f t="shared" si="625"/>
        <v>2.2008095147757847</v>
      </c>
      <c r="BD596" s="702">
        <f t="shared" si="625"/>
        <v>2.6023189430114102</v>
      </c>
      <c r="BE596" s="702">
        <f t="shared" si="625"/>
        <v>3.0245684575530829</v>
      </c>
      <c r="BF596" s="12">
        <f t="shared" si="625"/>
        <v>3.5255458434489992</v>
      </c>
      <c r="BG596" s="12">
        <f t="shared" si="625"/>
        <v>4.0376590282835991</v>
      </c>
      <c r="BH596" s="12">
        <f t="shared" si="625"/>
        <v>4.5914107804033675</v>
      </c>
      <c r="BI596" s="12">
        <f t="shared" si="625"/>
        <v>5.1824918679127308</v>
      </c>
      <c r="BJ596" s="12">
        <f t="shared" si="625"/>
        <v>5.8071422372317603</v>
      </c>
      <c r="BK596" s="12">
        <f t="shared" si="625"/>
        <v>6.4614102842606327</v>
      </c>
      <c r="BL596" s="12">
        <f t="shared" si="625"/>
        <v>7.1411720467131987</v>
      </c>
      <c r="BM596" s="12">
        <f t="shared" si="625"/>
        <v>7.8425265835432878</v>
      </c>
      <c r="BN596" s="12">
        <f t="shared" si="625"/>
        <v>8.562042332041111</v>
      </c>
      <c r="BO596" s="12">
        <f t="shared" si="625"/>
        <v>9.2961119011016322</v>
      </c>
      <c r="BP596" s="12">
        <f t="shared" si="625"/>
        <v>10.041185883575297</v>
      </c>
      <c r="BQ596" s="12">
        <f t="shared" si="625"/>
        <v>11.348450439481706</v>
      </c>
      <c r="BR596" s="12">
        <f t="shared" si="625"/>
        <v>12.984713938072197</v>
      </c>
      <c r="BS596" s="12">
        <f t="shared" si="625"/>
        <v>14.52063452416583</v>
      </c>
      <c r="BT596" s="12">
        <f t="shared" si="625"/>
        <v>15.970100380350967</v>
      </c>
      <c r="BU596" s="12">
        <f t="shared" si="625"/>
        <v>17.337257013014554</v>
      </c>
      <c r="BV596" s="12">
        <f t="shared" si="625"/>
        <v>18.625556046381377</v>
      </c>
      <c r="BW596" s="12">
        <f t="shared" si="625"/>
        <v>19.837572218918755</v>
      </c>
      <c r="BX596" s="12">
        <f t="shared" si="625"/>
        <v>20.974925877223704</v>
      </c>
      <c r="BY596" s="12">
        <f t="shared" si="625"/>
        <v>22.051356381148935</v>
      </c>
      <c r="BZ596" s="12">
        <f t="shared" si="625"/>
        <v>23.060705699678653</v>
      </c>
      <c r="CA596" s="12">
        <f t="shared" si="625"/>
        <v>24.00405857833379</v>
      </c>
      <c r="CB596" s="12">
        <f t="shared" si="625"/>
        <v>24.882484535766153</v>
      </c>
      <c r="CC596" s="12">
        <f t="shared" si="625"/>
        <v>25.696986343167449</v>
      </c>
      <c r="CD596" s="12">
        <f t="shared" si="625"/>
        <v>26.481757189677335</v>
      </c>
      <c r="CE596" s="12">
        <f t="shared" si="625"/>
        <v>27.257632002146938</v>
      </c>
      <c r="CF596" s="12">
        <f t="shared" si="625"/>
        <v>28.022441879677068</v>
      </c>
      <c r="CG596" s="12">
        <f t="shared" si="625"/>
        <v>28.77475609631643</v>
      </c>
      <c r="CH596" s="12">
        <f t="shared" si="625"/>
        <v>29.513312029257911</v>
      </c>
      <c r="CI596" s="12">
        <f t="shared" si="625"/>
        <v>30.236974703105012</v>
      </c>
      <c r="CJ596" s="12">
        <f t="shared" si="625"/>
        <v>30.944688152110128</v>
      </c>
      <c r="CK596" s="12">
        <f t="shared" si="625"/>
        <v>31.63542211532539</v>
      </c>
      <c r="CL596" s="12">
        <f t="shared" si="625"/>
        <v>32.308885934649638</v>
      </c>
      <c r="CM596" s="12">
        <f t="shared" si="625"/>
        <v>32.964409116197459</v>
      </c>
      <c r="CN596" s="12">
        <f t="shared" si="625"/>
        <v>33.601330844006142</v>
      </c>
      <c r="CO596" s="12">
        <f t="shared" si="625"/>
        <v>34.219001554064796</v>
      </c>
      <c r="CP596" s="12">
        <f t="shared" si="625"/>
        <v>35.922340823763875</v>
      </c>
      <c r="CQ596" s="12">
        <f t="shared" si="625"/>
        <v>38.201192811290106</v>
      </c>
      <c r="CR596" s="12">
        <f t="shared" si="625"/>
        <v>40.265715252367492</v>
      </c>
      <c r="CS596" s="12">
        <f t="shared" si="625"/>
        <v>42.141933280802817</v>
      </c>
      <c r="CT596" s="12">
        <f t="shared" si="625"/>
        <v>43.836142020284768</v>
      </c>
      <c r="CU596" s="12">
        <f t="shared" si="625"/>
        <v>45.353164523891841</v>
      </c>
      <c r="CV596" s="12">
        <f t="shared" si="625"/>
        <v>46.696102245790684</v>
      </c>
      <c r="CW596" s="12">
        <f t="shared" si="625"/>
        <v>47.86622960711405</v>
      </c>
      <c r="CX596" s="12">
        <f t="shared" si="625"/>
        <v>48.888559867324382</v>
      </c>
      <c r="CY596" s="12">
        <f t="shared" si="625"/>
        <v>49.749728239331965</v>
      </c>
      <c r="CZ596" s="12">
        <f t="shared" si="625"/>
        <v>50.450017933794349</v>
      </c>
      <c r="DA596" s="12">
        <f t="shared" si="625"/>
        <v>50.989751310538836</v>
      </c>
      <c r="DC596" s="12">
        <f t="shared" si="617"/>
        <v>0</v>
      </c>
      <c r="DD596" s="14">
        <f t="shared" si="618"/>
        <v>0</v>
      </c>
      <c r="DE596" s="14">
        <f t="shared" si="619"/>
        <v>14.615997996654418</v>
      </c>
      <c r="DF596" s="14">
        <f t="shared" si="620"/>
        <v>83.83714922799733</v>
      </c>
      <c r="DG596" s="14">
        <f t="shared" si="621"/>
        <v>239.94635153622238</v>
      </c>
      <c r="DH596" s="14">
        <f t="shared" si="622"/>
        <v>365.96061161653427</v>
      </c>
      <c r="DI596" s="14">
        <f t="shared" si="615"/>
        <v>540.36087791629518</v>
      </c>
    </row>
    <row r="597" spans="5:113" outlineLevel="1">
      <c r="F597" s="126" t="s">
        <v>737</v>
      </c>
      <c r="I597" s="609" t="s">
        <v>736</v>
      </c>
      <c r="AA597" s="698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702">
        <f t="shared" ref="AT597:DA598" si="626">AT639+AT678</f>
        <v>6.805555555555555E-2</v>
      </c>
      <c r="AU597" s="702">
        <f t="shared" si="626"/>
        <v>0.13232572052686489</v>
      </c>
      <c r="AV597" s="702">
        <f t="shared" si="626"/>
        <v>0.28916480347222223</v>
      </c>
      <c r="AW597" s="702">
        <f t="shared" si="626"/>
        <v>0.49951408509863127</v>
      </c>
      <c r="AX597" s="702">
        <f t="shared" si="626"/>
        <v>0.75896129172814542</v>
      </c>
      <c r="AY597" s="702">
        <f t="shared" si="626"/>
        <v>1.0638782815848578</v>
      </c>
      <c r="AZ597" s="702">
        <f t="shared" si="626"/>
        <v>1.412029231606766</v>
      </c>
      <c r="BA597" s="702">
        <f t="shared" si="626"/>
        <v>1.8007403702328046</v>
      </c>
      <c r="BB597" s="702">
        <f t="shared" si="626"/>
        <v>2.2273985422111826</v>
      </c>
      <c r="BC597" s="702">
        <f t="shared" si="626"/>
        <v>2.689792377714308</v>
      </c>
      <c r="BD597" s="702">
        <f t="shared" si="626"/>
        <v>3.1837865792957341</v>
      </c>
      <c r="BE597" s="702">
        <f t="shared" si="626"/>
        <v>3.7041303687887983</v>
      </c>
      <c r="BF597" s="12">
        <f t="shared" si="626"/>
        <v>4.3114396060178466</v>
      </c>
      <c r="BG597" s="12">
        <f t="shared" si="626"/>
        <v>4.9406066050267663</v>
      </c>
      <c r="BH597" s="12">
        <f t="shared" si="626"/>
        <v>5.621371257101468</v>
      </c>
      <c r="BI597" s="12">
        <f t="shared" si="626"/>
        <v>6.3486363933794578</v>
      </c>
      <c r="BJ597" s="12">
        <f t="shared" si="626"/>
        <v>7.1177896494866806</v>
      </c>
      <c r="BK597" s="12">
        <f t="shared" si="626"/>
        <v>7.9239825819640011</v>
      </c>
      <c r="BL597" s="12">
        <f t="shared" si="626"/>
        <v>8.762247001289003</v>
      </c>
      <c r="BM597" s="12">
        <f t="shared" si="626"/>
        <v>9.6278849419106081</v>
      </c>
      <c r="BN597" s="12">
        <f t="shared" si="626"/>
        <v>10.516628904824275</v>
      </c>
      <c r="BO597" s="12">
        <f t="shared" si="626"/>
        <v>11.423998701838949</v>
      </c>
      <c r="BP597" s="12">
        <f t="shared" si="626"/>
        <v>12.345586580977882</v>
      </c>
      <c r="BQ597" s="12">
        <f t="shared" si="626"/>
        <v>13.927385757033045</v>
      </c>
      <c r="BR597" s="12">
        <f t="shared" si="626"/>
        <v>15.928246462877729</v>
      </c>
      <c r="BS597" s="12">
        <f t="shared" si="626"/>
        <v>17.815591134404073</v>
      </c>
      <c r="BT597" s="12">
        <f t="shared" si="626"/>
        <v>19.603224347261129</v>
      </c>
      <c r="BU597" s="12">
        <f t="shared" si="626"/>
        <v>21.295219789576851</v>
      </c>
      <c r="BV597" s="12">
        <f t="shared" si="626"/>
        <v>22.894968881065836</v>
      </c>
      <c r="BW597" s="12">
        <f t="shared" si="626"/>
        <v>24.404997601989308</v>
      </c>
      <c r="BX597" s="12">
        <f t="shared" si="626"/>
        <v>25.826888820696016</v>
      </c>
      <c r="BY597" s="12">
        <f t="shared" si="626"/>
        <v>27.172895577455879</v>
      </c>
      <c r="BZ597" s="12">
        <f t="shared" si="626"/>
        <v>28.435551632912041</v>
      </c>
      <c r="CA597" s="12">
        <f t="shared" si="626"/>
        <v>29.616241696752851</v>
      </c>
      <c r="CB597" s="12">
        <f t="shared" si="626"/>
        <v>30.716294867456483</v>
      </c>
      <c r="CC597" s="12">
        <f t="shared" si="626"/>
        <v>31.7369527085459</v>
      </c>
      <c r="CD597" s="12">
        <f t="shared" si="626"/>
        <v>32.718194140500124</v>
      </c>
      <c r="CE597" s="12">
        <f t="shared" si="626"/>
        <v>33.686532546283274</v>
      </c>
      <c r="CF597" s="12">
        <f t="shared" si="626"/>
        <v>34.639816749011075</v>
      </c>
      <c r="CG597" s="12">
        <f t="shared" si="626"/>
        <v>35.576630478333257</v>
      </c>
      <c r="CH597" s="12">
        <f t="shared" si="626"/>
        <v>36.495722488220615</v>
      </c>
      <c r="CI597" s="12">
        <f t="shared" si="626"/>
        <v>37.395966098840425</v>
      </c>
      <c r="CJ597" s="12">
        <f t="shared" si="626"/>
        <v>38.276310589204684</v>
      </c>
      <c r="CK597" s="12">
        <f t="shared" si="626"/>
        <v>39.135727932005004</v>
      </c>
      <c r="CL597" s="12">
        <f t="shared" si="626"/>
        <v>39.97384193878554</v>
      </c>
      <c r="CM597" s="12">
        <f t="shared" si="626"/>
        <v>40.789813792526679</v>
      </c>
      <c r="CN597" s="12">
        <f t="shared" si="626"/>
        <v>41.582820112901857</v>
      </c>
      <c r="CO597" s="12">
        <f t="shared" si="626"/>
        <v>42.352052556042992</v>
      </c>
      <c r="CP597" s="12">
        <f t="shared" si="626"/>
        <v>44.38681580984025</v>
      </c>
      <c r="CQ597" s="12">
        <f t="shared" si="626"/>
        <v>47.163988602599197</v>
      </c>
      <c r="CR597" s="12">
        <f t="shared" si="626"/>
        <v>49.696093646925128</v>
      </c>
      <c r="CS597" s="12">
        <f t="shared" si="626"/>
        <v>52.008745479188924</v>
      </c>
      <c r="CT597" s="12">
        <f t="shared" si="626"/>
        <v>54.107830792601021</v>
      </c>
      <c r="CU597" s="12">
        <f t="shared" si="626"/>
        <v>55.997766348747341</v>
      </c>
      <c r="CV597" s="12">
        <f t="shared" si="626"/>
        <v>57.681249419195261</v>
      </c>
      <c r="CW597" s="12">
        <f t="shared" si="626"/>
        <v>59.159152320940571</v>
      </c>
      <c r="CX597" s="12">
        <f t="shared" si="626"/>
        <v>60.453271572883828</v>
      </c>
      <c r="CY597" s="12">
        <f t="shared" si="626"/>
        <v>61.547335884990844</v>
      </c>
      <c r="CZ597" s="12">
        <f t="shared" si="626"/>
        <v>62.441804725794391</v>
      </c>
      <c r="DA597" s="12">
        <f t="shared" si="626"/>
        <v>63.137106012869005</v>
      </c>
      <c r="DC597" s="12">
        <f t="shared" si="617"/>
        <v>0</v>
      </c>
      <c r="DD597" s="12">
        <f t="shared" si="618"/>
        <v>0</v>
      </c>
      <c r="DE597" s="12">
        <f t="shared" si="619"/>
        <v>17.829777207815873</v>
      </c>
      <c r="DF597" s="12">
        <f t="shared" si="620"/>
        <v>102.86755798084999</v>
      </c>
      <c r="DG597" s="12">
        <f t="shared" si="621"/>
        <v>295.44707352099414</v>
      </c>
      <c r="DH597" s="12">
        <f t="shared" si="622"/>
        <v>452.62342942265548</v>
      </c>
      <c r="DI597" s="12">
        <f t="shared" si="615"/>
        <v>667.78116061657579</v>
      </c>
    </row>
    <row r="598" spans="5:113" outlineLevel="1">
      <c r="F598" s="126" t="s">
        <v>798</v>
      </c>
      <c r="I598" s="609" t="s">
        <v>736</v>
      </c>
      <c r="AA598" s="698"/>
      <c r="AB598" s="698"/>
      <c r="AC598" s="698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702">
        <f t="shared" si="626"/>
        <v>-1.1111111111111112E-2</v>
      </c>
      <c r="AU598" s="702">
        <f t="shared" si="626"/>
        <v>-2.1990740740740738E-2</v>
      </c>
      <c r="AV598" s="702">
        <f t="shared" si="626"/>
        <v>-4.8842592592592597E-2</v>
      </c>
      <c r="AW598" s="702">
        <f t="shared" si="626"/>
        <v>-8.564814814814814E-2</v>
      </c>
      <c r="AX598" s="702">
        <f t="shared" si="626"/>
        <v>-0.13194444444444445</v>
      </c>
      <c r="AY598" s="702">
        <f t="shared" si="626"/>
        <v>-0.18726851851851853</v>
      </c>
      <c r="AZ598" s="702">
        <f t="shared" si="626"/>
        <v>-0.25115740740740738</v>
      </c>
      <c r="BA598" s="702">
        <f t="shared" si="626"/>
        <v>-0.32314814814814813</v>
      </c>
      <c r="BB598" s="702">
        <f t="shared" si="626"/>
        <v>-0.40265568959177772</v>
      </c>
      <c r="BC598" s="702">
        <f t="shared" si="626"/>
        <v>-0.48898286293852328</v>
      </c>
      <c r="BD598" s="702">
        <f t="shared" si="626"/>
        <v>-0.58146763628432396</v>
      </c>
      <c r="BE598" s="702">
        <f t="shared" si="626"/>
        <v>-0.6795619112357153</v>
      </c>
      <c r="BF598" s="12">
        <f t="shared" si="626"/>
        <v>-0.78589376256884735</v>
      </c>
      <c r="BG598" s="12">
        <f t="shared" si="626"/>
        <v>-0.90294757674316672</v>
      </c>
      <c r="BH598" s="12">
        <f t="shared" si="626"/>
        <v>-1.0299604766981003</v>
      </c>
      <c r="BI598" s="12">
        <f t="shared" si="626"/>
        <v>-1.1661445254667271</v>
      </c>
      <c r="BJ598" s="12">
        <f t="shared" si="626"/>
        <v>-1.3106474122549201</v>
      </c>
      <c r="BK598" s="12">
        <f t="shared" si="626"/>
        <v>-1.4625722977033686</v>
      </c>
      <c r="BL598" s="12">
        <f t="shared" si="626"/>
        <v>-1.6210749545758041</v>
      </c>
      <c r="BM598" s="12">
        <f t="shared" si="626"/>
        <v>-1.7853583583673205</v>
      </c>
      <c r="BN598" s="12">
        <f t="shared" si="626"/>
        <v>-1.9545865727831642</v>
      </c>
      <c r="BO598" s="12">
        <f t="shared" si="626"/>
        <v>-2.1278868007373162</v>
      </c>
      <c r="BP598" s="12">
        <f t="shared" si="626"/>
        <v>-2.3044006974025844</v>
      </c>
      <c r="BQ598" s="12">
        <f t="shared" si="626"/>
        <v>-2.578935317551339</v>
      </c>
      <c r="BR598" s="12">
        <f t="shared" si="626"/>
        <v>-2.9435325248055317</v>
      </c>
      <c r="BS598" s="12">
        <f t="shared" si="626"/>
        <v>-3.2949566102382426</v>
      </c>
      <c r="BT598" s="12">
        <f t="shared" si="626"/>
        <v>-3.6331239669101616</v>
      </c>
      <c r="BU598" s="12">
        <f t="shared" si="626"/>
        <v>-3.9579627765622987</v>
      </c>
      <c r="BV598" s="12">
        <f t="shared" si="626"/>
        <v>-4.2694128346844575</v>
      </c>
      <c r="BW598" s="12">
        <f t="shared" si="626"/>
        <v>-4.5674253830705531</v>
      </c>
      <c r="BX598" s="12">
        <f t="shared" si="626"/>
        <v>-4.8519629434723113</v>
      </c>
      <c r="BY598" s="12">
        <f t="shared" si="626"/>
        <v>-5.1215391963069443</v>
      </c>
      <c r="BZ598" s="12">
        <f t="shared" si="626"/>
        <v>-5.3748459332333871</v>
      </c>
      <c r="CA598" s="12">
        <f t="shared" si="626"/>
        <v>-5.6121831184190611</v>
      </c>
      <c r="CB598" s="12">
        <f t="shared" si="626"/>
        <v>-5.8338103316903291</v>
      </c>
      <c r="CC598" s="12">
        <f t="shared" si="626"/>
        <v>-6.0399663653784508</v>
      </c>
      <c r="CD598" s="12">
        <f t="shared" si="626"/>
        <v>-6.2364369508227897</v>
      </c>
      <c r="CE598" s="12">
        <f t="shared" si="626"/>
        <v>-6.4289005441363365</v>
      </c>
      <c r="CF598" s="12">
        <f t="shared" si="626"/>
        <v>-6.6173748693340064</v>
      </c>
      <c r="CG598" s="12">
        <f t="shared" si="626"/>
        <v>-6.8018743820168259</v>
      </c>
      <c r="CH598" s="12">
        <f t="shared" si="626"/>
        <v>-6.9824104589627041</v>
      </c>
      <c r="CI598" s="12">
        <f t="shared" si="626"/>
        <v>-7.1589913957354128</v>
      </c>
      <c r="CJ598" s="12">
        <f t="shared" si="626"/>
        <v>-7.3316224370945555</v>
      </c>
      <c r="CK598" s="12">
        <f t="shared" si="626"/>
        <v>-7.5003058166796137</v>
      </c>
      <c r="CL598" s="12">
        <f t="shared" si="626"/>
        <v>-7.6649560041359024</v>
      </c>
      <c r="CM598" s="12">
        <f t="shared" si="626"/>
        <v>-7.8254046763292173</v>
      </c>
      <c r="CN598" s="12">
        <f t="shared" si="626"/>
        <v>-7.9814892688957118</v>
      </c>
      <c r="CO598" s="12">
        <f t="shared" si="626"/>
        <v>-8.1330510019781936</v>
      </c>
      <c r="CP598" s="12">
        <f t="shared" si="626"/>
        <v>-8.4644749860763753</v>
      </c>
      <c r="CQ598" s="12">
        <f t="shared" si="626"/>
        <v>-8.962795791309091</v>
      </c>
      <c r="CR598" s="12">
        <f t="shared" si="626"/>
        <v>-9.4303783945576338</v>
      </c>
      <c r="CS598" s="12">
        <f t="shared" si="626"/>
        <v>-9.8668121983861052</v>
      </c>
      <c r="CT598" s="12">
        <f t="shared" si="626"/>
        <v>-10.271688772316255</v>
      </c>
      <c r="CU598" s="12">
        <f t="shared" si="626"/>
        <v>-10.644601824855497</v>
      </c>
      <c r="CV598" s="12">
        <f t="shared" si="626"/>
        <v>-10.985147173404576</v>
      </c>
      <c r="CW598" s="12">
        <f t="shared" si="626"/>
        <v>-11.292922713826519</v>
      </c>
      <c r="CX598" s="12">
        <f t="shared" si="626"/>
        <v>-11.564711705559448</v>
      </c>
      <c r="CY598" s="12">
        <f t="shared" si="626"/>
        <v>-11.797607645658877</v>
      </c>
      <c r="CZ598" s="12">
        <f t="shared" si="626"/>
        <v>-11.991786792000042</v>
      </c>
      <c r="DA598" s="12">
        <f t="shared" si="626"/>
        <v>-12.147354702330167</v>
      </c>
      <c r="DC598" s="14">
        <f t="shared" si="617"/>
        <v>0</v>
      </c>
      <c r="DD598" s="12">
        <f t="shared" si="618"/>
        <v>0</v>
      </c>
      <c r="DE598" s="12">
        <f t="shared" si="619"/>
        <v>-3.2137792111614516</v>
      </c>
      <c r="DF598" s="12">
        <f t="shared" si="620"/>
        <v>-19.030408752852658</v>
      </c>
      <c r="DG598" s="12">
        <f t="shared" si="621"/>
        <v>-55.500721984771729</v>
      </c>
      <c r="DH598" s="12">
        <f t="shared" si="622"/>
        <v>-86.662817806121268</v>
      </c>
      <c r="DI598" s="12">
        <f t="shared" si="615"/>
        <v>-127.42028270028057</v>
      </c>
    </row>
    <row r="599" spans="5:113" outlineLevel="1">
      <c r="E599" s="698" t="s">
        <v>830</v>
      </c>
      <c r="G599" s="698"/>
      <c r="I599" s="609" t="s">
        <v>736</v>
      </c>
      <c r="V599" s="698"/>
      <c r="W599" s="698"/>
      <c r="AA599" s="698"/>
      <c r="AB599" s="698"/>
      <c r="AC599" s="698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4"/>
      <c r="AS599" s="14"/>
      <c r="AT599" s="708">
        <f t="shared" ref="AT599:DA603" si="627">+AT641+AT680</f>
        <v>0.26583333333333331</v>
      </c>
      <c r="AU599" s="708">
        <f t="shared" si="627"/>
        <v>0.53166666666666662</v>
      </c>
      <c r="AV599" s="708">
        <f t="shared" si="627"/>
        <v>0.7975000000000001</v>
      </c>
      <c r="AW599" s="708">
        <f t="shared" si="627"/>
        <v>1.0633333333333332</v>
      </c>
      <c r="AX599" s="708">
        <f t="shared" si="627"/>
        <v>1.3291666666666666</v>
      </c>
      <c r="AY599" s="708">
        <f t="shared" si="627"/>
        <v>1.5949999999999998</v>
      </c>
      <c r="AZ599" s="708">
        <f t="shared" si="627"/>
        <v>1.8608333333333333</v>
      </c>
      <c r="BA599" s="708">
        <f t="shared" si="627"/>
        <v>2.1266666666666665</v>
      </c>
      <c r="BB599" s="708">
        <f t="shared" si="627"/>
        <v>2.3925000000000001</v>
      </c>
      <c r="BC599" s="708">
        <f t="shared" si="627"/>
        <v>2.6583698499097665</v>
      </c>
      <c r="BD599" s="708">
        <f t="shared" si="627"/>
        <v>2.9242732342088895</v>
      </c>
      <c r="BE599" s="708">
        <f t="shared" si="627"/>
        <v>3.1902026256389378</v>
      </c>
      <c r="BF599" s="14">
        <f t="shared" si="627"/>
        <v>3.606385097133729</v>
      </c>
      <c r="BG599" s="14">
        <f t="shared" si="627"/>
        <v>4.0225827852629656</v>
      </c>
      <c r="BH599" s="14">
        <f t="shared" si="627"/>
        <v>4.4387837739899592</v>
      </c>
      <c r="BI599" s="14">
        <f t="shared" si="627"/>
        <v>4.854992899517578</v>
      </c>
      <c r="BJ599" s="14">
        <f t="shared" si="627"/>
        <v>5.2712128210609412</v>
      </c>
      <c r="BK599" s="14">
        <f t="shared" si="627"/>
        <v>5.6874601336166482</v>
      </c>
      <c r="BL599" s="14">
        <f t="shared" si="627"/>
        <v>6.1037315606819496</v>
      </c>
      <c r="BM599" s="14">
        <f t="shared" si="627"/>
        <v>6.5200146424735888</v>
      </c>
      <c r="BN599" s="14">
        <f t="shared" si="627"/>
        <v>6.9363077204378722</v>
      </c>
      <c r="BO599" s="14">
        <f t="shared" si="627"/>
        <v>7.3526240916448398</v>
      </c>
      <c r="BP599" s="14">
        <f t="shared" si="627"/>
        <v>7.7689614840871162</v>
      </c>
      <c r="BQ599" s="14">
        <f t="shared" si="627"/>
        <v>12.762274368840593</v>
      </c>
      <c r="BR599" s="14">
        <f t="shared" si="627"/>
        <v>13.028394174099002</v>
      </c>
      <c r="BS599" s="14">
        <f t="shared" si="627"/>
        <v>13.294529185269241</v>
      </c>
      <c r="BT599" s="14">
        <f t="shared" si="627"/>
        <v>13.560677588169138</v>
      </c>
      <c r="BU599" s="14">
        <f t="shared" si="627"/>
        <v>13.826837606174923</v>
      </c>
      <c r="BV599" s="14">
        <f t="shared" si="627"/>
        <v>14.093007489916086</v>
      </c>
      <c r="BW599" s="14">
        <f t="shared" si="627"/>
        <v>14.359185515090871</v>
      </c>
      <c r="BX599" s="14">
        <f t="shared" si="627"/>
        <v>14.625369982411474</v>
      </c>
      <c r="BY599" s="14">
        <f t="shared" si="627"/>
        <v>14.891559217330315</v>
      </c>
      <c r="BZ599" s="14">
        <f t="shared" si="627"/>
        <v>15.15818824283814</v>
      </c>
      <c r="CA599" s="14">
        <f t="shared" si="627"/>
        <v>15.424768762871789</v>
      </c>
      <c r="CB599" s="14">
        <f t="shared" si="627"/>
        <v>15.691308069097136</v>
      </c>
      <c r="CC599" s="14">
        <f t="shared" si="627"/>
        <v>15.957810948804728</v>
      </c>
      <c r="CD599" s="14">
        <f t="shared" si="627"/>
        <v>16.490112165577131</v>
      </c>
      <c r="CE599" s="14">
        <f t="shared" si="627"/>
        <v>17.022379533041118</v>
      </c>
      <c r="CF599" s="14">
        <f t="shared" si="627"/>
        <v>17.554613887599778</v>
      </c>
      <c r="CG599" s="14">
        <f t="shared" si="627"/>
        <v>18.086815748496893</v>
      </c>
      <c r="CH599" s="14">
        <f t="shared" si="627"/>
        <v>18.618985574071282</v>
      </c>
      <c r="CI599" s="14">
        <f t="shared" si="627"/>
        <v>19.151123826860111</v>
      </c>
      <c r="CJ599" s="14">
        <f t="shared" si="627"/>
        <v>19.683230965917367</v>
      </c>
      <c r="CK599" s="14">
        <f t="shared" si="627"/>
        <v>20.215307444684591</v>
      </c>
      <c r="CL599" s="14">
        <f t="shared" si="627"/>
        <v>20.747353710346271</v>
      </c>
      <c r="CM599" s="14">
        <f t="shared" si="627"/>
        <v>21.279395565928574</v>
      </c>
      <c r="CN599" s="14">
        <f t="shared" si="627"/>
        <v>21.811431971725675</v>
      </c>
      <c r="CO599" s="14">
        <f t="shared" si="627"/>
        <v>22.34346224499518</v>
      </c>
      <c r="CP599" s="14">
        <f t="shared" si="627"/>
        <v>22.609652603200232</v>
      </c>
      <c r="CQ599" s="14">
        <f t="shared" si="627"/>
        <v>22.875835983155994</v>
      </c>
      <c r="CR599" s="14">
        <f t="shared" si="627"/>
        <v>23.142012027887787</v>
      </c>
      <c r="CS599" s="14">
        <f t="shared" si="627"/>
        <v>23.408180404369475</v>
      </c>
      <c r="CT599" s="14">
        <f t="shared" si="627"/>
        <v>23.674340786572103</v>
      </c>
      <c r="CU599" s="14">
        <f t="shared" si="627"/>
        <v>23.940492852387607</v>
      </c>
      <c r="CV599" s="14">
        <f t="shared" si="627"/>
        <v>24.206636284153447</v>
      </c>
      <c r="CW599" s="14">
        <f t="shared" si="627"/>
        <v>24.472770768762185</v>
      </c>
      <c r="CX599" s="14">
        <f t="shared" si="627"/>
        <v>24.73889599765317</v>
      </c>
      <c r="CY599" s="14">
        <f t="shared" si="627"/>
        <v>25.005854137141718</v>
      </c>
      <c r="CZ599" s="14">
        <f t="shared" si="627"/>
        <v>25.272710228841184</v>
      </c>
      <c r="DA599" s="14">
        <f t="shared" si="627"/>
        <v>25.539477177377044</v>
      </c>
      <c r="DC599" s="14">
        <f t="shared" si="617"/>
        <v>0</v>
      </c>
      <c r="DD599" s="14">
        <f t="shared" si="618"/>
        <v>0</v>
      </c>
      <c r="DE599" s="14">
        <f t="shared" si="619"/>
        <v>20.735345709757596</v>
      </c>
      <c r="DF599" s="14">
        <f t="shared" si="620"/>
        <v>75.325331378747791</v>
      </c>
      <c r="DG599" s="14">
        <f t="shared" si="621"/>
        <v>173.91163678207286</v>
      </c>
      <c r="DH599" s="14">
        <f t="shared" si="622"/>
        <v>233.00421263924397</v>
      </c>
      <c r="DI599" s="14">
        <f t="shared" si="615"/>
        <v>288.8868592515019</v>
      </c>
    </row>
    <row r="600" spans="5:113" outlineLevel="1">
      <c r="F600" s="126" t="s">
        <v>540</v>
      </c>
      <c r="I600" s="609" t="s">
        <v>736</v>
      </c>
      <c r="V600" s="698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702">
        <f t="shared" si="627"/>
        <v>9.9166666666666667E-2</v>
      </c>
      <c r="AU600" s="702">
        <f t="shared" si="627"/>
        <v>0.19833333333333333</v>
      </c>
      <c r="AV600" s="702">
        <f t="shared" si="627"/>
        <v>0.29750000000000004</v>
      </c>
      <c r="AW600" s="702">
        <f t="shared" si="627"/>
        <v>0.39666666666666667</v>
      </c>
      <c r="AX600" s="702">
        <f t="shared" si="627"/>
        <v>0.49583333333333324</v>
      </c>
      <c r="AY600" s="702">
        <f t="shared" si="627"/>
        <v>0.59499999999999997</v>
      </c>
      <c r="AZ600" s="702">
        <f t="shared" si="627"/>
        <v>0.6941666666666666</v>
      </c>
      <c r="BA600" s="702">
        <f t="shared" si="627"/>
        <v>0.79333333333333333</v>
      </c>
      <c r="BB600" s="702">
        <f t="shared" si="627"/>
        <v>0.89249999999999996</v>
      </c>
      <c r="BC600" s="702">
        <f t="shared" si="627"/>
        <v>0.99166666666666692</v>
      </c>
      <c r="BD600" s="702">
        <f t="shared" si="627"/>
        <v>1.0908333333333335</v>
      </c>
      <c r="BE600" s="702">
        <f t="shared" si="627"/>
        <v>1.1900000000000002</v>
      </c>
      <c r="BF600" s="12">
        <f t="shared" si="627"/>
        <v>1.3452173913043477</v>
      </c>
      <c r="BG600" s="12">
        <f t="shared" si="627"/>
        <v>1.5004347826086957</v>
      </c>
      <c r="BH600" s="12">
        <f t="shared" si="627"/>
        <v>1.6556521739130432</v>
      </c>
      <c r="BI600" s="12">
        <f t="shared" si="627"/>
        <v>1.810869565217391</v>
      </c>
      <c r="BJ600" s="12">
        <f t="shared" si="627"/>
        <v>1.9660869565217387</v>
      </c>
      <c r="BK600" s="12">
        <f t="shared" si="627"/>
        <v>2.121304347826086</v>
      </c>
      <c r="BL600" s="12">
        <f t="shared" si="627"/>
        <v>2.276521739130434</v>
      </c>
      <c r="BM600" s="12">
        <f t="shared" si="627"/>
        <v>2.431739130434782</v>
      </c>
      <c r="BN600" s="12">
        <f t="shared" si="627"/>
        <v>2.5869565217391299</v>
      </c>
      <c r="BO600" s="12">
        <f t="shared" si="627"/>
        <v>2.7421739130434779</v>
      </c>
      <c r="BP600" s="12">
        <f t="shared" si="627"/>
        <v>2.8973913043478259</v>
      </c>
      <c r="BQ600" s="12">
        <f t="shared" si="627"/>
        <v>4.7600000000000007</v>
      </c>
      <c r="BR600" s="12">
        <f t="shared" si="627"/>
        <v>4.8591666666666669</v>
      </c>
      <c r="BS600" s="12">
        <f t="shared" si="627"/>
        <v>4.9583333333333339</v>
      </c>
      <c r="BT600" s="12">
        <f t="shared" si="627"/>
        <v>5.0574999999999992</v>
      </c>
      <c r="BU600" s="12">
        <f t="shared" si="627"/>
        <v>5.1566666666666654</v>
      </c>
      <c r="BV600" s="12">
        <f t="shared" si="627"/>
        <v>5.2558333333333316</v>
      </c>
      <c r="BW600" s="12">
        <f t="shared" si="627"/>
        <v>5.3549999999999986</v>
      </c>
      <c r="BX600" s="12">
        <f t="shared" si="627"/>
        <v>5.4541666666666648</v>
      </c>
      <c r="BY600" s="12">
        <f t="shared" si="627"/>
        <v>5.553333333333331</v>
      </c>
      <c r="BZ600" s="12">
        <f t="shared" si="627"/>
        <v>5.6524999999999972</v>
      </c>
      <c r="CA600" s="12">
        <f t="shared" si="627"/>
        <v>5.7516666666666643</v>
      </c>
      <c r="CB600" s="12">
        <f t="shared" si="627"/>
        <v>5.8508333333333296</v>
      </c>
      <c r="CC600" s="12">
        <f t="shared" si="627"/>
        <v>5.95</v>
      </c>
      <c r="CD600" s="12">
        <f t="shared" si="627"/>
        <v>6.1483333333333343</v>
      </c>
      <c r="CE600" s="12">
        <f t="shared" si="627"/>
        <v>6.3466666666666676</v>
      </c>
      <c r="CF600" s="12">
        <f t="shared" si="627"/>
        <v>6.5450000000000017</v>
      </c>
      <c r="CG600" s="12">
        <f t="shared" si="627"/>
        <v>6.743333333333335</v>
      </c>
      <c r="CH600" s="12">
        <f t="shared" si="627"/>
        <v>6.9416666666666691</v>
      </c>
      <c r="CI600" s="12">
        <f t="shared" si="627"/>
        <v>7.1400000000000015</v>
      </c>
      <c r="CJ600" s="12">
        <f t="shared" si="627"/>
        <v>7.3383333333333356</v>
      </c>
      <c r="CK600" s="12">
        <f t="shared" si="627"/>
        <v>7.5366666666666697</v>
      </c>
      <c r="CL600" s="12">
        <f t="shared" si="627"/>
        <v>7.7350000000000039</v>
      </c>
      <c r="CM600" s="12">
        <f t="shared" si="627"/>
        <v>7.933333333333338</v>
      </c>
      <c r="CN600" s="12">
        <f t="shared" si="627"/>
        <v>8.131666666666673</v>
      </c>
      <c r="CO600" s="12">
        <f t="shared" si="627"/>
        <v>8.33</v>
      </c>
      <c r="CP600" s="12">
        <f t="shared" si="627"/>
        <v>8.4291666666666654</v>
      </c>
      <c r="CQ600" s="12">
        <f t="shared" si="627"/>
        <v>8.5283333333333324</v>
      </c>
      <c r="CR600" s="12">
        <f t="shared" si="627"/>
        <v>8.6274999999999977</v>
      </c>
      <c r="CS600" s="12">
        <f t="shared" si="627"/>
        <v>8.7266666666666666</v>
      </c>
      <c r="CT600" s="12">
        <f t="shared" si="627"/>
        <v>8.8258333333333319</v>
      </c>
      <c r="CU600" s="12">
        <f t="shared" si="627"/>
        <v>8.9249999999999989</v>
      </c>
      <c r="CV600" s="12">
        <f t="shared" si="627"/>
        <v>9.024166666666666</v>
      </c>
      <c r="CW600" s="12">
        <f t="shared" si="627"/>
        <v>9.1233333333333313</v>
      </c>
      <c r="CX600" s="12">
        <f t="shared" si="627"/>
        <v>9.2224999999999984</v>
      </c>
      <c r="CY600" s="12">
        <f t="shared" si="627"/>
        <v>9.3216666666666637</v>
      </c>
      <c r="CZ600" s="12">
        <f t="shared" si="627"/>
        <v>9.420833333333329</v>
      </c>
      <c r="DA600" s="12">
        <f t="shared" si="627"/>
        <v>9.5200000000000014</v>
      </c>
      <c r="DC600" s="12">
        <f t="shared" si="617"/>
        <v>0</v>
      </c>
      <c r="DD600" s="12">
        <f t="shared" si="618"/>
        <v>0</v>
      </c>
      <c r="DE600" s="12">
        <f t="shared" si="619"/>
        <v>7.7350000000000003</v>
      </c>
      <c r="DF600" s="12">
        <f t="shared" si="620"/>
        <v>28.094347826086949</v>
      </c>
      <c r="DG600" s="12">
        <f t="shared" si="621"/>
        <v>64.854999999999976</v>
      </c>
      <c r="DH600" s="12">
        <f t="shared" si="622"/>
        <v>86.870000000000033</v>
      </c>
      <c r="DI600" s="12">
        <f t="shared" si="615"/>
        <v>107.69499999999996</v>
      </c>
    </row>
    <row r="601" spans="5:113" outlineLevel="1">
      <c r="F601" s="126" t="s">
        <v>799</v>
      </c>
      <c r="I601" s="609" t="s">
        <v>736</v>
      </c>
      <c r="V601" s="698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702">
        <f t="shared" si="627"/>
        <v>0.16666666666666666</v>
      </c>
      <c r="AU601" s="702">
        <f t="shared" si="627"/>
        <v>0.33333333333333331</v>
      </c>
      <c r="AV601" s="702">
        <f t="shared" si="627"/>
        <v>0.5</v>
      </c>
      <c r="AW601" s="702">
        <f t="shared" si="627"/>
        <v>0.66666666666666663</v>
      </c>
      <c r="AX601" s="702">
        <f t="shared" si="627"/>
        <v>0.83333333333333326</v>
      </c>
      <c r="AY601" s="702">
        <f t="shared" si="627"/>
        <v>0.99999999999999989</v>
      </c>
      <c r="AZ601" s="702">
        <f t="shared" si="627"/>
        <v>1.1666666666666667</v>
      </c>
      <c r="BA601" s="702">
        <f t="shared" si="627"/>
        <v>1.3333333333333333</v>
      </c>
      <c r="BB601" s="702">
        <f t="shared" si="627"/>
        <v>1.5</v>
      </c>
      <c r="BC601" s="702">
        <f t="shared" si="627"/>
        <v>1.666666666666667</v>
      </c>
      <c r="BD601" s="702">
        <f t="shared" si="627"/>
        <v>1.8333333333333337</v>
      </c>
      <c r="BE601" s="702">
        <f t="shared" si="627"/>
        <v>2</v>
      </c>
      <c r="BF601" s="12">
        <f t="shared" si="627"/>
        <v>2.2608695652173911</v>
      </c>
      <c r="BG601" s="12">
        <f t="shared" si="627"/>
        <v>2.5217391304347827</v>
      </c>
      <c r="BH601" s="12">
        <f t="shared" si="627"/>
        <v>2.7826086956521734</v>
      </c>
      <c r="BI601" s="12">
        <f t="shared" si="627"/>
        <v>3.0434782608695645</v>
      </c>
      <c r="BJ601" s="12">
        <f t="shared" si="627"/>
        <v>3.3043478260869557</v>
      </c>
      <c r="BK601" s="12">
        <f t="shared" si="627"/>
        <v>3.5652173913043463</v>
      </c>
      <c r="BL601" s="12">
        <f t="shared" si="627"/>
        <v>3.8260869565217379</v>
      </c>
      <c r="BM601" s="12">
        <f t="shared" si="627"/>
        <v>4.086956521739129</v>
      </c>
      <c r="BN601" s="12">
        <f t="shared" si="627"/>
        <v>4.3478260869565215</v>
      </c>
      <c r="BO601" s="12">
        <f t="shared" si="627"/>
        <v>4.6086956521739122</v>
      </c>
      <c r="BP601" s="12">
        <f t="shared" si="627"/>
        <v>4.8695652173913047</v>
      </c>
      <c r="BQ601" s="12">
        <f t="shared" si="627"/>
        <v>8</v>
      </c>
      <c r="BR601" s="12">
        <f t="shared" si="627"/>
        <v>8.1666666666666661</v>
      </c>
      <c r="BS601" s="12">
        <f t="shared" si="627"/>
        <v>8.3333333333333339</v>
      </c>
      <c r="BT601" s="12">
        <f t="shared" si="627"/>
        <v>8.4999999999999982</v>
      </c>
      <c r="BU601" s="12">
        <f t="shared" si="627"/>
        <v>8.6666666666666643</v>
      </c>
      <c r="BV601" s="12">
        <f t="shared" si="627"/>
        <v>8.8333333333333304</v>
      </c>
      <c r="BW601" s="12">
        <f t="shared" si="627"/>
        <v>8.9999999999999982</v>
      </c>
      <c r="BX601" s="12">
        <f t="shared" si="627"/>
        <v>9.1666666666666625</v>
      </c>
      <c r="BY601" s="12">
        <f t="shared" si="627"/>
        <v>9.3333333333333286</v>
      </c>
      <c r="BZ601" s="12">
        <f t="shared" si="627"/>
        <v>9.4999999999999947</v>
      </c>
      <c r="CA601" s="12">
        <f t="shared" si="627"/>
        <v>9.6666666666666625</v>
      </c>
      <c r="CB601" s="12">
        <f t="shared" si="627"/>
        <v>9.8333333333333286</v>
      </c>
      <c r="CC601" s="12">
        <f t="shared" si="627"/>
        <v>10</v>
      </c>
      <c r="CD601" s="12">
        <f t="shared" si="627"/>
        <v>10.333333333333336</v>
      </c>
      <c r="CE601" s="12">
        <f t="shared" si="627"/>
        <v>10.666666666666668</v>
      </c>
      <c r="CF601" s="12">
        <f t="shared" si="627"/>
        <v>11.000000000000002</v>
      </c>
      <c r="CG601" s="12">
        <f t="shared" si="627"/>
        <v>11.333333333333336</v>
      </c>
      <c r="CH601" s="12">
        <f t="shared" si="627"/>
        <v>11.666666666666671</v>
      </c>
      <c r="CI601" s="12">
        <f t="shared" si="627"/>
        <v>12.000000000000004</v>
      </c>
      <c r="CJ601" s="12">
        <f t="shared" si="627"/>
        <v>12.333333333333337</v>
      </c>
      <c r="CK601" s="12">
        <f t="shared" si="627"/>
        <v>12.666666666666671</v>
      </c>
      <c r="CL601" s="12">
        <f t="shared" si="627"/>
        <v>13.000000000000007</v>
      </c>
      <c r="CM601" s="12">
        <f t="shared" si="627"/>
        <v>13.333333333333341</v>
      </c>
      <c r="CN601" s="12">
        <f t="shared" si="627"/>
        <v>13.666666666666675</v>
      </c>
      <c r="CO601" s="12">
        <f t="shared" si="627"/>
        <v>14</v>
      </c>
      <c r="CP601" s="12">
        <f t="shared" si="627"/>
        <v>14.166666666666666</v>
      </c>
      <c r="CQ601" s="12">
        <f t="shared" si="627"/>
        <v>14.333333333333332</v>
      </c>
      <c r="CR601" s="12">
        <f t="shared" si="627"/>
        <v>14.499999999999998</v>
      </c>
      <c r="CS601" s="12">
        <f t="shared" si="627"/>
        <v>14.666666666666666</v>
      </c>
      <c r="CT601" s="12">
        <f t="shared" si="627"/>
        <v>14.833333333333332</v>
      </c>
      <c r="CU601" s="12">
        <f t="shared" si="627"/>
        <v>14.999999999999998</v>
      </c>
      <c r="CV601" s="12">
        <f t="shared" si="627"/>
        <v>15.166666666666664</v>
      </c>
      <c r="CW601" s="12">
        <f t="shared" si="627"/>
        <v>15.333333333333329</v>
      </c>
      <c r="CX601" s="12">
        <f t="shared" si="627"/>
        <v>15.499999999999995</v>
      </c>
      <c r="CY601" s="12">
        <f t="shared" si="627"/>
        <v>15.666666666666661</v>
      </c>
      <c r="CZ601" s="12">
        <f t="shared" si="627"/>
        <v>15.833333333333327</v>
      </c>
      <c r="DA601" s="12">
        <f t="shared" si="627"/>
        <v>16</v>
      </c>
      <c r="DC601" s="12">
        <f t="shared" si="617"/>
        <v>0</v>
      </c>
      <c r="DD601" s="12">
        <f t="shared" si="618"/>
        <v>0</v>
      </c>
      <c r="DE601" s="12">
        <f t="shared" si="619"/>
        <v>13.000000000000002</v>
      </c>
      <c r="DF601" s="12">
        <f t="shared" si="620"/>
        <v>47.217391304347821</v>
      </c>
      <c r="DG601" s="12">
        <f t="shared" si="621"/>
        <v>108.99999999999997</v>
      </c>
      <c r="DH601" s="12">
        <f t="shared" si="622"/>
        <v>146.00000000000006</v>
      </c>
      <c r="DI601" s="12">
        <f t="shared" si="615"/>
        <v>180.99999999999994</v>
      </c>
    </row>
    <row r="602" spans="5:113" outlineLevel="1">
      <c r="F602" s="126" t="s">
        <v>800</v>
      </c>
      <c r="I602" s="609" t="s">
        <v>736</v>
      </c>
      <c r="V602" s="698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702">
        <f t="shared" si="627"/>
        <v>0</v>
      </c>
      <c r="AU602" s="702">
        <f t="shared" si="627"/>
        <v>0</v>
      </c>
      <c r="AV602" s="702">
        <f t="shared" si="627"/>
        <v>0</v>
      </c>
      <c r="AW602" s="702">
        <f t="shared" si="627"/>
        <v>0</v>
      </c>
      <c r="AX602" s="702">
        <f t="shared" si="627"/>
        <v>0</v>
      </c>
      <c r="AY602" s="702">
        <f t="shared" si="627"/>
        <v>0</v>
      </c>
      <c r="AZ602" s="702">
        <f t="shared" si="627"/>
        <v>0</v>
      </c>
      <c r="BA602" s="702">
        <f t="shared" si="627"/>
        <v>0</v>
      </c>
      <c r="BB602" s="702">
        <f t="shared" si="627"/>
        <v>0</v>
      </c>
      <c r="BC602" s="702">
        <f t="shared" si="627"/>
        <v>0</v>
      </c>
      <c r="BD602" s="702">
        <f t="shared" si="627"/>
        <v>0</v>
      </c>
      <c r="BE602" s="702">
        <f t="shared" si="627"/>
        <v>0</v>
      </c>
      <c r="BF602" s="12">
        <f t="shared" si="627"/>
        <v>0</v>
      </c>
      <c r="BG602" s="12">
        <f t="shared" si="627"/>
        <v>0</v>
      </c>
      <c r="BH602" s="12">
        <f t="shared" si="627"/>
        <v>0</v>
      </c>
      <c r="BI602" s="12">
        <f t="shared" si="627"/>
        <v>0</v>
      </c>
      <c r="BJ602" s="12">
        <f t="shared" si="627"/>
        <v>0</v>
      </c>
      <c r="BK602" s="12">
        <f t="shared" si="627"/>
        <v>0</v>
      </c>
      <c r="BL602" s="12">
        <f t="shared" si="627"/>
        <v>0</v>
      </c>
      <c r="BM602" s="12">
        <f t="shared" si="627"/>
        <v>0</v>
      </c>
      <c r="BN602" s="12">
        <f t="shared" si="627"/>
        <v>0</v>
      </c>
      <c r="BO602" s="12">
        <f t="shared" si="627"/>
        <v>0</v>
      </c>
      <c r="BP602" s="12">
        <f t="shared" si="627"/>
        <v>0</v>
      </c>
      <c r="BQ602" s="12">
        <f t="shared" si="627"/>
        <v>0</v>
      </c>
      <c r="BR602" s="12">
        <f t="shared" si="627"/>
        <v>0</v>
      </c>
      <c r="BS602" s="12">
        <f t="shared" si="627"/>
        <v>0</v>
      </c>
      <c r="BT602" s="12">
        <f t="shared" si="627"/>
        <v>0</v>
      </c>
      <c r="BU602" s="12">
        <f t="shared" si="627"/>
        <v>0</v>
      </c>
      <c r="BV602" s="12">
        <f t="shared" si="627"/>
        <v>0</v>
      </c>
      <c r="BW602" s="12">
        <f t="shared" si="627"/>
        <v>0</v>
      </c>
      <c r="BX602" s="12">
        <f t="shared" si="627"/>
        <v>0</v>
      </c>
      <c r="BY602" s="12">
        <f t="shared" si="627"/>
        <v>0</v>
      </c>
      <c r="BZ602" s="12">
        <f t="shared" si="627"/>
        <v>0</v>
      </c>
      <c r="CA602" s="12">
        <f t="shared" si="627"/>
        <v>0</v>
      </c>
      <c r="CB602" s="12">
        <f t="shared" si="627"/>
        <v>0</v>
      </c>
      <c r="CC602" s="12">
        <f t="shared" si="627"/>
        <v>0</v>
      </c>
      <c r="CD602" s="12">
        <f t="shared" si="627"/>
        <v>0</v>
      </c>
      <c r="CE602" s="12">
        <f t="shared" si="627"/>
        <v>0</v>
      </c>
      <c r="CF602" s="12">
        <f t="shared" si="627"/>
        <v>0</v>
      </c>
      <c r="CG602" s="12">
        <f t="shared" si="627"/>
        <v>0</v>
      </c>
      <c r="CH602" s="12">
        <f t="shared" si="627"/>
        <v>0</v>
      </c>
      <c r="CI602" s="12">
        <f t="shared" si="627"/>
        <v>0</v>
      </c>
      <c r="CJ602" s="12">
        <f t="shared" si="627"/>
        <v>0</v>
      </c>
      <c r="CK602" s="12">
        <f t="shared" si="627"/>
        <v>0</v>
      </c>
      <c r="CL602" s="12">
        <f t="shared" si="627"/>
        <v>0</v>
      </c>
      <c r="CM602" s="12">
        <f t="shared" si="627"/>
        <v>0</v>
      </c>
      <c r="CN602" s="12">
        <f t="shared" si="627"/>
        <v>0</v>
      </c>
      <c r="CO602" s="12">
        <f t="shared" si="627"/>
        <v>0</v>
      </c>
      <c r="CP602" s="12">
        <f t="shared" si="627"/>
        <v>0</v>
      </c>
      <c r="CQ602" s="12">
        <f t="shared" si="627"/>
        <v>0</v>
      </c>
      <c r="CR602" s="12">
        <f t="shared" si="627"/>
        <v>0</v>
      </c>
      <c r="CS602" s="12">
        <f t="shared" si="627"/>
        <v>0</v>
      </c>
      <c r="CT602" s="12">
        <f t="shared" si="627"/>
        <v>0</v>
      </c>
      <c r="CU602" s="12">
        <f t="shared" si="627"/>
        <v>0</v>
      </c>
      <c r="CV602" s="12">
        <f t="shared" si="627"/>
        <v>0</v>
      </c>
      <c r="CW602" s="12">
        <f t="shared" si="627"/>
        <v>0</v>
      </c>
      <c r="CX602" s="12">
        <f t="shared" si="627"/>
        <v>0</v>
      </c>
      <c r="CY602" s="12">
        <f t="shared" si="627"/>
        <v>0</v>
      </c>
      <c r="CZ602" s="12">
        <f t="shared" si="627"/>
        <v>0</v>
      </c>
      <c r="DA602" s="12">
        <f t="shared" si="627"/>
        <v>0</v>
      </c>
      <c r="DC602" s="14">
        <f t="shared" si="617"/>
        <v>0</v>
      </c>
      <c r="DD602" s="14">
        <f t="shared" si="618"/>
        <v>0</v>
      </c>
      <c r="DE602" s="14">
        <f t="shared" si="619"/>
        <v>0</v>
      </c>
      <c r="DF602" s="14">
        <f t="shared" si="620"/>
        <v>0</v>
      </c>
      <c r="DG602" s="14">
        <f t="shared" si="621"/>
        <v>0</v>
      </c>
      <c r="DH602" s="14">
        <f t="shared" si="622"/>
        <v>0</v>
      </c>
      <c r="DI602" s="14">
        <f t="shared" si="615"/>
        <v>0</v>
      </c>
    </row>
    <row r="603" spans="5:113" outlineLevel="1">
      <c r="F603" s="126" t="s">
        <v>223</v>
      </c>
      <c r="I603" s="609" t="s">
        <v>736</v>
      </c>
      <c r="V603" s="698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702">
        <f t="shared" si="627"/>
        <v>0</v>
      </c>
      <c r="AU603" s="702">
        <f t="shared" si="627"/>
        <v>0</v>
      </c>
      <c r="AV603" s="702">
        <f t="shared" si="627"/>
        <v>0</v>
      </c>
      <c r="AW603" s="702">
        <f t="shared" si="627"/>
        <v>0</v>
      </c>
      <c r="AX603" s="702">
        <f t="shared" si="627"/>
        <v>0</v>
      </c>
      <c r="AY603" s="702">
        <f t="shared" si="627"/>
        <v>0</v>
      </c>
      <c r="AZ603" s="702">
        <f t="shared" si="627"/>
        <v>0</v>
      </c>
      <c r="BA603" s="702">
        <f t="shared" si="627"/>
        <v>0</v>
      </c>
      <c r="BB603" s="702">
        <f t="shared" si="627"/>
        <v>0</v>
      </c>
      <c r="BC603" s="702">
        <f t="shared" si="627"/>
        <v>0</v>
      </c>
      <c r="BD603" s="702">
        <f t="shared" si="627"/>
        <v>0</v>
      </c>
      <c r="BE603" s="702">
        <f t="shared" si="627"/>
        <v>0</v>
      </c>
      <c r="BF603" s="12">
        <f t="shared" si="627"/>
        <v>0</v>
      </c>
      <c r="BG603" s="12">
        <f t="shared" si="627"/>
        <v>0</v>
      </c>
      <c r="BH603" s="12">
        <f t="shared" si="627"/>
        <v>0</v>
      </c>
      <c r="BI603" s="12">
        <f t="shared" ref="BI603:DA606" si="628">+BI645+BI684</f>
        <v>0</v>
      </c>
      <c r="BJ603" s="12">
        <f t="shared" si="628"/>
        <v>0</v>
      </c>
      <c r="BK603" s="12">
        <f t="shared" si="628"/>
        <v>0</v>
      </c>
      <c r="BL603" s="12">
        <f t="shared" si="628"/>
        <v>0</v>
      </c>
      <c r="BM603" s="12">
        <f t="shared" si="628"/>
        <v>0</v>
      </c>
      <c r="BN603" s="12">
        <f t="shared" si="628"/>
        <v>0</v>
      </c>
      <c r="BO603" s="12">
        <f t="shared" si="628"/>
        <v>0</v>
      </c>
      <c r="BP603" s="12">
        <f t="shared" si="628"/>
        <v>0</v>
      </c>
      <c r="BQ603" s="12">
        <f t="shared" si="628"/>
        <v>0</v>
      </c>
      <c r="BR603" s="12">
        <f t="shared" si="628"/>
        <v>0</v>
      </c>
      <c r="BS603" s="12">
        <f t="shared" si="628"/>
        <v>0</v>
      </c>
      <c r="BT603" s="12">
        <f t="shared" si="628"/>
        <v>0</v>
      </c>
      <c r="BU603" s="12">
        <f t="shared" si="628"/>
        <v>0</v>
      </c>
      <c r="BV603" s="12">
        <f t="shared" si="628"/>
        <v>0</v>
      </c>
      <c r="BW603" s="12">
        <f t="shared" si="628"/>
        <v>0</v>
      </c>
      <c r="BX603" s="12">
        <f t="shared" si="628"/>
        <v>0</v>
      </c>
      <c r="BY603" s="12">
        <f t="shared" si="628"/>
        <v>0</v>
      </c>
      <c r="BZ603" s="12">
        <f t="shared" si="628"/>
        <v>0</v>
      </c>
      <c r="CA603" s="12">
        <f t="shared" si="628"/>
        <v>0</v>
      </c>
      <c r="CB603" s="12">
        <f t="shared" si="628"/>
        <v>0</v>
      </c>
      <c r="CC603" s="12">
        <f t="shared" si="628"/>
        <v>0</v>
      </c>
      <c r="CD603" s="12">
        <f t="shared" si="628"/>
        <v>0</v>
      </c>
      <c r="CE603" s="12">
        <f t="shared" si="628"/>
        <v>0</v>
      </c>
      <c r="CF603" s="12">
        <f t="shared" si="628"/>
        <v>0</v>
      </c>
      <c r="CG603" s="12">
        <f t="shared" si="628"/>
        <v>0</v>
      </c>
      <c r="CH603" s="12">
        <f t="shared" si="628"/>
        <v>0</v>
      </c>
      <c r="CI603" s="12">
        <f t="shared" si="628"/>
        <v>0</v>
      </c>
      <c r="CJ603" s="12">
        <f t="shared" si="628"/>
        <v>0</v>
      </c>
      <c r="CK603" s="12">
        <f t="shared" si="628"/>
        <v>0</v>
      </c>
      <c r="CL603" s="12">
        <f t="shared" si="628"/>
        <v>0</v>
      </c>
      <c r="CM603" s="12">
        <f t="shared" si="628"/>
        <v>0</v>
      </c>
      <c r="CN603" s="12">
        <f t="shared" si="628"/>
        <v>0</v>
      </c>
      <c r="CO603" s="12">
        <f t="shared" si="628"/>
        <v>0</v>
      </c>
      <c r="CP603" s="12">
        <f t="shared" si="628"/>
        <v>0</v>
      </c>
      <c r="CQ603" s="12">
        <f t="shared" si="628"/>
        <v>0</v>
      </c>
      <c r="CR603" s="12">
        <f t="shared" si="628"/>
        <v>0</v>
      </c>
      <c r="CS603" s="12">
        <f t="shared" si="628"/>
        <v>0</v>
      </c>
      <c r="CT603" s="12">
        <f t="shared" si="628"/>
        <v>0</v>
      </c>
      <c r="CU603" s="12">
        <f t="shared" si="628"/>
        <v>0</v>
      </c>
      <c r="CV603" s="12">
        <f t="shared" si="628"/>
        <v>0</v>
      </c>
      <c r="CW603" s="12">
        <f t="shared" si="628"/>
        <v>0</v>
      </c>
      <c r="CX603" s="12">
        <f t="shared" si="628"/>
        <v>0</v>
      </c>
      <c r="CY603" s="12">
        <f t="shared" si="628"/>
        <v>0</v>
      </c>
      <c r="CZ603" s="12">
        <f t="shared" si="628"/>
        <v>0</v>
      </c>
      <c r="DA603" s="12">
        <f t="shared" si="628"/>
        <v>0</v>
      </c>
      <c r="DC603" s="12">
        <f t="shared" si="617"/>
        <v>0</v>
      </c>
      <c r="DD603" s="12">
        <f t="shared" si="618"/>
        <v>0</v>
      </c>
      <c r="DE603" s="12">
        <f t="shared" si="619"/>
        <v>0</v>
      </c>
      <c r="DF603" s="12">
        <f t="shared" si="620"/>
        <v>0</v>
      </c>
      <c r="DG603" s="12">
        <f t="shared" si="621"/>
        <v>0</v>
      </c>
      <c r="DH603" s="12">
        <f t="shared" si="622"/>
        <v>0</v>
      </c>
      <c r="DI603" s="12">
        <f t="shared" si="615"/>
        <v>0</v>
      </c>
    </row>
    <row r="604" spans="5:113" outlineLevel="1">
      <c r="F604" s="126" t="s">
        <v>221</v>
      </c>
      <c r="I604" s="609" t="s">
        <v>736</v>
      </c>
      <c r="V604" s="698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702">
        <f t="shared" ref="AT604:CO606" si="629">+AT646+AT685</f>
        <v>0</v>
      </c>
      <c r="AU604" s="702">
        <f t="shared" si="629"/>
        <v>0</v>
      </c>
      <c r="AV604" s="702">
        <f t="shared" si="629"/>
        <v>0</v>
      </c>
      <c r="AW604" s="702">
        <f t="shared" si="629"/>
        <v>0</v>
      </c>
      <c r="AX604" s="702">
        <f t="shared" si="629"/>
        <v>0</v>
      </c>
      <c r="AY604" s="702">
        <f t="shared" si="629"/>
        <v>0</v>
      </c>
      <c r="AZ604" s="702">
        <f t="shared" si="629"/>
        <v>0</v>
      </c>
      <c r="BA604" s="702">
        <f t="shared" si="629"/>
        <v>0</v>
      </c>
      <c r="BB604" s="702">
        <f t="shared" si="629"/>
        <v>0</v>
      </c>
      <c r="BC604" s="702">
        <f t="shared" si="629"/>
        <v>0</v>
      </c>
      <c r="BD604" s="702">
        <f t="shared" si="629"/>
        <v>0</v>
      </c>
      <c r="BE604" s="702">
        <f t="shared" si="629"/>
        <v>0</v>
      </c>
      <c r="BF604" s="12">
        <f t="shared" si="629"/>
        <v>0</v>
      </c>
      <c r="BG604" s="12">
        <f t="shared" si="629"/>
        <v>0</v>
      </c>
      <c r="BH604" s="12">
        <f t="shared" si="629"/>
        <v>0</v>
      </c>
      <c r="BI604" s="12">
        <f t="shared" si="629"/>
        <v>0</v>
      </c>
      <c r="BJ604" s="12">
        <f t="shared" si="629"/>
        <v>0</v>
      </c>
      <c r="BK604" s="12">
        <f t="shared" si="629"/>
        <v>0</v>
      </c>
      <c r="BL604" s="12">
        <f t="shared" si="629"/>
        <v>0</v>
      </c>
      <c r="BM604" s="12">
        <f t="shared" si="629"/>
        <v>0</v>
      </c>
      <c r="BN604" s="12">
        <f t="shared" si="629"/>
        <v>0</v>
      </c>
      <c r="BO604" s="12">
        <f t="shared" si="629"/>
        <v>0</v>
      </c>
      <c r="BP604" s="12">
        <f t="shared" si="629"/>
        <v>0</v>
      </c>
      <c r="BQ604" s="12">
        <f t="shared" si="629"/>
        <v>0</v>
      </c>
      <c r="BR604" s="12">
        <f t="shared" si="629"/>
        <v>0</v>
      </c>
      <c r="BS604" s="12">
        <f t="shared" si="629"/>
        <v>0</v>
      </c>
      <c r="BT604" s="12">
        <f t="shared" si="629"/>
        <v>0</v>
      </c>
      <c r="BU604" s="12">
        <f t="shared" si="629"/>
        <v>0</v>
      </c>
      <c r="BV604" s="12">
        <f t="shared" si="629"/>
        <v>0</v>
      </c>
      <c r="BW604" s="12">
        <f t="shared" si="629"/>
        <v>0</v>
      </c>
      <c r="BX604" s="12">
        <f t="shared" si="629"/>
        <v>0</v>
      </c>
      <c r="BY604" s="12">
        <f t="shared" si="629"/>
        <v>0</v>
      </c>
      <c r="BZ604" s="12">
        <f t="shared" si="629"/>
        <v>0</v>
      </c>
      <c r="CA604" s="12">
        <f t="shared" si="629"/>
        <v>0</v>
      </c>
      <c r="CB604" s="12">
        <f t="shared" si="629"/>
        <v>0</v>
      </c>
      <c r="CC604" s="12">
        <f t="shared" si="629"/>
        <v>0</v>
      </c>
      <c r="CD604" s="12">
        <f t="shared" si="629"/>
        <v>0</v>
      </c>
      <c r="CE604" s="12">
        <f t="shared" si="629"/>
        <v>0</v>
      </c>
      <c r="CF604" s="12">
        <f t="shared" si="629"/>
        <v>0</v>
      </c>
      <c r="CG604" s="12">
        <f t="shared" si="629"/>
        <v>0</v>
      </c>
      <c r="CH604" s="12">
        <f t="shared" si="629"/>
        <v>0</v>
      </c>
      <c r="CI604" s="12">
        <f t="shared" si="629"/>
        <v>0</v>
      </c>
      <c r="CJ604" s="12">
        <f t="shared" si="629"/>
        <v>0</v>
      </c>
      <c r="CK604" s="12">
        <f t="shared" si="629"/>
        <v>0</v>
      </c>
      <c r="CL604" s="12">
        <f t="shared" si="629"/>
        <v>0</v>
      </c>
      <c r="CM604" s="12">
        <f t="shared" si="629"/>
        <v>0</v>
      </c>
      <c r="CN604" s="12">
        <f t="shared" si="629"/>
        <v>0</v>
      </c>
      <c r="CO604" s="12">
        <f t="shared" si="629"/>
        <v>0</v>
      </c>
      <c r="CP604" s="12">
        <f t="shared" si="628"/>
        <v>0</v>
      </c>
      <c r="CQ604" s="12">
        <f t="shared" si="628"/>
        <v>0</v>
      </c>
      <c r="CR604" s="12">
        <f t="shared" si="628"/>
        <v>0</v>
      </c>
      <c r="CS604" s="12">
        <f t="shared" si="628"/>
        <v>0</v>
      </c>
      <c r="CT604" s="12">
        <f t="shared" si="628"/>
        <v>0</v>
      </c>
      <c r="CU604" s="12">
        <f t="shared" si="628"/>
        <v>0</v>
      </c>
      <c r="CV604" s="12">
        <f t="shared" si="628"/>
        <v>0</v>
      </c>
      <c r="CW604" s="12">
        <f t="shared" si="628"/>
        <v>0</v>
      </c>
      <c r="CX604" s="12">
        <f t="shared" si="628"/>
        <v>0</v>
      </c>
      <c r="CY604" s="12">
        <f t="shared" si="628"/>
        <v>0</v>
      </c>
      <c r="CZ604" s="12">
        <f t="shared" si="628"/>
        <v>0</v>
      </c>
      <c r="DA604" s="12">
        <f t="shared" si="628"/>
        <v>0</v>
      </c>
      <c r="DC604" s="12">
        <f t="shared" si="617"/>
        <v>0</v>
      </c>
      <c r="DD604" s="12">
        <f t="shared" si="618"/>
        <v>0</v>
      </c>
      <c r="DE604" s="12">
        <f t="shared" si="619"/>
        <v>0</v>
      </c>
      <c r="DF604" s="12">
        <f t="shared" si="620"/>
        <v>0</v>
      </c>
      <c r="DG604" s="12">
        <f t="shared" si="621"/>
        <v>0</v>
      </c>
      <c r="DH604" s="12">
        <f t="shared" si="622"/>
        <v>0</v>
      </c>
      <c r="DI604" s="12">
        <f t="shared" si="615"/>
        <v>0</v>
      </c>
    </row>
    <row r="605" spans="5:113" outlineLevel="1">
      <c r="F605" s="126" t="s">
        <v>801</v>
      </c>
      <c r="I605" s="609" t="s">
        <v>736</v>
      </c>
      <c r="V605" s="698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702">
        <f t="shared" si="629"/>
        <v>0</v>
      </c>
      <c r="AU605" s="702">
        <f t="shared" si="629"/>
        <v>0</v>
      </c>
      <c r="AV605" s="702">
        <f t="shared" si="629"/>
        <v>0</v>
      </c>
      <c r="AW605" s="702">
        <f t="shared" si="629"/>
        <v>0</v>
      </c>
      <c r="AX605" s="702">
        <f t="shared" si="629"/>
        <v>0</v>
      </c>
      <c r="AY605" s="702">
        <f t="shared" si="629"/>
        <v>0</v>
      </c>
      <c r="AZ605" s="702">
        <f t="shared" si="629"/>
        <v>0</v>
      </c>
      <c r="BA605" s="702">
        <f t="shared" si="629"/>
        <v>0</v>
      </c>
      <c r="BB605" s="702">
        <f t="shared" si="629"/>
        <v>0</v>
      </c>
      <c r="BC605" s="702">
        <f t="shared" si="629"/>
        <v>3.6516576432603365E-5</v>
      </c>
      <c r="BD605" s="702">
        <f t="shared" si="629"/>
        <v>1.0656754222246323E-4</v>
      </c>
      <c r="BE605" s="702">
        <f t="shared" si="629"/>
        <v>2.026256389373593E-4</v>
      </c>
      <c r="BF605" s="12">
        <f t="shared" si="629"/>
        <v>2.9814061199029407E-4</v>
      </c>
      <c r="BG605" s="12">
        <f t="shared" si="629"/>
        <v>4.0887221948726626E-4</v>
      </c>
      <c r="BH605" s="12">
        <f t="shared" si="629"/>
        <v>5.2290442474189902E-4</v>
      </c>
      <c r="BI605" s="12">
        <f t="shared" si="629"/>
        <v>6.4507343062158995E-4</v>
      </c>
      <c r="BJ605" s="12">
        <f t="shared" si="629"/>
        <v>7.7803845224710955E-4</v>
      </c>
      <c r="BK605" s="12">
        <f t="shared" si="629"/>
        <v>9.3839448621579891E-4</v>
      </c>
      <c r="BL605" s="12">
        <f t="shared" si="629"/>
        <v>1.1228650297772091E-3</v>
      </c>
      <c r="BM605" s="12">
        <f t="shared" si="629"/>
        <v>1.318990299678191E-3</v>
      </c>
      <c r="BN605" s="12">
        <f t="shared" si="629"/>
        <v>1.5251117422208083E-3</v>
      </c>
      <c r="BO605" s="12">
        <f t="shared" si="629"/>
        <v>1.7545264274492212E-3</v>
      </c>
      <c r="BP605" s="12">
        <f t="shared" si="629"/>
        <v>2.0049623479856393E-3</v>
      </c>
      <c r="BQ605" s="12">
        <f t="shared" si="629"/>
        <v>2.2743688405917339E-3</v>
      </c>
      <c r="BR605" s="12">
        <f t="shared" si="629"/>
        <v>2.5608407656694254E-3</v>
      </c>
      <c r="BS605" s="12">
        <f t="shared" si="629"/>
        <v>2.8625186025728055E-3</v>
      </c>
      <c r="BT605" s="12">
        <f t="shared" si="629"/>
        <v>3.1775881691409325E-3</v>
      </c>
      <c r="BU605" s="12">
        <f t="shared" si="629"/>
        <v>3.5042728415923818E-3</v>
      </c>
      <c r="BV605" s="12">
        <f t="shared" si="629"/>
        <v>3.8408232494244743E-3</v>
      </c>
      <c r="BW605" s="12">
        <f t="shared" si="629"/>
        <v>4.1855150908745031E-3</v>
      </c>
      <c r="BX605" s="12">
        <f t="shared" si="629"/>
        <v>4.5366490781475477E-3</v>
      </c>
      <c r="BY605" s="12">
        <f t="shared" si="629"/>
        <v>4.8925506636550153E-3</v>
      </c>
      <c r="BZ605" s="12">
        <f t="shared" si="629"/>
        <v>5.6882428381470618E-3</v>
      </c>
      <c r="CA605" s="12">
        <f t="shared" si="629"/>
        <v>6.435429538463211E-3</v>
      </c>
      <c r="CB605" s="12">
        <f t="shared" si="629"/>
        <v>7.1414024304772283E-3</v>
      </c>
      <c r="CC605" s="12">
        <f t="shared" si="629"/>
        <v>7.8109488047282127E-3</v>
      </c>
      <c r="CD605" s="12">
        <f t="shared" si="629"/>
        <v>8.4454989104614242E-3</v>
      </c>
      <c r="CE605" s="12">
        <f t="shared" si="629"/>
        <v>9.0461997077824208E-3</v>
      </c>
      <c r="CF605" s="12">
        <f t="shared" si="629"/>
        <v>9.6138875997766604E-3</v>
      </c>
      <c r="CG605" s="12">
        <f t="shared" si="629"/>
        <v>1.0149081830221007E-2</v>
      </c>
      <c r="CH605" s="12">
        <f t="shared" si="629"/>
        <v>1.0652240737940133E-2</v>
      </c>
      <c r="CI605" s="12">
        <f t="shared" si="629"/>
        <v>1.1123826860107044E-2</v>
      </c>
      <c r="CJ605" s="12">
        <f t="shared" si="629"/>
        <v>1.1564299250693466E-2</v>
      </c>
      <c r="CK605" s="12">
        <f t="shared" si="629"/>
        <v>1.1974111351250372E-2</v>
      </c>
      <c r="CL605" s="12">
        <f t="shared" si="629"/>
        <v>1.2353710346260982E-2</v>
      </c>
      <c r="CM605" s="12">
        <f t="shared" si="629"/>
        <v>1.2728899261894355E-2</v>
      </c>
      <c r="CN605" s="12">
        <f t="shared" si="629"/>
        <v>1.309863839232861E-2</v>
      </c>
      <c r="CO605" s="12">
        <f t="shared" si="629"/>
        <v>1.3462244995182004E-2</v>
      </c>
      <c r="CP605" s="12">
        <f t="shared" si="628"/>
        <v>1.3819269866900186E-2</v>
      </c>
      <c r="CQ605" s="12">
        <f t="shared" si="628"/>
        <v>1.4169316489329731E-2</v>
      </c>
      <c r="CR605" s="12">
        <f t="shared" si="628"/>
        <v>1.4512027887789714E-2</v>
      </c>
      <c r="CS605" s="12">
        <f t="shared" si="628"/>
        <v>1.4847071036143689E-2</v>
      </c>
      <c r="CT605" s="12">
        <f t="shared" si="628"/>
        <v>1.5174119905438488E-2</v>
      </c>
      <c r="CU605" s="12">
        <f t="shared" si="628"/>
        <v>1.5492852387609446E-2</v>
      </c>
      <c r="CV605" s="12">
        <f t="shared" si="628"/>
        <v>1.5802950820116735E-2</v>
      </c>
      <c r="CW605" s="12">
        <f t="shared" si="628"/>
        <v>1.6104102095525263E-2</v>
      </c>
      <c r="CX605" s="12">
        <f t="shared" si="628"/>
        <v>1.6395997653177119E-2</v>
      </c>
      <c r="CY605" s="12">
        <f t="shared" si="628"/>
        <v>1.7520803808395158E-2</v>
      </c>
      <c r="CZ605" s="12">
        <f t="shared" si="628"/>
        <v>1.8543562174528461E-2</v>
      </c>
      <c r="DA605" s="12">
        <f t="shared" si="628"/>
        <v>1.9477177377041244E-2</v>
      </c>
      <c r="DC605" s="12">
        <f t="shared" si="617"/>
        <v>0</v>
      </c>
      <c r="DD605" s="12">
        <f t="shared" si="618"/>
        <v>0</v>
      </c>
      <c r="DE605" s="12">
        <f t="shared" si="619"/>
        <v>3.4570975759242589E-4</v>
      </c>
      <c r="DF605" s="12">
        <f t="shared" si="620"/>
        <v>1.3592248313006761E-2</v>
      </c>
      <c r="DG605" s="12">
        <f t="shared" si="621"/>
        <v>5.66367820728928E-2</v>
      </c>
      <c r="DH605" s="12">
        <f t="shared" si="622"/>
        <v>0.13421263924389848</v>
      </c>
      <c r="DI605" s="12">
        <f t="shared" si="615"/>
        <v>0.19185925150199523</v>
      </c>
    </row>
    <row r="606" spans="5:113" outlineLevel="1">
      <c r="F606" s="126" t="s">
        <v>802</v>
      </c>
      <c r="I606" s="609" t="s">
        <v>736</v>
      </c>
      <c r="V606" s="698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702">
        <f t="shared" si="629"/>
        <v>0</v>
      </c>
      <c r="AU606" s="702">
        <f t="shared" si="629"/>
        <v>0</v>
      </c>
      <c r="AV606" s="702">
        <f t="shared" si="629"/>
        <v>0</v>
      </c>
      <c r="AW606" s="702">
        <f t="shared" si="629"/>
        <v>0</v>
      </c>
      <c r="AX606" s="702">
        <f t="shared" si="629"/>
        <v>0</v>
      </c>
      <c r="AY606" s="702">
        <f t="shared" si="629"/>
        <v>0</v>
      </c>
      <c r="AZ606" s="702">
        <f t="shared" si="629"/>
        <v>0</v>
      </c>
      <c r="BA606" s="702">
        <f t="shared" si="629"/>
        <v>0</v>
      </c>
      <c r="BB606" s="702">
        <f t="shared" si="629"/>
        <v>0</v>
      </c>
      <c r="BC606" s="702">
        <f t="shared" si="629"/>
        <v>0</v>
      </c>
      <c r="BD606" s="702">
        <f t="shared" si="629"/>
        <v>0</v>
      </c>
      <c r="BE606" s="702">
        <f t="shared" si="629"/>
        <v>0</v>
      </c>
      <c r="BF606" s="12">
        <f t="shared" si="629"/>
        <v>0</v>
      </c>
      <c r="BG606" s="12">
        <f t="shared" si="629"/>
        <v>0</v>
      </c>
      <c r="BH606" s="12">
        <f t="shared" si="629"/>
        <v>0</v>
      </c>
      <c r="BI606" s="12">
        <f t="shared" si="629"/>
        <v>0</v>
      </c>
      <c r="BJ606" s="12">
        <f t="shared" si="629"/>
        <v>0</v>
      </c>
      <c r="BK606" s="12">
        <f t="shared" si="629"/>
        <v>0</v>
      </c>
      <c r="BL606" s="12">
        <f t="shared" si="629"/>
        <v>0</v>
      </c>
      <c r="BM606" s="12">
        <f t="shared" si="629"/>
        <v>0</v>
      </c>
      <c r="BN606" s="12">
        <f t="shared" si="629"/>
        <v>0</v>
      </c>
      <c r="BO606" s="12">
        <f t="shared" si="629"/>
        <v>0</v>
      </c>
      <c r="BP606" s="12">
        <f t="shared" si="629"/>
        <v>0</v>
      </c>
      <c r="BQ606" s="12">
        <f t="shared" si="629"/>
        <v>0</v>
      </c>
      <c r="BR606" s="12">
        <f t="shared" si="629"/>
        <v>0</v>
      </c>
      <c r="BS606" s="12">
        <f t="shared" si="629"/>
        <v>0</v>
      </c>
      <c r="BT606" s="12">
        <f t="shared" si="629"/>
        <v>0</v>
      </c>
      <c r="BU606" s="12">
        <f t="shared" si="629"/>
        <v>0</v>
      </c>
      <c r="BV606" s="12">
        <f t="shared" si="629"/>
        <v>0</v>
      </c>
      <c r="BW606" s="12">
        <f t="shared" si="629"/>
        <v>0</v>
      </c>
      <c r="BX606" s="12">
        <f t="shared" si="629"/>
        <v>0</v>
      </c>
      <c r="BY606" s="12">
        <f t="shared" si="629"/>
        <v>0</v>
      </c>
      <c r="BZ606" s="12">
        <f t="shared" si="629"/>
        <v>0</v>
      </c>
      <c r="CA606" s="12">
        <f t="shared" si="629"/>
        <v>0</v>
      </c>
      <c r="CB606" s="12">
        <f t="shared" si="629"/>
        <v>0</v>
      </c>
      <c r="CC606" s="12">
        <f t="shared" si="629"/>
        <v>0</v>
      </c>
      <c r="CD606" s="12">
        <f t="shared" si="629"/>
        <v>0</v>
      </c>
      <c r="CE606" s="12">
        <f t="shared" si="629"/>
        <v>0</v>
      </c>
      <c r="CF606" s="12">
        <f t="shared" si="629"/>
        <v>0</v>
      </c>
      <c r="CG606" s="12">
        <f t="shared" si="629"/>
        <v>0</v>
      </c>
      <c r="CH606" s="12">
        <f t="shared" si="629"/>
        <v>0</v>
      </c>
      <c r="CI606" s="12">
        <f t="shared" si="629"/>
        <v>0</v>
      </c>
      <c r="CJ606" s="12">
        <f t="shared" si="629"/>
        <v>0</v>
      </c>
      <c r="CK606" s="12">
        <f t="shared" si="629"/>
        <v>0</v>
      </c>
      <c r="CL606" s="12">
        <f t="shared" si="629"/>
        <v>0</v>
      </c>
      <c r="CM606" s="12">
        <f t="shared" si="629"/>
        <v>0</v>
      </c>
      <c r="CN606" s="12">
        <f t="shared" si="629"/>
        <v>0</v>
      </c>
      <c r="CO606" s="12">
        <f t="shared" si="629"/>
        <v>0</v>
      </c>
      <c r="CP606" s="12">
        <f t="shared" si="628"/>
        <v>0</v>
      </c>
      <c r="CQ606" s="12">
        <f t="shared" si="628"/>
        <v>0</v>
      </c>
      <c r="CR606" s="12">
        <f t="shared" si="628"/>
        <v>0</v>
      </c>
      <c r="CS606" s="12">
        <f t="shared" si="628"/>
        <v>0</v>
      </c>
      <c r="CT606" s="12">
        <f t="shared" si="628"/>
        <v>0</v>
      </c>
      <c r="CU606" s="12">
        <f t="shared" si="628"/>
        <v>0</v>
      </c>
      <c r="CV606" s="12">
        <f t="shared" si="628"/>
        <v>0</v>
      </c>
      <c r="CW606" s="12">
        <f t="shared" si="628"/>
        <v>0</v>
      </c>
      <c r="CX606" s="12">
        <f t="shared" si="628"/>
        <v>0</v>
      </c>
      <c r="CY606" s="12">
        <f t="shared" si="628"/>
        <v>0</v>
      </c>
      <c r="CZ606" s="12">
        <f t="shared" si="628"/>
        <v>0</v>
      </c>
      <c r="DA606" s="12">
        <f t="shared" si="628"/>
        <v>0</v>
      </c>
      <c r="DC606" s="12">
        <f t="shared" si="617"/>
        <v>0</v>
      </c>
      <c r="DD606" s="12">
        <f t="shared" si="618"/>
        <v>0</v>
      </c>
      <c r="DE606" s="12">
        <f t="shared" si="619"/>
        <v>0</v>
      </c>
      <c r="DF606" s="12">
        <f t="shared" si="620"/>
        <v>0</v>
      </c>
      <c r="DG606" s="12">
        <f t="shared" si="621"/>
        <v>0</v>
      </c>
      <c r="DH606" s="12">
        <f t="shared" si="622"/>
        <v>0</v>
      </c>
      <c r="DI606" s="12">
        <f t="shared" si="615"/>
        <v>0</v>
      </c>
    </row>
    <row r="607" spans="5:113" outlineLevel="1">
      <c r="F607" s="126" t="s">
        <v>831</v>
      </c>
      <c r="I607" s="609" t="s">
        <v>736</v>
      </c>
      <c r="V607" s="698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702"/>
      <c r="AU607" s="702"/>
      <c r="AV607" s="702"/>
      <c r="AW607" s="702"/>
      <c r="AX607" s="702"/>
      <c r="AY607" s="702"/>
      <c r="AZ607" s="702"/>
      <c r="BA607" s="702"/>
      <c r="BB607" s="702"/>
      <c r="BC607" s="702"/>
      <c r="BD607" s="702"/>
      <c r="BE607" s="70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12"/>
      <c r="CR607" s="12"/>
      <c r="CS607" s="12"/>
      <c r="CT607" s="12"/>
      <c r="CU607" s="12"/>
      <c r="CV607" s="12"/>
      <c r="CW607" s="12"/>
      <c r="CX607" s="12"/>
      <c r="CY607" s="12"/>
      <c r="CZ607" s="12"/>
      <c r="DA607" s="12"/>
      <c r="DC607" s="12">
        <f t="shared" si="617"/>
        <v>0</v>
      </c>
      <c r="DD607" s="12">
        <f t="shared" si="618"/>
        <v>0</v>
      </c>
      <c r="DE607" s="12">
        <f t="shared" si="619"/>
        <v>0</v>
      </c>
      <c r="DF607" s="12">
        <f t="shared" si="620"/>
        <v>0</v>
      </c>
      <c r="DG607" s="12">
        <f t="shared" si="621"/>
        <v>0</v>
      </c>
      <c r="DH607" s="12">
        <f t="shared" si="622"/>
        <v>0</v>
      </c>
      <c r="DI607" s="12">
        <f t="shared" si="615"/>
        <v>0</v>
      </c>
    </row>
    <row r="608" spans="5:113" outlineLevel="1">
      <c r="F608" s="126" t="s">
        <v>803</v>
      </c>
      <c r="I608" s="609" t="s">
        <v>736</v>
      </c>
      <c r="V608" s="698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702"/>
      <c r="AU608" s="702"/>
      <c r="AV608" s="702"/>
      <c r="AW608" s="702"/>
      <c r="AX608" s="702"/>
      <c r="AY608" s="702"/>
      <c r="AZ608" s="702"/>
      <c r="BA608" s="702"/>
      <c r="BB608" s="702"/>
      <c r="BC608" s="702"/>
      <c r="BD608" s="702"/>
      <c r="BE608" s="70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/>
      <c r="CT608" s="12"/>
      <c r="CU608" s="12"/>
      <c r="CV608" s="12"/>
      <c r="CW608" s="12"/>
      <c r="CX608" s="12"/>
      <c r="CY608" s="12"/>
      <c r="CZ608" s="12"/>
      <c r="DA608" s="12"/>
      <c r="DC608" s="12"/>
      <c r="DD608" s="12"/>
      <c r="DE608" s="12"/>
      <c r="DF608" s="12"/>
      <c r="DG608" s="12"/>
      <c r="DH608" s="12"/>
      <c r="DI608" s="12">
        <f t="shared" si="615"/>
        <v>0</v>
      </c>
    </row>
    <row r="609" spans="2:113" outlineLevel="1">
      <c r="F609" s="126" t="s">
        <v>224</v>
      </c>
      <c r="I609" s="609" t="s">
        <v>736</v>
      </c>
      <c r="V609" s="698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702"/>
      <c r="AU609" s="702"/>
      <c r="AV609" s="702"/>
      <c r="AW609" s="702"/>
      <c r="AX609" s="702"/>
      <c r="AY609" s="702"/>
      <c r="AZ609" s="702"/>
      <c r="BA609" s="702"/>
      <c r="BB609" s="702"/>
      <c r="BC609" s="702"/>
      <c r="BD609" s="702"/>
      <c r="BE609" s="70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12"/>
      <c r="CR609" s="12"/>
      <c r="CS609" s="12"/>
      <c r="CT609" s="12"/>
      <c r="CU609" s="12"/>
      <c r="CV609" s="12"/>
      <c r="CW609" s="12"/>
      <c r="CX609" s="12"/>
      <c r="CY609" s="12"/>
      <c r="CZ609" s="12"/>
      <c r="DA609" s="12"/>
      <c r="DC609" s="12"/>
      <c r="DD609" s="12"/>
      <c r="DE609" s="12"/>
      <c r="DF609" s="12"/>
      <c r="DG609" s="12"/>
      <c r="DH609" s="12"/>
      <c r="DI609" s="12">
        <f t="shared" si="615"/>
        <v>0</v>
      </c>
    </row>
    <row r="610" spans="2:113" outlineLevel="1">
      <c r="F610" s="126" t="s">
        <v>804</v>
      </c>
      <c r="G610" s="230"/>
      <c r="H610" s="232"/>
      <c r="I610" s="609" t="s">
        <v>736</v>
      </c>
      <c r="V610" s="698"/>
      <c r="AH610" s="12"/>
      <c r="AI610" s="12"/>
      <c r="AJ610" s="12"/>
      <c r="AK610" s="12"/>
      <c r="AL610" s="12"/>
      <c r="AM610" s="12"/>
      <c r="AN610" s="12"/>
      <c r="AO610" s="12"/>
      <c r="AP610" s="12"/>
      <c r="AQ610" s="710"/>
      <c r="AR610" s="710"/>
      <c r="AS610" s="710"/>
      <c r="AT610" s="710"/>
      <c r="AU610" s="710"/>
      <c r="AV610" s="710"/>
      <c r="AW610" s="710"/>
      <c r="AX610" s="710"/>
      <c r="AY610" s="710"/>
      <c r="AZ610" s="710"/>
      <c r="BA610" s="710"/>
      <c r="BB610" s="710"/>
      <c r="BC610" s="710"/>
      <c r="BD610" s="710"/>
      <c r="BE610" s="710"/>
      <c r="BF610" s="710"/>
      <c r="BG610" s="710"/>
      <c r="BH610" s="710"/>
      <c r="BI610" s="710"/>
      <c r="BJ610" s="710"/>
      <c r="BK610" s="710"/>
      <c r="BL610" s="710"/>
      <c r="BM610" s="710"/>
      <c r="BN610" s="710"/>
      <c r="BO610" s="710"/>
      <c r="BP610" s="710"/>
      <c r="BQ610" s="710"/>
      <c r="BR610" s="710"/>
      <c r="BS610" s="710"/>
      <c r="BT610" s="710"/>
      <c r="BU610" s="710"/>
      <c r="BV610" s="710"/>
      <c r="BW610" s="710"/>
      <c r="BX610" s="710"/>
      <c r="BY610" s="710"/>
      <c r="BZ610" s="710"/>
      <c r="CA610" s="710"/>
      <c r="CB610" s="710"/>
      <c r="CC610" s="710"/>
      <c r="CD610" s="710"/>
      <c r="CE610" s="710"/>
      <c r="CF610" s="710"/>
      <c r="CG610" s="710"/>
      <c r="CH610" s="710"/>
      <c r="CI610" s="710"/>
      <c r="CJ610" s="710"/>
      <c r="CK610" s="710"/>
      <c r="CL610" s="710"/>
      <c r="CM610" s="710"/>
      <c r="CN610" s="710"/>
      <c r="CO610" s="710"/>
      <c r="CP610" s="710"/>
      <c r="CQ610" s="710"/>
      <c r="CR610" s="710"/>
      <c r="CS610" s="710"/>
      <c r="CT610" s="710"/>
      <c r="CU610" s="710"/>
      <c r="CV610" s="710"/>
      <c r="CW610" s="710"/>
      <c r="CX610" s="710"/>
      <c r="CY610" s="710"/>
      <c r="CZ610" s="710"/>
      <c r="DA610" s="710"/>
      <c r="DC610" s="12">
        <f>SUM(V610:AG610)</f>
        <v>0</v>
      </c>
      <c r="DD610" s="12">
        <f>SUM(AH610:AS610)</f>
        <v>0</v>
      </c>
      <c r="DE610" s="12">
        <f>SUM(AT610:BE610)</f>
        <v>0</v>
      </c>
      <c r="DF610" s="12">
        <f>SUM(BF610:BQ610)</f>
        <v>0</v>
      </c>
      <c r="DG610" s="12">
        <f>SUM(BR610:CC610)</f>
        <v>0</v>
      </c>
      <c r="DH610" s="12">
        <f>SUM(CD610:CO610)</f>
        <v>0</v>
      </c>
      <c r="DI610" s="12">
        <f t="shared" si="615"/>
        <v>0</v>
      </c>
    </row>
    <row r="611" spans="2:113" outlineLevel="1">
      <c r="E611" s="720" t="s">
        <v>621</v>
      </c>
      <c r="I611" s="609" t="s">
        <v>736</v>
      </c>
      <c r="V611" s="708"/>
      <c r="W611" s="708"/>
      <c r="X611" s="696"/>
      <c r="AA611" s="698"/>
      <c r="AB611" s="698"/>
      <c r="AC611" s="698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708">
        <f t="shared" ref="AT611:DA611" si="630">AT649+AT688</f>
        <v>-1.4999999999999998E-2</v>
      </c>
      <c r="AU611" s="708">
        <f t="shared" si="630"/>
        <v>-3.3375000000000002E-2</v>
      </c>
      <c r="AV611" s="708">
        <f t="shared" si="630"/>
        <v>-5.4118333333333324E-2</v>
      </c>
      <c r="AW611" s="708">
        <f t="shared" si="630"/>
        <v>-7.6501133333333318E-2</v>
      </c>
      <c r="AX611" s="708">
        <f t="shared" si="630"/>
        <v>-0.10746537666666661</v>
      </c>
      <c r="AY611" s="708">
        <f t="shared" si="630"/>
        <v>-0.14487034901333345</v>
      </c>
      <c r="AZ611" s="708">
        <f t="shared" si="630"/>
        <v>-0.18517586627413318</v>
      </c>
      <c r="BA611" s="708">
        <f t="shared" si="630"/>
        <v>-0.23682556445063468</v>
      </c>
      <c r="BB611" s="708">
        <f t="shared" si="630"/>
        <v>-0.32535606567709935</v>
      </c>
      <c r="BC611" s="708">
        <f t="shared" si="630"/>
        <v>-0.44242081198755429</v>
      </c>
      <c r="BD611" s="708">
        <f t="shared" si="630"/>
        <v>-0.57733205653135233</v>
      </c>
      <c r="BE611" s="708">
        <f t="shared" si="630"/>
        <v>-0.72122099194555911</v>
      </c>
      <c r="BF611" s="14">
        <f t="shared" si="630"/>
        <v>-0.8885526811899781</v>
      </c>
      <c r="BG611" s="14">
        <f t="shared" si="630"/>
        <v>-1.0666931037373966</v>
      </c>
      <c r="BH611" s="14">
        <f t="shared" si="630"/>
        <v>-1.255887280152475</v>
      </c>
      <c r="BI611" s="14">
        <f t="shared" si="630"/>
        <v>-1.4629930346002578</v>
      </c>
      <c r="BJ611" s="14">
        <f t="shared" si="630"/>
        <v>-1.6994123264780789</v>
      </c>
      <c r="BK611" s="14">
        <f t="shared" si="630"/>
        <v>-1.957867746423577</v>
      </c>
      <c r="BL611" s="14">
        <f t="shared" si="630"/>
        <v>-2.2297118810833507</v>
      </c>
      <c r="BM611" s="14">
        <f t="shared" si="630"/>
        <v>-2.5182897391218675</v>
      </c>
      <c r="BN611" s="14">
        <f t="shared" si="630"/>
        <v>-2.8302319368254776</v>
      </c>
      <c r="BO611" s="14">
        <f t="shared" si="630"/>
        <v>-3.1630271165346593</v>
      </c>
      <c r="BP611" s="14">
        <f t="shared" si="630"/>
        <v>-3.5143551308555914</v>
      </c>
      <c r="BQ611" s="14">
        <f t="shared" si="630"/>
        <v>-4.1402652744276693</v>
      </c>
      <c r="BR611" s="14">
        <f t="shared" si="630"/>
        <v>-4.5717037714438389</v>
      </c>
      <c r="BS611" s="14">
        <f t="shared" si="630"/>
        <v>-4.987617045797383</v>
      </c>
      <c r="BT611" s="14">
        <f t="shared" si="630"/>
        <v>-5.3958933768640405</v>
      </c>
      <c r="BU611" s="14">
        <f t="shared" si="630"/>
        <v>-5.8989270198724739</v>
      </c>
      <c r="BV611" s="14">
        <f t="shared" si="630"/>
        <v>-6.3870709251087785</v>
      </c>
      <c r="BW611" s="14">
        <f t="shared" si="630"/>
        <v>-6.8654375687110667</v>
      </c>
      <c r="BX611" s="14">
        <f t="shared" si="630"/>
        <v>-7.4961349433431419</v>
      </c>
      <c r="BY611" s="14">
        <f t="shared" si="630"/>
        <v>-8.361998877305469</v>
      </c>
      <c r="BZ611" s="14">
        <f t="shared" si="630"/>
        <v>-9.1763505871352944</v>
      </c>
      <c r="CA611" s="14">
        <f t="shared" si="630"/>
        <v>-9.9453876752779582</v>
      </c>
      <c r="CB611" s="14">
        <f t="shared" si="630"/>
        <v>-10.672567276517997</v>
      </c>
      <c r="CC611" s="14">
        <f t="shared" si="630"/>
        <v>-11.359252878506856</v>
      </c>
      <c r="CD611" s="14">
        <f t="shared" si="630"/>
        <v>-12.021534311491536</v>
      </c>
      <c r="CE611" s="14">
        <f t="shared" si="630"/>
        <v>-12.648931270441693</v>
      </c>
      <c r="CF611" s="14">
        <f t="shared" si="630"/>
        <v>-13.240591270091045</v>
      </c>
      <c r="CG611" s="14">
        <f t="shared" si="630"/>
        <v>-13.796112697324508</v>
      </c>
      <c r="CH611" s="14">
        <f t="shared" si="630"/>
        <v>-14.321099060151436</v>
      </c>
      <c r="CI611" s="14">
        <f t="shared" si="630"/>
        <v>-14.815177515753065</v>
      </c>
      <c r="CJ611" s="14">
        <f t="shared" si="630"/>
        <v>-15.27831031900282</v>
      </c>
      <c r="CK611" s="14">
        <f t="shared" si="630"/>
        <v>-15.719932594127817</v>
      </c>
      <c r="CL611" s="14">
        <f t="shared" si="630"/>
        <v>-16.154882147860405</v>
      </c>
      <c r="CM611" s="14">
        <f t="shared" si="630"/>
        <v>-16.582216300679043</v>
      </c>
      <c r="CN611" s="14">
        <f t="shared" si="630"/>
        <v>-17.001291273823643</v>
      </c>
      <c r="CO611" s="14">
        <f t="shared" si="630"/>
        <v>-17.411621366057648</v>
      </c>
      <c r="CP611" s="14">
        <f t="shared" si="630"/>
        <v>-18.311027838744394</v>
      </c>
      <c r="CQ611" s="14">
        <f t="shared" si="630"/>
        <v>-18.800859608314749</v>
      </c>
      <c r="CR611" s="14">
        <f t="shared" si="630"/>
        <v>-19.225958109411611</v>
      </c>
      <c r="CS611" s="14">
        <f t="shared" si="630"/>
        <v>-19.604343167079399</v>
      </c>
      <c r="CT611" s="14">
        <f t="shared" si="630"/>
        <v>-20.136590602783915</v>
      </c>
      <c r="CU611" s="14">
        <f t="shared" si="630"/>
        <v>-20.61527723128663</v>
      </c>
      <c r="CV611" s="14">
        <f t="shared" si="630"/>
        <v>-21.052583079568034</v>
      </c>
      <c r="CW611" s="14">
        <f t="shared" si="630"/>
        <v>-21.763700708535747</v>
      </c>
      <c r="CX611" s="14">
        <f t="shared" si="630"/>
        <v>-22.912496956226459</v>
      </c>
      <c r="CY611" s="14">
        <f t="shared" si="630"/>
        <v>-23.9494796841519</v>
      </c>
      <c r="CZ611" s="14">
        <f t="shared" si="630"/>
        <v>-24.885362620052977</v>
      </c>
      <c r="DA611" s="14">
        <f t="shared" si="630"/>
        <v>-25.725711096238999</v>
      </c>
      <c r="DC611" s="12">
        <f>SUM(V611:AG611)</f>
        <v>0</v>
      </c>
      <c r="DD611" s="12">
        <f>SUM(AH611:AS611)</f>
        <v>0</v>
      </c>
      <c r="DE611" s="12">
        <f>SUM(AT611:BE611)</f>
        <v>-2.9196615492129996</v>
      </c>
      <c r="DF611" s="12">
        <f>SUM(BF611:BQ611)</f>
        <v>-26.727287251430379</v>
      </c>
      <c r="DG611" s="12">
        <f>SUM(BR611:CC611)</f>
        <v>-91.118341945884296</v>
      </c>
      <c r="DH611" s="12">
        <f>SUM(CD611:CO611)</f>
        <v>-178.99170012680469</v>
      </c>
      <c r="DI611" s="12">
        <f t="shared" si="615"/>
        <v>-256.98339070239479</v>
      </c>
    </row>
    <row r="612" spans="2:113" s="708" customFormat="1" outlineLevel="1">
      <c r="B612" s="126"/>
      <c r="E612" s="724" t="s">
        <v>701</v>
      </c>
      <c r="H612" s="963"/>
      <c r="I612" s="609" t="s">
        <v>736</v>
      </c>
      <c r="J612" s="963"/>
      <c r="K612" s="963"/>
      <c r="L612" s="963"/>
      <c r="M612" s="963"/>
      <c r="V612" s="698"/>
      <c r="W612" s="698"/>
      <c r="X612" s="126"/>
      <c r="AA612" s="698"/>
      <c r="AB612" s="698"/>
      <c r="AC612" s="698"/>
      <c r="AH612" s="12"/>
      <c r="AI612" s="12"/>
      <c r="AJ612" s="12"/>
      <c r="AK612" s="12"/>
      <c r="AL612" s="12"/>
      <c r="AM612" s="12"/>
      <c r="AN612" s="12"/>
      <c r="AO612" s="14"/>
      <c r="AP612" s="14"/>
      <c r="AQ612" s="14"/>
      <c r="AR612" s="14"/>
      <c r="AS612" s="14"/>
      <c r="AT612" s="708">
        <f t="shared" ref="AT612:DA612" si="631">SUM(AT613:AT621)</f>
        <v>-0.85784166666666672</v>
      </c>
      <c r="AU612" s="708">
        <f t="shared" si="631"/>
        <v>-0.96373549393583735</v>
      </c>
      <c r="AV612" s="708">
        <f t="shared" si="631"/>
        <v>-1.0938933299305558</v>
      </c>
      <c r="AW612" s="708">
        <f t="shared" si="631"/>
        <v>-1.2384031144184784</v>
      </c>
      <c r="AX612" s="708">
        <f t="shared" si="631"/>
        <v>-1.3833810541851104</v>
      </c>
      <c r="AY612" s="708">
        <f t="shared" si="631"/>
        <v>-1.5299306005865685</v>
      </c>
      <c r="AZ612" s="708">
        <f t="shared" si="631"/>
        <v>-1.6206387612331408</v>
      </c>
      <c r="BA612" s="708">
        <f t="shared" si="631"/>
        <v>-1.7839292757961969</v>
      </c>
      <c r="BB612" s="708">
        <f t="shared" si="631"/>
        <v>-1.9528779389848883</v>
      </c>
      <c r="BC612" s="708">
        <f t="shared" si="631"/>
        <v>-2.1311844750057798</v>
      </c>
      <c r="BD612" s="708">
        <f t="shared" si="631"/>
        <v>-2.3159563798355536</v>
      </c>
      <c r="BE612" s="708">
        <f t="shared" si="631"/>
        <v>-2.5048214249779992</v>
      </c>
      <c r="BF612" s="14">
        <f t="shared" si="631"/>
        <v>-3.0929251805228661</v>
      </c>
      <c r="BG612" s="14">
        <f t="shared" si="631"/>
        <v>-3.3456331715492356</v>
      </c>
      <c r="BH612" s="14">
        <f t="shared" si="631"/>
        <v>-3.6099421875800584</v>
      </c>
      <c r="BI612" s="14">
        <f t="shared" si="631"/>
        <v>-3.8847929237976002</v>
      </c>
      <c r="BJ612" s="14">
        <f t="shared" si="631"/>
        <v>-4.164194333171972</v>
      </c>
      <c r="BK612" s="14">
        <f t="shared" si="631"/>
        <v>-4.4480635793960648</v>
      </c>
      <c r="BL612" s="14">
        <f t="shared" si="631"/>
        <v>-4.7360078612609575</v>
      </c>
      <c r="BM612" s="14">
        <f t="shared" si="631"/>
        <v>-5.0274574736272317</v>
      </c>
      <c r="BN612" s="14">
        <f t="shared" si="631"/>
        <v>-5.3219479101452034</v>
      </c>
      <c r="BO612" s="14">
        <f t="shared" si="631"/>
        <v>-5.6189453379312315</v>
      </c>
      <c r="BP612" s="14">
        <f t="shared" si="631"/>
        <v>-5.9179135497783975</v>
      </c>
      <c r="BQ612" s="14">
        <f t="shared" si="631"/>
        <v>-7.9100470953455009</v>
      </c>
      <c r="BR612" s="14">
        <f t="shared" si="631"/>
        <v>-8.7473187176733838</v>
      </c>
      <c r="BS612" s="14">
        <f t="shared" si="631"/>
        <v>-9.2526879848374328</v>
      </c>
      <c r="BT612" s="14">
        <f t="shared" si="631"/>
        <v>-9.7308208236096601</v>
      </c>
      <c r="BU612" s="14">
        <f t="shared" si="631"/>
        <v>-10.031595688997136</v>
      </c>
      <c r="BV612" s="14">
        <f t="shared" si="631"/>
        <v>-10.33792596994509</v>
      </c>
      <c r="BW612" s="14">
        <f t="shared" si="631"/>
        <v>-10.64141494168142</v>
      </c>
      <c r="BX612" s="14">
        <f t="shared" si="631"/>
        <v>-10.934595177722338</v>
      </c>
      <c r="BY612" s="14">
        <f t="shared" si="631"/>
        <v>-11.220248489990578</v>
      </c>
      <c r="BZ612" s="14">
        <f t="shared" si="631"/>
        <v>-11.49608736262282</v>
      </c>
      <c r="CA612" s="14">
        <f t="shared" si="631"/>
        <v>-11.761929296011704</v>
      </c>
      <c r="CB612" s="14">
        <f t="shared" si="631"/>
        <v>-12.017969234523026</v>
      </c>
      <c r="CC612" s="14">
        <f t="shared" si="631"/>
        <v>-12.264384092903839</v>
      </c>
      <c r="CD612" s="14">
        <f t="shared" si="631"/>
        <v>-12.859888136062192</v>
      </c>
      <c r="CE612" s="14">
        <f t="shared" si="631"/>
        <v>-13.202562452065976</v>
      </c>
      <c r="CF612" s="14">
        <f t="shared" si="631"/>
        <v>-13.551621215950503</v>
      </c>
      <c r="CG612" s="14">
        <f t="shared" si="631"/>
        <v>-13.906501786819604</v>
      </c>
      <c r="CH612" s="14">
        <f t="shared" si="631"/>
        <v>-14.257873903217524</v>
      </c>
      <c r="CI612" s="14">
        <f t="shared" si="631"/>
        <v>-14.606485724765999</v>
      </c>
      <c r="CJ612" s="14">
        <f t="shared" si="631"/>
        <v>-14.952643780475993</v>
      </c>
      <c r="CK612" s="14">
        <f t="shared" si="631"/>
        <v>-15.296238682484978</v>
      </c>
      <c r="CL612" s="14">
        <f t="shared" si="631"/>
        <v>-15.637318108271741</v>
      </c>
      <c r="CM612" s="14">
        <f t="shared" si="631"/>
        <v>-15.975799301937897</v>
      </c>
      <c r="CN612" s="14">
        <f t="shared" si="631"/>
        <v>-16.311580951951203</v>
      </c>
      <c r="CO612" s="14">
        <f t="shared" si="631"/>
        <v>-16.644564573006662</v>
      </c>
      <c r="CP612" s="14">
        <f t="shared" si="631"/>
        <v>-17.351605929850273</v>
      </c>
      <c r="CQ612" s="14">
        <f t="shared" si="631"/>
        <v>-18.077910309925894</v>
      </c>
      <c r="CR612" s="14">
        <f t="shared" si="631"/>
        <v>-18.742618424043382</v>
      </c>
      <c r="CS612" s="14">
        <f t="shared" si="631"/>
        <v>-19.353629851665048</v>
      </c>
      <c r="CT612" s="14">
        <f t="shared" si="631"/>
        <v>-19.61994643358064</v>
      </c>
      <c r="CU612" s="14">
        <f t="shared" si="631"/>
        <v>-19.891579460348463</v>
      </c>
      <c r="CV612" s="14">
        <f t="shared" si="631"/>
        <v>-20.152431061343613</v>
      </c>
      <c r="CW612" s="14">
        <f t="shared" si="631"/>
        <v>-20.387979163788433</v>
      </c>
      <c r="CX612" s="14">
        <f t="shared" si="631"/>
        <v>-20.603433831381157</v>
      </c>
      <c r="CY612" s="14">
        <f t="shared" si="631"/>
        <v>-20.794199788312234</v>
      </c>
      <c r="CZ612" s="14">
        <f t="shared" si="631"/>
        <v>-20.959634447016203</v>
      </c>
      <c r="DA612" s="14">
        <f t="shared" si="631"/>
        <v>-21.099834426052798</v>
      </c>
      <c r="DC612" s="12">
        <f>SUM(V612:AG612)</f>
        <v>0</v>
      </c>
      <c r="DD612" s="12">
        <f>SUM(AH612:AS612)</f>
        <v>0</v>
      </c>
      <c r="DE612" s="12">
        <f>SUM(AT612:BE612)</f>
        <v>-19.376593515556777</v>
      </c>
      <c r="DF612" s="12">
        <f>SUM(BF612:BQ612)</f>
        <v>-57.077870604106323</v>
      </c>
      <c r="DG612" s="12">
        <f>SUM(BR612:CC612)</f>
        <v>-128.43697778051842</v>
      </c>
      <c r="DH612" s="12">
        <f>SUM(CD612:CO612)</f>
        <v>-177.20307861701031</v>
      </c>
      <c r="DI612" s="12">
        <f t="shared" si="615"/>
        <v>-237.03480312730815</v>
      </c>
    </row>
    <row r="613" spans="2:113" outlineLevel="1">
      <c r="F613" s="126" t="s">
        <v>100</v>
      </c>
      <c r="I613" s="609" t="s">
        <v>736</v>
      </c>
      <c r="X613" s="702"/>
      <c r="AA613" s="698"/>
      <c r="AC613" s="698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702">
        <f t="shared" ref="AT613:DA617" si="632">AT651+AT690</f>
        <v>-8.3333333333333315E-3</v>
      </c>
      <c r="AU613" s="702">
        <f t="shared" si="632"/>
        <v>-1.6666666666666663E-2</v>
      </c>
      <c r="AV613" s="702">
        <f t="shared" si="632"/>
        <v>-2.5000000000000001E-2</v>
      </c>
      <c r="AW613" s="702">
        <f t="shared" si="632"/>
        <v>-3.3333333333333326E-2</v>
      </c>
      <c r="AX613" s="702">
        <f t="shared" si="632"/>
        <v>-4.1666666666666664E-2</v>
      </c>
      <c r="AY613" s="702">
        <f t="shared" si="632"/>
        <v>-4.9999999999999996E-2</v>
      </c>
      <c r="AZ613" s="702">
        <f t="shared" si="632"/>
        <v>-5.8333333333333327E-2</v>
      </c>
      <c r="BA613" s="702">
        <f t="shared" si="632"/>
        <v>-6.6666666666666652E-2</v>
      </c>
      <c r="BB613" s="702">
        <f t="shared" si="632"/>
        <v>-7.4999999999999997E-2</v>
      </c>
      <c r="BC613" s="702">
        <f t="shared" si="632"/>
        <v>-8.3333333333333343E-2</v>
      </c>
      <c r="BD613" s="702">
        <f t="shared" si="632"/>
        <v>-9.1666666666666674E-2</v>
      </c>
      <c r="BE613" s="702">
        <f t="shared" si="632"/>
        <v>-0.1</v>
      </c>
      <c r="BF613" s="12">
        <f t="shared" si="632"/>
        <v>-0.11304347826086956</v>
      </c>
      <c r="BG613" s="12">
        <f t="shared" si="632"/>
        <v>-0.12608695652173912</v>
      </c>
      <c r="BH613" s="12">
        <f t="shared" si="632"/>
        <v>-0.13913043478260867</v>
      </c>
      <c r="BI613" s="12">
        <f t="shared" si="632"/>
        <v>-0.15217391304347822</v>
      </c>
      <c r="BJ613" s="12">
        <f t="shared" si="632"/>
        <v>-0.16521739130434779</v>
      </c>
      <c r="BK613" s="12">
        <f t="shared" si="632"/>
        <v>-0.17826086956521736</v>
      </c>
      <c r="BL613" s="12">
        <f t="shared" si="632"/>
        <v>-0.19130434782608688</v>
      </c>
      <c r="BM613" s="12">
        <f t="shared" si="632"/>
        <v>-0.20434782608695645</v>
      </c>
      <c r="BN613" s="12">
        <f t="shared" si="632"/>
        <v>-0.21739130434782603</v>
      </c>
      <c r="BO613" s="12">
        <f t="shared" si="632"/>
        <v>-0.2304347826086956</v>
      </c>
      <c r="BP613" s="12">
        <f t="shared" si="632"/>
        <v>-0.2434782608695652</v>
      </c>
      <c r="BQ613" s="12">
        <f t="shared" si="632"/>
        <v>-0.4</v>
      </c>
      <c r="BR613" s="12">
        <f t="shared" si="632"/>
        <v>-0.40833333333333333</v>
      </c>
      <c r="BS613" s="12">
        <f t="shared" si="632"/>
        <v>-0.41666666666666663</v>
      </c>
      <c r="BT613" s="12">
        <f t="shared" si="632"/>
        <v>-0.42499999999999988</v>
      </c>
      <c r="BU613" s="12">
        <f t="shared" si="632"/>
        <v>-0.43333333333333318</v>
      </c>
      <c r="BV613" s="12">
        <f t="shared" si="632"/>
        <v>-0.44166666666666654</v>
      </c>
      <c r="BW613" s="12">
        <f t="shared" si="632"/>
        <v>-0.44999999999999984</v>
      </c>
      <c r="BX613" s="12">
        <f t="shared" si="632"/>
        <v>-0.45833333333333315</v>
      </c>
      <c r="BY613" s="12">
        <f t="shared" si="632"/>
        <v>-0.4666666666666664</v>
      </c>
      <c r="BZ613" s="12">
        <f t="shared" si="632"/>
        <v>-0.4749999999999997</v>
      </c>
      <c r="CA613" s="12">
        <f t="shared" si="632"/>
        <v>-0.483333333333333</v>
      </c>
      <c r="CB613" s="12">
        <f t="shared" si="632"/>
        <v>-0.49166666666666636</v>
      </c>
      <c r="CC613" s="12">
        <f t="shared" si="632"/>
        <v>-0.5</v>
      </c>
      <c r="CD613" s="12">
        <f t="shared" si="632"/>
        <v>-0.51666666666666672</v>
      </c>
      <c r="CE613" s="12">
        <f t="shared" si="632"/>
        <v>-0.53333333333333333</v>
      </c>
      <c r="CF613" s="12">
        <f t="shared" si="632"/>
        <v>-0.55000000000000016</v>
      </c>
      <c r="CG613" s="12">
        <f t="shared" si="632"/>
        <v>-0.56666666666666676</v>
      </c>
      <c r="CH613" s="12">
        <f t="shared" si="632"/>
        <v>-0.58333333333333348</v>
      </c>
      <c r="CI613" s="12">
        <f t="shared" si="632"/>
        <v>-0.6000000000000002</v>
      </c>
      <c r="CJ613" s="12">
        <f t="shared" si="632"/>
        <v>-0.61666666666666681</v>
      </c>
      <c r="CK613" s="12">
        <f t="shared" si="632"/>
        <v>-0.63333333333333364</v>
      </c>
      <c r="CL613" s="12">
        <f t="shared" si="632"/>
        <v>-0.65000000000000024</v>
      </c>
      <c r="CM613" s="12">
        <f t="shared" si="632"/>
        <v>-0.66666666666666696</v>
      </c>
      <c r="CN613" s="12">
        <f t="shared" si="632"/>
        <v>-0.68333333333333368</v>
      </c>
      <c r="CO613" s="12">
        <f t="shared" si="632"/>
        <v>-0.7</v>
      </c>
      <c r="CP613" s="12">
        <f t="shared" si="632"/>
        <v>-0.70833333333333326</v>
      </c>
      <c r="CQ613" s="12">
        <f t="shared" si="632"/>
        <v>-0.71666666666666667</v>
      </c>
      <c r="CR613" s="12">
        <f t="shared" si="632"/>
        <v>-0.72499999999999987</v>
      </c>
      <c r="CS613" s="12">
        <f t="shared" si="632"/>
        <v>-0.73333333333333328</v>
      </c>
      <c r="CT613" s="12">
        <f t="shared" si="632"/>
        <v>-0.74166666666666647</v>
      </c>
      <c r="CU613" s="12">
        <f t="shared" si="632"/>
        <v>-0.74999999999999978</v>
      </c>
      <c r="CV613" s="12">
        <f t="shared" si="632"/>
        <v>-0.75833333333333319</v>
      </c>
      <c r="CW613" s="12">
        <f t="shared" si="632"/>
        <v>-0.76666666666666639</v>
      </c>
      <c r="CX613" s="12">
        <f t="shared" si="632"/>
        <v>-0.7749999999999998</v>
      </c>
      <c r="CY613" s="12">
        <f t="shared" si="632"/>
        <v>-0.78333333333333299</v>
      </c>
      <c r="CZ613" s="12">
        <f t="shared" si="632"/>
        <v>-0.7916666666666663</v>
      </c>
      <c r="DA613" s="12">
        <f t="shared" si="632"/>
        <v>-0.8</v>
      </c>
      <c r="DC613" s="12">
        <f>SUM(V613:AG613)</f>
        <v>0</v>
      </c>
      <c r="DD613" s="12">
        <f>SUM(AH613:AS613)</f>
        <v>0</v>
      </c>
      <c r="DE613" s="12">
        <f>SUM(AT613:BE613)</f>
        <v>-0.64999999999999991</v>
      </c>
      <c r="DF613" s="12">
        <f>SUM(BF613:BQ613)</f>
        <v>-2.3608695652173908</v>
      </c>
      <c r="DG613" s="12">
        <f>SUM(BR613:CC613)</f>
        <v>-5.4499999999999975</v>
      </c>
      <c r="DH613" s="12">
        <f>SUM(CD613:CO613)</f>
        <v>-7.3000000000000016</v>
      </c>
      <c r="DI613" s="12">
        <f t="shared" si="615"/>
        <v>-9.0499999999999989</v>
      </c>
    </row>
    <row r="614" spans="2:113" outlineLevel="1">
      <c r="F614" s="126" t="s">
        <v>107</v>
      </c>
      <c r="I614" s="609" t="s">
        <v>736</v>
      </c>
      <c r="V614" s="702"/>
      <c r="Y614" s="702"/>
      <c r="AA614" s="698"/>
      <c r="AC614" s="698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702">
        <f t="shared" si="632"/>
        <v>0</v>
      </c>
      <c r="AU614" s="702">
        <f t="shared" si="632"/>
        <v>-1.25E-3</v>
      </c>
      <c r="AV614" s="702">
        <f t="shared" si="632"/>
        <v>-3.7499999999999999E-3</v>
      </c>
      <c r="AW614" s="702">
        <f t="shared" si="632"/>
        <v>-7.4999999999999997E-3</v>
      </c>
      <c r="AX614" s="702">
        <f t="shared" si="632"/>
        <v>-1.2499999999999999E-2</v>
      </c>
      <c r="AY614" s="702">
        <f t="shared" si="632"/>
        <v>-1.8749999999999999E-2</v>
      </c>
      <c r="AZ614" s="702">
        <f t="shared" si="632"/>
        <v>-2.6249999999999999E-2</v>
      </c>
      <c r="BA614" s="702">
        <f t="shared" si="632"/>
        <v>-3.4999999999999989E-2</v>
      </c>
      <c r="BB614" s="702">
        <f t="shared" si="632"/>
        <v>-4.4999999999999991E-2</v>
      </c>
      <c r="BC614" s="702">
        <f t="shared" si="632"/>
        <v>-5.6249999999999994E-2</v>
      </c>
      <c r="BD614" s="702">
        <f t="shared" si="632"/>
        <v>-6.8750000000000006E-2</v>
      </c>
      <c r="BE614" s="702">
        <f t="shared" si="632"/>
        <v>-8.2500000000000004E-2</v>
      </c>
      <c r="BF614" s="12">
        <f t="shared" si="632"/>
        <v>-9.7500000000000003E-2</v>
      </c>
      <c r="BG614" s="12">
        <f t="shared" si="632"/>
        <v>-0.11445652173913044</v>
      </c>
      <c r="BH614" s="12">
        <f t="shared" si="632"/>
        <v>-0.13336956521739129</v>
      </c>
      <c r="BI614" s="12">
        <f t="shared" si="632"/>
        <v>-0.15423913043478257</v>
      </c>
      <c r="BJ614" s="12">
        <f t="shared" si="632"/>
        <v>-0.17706521739130432</v>
      </c>
      <c r="BK614" s="12">
        <f t="shared" si="632"/>
        <v>-0.20184782608695648</v>
      </c>
      <c r="BL614" s="12">
        <f t="shared" si="632"/>
        <v>-0.2285869565217391</v>
      </c>
      <c r="BM614" s="12">
        <f t="shared" si="632"/>
        <v>-0.25728260869565206</v>
      </c>
      <c r="BN614" s="12">
        <f t="shared" si="632"/>
        <v>-0.28793478260869559</v>
      </c>
      <c r="BO614" s="12">
        <f t="shared" si="632"/>
        <v>-0.32054347826086949</v>
      </c>
      <c r="BP614" s="12">
        <f t="shared" si="632"/>
        <v>-0.3551086956521739</v>
      </c>
      <c r="BQ614" s="12">
        <f t="shared" si="632"/>
        <v>-0.39163043478260862</v>
      </c>
      <c r="BR614" s="12">
        <f t="shared" si="632"/>
        <v>-0.45163043478260861</v>
      </c>
      <c r="BS614" s="12">
        <f t="shared" si="632"/>
        <v>-0.51163043478260861</v>
      </c>
      <c r="BT614" s="12">
        <f t="shared" si="632"/>
        <v>-0.57163043478260867</v>
      </c>
      <c r="BU614" s="12">
        <f t="shared" si="632"/>
        <v>-0.63163043478260861</v>
      </c>
      <c r="BV614" s="12">
        <f t="shared" si="632"/>
        <v>-0.69163043478260855</v>
      </c>
      <c r="BW614" s="12">
        <f t="shared" si="632"/>
        <v>-0.75163043478260849</v>
      </c>
      <c r="BX614" s="12">
        <f t="shared" si="632"/>
        <v>-0.81163043478260855</v>
      </c>
      <c r="BY614" s="12">
        <f t="shared" si="632"/>
        <v>-0.87163043478260838</v>
      </c>
      <c r="BZ614" s="12">
        <f t="shared" si="632"/>
        <v>-0.93163043478260843</v>
      </c>
      <c r="CA614" s="12">
        <f t="shared" si="632"/>
        <v>-0.99163043478260837</v>
      </c>
      <c r="CB614" s="12">
        <f t="shared" si="632"/>
        <v>-1.0516304347826082</v>
      </c>
      <c r="CC614" s="12">
        <f t="shared" si="632"/>
        <v>-1.111630434782608</v>
      </c>
      <c r="CD614" s="12">
        <f t="shared" si="632"/>
        <v>-1.1716304347826081</v>
      </c>
      <c r="CE614" s="12">
        <f t="shared" si="632"/>
        <v>-1.2321739130434779</v>
      </c>
      <c r="CF614" s="12">
        <f t="shared" si="632"/>
        <v>-1.2932608695652168</v>
      </c>
      <c r="CG614" s="12">
        <f t="shared" si="632"/>
        <v>-1.3548913043478252</v>
      </c>
      <c r="CH614" s="12">
        <f t="shared" si="632"/>
        <v>-1.4170652173913039</v>
      </c>
      <c r="CI614" s="12">
        <f t="shared" si="632"/>
        <v>-1.4797826086956514</v>
      </c>
      <c r="CJ614" s="12">
        <f t="shared" si="632"/>
        <v>-1.5430434782608689</v>
      </c>
      <c r="CK614" s="12">
        <f t="shared" si="632"/>
        <v>-1.6068478260869559</v>
      </c>
      <c r="CL614" s="12">
        <f t="shared" si="632"/>
        <v>-1.6711956521739124</v>
      </c>
      <c r="CM614" s="12">
        <f t="shared" si="632"/>
        <v>-1.7360869565217383</v>
      </c>
      <c r="CN614" s="12">
        <f t="shared" si="632"/>
        <v>-1.8015217391304341</v>
      </c>
      <c r="CO614" s="12">
        <f t="shared" si="632"/>
        <v>-1.8674999999999993</v>
      </c>
      <c r="CP614" s="12">
        <f t="shared" si="632"/>
        <v>-1.9124999999999992</v>
      </c>
      <c r="CQ614" s="12">
        <f t="shared" si="632"/>
        <v>-1.9574999999999991</v>
      </c>
      <c r="CR614" s="12">
        <f t="shared" si="632"/>
        <v>-2.0024999999999991</v>
      </c>
      <c r="CS614" s="12">
        <f t="shared" si="632"/>
        <v>-2.047499999999999</v>
      </c>
      <c r="CT614" s="12">
        <f t="shared" si="632"/>
        <v>-2.0924999999999989</v>
      </c>
      <c r="CU614" s="12">
        <f t="shared" si="632"/>
        <v>-2.1374999999999993</v>
      </c>
      <c r="CV614" s="12">
        <f t="shared" si="632"/>
        <v>-2.1824999999999992</v>
      </c>
      <c r="CW614" s="12">
        <f t="shared" si="632"/>
        <v>-2.2274999999999991</v>
      </c>
      <c r="CX614" s="12">
        <f t="shared" si="632"/>
        <v>-2.2724999999999991</v>
      </c>
      <c r="CY614" s="12">
        <f t="shared" si="632"/>
        <v>-2.317499999999999</v>
      </c>
      <c r="CZ614" s="12">
        <f t="shared" si="632"/>
        <v>-2.3624999999999989</v>
      </c>
      <c r="DA614" s="12">
        <f t="shared" si="632"/>
        <v>-2.4074999999999993</v>
      </c>
      <c r="DC614" s="12">
        <f>SUM(V614:AG614)</f>
        <v>0</v>
      </c>
      <c r="DD614" s="12">
        <f>SUM(AH614:AS614)</f>
        <v>0</v>
      </c>
      <c r="DE614" s="12">
        <f>SUM(AT614:BE614)</f>
        <v>-0.35749999999999998</v>
      </c>
      <c r="DF614" s="12">
        <f>SUM(BF614:BQ614)</f>
        <v>-2.7195652173913043</v>
      </c>
      <c r="DG614" s="12">
        <f>SUM(BR614:CC614)</f>
        <v>-9.3795652173913009</v>
      </c>
      <c r="DH614" s="12">
        <f>SUM(CD614:CO614)</f>
        <v>-18.17499999999999</v>
      </c>
      <c r="DI614" s="12">
        <f t="shared" si="615"/>
        <v>-25.919999999999995</v>
      </c>
    </row>
    <row r="615" spans="2:113" outlineLevel="1">
      <c r="F615" s="126" t="s">
        <v>806</v>
      </c>
      <c r="I615" s="609" t="s">
        <v>736</v>
      </c>
      <c r="V615" s="702"/>
      <c r="X615" s="887"/>
      <c r="AA615" s="698"/>
      <c r="AC615" s="698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702">
        <f t="shared" si="632"/>
        <v>-3.3333333333333332E-4</v>
      </c>
      <c r="AU615" s="702">
        <f t="shared" si="632"/>
        <v>-6.6666666666666664E-4</v>
      </c>
      <c r="AV615" s="702">
        <f t="shared" si="632"/>
        <v>-1E-3</v>
      </c>
      <c r="AW615" s="702">
        <f t="shared" si="632"/>
        <v>-1.3333333333333333E-3</v>
      </c>
      <c r="AX615" s="702">
        <f t="shared" si="632"/>
        <v>-1.6666666666666666E-3</v>
      </c>
      <c r="AY615" s="702">
        <f t="shared" si="632"/>
        <v>-1.9999999999999996E-3</v>
      </c>
      <c r="AZ615" s="702">
        <f t="shared" si="632"/>
        <v>-2.3333333333333331E-3</v>
      </c>
      <c r="BA615" s="702">
        <f t="shared" si="632"/>
        <v>-2.6666666666666666E-3</v>
      </c>
      <c r="BB615" s="702">
        <f t="shared" si="632"/>
        <v>-3.0000000000000001E-3</v>
      </c>
      <c r="BC615" s="702">
        <f t="shared" si="632"/>
        <v>-3.3333333333333335E-3</v>
      </c>
      <c r="BD615" s="702">
        <f t="shared" si="632"/>
        <v>-3.666666666666667E-3</v>
      </c>
      <c r="BE615" s="702">
        <f t="shared" si="632"/>
        <v>-4.0000000000000001E-3</v>
      </c>
      <c r="BF615" s="12">
        <f t="shared" si="632"/>
        <v>-4.5217391304347822E-3</v>
      </c>
      <c r="BG615" s="12">
        <f t="shared" si="632"/>
        <v>-5.0434782608695643E-3</v>
      </c>
      <c r="BH615" s="12">
        <f t="shared" si="632"/>
        <v>-5.5652173913043473E-3</v>
      </c>
      <c r="BI615" s="12">
        <f t="shared" si="632"/>
        <v>-6.0869565217391295E-3</v>
      </c>
      <c r="BJ615" s="12">
        <f t="shared" si="632"/>
        <v>-6.6086956521739116E-3</v>
      </c>
      <c r="BK615" s="12">
        <f t="shared" si="632"/>
        <v>-7.1304347826086929E-3</v>
      </c>
      <c r="BL615" s="12">
        <f t="shared" si="632"/>
        <v>-7.6521739130434759E-3</v>
      </c>
      <c r="BM615" s="12">
        <f t="shared" si="632"/>
        <v>-8.1739130434782589E-3</v>
      </c>
      <c r="BN615" s="12">
        <f t="shared" si="632"/>
        <v>-8.6956521739130418E-3</v>
      </c>
      <c r="BO615" s="12">
        <f t="shared" si="632"/>
        <v>-9.2173913043478248E-3</v>
      </c>
      <c r="BP615" s="12">
        <f t="shared" si="632"/>
        <v>-9.7391304347826078E-3</v>
      </c>
      <c r="BQ615" s="12">
        <f t="shared" si="632"/>
        <v>-1.6E-2</v>
      </c>
      <c r="BR615" s="12">
        <f t="shared" si="632"/>
        <v>-1.6333333333333332E-2</v>
      </c>
      <c r="BS615" s="12">
        <f t="shared" si="632"/>
        <v>-1.6666666666666663E-2</v>
      </c>
      <c r="BT615" s="12">
        <f t="shared" si="632"/>
        <v>-1.6999999999999998E-2</v>
      </c>
      <c r="BU615" s="12">
        <f t="shared" si="632"/>
        <v>-1.7333333333333329E-2</v>
      </c>
      <c r="BV615" s="12">
        <f t="shared" si="632"/>
        <v>-1.766666666666666E-2</v>
      </c>
      <c r="BW615" s="12">
        <f t="shared" si="632"/>
        <v>-1.7999999999999992E-2</v>
      </c>
      <c r="BX615" s="12">
        <f t="shared" si="632"/>
        <v>-1.8333333333333326E-2</v>
      </c>
      <c r="BY615" s="12">
        <f t="shared" si="632"/>
        <v>-1.8666666666666658E-2</v>
      </c>
      <c r="BZ615" s="12">
        <f t="shared" si="632"/>
        <v>-1.8999999999999989E-2</v>
      </c>
      <c r="CA615" s="12">
        <f t="shared" si="632"/>
        <v>-1.933333333333332E-2</v>
      </c>
      <c r="CB615" s="12">
        <f t="shared" si="632"/>
        <v>-1.9666666666666652E-2</v>
      </c>
      <c r="CC615" s="12">
        <f t="shared" si="632"/>
        <v>-0.02</v>
      </c>
      <c r="CD615" s="12">
        <f t="shared" si="632"/>
        <v>-2.0666666666666667E-2</v>
      </c>
      <c r="CE615" s="12">
        <f t="shared" si="632"/>
        <v>-2.1333333333333336E-2</v>
      </c>
      <c r="CF615" s="12">
        <f t="shared" si="632"/>
        <v>-2.2000000000000002E-2</v>
      </c>
      <c r="CG615" s="12">
        <f t="shared" si="632"/>
        <v>-2.2666666666666672E-2</v>
      </c>
      <c r="CH615" s="12">
        <f t="shared" si="632"/>
        <v>-2.3333333333333338E-2</v>
      </c>
      <c r="CI615" s="12">
        <f t="shared" si="632"/>
        <v>-2.4000000000000007E-2</v>
      </c>
      <c r="CJ615" s="12">
        <f t="shared" si="632"/>
        <v>-2.4666666666666674E-2</v>
      </c>
      <c r="CK615" s="12">
        <f t="shared" si="632"/>
        <v>-2.5333333333333343E-2</v>
      </c>
      <c r="CL615" s="12">
        <f t="shared" si="632"/>
        <v>-2.6000000000000009E-2</v>
      </c>
      <c r="CM615" s="12">
        <f t="shared" si="632"/>
        <v>-2.6666666666666679E-2</v>
      </c>
      <c r="CN615" s="12">
        <f t="shared" si="632"/>
        <v>-2.7333333333333348E-2</v>
      </c>
      <c r="CO615" s="12">
        <f t="shared" si="632"/>
        <v>-2.8000000000000001E-2</v>
      </c>
      <c r="CP615" s="12">
        <f t="shared" si="632"/>
        <v>-2.8333333333333332E-2</v>
      </c>
      <c r="CQ615" s="12">
        <f t="shared" si="632"/>
        <v>-2.8666666666666663E-2</v>
      </c>
      <c r="CR615" s="12">
        <f t="shared" si="632"/>
        <v>-2.8999999999999998E-2</v>
      </c>
      <c r="CS615" s="12">
        <f t="shared" si="632"/>
        <v>-2.9333333333333329E-2</v>
      </c>
      <c r="CT615" s="12">
        <f t="shared" si="632"/>
        <v>-2.9666666666666661E-2</v>
      </c>
      <c r="CU615" s="12">
        <f t="shared" si="632"/>
        <v>-2.9999999999999992E-2</v>
      </c>
      <c r="CV615" s="12">
        <f t="shared" si="632"/>
        <v>-3.0333333333333323E-2</v>
      </c>
      <c r="CW615" s="12">
        <f t="shared" si="632"/>
        <v>-3.0666666666666658E-2</v>
      </c>
      <c r="CX615" s="12">
        <f t="shared" si="632"/>
        <v>-3.0999999999999989E-2</v>
      </c>
      <c r="CY615" s="12">
        <f t="shared" si="632"/>
        <v>-3.1333333333333324E-2</v>
      </c>
      <c r="CZ615" s="12">
        <f t="shared" si="632"/>
        <v>-3.1666666666666655E-2</v>
      </c>
      <c r="DA615" s="12">
        <f t="shared" si="632"/>
        <v>-3.2000000000000001E-2</v>
      </c>
      <c r="DC615" s="12">
        <f t="shared" ref="DC615:DC622" si="633">SUM(V615:AG615)</f>
        <v>0</v>
      </c>
      <c r="DD615" s="14">
        <f t="shared" ref="DD615:DD622" si="634">SUM(AH615:AS615)</f>
        <v>0</v>
      </c>
      <c r="DE615" s="14">
        <f t="shared" ref="DE615:DE622" si="635">SUM(AT615:BE615)</f>
        <v>-2.5999999999999999E-2</v>
      </c>
      <c r="DF615" s="14">
        <f t="shared" ref="DF615:DF622" si="636">SUM(BF615:BQ615)</f>
        <v>-9.4434782608695644E-2</v>
      </c>
      <c r="DG615" s="14">
        <f t="shared" ref="DG615:DG622" si="637">SUM(BR615:CC615)</f>
        <v>-0.21799999999999989</v>
      </c>
      <c r="DH615" s="14">
        <f t="shared" ref="DH615:DH622" si="638">SUM(CD615:CO615)</f>
        <v>-0.29200000000000004</v>
      </c>
      <c r="DI615" s="14">
        <f t="shared" si="615"/>
        <v>-0.36199999999999988</v>
      </c>
    </row>
    <row r="616" spans="2:113" outlineLevel="1">
      <c r="F616" s="126" t="s">
        <v>807</v>
      </c>
      <c r="I616" s="609" t="s">
        <v>736</v>
      </c>
      <c r="V616" s="702"/>
      <c r="X616" s="887"/>
      <c r="AA616" s="698"/>
      <c r="AC616" s="698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702">
        <f t="shared" si="632"/>
        <v>0</v>
      </c>
      <c r="AU616" s="702">
        <f t="shared" si="632"/>
        <v>0</v>
      </c>
      <c r="AV616" s="702">
        <f t="shared" si="632"/>
        <v>0</v>
      </c>
      <c r="AW616" s="702">
        <f t="shared" si="632"/>
        <v>0</v>
      </c>
      <c r="AX616" s="702">
        <f t="shared" si="632"/>
        <v>0</v>
      </c>
      <c r="AY616" s="702">
        <f t="shared" si="632"/>
        <v>0</v>
      </c>
      <c r="AZ616" s="702">
        <f t="shared" si="632"/>
        <v>0</v>
      </c>
      <c r="BA616" s="702">
        <f t="shared" si="632"/>
        <v>0</v>
      </c>
      <c r="BB616" s="702">
        <f t="shared" si="632"/>
        <v>0</v>
      </c>
      <c r="BC616" s="702">
        <f t="shared" si="632"/>
        <v>0</v>
      </c>
      <c r="BD616" s="702">
        <f t="shared" si="632"/>
        <v>0</v>
      </c>
      <c r="BE616" s="702">
        <f t="shared" si="632"/>
        <v>0</v>
      </c>
      <c r="BF616" s="12">
        <f t="shared" si="632"/>
        <v>0</v>
      </c>
      <c r="BG616" s="12">
        <f t="shared" si="632"/>
        <v>0</v>
      </c>
      <c r="BH616" s="12">
        <f t="shared" si="632"/>
        <v>0</v>
      </c>
      <c r="BI616" s="12">
        <f t="shared" si="632"/>
        <v>0</v>
      </c>
      <c r="BJ616" s="12">
        <f t="shared" si="632"/>
        <v>0</v>
      </c>
      <c r="BK616" s="12">
        <f t="shared" si="632"/>
        <v>0</v>
      </c>
      <c r="BL616" s="12">
        <f t="shared" si="632"/>
        <v>0</v>
      </c>
      <c r="BM616" s="12">
        <f t="shared" si="632"/>
        <v>0</v>
      </c>
      <c r="BN616" s="12">
        <f t="shared" si="632"/>
        <v>0</v>
      </c>
      <c r="BO616" s="12">
        <f t="shared" si="632"/>
        <v>0</v>
      </c>
      <c r="BP616" s="12">
        <f t="shared" si="632"/>
        <v>0</v>
      </c>
      <c r="BQ616" s="12">
        <f t="shared" si="632"/>
        <v>0</v>
      </c>
      <c r="BR616" s="12">
        <f t="shared" si="632"/>
        <v>0</v>
      </c>
      <c r="BS616" s="12">
        <f t="shared" si="632"/>
        <v>0</v>
      </c>
      <c r="BT616" s="12">
        <f t="shared" si="632"/>
        <v>0</v>
      </c>
      <c r="BU616" s="12">
        <f t="shared" si="632"/>
        <v>0</v>
      </c>
      <c r="BV616" s="12">
        <f t="shared" si="632"/>
        <v>0</v>
      </c>
      <c r="BW616" s="12">
        <f t="shared" si="632"/>
        <v>0</v>
      </c>
      <c r="BX616" s="12">
        <f t="shared" si="632"/>
        <v>0</v>
      </c>
      <c r="BY616" s="12">
        <f t="shared" si="632"/>
        <v>0</v>
      </c>
      <c r="BZ616" s="12">
        <f t="shared" si="632"/>
        <v>0</v>
      </c>
      <c r="CA616" s="12">
        <f t="shared" si="632"/>
        <v>0</v>
      </c>
      <c r="CB616" s="12">
        <f t="shared" si="632"/>
        <v>0</v>
      </c>
      <c r="CC616" s="12">
        <f t="shared" si="632"/>
        <v>0</v>
      </c>
      <c r="CD616" s="12">
        <f t="shared" si="632"/>
        <v>0</v>
      </c>
      <c r="CE616" s="12">
        <f t="shared" si="632"/>
        <v>0</v>
      </c>
      <c r="CF616" s="12">
        <f t="shared" si="632"/>
        <v>0</v>
      </c>
      <c r="CG616" s="12">
        <f t="shared" si="632"/>
        <v>0</v>
      </c>
      <c r="CH616" s="12">
        <f t="shared" si="632"/>
        <v>0</v>
      </c>
      <c r="CI616" s="12">
        <f t="shared" si="632"/>
        <v>0</v>
      </c>
      <c r="CJ616" s="12">
        <f t="shared" si="632"/>
        <v>0</v>
      </c>
      <c r="CK616" s="12">
        <f t="shared" si="632"/>
        <v>0</v>
      </c>
      <c r="CL616" s="12">
        <f t="shared" si="632"/>
        <v>0</v>
      </c>
      <c r="CM616" s="12">
        <f t="shared" si="632"/>
        <v>0</v>
      </c>
      <c r="CN616" s="12">
        <f t="shared" si="632"/>
        <v>0</v>
      </c>
      <c r="CO616" s="12">
        <f t="shared" si="632"/>
        <v>0</v>
      </c>
      <c r="CP616" s="12">
        <f t="shared" si="632"/>
        <v>0</v>
      </c>
      <c r="CQ616" s="12">
        <f t="shared" si="632"/>
        <v>0</v>
      </c>
      <c r="CR616" s="12">
        <f t="shared" si="632"/>
        <v>0</v>
      </c>
      <c r="CS616" s="12">
        <f t="shared" si="632"/>
        <v>0</v>
      </c>
      <c r="CT616" s="12">
        <f t="shared" si="632"/>
        <v>0</v>
      </c>
      <c r="CU616" s="12">
        <f t="shared" si="632"/>
        <v>0</v>
      </c>
      <c r="CV616" s="12">
        <f t="shared" si="632"/>
        <v>0</v>
      </c>
      <c r="CW616" s="12">
        <f t="shared" si="632"/>
        <v>0</v>
      </c>
      <c r="CX616" s="12">
        <f t="shared" si="632"/>
        <v>0</v>
      </c>
      <c r="CY616" s="12">
        <f t="shared" si="632"/>
        <v>0</v>
      </c>
      <c r="CZ616" s="12">
        <f t="shared" si="632"/>
        <v>0</v>
      </c>
      <c r="DA616" s="12">
        <f t="shared" si="632"/>
        <v>0</v>
      </c>
      <c r="DC616" s="12">
        <f t="shared" si="633"/>
        <v>0</v>
      </c>
      <c r="DD616" s="12">
        <f t="shared" si="634"/>
        <v>0</v>
      </c>
      <c r="DE616" s="12">
        <f t="shared" si="635"/>
        <v>0</v>
      </c>
      <c r="DF616" s="12">
        <f t="shared" si="636"/>
        <v>0</v>
      </c>
      <c r="DG616" s="12">
        <f t="shared" si="637"/>
        <v>0</v>
      </c>
      <c r="DH616" s="12">
        <f t="shared" si="638"/>
        <v>0</v>
      </c>
      <c r="DI616" s="12">
        <f t="shared" si="615"/>
        <v>0</v>
      </c>
    </row>
    <row r="617" spans="2:113" outlineLevel="1">
      <c r="F617" s="126" t="s">
        <v>703</v>
      </c>
      <c r="I617" s="609" t="s">
        <v>736</v>
      </c>
      <c r="V617" s="702"/>
      <c r="X617" s="887"/>
      <c r="AA617" s="698"/>
      <c r="AC617" s="698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702">
        <f t="shared" si="632"/>
        <v>0</v>
      </c>
      <c r="AU617" s="702">
        <f t="shared" si="632"/>
        <v>0</v>
      </c>
      <c r="AV617" s="702">
        <f t="shared" si="632"/>
        <v>0</v>
      </c>
      <c r="AW617" s="702">
        <f t="shared" si="632"/>
        <v>0</v>
      </c>
      <c r="AX617" s="702">
        <f t="shared" si="632"/>
        <v>0</v>
      </c>
      <c r="AY617" s="702">
        <f t="shared" si="632"/>
        <v>0</v>
      </c>
      <c r="AZ617" s="702">
        <f t="shared" si="632"/>
        <v>0</v>
      </c>
      <c r="BA617" s="702">
        <f t="shared" si="632"/>
        <v>0</v>
      </c>
      <c r="BB617" s="702">
        <f t="shared" si="632"/>
        <v>0</v>
      </c>
      <c r="BC617" s="702">
        <f t="shared" si="632"/>
        <v>0</v>
      </c>
      <c r="BD617" s="702">
        <f t="shared" si="632"/>
        <v>0</v>
      </c>
      <c r="BE617" s="702">
        <f t="shared" si="632"/>
        <v>0</v>
      </c>
      <c r="BF617" s="12">
        <f t="shared" si="632"/>
        <v>0</v>
      </c>
      <c r="BG617" s="12">
        <f t="shared" si="632"/>
        <v>0</v>
      </c>
      <c r="BH617" s="12">
        <f t="shared" si="632"/>
        <v>0</v>
      </c>
      <c r="BI617" s="12">
        <f t="shared" ref="BI617:DA618" si="639">BI655+BI694</f>
        <v>0</v>
      </c>
      <c r="BJ617" s="12">
        <f t="shared" si="639"/>
        <v>0</v>
      </c>
      <c r="BK617" s="12">
        <f t="shared" si="639"/>
        <v>0</v>
      </c>
      <c r="BL617" s="12">
        <f t="shared" si="639"/>
        <v>0</v>
      </c>
      <c r="BM617" s="12">
        <f t="shared" si="639"/>
        <v>0</v>
      </c>
      <c r="BN617" s="12">
        <f t="shared" si="639"/>
        <v>0</v>
      </c>
      <c r="BO617" s="12">
        <f t="shared" si="639"/>
        <v>0</v>
      </c>
      <c r="BP617" s="12">
        <f t="shared" si="639"/>
        <v>0</v>
      </c>
      <c r="BQ617" s="12">
        <f t="shared" si="639"/>
        <v>0</v>
      </c>
      <c r="BR617" s="12">
        <f t="shared" si="639"/>
        <v>0</v>
      </c>
      <c r="BS617" s="12">
        <f t="shared" si="639"/>
        <v>0</v>
      </c>
      <c r="BT617" s="12">
        <f t="shared" si="639"/>
        <v>0</v>
      </c>
      <c r="BU617" s="12">
        <f t="shared" si="639"/>
        <v>0</v>
      </c>
      <c r="BV617" s="12">
        <f t="shared" si="639"/>
        <v>0</v>
      </c>
      <c r="BW617" s="12">
        <f t="shared" si="639"/>
        <v>0</v>
      </c>
      <c r="BX617" s="12">
        <f t="shared" si="639"/>
        <v>0</v>
      </c>
      <c r="BY617" s="12">
        <f t="shared" si="639"/>
        <v>0</v>
      </c>
      <c r="BZ617" s="12">
        <f t="shared" si="639"/>
        <v>0</v>
      </c>
      <c r="CA617" s="12">
        <f t="shared" si="639"/>
        <v>0</v>
      </c>
      <c r="CB617" s="12">
        <f t="shared" si="639"/>
        <v>0</v>
      </c>
      <c r="CC617" s="12">
        <f t="shared" si="639"/>
        <v>0</v>
      </c>
      <c r="CD617" s="12">
        <f t="shared" si="639"/>
        <v>0</v>
      </c>
      <c r="CE617" s="12">
        <f t="shared" si="639"/>
        <v>0</v>
      </c>
      <c r="CF617" s="12">
        <f t="shared" si="639"/>
        <v>0</v>
      </c>
      <c r="CG617" s="12">
        <f t="shared" si="639"/>
        <v>0</v>
      </c>
      <c r="CH617" s="12">
        <f t="shared" si="639"/>
        <v>0</v>
      </c>
      <c r="CI617" s="12">
        <f t="shared" si="639"/>
        <v>0</v>
      </c>
      <c r="CJ617" s="12">
        <f t="shared" si="639"/>
        <v>0</v>
      </c>
      <c r="CK617" s="12">
        <f t="shared" si="639"/>
        <v>0</v>
      </c>
      <c r="CL617" s="12">
        <f t="shared" si="639"/>
        <v>0</v>
      </c>
      <c r="CM617" s="12">
        <f t="shared" si="639"/>
        <v>0</v>
      </c>
      <c r="CN617" s="12">
        <f t="shared" si="639"/>
        <v>0</v>
      </c>
      <c r="CO617" s="12">
        <f t="shared" si="639"/>
        <v>0</v>
      </c>
      <c r="CP617" s="12">
        <f t="shared" si="639"/>
        <v>0</v>
      </c>
      <c r="CQ617" s="12">
        <f t="shared" si="639"/>
        <v>0</v>
      </c>
      <c r="CR617" s="12">
        <f t="shared" si="639"/>
        <v>0</v>
      </c>
      <c r="CS617" s="12">
        <f t="shared" si="639"/>
        <v>0</v>
      </c>
      <c r="CT617" s="12">
        <f t="shared" si="639"/>
        <v>0</v>
      </c>
      <c r="CU617" s="12">
        <f t="shared" si="639"/>
        <v>0</v>
      </c>
      <c r="CV617" s="12">
        <f t="shared" si="639"/>
        <v>0</v>
      </c>
      <c r="CW617" s="12">
        <f t="shared" si="639"/>
        <v>0</v>
      </c>
      <c r="CX617" s="12">
        <f t="shared" si="639"/>
        <v>0</v>
      </c>
      <c r="CY617" s="12">
        <f t="shared" si="639"/>
        <v>0</v>
      </c>
      <c r="CZ617" s="12">
        <f t="shared" si="639"/>
        <v>0</v>
      </c>
      <c r="DA617" s="12">
        <f t="shared" si="639"/>
        <v>0</v>
      </c>
      <c r="DC617" s="12">
        <f t="shared" si="633"/>
        <v>0</v>
      </c>
      <c r="DD617" s="12">
        <f t="shared" si="634"/>
        <v>0</v>
      </c>
      <c r="DE617" s="12">
        <f t="shared" si="635"/>
        <v>0</v>
      </c>
      <c r="DF617" s="12">
        <f t="shared" si="636"/>
        <v>0</v>
      </c>
      <c r="DG617" s="12">
        <f t="shared" si="637"/>
        <v>0</v>
      </c>
      <c r="DH617" s="12">
        <f t="shared" si="638"/>
        <v>0</v>
      </c>
      <c r="DI617" s="12">
        <f t="shared" si="615"/>
        <v>0</v>
      </c>
    </row>
    <row r="618" spans="2:113" outlineLevel="1">
      <c r="F618" s="126" t="s">
        <v>163</v>
      </c>
      <c r="I618" s="609" t="s">
        <v>736</v>
      </c>
      <c r="V618" s="702"/>
      <c r="X618" s="887"/>
      <c r="AA618" s="698"/>
      <c r="AC618" s="698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702">
        <f t="shared" ref="AT618:CO618" si="640">AT656+AT695</f>
        <v>-1.75E-4</v>
      </c>
      <c r="AU618" s="702">
        <f t="shared" si="640"/>
        <v>-3.8499999999999998E-4</v>
      </c>
      <c r="AV618" s="702">
        <f t="shared" si="640"/>
        <v>-6.2999999999999992E-4</v>
      </c>
      <c r="AW618" s="702">
        <f t="shared" si="640"/>
        <v>-9.1E-4</v>
      </c>
      <c r="AX618" s="702">
        <f t="shared" si="640"/>
        <v>-1.225E-3</v>
      </c>
      <c r="AY618" s="702">
        <f t="shared" si="640"/>
        <v>-1.5749999999999996E-3</v>
      </c>
      <c r="AZ618" s="702">
        <f t="shared" si="640"/>
        <v>-1.9599999999999999E-3</v>
      </c>
      <c r="BA618" s="702">
        <f t="shared" si="640"/>
        <v>-2.3799999999999997E-3</v>
      </c>
      <c r="BB618" s="702">
        <f t="shared" si="640"/>
        <v>-2.8349999999999998E-3</v>
      </c>
      <c r="BC618" s="702">
        <f t="shared" si="640"/>
        <v>-3.3249999999999998E-3</v>
      </c>
      <c r="BD618" s="702">
        <f t="shared" si="640"/>
        <v>-3.8500000000000001E-3</v>
      </c>
      <c r="BE618" s="702">
        <f t="shared" si="640"/>
        <v>-4.4099999999999999E-3</v>
      </c>
      <c r="BF618" s="12">
        <f t="shared" si="640"/>
        <v>-5.1039130434782608E-3</v>
      </c>
      <c r="BG618" s="12">
        <f t="shared" si="640"/>
        <v>-5.8526086956521735E-3</v>
      </c>
      <c r="BH618" s="12">
        <f t="shared" si="640"/>
        <v>-6.656086956521738E-3</v>
      </c>
      <c r="BI618" s="12">
        <f t="shared" si="640"/>
        <v>-7.5143478260869551E-3</v>
      </c>
      <c r="BJ618" s="12">
        <f t="shared" si="640"/>
        <v>-8.4273913043478241E-3</v>
      </c>
      <c r="BK618" s="12">
        <f t="shared" si="640"/>
        <v>-9.3952173913043457E-3</v>
      </c>
      <c r="BL618" s="12">
        <f t="shared" si="640"/>
        <v>-1.041782608695652E-2</v>
      </c>
      <c r="BM618" s="12">
        <f t="shared" si="640"/>
        <v>-1.1495217391304343E-2</v>
      </c>
      <c r="BN618" s="12">
        <f t="shared" si="640"/>
        <v>-1.2627391304347823E-2</v>
      </c>
      <c r="BO618" s="12">
        <f t="shared" si="640"/>
        <v>-1.3814347826086953E-2</v>
      </c>
      <c r="BP618" s="12">
        <f t="shared" si="640"/>
        <v>-1.5056086956521737E-2</v>
      </c>
      <c r="BQ618" s="12">
        <f t="shared" si="640"/>
        <v>-1.9365652173913041E-2</v>
      </c>
      <c r="BR618" s="12">
        <f t="shared" si="640"/>
        <v>-2.1220652173913043E-2</v>
      </c>
      <c r="BS618" s="12">
        <f t="shared" si="640"/>
        <v>-2.3075652173913039E-2</v>
      </c>
      <c r="BT618" s="12">
        <f t="shared" si="640"/>
        <v>-2.4930652173913038E-2</v>
      </c>
      <c r="BU618" s="12">
        <f t="shared" si="640"/>
        <v>-2.6785652173913037E-2</v>
      </c>
      <c r="BV618" s="12">
        <f t="shared" si="640"/>
        <v>-2.8640652173913032E-2</v>
      </c>
      <c r="BW618" s="12">
        <f t="shared" si="640"/>
        <v>-3.0495652173913035E-2</v>
      </c>
      <c r="BX618" s="12">
        <f t="shared" si="640"/>
        <v>-3.235065217391303E-2</v>
      </c>
      <c r="BY618" s="12">
        <f t="shared" si="640"/>
        <v>-3.4205652173913026E-2</v>
      </c>
      <c r="BZ618" s="12">
        <f t="shared" si="640"/>
        <v>-3.6060652173913028E-2</v>
      </c>
      <c r="CA618" s="12">
        <f t="shared" si="640"/>
        <v>-3.7915652173913024E-2</v>
      </c>
      <c r="CB618" s="12">
        <f t="shared" si="640"/>
        <v>-3.9770652173913026E-2</v>
      </c>
      <c r="CC618" s="12">
        <f t="shared" si="640"/>
        <v>-4.1625652173913029E-2</v>
      </c>
      <c r="CD618" s="12">
        <f t="shared" si="640"/>
        <v>-4.3655652173913026E-2</v>
      </c>
      <c r="CE618" s="12">
        <f t="shared" si="640"/>
        <v>-4.5700869565217371E-2</v>
      </c>
      <c r="CF618" s="12">
        <f t="shared" si="640"/>
        <v>-4.7761304347826064E-2</v>
      </c>
      <c r="CG618" s="12">
        <f t="shared" si="640"/>
        <v>-4.9836956521739112E-2</v>
      </c>
      <c r="CH618" s="12">
        <f t="shared" si="640"/>
        <v>-5.1927826086956508E-2</v>
      </c>
      <c r="CI618" s="12">
        <f t="shared" si="640"/>
        <v>-5.4033913043478252E-2</v>
      </c>
      <c r="CJ618" s="12">
        <f t="shared" si="640"/>
        <v>-5.6155217391304323E-2</v>
      </c>
      <c r="CK618" s="12">
        <f t="shared" si="640"/>
        <v>-5.8291739130434769E-2</v>
      </c>
      <c r="CL618" s="12">
        <f t="shared" si="640"/>
        <v>-6.0443478260869557E-2</v>
      </c>
      <c r="CM618" s="12">
        <f t="shared" si="640"/>
        <v>-6.2610434782608679E-2</v>
      </c>
      <c r="CN618" s="12">
        <f t="shared" si="640"/>
        <v>-6.4792608695652162E-2</v>
      </c>
      <c r="CO618" s="12">
        <f t="shared" si="640"/>
        <v>-6.698999999999998E-2</v>
      </c>
      <c r="CP618" s="12">
        <f t="shared" si="639"/>
        <v>-6.8424999999999972E-2</v>
      </c>
      <c r="CQ618" s="12">
        <f t="shared" si="639"/>
        <v>-6.9859999999999964E-2</v>
      </c>
      <c r="CR618" s="12">
        <f t="shared" si="639"/>
        <v>-7.129499999999997E-2</v>
      </c>
      <c r="CS618" s="12">
        <f t="shared" si="639"/>
        <v>-7.2729999999999961E-2</v>
      </c>
      <c r="CT618" s="12">
        <f t="shared" si="639"/>
        <v>-7.4164999999999967E-2</v>
      </c>
      <c r="CU618" s="12">
        <f t="shared" si="639"/>
        <v>-7.5599999999999973E-2</v>
      </c>
      <c r="CV618" s="12">
        <f t="shared" si="639"/>
        <v>-7.7034999999999965E-2</v>
      </c>
      <c r="CW618" s="12">
        <f t="shared" si="639"/>
        <v>-7.846999999999997E-2</v>
      </c>
      <c r="CX618" s="12">
        <f t="shared" si="639"/>
        <v>-7.9904999999999962E-2</v>
      </c>
      <c r="CY618" s="12">
        <f t="shared" si="639"/>
        <v>-8.1339999999999968E-2</v>
      </c>
      <c r="CZ618" s="12">
        <f t="shared" si="639"/>
        <v>-8.277499999999996E-2</v>
      </c>
      <c r="DA618" s="12">
        <f t="shared" si="639"/>
        <v>-8.4209999999999965E-2</v>
      </c>
      <c r="DC618" s="12">
        <f t="shared" si="633"/>
        <v>0</v>
      </c>
      <c r="DD618" s="12">
        <f t="shared" si="634"/>
        <v>0</v>
      </c>
      <c r="DE618" s="12">
        <f t="shared" si="635"/>
        <v>-2.366E-2</v>
      </c>
      <c r="DF618" s="12">
        <f t="shared" si="636"/>
        <v>-0.12572608695652171</v>
      </c>
      <c r="DG618" s="12">
        <f t="shared" si="637"/>
        <v>-0.37707782608695634</v>
      </c>
      <c r="DH618" s="12">
        <f t="shared" si="638"/>
        <v>-0.66219999999999979</v>
      </c>
      <c r="DI618" s="12">
        <f t="shared" si="615"/>
        <v>-0.91580999999999957</v>
      </c>
    </row>
    <row r="619" spans="2:113" outlineLevel="1">
      <c r="F619" s="718" t="s">
        <v>152</v>
      </c>
      <c r="I619" s="609" t="s">
        <v>736</v>
      </c>
      <c r="V619" s="702"/>
      <c r="X619" s="887"/>
      <c r="AA619" s="698"/>
      <c r="AC619" s="698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750">
        <v>-8.5500000000000007E-2</v>
      </c>
      <c r="AU619" s="750">
        <v>-8.5500000000000007E-2</v>
      </c>
      <c r="AV619" s="750">
        <v>-8.5500000000000007E-2</v>
      </c>
      <c r="AW619" s="750">
        <v>-8.5500000000000007E-2</v>
      </c>
      <c r="AX619" s="750">
        <v>-8.5500000000000007E-2</v>
      </c>
      <c r="AY619" s="750">
        <v>-8.5500000000000007E-2</v>
      </c>
      <c r="AZ619" s="750">
        <v>-2.5500000000000002E-2</v>
      </c>
      <c r="BA619" s="750">
        <v>-2.5500000000000002E-2</v>
      </c>
      <c r="BB619" s="750">
        <v>-2.5500000000000002E-2</v>
      </c>
      <c r="BC619" s="750">
        <v>-2.5500000000000002E-2</v>
      </c>
      <c r="BD619" s="750">
        <v>-2.5500000000000002E-2</v>
      </c>
      <c r="BE619" s="750">
        <v>-2.5500000000000002E-2</v>
      </c>
      <c r="BF619" s="772">
        <v>-2.5500000000000002E-2</v>
      </c>
      <c r="BG619" s="772">
        <v>-2.5500000000000002E-2</v>
      </c>
      <c r="BH619" s="772">
        <v>-2.5500000000000002E-2</v>
      </c>
      <c r="BI619" s="772">
        <v>-2.5500000000000002E-2</v>
      </c>
      <c r="BJ619" s="772">
        <v>-2.5500000000000002E-2</v>
      </c>
      <c r="BK619" s="772">
        <v>-2.5500000000000002E-2</v>
      </c>
      <c r="BL619" s="772">
        <v>-2.5500000000000002E-2</v>
      </c>
      <c r="BM619" s="772">
        <v>-2.5500000000000002E-2</v>
      </c>
      <c r="BN619" s="772">
        <v>-2.5500000000000002E-2</v>
      </c>
      <c r="BO619" s="772">
        <v>-2.5500000000000002E-2</v>
      </c>
      <c r="BP619" s="772">
        <v>-2.5500000000000002E-2</v>
      </c>
      <c r="BQ619" s="772">
        <v>-2.5500000000000002E-2</v>
      </c>
      <c r="BR619" s="772">
        <v>-2.5500000000000002E-2</v>
      </c>
      <c r="BS619" s="772">
        <v>-2.5500000000000002E-2</v>
      </c>
      <c r="BT619" s="772">
        <v>-2.5500000000000002E-2</v>
      </c>
      <c r="BU619" s="772">
        <v>-2.5500000000000002E-2</v>
      </c>
      <c r="BV619" s="772">
        <v>-2.5500000000000002E-2</v>
      </c>
      <c r="BW619" s="772">
        <v>-2.5500000000000002E-2</v>
      </c>
      <c r="BX619" s="772">
        <v>-2.5500000000000002E-2</v>
      </c>
      <c r="BY619" s="772">
        <v>-2.5500000000000002E-2</v>
      </c>
      <c r="BZ619" s="772">
        <v>-2.5500000000000002E-2</v>
      </c>
      <c r="CA619" s="772">
        <v>-2.5500000000000002E-2</v>
      </c>
      <c r="CB619" s="772">
        <v>-2.5500000000000002E-2</v>
      </c>
      <c r="CC619" s="772">
        <v>-2.5500000000000002E-2</v>
      </c>
      <c r="CD619" s="772">
        <v>-2.5500000000000002E-2</v>
      </c>
      <c r="CE619" s="772">
        <v>-2.5500000000000002E-2</v>
      </c>
      <c r="CF619" s="772">
        <v>-2.5500000000000002E-2</v>
      </c>
      <c r="CG619" s="772">
        <v>-2.5500000000000002E-2</v>
      </c>
      <c r="CH619" s="772">
        <v>-2.5500000000000002E-2</v>
      </c>
      <c r="CI619" s="772">
        <v>-2.5500000000000002E-2</v>
      </c>
      <c r="CJ619" s="772">
        <v>-2.5500000000000002E-2</v>
      </c>
      <c r="CK619" s="772">
        <v>-2.5500000000000002E-2</v>
      </c>
      <c r="CL619" s="772">
        <v>-2.5500000000000002E-2</v>
      </c>
      <c r="CM619" s="772">
        <v>-2.5500000000000002E-2</v>
      </c>
      <c r="CN619" s="772">
        <v>-2.5500000000000002E-2</v>
      </c>
      <c r="CO619" s="772">
        <v>-2.5500000000000002E-2</v>
      </c>
      <c r="CP619" s="772">
        <v>-2.5500000000000002E-2</v>
      </c>
      <c r="CQ619" s="772">
        <v>-2.5500000000000002E-2</v>
      </c>
      <c r="CR619" s="772">
        <v>-2.5500000000000002E-2</v>
      </c>
      <c r="CS619" s="772">
        <v>-2.5500000000000002E-2</v>
      </c>
      <c r="CT619" s="772">
        <v>-2.5500000000000002E-2</v>
      </c>
      <c r="CU619" s="772">
        <v>-2.5500000000000002E-2</v>
      </c>
      <c r="CV619" s="772">
        <v>-2.5500000000000002E-2</v>
      </c>
      <c r="CW619" s="772">
        <v>-2.5500000000000002E-2</v>
      </c>
      <c r="CX619" s="772">
        <v>-2.5500000000000002E-2</v>
      </c>
      <c r="CY619" s="772">
        <v>-2.5500000000000002E-2</v>
      </c>
      <c r="CZ619" s="772">
        <v>-2.5500000000000002E-2</v>
      </c>
      <c r="DA619" s="772">
        <v>-2.5500000000000002E-2</v>
      </c>
      <c r="DC619" s="12"/>
      <c r="DD619" s="12">
        <f>SUM(AH619:AS619)</f>
        <v>0</v>
      </c>
      <c r="DE619" s="12">
        <f>SUM(AT619:BE619)</f>
        <v>-0.66599999999999981</v>
      </c>
      <c r="DF619" s="12">
        <f>SUM(BF619:BQ619)</f>
        <v>-0.30600000000000005</v>
      </c>
      <c r="DG619" s="12">
        <f>SUM(BR619:CC619)</f>
        <v>-0.30600000000000005</v>
      </c>
      <c r="DH619" s="12">
        <f>SUM(CD619:CO619)</f>
        <v>-0.30600000000000005</v>
      </c>
      <c r="DI619" s="12">
        <f t="shared" si="615"/>
        <v>-0.30600000000000005</v>
      </c>
    </row>
    <row r="620" spans="2:113" outlineLevel="1">
      <c r="F620" s="126" t="s">
        <v>144</v>
      </c>
      <c r="H620" s="727"/>
      <c r="I620" s="609" t="s">
        <v>736</v>
      </c>
      <c r="V620" s="702"/>
      <c r="X620" s="887"/>
      <c r="AA620" s="698"/>
      <c r="AC620" s="698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750">
        <v>-0.66666666666666674</v>
      </c>
      <c r="AU620" s="773">
        <v>-0.66666666666666674</v>
      </c>
      <c r="AV620" s="773">
        <v>-0.66666666666666674</v>
      </c>
      <c r="AW620" s="773">
        <v>-0.66666666666666674</v>
      </c>
      <c r="AX620" s="773">
        <v>-0.66666666666666674</v>
      </c>
      <c r="AY620" s="773">
        <v>-0.66666666666666674</v>
      </c>
      <c r="AZ620" s="773">
        <v>-0.66666666666666674</v>
      </c>
      <c r="BA620" s="773">
        <v>-0.66666666666666674</v>
      </c>
      <c r="BB620" s="773">
        <v>-0.66666666666666674</v>
      </c>
      <c r="BC620" s="773">
        <v>-0.66666666666666674</v>
      </c>
      <c r="BD620" s="773">
        <v>-0.66666666666666674</v>
      </c>
      <c r="BE620" s="773">
        <v>-0.66666666666666674</v>
      </c>
      <c r="BF620" s="964">
        <v>-1</v>
      </c>
      <c r="BG620" s="964">
        <v>-1</v>
      </c>
      <c r="BH620" s="964">
        <v>-1</v>
      </c>
      <c r="BI620" s="964">
        <v>-1</v>
      </c>
      <c r="BJ620" s="964">
        <v>-1</v>
      </c>
      <c r="BK620" s="964">
        <v>-1</v>
      </c>
      <c r="BL620" s="964">
        <v>-1</v>
      </c>
      <c r="BM620" s="964">
        <v>-1</v>
      </c>
      <c r="BN620" s="964">
        <v>-1</v>
      </c>
      <c r="BO620" s="964">
        <v>-1</v>
      </c>
      <c r="BP620" s="964">
        <v>-1</v>
      </c>
      <c r="BQ620" s="964">
        <v>-1</v>
      </c>
      <c r="BR620" s="964">
        <v>-1.3</v>
      </c>
      <c r="BS620" s="964">
        <v>-1.3</v>
      </c>
      <c r="BT620" s="964">
        <v>-1.3</v>
      </c>
      <c r="BU620" s="964">
        <v>-1.3</v>
      </c>
      <c r="BV620" s="964">
        <v>-1.3</v>
      </c>
      <c r="BW620" s="964">
        <v>-1.3</v>
      </c>
      <c r="BX620" s="964">
        <v>-1.3</v>
      </c>
      <c r="BY620" s="964">
        <v>-1.3</v>
      </c>
      <c r="BZ620" s="964">
        <v>-1.3</v>
      </c>
      <c r="CA620" s="964">
        <v>-1.3</v>
      </c>
      <c r="CB620" s="964">
        <v>-1.3</v>
      </c>
      <c r="CC620" s="964">
        <v>-1.3</v>
      </c>
      <c r="CD620" s="964">
        <v>-1.56</v>
      </c>
      <c r="CE620" s="964">
        <v>-1.56</v>
      </c>
      <c r="CF620" s="964">
        <v>-1.56</v>
      </c>
      <c r="CG620" s="964">
        <v>-1.56</v>
      </c>
      <c r="CH620" s="964">
        <v>-1.56</v>
      </c>
      <c r="CI620" s="964">
        <v>-1.56</v>
      </c>
      <c r="CJ620" s="964">
        <v>-1.56</v>
      </c>
      <c r="CK620" s="964">
        <v>-1.56</v>
      </c>
      <c r="CL620" s="964">
        <v>-1.56</v>
      </c>
      <c r="CM620" s="964">
        <v>-1.56</v>
      </c>
      <c r="CN620" s="964">
        <v>-1.56</v>
      </c>
      <c r="CO620" s="964">
        <v>-1.56</v>
      </c>
      <c r="CP620" s="964">
        <v>-1.7160000000000002</v>
      </c>
      <c r="CQ620" s="964">
        <v>-1.7160000000000002</v>
      </c>
      <c r="CR620" s="964">
        <v>-1.7160000000000002</v>
      </c>
      <c r="CS620" s="964">
        <v>-1.7160000000000002</v>
      </c>
      <c r="CT620" s="964">
        <v>-1.7160000000000002</v>
      </c>
      <c r="CU620" s="964">
        <v>-1.7160000000000002</v>
      </c>
      <c r="CV620" s="964">
        <v>-1.7160000000000002</v>
      </c>
      <c r="CW620" s="964">
        <v>-1.7160000000000002</v>
      </c>
      <c r="CX620" s="964">
        <v>-1.7160000000000002</v>
      </c>
      <c r="CY620" s="964">
        <v>-1.7160000000000002</v>
      </c>
      <c r="CZ620" s="964">
        <v>-1.7160000000000002</v>
      </c>
      <c r="DA620" s="964">
        <v>-1.7160000000000002</v>
      </c>
      <c r="DC620" s="12">
        <f>SUM(V620:AG620)</f>
        <v>0</v>
      </c>
      <c r="DD620" s="12">
        <f>SUM(AH620:AS620)</f>
        <v>0</v>
      </c>
      <c r="DE620" s="12">
        <f>SUM(AT620:BE620)</f>
        <v>-8.0000000000000018</v>
      </c>
      <c r="DF620" s="12">
        <f>SUM(BF620:BQ620)</f>
        <v>-12</v>
      </c>
      <c r="DG620" s="12">
        <f>SUM(BR620:CC620)</f>
        <v>-15.600000000000003</v>
      </c>
      <c r="DH620" s="12">
        <f>SUM(CD620:CO620)</f>
        <v>-18.720000000000002</v>
      </c>
      <c r="DI620" s="12">
        <f t="shared" si="615"/>
        <v>-20.592000000000009</v>
      </c>
    </row>
    <row r="621" spans="2:113" outlineLevel="1">
      <c r="F621" s="126" t="s">
        <v>675</v>
      </c>
      <c r="I621" s="609" t="s">
        <v>736</v>
      </c>
      <c r="V621" s="702"/>
      <c r="Y621" s="887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708">
        <f t="shared" ref="AT621:DA621" si="641">AT658+AT698</f>
        <v>-9.6833333333333313E-2</v>
      </c>
      <c r="AU621" s="708">
        <f t="shared" si="641"/>
        <v>-0.19260049393583722</v>
      </c>
      <c r="AV621" s="708">
        <f t="shared" si="641"/>
        <v>-0.31134666326388893</v>
      </c>
      <c r="AW621" s="708">
        <f t="shared" si="641"/>
        <v>-0.44315978108514492</v>
      </c>
      <c r="AX621" s="708">
        <f t="shared" si="641"/>
        <v>-0.57415605418511029</v>
      </c>
      <c r="AY621" s="708">
        <f t="shared" si="641"/>
        <v>-0.70543893391990176</v>
      </c>
      <c r="AZ621" s="708">
        <f t="shared" si="641"/>
        <v>-0.83959542789980735</v>
      </c>
      <c r="BA621" s="708">
        <f t="shared" si="641"/>
        <v>-0.98504927579619683</v>
      </c>
      <c r="BB621" s="708">
        <f t="shared" si="641"/>
        <v>-1.1348762723182215</v>
      </c>
      <c r="BC621" s="708">
        <f t="shared" si="641"/>
        <v>-1.2927761416724464</v>
      </c>
      <c r="BD621" s="708">
        <f t="shared" si="641"/>
        <v>-1.4558563798355535</v>
      </c>
      <c r="BE621" s="708">
        <f t="shared" si="641"/>
        <v>-1.6217447583113325</v>
      </c>
      <c r="BF621" s="14">
        <f t="shared" si="641"/>
        <v>-1.8472560500880835</v>
      </c>
      <c r="BG621" s="14">
        <f t="shared" si="641"/>
        <v>-2.068693606331844</v>
      </c>
      <c r="BH621" s="14">
        <f t="shared" si="641"/>
        <v>-2.299720883232232</v>
      </c>
      <c r="BI621" s="14">
        <f t="shared" si="641"/>
        <v>-2.5392785759715135</v>
      </c>
      <c r="BJ621" s="14">
        <f t="shared" si="641"/>
        <v>-2.7813756375197984</v>
      </c>
      <c r="BK621" s="14">
        <f t="shared" si="641"/>
        <v>-3.0259292315699775</v>
      </c>
      <c r="BL621" s="14">
        <f t="shared" si="641"/>
        <v>-3.2725465569131313</v>
      </c>
      <c r="BM621" s="14">
        <f t="shared" si="641"/>
        <v>-3.5206579084098402</v>
      </c>
      <c r="BN621" s="14">
        <f t="shared" si="641"/>
        <v>-3.7697987797104204</v>
      </c>
      <c r="BO621" s="14">
        <f t="shared" si="641"/>
        <v>-4.019435337931232</v>
      </c>
      <c r="BP621" s="14">
        <f t="shared" si="641"/>
        <v>-4.269031375865354</v>
      </c>
      <c r="BQ621" s="14">
        <f t="shared" si="641"/>
        <v>-6.0575510083889794</v>
      </c>
      <c r="BR621" s="14">
        <f t="shared" si="641"/>
        <v>-6.5243009640501963</v>
      </c>
      <c r="BS621" s="14">
        <f t="shared" si="641"/>
        <v>-6.9591485645475784</v>
      </c>
      <c r="BT621" s="14">
        <f t="shared" si="641"/>
        <v>-7.3667597366531385</v>
      </c>
      <c r="BU621" s="14">
        <f t="shared" si="641"/>
        <v>-7.5970129353739475</v>
      </c>
      <c r="BV621" s="14">
        <f t="shared" si="641"/>
        <v>-7.8328215496552343</v>
      </c>
      <c r="BW621" s="14">
        <f t="shared" si="641"/>
        <v>-8.0657888547248984</v>
      </c>
      <c r="BX621" s="14">
        <f t="shared" si="641"/>
        <v>-8.2884474240991501</v>
      </c>
      <c r="BY621" s="14">
        <f t="shared" si="641"/>
        <v>-8.5035790697007219</v>
      </c>
      <c r="BZ621" s="14">
        <f t="shared" si="641"/>
        <v>-8.708896275666298</v>
      </c>
      <c r="CA621" s="14">
        <f t="shared" si="641"/>
        <v>-8.9042165423885162</v>
      </c>
      <c r="CB621" s="14">
        <f t="shared" si="641"/>
        <v>-9.0897348142331715</v>
      </c>
      <c r="CC621" s="14">
        <f t="shared" si="641"/>
        <v>-9.2656280059473168</v>
      </c>
      <c r="CD621" s="14">
        <f t="shared" si="641"/>
        <v>-9.521768715772339</v>
      </c>
      <c r="CE621" s="14">
        <f t="shared" si="641"/>
        <v>-9.7845210027906138</v>
      </c>
      <c r="CF621" s="14">
        <f t="shared" si="641"/>
        <v>-10.053099042037459</v>
      </c>
      <c r="CG621" s="14">
        <f t="shared" si="641"/>
        <v>-10.326940192616705</v>
      </c>
      <c r="CH621" s="14">
        <f t="shared" si="641"/>
        <v>-10.596714193072597</v>
      </c>
      <c r="CI621" s="14">
        <f t="shared" si="641"/>
        <v>-10.863169203026869</v>
      </c>
      <c r="CJ621" s="14">
        <f t="shared" si="641"/>
        <v>-11.126611751490486</v>
      </c>
      <c r="CK621" s="14">
        <f t="shared" si="641"/>
        <v>-11.38693245060092</v>
      </c>
      <c r="CL621" s="14">
        <f t="shared" si="641"/>
        <v>-11.644178977836958</v>
      </c>
      <c r="CM621" s="14">
        <f t="shared" si="641"/>
        <v>-11.898268577300216</v>
      </c>
      <c r="CN621" s="14">
        <f t="shared" si="641"/>
        <v>-12.14909993745845</v>
      </c>
      <c r="CO621" s="14">
        <f t="shared" si="641"/>
        <v>-12.396574573006664</v>
      </c>
      <c r="CP621" s="14">
        <f t="shared" si="641"/>
        <v>-12.892514263183605</v>
      </c>
      <c r="CQ621" s="14">
        <f t="shared" si="641"/>
        <v>-13.563716976592561</v>
      </c>
      <c r="CR621" s="14">
        <f t="shared" si="641"/>
        <v>-14.173323424043382</v>
      </c>
      <c r="CS621" s="14">
        <f t="shared" si="641"/>
        <v>-14.729233184998384</v>
      </c>
      <c r="CT621" s="14">
        <f t="shared" si="641"/>
        <v>-14.940448100247309</v>
      </c>
      <c r="CU621" s="14">
        <f t="shared" si="641"/>
        <v>-15.156979460348465</v>
      </c>
      <c r="CV621" s="14">
        <f t="shared" si="641"/>
        <v>-15.362729394676947</v>
      </c>
      <c r="CW621" s="14">
        <f t="shared" si="641"/>
        <v>-15.5431758304551</v>
      </c>
      <c r="CX621" s="14">
        <f t="shared" si="641"/>
        <v>-15.703528831381158</v>
      </c>
      <c r="CY621" s="14">
        <f t="shared" si="641"/>
        <v>-15.83919312164557</v>
      </c>
      <c r="CZ621" s="14">
        <f t="shared" si="641"/>
        <v>-15.949526113682872</v>
      </c>
      <c r="DA621" s="14">
        <f t="shared" si="641"/>
        <v>-16.034624426052797</v>
      </c>
      <c r="DC621" s="14">
        <f t="shared" si="633"/>
        <v>0</v>
      </c>
      <c r="DD621" s="12">
        <f t="shared" si="634"/>
        <v>0</v>
      </c>
      <c r="DE621" s="12">
        <f t="shared" si="635"/>
        <v>-9.6534335155567739</v>
      </c>
      <c r="DF621" s="12">
        <f t="shared" si="636"/>
        <v>-39.471274951932408</v>
      </c>
      <c r="DG621" s="12">
        <f t="shared" si="637"/>
        <v>-97.106334737040171</v>
      </c>
      <c r="DH621" s="12">
        <f t="shared" si="638"/>
        <v>-131.74787861701029</v>
      </c>
      <c r="DI621" s="12">
        <f t="shared" si="615"/>
        <v>-179.88899312730814</v>
      </c>
    </row>
    <row r="622" spans="2:113" s="887" customFormat="1" outlineLevel="1">
      <c r="B622" s="126"/>
      <c r="E622" s="720" t="s">
        <v>820</v>
      </c>
      <c r="H622" s="965"/>
      <c r="I622" s="609" t="s">
        <v>736</v>
      </c>
      <c r="J622" s="965"/>
      <c r="K622" s="965"/>
      <c r="L622" s="965"/>
      <c r="M622" s="965"/>
      <c r="V622" s="126"/>
      <c r="W622" s="126"/>
      <c r="X622" s="126"/>
      <c r="Y622" s="696"/>
      <c r="AA622" s="126"/>
      <c r="AB622" s="126"/>
      <c r="AC622" s="126"/>
      <c r="AH622" s="12"/>
      <c r="AI622" s="12"/>
      <c r="AJ622" s="12"/>
      <c r="AK622" s="12"/>
      <c r="AL622" s="12"/>
      <c r="AM622" s="12"/>
      <c r="AN622" s="12"/>
      <c r="AO622" s="14"/>
      <c r="AP622" s="14"/>
      <c r="AQ622" s="14"/>
      <c r="AR622" s="14"/>
      <c r="AS622" s="14"/>
      <c r="AT622" s="708">
        <f t="shared" ref="AT622:DA622" si="642">AT595+AT611+AT612</f>
        <v>-0.55006388888888902</v>
      </c>
      <c r="AU622" s="708">
        <f t="shared" si="642"/>
        <v>-0.35510884748304661</v>
      </c>
      <c r="AV622" s="708">
        <f t="shared" si="642"/>
        <v>-0.11018945238425926</v>
      </c>
      <c r="AW622" s="708">
        <f t="shared" si="642"/>
        <v>0.16229502253200456</v>
      </c>
      <c r="AX622" s="708">
        <f t="shared" si="642"/>
        <v>0.46533708309859056</v>
      </c>
      <c r="AY622" s="708">
        <f t="shared" si="642"/>
        <v>0.79680881346643706</v>
      </c>
      <c r="AZ622" s="708">
        <f t="shared" si="642"/>
        <v>1.2158905300254175</v>
      </c>
      <c r="BA622" s="708">
        <f t="shared" si="642"/>
        <v>1.5835040485044913</v>
      </c>
      <c r="BB622" s="708">
        <f t="shared" si="642"/>
        <v>1.9390088479574172</v>
      </c>
      <c r="BC622" s="708">
        <f t="shared" si="642"/>
        <v>2.2855740776922175</v>
      </c>
      <c r="BD622" s="708">
        <f t="shared" si="642"/>
        <v>2.6333037408533939</v>
      </c>
      <c r="BE622" s="708">
        <f t="shared" si="642"/>
        <v>2.9887286662684627</v>
      </c>
      <c r="BF622" s="14">
        <f t="shared" si="642"/>
        <v>3.1504530788698846</v>
      </c>
      <c r="BG622" s="14">
        <f t="shared" si="642"/>
        <v>3.6479155382599329</v>
      </c>
      <c r="BH622" s="14">
        <f t="shared" si="642"/>
        <v>4.1643650866607924</v>
      </c>
      <c r="BI622" s="14">
        <f t="shared" si="642"/>
        <v>4.6896988090324507</v>
      </c>
      <c r="BJ622" s="14">
        <f t="shared" si="642"/>
        <v>5.2147483986426497</v>
      </c>
      <c r="BK622" s="14">
        <f t="shared" si="642"/>
        <v>5.7429390920576378</v>
      </c>
      <c r="BL622" s="14">
        <f t="shared" si="642"/>
        <v>6.2791838650508405</v>
      </c>
      <c r="BM622" s="14">
        <f t="shared" si="642"/>
        <v>6.8167940132677778</v>
      </c>
      <c r="BN622" s="14">
        <f t="shared" si="642"/>
        <v>7.3461702055083027</v>
      </c>
      <c r="BO622" s="14">
        <f t="shared" si="642"/>
        <v>7.8667635382805834</v>
      </c>
      <c r="BP622" s="14">
        <f t="shared" si="642"/>
        <v>8.3778786870284243</v>
      </c>
      <c r="BQ622" s="14">
        <f t="shared" si="642"/>
        <v>12.060412438549129</v>
      </c>
      <c r="BR622" s="14">
        <f t="shared" si="642"/>
        <v>12.694085623053976</v>
      </c>
      <c r="BS622" s="14">
        <f t="shared" si="642"/>
        <v>13.574858678800254</v>
      </c>
      <c r="BT622" s="14">
        <f t="shared" si="642"/>
        <v>14.404063768046404</v>
      </c>
      <c r="BU622" s="14">
        <f t="shared" si="642"/>
        <v>15.233571910319867</v>
      </c>
      <c r="BV622" s="14">
        <f t="shared" si="642"/>
        <v>15.993566641243596</v>
      </c>
      <c r="BW622" s="14">
        <f t="shared" si="642"/>
        <v>16.689905223617139</v>
      </c>
      <c r="BX622" s="14">
        <f t="shared" si="642"/>
        <v>17.169565738569702</v>
      </c>
      <c r="BY622" s="14">
        <f t="shared" si="642"/>
        <v>17.360668231183201</v>
      </c>
      <c r="BZ622" s="14">
        <f t="shared" si="642"/>
        <v>17.546455992758677</v>
      </c>
      <c r="CA622" s="14">
        <f t="shared" si="642"/>
        <v>17.721510369915915</v>
      </c>
      <c r="CB622" s="14">
        <f t="shared" si="642"/>
        <v>17.883256093822265</v>
      </c>
      <c r="CC622" s="14">
        <f t="shared" si="642"/>
        <v>18.031160320561476</v>
      </c>
      <c r="CD622" s="14">
        <f t="shared" si="642"/>
        <v>18.090446907700741</v>
      </c>
      <c r="CE622" s="14">
        <f t="shared" si="642"/>
        <v>18.428517812680383</v>
      </c>
      <c r="CF622" s="14">
        <f t="shared" si="642"/>
        <v>18.784843281235297</v>
      </c>
      <c r="CG622" s="14">
        <f t="shared" si="642"/>
        <v>19.158957360669213</v>
      </c>
      <c r="CH622" s="14">
        <f t="shared" si="642"/>
        <v>19.553324639960231</v>
      </c>
      <c r="CI622" s="14">
        <f t="shared" si="642"/>
        <v>19.966435289446057</v>
      </c>
      <c r="CJ622" s="14">
        <f t="shared" si="642"/>
        <v>20.396965018548677</v>
      </c>
      <c r="CK622" s="14">
        <f t="shared" si="642"/>
        <v>20.834558283397186</v>
      </c>
      <c r="CL622" s="14">
        <f t="shared" si="642"/>
        <v>21.264039388863765</v>
      </c>
      <c r="CM622" s="14">
        <f t="shared" si="642"/>
        <v>21.685789079509092</v>
      </c>
      <c r="CN622" s="14">
        <f t="shared" si="642"/>
        <v>22.099890589956967</v>
      </c>
      <c r="CO622" s="14">
        <f t="shared" si="642"/>
        <v>22.506277859995663</v>
      </c>
      <c r="CP622" s="14">
        <f t="shared" si="642"/>
        <v>22.86935965836944</v>
      </c>
      <c r="CQ622" s="14">
        <f t="shared" si="642"/>
        <v>24.198258876205461</v>
      </c>
      <c r="CR622" s="14">
        <f t="shared" si="642"/>
        <v>25.439150746800284</v>
      </c>
      <c r="CS622" s="14">
        <f t="shared" si="642"/>
        <v>26.592140666427845</v>
      </c>
      <c r="CT622" s="14">
        <f t="shared" si="642"/>
        <v>27.753945770492319</v>
      </c>
      <c r="CU622" s="14">
        <f t="shared" si="642"/>
        <v>28.786800684644351</v>
      </c>
      <c r="CV622" s="14">
        <f t="shared" si="642"/>
        <v>29.69772438903248</v>
      </c>
      <c r="CW622" s="14">
        <f t="shared" si="642"/>
        <v>30.187320503552055</v>
      </c>
      <c r="CX622" s="14">
        <f t="shared" si="642"/>
        <v>30.111525077369929</v>
      </c>
      <c r="CY622" s="14">
        <f t="shared" si="642"/>
        <v>30.011902904009553</v>
      </c>
      <c r="CZ622" s="14">
        <f t="shared" si="642"/>
        <v>29.877731095566357</v>
      </c>
      <c r="DA622" s="14">
        <f t="shared" si="642"/>
        <v>29.703682965624079</v>
      </c>
      <c r="DC622" s="14">
        <f t="shared" si="633"/>
        <v>0</v>
      </c>
      <c r="DD622" s="12">
        <f t="shared" si="634"/>
        <v>0</v>
      </c>
      <c r="DE622" s="12">
        <f t="shared" si="635"/>
        <v>13.055088641642238</v>
      </c>
      <c r="DF622" s="12">
        <f t="shared" si="636"/>
        <v>75.357322751208415</v>
      </c>
      <c r="DG622" s="12">
        <f t="shared" si="637"/>
        <v>194.30266859189246</v>
      </c>
      <c r="DH622" s="12">
        <f t="shared" si="638"/>
        <v>242.7700455119633</v>
      </c>
      <c r="DI622" s="12">
        <f t="shared" si="615"/>
        <v>335.22954333809412</v>
      </c>
    </row>
    <row r="623" spans="2:113" s="887" customFormat="1" outlineLevel="1">
      <c r="B623" s="126"/>
      <c r="E623" s="229"/>
      <c r="F623" s="230" t="s">
        <v>423</v>
      </c>
      <c r="G623" s="126"/>
      <c r="H623" s="609"/>
      <c r="I623" s="609" t="s">
        <v>736</v>
      </c>
      <c r="J623" s="965"/>
      <c r="K623" s="965"/>
      <c r="L623" s="965"/>
      <c r="M623" s="965"/>
      <c r="V623" s="126"/>
      <c r="W623" s="126"/>
      <c r="X623" s="126"/>
      <c r="Y623" s="696"/>
      <c r="AA623" s="126"/>
      <c r="AB623" s="126"/>
      <c r="AC623" s="126"/>
      <c r="AH623" s="12"/>
      <c r="AI623" s="12"/>
      <c r="AJ623" s="12"/>
      <c r="AK623" s="12"/>
      <c r="AL623" s="12"/>
      <c r="AM623" s="12"/>
      <c r="AN623" s="12"/>
      <c r="AO623" s="14"/>
      <c r="AP623" s="14"/>
      <c r="AQ623" s="14"/>
      <c r="AR623" s="12"/>
      <c r="AS623" s="12"/>
      <c r="AT623" s="12">
        <f t="shared" ref="AT623:DA624" si="643">AT662+AT702</f>
        <v>0</v>
      </c>
      <c r="AU623" s="12">
        <f t="shared" si="643"/>
        <v>0</v>
      </c>
      <c r="AV623" s="12">
        <f t="shared" si="643"/>
        <v>0</v>
      </c>
      <c r="AW623" s="12">
        <f t="shared" si="643"/>
        <v>0</v>
      </c>
      <c r="AX623" s="12">
        <f t="shared" si="643"/>
        <v>4.233E-2</v>
      </c>
      <c r="AY623" s="12">
        <f t="shared" si="643"/>
        <v>0.16247665</v>
      </c>
      <c r="AZ623" s="12">
        <f t="shared" si="643"/>
        <v>0.38553038120000005</v>
      </c>
      <c r="BA623" s="12">
        <f t="shared" si="643"/>
        <v>0.70629168396400011</v>
      </c>
      <c r="BB623" s="12">
        <f t="shared" si="643"/>
        <v>1.1040970524233999</v>
      </c>
      <c r="BC623" s="12">
        <f t="shared" si="643"/>
        <v>1.547491585888092</v>
      </c>
      <c r="BD623" s="12">
        <f t="shared" si="643"/>
        <v>2.0187100922613341</v>
      </c>
      <c r="BE623" s="12">
        <f t="shared" si="643"/>
        <v>2.5297273280641788</v>
      </c>
      <c r="BF623" s="12">
        <f t="shared" si="643"/>
        <v>3.0955640228113337</v>
      </c>
      <c r="BG623" s="12">
        <f t="shared" si="643"/>
        <v>3.7376649293960553</v>
      </c>
      <c r="BH623" s="12">
        <f t="shared" si="643"/>
        <v>4.4575726801517472</v>
      </c>
      <c r="BI623" s="12">
        <f t="shared" si="643"/>
        <v>5.2534021488602836</v>
      </c>
      <c r="BJ623" s="12">
        <f t="shared" si="643"/>
        <v>6.1228886343236075</v>
      </c>
      <c r="BK623" s="12">
        <f t="shared" si="643"/>
        <v>7.0634016450105817</v>
      </c>
      <c r="BL623" s="12">
        <f t="shared" si="643"/>
        <v>8.0819492947137856</v>
      </c>
      <c r="BM623" s="12">
        <f t="shared" si="643"/>
        <v>9.1851714074427164</v>
      </c>
      <c r="BN623" s="12">
        <f t="shared" si="643"/>
        <v>10.364524211847009</v>
      </c>
      <c r="BO623" s="12">
        <f t="shared" si="643"/>
        <v>11.611934589930915</v>
      </c>
      <c r="BP623" s="12">
        <f t="shared" si="643"/>
        <v>12.919613493131543</v>
      </c>
      <c r="BQ623" s="12">
        <f t="shared" si="643"/>
        <v>14.279935209995276</v>
      </c>
      <c r="BR623" s="12">
        <f t="shared" si="643"/>
        <v>15.685415680192033</v>
      </c>
      <c r="BS623" s="12">
        <f t="shared" si="643"/>
        <v>17.128691857263085</v>
      </c>
      <c r="BT623" s="12">
        <f t="shared" si="643"/>
        <v>18.602508783516335</v>
      </c>
      <c r="BU623" s="12">
        <f t="shared" si="643"/>
        <v>20.605907974876278</v>
      </c>
      <c r="BV623" s="12">
        <f t="shared" si="643"/>
        <v>23.033392078030559</v>
      </c>
      <c r="BW623" s="12">
        <f t="shared" si="643"/>
        <v>25.811723399900202</v>
      </c>
      <c r="BX623" s="12">
        <f t="shared" si="643"/>
        <v>28.895847164625856</v>
      </c>
      <c r="BY623" s="12">
        <f t="shared" si="643"/>
        <v>31.810148909957746</v>
      </c>
      <c r="BZ623" s="12">
        <f t="shared" si="643"/>
        <v>34.569647304628461</v>
      </c>
      <c r="CA623" s="12">
        <f t="shared" si="643"/>
        <v>37.182785836938351</v>
      </c>
      <c r="CB623" s="12">
        <f t="shared" si="643"/>
        <v>39.653654992059209</v>
      </c>
      <c r="CC623" s="12">
        <f t="shared" si="643"/>
        <v>41.985337635886765</v>
      </c>
      <c r="CD623" s="12">
        <f t="shared" si="643"/>
        <v>44.18022372970016</v>
      </c>
      <c r="CE623" s="12">
        <f t="shared" si="643"/>
        <v>46.240323855519733</v>
      </c>
      <c r="CF623" s="12">
        <f t="shared" si="643"/>
        <v>48.167581540050207</v>
      </c>
      <c r="CG623" s="12">
        <f t="shared" si="643"/>
        <v>49.963927753363301</v>
      </c>
      <c r="CH623" s="12">
        <f t="shared" si="643"/>
        <v>51.660670093748024</v>
      </c>
      <c r="CI623" s="12">
        <f t="shared" si="643"/>
        <v>53.28502918979099</v>
      </c>
      <c r="CJ623" s="12">
        <f t="shared" si="643"/>
        <v>54.861695417515847</v>
      </c>
      <c r="CK623" s="12">
        <f t="shared" si="643"/>
        <v>56.414247240615765</v>
      </c>
      <c r="CL623" s="12">
        <f t="shared" si="643"/>
        <v>57.940011407940212</v>
      </c>
      <c r="CM623" s="12">
        <f t="shared" si="643"/>
        <v>59.437011339329196</v>
      </c>
      <c r="CN623" s="12">
        <f t="shared" si="643"/>
        <v>60.90362800674054</v>
      </c>
      <c r="CO623" s="12">
        <f t="shared" si="643"/>
        <v>62.338368940541685</v>
      </c>
      <c r="CP623" s="12">
        <f t="shared" si="643"/>
        <v>63.739817604092238</v>
      </c>
      <c r="CQ623" s="12">
        <f t="shared" si="643"/>
        <v>65.106597905269894</v>
      </c>
      <c r="CR623" s="12">
        <f t="shared" si="643"/>
        <v>66.437354763801437</v>
      </c>
      <c r="CS623" s="12">
        <f t="shared" si="643"/>
        <v>67.730751664577554</v>
      </c>
      <c r="CT623" s="12">
        <f t="shared" si="643"/>
        <v>69.962062536238477</v>
      </c>
      <c r="CU623" s="12">
        <f t="shared" si="643"/>
        <v>72.944997076953001</v>
      </c>
      <c r="CV623" s="12">
        <f t="shared" si="643"/>
        <v>76.550338479947527</v>
      </c>
      <c r="CW623" s="12">
        <f t="shared" si="643"/>
        <v>80.698859203230327</v>
      </c>
      <c r="CX623" s="12">
        <f t="shared" si="643"/>
        <v>84.476811152859312</v>
      </c>
      <c r="CY623" s="12">
        <f t="shared" si="643"/>
        <v>87.90904175312636</v>
      </c>
      <c r="CZ623" s="12">
        <f t="shared" si="643"/>
        <v>91.008049055277695</v>
      </c>
      <c r="DA623" s="12">
        <f t="shared" si="643"/>
        <v>93.778115434962103</v>
      </c>
      <c r="DC623" s="11">
        <f t="shared" ref="DC623:DC628" si="644">AG623</f>
        <v>0</v>
      </c>
      <c r="DD623" s="11">
        <f t="shared" ref="DD623:DD628" si="645">AS623</f>
        <v>0</v>
      </c>
      <c r="DE623" s="11">
        <f t="shared" ref="DE623:DE628" si="646">BE623</f>
        <v>2.5297273280641788</v>
      </c>
      <c r="DF623" s="11">
        <f t="shared" ref="DF623:DF628" si="647">BQ623</f>
        <v>14.279935209995276</v>
      </c>
      <c r="DG623" s="11">
        <f t="shared" ref="DG623:DG628" si="648">CC623</f>
        <v>41.985337635886765</v>
      </c>
      <c r="DH623" s="11">
        <f t="shared" ref="DH623:DH628" si="649">CO623</f>
        <v>62.338368940541685</v>
      </c>
      <c r="DI623" s="11">
        <f t="shared" ref="DI623:DI628" si="650">DA623</f>
        <v>93.778115434962103</v>
      </c>
    </row>
    <row r="624" spans="2:113" s="887" customFormat="1" outlineLevel="1">
      <c r="B624" s="126"/>
      <c r="E624" s="229"/>
      <c r="F624" s="230" t="s">
        <v>810</v>
      </c>
      <c r="G624" s="126"/>
      <c r="H624" s="609"/>
      <c r="I624" s="609" t="s">
        <v>736</v>
      </c>
      <c r="J624" s="965"/>
      <c r="K624" s="965"/>
      <c r="L624" s="965"/>
      <c r="M624" s="965"/>
      <c r="V624" s="126"/>
      <c r="W624" s="126"/>
      <c r="X624" s="126"/>
      <c r="Y624" s="696"/>
      <c r="AA624" s="126"/>
      <c r="AB624" s="126"/>
      <c r="AC624" s="126"/>
      <c r="AH624" s="12"/>
      <c r="AI624" s="12"/>
      <c r="AJ624" s="12"/>
      <c r="AK624" s="12"/>
      <c r="AL624" s="12"/>
      <c r="AM624" s="12"/>
      <c r="AN624" s="12"/>
      <c r="AO624" s="14"/>
      <c r="AP624" s="14"/>
      <c r="AQ624" s="14"/>
      <c r="AR624" s="12"/>
      <c r="AS624" s="12"/>
      <c r="AT624" s="12">
        <f t="shared" si="643"/>
        <v>0</v>
      </c>
      <c r="AU624" s="12">
        <f t="shared" si="643"/>
        <v>6.6666666666666666E-2</v>
      </c>
      <c r="AV624" s="12">
        <f t="shared" si="643"/>
        <v>0.24988888888888888</v>
      </c>
      <c r="AW624" s="12">
        <f t="shared" si="643"/>
        <v>0.58740777777777786</v>
      </c>
      <c r="AX624" s="12">
        <f t="shared" si="643"/>
        <v>1.1056740555555555</v>
      </c>
      <c r="AY624" s="12">
        <f t="shared" si="643"/>
        <v>1.8159899224444442</v>
      </c>
      <c r="AZ624" s="12">
        <f t="shared" si="643"/>
        <v>2.7018431667466669</v>
      </c>
      <c r="BA624" s="12">
        <f t="shared" si="643"/>
        <v>3.7585599311652444</v>
      </c>
      <c r="BB624" s="12">
        <f t="shared" si="643"/>
        <v>4.9641392665173649</v>
      </c>
      <c r="BC624" s="12">
        <f t="shared" si="643"/>
        <v>6.2765721313062004</v>
      </c>
      <c r="BD624" s="12">
        <f t="shared" si="643"/>
        <v>7.6989983421802481</v>
      </c>
      <c r="BE624" s="12">
        <f t="shared" si="643"/>
        <v>9.2715088445732476</v>
      </c>
      <c r="BF624" s="12">
        <f t="shared" si="643"/>
        <v>10.977618615872588</v>
      </c>
      <c r="BG624" s="12">
        <f t="shared" si="643"/>
        <v>12.854624761965537</v>
      </c>
      <c r="BH624" s="12">
        <f t="shared" si="643"/>
        <v>14.920428167278212</v>
      </c>
      <c r="BI624" s="12">
        <f t="shared" si="643"/>
        <v>17.180699520684485</v>
      </c>
      <c r="BJ624" s="12">
        <f t="shared" si="643"/>
        <v>19.62146676387103</v>
      </c>
      <c r="BK624" s="12">
        <f t="shared" si="643"/>
        <v>22.229064815369181</v>
      </c>
      <c r="BL624" s="12">
        <f t="shared" si="643"/>
        <v>24.999857747660059</v>
      </c>
      <c r="BM624" s="12">
        <f t="shared" si="643"/>
        <v>27.930082248256134</v>
      </c>
      <c r="BN624" s="12">
        <f t="shared" si="643"/>
        <v>31.00099054981942</v>
      </c>
      <c r="BO624" s="12">
        <f t="shared" si="643"/>
        <v>34.194469954503639</v>
      </c>
      <c r="BP624" s="12">
        <f t="shared" si="643"/>
        <v>37.492838813546044</v>
      </c>
      <c r="BQ624" s="12">
        <f t="shared" si="643"/>
        <v>40.878722160884948</v>
      </c>
      <c r="BR624" s="12">
        <f t="shared" si="643"/>
        <v>45.482854676068207</v>
      </c>
      <c r="BS624" s="12">
        <f t="shared" si="643"/>
        <v>50.812637894595781</v>
      </c>
      <c r="BT624" s="12">
        <f t="shared" si="643"/>
        <v>56.541828495250805</v>
      </c>
      <c r="BU624" s="12">
        <f t="shared" si="643"/>
        <v>62.56654328434476</v>
      </c>
      <c r="BV624" s="12">
        <f t="shared" si="643"/>
        <v>68.803244693071321</v>
      </c>
      <c r="BW624" s="12">
        <f t="shared" si="643"/>
        <v>75.190507579461666</v>
      </c>
      <c r="BX624" s="12">
        <f t="shared" si="643"/>
        <v>81.68942827829774</v>
      </c>
      <c r="BY624" s="12">
        <f t="shared" si="643"/>
        <v>87.828773461392203</v>
      </c>
      <c r="BZ624" s="12">
        <f t="shared" si="643"/>
        <v>93.626799268353096</v>
      </c>
      <c r="CA624" s="12">
        <f t="shared" si="643"/>
        <v>99.094677127896659</v>
      </c>
      <c r="CB624" s="12">
        <f t="shared" si="643"/>
        <v>104.23914558919414</v>
      </c>
      <c r="CC624" s="12">
        <f t="shared" si="643"/>
        <v>109.06591982788659</v>
      </c>
      <c r="CD624" s="12">
        <f t="shared" si="643"/>
        <v>113.57999085461631</v>
      </c>
      <c r="CE624" s="12">
        <f t="shared" si="643"/>
        <v>117.85260117576183</v>
      </c>
      <c r="CF624" s="12">
        <f t="shared" si="643"/>
        <v>121.93101490228088</v>
      </c>
      <c r="CG624" s="12">
        <f t="shared" si="643"/>
        <v>125.84668959537458</v>
      </c>
      <c r="CH624" s="12">
        <f t="shared" si="643"/>
        <v>129.62715670397915</v>
      </c>
      <c r="CI624" s="12">
        <f t="shared" si="643"/>
        <v>133.29688867469949</v>
      </c>
      <c r="CJ624" s="12">
        <f t="shared" si="643"/>
        <v>136.8783293832949</v>
      </c>
      <c r="CK624" s="12">
        <f t="shared" si="643"/>
        <v>140.39301436245944</v>
      </c>
      <c r="CL624" s="12">
        <f t="shared" si="643"/>
        <v>143.83634081989425</v>
      </c>
      <c r="CM624" s="12">
        <f t="shared" si="643"/>
        <v>147.20445666111874</v>
      </c>
      <c r="CN624" s="12">
        <f t="shared" si="643"/>
        <v>150.49389525595609</v>
      </c>
      <c r="CO624" s="12">
        <f t="shared" si="643"/>
        <v>153.70134173583372</v>
      </c>
      <c r="CP624" s="12">
        <f t="shared" si="643"/>
        <v>156.82358322410076</v>
      </c>
      <c r="CQ624" s="12">
        <f t="shared" si="643"/>
        <v>162.07196610415932</v>
      </c>
      <c r="CR624" s="12">
        <f t="shared" si="643"/>
        <v>168.53671931824675</v>
      </c>
      <c r="CS624" s="12">
        <f t="shared" si="643"/>
        <v>175.61481408264703</v>
      </c>
      <c r="CT624" s="12">
        <f t="shared" si="643"/>
        <v>183.12270697128679</v>
      </c>
      <c r="CU624" s="12">
        <f t="shared" si="643"/>
        <v>190.91079132448036</v>
      </c>
      <c r="CV624" s="12">
        <f t="shared" si="643"/>
        <v>198.86744696865458</v>
      </c>
      <c r="CW624" s="12">
        <f t="shared" si="643"/>
        <v>206.92037920871991</v>
      </c>
      <c r="CX624" s="12">
        <f t="shared" si="643"/>
        <v>214.15949841413689</v>
      </c>
      <c r="CY624" s="12">
        <f t="shared" si="643"/>
        <v>220.61120342589757</v>
      </c>
      <c r="CZ624" s="12">
        <f t="shared" si="643"/>
        <v>226.28863697429435</v>
      </c>
      <c r="DA624" s="12">
        <f t="shared" si="643"/>
        <v>231.19663920323339</v>
      </c>
      <c r="DC624" s="11">
        <f t="shared" si="644"/>
        <v>0</v>
      </c>
      <c r="DD624" s="11">
        <f t="shared" si="645"/>
        <v>0</v>
      </c>
      <c r="DE624" s="11">
        <f t="shared" si="646"/>
        <v>9.2715088445732476</v>
      </c>
      <c r="DF624" s="11">
        <f t="shared" si="647"/>
        <v>40.878722160884948</v>
      </c>
      <c r="DG624" s="11">
        <f t="shared" si="648"/>
        <v>109.06591982788659</v>
      </c>
      <c r="DH624" s="11">
        <f t="shared" si="649"/>
        <v>153.70134173583372</v>
      </c>
      <c r="DI624" s="11">
        <f t="shared" si="650"/>
        <v>231.19663920323339</v>
      </c>
    </row>
    <row r="625" spans="2:113" s="887" customFormat="1" outlineLevel="1">
      <c r="B625" s="126"/>
      <c r="E625" s="230" t="s">
        <v>811</v>
      </c>
      <c r="F625" s="229"/>
      <c r="G625" s="126"/>
      <c r="H625" s="609"/>
      <c r="I625" s="609" t="s">
        <v>812</v>
      </c>
      <c r="J625" s="965"/>
      <c r="K625" s="965"/>
      <c r="L625" s="965"/>
      <c r="M625" s="965"/>
      <c r="V625" s="126"/>
      <c r="W625" s="126"/>
      <c r="X625" s="126"/>
      <c r="Y625" s="696"/>
      <c r="AA625" s="126"/>
      <c r="AB625" s="126"/>
      <c r="AC625" s="126"/>
      <c r="AH625" s="12"/>
      <c r="AI625" s="12"/>
      <c r="AJ625" s="12"/>
      <c r="AK625" s="12"/>
      <c r="AL625" s="12"/>
      <c r="AM625" s="12"/>
      <c r="AN625" s="12"/>
      <c r="AO625" s="14"/>
      <c r="AP625" s="14"/>
      <c r="AQ625" s="14"/>
      <c r="AR625" s="14"/>
      <c r="AS625" s="14"/>
      <c r="AT625" s="966">
        <f t="shared" ref="AT625:DA625" si="651">AT623/AT592</f>
        <v>0</v>
      </c>
      <c r="AU625" s="966">
        <f t="shared" si="651"/>
        <v>0</v>
      </c>
      <c r="AV625" s="966">
        <f t="shared" si="651"/>
        <v>0</v>
      </c>
      <c r="AW625" s="966">
        <f t="shared" si="651"/>
        <v>0</v>
      </c>
      <c r="AX625" s="966">
        <f t="shared" si="651"/>
        <v>1.7928000000000002E-3</v>
      </c>
      <c r="AY625" s="966">
        <f t="shared" si="651"/>
        <v>4.9886220895522387E-3</v>
      </c>
      <c r="AZ625" s="966">
        <f t="shared" si="651"/>
        <v>9.0123985215584436E-3</v>
      </c>
      <c r="BA625" s="966">
        <f t="shared" si="651"/>
        <v>1.3039231088566158E-2</v>
      </c>
      <c r="BB625" s="966">
        <f t="shared" si="651"/>
        <v>1.6570559599382223E-2</v>
      </c>
      <c r="BC625" s="966">
        <f t="shared" si="651"/>
        <v>1.9327984645203335E-2</v>
      </c>
      <c r="BD625" s="966">
        <f t="shared" si="651"/>
        <v>2.1390198585399929E-2</v>
      </c>
      <c r="BE625" s="966">
        <f t="shared" si="651"/>
        <v>2.3103988300207774E-2</v>
      </c>
      <c r="BF625" s="966">
        <f t="shared" si="651"/>
        <v>2.4514459282167167E-2</v>
      </c>
      <c r="BG625" s="966">
        <f t="shared" si="651"/>
        <v>2.5846652603989391E-2</v>
      </c>
      <c r="BH625" s="966">
        <f t="shared" si="651"/>
        <v>2.7117669878593414E-2</v>
      </c>
      <c r="BI625" s="966">
        <f t="shared" si="651"/>
        <v>2.8325654132095292E-2</v>
      </c>
      <c r="BJ625" s="966">
        <f t="shared" si="651"/>
        <v>2.947525923636464E-2</v>
      </c>
      <c r="BK625" s="966">
        <f t="shared" si="651"/>
        <v>3.0571947599638362E-2</v>
      </c>
      <c r="BL625" s="966">
        <f t="shared" si="651"/>
        <v>3.1659086271893462E-2</v>
      </c>
      <c r="BM625" s="966">
        <f t="shared" si="651"/>
        <v>3.276592390397666E-2</v>
      </c>
      <c r="BN625" s="966">
        <f t="shared" si="651"/>
        <v>3.3865568469088607E-2</v>
      </c>
      <c r="BO625" s="966">
        <f t="shared" si="651"/>
        <v>3.4942341375566795E-2</v>
      </c>
      <c r="BP625" s="966">
        <f t="shared" si="651"/>
        <v>3.5987461137418429E-2</v>
      </c>
      <c r="BQ625" s="966">
        <f t="shared" si="651"/>
        <v>3.4436251329902495E-2</v>
      </c>
      <c r="BR625" s="966">
        <f t="shared" si="651"/>
        <v>3.3488485363656229E-2</v>
      </c>
      <c r="BS625" s="966">
        <f t="shared" si="651"/>
        <v>3.2933165698388452E-2</v>
      </c>
      <c r="BT625" s="966">
        <f t="shared" si="651"/>
        <v>3.2645569917951672E-2</v>
      </c>
      <c r="BU625" s="966">
        <f t="shared" si="651"/>
        <v>3.3366850898688953E-2</v>
      </c>
      <c r="BV625" s="966">
        <f t="shared" si="651"/>
        <v>3.4727148967349804E-2</v>
      </c>
      <c r="BW625" s="966">
        <f t="shared" si="651"/>
        <v>3.6510866453820866E-2</v>
      </c>
      <c r="BX625" s="966">
        <f t="shared" si="651"/>
        <v>3.8598361808449548E-2</v>
      </c>
      <c r="BY625" s="966">
        <f t="shared" si="651"/>
        <v>4.0376770887327371E-2</v>
      </c>
      <c r="BZ625" s="966">
        <f t="shared" si="651"/>
        <v>4.1921868059782548E-2</v>
      </c>
      <c r="CA625" s="966">
        <f t="shared" si="651"/>
        <v>4.3284413647909893E-2</v>
      </c>
      <c r="CB625" s="966">
        <f t="shared" si="651"/>
        <v>4.4499217814196045E-2</v>
      </c>
      <c r="CC625" s="966">
        <f t="shared" si="651"/>
        <v>4.5592582862153987E-2</v>
      </c>
      <c r="CD625" s="966">
        <f t="shared" si="651"/>
        <v>4.6503040881620668E-2</v>
      </c>
      <c r="CE625" s="966">
        <f t="shared" si="651"/>
        <v>4.7250542640636967E-2</v>
      </c>
      <c r="CF625" s="966">
        <f t="shared" si="651"/>
        <v>4.7852116129003752E-2</v>
      </c>
      <c r="CG625" s="966">
        <f t="shared" si="651"/>
        <v>4.8322424297474707E-2</v>
      </c>
      <c r="CH625" s="966">
        <f t="shared" si="651"/>
        <v>4.8701869348982872E-2</v>
      </c>
      <c r="CI625" s="966">
        <f t="shared" si="651"/>
        <v>4.9022787599985324E-2</v>
      </c>
      <c r="CJ625" s="966">
        <f t="shared" si="651"/>
        <v>4.9311993375946696E-2</v>
      </c>
      <c r="CK625" s="966">
        <f t="shared" si="651"/>
        <v>4.9592801854917122E-2</v>
      </c>
      <c r="CL625" s="966">
        <f t="shared" si="651"/>
        <v>4.9864989724342924E-2</v>
      </c>
      <c r="CM625" s="966">
        <f t="shared" si="651"/>
        <v>5.0128892832715891E-2</v>
      </c>
      <c r="CN625" s="966">
        <f t="shared" si="651"/>
        <v>5.0385083057503881E-2</v>
      </c>
      <c r="CO625" s="966">
        <f t="shared" si="651"/>
        <v>5.063416831894204E-2</v>
      </c>
      <c r="CP625" s="966">
        <f t="shared" si="651"/>
        <v>4.8723659685526784E-2</v>
      </c>
      <c r="CQ625" s="966">
        <f t="shared" si="651"/>
        <v>4.715653515350697E-2</v>
      </c>
      <c r="CR625" s="966">
        <f t="shared" si="651"/>
        <v>4.5867419886569449E-2</v>
      </c>
      <c r="CS625" s="966">
        <f t="shared" si="651"/>
        <v>4.4807958620047321E-2</v>
      </c>
      <c r="CT625" s="966">
        <f t="shared" si="651"/>
        <v>4.4563866258172463E-2</v>
      </c>
      <c r="CU625" s="966">
        <f t="shared" si="651"/>
        <v>4.4932017452356803E-2</v>
      </c>
      <c r="CV625" s="966">
        <f t="shared" si="651"/>
        <v>4.5781186348516682E-2</v>
      </c>
      <c r="CW625" s="966">
        <f t="shared" si="651"/>
        <v>4.7033195019542548E-2</v>
      </c>
      <c r="CX625" s="966">
        <f t="shared" si="651"/>
        <v>4.8172585862883574E-2</v>
      </c>
      <c r="CY625" s="966">
        <f t="shared" si="651"/>
        <v>4.9230726328542196E-2</v>
      </c>
      <c r="CZ625" s="966">
        <f t="shared" si="651"/>
        <v>5.0228461618992373E-2</v>
      </c>
      <c r="DA625" s="966">
        <f t="shared" si="651"/>
        <v>5.1179866684608458E-2</v>
      </c>
      <c r="DC625" s="729">
        <f t="shared" si="644"/>
        <v>0</v>
      </c>
      <c r="DD625" s="729">
        <f t="shared" si="645"/>
        <v>0</v>
      </c>
      <c r="DE625" s="729">
        <f t="shared" si="646"/>
        <v>2.3103988300207774E-2</v>
      </c>
      <c r="DF625" s="729">
        <f t="shared" si="647"/>
        <v>3.4436251329902495E-2</v>
      </c>
      <c r="DG625" s="729">
        <f t="shared" si="648"/>
        <v>4.5592582862153987E-2</v>
      </c>
      <c r="DH625" s="729">
        <f t="shared" si="649"/>
        <v>5.063416831894204E-2</v>
      </c>
      <c r="DI625" s="729">
        <f t="shared" si="650"/>
        <v>5.1179866684608458E-2</v>
      </c>
    </row>
    <row r="626" spans="2:113" s="887" customFormat="1" outlineLevel="1">
      <c r="B626" s="126"/>
      <c r="E626" s="230" t="s">
        <v>813</v>
      </c>
      <c r="F626" s="229"/>
      <c r="G626" s="126"/>
      <c r="H626" s="609"/>
      <c r="I626" s="609" t="s">
        <v>812</v>
      </c>
      <c r="J626" s="965"/>
      <c r="K626" s="965"/>
      <c r="L626" s="965"/>
      <c r="M626" s="965"/>
      <c r="V626" s="126"/>
      <c r="W626" s="126"/>
      <c r="X626" s="126"/>
      <c r="Y626" s="696"/>
      <c r="AA626" s="126"/>
      <c r="AB626" s="126"/>
      <c r="AC626" s="126"/>
      <c r="AH626" s="12"/>
      <c r="AI626" s="12"/>
      <c r="AJ626" s="12"/>
      <c r="AK626" s="12"/>
      <c r="AL626" s="12"/>
      <c r="AM626" s="12"/>
      <c r="AN626" s="12"/>
      <c r="AO626" s="14"/>
      <c r="AP626" s="14"/>
      <c r="AQ626" s="14"/>
      <c r="AR626" s="14"/>
      <c r="AS626" s="14"/>
      <c r="AT626" s="966">
        <f t="shared" ref="AT626:DA626" si="652">AT624/AT592</f>
        <v>0</v>
      </c>
      <c r="AU626" s="966">
        <f t="shared" si="652"/>
        <v>1.3521126760563381E-2</v>
      </c>
      <c r="AV626" s="966">
        <f t="shared" si="652"/>
        <v>2.5702857142857145E-2</v>
      </c>
      <c r="AW626" s="966">
        <f t="shared" si="652"/>
        <v>3.6776834782608708E-2</v>
      </c>
      <c r="AX626" s="966">
        <f t="shared" si="652"/>
        <v>4.6828548235294122E-2</v>
      </c>
      <c r="AY626" s="966">
        <f t="shared" si="652"/>
        <v>5.5757473098507461E-2</v>
      </c>
      <c r="AZ626" s="966">
        <f t="shared" si="652"/>
        <v>6.3159970131740281E-2</v>
      </c>
      <c r="BA626" s="966">
        <f t="shared" si="652"/>
        <v>6.9388798729204532E-2</v>
      </c>
      <c r="BB626" s="966">
        <f t="shared" si="652"/>
        <v>7.4503020721691932E-2</v>
      </c>
      <c r="BC626" s="966">
        <f t="shared" si="652"/>
        <v>7.8393634501590301E-2</v>
      </c>
      <c r="BD626" s="966">
        <f t="shared" si="652"/>
        <v>8.1578382195248433E-2</v>
      </c>
      <c r="BE626" s="966">
        <f t="shared" si="652"/>
        <v>8.4676648543861865E-2</v>
      </c>
      <c r="BF626" s="966">
        <f t="shared" si="652"/>
        <v>8.6934200872889E-2</v>
      </c>
      <c r="BG626" s="966">
        <f t="shared" si="652"/>
        <v>8.8892136361417767E-2</v>
      </c>
      <c r="BH626" s="966">
        <f t="shared" si="652"/>
        <v>9.0768513386021391E-2</v>
      </c>
      <c r="BI626" s="966">
        <f t="shared" si="652"/>
        <v>9.2636074410549912E-2</v>
      </c>
      <c r="BJ626" s="966">
        <f t="shared" si="652"/>
        <v>9.4456694217941006E-2</v>
      </c>
      <c r="BK626" s="966">
        <f t="shared" si="652"/>
        <v>9.6212255635282268E-2</v>
      </c>
      <c r="BL626" s="966">
        <f t="shared" si="652"/>
        <v>9.7930910521291895E-2</v>
      </c>
      <c r="BM626" s="966">
        <f t="shared" si="652"/>
        <v>9.9633954444946174E-2</v>
      </c>
      <c r="BN626" s="966">
        <f t="shared" si="652"/>
        <v>0.10129419803703534</v>
      </c>
      <c r="BO626" s="966">
        <f t="shared" si="652"/>
        <v>0.10289713854768938</v>
      </c>
      <c r="BP626" s="966">
        <f t="shared" si="652"/>
        <v>0.10443594775116882</v>
      </c>
      <c r="BQ626" s="966">
        <f t="shared" si="652"/>
        <v>9.8579575444583165E-2</v>
      </c>
      <c r="BR626" s="966">
        <f t="shared" si="652"/>
        <v>9.7106251066096425E-2</v>
      </c>
      <c r="BS626" s="966">
        <f t="shared" si="652"/>
        <v>9.7696954169057215E-2</v>
      </c>
      <c r="BT626" s="966">
        <f t="shared" si="652"/>
        <v>9.9225337663387619E-2</v>
      </c>
      <c r="BU626" s="966">
        <f t="shared" si="652"/>
        <v>0.1013131051327834</v>
      </c>
      <c r="BV626" s="966">
        <f t="shared" si="652"/>
        <v>0.10373376703695676</v>
      </c>
      <c r="BW626" s="966">
        <f t="shared" si="652"/>
        <v>0.10635750810964233</v>
      </c>
      <c r="BX626" s="966">
        <f t="shared" si="652"/>
        <v>0.10911872874490794</v>
      </c>
      <c r="BY626" s="966">
        <f t="shared" si="652"/>
        <v>0.11148147320541173</v>
      </c>
      <c r="BZ626" s="966">
        <f t="shared" si="652"/>
        <v>0.1135392065530889</v>
      </c>
      <c r="CA626" s="966">
        <f t="shared" si="652"/>
        <v>0.11535593416588211</v>
      </c>
      <c r="CB626" s="966">
        <f t="shared" si="652"/>
        <v>0.11697686998255599</v>
      </c>
      <c r="CC626" s="966">
        <f t="shared" si="652"/>
        <v>0.11843651301114366</v>
      </c>
      <c r="CD626" s="966">
        <f t="shared" si="652"/>
        <v>0.11955156656428662</v>
      </c>
      <c r="CE626" s="966">
        <f t="shared" si="652"/>
        <v>0.12042734334138082</v>
      </c>
      <c r="CF626" s="966">
        <f t="shared" si="652"/>
        <v>0.12113244838709314</v>
      </c>
      <c r="CG626" s="966">
        <f t="shared" si="652"/>
        <v>0.12171215123596707</v>
      </c>
      <c r="CH626" s="966">
        <f t="shared" si="652"/>
        <v>0.12220292223118746</v>
      </c>
      <c r="CI626" s="966">
        <f t="shared" si="652"/>
        <v>0.12263454033146443</v>
      </c>
      <c r="CJ626" s="966">
        <f t="shared" si="652"/>
        <v>0.12303198471158946</v>
      </c>
      <c r="CK626" s="966">
        <f t="shared" si="652"/>
        <v>0.12341710265840976</v>
      </c>
      <c r="CL626" s="966">
        <f t="shared" si="652"/>
        <v>0.12379006290613526</v>
      </c>
      <c r="CM626" s="966">
        <f t="shared" si="652"/>
        <v>0.12415153901893132</v>
      </c>
      <c r="CN626" s="966">
        <f t="shared" si="652"/>
        <v>0.12450239271918948</v>
      </c>
      <c r="CO626" s="966">
        <f t="shared" si="652"/>
        <v>0.12484349110453018</v>
      </c>
      <c r="CP626" s="966">
        <f t="shared" si="652"/>
        <v>0.11987826741420424</v>
      </c>
      <c r="CQ626" s="966">
        <f t="shared" si="652"/>
        <v>0.11738829262909704</v>
      </c>
      <c r="CR626" s="966">
        <f t="shared" si="652"/>
        <v>0.11635539221508595</v>
      </c>
      <c r="CS626" s="966">
        <f t="shared" si="652"/>
        <v>0.11617974301321571</v>
      </c>
      <c r="CT626" s="966">
        <f t="shared" si="652"/>
        <v>0.11664401429097276</v>
      </c>
      <c r="CU626" s="966">
        <f t="shared" si="652"/>
        <v>0.1175955494053344</v>
      </c>
      <c r="CV626" s="966">
        <f t="shared" si="652"/>
        <v>0.11893334280567082</v>
      </c>
      <c r="CW626" s="966">
        <f t="shared" si="652"/>
        <v>0.12059806848486217</v>
      </c>
      <c r="CX626" s="966">
        <f t="shared" si="652"/>
        <v>0.12212365363838544</v>
      </c>
      <c r="CY626" s="966">
        <f t="shared" si="652"/>
        <v>0.12354644714898695</v>
      </c>
      <c r="CZ626" s="966">
        <f t="shared" si="652"/>
        <v>0.12489148196302648</v>
      </c>
      <c r="DA626" s="966">
        <f t="shared" si="652"/>
        <v>0.12617670036840603</v>
      </c>
      <c r="DC626" s="729">
        <f t="shared" si="644"/>
        <v>0</v>
      </c>
      <c r="DD626" s="729">
        <f t="shared" si="645"/>
        <v>0</v>
      </c>
      <c r="DE626" s="729">
        <f t="shared" si="646"/>
        <v>8.4676648543861865E-2</v>
      </c>
      <c r="DF626" s="729">
        <f t="shared" si="647"/>
        <v>9.8579575444583165E-2</v>
      </c>
      <c r="DG626" s="729">
        <f t="shared" si="648"/>
        <v>0.11843651301114366</v>
      </c>
      <c r="DH626" s="729">
        <f t="shared" si="649"/>
        <v>0.12484349110453018</v>
      </c>
      <c r="DI626" s="729">
        <f t="shared" si="650"/>
        <v>0.12617670036840603</v>
      </c>
    </row>
    <row r="627" spans="2:113" s="887" customFormat="1" outlineLevel="1">
      <c r="B627" s="126"/>
      <c r="E627" s="230" t="s">
        <v>814</v>
      </c>
      <c r="F627" s="229"/>
      <c r="G627" s="126"/>
      <c r="H627" s="609"/>
      <c r="I627" s="609" t="s">
        <v>812</v>
      </c>
      <c r="J627" s="965"/>
      <c r="K627" s="965"/>
      <c r="L627" s="965"/>
      <c r="M627" s="965"/>
      <c r="V627" s="126"/>
      <c r="W627" s="126"/>
      <c r="X627" s="126"/>
      <c r="Y627" s="696"/>
      <c r="AA627" s="126"/>
      <c r="AB627" s="126"/>
      <c r="AC627" s="126"/>
      <c r="AH627" s="12"/>
      <c r="AI627" s="12"/>
      <c r="AJ627" s="12"/>
      <c r="AK627" s="12"/>
      <c r="AL627" s="12"/>
      <c r="AM627" s="12"/>
      <c r="AN627" s="12"/>
      <c r="AO627" s="14"/>
      <c r="AP627" s="14"/>
      <c r="AQ627" s="14"/>
      <c r="AR627" s="14"/>
      <c r="AS627" s="14"/>
      <c r="AT627" s="742">
        <f>AT611+AS627</f>
        <v>-1.4999999999999998E-2</v>
      </c>
      <c r="AU627" s="742">
        <f t="shared" ref="AU627:CO627" si="653">AU611+AT627</f>
        <v>-4.8375000000000001E-2</v>
      </c>
      <c r="AV627" s="742">
        <f t="shared" si="653"/>
        <v>-0.10249333333333333</v>
      </c>
      <c r="AW627" s="742">
        <f t="shared" si="653"/>
        <v>-0.17899446666666663</v>
      </c>
      <c r="AX627" s="742">
        <f t="shared" si="653"/>
        <v>-0.28645984333333324</v>
      </c>
      <c r="AY627" s="742">
        <f t="shared" si="653"/>
        <v>-0.4313301923466667</v>
      </c>
      <c r="AZ627" s="742">
        <f t="shared" si="653"/>
        <v>-0.61650605862079988</v>
      </c>
      <c r="BA627" s="742">
        <f t="shared" si="653"/>
        <v>-0.85333162307143451</v>
      </c>
      <c r="BB627" s="742">
        <f t="shared" si="653"/>
        <v>-1.1786876887485338</v>
      </c>
      <c r="BC627" s="742">
        <f t="shared" si="653"/>
        <v>-1.6211085007360881</v>
      </c>
      <c r="BD627" s="742">
        <f t="shared" si="653"/>
        <v>-2.1984405572674404</v>
      </c>
      <c r="BE627" s="742">
        <f t="shared" si="653"/>
        <v>-2.9196615492129996</v>
      </c>
      <c r="BF627" s="742">
        <f>BF611</f>
        <v>-0.8885526811899781</v>
      </c>
      <c r="BG627" s="742">
        <f t="shared" si="653"/>
        <v>-1.9552457849273748</v>
      </c>
      <c r="BH627" s="742">
        <f t="shared" si="653"/>
        <v>-3.2111330650798497</v>
      </c>
      <c r="BI627" s="742">
        <f t="shared" si="653"/>
        <v>-4.6741260996801071</v>
      </c>
      <c r="BJ627" s="742">
        <f t="shared" si="653"/>
        <v>-6.373538426158186</v>
      </c>
      <c r="BK627" s="742">
        <f t="shared" si="653"/>
        <v>-8.3314061725817634</v>
      </c>
      <c r="BL627" s="742">
        <f t="shared" si="653"/>
        <v>-10.561118053665114</v>
      </c>
      <c r="BM627" s="742">
        <f t="shared" si="653"/>
        <v>-13.079407792786981</v>
      </c>
      <c r="BN627" s="742">
        <f t="shared" si="653"/>
        <v>-15.909639729612458</v>
      </c>
      <c r="BO627" s="742">
        <f t="shared" si="653"/>
        <v>-19.072666846147118</v>
      </c>
      <c r="BP627" s="742">
        <f t="shared" si="653"/>
        <v>-22.58702197700271</v>
      </c>
      <c r="BQ627" s="742">
        <f t="shared" si="653"/>
        <v>-26.727287251430379</v>
      </c>
      <c r="BR627" s="742">
        <f>BR611</f>
        <v>-4.5717037714438389</v>
      </c>
      <c r="BS627" s="742">
        <f t="shared" si="653"/>
        <v>-9.5593208172412218</v>
      </c>
      <c r="BT627" s="742">
        <f t="shared" si="653"/>
        <v>-14.955214194105263</v>
      </c>
      <c r="BU627" s="742">
        <f t="shared" si="653"/>
        <v>-20.854141213977737</v>
      </c>
      <c r="BV627" s="742">
        <f t="shared" si="653"/>
        <v>-27.241212139086514</v>
      </c>
      <c r="BW627" s="742">
        <f t="shared" si="653"/>
        <v>-34.10664970779758</v>
      </c>
      <c r="BX627" s="742">
        <f t="shared" si="653"/>
        <v>-41.602784651140723</v>
      </c>
      <c r="BY627" s="742">
        <f t="shared" si="653"/>
        <v>-49.964783528446191</v>
      </c>
      <c r="BZ627" s="742">
        <f t="shared" si="653"/>
        <v>-59.141134115581487</v>
      </c>
      <c r="CA627" s="742">
        <f t="shared" si="653"/>
        <v>-69.08652179085945</v>
      </c>
      <c r="CB627" s="742">
        <f t="shared" si="653"/>
        <v>-79.759089067377445</v>
      </c>
      <c r="CC627" s="742">
        <f t="shared" si="653"/>
        <v>-91.118341945884296</v>
      </c>
      <c r="CD627" s="742">
        <f>CD611</f>
        <v>-12.021534311491536</v>
      </c>
      <c r="CE627" s="742">
        <f t="shared" si="653"/>
        <v>-24.670465581933229</v>
      </c>
      <c r="CF627" s="742">
        <f t="shared" si="653"/>
        <v>-37.911056852024274</v>
      </c>
      <c r="CG627" s="742">
        <f t="shared" si="653"/>
        <v>-51.707169549348784</v>
      </c>
      <c r="CH627" s="742">
        <f t="shared" si="653"/>
        <v>-66.028268609500216</v>
      </c>
      <c r="CI627" s="742">
        <f t="shared" si="653"/>
        <v>-80.84344612525328</v>
      </c>
      <c r="CJ627" s="742">
        <f t="shared" si="653"/>
        <v>-96.121756444256107</v>
      </c>
      <c r="CK627" s="742">
        <f t="shared" si="653"/>
        <v>-111.84168903838392</v>
      </c>
      <c r="CL627" s="742">
        <f t="shared" si="653"/>
        <v>-127.99657118624432</v>
      </c>
      <c r="CM627" s="742">
        <f t="shared" si="653"/>
        <v>-144.57878748692337</v>
      </c>
      <c r="CN627" s="742">
        <f t="shared" si="653"/>
        <v>-161.58007876074703</v>
      </c>
      <c r="CO627" s="742">
        <f t="shared" si="653"/>
        <v>-178.99170012680469</v>
      </c>
      <c r="CP627" s="742">
        <f>CP611</f>
        <v>-18.311027838744394</v>
      </c>
      <c r="CQ627" s="742">
        <f t="shared" ref="CQ627:DA627" si="654">CQ611+CP627</f>
        <v>-37.111887447059146</v>
      </c>
      <c r="CR627" s="742">
        <f t="shared" si="654"/>
        <v>-56.337845556470754</v>
      </c>
      <c r="CS627" s="742">
        <f t="shared" si="654"/>
        <v>-75.942188723550146</v>
      </c>
      <c r="CT627" s="742">
        <f t="shared" si="654"/>
        <v>-96.078779326334057</v>
      </c>
      <c r="CU627" s="742">
        <f t="shared" si="654"/>
        <v>-116.69405655762068</v>
      </c>
      <c r="CV627" s="742">
        <f t="shared" si="654"/>
        <v>-137.74663963718871</v>
      </c>
      <c r="CW627" s="742">
        <f t="shared" si="654"/>
        <v>-159.51034034572444</v>
      </c>
      <c r="CX627" s="742">
        <f t="shared" si="654"/>
        <v>-182.42283730195089</v>
      </c>
      <c r="CY627" s="742">
        <f t="shared" si="654"/>
        <v>-206.37231698610279</v>
      </c>
      <c r="CZ627" s="742">
        <f t="shared" si="654"/>
        <v>-231.25767960615576</v>
      </c>
      <c r="DA627" s="742">
        <f t="shared" si="654"/>
        <v>-256.98339070239479</v>
      </c>
      <c r="DC627" s="12">
        <f t="shared" si="644"/>
        <v>0</v>
      </c>
      <c r="DD627" s="12">
        <f t="shared" si="645"/>
        <v>0</v>
      </c>
      <c r="DE627" s="12">
        <f t="shared" si="646"/>
        <v>-2.9196615492129996</v>
      </c>
      <c r="DF627" s="12">
        <f t="shared" si="647"/>
        <v>-26.727287251430379</v>
      </c>
      <c r="DG627" s="12">
        <f t="shared" si="648"/>
        <v>-91.118341945884296</v>
      </c>
      <c r="DH627" s="12">
        <f t="shared" si="649"/>
        <v>-178.99170012680469</v>
      </c>
      <c r="DI627" s="12">
        <f t="shared" si="650"/>
        <v>-256.98339070239479</v>
      </c>
    </row>
    <row r="628" spans="2:113" s="887" customFormat="1" outlineLevel="1">
      <c r="B628" s="126"/>
      <c r="E628" s="230" t="s">
        <v>815</v>
      </c>
      <c r="F628" s="229"/>
      <c r="G628" s="126"/>
      <c r="H628" s="609"/>
      <c r="I628" s="609" t="s">
        <v>812</v>
      </c>
      <c r="J628" s="965"/>
      <c r="K628" s="965"/>
      <c r="L628" s="965"/>
      <c r="M628" s="965"/>
      <c r="V628" s="126"/>
      <c r="W628" s="126"/>
      <c r="X628" s="126"/>
      <c r="Y628" s="696"/>
      <c r="AA628" s="126"/>
      <c r="AB628" s="126"/>
      <c r="AC628" s="126"/>
      <c r="AH628" s="12"/>
      <c r="AI628" s="12"/>
      <c r="AJ628" s="12"/>
      <c r="AK628" s="12"/>
      <c r="AL628" s="12"/>
      <c r="AM628" s="12"/>
      <c r="AN628" s="12"/>
      <c r="AO628" s="14"/>
      <c r="AP628" s="14"/>
      <c r="AQ628" s="14"/>
      <c r="AR628" s="967"/>
      <c r="AS628" s="967"/>
      <c r="AT628" s="966">
        <f>AT627/AVERAGE($AS592:AT592)</f>
        <v>-8.9999999999999993E-3</v>
      </c>
      <c r="AU628" s="966">
        <f>AU627/AVERAGE($AS592:AU592)</f>
        <v>-1.4665263157894739E-2</v>
      </c>
      <c r="AV628" s="966">
        <f>AV627/AVERAGE($AS592:AV592)</f>
        <v>-1.8841327659574469E-2</v>
      </c>
      <c r="AW628" s="966">
        <f>AW627/AVERAGE($AS592:AW592)</f>
        <v>-2.2172217806451611E-2</v>
      </c>
      <c r="AX628" s="966">
        <f>AX627/AVERAGE($AS592:AX592)</f>
        <v>-2.5621253068322979E-2</v>
      </c>
      <c r="AY628" s="966">
        <f>AY627/AVERAGE($AS592:AY592)</f>
        <v>-2.9251906294153852E-2</v>
      </c>
      <c r="AZ628" s="966">
        <f>AZ627/AVERAGE($AS592:AZ592)</f>
        <v>-3.2880323126442658E-2</v>
      </c>
      <c r="BA628" s="966">
        <f>BA627/AVERAGE($AS592:BA592)</f>
        <v>-3.6817903737014705E-2</v>
      </c>
      <c r="BB628" s="966">
        <f>BB627/AVERAGE($AS592:BB592)</f>
        <v>-4.2088188059093368E-2</v>
      </c>
      <c r="BC628" s="966">
        <f>BC627/AVERAGE($AS592:BC592)</f>
        <v>-4.8812172298449731E-2</v>
      </c>
      <c r="BD628" s="966">
        <f>BD627/AVERAGE($AS592:BD592)</f>
        <v>-5.6702422950276971E-2</v>
      </c>
      <c r="BE628" s="966">
        <f>BE627/AVERAGE($AS592:BE592)</f>
        <v>-6.5367984112139288E-2</v>
      </c>
      <c r="BF628" s="966">
        <f>BF627/AVERAGE($BE592:BF592)</f>
        <v>-7.5375131136094023E-3</v>
      </c>
      <c r="BG628" s="966">
        <f>BG627/AVERAGE($BE592:BG592)</f>
        <v>-1.5420836655812507E-2</v>
      </c>
      <c r="BH628" s="966">
        <f>BH627/AVERAGE($BE592:BH592)</f>
        <v>-2.3578493586402766E-2</v>
      </c>
      <c r="BI628" s="966">
        <f>BI627/AVERAGE($BE592:BI592)</f>
        <v>-3.2004884934150282E-2</v>
      </c>
      <c r="BJ628" s="966">
        <f>BJ627/AVERAGE($BE592:BJ592)</f>
        <v>-4.0771054274388624E-2</v>
      </c>
      <c r="BK628" s="966">
        <f>BK627/AVERAGE($BE592:BK592)</f>
        <v>-4.988898315670301E-2</v>
      </c>
      <c r="BL628" s="966">
        <f>BL627/AVERAGE($BE592:BL592)</f>
        <v>-5.932075206594551E-2</v>
      </c>
      <c r="BM628" s="966">
        <f>BM627/AVERAGE($BE592:BM592)</f>
        <v>-6.9057066210826926E-2</v>
      </c>
      <c r="BN628" s="966">
        <f>BN627/AVERAGE($BE592:BN592)</f>
        <v>-7.9126889358872826E-2</v>
      </c>
      <c r="BO628" s="966">
        <f>BO627/AVERAGE($BE592:BO592)</f>
        <v>-8.9544337432082524E-2</v>
      </c>
      <c r="BP628" s="966">
        <f>BP627/AVERAGE($BE592:BP592)</f>
        <v>-0.10031360366623324</v>
      </c>
      <c r="BQ628" s="966">
        <f>BQ627/AVERAGE($BE592:BQ592)</f>
        <v>-0.1114835215092583</v>
      </c>
      <c r="BR628" s="966">
        <f>BR627/AVERAGE($BQ592:BR592)</f>
        <v>-1.0354234201972169E-2</v>
      </c>
      <c r="BS628" s="966">
        <f>BS627/AVERAGE($BQ592:BS592)</f>
        <v>-2.0438063260676303E-2</v>
      </c>
      <c r="BT628" s="966">
        <f>BT627/AVERAGE($BQ592:BT592)</f>
        <v>-3.0319791853593386E-2</v>
      </c>
      <c r="BU628" s="966">
        <f>BU627/AVERAGE($BQ592:BU592)</f>
        <v>-4.0250362499516058E-2</v>
      </c>
      <c r="BV628" s="966">
        <f>BV627/AVERAGE($BQ592:BV592)</f>
        <v>-5.0232413825309692E-2</v>
      </c>
      <c r="BW628" s="966">
        <f>BW627/AVERAGE($BQ592:BW592)</f>
        <v>-6.0277646774456982E-2</v>
      </c>
      <c r="BX628" s="966">
        <f>BX627/AVERAGE($BQ592:BX592)</f>
        <v>-7.0671761379052095E-2</v>
      </c>
      <c r="BY628" s="966">
        <f>BY627/AVERAGE($BQ592:BY592)</f>
        <v>-8.1801565840379148E-2</v>
      </c>
      <c r="BZ628" s="966">
        <f>BZ627/AVERAGE($BQ592:BZ592)</f>
        <v>-9.355016045674755E-2</v>
      </c>
      <c r="CA628" s="966">
        <f>CA627/AVERAGE($BQ592:CA592)</f>
        <v>-0.10582963158604691</v>
      </c>
      <c r="CB628" s="966">
        <f>CB627/AVERAGE($BQ592:CB592)</f>
        <v>-0.1185713938216242</v>
      </c>
      <c r="CC628" s="966">
        <f>CC627/AVERAGE($BQ592:CC592)</f>
        <v>-0.13171947872089493</v>
      </c>
      <c r="CD628" s="966">
        <f>CD627/AVERAGE($CC592:CD592)</f>
        <v>-1.2850857422047165E-2</v>
      </c>
      <c r="CE628" s="966">
        <f>CE627/AVERAGE($CC592:CE592)</f>
        <v>-2.5973002670211156E-2</v>
      </c>
      <c r="CF628" s="966">
        <f>CF627/AVERAGE($CC592:CF592)</f>
        <v>-3.9325358508385588E-2</v>
      </c>
      <c r="CG628" s="966">
        <f>CG627/AVERAGE($CC592:CG592)</f>
        <v>-5.2869090969888288E-2</v>
      </c>
      <c r="CH628" s="966">
        <f>CH627/AVERAGE($CC592:CH592)</f>
        <v>-6.6573430848276535E-2</v>
      </c>
      <c r="CI628" s="966">
        <f>CI627/AVERAGE($CC592:CI592)</f>
        <v>-8.0409113171826252E-2</v>
      </c>
      <c r="CJ628" s="966">
        <f>CJ627/AVERAGE($CC592:CJ592)</f>
        <v>-9.4348553051899764E-2</v>
      </c>
      <c r="CK628" s="966">
        <f>CK627/AVERAGE($CC592:CK592)</f>
        <v>-0.10837486714179054</v>
      </c>
      <c r="CL628" s="966">
        <f>CL627/AVERAGE($CC592:CL592)</f>
        <v>-0.12248662997638926</v>
      </c>
      <c r="CM628" s="966">
        <f>CM627/AVERAGE($CC592:CM592)</f>
        <v>-0.13668199844325979</v>
      </c>
      <c r="CN628" s="966">
        <f>CN627/AVERAGE($CC592:CN592)</f>
        <v>-0.1509590174694791</v>
      </c>
      <c r="CO628" s="966">
        <f>CO627/AVERAGE($CC592:CO592)</f>
        <v>-0.16531577204356418</v>
      </c>
      <c r="CP628" s="966">
        <f>CP627/AVERAGE($CC592:CP592)</f>
        <v>-1.6664103218671011E-2</v>
      </c>
      <c r="CQ628" s="966">
        <f>CQ627/AVERAGE($CC592:CQ592)</f>
        <v>-3.3206220577600261E-2</v>
      </c>
      <c r="CR628" s="966">
        <f>CR627/AVERAGE($CC592:CR592)</f>
        <v>-4.9493122939301033E-2</v>
      </c>
      <c r="CS628" s="966">
        <f>CS627/AVERAGE($CC592:CS592)</f>
        <v>-6.5453060101060931E-2</v>
      </c>
      <c r="CT628" s="966">
        <f>CT627/AVERAGE($CC592:CT592)</f>
        <v>-8.1215260311848184E-2</v>
      </c>
      <c r="CU628" s="966">
        <f>CU627/AVERAGE($CC592:CU592)</f>
        <v>-9.6745609948595185E-2</v>
      </c>
      <c r="CV628" s="966">
        <f>CV627/AVERAGE($CC592:CV592)</f>
        <v>-0.11203561997090788</v>
      </c>
      <c r="CW628" s="966">
        <f>CW627/AVERAGE($CC592:CW592)</f>
        <v>-0.12733865884065956</v>
      </c>
      <c r="CX628" s="966">
        <f>CX627/AVERAGE($CC592:CX592)</f>
        <v>-0.14302978615276021</v>
      </c>
      <c r="CY628" s="966">
        <f>CY627/AVERAGE($CC592:CY592)</f>
        <v>-0.15904122479414828</v>
      </c>
      <c r="CZ628" s="966">
        <f>CZ627/AVERAGE($CC592:CZ592)</f>
        <v>-0.17532391914877118</v>
      </c>
      <c r="DA628" s="966">
        <f>DA627/AVERAGE($CC592:DA592)</f>
        <v>-0.19184125483056655</v>
      </c>
      <c r="DC628" s="729">
        <f t="shared" si="644"/>
        <v>0</v>
      </c>
      <c r="DD628" s="729">
        <f t="shared" si="645"/>
        <v>0</v>
      </c>
      <c r="DE628" s="729">
        <f t="shared" si="646"/>
        <v>-6.5367984112139288E-2</v>
      </c>
      <c r="DF628" s="729">
        <f t="shared" si="647"/>
        <v>-0.1114835215092583</v>
      </c>
      <c r="DG628" s="729">
        <f t="shared" si="648"/>
        <v>-0.13171947872089493</v>
      </c>
      <c r="DH628" s="729">
        <f t="shared" si="649"/>
        <v>-0.16531577204356418</v>
      </c>
      <c r="DI628" s="729">
        <f t="shared" si="650"/>
        <v>-0.19184125483056655</v>
      </c>
    </row>
    <row r="629" spans="2:113" outlineLevel="1">
      <c r="F629" s="698"/>
      <c r="V629" s="698"/>
      <c r="X629" s="696"/>
      <c r="AA629" s="702"/>
      <c r="AC629" s="702"/>
      <c r="DC629" s="12"/>
      <c r="DD629" s="12"/>
      <c r="DE629" s="12"/>
      <c r="DF629" s="12"/>
      <c r="DG629" s="12"/>
      <c r="DH629" s="12"/>
    </row>
    <row r="630" spans="2:113" ht="15" outlineLevel="1">
      <c r="E630" s="4" t="s">
        <v>854</v>
      </c>
      <c r="F630" s="698"/>
      <c r="Y630" s="696"/>
      <c r="AA630" s="702"/>
      <c r="DC630" s="12"/>
      <c r="DD630" s="12"/>
      <c r="DE630" s="12"/>
      <c r="DF630" s="12"/>
      <c r="DG630" s="12"/>
      <c r="DH630" s="12"/>
    </row>
    <row r="631" spans="2:113" hidden="1" outlineLevel="2">
      <c r="E631" s="698"/>
      <c r="F631" s="126" t="s">
        <v>817</v>
      </c>
      <c r="I631" s="699" t="s">
        <v>743</v>
      </c>
      <c r="X631" s="698"/>
      <c r="AH631" s="756"/>
      <c r="AI631" s="756"/>
      <c r="AJ631" s="756"/>
      <c r="AK631" s="756"/>
      <c r="AL631" s="756"/>
      <c r="AM631" s="756"/>
      <c r="AN631" s="756"/>
      <c r="AO631" s="756"/>
      <c r="AP631" s="756"/>
      <c r="AQ631" s="756"/>
      <c r="AR631" s="756"/>
      <c r="AS631" s="754"/>
      <c r="AT631" s="756"/>
      <c r="AU631" s="756">
        <f t="shared" ref="AU631:BD631" si="655">AT631+($BE$631-$AS$631)/12</f>
        <v>0</v>
      </c>
      <c r="AV631" s="756">
        <f t="shared" si="655"/>
        <v>0</v>
      </c>
      <c r="AW631" s="756">
        <f t="shared" si="655"/>
        <v>0</v>
      </c>
      <c r="AX631" s="756">
        <f t="shared" si="655"/>
        <v>0</v>
      </c>
      <c r="AY631" s="756">
        <f t="shared" si="655"/>
        <v>0</v>
      </c>
      <c r="AZ631" s="756">
        <f t="shared" si="655"/>
        <v>0</v>
      </c>
      <c r="BA631" s="756">
        <f t="shared" si="655"/>
        <v>0</v>
      </c>
      <c r="BB631" s="756">
        <f t="shared" si="655"/>
        <v>0</v>
      </c>
      <c r="BC631" s="756">
        <f t="shared" si="655"/>
        <v>0</v>
      </c>
      <c r="BD631" s="756">
        <f t="shared" si="655"/>
        <v>0</v>
      </c>
      <c r="BE631" s="754">
        <f>AS631*1.3</f>
        <v>0</v>
      </c>
      <c r="BF631" s="756">
        <f>BE631+($BQ$631-$BE$631)/12</f>
        <v>0</v>
      </c>
      <c r="BG631" s="756">
        <f t="shared" ref="BG631:BP631" si="656">BF631+($BQ$631-$BE$631)/12</f>
        <v>0</v>
      </c>
      <c r="BH631" s="756">
        <f t="shared" si="656"/>
        <v>0</v>
      </c>
      <c r="BI631" s="756">
        <f t="shared" si="656"/>
        <v>0</v>
      </c>
      <c r="BJ631" s="756">
        <f t="shared" si="656"/>
        <v>0</v>
      </c>
      <c r="BK631" s="756">
        <f t="shared" si="656"/>
        <v>0</v>
      </c>
      <c r="BL631" s="756">
        <f t="shared" si="656"/>
        <v>0</v>
      </c>
      <c r="BM631" s="756">
        <f t="shared" si="656"/>
        <v>0</v>
      </c>
      <c r="BN631" s="756">
        <f t="shared" si="656"/>
        <v>0</v>
      </c>
      <c r="BO631" s="756">
        <f t="shared" si="656"/>
        <v>0</v>
      </c>
      <c r="BP631" s="756">
        <f t="shared" si="656"/>
        <v>0</v>
      </c>
      <c r="BQ631" s="754">
        <f>BE631*1.3</f>
        <v>0</v>
      </c>
      <c r="BR631" s="756">
        <f>BQ631+($CC$631-$BQ$631)/12</f>
        <v>0</v>
      </c>
      <c r="BS631" s="756">
        <f t="shared" ref="BS631:CB631" si="657">BR631+($CC$631-$BQ$631)/12</f>
        <v>0</v>
      </c>
      <c r="BT631" s="756">
        <f t="shared" si="657"/>
        <v>0</v>
      </c>
      <c r="BU631" s="756">
        <f t="shared" si="657"/>
        <v>0</v>
      </c>
      <c r="BV631" s="756">
        <f t="shared" si="657"/>
        <v>0</v>
      </c>
      <c r="BW631" s="756">
        <f t="shared" si="657"/>
        <v>0</v>
      </c>
      <c r="BX631" s="756">
        <f t="shared" si="657"/>
        <v>0</v>
      </c>
      <c r="BY631" s="756">
        <f t="shared" si="657"/>
        <v>0</v>
      </c>
      <c r="BZ631" s="756">
        <f t="shared" si="657"/>
        <v>0</v>
      </c>
      <c r="CA631" s="756">
        <f t="shared" si="657"/>
        <v>0</v>
      </c>
      <c r="CB631" s="756">
        <f t="shared" si="657"/>
        <v>0</v>
      </c>
      <c r="CC631" s="754">
        <f>BQ631*1.2</f>
        <v>0</v>
      </c>
      <c r="CD631" s="756">
        <f>CC631+($CO631-$CC631)/12</f>
        <v>0</v>
      </c>
      <c r="CE631" s="756">
        <f t="shared" ref="CE631:CN631" si="658">CD631+($CO631-$CC631)/12</f>
        <v>0</v>
      </c>
      <c r="CF631" s="756">
        <f t="shared" si="658"/>
        <v>0</v>
      </c>
      <c r="CG631" s="756">
        <f t="shared" si="658"/>
        <v>0</v>
      </c>
      <c r="CH631" s="756">
        <f t="shared" si="658"/>
        <v>0</v>
      </c>
      <c r="CI631" s="756">
        <f t="shared" si="658"/>
        <v>0</v>
      </c>
      <c r="CJ631" s="756">
        <f t="shared" si="658"/>
        <v>0</v>
      </c>
      <c r="CK631" s="756">
        <f t="shared" si="658"/>
        <v>0</v>
      </c>
      <c r="CL631" s="756">
        <f t="shared" si="658"/>
        <v>0</v>
      </c>
      <c r="CM631" s="756">
        <f t="shared" si="658"/>
        <v>0</v>
      </c>
      <c r="CN631" s="756">
        <f t="shared" si="658"/>
        <v>0</v>
      </c>
      <c r="CO631" s="754">
        <f>CC631*1.2</f>
        <v>0</v>
      </c>
      <c r="CP631" s="756">
        <f t="shared" ref="CP631:CZ631" si="659">CO631+($CO631-$CC631)/12</f>
        <v>0</v>
      </c>
      <c r="CQ631" s="756">
        <f t="shared" si="659"/>
        <v>0</v>
      </c>
      <c r="CR631" s="756">
        <f t="shared" si="659"/>
        <v>0</v>
      </c>
      <c r="CS631" s="756">
        <f t="shared" si="659"/>
        <v>0</v>
      </c>
      <c r="CT631" s="756">
        <f t="shared" si="659"/>
        <v>0</v>
      </c>
      <c r="CU631" s="756">
        <f t="shared" si="659"/>
        <v>0</v>
      </c>
      <c r="CV631" s="756">
        <f t="shared" si="659"/>
        <v>0</v>
      </c>
      <c r="CW631" s="756">
        <f t="shared" si="659"/>
        <v>0</v>
      </c>
      <c r="CX631" s="756">
        <f t="shared" si="659"/>
        <v>0</v>
      </c>
      <c r="CY631" s="756">
        <f t="shared" si="659"/>
        <v>0</v>
      </c>
      <c r="CZ631" s="756">
        <f t="shared" si="659"/>
        <v>0</v>
      </c>
      <c r="DA631" s="754">
        <f>CO631*1.2</f>
        <v>0</v>
      </c>
      <c r="DC631" s="12">
        <f>SUM(V631:AG631)</f>
        <v>0</v>
      </c>
      <c r="DD631" s="12">
        <f>SUM(AH631:AS631)</f>
        <v>0</v>
      </c>
      <c r="DE631" s="12">
        <f>SUM(AT631:BE631)</f>
        <v>0</v>
      </c>
      <c r="DF631" s="12">
        <f>SUM(BF631:BQ631)</f>
        <v>0</v>
      </c>
      <c r="DG631" s="12">
        <f>SUM(BR631:CC631)</f>
        <v>0</v>
      </c>
      <c r="DH631" s="12">
        <f>SUM(CD631:CO631)</f>
        <v>0</v>
      </c>
    </row>
    <row r="632" spans="2:113" hidden="1" outlineLevel="2">
      <c r="E632" s="698"/>
      <c r="F632" s="126" t="s">
        <v>823</v>
      </c>
      <c r="I632" s="699" t="s">
        <v>743</v>
      </c>
      <c r="X632" s="698"/>
      <c r="AH632" s="968"/>
      <c r="AI632" s="968"/>
      <c r="AJ632" s="968"/>
      <c r="AK632" s="968"/>
      <c r="AL632" s="968"/>
      <c r="AM632" s="968"/>
      <c r="AN632" s="968"/>
      <c r="AO632" s="968"/>
      <c r="AP632" s="968"/>
      <c r="AQ632" s="968"/>
      <c r="AR632" s="968"/>
      <c r="AS632" s="968"/>
      <c r="AT632" s="968">
        <f t="shared" ref="AT632:BE632" si="660">AS632+AT631</f>
        <v>0</v>
      </c>
      <c r="AU632" s="968">
        <f t="shared" si="660"/>
        <v>0</v>
      </c>
      <c r="AV632" s="968">
        <f t="shared" si="660"/>
        <v>0</v>
      </c>
      <c r="AW632" s="968">
        <f t="shared" si="660"/>
        <v>0</v>
      </c>
      <c r="AX632" s="968">
        <f t="shared" si="660"/>
        <v>0</v>
      </c>
      <c r="AY632" s="968">
        <f t="shared" si="660"/>
        <v>0</v>
      </c>
      <c r="AZ632" s="968">
        <f t="shared" si="660"/>
        <v>0</v>
      </c>
      <c r="BA632" s="968">
        <f t="shared" si="660"/>
        <v>0</v>
      </c>
      <c r="BB632" s="968">
        <f t="shared" si="660"/>
        <v>0</v>
      </c>
      <c r="BC632" s="968">
        <f t="shared" si="660"/>
        <v>0</v>
      </c>
      <c r="BD632" s="968">
        <f t="shared" si="660"/>
        <v>0</v>
      </c>
      <c r="BE632" s="968">
        <f t="shared" si="660"/>
        <v>0</v>
      </c>
      <c r="BF632" s="968">
        <f t="shared" ref="BF632:DA632" si="661">BE632+BF631-AH631</f>
        <v>0</v>
      </c>
      <c r="BG632" s="968">
        <f t="shared" si="661"/>
        <v>0</v>
      </c>
      <c r="BH632" s="968">
        <f t="shared" si="661"/>
        <v>0</v>
      </c>
      <c r="BI632" s="968">
        <f t="shared" si="661"/>
        <v>0</v>
      </c>
      <c r="BJ632" s="968">
        <f t="shared" si="661"/>
        <v>0</v>
      </c>
      <c r="BK632" s="968">
        <f t="shared" si="661"/>
        <v>0</v>
      </c>
      <c r="BL632" s="968">
        <f t="shared" si="661"/>
        <v>0</v>
      </c>
      <c r="BM632" s="968">
        <f t="shared" si="661"/>
        <v>0</v>
      </c>
      <c r="BN632" s="968">
        <f t="shared" si="661"/>
        <v>0</v>
      </c>
      <c r="BO632" s="968">
        <f t="shared" si="661"/>
        <v>0</v>
      </c>
      <c r="BP632" s="968">
        <f t="shared" si="661"/>
        <v>0</v>
      </c>
      <c r="BQ632" s="968">
        <f t="shared" si="661"/>
        <v>0</v>
      </c>
      <c r="BR632" s="968">
        <f t="shared" si="661"/>
        <v>0</v>
      </c>
      <c r="BS632" s="968">
        <f t="shared" si="661"/>
        <v>0</v>
      </c>
      <c r="BT632" s="968">
        <f t="shared" si="661"/>
        <v>0</v>
      </c>
      <c r="BU632" s="968">
        <f t="shared" si="661"/>
        <v>0</v>
      </c>
      <c r="BV632" s="968">
        <f t="shared" si="661"/>
        <v>0</v>
      </c>
      <c r="BW632" s="968">
        <f t="shared" si="661"/>
        <v>0</v>
      </c>
      <c r="BX632" s="968">
        <f t="shared" si="661"/>
        <v>0</v>
      </c>
      <c r="BY632" s="968">
        <f t="shared" si="661"/>
        <v>0</v>
      </c>
      <c r="BZ632" s="968">
        <f t="shared" si="661"/>
        <v>0</v>
      </c>
      <c r="CA632" s="968">
        <f t="shared" si="661"/>
        <v>0</v>
      </c>
      <c r="CB632" s="968">
        <f t="shared" si="661"/>
        <v>0</v>
      </c>
      <c r="CC632" s="968">
        <f t="shared" si="661"/>
        <v>0</v>
      </c>
      <c r="CD632" s="968">
        <f t="shared" si="661"/>
        <v>0</v>
      </c>
      <c r="CE632" s="968">
        <f t="shared" si="661"/>
        <v>0</v>
      </c>
      <c r="CF632" s="968">
        <f t="shared" si="661"/>
        <v>0</v>
      </c>
      <c r="CG632" s="968">
        <f t="shared" si="661"/>
        <v>0</v>
      </c>
      <c r="CH632" s="968">
        <f t="shared" si="661"/>
        <v>0</v>
      </c>
      <c r="CI632" s="968">
        <f t="shared" si="661"/>
        <v>0</v>
      </c>
      <c r="CJ632" s="968">
        <f t="shared" si="661"/>
        <v>0</v>
      </c>
      <c r="CK632" s="968">
        <f t="shared" si="661"/>
        <v>0</v>
      </c>
      <c r="CL632" s="968">
        <f t="shared" si="661"/>
        <v>0</v>
      </c>
      <c r="CM632" s="968">
        <f t="shared" si="661"/>
        <v>0</v>
      </c>
      <c r="CN632" s="968">
        <f t="shared" si="661"/>
        <v>0</v>
      </c>
      <c r="CO632" s="968">
        <f t="shared" si="661"/>
        <v>0</v>
      </c>
      <c r="CP632" s="968">
        <f t="shared" si="661"/>
        <v>0</v>
      </c>
      <c r="CQ632" s="968">
        <f t="shared" si="661"/>
        <v>0</v>
      </c>
      <c r="CR632" s="968">
        <f t="shared" si="661"/>
        <v>0</v>
      </c>
      <c r="CS632" s="968">
        <f t="shared" si="661"/>
        <v>0</v>
      </c>
      <c r="CT632" s="968">
        <f t="shared" si="661"/>
        <v>0</v>
      </c>
      <c r="CU632" s="968">
        <f t="shared" si="661"/>
        <v>0</v>
      </c>
      <c r="CV632" s="968">
        <f t="shared" si="661"/>
        <v>0</v>
      </c>
      <c r="CW632" s="968">
        <f t="shared" si="661"/>
        <v>0</v>
      </c>
      <c r="CX632" s="968">
        <f t="shared" si="661"/>
        <v>0</v>
      </c>
      <c r="CY632" s="968">
        <f t="shared" si="661"/>
        <v>0</v>
      </c>
      <c r="CZ632" s="968">
        <f t="shared" si="661"/>
        <v>0</v>
      </c>
      <c r="DA632" s="968">
        <f t="shared" si="661"/>
        <v>0</v>
      </c>
      <c r="DC632" s="11">
        <f>AG632</f>
        <v>0</v>
      </c>
      <c r="DD632" s="11">
        <f>AS632</f>
        <v>0</v>
      </c>
      <c r="DE632" s="11">
        <f>BE632</f>
        <v>0</v>
      </c>
      <c r="DF632" s="11">
        <f>BQ632</f>
        <v>0</v>
      </c>
      <c r="DG632" s="11">
        <f>CC632</f>
        <v>0</v>
      </c>
      <c r="DH632" s="11">
        <f>CO632</f>
        <v>0</v>
      </c>
    </row>
    <row r="633" spans="2:113" hidden="1" outlineLevel="2">
      <c r="E633" s="698"/>
      <c r="F633" s="12" t="s">
        <v>795</v>
      </c>
      <c r="I633" s="609" t="s">
        <v>736</v>
      </c>
      <c r="X633" s="698"/>
      <c r="Y633" s="1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/>
      <c r="AR633" s="72"/>
      <c r="AS633" s="72"/>
      <c r="AT633" s="757">
        <v>0</v>
      </c>
      <c r="AU633" s="757">
        <v>0</v>
      </c>
      <c r="AV633" s="757">
        <v>0</v>
      </c>
      <c r="AW633" s="757">
        <v>0</v>
      </c>
      <c r="AX633" s="757">
        <v>0</v>
      </c>
      <c r="AY633" s="757">
        <v>0</v>
      </c>
      <c r="AZ633" s="757">
        <v>0</v>
      </c>
      <c r="BA633" s="757">
        <v>0</v>
      </c>
      <c r="BB633" s="757">
        <v>0</v>
      </c>
      <c r="BC633" s="757">
        <v>0</v>
      </c>
      <c r="BD633" s="757">
        <v>0</v>
      </c>
      <c r="BE633" s="757">
        <v>0</v>
      </c>
      <c r="BF633" s="757">
        <v>0</v>
      </c>
      <c r="BG633" s="757">
        <v>0</v>
      </c>
      <c r="BH633" s="757">
        <v>0</v>
      </c>
      <c r="BI633" s="757">
        <v>0</v>
      </c>
      <c r="BJ633" s="757">
        <v>0</v>
      </c>
      <c r="BK633" s="757">
        <v>0</v>
      </c>
      <c r="BL633" s="757">
        <v>0</v>
      </c>
      <c r="BM633" s="757">
        <v>0</v>
      </c>
      <c r="BN633" s="757">
        <v>0</v>
      </c>
      <c r="BO633" s="757">
        <v>0</v>
      </c>
      <c r="BP633" s="757">
        <v>0</v>
      </c>
      <c r="BQ633" s="757">
        <v>0</v>
      </c>
      <c r="BR633" s="757">
        <v>0</v>
      </c>
      <c r="BS633" s="757">
        <v>0</v>
      </c>
      <c r="BT633" s="757">
        <v>0</v>
      </c>
      <c r="BU633" s="757">
        <v>0</v>
      </c>
      <c r="BV633" s="757">
        <v>0</v>
      </c>
      <c r="BW633" s="757">
        <v>0</v>
      </c>
      <c r="BX633" s="757">
        <v>0</v>
      </c>
      <c r="BY633" s="757">
        <v>0</v>
      </c>
      <c r="BZ633" s="757">
        <v>0</v>
      </c>
      <c r="CA633" s="757">
        <v>0</v>
      </c>
      <c r="CB633" s="757">
        <v>0</v>
      </c>
      <c r="CC633" s="757">
        <v>0</v>
      </c>
      <c r="CD633" s="757">
        <v>0</v>
      </c>
      <c r="CE633" s="757">
        <v>0</v>
      </c>
      <c r="CF633" s="757">
        <v>0</v>
      </c>
      <c r="CG633" s="757">
        <v>0</v>
      </c>
      <c r="CH633" s="757">
        <v>0</v>
      </c>
      <c r="CI633" s="757">
        <v>0</v>
      </c>
      <c r="CJ633" s="757">
        <v>0</v>
      </c>
      <c r="CK633" s="757">
        <v>0</v>
      </c>
      <c r="CL633" s="757">
        <v>0</v>
      </c>
      <c r="CM633" s="757">
        <v>0</v>
      </c>
      <c r="CN633" s="757">
        <v>0</v>
      </c>
      <c r="CO633" s="757">
        <v>0</v>
      </c>
      <c r="CP633" s="757">
        <v>0</v>
      </c>
      <c r="CQ633" s="757">
        <v>0</v>
      </c>
      <c r="CR633" s="757">
        <v>0</v>
      </c>
      <c r="CS633" s="757">
        <v>0</v>
      </c>
      <c r="CT633" s="757">
        <v>0</v>
      </c>
      <c r="CU633" s="757">
        <v>0</v>
      </c>
      <c r="CV633" s="757">
        <v>0</v>
      </c>
      <c r="CW633" s="757">
        <v>0</v>
      </c>
      <c r="CX633" s="757">
        <v>0</v>
      </c>
      <c r="CY633" s="757">
        <v>0</v>
      </c>
      <c r="CZ633" s="757">
        <v>0</v>
      </c>
      <c r="DA633" s="757">
        <v>0</v>
      </c>
      <c r="DC633" s="12">
        <f>SUM(V633:AG633)</f>
        <v>0</v>
      </c>
      <c r="DD633" s="12">
        <f>SUM(AH633:AS633)</f>
        <v>0</v>
      </c>
      <c r="DE633" s="12">
        <f>SUM(AT633:BE633)</f>
        <v>0</v>
      </c>
      <c r="DF633" s="12">
        <f>SUM(BF633:BQ633)</f>
        <v>0</v>
      </c>
      <c r="DG633" s="12">
        <f>SUM(BR633:CC633)</f>
        <v>0</v>
      </c>
      <c r="DH633" s="12">
        <f>SUM(CD633:CO633)</f>
        <v>0</v>
      </c>
    </row>
    <row r="634" spans="2:113" hidden="1" outlineLevel="2">
      <c r="B634" s="948"/>
      <c r="E634" s="698"/>
      <c r="F634" s="12" t="s">
        <v>796</v>
      </c>
      <c r="I634" s="609" t="s">
        <v>736</v>
      </c>
      <c r="X634" s="698"/>
      <c r="Y634" s="12"/>
      <c r="AH634" s="756"/>
      <c r="AI634" s="756"/>
      <c r="AJ634" s="756"/>
      <c r="AK634" s="756"/>
      <c r="AL634" s="756"/>
      <c r="AM634" s="756"/>
      <c r="AN634" s="756"/>
      <c r="AO634" s="756"/>
      <c r="AP634" s="756"/>
      <c r="AQ634" s="756"/>
      <c r="AR634" s="756"/>
      <c r="AS634" s="756"/>
      <c r="AT634" s="756">
        <v>0</v>
      </c>
      <c r="AU634" s="756">
        <v>0</v>
      </c>
      <c r="AV634" s="756">
        <v>0</v>
      </c>
      <c r="AW634" s="756">
        <v>0</v>
      </c>
      <c r="AX634" s="756">
        <v>0</v>
      </c>
      <c r="AY634" s="756">
        <v>0</v>
      </c>
      <c r="AZ634" s="756">
        <v>0</v>
      </c>
      <c r="BA634" s="756">
        <v>0</v>
      </c>
      <c r="BB634" s="756">
        <v>0</v>
      </c>
      <c r="BC634" s="756">
        <v>0</v>
      </c>
      <c r="BD634" s="756">
        <v>0</v>
      </c>
      <c r="BE634" s="756">
        <v>0</v>
      </c>
      <c r="BF634" s="756">
        <v>0</v>
      </c>
      <c r="BG634" s="756">
        <v>0</v>
      </c>
      <c r="BH634" s="756">
        <v>0</v>
      </c>
      <c r="BI634" s="756">
        <v>0</v>
      </c>
      <c r="BJ634" s="756">
        <v>0</v>
      </c>
      <c r="BK634" s="756">
        <v>0</v>
      </c>
      <c r="BL634" s="756">
        <v>0</v>
      </c>
      <c r="BM634" s="756">
        <v>0</v>
      </c>
      <c r="BN634" s="756">
        <v>0</v>
      </c>
      <c r="BO634" s="756">
        <v>0</v>
      </c>
      <c r="BP634" s="756">
        <v>0</v>
      </c>
      <c r="BQ634" s="756">
        <v>0</v>
      </c>
      <c r="BR634" s="756">
        <v>0</v>
      </c>
      <c r="BS634" s="756">
        <v>0</v>
      </c>
      <c r="BT634" s="756">
        <v>0</v>
      </c>
      <c r="BU634" s="756">
        <v>0</v>
      </c>
      <c r="BV634" s="756">
        <v>0</v>
      </c>
      <c r="BW634" s="756">
        <v>0</v>
      </c>
      <c r="BX634" s="756">
        <v>0</v>
      </c>
      <c r="BY634" s="756">
        <v>0</v>
      </c>
      <c r="BZ634" s="756">
        <v>0</v>
      </c>
      <c r="CA634" s="756">
        <v>0</v>
      </c>
      <c r="CB634" s="756">
        <v>0</v>
      </c>
      <c r="CC634" s="756">
        <v>0</v>
      </c>
      <c r="CD634" s="756">
        <v>0</v>
      </c>
      <c r="CE634" s="756">
        <v>0</v>
      </c>
      <c r="CF634" s="756">
        <v>0</v>
      </c>
      <c r="CG634" s="756">
        <v>0</v>
      </c>
      <c r="CH634" s="756">
        <v>0</v>
      </c>
      <c r="CI634" s="756">
        <v>0</v>
      </c>
      <c r="CJ634" s="756">
        <v>0</v>
      </c>
      <c r="CK634" s="756">
        <v>0</v>
      </c>
      <c r="CL634" s="756">
        <v>0</v>
      </c>
      <c r="CM634" s="756">
        <v>0</v>
      </c>
      <c r="CN634" s="756">
        <v>0</v>
      </c>
      <c r="CO634" s="756">
        <v>0</v>
      </c>
      <c r="CP634" s="756">
        <v>0</v>
      </c>
      <c r="CQ634" s="756">
        <v>0</v>
      </c>
      <c r="CR634" s="756">
        <v>0</v>
      </c>
      <c r="CS634" s="756">
        <v>0</v>
      </c>
      <c r="CT634" s="756">
        <v>0</v>
      </c>
      <c r="CU634" s="756">
        <v>0</v>
      </c>
      <c r="CV634" s="756">
        <v>0</v>
      </c>
      <c r="CW634" s="756">
        <v>0</v>
      </c>
      <c r="CX634" s="756">
        <v>0</v>
      </c>
      <c r="CY634" s="756">
        <v>0</v>
      </c>
      <c r="CZ634" s="756">
        <v>0</v>
      </c>
      <c r="DA634" s="756">
        <v>0</v>
      </c>
      <c r="DC634" s="11">
        <f>AG634</f>
        <v>0</v>
      </c>
      <c r="DD634" s="11">
        <f>AS634</f>
        <v>0</v>
      </c>
      <c r="DE634" s="11">
        <f>BE634</f>
        <v>0</v>
      </c>
      <c r="DF634" s="11">
        <f>BQ634</f>
        <v>0</v>
      </c>
      <c r="DG634" s="11">
        <f>CC634</f>
        <v>0</v>
      </c>
      <c r="DH634" s="11">
        <f>CO634</f>
        <v>0</v>
      </c>
    </row>
    <row r="635" spans="2:113" hidden="1" outlineLevel="2">
      <c r="E635" s="698"/>
      <c r="F635" s="12" t="s">
        <v>215</v>
      </c>
      <c r="I635" s="609" t="s">
        <v>736</v>
      </c>
      <c r="X635" s="698"/>
      <c r="Y635" s="12"/>
      <c r="AH635" s="873"/>
      <c r="AI635" s="873"/>
      <c r="AJ635" s="873"/>
      <c r="AK635" s="873"/>
      <c r="AL635" s="873"/>
      <c r="AM635" s="873"/>
      <c r="AN635" s="873"/>
      <c r="AO635" s="873"/>
      <c r="AP635" s="873"/>
      <c r="AQ635" s="873"/>
      <c r="AR635" s="873"/>
      <c r="AS635" s="873"/>
      <c r="AT635" s="873">
        <f t="shared" ref="AT635:DA635" si="662">AT639+AT642</f>
        <v>0</v>
      </c>
      <c r="AU635" s="873">
        <f t="shared" si="662"/>
        <v>0</v>
      </c>
      <c r="AV635" s="873">
        <f t="shared" si="662"/>
        <v>0</v>
      </c>
      <c r="AW635" s="873">
        <f t="shared" si="662"/>
        <v>0</v>
      </c>
      <c r="AX635" s="873">
        <f t="shared" si="662"/>
        <v>0</v>
      </c>
      <c r="AY635" s="873">
        <f t="shared" si="662"/>
        <v>0</v>
      </c>
      <c r="AZ635" s="873">
        <f t="shared" si="662"/>
        <v>0</v>
      </c>
      <c r="BA635" s="873">
        <f t="shared" si="662"/>
        <v>0</v>
      </c>
      <c r="BB635" s="873">
        <f t="shared" si="662"/>
        <v>0</v>
      </c>
      <c r="BC635" s="873">
        <f t="shared" si="662"/>
        <v>0</v>
      </c>
      <c r="BD635" s="873">
        <f t="shared" si="662"/>
        <v>0</v>
      </c>
      <c r="BE635" s="873">
        <f t="shared" si="662"/>
        <v>0</v>
      </c>
      <c r="BF635" s="873">
        <f t="shared" si="662"/>
        <v>0</v>
      </c>
      <c r="BG635" s="873">
        <f t="shared" si="662"/>
        <v>0</v>
      </c>
      <c r="BH635" s="873">
        <f t="shared" si="662"/>
        <v>0</v>
      </c>
      <c r="BI635" s="873">
        <f t="shared" si="662"/>
        <v>0</v>
      </c>
      <c r="BJ635" s="873">
        <f t="shared" si="662"/>
        <v>0</v>
      </c>
      <c r="BK635" s="873">
        <f t="shared" si="662"/>
        <v>0</v>
      </c>
      <c r="BL635" s="873">
        <f t="shared" si="662"/>
        <v>0</v>
      </c>
      <c r="BM635" s="873">
        <f t="shared" si="662"/>
        <v>0</v>
      </c>
      <c r="BN635" s="873">
        <f t="shared" si="662"/>
        <v>0</v>
      </c>
      <c r="BO635" s="873">
        <f t="shared" si="662"/>
        <v>0</v>
      </c>
      <c r="BP635" s="873">
        <f t="shared" si="662"/>
        <v>0</v>
      </c>
      <c r="BQ635" s="873">
        <f t="shared" si="662"/>
        <v>0</v>
      </c>
      <c r="BR635" s="873">
        <f t="shared" si="662"/>
        <v>0</v>
      </c>
      <c r="BS635" s="873">
        <f t="shared" si="662"/>
        <v>0</v>
      </c>
      <c r="BT635" s="873">
        <f t="shared" si="662"/>
        <v>0</v>
      </c>
      <c r="BU635" s="873">
        <f t="shared" si="662"/>
        <v>0</v>
      </c>
      <c r="BV635" s="873">
        <f t="shared" si="662"/>
        <v>0</v>
      </c>
      <c r="BW635" s="873">
        <f t="shared" si="662"/>
        <v>0</v>
      </c>
      <c r="BX635" s="873">
        <f t="shared" si="662"/>
        <v>0</v>
      </c>
      <c r="BY635" s="873">
        <f t="shared" si="662"/>
        <v>0</v>
      </c>
      <c r="BZ635" s="873">
        <f t="shared" si="662"/>
        <v>0</v>
      </c>
      <c r="CA635" s="873">
        <f t="shared" si="662"/>
        <v>0</v>
      </c>
      <c r="CB635" s="873">
        <f t="shared" si="662"/>
        <v>0</v>
      </c>
      <c r="CC635" s="873">
        <f t="shared" si="662"/>
        <v>0</v>
      </c>
      <c r="CD635" s="873">
        <f t="shared" si="662"/>
        <v>0</v>
      </c>
      <c r="CE635" s="873">
        <f t="shared" si="662"/>
        <v>0</v>
      </c>
      <c r="CF635" s="873">
        <f t="shared" si="662"/>
        <v>0</v>
      </c>
      <c r="CG635" s="873">
        <f t="shared" si="662"/>
        <v>0</v>
      </c>
      <c r="CH635" s="873">
        <f t="shared" si="662"/>
        <v>0</v>
      </c>
      <c r="CI635" s="873">
        <f t="shared" si="662"/>
        <v>0</v>
      </c>
      <c r="CJ635" s="873">
        <f t="shared" si="662"/>
        <v>0</v>
      </c>
      <c r="CK635" s="873">
        <f t="shared" si="662"/>
        <v>0</v>
      </c>
      <c r="CL635" s="873">
        <f t="shared" si="662"/>
        <v>0</v>
      </c>
      <c r="CM635" s="873">
        <f t="shared" si="662"/>
        <v>0</v>
      </c>
      <c r="CN635" s="873">
        <f t="shared" si="662"/>
        <v>0</v>
      </c>
      <c r="CO635" s="873">
        <f t="shared" si="662"/>
        <v>0</v>
      </c>
      <c r="CP635" s="873">
        <f t="shared" si="662"/>
        <v>0</v>
      </c>
      <c r="CQ635" s="873">
        <f t="shared" si="662"/>
        <v>0</v>
      </c>
      <c r="CR635" s="873">
        <f t="shared" si="662"/>
        <v>0</v>
      </c>
      <c r="CS635" s="873">
        <f t="shared" si="662"/>
        <v>0</v>
      </c>
      <c r="CT635" s="873">
        <f t="shared" si="662"/>
        <v>0</v>
      </c>
      <c r="CU635" s="873">
        <f t="shared" si="662"/>
        <v>0</v>
      </c>
      <c r="CV635" s="873">
        <f t="shared" si="662"/>
        <v>0</v>
      </c>
      <c r="CW635" s="873">
        <f t="shared" si="662"/>
        <v>0</v>
      </c>
      <c r="CX635" s="873">
        <f t="shared" si="662"/>
        <v>0</v>
      </c>
      <c r="CY635" s="873">
        <f t="shared" si="662"/>
        <v>0</v>
      </c>
      <c r="CZ635" s="873">
        <f t="shared" si="662"/>
        <v>0</v>
      </c>
      <c r="DA635" s="873">
        <f t="shared" si="662"/>
        <v>0</v>
      </c>
      <c r="DC635" s="12">
        <f t="shared" ref="DC635:DC650" si="663">SUM(V635:AG635)</f>
        <v>0</v>
      </c>
      <c r="DD635" s="12">
        <f>SUM(AH635:AS635)</f>
        <v>0</v>
      </c>
      <c r="DE635" s="12">
        <f>SUM(AT635:BE635)</f>
        <v>0</v>
      </c>
      <c r="DF635" s="12">
        <f t="shared" ref="DF635:DF650" si="664">SUM(BF635:BQ635)</f>
        <v>0</v>
      </c>
      <c r="DG635" s="12">
        <f>SUM(BR635:CC635)</f>
        <v>0</v>
      </c>
      <c r="DH635" s="12">
        <f>SUM(CD635:CO635)</f>
        <v>0</v>
      </c>
    </row>
    <row r="636" spans="2:113" hidden="1" outlineLevel="2">
      <c r="E636" s="698"/>
      <c r="F636" s="12" t="s">
        <v>99</v>
      </c>
      <c r="I636" s="609" t="s">
        <v>736</v>
      </c>
      <c r="X636" s="698"/>
      <c r="Y636" s="12"/>
      <c r="AH636" s="873"/>
      <c r="AI636" s="873"/>
      <c r="AJ636" s="873"/>
      <c r="AK636" s="873"/>
      <c r="AL636" s="873"/>
      <c r="AM636" s="873"/>
      <c r="AN636" s="873"/>
      <c r="AO636" s="873"/>
      <c r="AP636" s="873"/>
      <c r="AQ636" s="873"/>
      <c r="AR636" s="873"/>
      <c r="AS636" s="873"/>
      <c r="AT636" s="873">
        <f t="shared" ref="AT636:DA636" si="665">AT640+AT647</f>
        <v>0</v>
      </c>
      <c r="AU636" s="873">
        <f t="shared" si="665"/>
        <v>0</v>
      </c>
      <c r="AV636" s="873">
        <f t="shared" si="665"/>
        <v>0</v>
      </c>
      <c r="AW636" s="873">
        <f t="shared" si="665"/>
        <v>0</v>
      </c>
      <c r="AX636" s="873">
        <f t="shared" si="665"/>
        <v>0</v>
      </c>
      <c r="AY636" s="873">
        <f t="shared" si="665"/>
        <v>0</v>
      </c>
      <c r="AZ636" s="873">
        <f t="shared" si="665"/>
        <v>0</v>
      </c>
      <c r="BA636" s="873">
        <f t="shared" si="665"/>
        <v>0</v>
      </c>
      <c r="BB636" s="873">
        <f t="shared" si="665"/>
        <v>0</v>
      </c>
      <c r="BC636" s="873">
        <f t="shared" si="665"/>
        <v>0</v>
      </c>
      <c r="BD636" s="873">
        <f t="shared" si="665"/>
        <v>0</v>
      </c>
      <c r="BE636" s="873">
        <f t="shared" si="665"/>
        <v>0</v>
      </c>
      <c r="BF636" s="873">
        <f t="shared" si="665"/>
        <v>0</v>
      </c>
      <c r="BG636" s="873">
        <f t="shared" si="665"/>
        <v>0</v>
      </c>
      <c r="BH636" s="873">
        <f t="shared" si="665"/>
        <v>0</v>
      </c>
      <c r="BI636" s="873">
        <f t="shared" si="665"/>
        <v>0</v>
      </c>
      <c r="BJ636" s="873">
        <f t="shared" si="665"/>
        <v>0</v>
      </c>
      <c r="BK636" s="873">
        <f t="shared" si="665"/>
        <v>0</v>
      </c>
      <c r="BL636" s="873">
        <f t="shared" si="665"/>
        <v>0</v>
      </c>
      <c r="BM636" s="873">
        <f t="shared" si="665"/>
        <v>0</v>
      </c>
      <c r="BN636" s="873">
        <f t="shared" si="665"/>
        <v>0</v>
      </c>
      <c r="BO636" s="873">
        <f t="shared" si="665"/>
        <v>0</v>
      </c>
      <c r="BP636" s="873">
        <f t="shared" si="665"/>
        <v>0</v>
      </c>
      <c r="BQ636" s="873">
        <f t="shared" si="665"/>
        <v>0</v>
      </c>
      <c r="BR636" s="873">
        <f t="shared" si="665"/>
        <v>0</v>
      </c>
      <c r="BS636" s="873">
        <f t="shared" si="665"/>
        <v>0</v>
      </c>
      <c r="BT636" s="873">
        <f t="shared" si="665"/>
        <v>0</v>
      </c>
      <c r="BU636" s="873">
        <f t="shared" si="665"/>
        <v>0</v>
      </c>
      <c r="BV636" s="873">
        <f t="shared" si="665"/>
        <v>0</v>
      </c>
      <c r="BW636" s="873">
        <f t="shared" si="665"/>
        <v>0</v>
      </c>
      <c r="BX636" s="873">
        <f t="shared" si="665"/>
        <v>0</v>
      </c>
      <c r="BY636" s="873">
        <f t="shared" si="665"/>
        <v>0</v>
      </c>
      <c r="BZ636" s="873">
        <f t="shared" si="665"/>
        <v>0</v>
      </c>
      <c r="CA636" s="873">
        <f t="shared" si="665"/>
        <v>0</v>
      </c>
      <c r="CB636" s="873">
        <f t="shared" si="665"/>
        <v>0</v>
      </c>
      <c r="CC636" s="873">
        <f t="shared" si="665"/>
        <v>0</v>
      </c>
      <c r="CD636" s="873">
        <f t="shared" si="665"/>
        <v>0</v>
      </c>
      <c r="CE636" s="873">
        <f t="shared" si="665"/>
        <v>0</v>
      </c>
      <c r="CF636" s="873">
        <f t="shared" si="665"/>
        <v>0</v>
      </c>
      <c r="CG636" s="873">
        <f t="shared" si="665"/>
        <v>0</v>
      </c>
      <c r="CH636" s="873">
        <f t="shared" si="665"/>
        <v>0</v>
      </c>
      <c r="CI636" s="873">
        <f t="shared" si="665"/>
        <v>0</v>
      </c>
      <c r="CJ636" s="873">
        <f t="shared" si="665"/>
        <v>0</v>
      </c>
      <c r="CK636" s="873">
        <f t="shared" si="665"/>
        <v>0</v>
      </c>
      <c r="CL636" s="873">
        <f t="shared" si="665"/>
        <v>0</v>
      </c>
      <c r="CM636" s="873">
        <f t="shared" si="665"/>
        <v>0</v>
      </c>
      <c r="CN636" s="873">
        <f t="shared" si="665"/>
        <v>0</v>
      </c>
      <c r="CO636" s="873">
        <f t="shared" si="665"/>
        <v>0</v>
      </c>
      <c r="CP636" s="873">
        <f t="shared" si="665"/>
        <v>0</v>
      </c>
      <c r="CQ636" s="873">
        <f t="shared" si="665"/>
        <v>0</v>
      </c>
      <c r="CR636" s="873">
        <f t="shared" si="665"/>
        <v>0</v>
      </c>
      <c r="CS636" s="873">
        <f t="shared" si="665"/>
        <v>0</v>
      </c>
      <c r="CT636" s="873">
        <f t="shared" si="665"/>
        <v>0</v>
      </c>
      <c r="CU636" s="873">
        <f t="shared" si="665"/>
        <v>0</v>
      </c>
      <c r="CV636" s="873">
        <f t="shared" si="665"/>
        <v>0</v>
      </c>
      <c r="CW636" s="873">
        <f t="shared" si="665"/>
        <v>0</v>
      </c>
      <c r="CX636" s="873">
        <f t="shared" si="665"/>
        <v>0</v>
      </c>
      <c r="CY636" s="873">
        <f t="shared" si="665"/>
        <v>0</v>
      </c>
      <c r="CZ636" s="873">
        <f t="shared" si="665"/>
        <v>0</v>
      </c>
      <c r="DA636" s="873">
        <f t="shared" si="665"/>
        <v>0</v>
      </c>
      <c r="DC636" s="12">
        <f t="shared" si="663"/>
        <v>0</v>
      </c>
      <c r="DD636" s="12">
        <f t="shared" ref="DD636:DD644" si="666">SUM(AH636:AS636)</f>
        <v>0</v>
      </c>
      <c r="DE636" s="12">
        <f t="shared" ref="DE636:DE644" si="667">SUM(AT636:BE636)</f>
        <v>0</v>
      </c>
      <c r="DF636" s="12">
        <f t="shared" si="664"/>
        <v>0</v>
      </c>
      <c r="DG636" s="12">
        <f t="shared" ref="DG636:DG644" si="668">SUM(BR636:CC636)</f>
        <v>0</v>
      </c>
      <c r="DH636" s="12">
        <f t="shared" ref="DH636:DH644" si="669">SUM(CD636:CO636)</f>
        <v>0</v>
      </c>
    </row>
    <row r="637" spans="2:113" s="698" customFormat="1" hidden="1" outlineLevel="2">
      <c r="B637" s="126"/>
      <c r="E637" s="698" t="s">
        <v>217</v>
      </c>
      <c r="H637" s="703"/>
      <c r="I637" s="609" t="s">
        <v>736</v>
      </c>
      <c r="J637" s="703"/>
      <c r="K637" s="703"/>
      <c r="L637" s="703"/>
      <c r="M637" s="703"/>
      <c r="AH637" s="969"/>
      <c r="AI637" s="969"/>
      <c r="AJ637" s="969"/>
      <c r="AK637" s="969"/>
      <c r="AL637" s="969"/>
      <c r="AM637" s="969"/>
      <c r="AN637" s="969"/>
      <c r="AO637" s="969"/>
      <c r="AP637" s="969"/>
      <c r="AQ637" s="969"/>
      <c r="AR637" s="969"/>
      <c r="AS637" s="969"/>
      <c r="AT637" s="969">
        <f t="shared" ref="AT637:DA637" si="670">AT638+AT641</f>
        <v>0</v>
      </c>
      <c r="AU637" s="969">
        <f t="shared" si="670"/>
        <v>0</v>
      </c>
      <c r="AV637" s="969">
        <f t="shared" si="670"/>
        <v>0</v>
      </c>
      <c r="AW637" s="969">
        <f t="shared" si="670"/>
        <v>0</v>
      </c>
      <c r="AX637" s="969">
        <f t="shared" si="670"/>
        <v>0</v>
      </c>
      <c r="AY637" s="969">
        <f t="shared" si="670"/>
        <v>0</v>
      </c>
      <c r="AZ637" s="969">
        <f t="shared" si="670"/>
        <v>0</v>
      </c>
      <c r="BA637" s="969">
        <f t="shared" si="670"/>
        <v>0</v>
      </c>
      <c r="BB637" s="969">
        <f t="shared" si="670"/>
        <v>0</v>
      </c>
      <c r="BC637" s="969">
        <f t="shared" si="670"/>
        <v>0</v>
      </c>
      <c r="BD637" s="969">
        <f t="shared" si="670"/>
        <v>0</v>
      </c>
      <c r="BE637" s="969">
        <f t="shared" si="670"/>
        <v>0</v>
      </c>
      <c r="BF637" s="969">
        <f t="shared" si="670"/>
        <v>0</v>
      </c>
      <c r="BG637" s="969">
        <f t="shared" si="670"/>
        <v>0</v>
      </c>
      <c r="BH637" s="969">
        <f t="shared" si="670"/>
        <v>0</v>
      </c>
      <c r="BI637" s="969">
        <f t="shared" si="670"/>
        <v>0</v>
      </c>
      <c r="BJ637" s="969">
        <f t="shared" si="670"/>
        <v>0</v>
      </c>
      <c r="BK637" s="969">
        <f t="shared" si="670"/>
        <v>0</v>
      </c>
      <c r="BL637" s="969">
        <f t="shared" si="670"/>
        <v>0</v>
      </c>
      <c r="BM637" s="969">
        <f t="shared" si="670"/>
        <v>0</v>
      </c>
      <c r="BN637" s="969">
        <f t="shared" si="670"/>
        <v>0</v>
      </c>
      <c r="BO637" s="969">
        <f t="shared" si="670"/>
        <v>0</v>
      </c>
      <c r="BP637" s="969">
        <f t="shared" si="670"/>
        <v>0</v>
      </c>
      <c r="BQ637" s="969">
        <f t="shared" si="670"/>
        <v>0</v>
      </c>
      <c r="BR637" s="969">
        <f t="shared" si="670"/>
        <v>0</v>
      </c>
      <c r="BS637" s="969">
        <f t="shared" si="670"/>
        <v>0</v>
      </c>
      <c r="BT637" s="969">
        <f t="shared" si="670"/>
        <v>0</v>
      </c>
      <c r="BU637" s="969">
        <f t="shared" si="670"/>
        <v>0</v>
      </c>
      <c r="BV637" s="969">
        <f t="shared" si="670"/>
        <v>0</v>
      </c>
      <c r="BW637" s="969">
        <f t="shared" si="670"/>
        <v>0</v>
      </c>
      <c r="BX637" s="969">
        <f t="shared" si="670"/>
        <v>0</v>
      </c>
      <c r="BY637" s="969">
        <f t="shared" si="670"/>
        <v>0</v>
      </c>
      <c r="BZ637" s="969">
        <f t="shared" si="670"/>
        <v>0</v>
      </c>
      <c r="CA637" s="969">
        <f t="shared" si="670"/>
        <v>0</v>
      </c>
      <c r="CB637" s="969">
        <f t="shared" si="670"/>
        <v>0</v>
      </c>
      <c r="CC637" s="969">
        <f t="shared" si="670"/>
        <v>0</v>
      </c>
      <c r="CD637" s="969">
        <f t="shared" si="670"/>
        <v>0</v>
      </c>
      <c r="CE637" s="969">
        <f t="shared" si="670"/>
        <v>0</v>
      </c>
      <c r="CF637" s="969">
        <f t="shared" si="670"/>
        <v>0</v>
      </c>
      <c r="CG637" s="969">
        <f t="shared" si="670"/>
        <v>0</v>
      </c>
      <c r="CH637" s="969">
        <f t="shared" si="670"/>
        <v>0</v>
      </c>
      <c r="CI637" s="969">
        <f t="shared" si="670"/>
        <v>0</v>
      </c>
      <c r="CJ637" s="969">
        <f t="shared" si="670"/>
        <v>0</v>
      </c>
      <c r="CK637" s="969">
        <f t="shared" si="670"/>
        <v>0</v>
      </c>
      <c r="CL637" s="969">
        <f t="shared" si="670"/>
        <v>0</v>
      </c>
      <c r="CM637" s="969">
        <f t="shared" si="670"/>
        <v>0</v>
      </c>
      <c r="CN637" s="969">
        <f t="shared" si="670"/>
        <v>0</v>
      </c>
      <c r="CO637" s="969">
        <f t="shared" si="670"/>
        <v>0</v>
      </c>
      <c r="CP637" s="969">
        <f t="shared" si="670"/>
        <v>0</v>
      </c>
      <c r="CQ637" s="969">
        <f t="shared" si="670"/>
        <v>0</v>
      </c>
      <c r="CR637" s="969">
        <f t="shared" si="670"/>
        <v>0</v>
      </c>
      <c r="CS637" s="969">
        <f t="shared" si="670"/>
        <v>0</v>
      </c>
      <c r="CT637" s="969">
        <f t="shared" si="670"/>
        <v>0</v>
      </c>
      <c r="CU637" s="969">
        <f t="shared" si="670"/>
        <v>0</v>
      </c>
      <c r="CV637" s="969">
        <f t="shared" si="670"/>
        <v>0</v>
      </c>
      <c r="CW637" s="969">
        <f t="shared" si="670"/>
        <v>0</v>
      </c>
      <c r="CX637" s="969">
        <f t="shared" si="670"/>
        <v>0</v>
      </c>
      <c r="CY637" s="969">
        <f t="shared" si="670"/>
        <v>0</v>
      </c>
      <c r="CZ637" s="969">
        <f t="shared" si="670"/>
        <v>0</v>
      </c>
      <c r="DA637" s="969">
        <f t="shared" si="670"/>
        <v>0</v>
      </c>
      <c r="DC637" s="14">
        <f t="shared" si="663"/>
        <v>0</v>
      </c>
      <c r="DD637" s="14">
        <f t="shared" si="666"/>
        <v>0</v>
      </c>
      <c r="DE637" s="14">
        <f t="shared" si="667"/>
        <v>0</v>
      </c>
      <c r="DF637" s="14">
        <f t="shared" si="664"/>
        <v>0</v>
      </c>
      <c r="DG637" s="14">
        <f t="shared" si="668"/>
        <v>0</v>
      </c>
      <c r="DH637" s="14">
        <f t="shared" si="669"/>
        <v>0</v>
      </c>
    </row>
    <row r="638" spans="2:113" hidden="1" outlineLevel="2">
      <c r="E638" s="698"/>
      <c r="F638" s="14" t="s">
        <v>218</v>
      </c>
      <c r="G638" s="698"/>
      <c r="I638" s="609" t="s">
        <v>736</v>
      </c>
      <c r="X638" s="14"/>
      <c r="AH638" s="851"/>
      <c r="AI638" s="851"/>
      <c r="AJ638" s="851"/>
      <c r="AK638" s="851"/>
      <c r="AL638" s="851"/>
      <c r="AM638" s="851"/>
      <c r="AN638" s="851"/>
      <c r="AO638" s="851"/>
      <c r="AP638" s="851"/>
      <c r="AQ638" s="851"/>
      <c r="AR638" s="851"/>
      <c r="AS638" s="851"/>
      <c r="AT638" s="851">
        <f t="shared" ref="AT638:DA638" si="671">AT639+AT640</f>
        <v>0</v>
      </c>
      <c r="AU638" s="851">
        <f t="shared" si="671"/>
        <v>0</v>
      </c>
      <c r="AV638" s="851">
        <f t="shared" si="671"/>
        <v>0</v>
      </c>
      <c r="AW638" s="851">
        <f t="shared" si="671"/>
        <v>0</v>
      </c>
      <c r="AX638" s="851">
        <f t="shared" si="671"/>
        <v>0</v>
      </c>
      <c r="AY638" s="851">
        <f t="shared" si="671"/>
        <v>0</v>
      </c>
      <c r="AZ638" s="851">
        <f t="shared" si="671"/>
        <v>0</v>
      </c>
      <c r="BA638" s="851">
        <f t="shared" si="671"/>
        <v>0</v>
      </c>
      <c r="BB638" s="851">
        <f t="shared" si="671"/>
        <v>0</v>
      </c>
      <c r="BC638" s="851">
        <f t="shared" si="671"/>
        <v>0</v>
      </c>
      <c r="BD638" s="851">
        <f t="shared" si="671"/>
        <v>0</v>
      </c>
      <c r="BE638" s="851">
        <f t="shared" si="671"/>
        <v>0</v>
      </c>
      <c r="BF638" s="851">
        <f t="shared" si="671"/>
        <v>0</v>
      </c>
      <c r="BG638" s="851">
        <f t="shared" si="671"/>
        <v>0</v>
      </c>
      <c r="BH638" s="851">
        <f t="shared" si="671"/>
        <v>0</v>
      </c>
      <c r="BI638" s="851">
        <f t="shared" si="671"/>
        <v>0</v>
      </c>
      <c r="BJ638" s="851">
        <f t="shared" si="671"/>
        <v>0</v>
      </c>
      <c r="BK638" s="851">
        <f t="shared" si="671"/>
        <v>0</v>
      </c>
      <c r="BL638" s="851">
        <f t="shared" si="671"/>
        <v>0</v>
      </c>
      <c r="BM638" s="851">
        <f t="shared" si="671"/>
        <v>0</v>
      </c>
      <c r="BN638" s="851">
        <f t="shared" si="671"/>
        <v>0</v>
      </c>
      <c r="BO638" s="851">
        <f t="shared" si="671"/>
        <v>0</v>
      </c>
      <c r="BP638" s="851">
        <f t="shared" si="671"/>
        <v>0</v>
      </c>
      <c r="BQ638" s="851">
        <f t="shared" si="671"/>
        <v>0</v>
      </c>
      <c r="BR638" s="851">
        <f t="shared" si="671"/>
        <v>0</v>
      </c>
      <c r="BS638" s="851">
        <f t="shared" si="671"/>
        <v>0</v>
      </c>
      <c r="BT638" s="851">
        <f t="shared" si="671"/>
        <v>0</v>
      </c>
      <c r="BU638" s="851">
        <f t="shared" si="671"/>
        <v>0</v>
      </c>
      <c r="BV638" s="851">
        <f t="shared" si="671"/>
        <v>0</v>
      </c>
      <c r="BW638" s="851">
        <f t="shared" si="671"/>
        <v>0</v>
      </c>
      <c r="BX638" s="851">
        <f t="shared" si="671"/>
        <v>0</v>
      </c>
      <c r="BY638" s="851">
        <f t="shared" si="671"/>
        <v>0</v>
      </c>
      <c r="BZ638" s="851">
        <f t="shared" si="671"/>
        <v>0</v>
      </c>
      <c r="CA638" s="851">
        <f t="shared" si="671"/>
        <v>0</v>
      </c>
      <c r="CB638" s="851">
        <f t="shared" si="671"/>
        <v>0</v>
      </c>
      <c r="CC638" s="851">
        <f t="shared" si="671"/>
        <v>0</v>
      </c>
      <c r="CD638" s="851">
        <f t="shared" si="671"/>
        <v>0</v>
      </c>
      <c r="CE638" s="851">
        <f t="shared" si="671"/>
        <v>0</v>
      </c>
      <c r="CF638" s="851">
        <f t="shared" si="671"/>
        <v>0</v>
      </c>
      <c r="CG638" s="851">
        <f t="shared" si="671"/>
        <v>0</v>
      </c>
      <c r="CH638" s="851">
        <f t="shared" si="671"/>
        <v>0</v>
      </c>
      <c r="CI638" s="851">
        <f t="shared" si="671"/>
        <v>0</v>
      </c>
      <c r="CJ638" s="851">
        <f t="shared" si="671"/>
        <v>0</v>
      </c>
      <c r="CK638" s="851">
        <f t="shared" si="671"/>
        <v>0</v>
      </c>
      <c r="CL638" s="851">
        <f t="shared" si="671"/>
        <v>0</v>
      </c>
      <c r="CM638" s="851">
        <f t="shared" si="671"/>
        <v>0</v>
      </c>
      <c r="CN638" s="851">
        <f t="shared" si="671"/>
        <v>0</v>
      </c>
      <c r="CO638" s="851">
        <f t="shared" si="671"/>
        <v>0</v>
      </c>
      <c r="CP638" s="851">
        <f t="shared" si="671"/>
        <v>0</v>
      </c>
      <c r="CQ638" s="851">
        <f t="shared" si="671"/>
        <v>0</v>
      </c>
      <c r="CR638" s="851">
        <f t="shared" si="671"/>
        <v>0</v>
      </c>
      <c r="CS638" s="851">
        <f t="shared" si="671"/>
        <v>0</v>
      </c>
      <c r="CT638" s="851">
        <f t="shared" si="671"/>
        <v>0</v>
      </c>
      <c r="CU638" s="851">
        <f t="shared" si="671"/>
        <v>0</v>
      </c>
      <c r="CV638" s="851">
        <f t="shared" si="671"/>
        <v>0</v>
      </c>
      <c r="CW638" s="851">
        <f t="shared" si="671"/>
        <v>0</v>
      </c>
      <c r="CX638" s="851">
        <f t="shared" si="671"/>
        <v>0</v>
      </c>
      <c r="CY638" s="851">
        <f t="shared" si="671"/>
        <v>0</v>
      </c>
      <c r="CZ638" s="851">
        <f t="shared" si="671"/>
        <v>0</v>
      </c>
      <c r="DA638" s="851">
        <f t="shared" si="671"/>
        <v>0</v>
      </c>
      <c r="DC638" s="12">
        <f t="shared" si="663"/>
        <v>0</v>
      </c>
      <c r="DD638" s="12">
        <f t="shared" si="666"/>
        <v>0</v>
      </c>
      <c r="DE638" s="12">
        <f t="shared" si="667"/>
        <v>0</v>
      </c>
      <c r="DF638" s="12">
        <f t="shared" si="664"/>
        <v>0</v>
      </c>
      <c r="DG638" s="12">
        <f t="shared" si="668"/>
        <v>0</v>
      </c>
      <c r="DH638" s="12">
        <f t="shared" si="669"/>
        <v>0</v>
      </c>
    </row>
    <row r="639" spans="2:113" hidden="1" outlineLevel="2">
      <c r="F639" s="126" t="s">
        <v>737</v>
      </c>
      <c r="I639" s="609" t="s">
        <v>736</v>
      </c>
      <c r="AH639" s="710"/>
      <c r="AI639" s="710"/>
      <c r="AJ639" s="710"/>
      <c r="AK639" s="710"/>
      <c r="AL639" s="710"/>
      <c r="AM639" s="710"/>
      <c r="AN639" s="710"/>
      <c r="AO639" s="710"/>
      <c r="AP639" s="710"/>
      <c r="AQ639" s="710"/>
      <c r="AR639" s="710"/>
      <c r="AS639" s="710"/>
      <c r="AT639" s="710">
        <v>0</v>
      </c>
      <c r="AU639" s="710">
        <v>0</v>
      </c>
      <c r="AV639" s="710">
        <v>0</v>
      </c>
      <c r="AW639" s="710">
        <v>0</v>
      </c>
      <c r="AX639" s="710">
        <v>0</v>
      </c>
      <c r="AY639" s="710">
        <v>0</v>
      </c>
      <c r="AZ639" s="710">
        <v>0</v>
      </c>
      <c r="BA639" s="710">
        <v>0</v>
      </c>
      <c r="BB639" s="710">
        <v>0</v>
      </c>
      <c r="BC639" s="710">
        <v>0</v>
      </c>
      <c r="BD639" s="710">
        <v>0</v>
      </c>
      <c r="BE639" s="710">
        <v>0</v>
      </c>
      <c r="BF639" s="710">
        <v>0</v>
      </c>
      <c r="BG639" s="710">
        <v>0</v>
      </c>
      <c r="BH639" s="710">
        <v>0</v>
      </c>
      <c r="BI639" s="710">
        <v>0</v>
      </c>
      <c r="BJ639" s="710">
        <v>0</v>
      </c>
      <c r="BK639" s="710">
        <v>0</v>
      </c>
      <c r="BL639" s="710">
        <v>0</v>
      </c>
      <c r="BM639" s="710">
        <v>0</v>
      </c>
      <c r="BN639" s="710">
        <v>0</v>
      </c>
      <c r="BO639" s="710">
        <v>0</v>
      </c>
      <c r="BP639" s="710">
        <v>0</v>
      </c>
      <c r="BQ639" s="710">
        <v>0</v>
      </c>
      <c r="BR639" s="710">
        <v>0</v>
      </c>
      <c r="BS639" s="710">
        <v>0</v>
      </c>
      <c r="BT639" s="710">
        <v>0</v>
      </c>
      <c r="BU639" s="710">
        <v>0</v>
      </c>
      <c r="BV639" s="710">
        <v>0</v>
      </c>
      <c r="BW639" s="710">
        <v>0</v>
      </c>
      <c r="BX639" s="710">
        <v>0</v>
      </c>
      <c r="BY639" s="710">
        <v>0</v>
      </c>
      <c r="BZ639" s="710">
        <v>0</v>
      </c>
      <c r="CA639" s="710">
        <v>0</v>
      </c>
      <c r="CB639" s="710">
        <v>0</v>
      </c>
      <c r="CC639" s="710">
        <v>0</v>
      </c>
      <c r="CD639" s="710">
        <v>0</v>
      </c>
      <c r="CE639" s="710">
        <v>0</v>
      </c>
      <c r="CF639" s="710">
        <v>0</v>
      </c>
      <c r="CG639" s="710">
        <v>0</v>
      </c>
      <c r="CH639" s="710">
        <v>0</v>
      </c>
      <c r="CI639" s="710">
        <v>0</v>
      </c>
      <c r="CJ639" s="710">
        <v>0</v>
      </c>
      <c r="CK639" s="710">
        <v>0</v>
      </c>
      <c r="CL639" s="710">
        <v>0</v>
      </c>
      <c r="CM639" s="710">
        <v>0</v>
      </c>
      <c r="CN639" s="710">
        <v>0</v>
      </c>
      <c r="CO639" s="710">
        <v>0</v>
      </c>
      <c r="CP639" s="710">
        <v>0</v>
      </c>
      <c r="CQ639" s="710">
        <v>0</v>
      </c>
      <c r="CR639" s="710">
        <v>0</v>
      </c>
      <c r="CS639" s="710">
        <v>0</v>
      </c>
      <c r="CT639" s="710">
        <v>0</v>
      </c>
      <c r="CU639" s="710">
        <v>0</v>
      </c>
      <c r="CV639" s="710">
        <v>0</v>
      </c>
      <c r="CW639" s="710">
        <v>0</v>
      </c>
      <c r="CX639" s="710">
        <v>0</v>
      </c>
      <c r="CY639" s="710">
        <v>0</v>
      </c>
      <c r="CZ639" s="710">
        <v>0</v>
      </c>
      <c r="DA639" s="710">
        <v>0</v>
      </c>
      <c r="DC639" s="12">
        <f t="shared" si="663"/>
        <v>0</v>
      </c>
      <c r="DD639" s="12">
        <f t="shared" si="666"/>
        <v>0</v>
      </c>
      <c r="DE639" s="12">
        <f t="shared" si="667"/>
        <v>0</v>
      </c>
      <c r="DF639" s="12">
        <f t="shared" si="664"/>
        <v>0</v>
      </c>
      <c r="DG639" s="12">
        <f t="shared" si="668"/>
        <v>0</v>
      </c>
      <c r="DH639" s="12">
        <f t="shared" si="669"/>
        <v>0</v>
      </c>
    </row>
    <row r="640" spans="2:113" hidden="1" outlineLevel="2">
      <c r="F640" s="126" t="s">
        <v>798</v>
      </c>
      <c r="I640" s="609" t="s">
        <v>736</v>
      </c>
      <c r="AH640" s="710"/>
      <c r="AI640" s="710"/>
      <c r="AJ640" s="710"/>
      <c r="AK640" s="710"/>
      <c r="AL640" s="710"/>
      <c r="AM640" s="710"/>
      <c r="AN640" s="710"/>
      <c r="AO640" s="710"/>
      <c r="AP640" s="710"/>
      <c r="AQ640" s="710"/>
      <c r="AR640" s="710"/>
      <c r="AS640" s="710"/>
      <c r="AT640" s="710">
        <v>0</v>
      </c>
      <c r="AU640" s="710">
        <v>0</v>
      </c>
      <c r="AV640" s="710">
        <v>0</v>
      </c>
      <c r="AW640" s="710">
        <v>0</v>
      </c>
      <c r="AX640" s="710">
        <v>0</v>
      </c>
      <c r="AY640" s="710">
        <v>0</v>
      </c>
      <c r="AZ640" s="710">
        <v>0</v>
      </c>
      <c r="BA640" s="710">
        <v>0</v>
      </c>
      <c r="BB640" s="710">
        <v>0</v>
      </c>
      <c r="BC640" s="710">
        <v>0</v>
      </c>
      <c r="BD640" s="710">
        <v>0</v>
      </c>
      <c r="BE640" s="710">
        <v>0</v>
      </c>
      <c r="BF640" s="710">
        <v>0</v>
      </c>
      <c r="BG640" s="710">
        <v>0</v>
      </c>
      <c r="BH640" s="710">
        <v>0</v>
      </c>
      <c r="BI640" s="710">
        <v>0</v>
      </c>
      <c r="BJ640" s="710">
        <v>0</v>
      </c>
      <c r="BK640" s="710">
        <v>0</v>
      </c>
      <c r="BL640" s="710">
        <v>0</v>
      </c>
      <c r="BM640" s="710">
        <v>0</v>
      </c>
      <c r="BN640" s="710">
        <v>0</v>
      </c>
      <c r="BO640" s="710">
        <v>0</v>
      </c>
      <c r="BP640" s="710">
        <v>0</v>
      </c>
      <c r="BQ640" s="710">
        <v>0</v>
      </c>
      <c r="BR640" s="710">
        <v>0</v>
      </c>
      <c r="BS640" s="710">
        <v>0</v>
      </c>
      <c r="BT640" s="710">
        <v>0</v>
      </c>
      <c r="BU640" s="710">
        <v>0</v>
      </c>
      <c r="BV640" s="710">
        <v>0</v>
      </c>
      <c r="BW640" s="710">
        <v>0</v>
      </c>
      <c r="BX640" s="710">
        <v>0</v>
      </c>
      <c r="BY640" s="710">
        <v>0</v>
      </c>
      <c r="BZ640" s="710">
        <v>0</v>
      </c>
      <c r="CA640" s="710">
        <v>0</v>
      </c>
      <c r="CB640" s="710">
        <v>0</v>
      </c>
      <c r="CC640" s="710">
        <v>0</v>
      </c>
      <c r="CD640" s="710">
        <v>0</v>
      </c>
      <c r="CE640" s="710">
        <v>0</v>
      </c>
      <c r="CF640" s="710">
        <v>0</v>
      </c>
      <c r="CG640" s="710">
        <v>0</v>
      </c>
      <c r="CH640" s="710">
        <v>0</v>
      </c>
      <c r="CI640" s="710">
        <v>0</v>
      </c>
      <c r="CJ640" s="710">
        <v>0</v>
      </c>
      <c r="CK640" s="710">
        <v>0</v>
      </c>
      <c r="CL640" s="710">
        <v>0</v>
      </c>
      <c r="CM640" s="710">
        <v>0</v>
      </c>
      <c r="CN640" s="710">
        <v>0</v>
      </c>
      <c r="CO640" s="710">
        <v>0</v>
      </c>
      <c r="CP640" s="710">
        <v>0</v>
      </c>
      <c r="CQ640" s="710">
        <v>0</v>
      </c>
      <c r="CR640" s="710">
        <v>0</v>
      </c>
      <c r="CS640" s="710">
        <v>0</v>
      </c>
      <c r="CT640" s="710">
        <v>0</v>
      </c>
      <c r="CU640" s="710">
        <v>0</v>
      </c>
      <c r="CV640" s="710">
        <v>0</v>
      </c>
      <c r="CW640" s="710">
        <v>0</v>
      </c>
      <c r="CX640" s="710">
        <v>0</v>
      </c>
      <c r="CY640" s="710">
        <v>0</v>
      </c>
      <c r="CZ640" s="710">
        <v>0</v>
      </c>
      <c r="DA640" s="710">
        <v>0</v>
      </c>
      <c r="DC640" s="704">
        <f t="shared" si="663"/>
        <v>0</v>
      </c>
      <c r="DD640" s="758">
        <f t="shared" si="666"/>
        <v>0</v>
      </c>
      <c r="DE640" s="758">
        <f t="shared" si="667"/>
        <v>0</v>
      </c>
      <c r="DF640" s="758">
        <f t="shared" si="664"/>
        <v>0</v>
      </c>
      <c r="DG640" s="758">
        <f t="shared" si="668"/>
        <v>0</v>
      </c>
      <c r="DH640" s="758">
        <f t="shared" si="669"/>
        <v>0</v>
      </c>
    </row>
    <row r="641" spans="2:112" hidden="1" outlineLevel="2">
      <c r="E641" s="698"/>
      <c r="F641" s="698" t="s">
        <v>830</v>
      </c>
      <c r="G641" s="698"/>
      <c r="I641" s="609" t="s">
        <v>736</v>
      </c>
      <c r="X641" s="698"/>
      <c r="AH641" s="969"/>
      <c r="AI641" s="969"/>
      <c r="AJ641" s="969"/>
      <c r="AK641" s="969"/>
      <c r="AL641" s="969"/>
      <c r="AM641" s="969"/>
      <c r="AN641" s="969"/>
      <c r="AO641" s="969"/>
      <c r="AP641" s="969"/>
      <c r="AQ641" s="969"/>
      <c r="AR641" s="969"/>
      <c r="AS641" s="969"/>
      <c r="AT641" s="969">
        <f t="shared" ref="AT641:DA641" si="672">SUM(AT642:AT648)</f>
        <v>0</v>
      </c>
      <c r="AU641" s="969">
        <f t="shared" si="672"/>
        <v>0</v>
      </c>
      <c r="AV641" s="969">
        <f t="shared" si="672"/>
        <v>0</v>
      </c>
      <c r="AW641" s="969">
        <f t="shared" si="672"/>
        <v>0</v>
      </c>
      <c r="AX641" s="969">
        <f t="shared" si="672"/>
        <v>0</v>
      </c>
      <c r="AY641" s="969">
        <f t="shared" si="672"/>
        <v>0</v>
      </c>
      <c r="AZ641" s="969">
        <f t="shared" si="672"/>
        <v>0</v>
      </c>
      <c r="BA641" s="969">
        <f t="shared" si="672"/>
        <v>0</v>
      </c>
      <c r="BB641" s="969">
        <f t="shared" si="672"/>
        <v>0</v>
      </c>
      <c r="BC641" s="969">
        <f t="shared" si="672"/>
        <v>0</v>
      </c>
      <c r="BD641" s="969">
        <f t="shared" si="672"/>
        <v>0</v>
      </c>
      <c r="BE641" s="969">
        <f t="shared" si="672"/>
        <v>0</v>
      </c>
      <c r="BF641" s="969">
        <f t="shared" si="672"/>
        <v>0</v>
      </c>
      <c r="BG641" s="969">
        <f t="shared" si="672"/>
        <v>0</v>
      </c>
      <c r="BH641" s="969">
        <f t="shared" si="672"/>
        <v>0</v>
      </c>
      <c r="BI641" s="969">
        <f t="shared" si="672"/>
        <v>0</v>
      </c>
      <c r="BJ641" s="969">
        <f t="shared" si="672"/>
        <v>0</v>
      </c>
      <c r="BK641" s="969">
        <f t="shared" si="672"/>
        <v>0</v>
      </c>
      <c r="BL641" s="969">
        <f t="shared" si="672"/>
        <v>0</v>
      </c>
      <c r="BM641" s="969">
        <f t="shared" si="672"/>
        <v>0</v>
      </c>
      <c r="BN641" s="969">
        <f t="shared" si="672"/>
        <v>0</v>
      </c>
      <c r="BO641" s="969">
        <f t="shared" si="672"/>
        <v>0</v>
      </c>
      <c r="BP641" s="969">
        <f t="shared" si="672"/>
        <v>0</v>
      </c>
      <c r="BQ641" s="969">
        <f t="shared" si="672"/>
        <v>0</v>
      </c>
      <c r="BR641" s="969">
        <f t="shared" si="672"/>
        <v>0</v>
      </c>
      <c r="BS641" s="969">
        <f t="shared" si="672"/>
        <v>0</v>
      </c>
      <c r="BT641" s="969">
        <f t="shared" si="672"/>
        <v>0</v>
      </c>
      <c r="BU641" s="969">
        <f t="shared" si="672"/>
        <v>0</v>
      </c>
      <c r="BV641" s="969">
        <f t="shared" si="672"/>
        <v>0</v>
      </c>
      <c r="BW641" s="969">
        <f t="shared" si="672"/>
        <v>0</v>
      </c>
      <c r="BX641" s="969">
        <f t="shared" si="672"/>
        <v>0</v>
      </c>
      <c r="BY641" s="969">
        <f t="shared" si="672"/>
        <v>0</v>
      </c>
      <c r="BZ641" s="969">
        <f t="shared" si="672"/>
        <v>0</v>
      </c>
      <c r="CA641" s="969">
        <f t="shared" si="672"/>
        <v>0</v>
      </c>
      <c r="CB641" s="969">
        <f t="shared" si="672"/>
        <v>0</v>
      </c>
      <c r="CC641" s="969">
        <f t="shared" si="672"/>
        <v>0</v>
      </c>
      <c r="CD641" s="969">
        <f t="shared" si="672"/>
        <v>0</v>
      </c>
      <c r="CE641" s="969">
        <f t="shared" si="672"/>
        <v>0</v>
      </c>
      <c r="CF641" s="969">
        <f t="shared" si="672"/>
        <v>0</v>
      </c>
      <c r="CG641" s="969">
        <f t="shared" si="672"/>
        <v>0</v>
      </c>
      <c r="CH641" s="969">
        <f t="shared" si="672"/>
        <v>0</v>
      </c>
      <c r="CI641" s="969">
        <f t="shared" si="672"/>
        <v>0</v>
      </c>
      <c r="CJ641" s="969">
        <f t="shared" si="672"/>
        <v>0</v>
      </c>
      <c r="CK641" s="969">
        <f t="shared" si="672"/>
        <v>0</v>
      </c>
      <c r="CL641" s="969">
        <f t="shared" si="672"/>
        <v>0</v>
      </c>
      <c r="CM641" s="969">
        <f t="shared" si="672"/>
        <v>0</v>
      </c>
      <c r="CN641" s="969">
        <f t="shared" si="672"/>
        <v>0</v>
      </c>
      <c r="CO641" s="969">
        <f t="shared" si="672"/>
        <v>0</v>
      </c>
      <c r="CP641" s="969">
        <f t="shared" si="672"/>
        <v>0</v>
      </c>
      <c r="CQ641" s="969">
        <f t="shared" si="672"/>
        <v>0</v>
      </c>
      <c r="CR641" s="969">
        <f t="shared" si="672"/>
        <v>0</v>
      </c>
      <c r="CS641" s="969">
        <f t="shared" si="672"/>
        <v>0</v>
      </c>
      <c r="CT641" s="969">
        <f t="shared" si="672"/>
        <v>0</v>
      </c>
      <c r="CU641" s="969">
        <f t="shared" si="672"/>
        <v>0</v>
      </c>
      <c r="CV641" s="969">
        <f t="shared" si="672"/>
        <v>0</v>
      </c>
      <c r="CW641" s="969">
        <f t="shared" si="672"/>
        <v>0</v>
      </c>
      <c r="CX641" s="969">
        <f t="shared" si="672"/>
        <v>0</v>
      </c>
      <c r="CY641" s="969">
        <f t="shared" si="672"/>
        <v>0</v>
      </c>
      <c r="CZ641" s="969">
        <f t="shared" si="672"/>
        <v>0</v>
      </c>
      <c r="DA641" s="969">
        <f t="shared" si="672"/>
        <v>0</v>
      </c>
      <c r="DC641" s="704">
        <f t="shared" si="663"/>
        <v>0</v>
      </c>
      <c r="DD641" s="758">
        <f t="shared" si="666"/>
        <v>0</v>
      </c>
      <c r="DE641" s="758">
        <f t="shared" si="667"/>
        <v>0</v>
      </c>
      <c r="DF641" s="758">
        <f t="shared" si="664"/>
        <v>0</v>
      </c>
      <c r="DG641" s="758">
        <f t="shared" si="668"/>
        <v>0</v>
      </c>
      <c r="DH641" s="758">
        <f t="shared" si="669"/>
        <v>0</v>
      </c>
    </row>
    <row r="642" spans="2:112" hidden="1" outlineLevel="2">
      <c r="F642" s="126" t="s">
        <v>540</v>
      </c>
      <c r="I642" s="609" t="s">
        <v>736</v>
      </c>
      <c r="AH642" s="710"/>
      <c r="AI642" s="710"/>
      <c r="AJ642" s="710"/>
      <c r="AK642" s="710"/>
      <c r="AL642" s="710"/>
      <c r="AM642" s="710"/>
      <c r="AN642" s="710"/>
      <c r="AO642" s="710"/>
      <c r="AP642" s="710"/>
      <c r="AQ642" s="710"/>
      <c r="AR642" s="710"/>
      <c r="AS642" s="710"/>
      <c r="AT642" s="710">
        <v>0</v>
      </c>
      <c r="AU642" s="710">
        <v>0</v>
      </c>
      <c r="AV642" s="710">
        <v>0</v>
      </c>
      <c r="AW642" s="710">
        <v>0</v>
      </c>
      <c r="AX642" s="710">
        <v>0</v>
      </c>
      <c r="AY642" s="710">
        <v>0</v>
      </c>
      <c r="AZ642" s="710">
        <v>0</v>
      </c>
      <c r="BA642" s="710">
        <v>0</v>
      </c>
      <c r="BB642" s="710">
        <v>0</v>
      </c>
      <c r="BC642" s="710">
        <v>0</v>
      </c>
      <c r="BD642" s="710">
        <v>0</v>
      </c>
      <c r="BE642" s="710">
        <v>0</v>
      </c>
      <c r="BF642" s="710">
        <v>0</v>
      </c>
      <c r="BG642" s="710">
        <v>0</v>
      </c>
      <c r="BH642" s="710">
        <v>0</v>
      </c>
      <c r="BI642" s="710">
        <v>0</v>
      </c>
      <c r="BJ642" s="710">
        <v>0</v>
      </c>
      <c r="BK642" s="710">
        <v>0</v>
      </c>
      <c r="BL642" s="710">
        <v>0</v>
      </c>
      <c r="BM642" s="710">
        <v>0</v>
      </c>
      <c r="BN642" s="710">
        <v>0</v>
      </c>
      <c r="BO642" s="710">
        <v>0</v>
      </c>
      <c r="BP642" s="710">
        <v>0</v>
      </c>
      <c r="BQ642" s="710">
        <v>0</v>
      </c>
      <c r="BR642" s="710">
        <v>0</v>
      </c>
      <c r="BS642" s="710">
        <v>0</v>
      </c>
      <c r="BT642" s="710">
        <v>0</v>
      </c>
      <c r="BU642" s="710">
        <v>0</v>
      </c>
      <c r="BV642" s="710">
        <v>0</v>
      </c>
      <c r="BW642" s="710">
        <v>0</v>
      </c>
      <c r="BX642" s="710">
        <v>0</v>
      </c>
      <c r="BY642" s="710">
        <v>0</v>
      </c>
      <c r="BZ642" s="710">
        <v>0</v>
      </c>
      <c r="CA642" s="710">
        <v>0</v>
      </c>
      <c r="CB642" s="710">
        <v>0</v>
      </c>
      <c r="CC642" s="710">
        <v>0</v>
      </c>
      <c r="CD642" s="710">
        <v>0</v>
      </c>
      <c r="CE642" s="710">
        <v>0</v>
      </c>
      <c r="CF642" s="710">
        <v>0</v>
      </c>
      <c r="CG642" s="710">
        <v>0</v>
      </c>
      <c r="CH642" s="710">
        <v>0</v>
      </c>
      <c r="CI642" s="710">
        <v>0</v>
      </c>
      <c r="CJ642" s="710">
        <v>0</v>
      </c>
      <c r="CK642" s="710">
        <v>0</v>
      </c>
      <c r="CL642" s="710">
        <v>0</v>
      </c>
      <c r="CM642" s="710">
        <v>0</v>
      </c>
      <c r="CN642" s="710">
        <v>0</v>
      </c>
      <c r="CO642" s="710">
        <v>0</v>
      </c>
      <c r="CP642" s="710">
        <v>0</v>
      </c>
      <c r="CQ642" s="710">
        <v>0</v>
      </c>
      <c r="CR642" s="710">
        <v>0</v>
      </c>
      <c r="CS642" s="710">
        <v>0</v>
      </c>
      <c r="CT642" s="710">
        <v>0</v>
      </c>
      <c r="CU642" s="710">
        <v>0</v>
      </c>
      <c r="CV642" s="710">
        <v>0</v>
      </c>
      <c r="CW642" s="710">
        <v>0</v>
      </c>
      <c r="CX642" s="710">
        <v>0</v>
      </c>
      <c r="CY642" s="710">
        <v>0</v>
      </c>
      <c r="CZ642" s="710">
        <v>0</v>
      </c>
      <c r="DA642" s="710">
        <v>0</v>
      </c>
      <c r="DC642" s="12">
        <f t="shared" si="663"/>
        <v>0</v>
      </c>
      <c r="DD642" s="12">
        <f t="shared" si="666"/>
        <v>0</v>
      </c>
      <c r="DE642" s="12">
        <f t="shared" si="667"/>
        <v>0</v>
      </c>
      <c r="DF642" s="12">
        <f t="shared" si="664"/>
        <v>0</v>
      </c>
      <c r="DG642" s="12">
        <f t="shared" si="668"/>
        <v>0</v>
      </c>
      <c r="DH642" s="12">
        <f t="shared" si="669"/>
        <v>0</v>
      </c>
    </row>
    <row r="643" spans="2:112" hidden="1" outlineLevel="2">
      <c r="F643" s="126" t="s">
        <v>799</v>
      </c>
      <c r="I643" s="609" t="s">
        <v>736</v>
      </c>
      <c r="AH643" s="710"/>
      <c r="AI643" s="710"/>
      <c r="AJ643" s="710"/>
      <c r="AK643" s="710"/>
      <c r="AL643" s="710"/>
      <c r="AM643" s="710"/>
      <c r="AN643" s="710"/>
      <c r="AO643" s="710"/>
      <c r="AP643" s="710"/>
      <c r="AQ643" s="710"/>
      <c r="AR643" s="710"/>
      <c r="AS643" s="710"/>
      <c r="AT643" s="710"/>
      <c r="AU643" s="710"/>
      <c r="AV643" s="710"/>
      <c r="AW643" s="710"/>
      <c r="AX643" s="710"/>
      <c r="AY643" s="710"/>
      <c r="AZ643" s="710"/>
      <c r="BA643" s="710"/>
      <c r="BB643" s="710"/>
      <c r="BC643" s="710"/>
      <c r="BD643" s="710"/>
      <c r="BE643" s="710"/>
      <c r="BF643" s="710"/>
      <c r="BG643" s="710"/>
      <c r="BH643" s="710"/>
      <c r="BI643" s="710"/>
      <c r="BJ643" s="710"/>
      <c r="BK643" s="710"/>
      <c r="BL643" s="710"/>
      <c r="BM643" s="710"/>
      <c r="BN643" s="710"/>
      <c r="BO643" s="710"/>
      <c r="BP643" s="710"/>
      <c r="BQ643" s="710"/>
      <c r="BR643" s="710"/>
      <c r="BS643" s="710"/>
      <c r="BT643" s="710"/>
      <c r="BU643" s="710"/>
      <c r="BV643" s="710"/>
      <c r="BW643" s="710"/>
      <c r="BX643" s="710"/>
      <c r="BY643" s="710"/>
      <c r="BZ643" s="710"/>
      <c r="CA643" s="710"/>
      <c r="CB643" s="710"/>
      <c r="CC643" s="710"/>
      <c r="CD643" s="710"/>
      <c r="CE643" s="710"/>
      <c r="CF643" s="710"/>
      <c r="CG643" s="710"/>
      <c r="CH643" s="710"/>
      <c r="CI643" s="710"/>
      <c r="CJ643" s="710"/>
      <c r="CK643" s="710"/>
      <c r="CL643" s="710"/>
      <c r="CM643" s="710"/>
      <c r="CN643" s="710"/>
      <c r="CO643" s="710"/>
      <c r="CP643" s="710"/>
      <c r="CQ643" s="710"/>
      <c r="CR643" s="710"/>
      <c r="CS643" s="710"/>
      <c r="CT643" s="710"/>
      <c r="CU643" s="710"/>
      <c r="CV643" s="710"/>
      <c r="CW643" s="710"/>
      <c r="CX643" s="710"/>
      <c r="CY643" s="710"/>
      <c r="CZ643" s="710"/>
      <c r="DA643" s="710"/>
      <c r="DC643" s="12">
        <f t="shared" si="663"/>
        <v>0</v>
      </c>
      <c r="DD643" s="12">
        <f t="shared" si="666"/>
        <v>0</v>
      </c>
      <c r="DE643" s="12">
        <f t="shared" si="667"/>
        <v>0</v>
      </c>
      <c r="DF643" s="12">
        <f t="shared" si="664"/>
        <v>0</v>
      </c>
      <c r="DG643" s="12">
        <f t="shared" si="668"/>
        <v>0</v>
      </c>
      <c r="DH643" s="12">
        <f t="shared" si="669"/>
        <v>0</v>
      </c>
    </row>
    <row r="644" spans="2:112" hidden="1" outlineLevel="2">
      <c r="F644" s="126" t="s">
        <v>800</v>
      </c>
      <c r="I644" s="609" t="s">
        <v>736</v>
      </c>
      <c r="AH644" s="710"/>
      <c r="AI644" s="710"/>
      <c r="AJ644" s="710"/>
      <c r="AK644" s="710"/>
      <c r="AL644" s="710"/>
      <c r="AM644" s="710"/>
      <c r="AN644" s="710"/>
      <c r="AO644" s="710"/>
      <c r="AP644" s="710"/>
      <c r="AQ644" s="710"/>
      <c r="AR644" s="710"/>
      <c r="AS644" s="710"/>
      <c r="AT644" s="710"/>
      <c r="AU644" s="710"/>
      <c r="AV644" s="710"/>
      <c r="AW644" s="710"/>
      <c r="AX644" s="710"/>
      <c r="AY644" s="710"/>
      <c r="AZ644" s="710"/>
      <c r="BA644" s="710"/>
      <c r="BB644" s="710"/>
      <c r="BC644" s="710"/>
      <c r="BD644" s="710"/>
      <c r="BE644" s="710"/>
      <c r="BF644" s="710"/>
      <c r="BG644" s="710"/>
      <c r="BH644" s="710"/>
      <c r="BI644" s="710"/>
      <c r="BJ644" s="710"/>
      <c r="BK644" s="710"/>
      <c r="BL644" s="710"/>
      <c r="BM644" s="710"/>
      <c r="BN644" s="710"/>
      <c r="BO644" s="710"/>
      <c r="BP644" s="710"/>
      <c r="BQ644" s="710"/>
      <c r="BR644" s="710"/>
      <c r="BS644" s="710"/>
      <c r="BT644" s="710"/>
      <c r="BU644" s="710"/>
      <c r="BV644" s="710"/>
      <c r="BW644" s="710"/>
      <c r="BX644" s="710"/>
      <c r="BY644" s="710"/>
      <c r="BZ644" s="710"/>
      <c r="CA644" s="710"/>
      <c r="CB644" s="710"/>
      <c r="CC644" s="710"/>
      <c r="CD644" s="710"/>
      <c r="CE644" s="710"/>
      <c r="CF644" s="710"/>
      <c r="CG644" s="710"/>
      <c r="CH644" s="710"/>
      <c r="CI644" s="710"/>
      <c r="CJ644" s="710"/>
      <c r="CK644" s="710"/>
      <c r="CL644" s="710"/>
      <c r="CM644" s="710"/>
      <c r="CN644" s="710"/>
      <c r="CO644" s="710"/>
      <c r="CP644" s="710"/>
      <c r="CQ644" s="710"/>
      <c r="CR644" s="710"/>
      <c r="CS644" s="710"/>
      <c r="CT644" s="710"/>
      <c r="CU644" s="710"/>
      <c r="CV644" s="710"/>
      <c r="CW644" s="710"/>
      <c r="CX644" s="710"/>
      <c r="CY644" s="710"/>
      <c r="CZ644" s="710"/>
      <c r="DA644" s="710"/>
      <c r="DC644" s="14">
        <f t="shared" si="663"/>
        <v>0</v>
      </c>
      <c r="DD644" s="14">
        <f t="shared" si="666"/>
        <v>0</v>
      </c>
      <c r="DE644" s="14">
        <f t="shared" si="667"/>
        <v>0</v>
      </c>
      <c r="DF644" s="14">
        <f t="shared" si="664"/>
        <v>0</v>
      </c>
      <c r="DG644" s="14">
        <f t="shared" si="668"/>
        <v>0</v>
      </c>
      <c r="DH644" s="14">
        <f t="shared" si="669"/>
        <v>0</v>
      </c>
    </row>
    <row r="645" spans="2:112" hidden="1" outlineLevel="2">
      <c r="F645" s="126" t="s">
        <v>223</v>
      </c>
      <c r="I645" s="609" t="s">
        <v>736</v>
      </c>
      <c r="AH645" s="710"/>
      <c r="AI645" s="710"/>
      <c r="AJ645" s="710"/>
      <c r="AK645" s="710"/>
      <c r="AL645" s="710"/>
      <c r="AM645" s="710"/>
      <c r="AN645" s="710"/>
      <c r="AO645" s="710"/>
      <c r="AP645" s="710"/>
      <c r="AQ645" s="710"/>
      <c r="AR645" s="710"/>
      <c r="AS645" s="710"/>
      <c r="AT645" s="710"/>
      <c r="AU645" s="710"/>
      <c r="AV645" s="710"/>
      <c r="AW645" s="710"/>
      <c r="AX645" s="710"/>
      <c r="AY645" s="710"/>
      <c r="AZ645" s="710"/>
      <c r="BA645" s="710"/>
      <c r="BB645" s="710"/>
      <c r="BC645" s="710"/>
      <c r="BD645" s="710"/>
      <c r="BE645" s="710"/>
      <c r="BF645" s="710"/>
      <c r="BG645" s="710"/>
      <c r="BH645" s="710"/>
      <c r="BI645" s="710"/>
      <c r="BJ645" s="710"/>
      <c r="BK645" s="710"/>
      <c r="BL645" s="710"/>
      <c r="BM645" s="710"/>
      <c r="BN645" s="710"/>
      <c r="BO645" s="710"/>
      <c r="BP645" s="710"/>
      <c r="BQ645" s="710"/>
      <c r="BR645" s="710"/>
      <c r="BS645" s="710"/>
      <c r="BT645" s="710"/>
      <c r="BU645" s="710"/>
      <c r="BV645" s="710"/>
      <c r="BW645" s="710"/>
      <c r="BX645" s="710"/>
      <c r="BY645" s="710"/>
      <c r="BZ645" s="710"/>
      <c r="CA645" s="710"/>
      <c r="CB645" s="710"/>
      <c r="CC645" s="710"/>
      <c r="CD645" s="710"/>
      <c r="CE645" s="710"/>
      <c r="CF645" s="710"/>
      <c r="CG645" s="710"/>
      <c r="CH645" s="710"/>
      <c r="CI645" s="710"/>
      <c r="CJ645" s="710"/>
      <c r="CK645" s="710"/>
      <c r="CL645" s="710"/>
      <c r="CM645" s="710"/>
      <c r="CN645" s="710"/>
      <c r="CO645" s="710"/>
      <c r="CP645" s="710"/>
      <c r="CQ645" s="710"/>
      <c r="CR645" s="710"/>
      <c r="CS645" s="710"/>
      <c r="CT645" s="710"/>
      <c r="CU645" s="710"/>
      <c r="CV645" s="710"/>
      <c r="CW645" s="710"/>
      <c r="CX645" s="710"/>
      <c r="CY645" s="710"/>
      <c r="CZ645" s="710"/>
      <c r="DA645" s="710"/>
      <c r="DC645" s="12">
        <f t="shared" si="663"/>
        <v>0</v>
      </c>
      <c r="DD645" s="12">
        <f t="shared" ref="DD645:DD661" si="673">SUM(AH645:AS645)</f>
        <v>0</v>
      </c>
      <c r="DE645" s="12">
        <f t="shared" ref="DE645:DE661" si="674">SUM(AT645:BE645)</f>
        <v>0</v>
      </c>
      <c r="DF645" s="12">
        <f t="shared" si="664"/>
        <v>0</v>
      </c>
      <c r="DG645" s="12">
        <f t="shared" ref="DG645:DG661" si="675">SUM(BR645:CC645)</f>
        <v>0</v>
      </c>
      <c r="DH645" s="12">
        <f t="shared" ref="DH645:DH661" si="676">SUM(CD645:CO645)</f>
        <v>0</v>
      </c>
    </row>
    <row r="646" spans="2:112" hidden="1" outlineLevel="2">
      <c r="F646" s="126" t="s">
        <v>221</v>
      </c>
      <c r="I646" s="609" t="s">
        <v>736</v>
      </c>
      <c r="AH646" s="710"/>
      <c r="AI646" s="710"/>
      <c r="AJ646" s="710"/>
      <c r="AK646" s="710"/>
      <c r="AL646" s="710"/>
      <c r="AM646" s="710"/>
      <c r="AN646" s="710"/>
      <c r="AO646" s="710"/>
      <c r="AP646" s="710"/>
      <c r="AQ646" s="710"/>
      <c r="AR646" s="710"/>
      <c r="AS646" s="710"/>
      <c r="AT646" s="710"/>
      <c r="AU646" s="710"/>
      <c r="AV646" s="710"/>
      <c r="AW646" s="710"/>
      <c r="AX646" s="710"/>
      <c r="AY646" s="710"/>
      <c r="AZ646" s="710"/>
      <c r="BA646" s="710"/>
      <c r="BB646" s="710"/>
      <c r="BC646" s="710"/>
      <c r="BD646" s="710"/>
      <c r="BE646" s="710"/>
      <c r="BF646" s="710"/>
      <c r="BG646" s="710"/>
      <c r="BH646" s="710"/>
      <c r="BI646" s="710"/>
      <c r="BJ646" s="710"/>
      <c r="BK646" s="710"/>
      <c r="BL646" s="710"/>
      <c r="BM646" s="710"/>
      <c r="BN646" s="710"/>
      <c r="BO646" s="710"/>
      <c r="BP646" s="710"/>
      <c r="BQ646" s="710"/>
      <c r="BR646" s="710"/>
      <c r="BS646" s="710"/>
      <c r="BT646" s="710"/>
      <c r="BU646" s="710"/>
      <c r="BV646" s="710"/>
      <c r="BW646" s="710"/>
      <c r="BX646" s="710"/>
      <c r="BY646" s="710"/>
      <c r="BZ646" s="710"/>
      <c r="CA646" s="710"/>
      <c r="CB646" s="710"/>
      <c r="CC646" s="710"/>
      <c r="CD646" s="710"/>
      <c r="CE646" s="710"/>
      <c r="CF646" s="710"/>
      <c r="CG646" s="710"/>
      <c r="CH646" s="710"/>
      <c r="CI646" s="710"/>
      <c r="CJ646" s="710"/>
      <c r="CK646" s="710"/>
      <c r="CL646" s="710"/>
      <c r="CM646" s="710"/>
      <c r="CN646" s="710"/>
      <c r="CO646" s="710"/>
      <c r="CP646" s="710"/>
      <c r="CQ646" s="710"/>
      <c r="CR646" s="710"/>
      <c r="CS646" s="710"/>
      <c r="CT646" s="710"/>
      <c r="CU646" s="710"/>
      <c r="CV646" s="710"/>
      <c r="CW646" s="710"/>
      <c r="CX646" s="710"/>
      <c r="CY646" s="710"/>
      <c r="CZ646" s="710"/>
      <c r="DA646" s="710"/>
      <c r="DC646" s="12">
        <f t="shared" si="663"/>
        <v>0</v>
      </c>
      <c r="DD646" s="12">
        <f t="shared" si="673"/>
        <v>0</v>
      </c>
      <c r="DE646" s="12">
        <f t="shared" si="674"/>
        <v>0</v>
      </c>
      <c r="DF646" s="12">
        <f t="shared" si="664"/>
        <v>0</v>
      </c>
      <c r="DG646" s="12">
        <f t="shared" si="675"/>
        <v>0</v>
      </c>
      <c r="DH646" s="12">
        <f t="shared" si="676"/>
        <v>0</v>
      </c>
    </row>
    <row r="647" spans="2:112" hidden="1" outlineLevel="2">
      <c r="F647" s="126" t="s">
        <v>801</v>
      </c>
      <c r="I647" s="609" t="s">
        <v>736</v>
      </c>
      <c r="AH647" s="880"/>
      <c r="AI647" s="880"/>
      <c r="AJ647" s="880"/>
      <c r="AK647" s="880"/>
      <c r="AL647" s="880"/>
      <c r="AM647" s="880"/>
      <c r="AN647" s="880"/>
      <c r="AO647" s="880"/>
      <c r="AP647" s="880"/>
      <c r="AQ647" s="880"/>
      <c r="AR647" s="880"/>
      <c r="AS647" s="880"/>
      <c r="AT647" s="880">
        <v>0</v>
      </c>
      <c r="AU647" s="880">
        <v>0</v>
      </c>
      <c r="AV647" s="880">
        <v>0</v>
      </c>
      <c r="AW647" s="880">
        <v>0</v>
      </c>
      <c r="AX647" s="880">
        <v>0</v>
      </c>
      <c r="AY647" s="880">
        <v>0</v>
      </c>
      <c r="AZ647" s="880">
        <v>0</v>
      </c>
      <c r="BA647" s="880">
        <v>0</v>
      </c>
      <c r="BB647" s="880">
        <v>0</v>
      </c>
      <c r="BC647" s="880">
        <v>0</v>
      </c>
      <c r="BD647" s="880">
        <v>0</v>
      </c>
      <c r="BE647" s="880">
        <v>0</v>
      </c>
      <c r="BF647" s="880">
        <v>0</v>
      </c>
      <c r="BG647" s="880">
        <v>0</v>
      </c>
      <c r="BH647" s="880">
        <v>0</v>
      </c>
      <c r="BI647" s="880">
        <v>0</v>
      </c>
      <c r="BJ647" s="880">
        <v>0</v>
      </c>
      <c r="BK647" s="880">
        <v>0</v>
      </c>
      <c r="BL647" s="880">
        <v>0</v>
      </c>
      <c r="BM647" s="880">
        <v>0</v>
      </c>
      <c r="BN647" s="880">
        <v>0</v>
      </c>
      <c r="BO647" s="880">
        <v>0</v>
      </c>
      <c r="BP647" s="880">
        <v>0</v>
      </c>
      <c r="BQ647" s="880">
        <v>0</v>
      </c>
      <c r="BR647" s="880">
        <v>0</v>
      </c>
      <c r="BS647" s="880">
        <v>0</v>
      </c>
      <c r="BT647" s="880">
        <v>0</v>
      </c>
      <c r="BU647" s="880">
        <v>0</v>
      </c>
      <c r="BV647" s="880">
        <v>0</v>
      </c>
      <c r="BW647" s="880">
        <v>0</v>
      </c>
      <c r="BX647" s="880">
        <v>0</v>
      </c>
      <c r="BY647" s="880">
        <v>0</v>
      </c>
      <c r="BZ647" s="880">
        <v>0</v>
      </c>
      <c r="CA647" s="880">
        <v>0</v>
      </c>
      <c r="CB647" s="880">
        <v>0</v>
      </c>
      <c r="CC647" s="880">
        <v>0</v>
      </c>
      <c r="CD647" s="880">
        <v>0</v>
      </c>
      <c r="CE647" s="880">
        <v>0</v>
      </c>
      <c r="CF647" s="880">
        <v>0</v>
      </c>
      <c r="CG647" s="880">
        <v>0</v>
      </c>
      <c r="CH647" s="880">
        <v>0</v>
      </c>
      <c r="CI647" s="880">
        <v>0</v>
      </c>
      <c r="CJ647" s="880">
        <v>0</v>
      </c>
      <c r="CK647" s="880">
        <v>0</v>
      </c>
      <c r="CL647" s="880">
        <v>0</v>
      </c>
      <c r="CM647" s="880">
        <v>0</v>
      </c>
      <c r="CN647" s="880">
        <v>0</v>
      </c>
      <c r="CO647" s="880">
        <v>0</v>
      </c>
      <c r="CP647" s="880">
        <v>0</v>
      </c>
      <c r="CQ647" s="880">
        <v>0</v>
      </c>
      <c r="CR647" s="880">
        <v>0</v>
      </c>
      <c r="CS647" s="880">
        <v>0</v>
      </c>
      <c r="CT647" s="880">
        <v>0</v>
      </c>
      <c r="CU647" s="880">
        <v>0</v>
      </c>
      <c r="CV647" s="880">
        <v>0</v>
      </c>
      <c r="CW647" s="880">
        <v>0</v>
      </c>
      <c r="CX647" s="880">
        <v>0</v>
      </c>
      <c r="CY647" s="880">
        <v>0</v>
      </c>
      <c r="CZ647" s="880">
        <v>0</v>
      </c>
      <c r="DA647" s="880">
        <v>0</v>
      </c>
      <c r="DC647" s="12">
        <f t="shared" si="663"/>
        <v>0</v>
      </c>
      <c r="DD647" s="12">
        <f t="shared" si="673"/>
        <v>0</v>
      </c>
      <c r="DE647" s="12">
        <f t="shared" si="674"/>
        <v>0</v>
      </c>
      <c r="DF647" s="12">
        <f t="shared" si="664"/>
        <v>0</v>
      </c>
      <c r="DG647" s="12">
        <f t="shared" si="675"/>
        <v>0</v>
      </c>
      <c r="DH647" s="12">
        <f t="shared" si="676"/>
        <v>0</v>
      </c>
    </row>
    <row r="648" spans="2:112" hidden="1" outlineLevel="2">
      <c r="F648" s="126" t="s">
        <v>802</v>
      </c>
      <c r="I648" s="609" t="s">
        <v>736</v>
      </c>
      <c r="AH648" s="880"/>
      <c r="AI648" s="880"/>
      <c r="AJ648" s="880"/>
      <c r="AK648" s="880"/>
      <c r="AL648" s="880"/>
      <c r="AM648" s="880"/>
      <c r="AN648" s="880"/>
      <c r="AO648" s="880"/>
      <c r="AP648" s="880"/>
      <c r="AQ648" s="880"/>
      <c r="AR648" s="880"/>
      <c r="AS648" s="880"/>
      <c r="AT648" s="880"/>
      <c r="AU648" s="880"/>
      <c r="AV648" s="880"/>
      <c r="AW648" s="880"/>
      <c r="AX648" s="880"/>
      <c r="AY648" s="880"/>
      <c r="AZ648" s="880"/>
      <c r="BA648" s="880"/>
      <c r="BB648" s="880"/>
      <c r="BC648" s="880"/>
      <c r="BD648" s="880"/>
      <c r="BE648" s="880"/>
      <c r="BF648" s="880"/>
      <c r="BG648" s="880"/>
      <c r="BH648" s="880"/>
      <c r="BI648" s="880"/>
      <c r="BJ648" s="880"/>
      <c r="BK648" s="880"/>
      <c r="BL648" s="880"/>
      <c r="BM648" s="880"/>
      <c r="BN648" s="880"/>
      <c r="BO648" s="880"/>
      <c r="BP648" s="880"/>
      <c r="BQ648" s="880"/>
      <c r="BR648" s="880"/>
      <c r="BS648" s="880"/>
      <c r="BT648" s="880"/>
      <c r="BU648" s="880"/>
      <c r="BV648" s="880"/>
      <c r="BW648" s="880"/>
      <c r="BX648" s="880"/>
      <c r="BY648" s="880"/>
      <c r="BZ648" s="880"/>
      <c r="CA648" s="880"/>
      <c r="CB648" s="880"/>
      <c r="CC648" s="880"/>
      <c r="CD648" s="880"/>
      <c r="CE648" s="880"/>
      <c r="CF648" s="880"/>
      <c r="CG648" s="880"/>
      <c r="CH648" s="880"/>
      <c r="CI648" s="880"/>
      <c r="CJ648" s="880"/>
      <c r="CK648" s="880"/>
      <c r="CL648" s="880"/>
      <c r="CM648" s="880"/>
      <c r="CN648" s="880"/>
      <c r="CO648" s="880"/>
      <c r="CP648" s="880"/>
      <c r="CQ648" s="880"/>
      <c r="CR648" s="880"/>
      <c r="CS648" s="880"/>
      <c r="CT648" s="880"/>
      <c r="CU648" s="880"/>
      <c r="CV648" s="880"/>
      <c r="CW648" s="880"/>
      <c r="CX648" s="880"/>
      <c r="CY648" s="880"/>
      <c r="CZ648" s="880"/>
      <c r="DA648" s="880"/>
      <c r="DC648" s="12">
        <f t="shared" si="663"/>
        <v>0</v>
      </c>
      <c r="DD648" s="12">
        <f t="shared" si="673"/>
        <v>0</v>
      </c>
      <c r="DE648" s="12">
        <f t="shared" si="674"/>
        <v>0</v>
      </c>
      <c r="DF648" s="12">
        <f t="shared" si="664"/>
        <v>0</v>
      </c>
      <c r="DG648" s="12">
        <f t="shared" si="675"/>
        <v>0</v>
      </c>
      <c r="DH648" s="12">
        <f t="shared" si="676"/>
        <v>0</v>
      </c>
    </row>
    <row r="649" spans="2:112" hidden="1" outlineLevel="2">
      <c r="E649" s="720" t="s">
        <v>621</v>
      </c>
      <c r="I649" s="609" t="s">
        <v>736</v>
      </c>
      <c r="AH649" s="873"/>
      <c r="AI649" s="873"/>
      <c r="AJ649" s="873"/>
      <c r="AK649" s="873"/>
      <c r="AL649" s="873"/>
      <c r="AM649" s="880"/>
      <c r="AN649" s="880"/>
      <c r="AO649" s="880"/>
      <c r="AP649" s="880"/>
      <c r="AQ649" s="880"/>
      <c r="AR649" s="880"/>
      <c r="AS649" s="880"/>
      <c r="AT649" s="880">
        <v>0</v>
      </c>
      <c r="AU649" s="880">
        <v>0</v>
      </c>
      <c r="AV649" s="880">
        <v>0</v>
      </c>
      <c r="AW649" s="880">
        <v>0</v>
      </c>
      <c r="AX649" s="880">
        <v>0</v>
      </c>
      <c r="AY649" s="880">
        <v>0</v>
      </c>
      <c r="AZ649" s="880">
        <v>0</v>
      </c>
      <c r="BA649" s="880">
        <v>0</v>
      </c>
      <c r="BB649" s="880">
        <v>0</v>
      </c>
      <c r="BC649" s="880">
        <v>0</v>
      </c>
      <c r="BD649" s="880">
        <v>0</v>
      </c>
      <c r="BE649" s="880">
        <v>0</v>
      </c>
      <c r="BF649" s="880">
        <v>0</v>
      </c>
      <c r="BG649" s="880">
        <v>0</v>
      </c>
      <c r="BH649" s="880">
        <v>0</v>
      </c>
      <c r="BI649" s="880">
        <v>0</v>
      </c>
      <c r="BJ649" s="880">
        <v>0</v>
      </c>
      <c r="BK649" s="880">
        <v>0</v>
      </c>
      <c r="BL649" s="880">
        <v>0</v>
      </c>
      <c r="BM649" s="880">
        <v>0</v>
      </c>
      <c r="BN649" s="880">
        <v>0</v>
      </c>
      <c r="BO649" s="880">
        <v>0</v>
      </c>
      <c r="BP649" s="880">
        <v>0</v>
      </c>
      <c r="BQ649" s="880">
        <v>0</v>
      </c>
      <c r="BR649" s="880">
        <v>0</v>
      </c>
      <c r="BS649" s="880">
        <v>0</v>
      </c>
      <c r="BT649" s="880">
        <v>0</v>
      </c>
      <c r="BU649" s="880">
        <v>0</v>
      </c>
      <c r="BV649" s="880">
        <v>0</v>
      </c>
      <c r="BW649" s="880">
        <v>0</v>
      </c>
      <c r="BX649" s="880">
        <v>0</v>
      </c>
      <c r="BY649" s="880">
        <v>0</v>
      </c>
      <c r="BZ649" s="880">
        <v>0</v>
      </c>
      <c r="CA649" s="880">
        <v>0</v>
      </c>
      <c r="CB649" s="880">
        <v>0</v>
      </c>
      <c r="CC649" s="880">
        <v>0</v>
      </c>
      <c r="CD649" s="880">
        <v>0</v>
      </c>
      <c r="CE649" s="880">
        <v>0</v>
      </c>
      <c r="CF649" s="880">
        <v>0</v>
      </c>
      <c r="CG649" s="880">
        <v>0</v>
      </c>
      <c r="CH649" s="880">
        <v>0</v>
      </c>
      <c r="CI649" s="880">
        <v>0</v>
      </c>
      <c r="CJ649" s="880">
        <v>0</v>
      </c>
      <c r="CK649" s="880">
        <v>0</v>
      </c>
      <c r="CL649" s="880">
        <v>0</v>
      </c>
      <c r="CM649" s="880">
        <v>0</v>
      </c>
      <c r="CN649" s="880">
        <v>0</v>
      </c>
      <c r="CO649" s="880">
        <v>0</v>
      </c>
      <c r="CP649" s="880">
        <v>0</v>
      </c>
      <c r="CQ649" s="880">
        <v>0</v>
      </c>
      <c r="CR649" s="880">
        <v>0</v>
      </c>
      <c r="CS649" s="880">
        <v>0</v>
      </c>
      <c r="CT649" s="880">
        <v>0</v>
      </c>
      <c r="CU649" s="880">
        <v>0</v>
      </c>
      <c r="CV649" s="880">
        <v>0</v>
      </c>
      <c r="CW649" s="880">
        <v>0</v>
      </c>
      <c r="CX649" s="880">
        <v>0</v>
      </c>
      <c r="CY649" s="880">
        <v>0</v>
      </c>
      <c r="CZ649" s="880">
        <v>0</v>
      </c>
      <c r="DA649" s="880">
        <v>0</v>
      </c>
      <c r="DC649" s="12">
        <f>SUM(V649:AG649)</f>
        <v>0</v>
      </c>
      <c r="DD649" s="12">
        <f>SUM(AH649:AS649)</f>
        <v>0</v>
      </c>
      <c r="DE649" s="12">
        <f>SUM(AT649:BE649)</f>
        <v>0</v>
      </c>
      <c r="DF649" s="12">
        <f>SUM(BF649:BQ649)</f>
        <v>0</v>
      </c>
      <c r="DG649" s="12">
        <f>SUM(BR649:CC649)</f>
        <v>0</v>
      </c>
      <c r="DH649" s="12">
        <f>SUM(CD649:CO649)</f>
        <v>0</v>
      </c>
    </row>
    <row r="650" spans="2:112" s="708" customFormat="1" hidden="1" outlineLevel="2">
      <c r="B650" s="126"/>
      <c r="E650" s="724" t="s">
        <v>701</v>
      </c>
      <c r="H650" s="963"/>
      <c r="I650" s="609" t="s">
        <v>736</v>
      </c>
      <c r="J650" s="963"/>
      <c r="K650" s="963"/>
      <c r="L650" s="963"/>
      <c r="M650" s="963"/>
      <c r="AT650" s="708">
        <f t="shared" ref="AT650:DA650" si="677">SUM(AT651:AT658)</f>
        <v>0</v>
      </c>
      <c r="AU650" s="708">
        <f t="shared" si="677"/>
        <v>0</v>
      </c>
      <c r="AV650" s="708">
        <f t="shared" si="677"/>
        <v>0</v>
      </c>
      <c r="AW650" s="708">
        <f t="shared" si="677"/>
        <v>0</v>
      </c>
      <c r="AX650" s="708">
        <f t="shared" si="677"/>
        <v>0</v>
      </c>
      <c r="AY650" s="708">
        <f t="shared" si="677"/>
        <v>0</v>
      </c>
      <c r="AZ650" s="708">
        <f t="shared" si="677"/>
        <v>0</v>
      </c>
      <c r="BA650" s="708">
        <f t="shared" si="677"/>
        <v>0</v>
      </c>
      <c r="BB650" s="708">
        <f t="shared" si="677"/>
        <v>0</v>
      </c>
      <c r="BC650" s="708">
        <f t="shared" si="677"/>
        <v>0</v>
      </c>
      <c r="BD650" s="708">
        <f t="shared" si="677"/>
        <v>0</v>
      </c>
      <c r="BE650" s="708">
        <f t="shared" si="677"/>
        <v>0</v>
      </c>
      <c r="BF650" s="708">
        <f t="shared" si="677"/>
        <v>0</v>
      </c>
      <c r="BG650" s="708">
        <f t="shared" si="677"/>
        <v>0</v>
      </c>
      <c r="BH650" s="708">
        <f t="shared" si="677"/>
        <v>0</v>
      </c>
      <c r="BI650" s="708">
        <f t="shared" si="677"/>
        <v>0</v>
      </c>
      <c r="BJ650" s="708">
        <f t="shared" si="677"/>
        <v>0</v>
      </c>
      <c r="BK650" s="708">
        <f t="shared" si="677"/>
        <v>0</v>
      </c>
      <c r="BL650" s="708">
        <f t="shared" si="677"/>
        <v>0</v>
      </c>
      <c r="BM650" s="708">
        <f t="shared" si="677"/>
        <v>0</v>
      </c>
      <c r="BN650" s="708">
        <f t="shared" si="677"/>
        <v>0</v>
      </c>
      <c r="BO650" s="708">
        <f t="shared" si="677"/>
        <v>0</v>
      </c>
      <c r="BP650" s="708">
        <f t="shared" si="677"/>
        <v>0</v>
      </c>
      <c r="BQ650" s="708">
        <f t="shared" si="677"/>
        <v>0</v>
      </c>
      <c r="BR650" s="708">
        <f t="shared" si="677"/>
        <v>0</v>
      </c>
      <c r="BS650" s="708">
        <f t="shared" si="677"/>
        <v>0</v>
      </c>
      <c r="BT650" s="708">
        <f t="shared" si="677"/>
        <v>0</v>
      </c>
      <c r="BU650" s="708">
        <f t="shared" si="677"/>
        <v>0</v>
      </c>
      <c r="BV650" s="708">
        <f t="shared" si="677"/>
        <v>0</v>
      </c>
      <c r="BW650" s="708">
        <f t="shared" si="677"/>
        <v>0</v>
      </c>
      <c r="BX650" s="708">
        <f t="shared" si="677"/>
        <v>0</v>
      </c>
      <c r="BY650" s="708">
        <f t="shared" si="677"/>
        <v>0</v>
      </c>
      <c r="BZ650" s="708">
        <f t="shared" si="677"/>
        <v>0</v>
      </c>
      <c r="CA650" s="708">
        <f t="shared" si="677"/>
        <v>0</v>
      </c>
      <c r="CB650" s="708">
        <f t="shared" si="677"/>
        <v>0</v>
      </c>
      <c r="CC650" s="708">
        <f t="shared" si="677"/>
        <v>0</v>
      </c>
      <c r="CD650" s="708">
        <f t="shared" si="677"/>
        <v>0</v>
      </c>
      <c r="CE650" s="708">
        <f t="shared" si="677"/>
        <v>0</v>
      </c>
      <c r="CF650" s="708">
        <f t="shared" si="677"/>
        <v>0</v>
      </c>
      <c r="CG650" s="708">
        <f t="shared" si="677"/>
        <v>0</v>
      </c>
      <c r="CH650" s="708">
        <f t="shared" si="677"/>
        <v>0</v>
      </c>
      <c r="CI650" s="708">
        <f t="shared" si="677"/>
        <v>0</v>
      </c>
      <c r="CJ650" s="708">
        <f t="shared" si="677"/>
        <v>0</v>
      </c>
      <c r="CK650" s="708">
        <f t="shared" si="677"/>
        <v>0</v>
      </c>
      <c r="CL650" s="708">
        <f t="shared" si="677"/>
        <v>0</v>
      </c>
      <c r="CM650" s="708">
        <f t="shared" si="677"/>
        <v>0</v>
      </c>
      <c r="CN650" s="708">
        <f t="shared" si="677"/>
        <v>0</v>
      </c>
      <c r="CO650" s="708">
        <f t="shared" si="677"/>
        <v>0</v>
      </c>
      <c r="CP650" s="708">
        <f t="shared" si="677"/>
        <v>0</v>
      </c>
      <c r="CQ650" s="708">
        <f t="shared" si="677"/>
        <v>0</v>
      </c>
      <c r="CR650" s="708">
        <f t="shared" si="677"/>
        <v>0</v>
      </c>
      <c r="CS650" s="708">
        <f t="shared" si="677"/>
        <v>0</v>
      </c>
      <c r="CT650" s="708">
        <f t="shared" si="677"/>
        <v>0</v>
      </c>
      <c r="CU650" s="708">
        <f t="shared" si="677"/>
        <v>0</v>
      </c>
      <c r="CV650" s="708">
        <f t="shared" si="677"/>
        <v>0</v>
      </c>
      <c r="CW650" s="708">
        <f t="shared" si="677"/>
        <v>0</v>
      </c>
      <c r="CX650" s="708">
        <f t="shared" si="677"/>
        <v>0</v>
      </c>
      <c r="CY650" s="708">
        <f t="shared" si="677"/>
        <v>0</v>
      </c>
      <c r="CZ650" s="708">
        <f t="shared" si="677"/>
        <v>0</v>
      </c>
      <c r="DA650" s="708">
        <f t="shared" si="677"/>
        <v>0</v>
      </c>
      <c r="DC650" s="14">
        <f t="shared" si="663"/>
        <v>0</v>
      </c>
      <c r="DD650" s="14">
        <f t="shared" si="673"/>
        <v>0</v>
      </c>
      <c r="DE650" s="14">
        <f t="shared" si="674"/>
        <v>0</v>
      </c>
      <c r="DF650" s="14">
        <f t="shared" si="664"/>
        <v>0</v>
      </c>
      <c r="DG650" s="14">
        <f t="shared" si="675"/>
        <v>0</v>
      </c>
      <c r="DH650" s="14">
        <f t="shared" si="676"/>
        <v>0</v>
      </c>
    </row>
    <row r="651" spans="2:112" hidden="1" outlineLevel="2">
      <c r="F651" s="126" t="s">
        <v>100</v>
      </c>
      <c r="I651" s="609" t="s">
        <v>736</v>
      </c>
      <c r="AH651" s="710"/>
      <c r="AI651" s="710"/>
      <c r="AJ651" s="710"/>
      <c r="AK651" s="710"/>
      <c r="AL651" s="710"/>
      <c r="AM651" s="710"/>
      <c r="AN651" s="710"/>
      <c r="AO651" s="710"/>
      <c r="AP651" s="710"/>
      <c r="AQ651" s="710"/>
      <c r="AR651" s="710"/>
      <c r="AS651" s="710"/>
      <c r="AT651" s="710">
        <v>0</v>
      </c>
      <c r="AU651" s="710">
        <v>0</v>
      </c>
      <c r="AV651" s="710">
        <v>0</v>
      </c>
      <c r="AW651" s="710">
        <v>0</v>
      </c>
      <c r="AX651" s="710">
        <v>0</v>
      </c>
      <c r="AY651" s="710">
        <v>0</v>
      </c>
      <c r="AZ651" s="710">
        <v>0</v>
      </c>
      <c r="BA651" s="710">
        <v>0</v>
      </c>
      <c r="BB651" s="710">
        <v>0</v>
      </c>
      <c r="BC651" s="710">
        <v>0</v>
      </c>
      <c r="BD651" s="710">
        <v>0</v>
      </c>
      <c r="BE651" s="710">
        <v>0</v>
      </c>
      <c r="BF651" s="710">
        <v>0</v>
      </c>
      <c r="BG651" s="710">
        <v>0</v>
      </c>
      <c r="BH651" s="710">
        <v>0</v>
      </c>
      <c r="BI651" s="710">
        <v>0</v>
      </c>
      <c r="BJ651" s="710">
        <v>0</v>
      </c>
      <c r="BK651" s="710">
        <v>0</v>
      </c>
      <c r="BL651" s="710">
        <v>0</v>
      </c>
      <c r="BM651" s="710">
        <v>0</v>
      </c>
      <c r="BN651" s="710">
        <v>0</v>
      </c>
      <c r="BO651" s="710">
        <v>0</v>
      </c>
      <c r="BP651" s="710">
        <v>0</v>
      </c>
      <c r="BQ651" s="710">
        <v>0</v>
      </c>
      <c r="BR651" s="710">
        <v>0</v>
      </c>
      <c r="BS651" s="710">
        <v>0</v>
      </c>
      <c r="BT651" s="710">
        <v>0</v>
      </c>
      <c r="BU651" s="710">
        <v>0</v>
      </c>
      <c r="BV651" s="710">
        <v>0</v>
      </c>
      <c r="BW651" s="710">
        <v>0</v>
      </c>
      <c r="BX651" s="710">
        <v>0</v>
      </c>
      <c r="BY651" s="710">
        <v>0</v>
      </c>
      <c r="BZ651" s="710">
        <v>0</v>
      </c>
      <c r="CA651" s="710">
        <v>0</v>
      </c>
      <c r="CB651" s="710">
        <v>0</v>
      </c>
      <c r="CC651" s="710">
        <v>0</v>
      </c>
      <c r="CD651" s="710">
        <v>0</v>
      </c>
      <c r="CE651" s="710">
        <v>0</v>
      </c>
      <c r="CF651" s="710">
        <v>0</v>
      </c>
      <c r="CG651" s="710">
        <v>0</v>
      </c>
      <c r="CH651" s="710">
        <v>0</v>
      </c>
      <c r="CI651" s="710">
        <v>0</v>
      </c>
      <c r="CJ651" s="710">
        <v>0</v>
      </c>
      <c r="CK651" s="710">
        <v>0</v>
      </c>
      <c r="CL651" s="710">
        <v>0</v>
      </c>
      <c r="CM651" s="710">
        <v>0</v>
      </c>
      <c r="CN651" s="710">
        <v>0</v>
      </c>
      <c r="CO651" s="710">
        <v>0</v>
      </c>
      <c r="CP651" s="710">
        <v>0</v>
      </c>
      <c r="CQ651" s="710">
        <v>0</v>
      </c>
      <c r="CR651" s="710">
        <v>0</v>
      </c>
      <c r="CS651" s="710">
        <v>0</v>
      </c>
      <c r="CT651" s="710">
        <v>0</v>
      </c>
      <c r="CU651" s="710">
        <v>0</v>
      </c>
      <c r="CV651" s="710">
        <v>0</v>
      </c>
      <c r="CW651" s="710">
        <v>0</v>
      </c>
      <c r="CX651" s="710">
        <v>0</v>
      </c>
      <c r="CY651" s="710">
        <v>0</v>
      </c>
      <c r="CZ651" s="710">
        <v>0</v>
      </c>
      <c r="DA651" s="710">
        <v>0</v>
      </c>
      <c r="DC651" s="12">
        <f>SUM(V651:AG651)</f>
        <v>0</v>
      </c>
      <c r="DD651" s="12">
        <f t="shared" si="673"/>
        <v>0</v>
      </c>
      <c r="DE651" s="12">
        <f t="shared" si="674"/>
        <v>0</v>
      </c>
      <c r="DF651" s="12">
        <f t="shared" ref="DF651:DF661" si="678">SUM(BF651:BQ651)</f>
        <v>0</v>
      </c>
      <c r="DG651" s="12">
        <f t="shared" si="675"/>
        <v>0</v>
      </c>
      <c r="DH651" s="12">
        <f t="shared" si="676"/>
        <v>0</v>
      </c>
    </row>
    <row r="652" spans="2:112" hidden="1" outlineLevel="2">
      <c r="F652" s="126" t="s">
        <v>107</v>
      </c>
      <c r="I652" s="609" t="s">
        <v>736</v>
      </c>
      <c r="AH652" s="710"/>
      <c r="AI652" s="710"/>
      <c r="AJ652" s="710"/>
      <c r="AK652" s="710"/>
      <c r="AL652" s="710"/>
      <c r="AM652" s="710"/>
      <c r="AN652" s="710"/>
      <c r="AO652" s="710"/>
      <c r="AP652" s="710"/>
      <c r="AQ652" s="710"/>
      <c r="AR652" s="710"/>
      <c r="AS652" s="710"/>
      <c r="AT652" s="710">
        <v>0</v>
      </c>
      <c r="AU652" s="710">
        <v>0</v>
      </c>
      <c r="AV652" s="710">
        <v>0</v>
      </c>
      <c r="AW652" s="710">
        <v>0</v>
      </c>
      <c r="AX652" s="710">
        <v>0</v>
      </c>
      <c r="AY652" s="710">
        <v>0</v>
      </c>
      <c r="AZ652" s="710">
        <v>0</v>
      </c>
      <c r="BA652" s="710">
        <v>0</v>
      </c>
      <c r="BB652" s="710">
        <v>0</v>
      </c>
      <c r="BC652" s="710">
        <v>0</v>
      </c>
      <c r="BD652" s="710">
        <v>0</v>
      </c>
      <c r="BE652" s="710">
        <v>0</v>
      </c>
      <c r="BF652" s="710">
        <v>0</v>
      </c>
      <c r="BG652" s="710">
        <v>0</v>
      </c>
      <c r="BH652" s="710">
        <v>0</v>
      </c>
      <c r="BI652" s="710">
        <v>0</v>
      </c>
      <c r="BJ652" s="710">
        <v>0</v>
      </c>
      <c r="BK652" s="710">
        <v>0</v>
      </c>
      <c r="BL652" s="710">
        <v>0</v>
      </c>
      <c r="BM652" s="710">
        <v>0</v>
      </c>
      <c r="BN652" s="710">
        <v>0</v>
      </c>
      <c r="BO652" s="710">
        <v>0</v>
      </c>
      <c r="BP652" s="710">
        <v>0</v>
      </c>
      <c r="BQ652" s="710">
        <v>0</v>
      </c>
      <c r="BR652" s="710">
        <v>0</v>
      </c>
      <c r="BS652" s="710">
        <v>0</v>
      </c>
      <c r="BT652" s="710">
        <v>0</v>
      </c>
      <c r="BU652" s="710">
        <v>0</v>
      </c>
      <c r="BV652" s="710">
        <v>0</v>
      </c>
      <c r="BW652" s="710">
        <v>0</v>
      </c>
      <c r="BX652" s="710">
        <v>0</v>
      </c>
      <c r="BY652" s="710">
        <v>0</v>
      </c>
      <c r="BZ652" s="710">
        <v>0</v>
      </c>
      <c r="CA652" s="710">
        <v>0</v>
      </c>
      <c r="CB652" s="710">
        <v>0</v>
      </c>
      <c r="CC652" s="710">
        <v>0</v>
      </c>
      <c r="CD652" s="710">
        <v>0</v>
      </c>
      <c r="CE652" s="710">
        <v>0</v>
      </c>
      <c r="CF652" s="710">
        <v>0</v>
      </c>
      <c r="CG652" s="710">
        <v>0</v>
      </c>
      <c r="CH652" s="710">
        <v>0</v>
      </c>
      <c r="CI652" s="710">
        <v>0</v>
      </c>
      <c r="CJ652" s="710">
        <v>0</v>
      </c>
      <c r="CK652" s="710">
        <v>0</v>
      </c>
      <c r="CL652" s="710">
        <v>0</v>
      </c>
      <c r="CM652" s="710">
        <v>0</v>
      </c>
      <c r="CN652" s="710">
        <v>0</v>
      </c>
      <c r="CO652" s="710">
        <v>0</v>
      </c>
      <c r="CP652" s="710">
        <v>0</v>
      </c>
      <c r="CQ652" s="710">
        <v>0</v>
      </c>
      <c r="CR652" s="710">
        <v>0</v>
      </c>
      <c r="CS652" s="710">
        <v>0</v>
      </c>
      <c r="CT652" s="710">
        <v>0</v>
      </c>
      <c r="CU652" s="710">
        <v>0</v>
      </c>
      <c r="CV652" s="710">
        <v>0</v>
      </c>
      <c r="CW652" s="710">
        <v>0</v>
      </c>
      <c r="CX652" s="710">
        <v>0</v>
      </c>
      <c r="CY652" s="710">
        <v>0</v>
      </c>
      <c r="CZ652" s="710">
        <v>0</v>
      </c>
      <c r="DA652" s="710">
        <v>0</v>
      </c>
      <c r="DC652" s="12">
        <f>SUM(V652:AG652)</f>
        <v>0</v>
      </c>
      <c r="DD652" s="12">
        <f t="shared" si="673"/>
        <v>0</v>
      </c>
      <c r="DE652" s="12">
        <f t="shared" si="674"/>
        <v>0</v>
      </c>
      <c r="DF652" s="12">
        <f t="shared" si="678"/>
        <v>0</v>
      </c>
      <c r="DG652" s="12">
        <f t="shared" si="675"/>
        <v>0</v>
      </c>
      <c r="DH652" s="12">
        <f t="shared" si="676"/>
        <v>0</v>
      </c>
    </row>
    <row r="653" spans="2:112" hidden="1" outlineLevel="2">
      <c r="F653" s="126" t="s">
        <v>806</v>
      </c>
      <c r="I653" s="609" t="s">
        <v>736</v>
      </c>
      <c r="AH653" s="710"/>
      <c r="AI653" s="710"/>
      <c r="AJ653" s="710"/>
      <c r="AK653" s="710"/>
      <c r="AL653" s="710"/>
      <c r="AM653" s="710"/>
      <c r="AN653" s="710"/>
      <c r="AO653" s="710"/>
      <c r="AP653" s="710"/>
      <c r="AQ653" s="710"/>
      <c r="AR653" s="710"/>
      <c r="AS653" s="710"/>
      <c r="AT653" s="710">
        <v>0</v>
      </c>
      <c r="AU653" s="710">
        <v>0</v>
      </c>
      <c r="AV653" s="710">
        <v>0</v>
      </c>
      <c r="AW653" s="710">
        <v>0</v>
      </c>
      <c r="AX653" s="710">
        <v>0</v>
      </c>
      <c r="AY653" s="710">
        <v>0</v>
      </c>
      <c r="AZ653" s="710">
        <v>0</v>
      </c>
      <c r="BA653" s="710">
        <v>0</v>
      </c>
      <c r="BB653" s="710">
        <v>0</v>
      </c>
      <c r="BC653" s="710">
        <v>0</v>
      </c>
      <c r="BD653" s="710">
        <v>0</v>
      </c>
      <c r="BE653" s="710">
        <v>0</v>
      </c>
      <c r="BF653" s="710">
        <v>0</v>
      </c>
      <c r="BG653" s="710">
        <v>0</v>
      </c>
      <c r="BH653" s="710">
        <v>0</v>
      </c>
      <c r="BI653" s="710">
        <v>0</v>
      </c>
      <c r="BJ653" s="710">
        <v>0</v>
      </c>
      <c r="BK653" s="710">
        <v>0</v>
      </c>
      <c r="BL653" s="710">
        <v>0</v>
      </c>
      <c r="BM653" s="710">
        <v>0</v>
      </c>
      <c r="BN653" s="710">
        <v>0</v>
      </c>
      <c r="BO653" s="710">
        <v>0</v>
      </c>
      <c r="BP653" s="710">
        <v>0</v>
      </c>
      <c r="BQ653" s="710">
        <v>0</v>
      </c>
      <c r="BR653" s="710">
        <v>0</v>
      </c>
      <c r="BS653" s="710">
        <v>0</v>
      </c>
      <c r="BT653" s="710">
        <v>0</v>
      </c>
      <c r="BU653" s="710">
        <v>0</v>
      </c>
      <c r="BV653" s="710">
        <v>0</v>
      </c>
      <c r="BW653" s="710">
        <v>0</v>
      </c>
      <c r="BX653" s="710">
        <v>0</v>
      </c>
      <c r="BY653" s="710">
        <v>0</v>
      </c>
      <c r="BZ653" s="710">
        <v>0</v>
      </c>
      <c r="CA653" s="710">
        <v>0</v>
      </c>
      <c r="CB653" s="710">
        <v>0</v>
      </c>
      <c r="CC653" s="710">
        <v>0</v>
      </c>
      <c r="CD653" s="710">
        <v>0</v>
      </c>
      <c r="CE653" s="710">
        <v>0</v>
      </c>
      <c r="CF653" s="710">
        <v>0</v>
      </c>
      <c r="CG653" s="710">
        <v>0</v>
      </c>
      <c r="CH653" s="710">
        <v>0</v>
      </c>
      <c r="CI653" s="710">
        <v>0</v>
      </c>
      <c r="CJ653" s="710">
        <v>0</v>
      </c>
      <c r="CK653" s="710">
        <v>0</v>
      </c>
      <c r="CL653" s="710">
        <v>0</v>
      </c>
      <c r="CM653" s="710">
        <v>0</v>
      </c>
      <c r="CN653" s="710">
        <v>0</v>
      </c>
      <c r="CO653" s="710">
        <v>0</v>
      </c>
      <c r="CP653" s="710">
        <v>0</v>
      </c>
      <c r="CQ653" s="710">
        <v>0</v>
      </c>
      <c r="CR653" s="710">
        <v>0</v>
      </c>
      <c r="CS653" s="710">
        <v>0</v>
      </c>
      <c r="CT653" s="710">
        <v>0</v>
      </c>
      <c r="CU653" s="710">
        <v>0</v>
      </c>
      <c r="CV653" s="710">
        <v>0</v>
      </c>
      <c r="CW653" s="710">
        <v>0</v>
      </c>
      <c r="CX653" s="710">
        <v>0</v>
      </c>
      <c r="CY653" s="710">
        <v>0</v>
      </c>
      <c r="CZ653" s="710">
        <v>0</v>
      </c>
      <c r="DA653" s="710">
        <v>0</v>
      </c>
      <c r="DC653" s="12">
        <f>SUM(V653:AG653)</f>
        <v>0</v>
      </c>
      <c r="DD653" s="12">
        <f t="shared" si="673"/>
        <v>0</v>
      </c>
      <c r="DE653" s="12">
        <f t="shared" si="674"/>
        <v>0</v>
      </c>
      <c r="DF653" s="12">
        <f t="shared" si="678"/>
        <v>0</v>
      </c>
      <c r="DG653" s="12">
        <f t="shared" si="675"/>
        <v>0</v>
      </c>
      <c r="DH653" s="12">
        <f t="shared" si="676"/>
        <v>0</v>
      </c>
    </row>
    <row r="654" spans="2:112" hidden="1" outlineLevel="2">
      <c r="F654" s="126" t="s">
        <v>807</v>
      </c>
      <c r="I654" s="609" t="s">
        <v>736</v>
      </c>
      <c r="AH654" s="710"/>
      <c r="AI654" s="710"/>
      <c r="AJ654" s="710"/>
      <c r="AK654" s="710"/>
      <c r="AL654" s="710"/>
      <c r="AM654" s="710"/>
      <c r="AN654" s="710"/>
      <c r="AO654" s="710"/>
      <c r="AP654" s="710"/>
      <c r="AQ654" s="710"/>
      <c r="AR654" s="710"/>
      <c r="AS654" s="710"/>
      <c r="AT654" s="710"/>
      <c r="AU654" s="710"/>
      <c r="AV654" s="710"/>
      <c r="AW654" s="710"/>
      <c r="AX654" s="710"/>
      <c r="AY654" s="710"/>
      <c r="AZ654" s="710"/>
      <c r="BA654" s="710"/>
      <c r="BB654" s="710"/>
      <c r="BC654" s="710"/>
      <c r="BD654" s="710"/>
      <c r="BE654" s="710"/>
      <c r="BF654" s="710"/>
      <c r="BG654" s="710"/>
      <c r="BH654" s="710"/>
      <c r="BI654" s="710"/>
      <c r="BJ654" s="710"/>
      <c r="BK654" s="710"/>
      <c r="BL654" s="710"/>
      <c r="BM654" s="710"/>
      <c r="BN654" s="710"/>
      <c r="BO654" s="710"/>
      <c r="BP654" s="710"/>
      <c r="BQ654" s="710"/>
      <c r="BR654" s="710"/>
      <c r="BS654" s="710"/>
      <c r="BT654" s="710"/>
      <c r="BU654" s="710"/>
      <c r="BV654" s="710"/>
      <c r="BW654" s="710"/>
      <c r="BX654" s="710"/>
      <c r="BY654" s="710"/>
      <c r="BZ654" s="710"/>
      <c r="CA654" s="710"/>
      <c r="CB654" s="710"/>
      <c r="CC654" s="710"/>
      <c r="CD654" s="710"/>
      <c r="CE654" s="710"/>
      <c r="CF654" s="710"/>
      <c r="CG654" s="710"/>
      <c r="CH654" s="710"/>
      <c r="CI654" s="710"/>
      <c r="CJ654" s="710"/>
      <c r="CK654" s="710"/>
      <c r="CL654" s="710"/>
      <c r="CM654" s="710"/>
      <c r="CN654" s="710"/>
      <c r="CO654" s="710"/>
      <c r="CP654" s="710"/>
      <c r="CQ654" s="710"/>
      <c r="CR654" s="710"/>
      <c r="CS654" s="710"/>
      <c r="CT654" s="710"/>
      <c r="CU654" s="710"/>
      <c r="CV654" s="710"/>
      <c r="CW654" s="710"/>
      <c r="CX654" s="710"/>
      <c r="CY654" s="710"/>
      <c r="CZ654" s="710"/>
      <c r="DA654" s="710"/>
      <c r="DC654" s="12">
        <f>SUM(V654:AG654)</f>
        <v>0</v>
      </c>
      <c r="DD654" s="12">
        <f t="shared" si="673"/>
        <v>0</v>
      </c>
      <c r="DE654" s="12">
        <f t="shared" si="674"/>
        <v>0</v>
      </c>
      <c r="DF654" s="12">
        <f t="shared" si="678"/>
        <v>0</v>
      </c>
      <c r="DG654" s="12">
        <f t="shared" si="675"/>
        <v>0</v>
      </c>
      <c r="DH654" s="12">
        <f t="shared" si="676"/>
        <v>0</v>
      </c>
    </row>
    <row r="655" spans="2:112" hidden="1" outlineLevel="2">
      <c r="F655" s="126" t="s">
        <v>703</v>
      </c>
      <c r="I655" s="609" t="s">
        <v>736</v>
      </c>
      <c r="AH655" s="710"/>
      <c r="AI655" s="710"/>
      <c r="AJ655" s="710"/>
      <c r="AK655" s="710"/>
      <c r="AL655" s="710"/>
      <c r="AM655" s="710"/>
      <c r="AN655" s="710"/>
      <c r="AO655" s="710"/>
      <c r="AP655" s="710"/>
      <c r="AQ655" s="710"/>
      <c r="AR655" s="710"/>
      <c r="AS655" s="710"/>
      <c r="AT655" s="710"/>
      <c r="AU655" s="710"/>
      <c r="AV655" s="710"/>
      <c r="AW655" s="710"/>
      <c r="AX655" s="710"/>
      <c r="AY655" s="710"/>
      <c r="AZ655" s="710"/>
      <c r="BA655" s="710"/>
      <c r="BB655" s="710"/>
      <c r="BC655" s="710"/>
      <c r="BD655" s="710"/>
      <c r="BE655" s="710"/>
      <c r="BF655" s="710"/>
      <c r="BG655" s="710"/>
      <c r="BH655" s="710"/>
      <c r="BI655" s="710"/>
      <c r="BJ655" s="710"/>
      <c r="BK655" s="710"/>
      <c r="BL655" s="710"/>
      <c r="BM655" s="710"/>
      <c r="BN655" s="710"/>
      <c r="BO655" s="710"/>
      <c r="BP655" s="710"/>
      <c r="BQ655" s="710"/>
      <c r="BR655" s="710"/>
      <c r="BS655" s="710"/>
      <c r="BT655" s="710"/>
      <c r="BU655" s="710"/>
      <c r="BV655" s="710"/>
      <c r="BW655" s="710"/>
      <c r="BX655" s="710"/>
      <c r="BY655" s="710"/>
      <c r="BZ655" s="710"/>
      <c r="CA655" s="710"/>
      <c r="CB655" s="710"/>
      <c r="CC655" s="710"/>
      <c r="CD655" s="710"/>
      <c r="CE655" s="710"/>
      <c r="CF655" s="710"/>
      <c r="CG655" s="710"/>
      <c r="CH655" s="710"/>
      <c r="CI655" s="710"/>
      <c r="CJ655" s="710"/>
      <c r="CK655" s="710"/>
      <c r="CL655" s="710"/>
      <c r="CM655" s="710"/>
      <c r="CN655" s="710"/>
      <c r="CO655" s="710"/>
      <c r="CP655" s="710"/>
      <c r="CQ655" s="710"/>
      <c r="CR655" s="710"/>
      <c r="CS655" s="710"/>
      <c r="CT655" s="710"/>
      <c r="CU655" s="710"/>
      <c r="CV655" s="710"/>
      <c r="CW655" s="710"/>
      <c r="CX655" s="710"/>
      <c r="CY655" s="710"/>
      <c r="CZ655" s="710"/>
      <c r="DA655" s="710"/>
      <c r="DC655" s="12">
        <f t="shared" ref="DC655:DC661" si="679">SUM(V655:AG655)</f>
        <v>0</v>
      </c>
      <c r="DD655" s="14">
        <f t="shared" si="673"/>
        <v>0</v>
      </c>
      <c r="DE655" s="14">
        <f t="shared" si="674"/>
        <v>0</v>
      </c>
      <c r="DF655" s="14">
        <f t="shared" si="678"/>
        <v>0</v>
      </c>
      <c r="DG655" s="14">
        <f t="shared" si="675"/>
        <v>0</v>
      </c>
      <c r="DH655" s="14">
        <f t="shared" si="676"/>
        <v>0</v>
      </c>
    </row>
    <row r="656" spans="2:112" hidden="1" outlineLevel="2">
      <c r="F656" s="126" t="s">
        <v>163</v>
      </c>
      <c r="I656" s="609" t="s">
        <v>736</v>
      </c>
      <c r="AH656" s="710"/>
      <c r="AI656" s="710"/>
      <c r="AJ656" s="710"/>
      <c r="AK656" s="710"/>
      <c r="AL656" s="710"/>
      <c r="AM656" s="710"/>
      <c r="AN656" s="710"/>
      <c r="AO656" s="710"/>
      <c r="AP656" s="710"/>
      <c r="AQ656" s="710"/>
      <c r="AR656" s="710"/>
      <c r="AS656" s="710"/>
      <c r="AT656" s="710">
        <v>0</v>
      </c>
      <c r="AU656" s="710">
        <v>0</v>
      </c>
      <c r="AV656" s="710">
        <v>0</v>
      </c>
      <c r="AW656" s="710">
        <v>0</v>
      </c>
      <c r="AX656" s="710">
        <v>0</v>
      </c>
      <c r="AY656" s="710">
        <v>0</v>
      </c>
      <c r="AZ656" s="710">
        <v>0</v>
      </c>
      <c r="BA656" s="710">
        <v>0</v>
      </c>
      <c r="BB656" s="710">
        <v>0</v>
      </c>
      <c r="BC656" s="710">
        <v>0</v>
      </c>
      <c r="BD656" s="710">
        <v>0</v>
      </c>
      <c r="BE656" s="710">
        <v>0</v>
      </c>
      <c r="BF656" s="710">
        <v>0</v>
      </c>
      <c r="BG656" s="710">
        <v>0</v>
      </c>
      <c r="BH656" s="710">
        <v>0</v>
      </c>
      <c r="BI656" s="710">
        <v>0</v>
      </c>
      <c r="BJ656" s="710">
        <v>0</v>
      </c>
      <c r="BK656" s="710">
        <v>0</v>
      </c>
      <c r="BL656" s="710">
        <v>0</v>
      </c>
      <c r="BM656" s="710">
        <v>0</v>
      </c>
      <c r="BN656" s="710">
        <v>0</v>
      </c>
      <c r="BO656" s="710">
        <v>0</v>
      </c>
      <c r="BP656" s="710">
        <v>0</v>
      </c>
      <c r="BQ656" s="710">
        <v>0</v>
      </c>
      <c r="BR656" s="710">
        <v>0</v>
      </c>
      <c r="BS656" s="710">
        <v>0</v>
      </c>
      <c r="BT656" s="710">
        <v>0</v>
      </c>
      <c r="BU656" s="710">
        <v>0</v>
      </c>
      <c r="BV656" s="710">
        <v>0</v>
      </c>
      <c r="BW656" s="710">
        <v>0</v>
      </c>
      <c r="BX656" s="710">
        <v>0</v>
      </c>
      <c r="BY656" s="710">
        <v>0</v>
      </c>
      <c r="BZ656" s="710">
        <v>0</v>
      </c>
      <c r="CA656" s="710">
        <v>0</v>
      </c>
      <c r="CB656" s="710">
        <v>0</v>
      </c>
      <c r="CC656" s="710">
        <v>0</v>
      </c>
      <c r="CD656" s="710">
        <v>0</v>
      </c>
      <c r="CE656" s="710">
        <v>0</v>
      </c>
      <c r="CF656" s="710">
        <v>0</v>
      </c>
      <c r="CG656" s="710">
        <v>0</v>
      </c>
      <c r="CH656" s="710">
        <v>0</v>
      </c>
      <c r="CI656" s="710">
        <v>0</v>
      </c>
      <c r="CJ656" s="710">
        <v>0</v>
      </c>
      <c r="CK656" s="710">
        <v>0</v>
      </c>
      <c r="CL656" s="710">
        <v>0</v>
      </c>
      <c r="CM656" s="710">
        <v>0</v>
      </c>
      <c r="CN656" s="710">
        <v>0</v>
      </c>
      <c r="CO656" s="710">
        <v>0</v>
      </c>
      <c r="CP656" s="710">
        <v>0</v>
      </c>
      <c r="CQ656" s="710">
        <v>0</v>
      </c>
      <c r="CR656" s="710">
        <v>0</v>
      </c>
      <c r="CS656" s="710">
        <v>0</v>
      </c>
      <c r="CT656" s="710">
        <v>0</v>
      </c>
      <c r="CU656" s="710">
        <v>0</v>
      </c>
      <c r="CV656" s="710">
        <v>0</v>
      </c>
      <c r="CW656" s="710">
        <v>0</v>
      </c>
      <c r="CX656" s="710">
        <v>0</v>
      </c>
      <c r="CY656" s="710">
        <v>0</v>
      </c>
      <c r="CZ656" s="710">
        <v>0</v>
      </c>
      <c r="DA656" s="710">
        <v>0</v>
      </c>
      <c r="DC656" s="12">
        <f t="shared" si="679"/>
        <v>0</v>
      </c>
      <c r="DD656" s="12">
        <f t="shared" si="673"/>
        <v>0</v>
      </c>
      <c r="DE656" s="12">
        <f t="shared" si="674"/>
        <v>0</v>
      </c>
      <c r="DF656" s="12">
        <f t="shared" si="678"/>
        <v>0</v>
      </c>
      <c r="DG656" s="12">
        <f t="shared" si="675"/>
        <v>0</v>
      </c>
      <c r="DH656" s="12">
        <f t="shared" si="676"/>
        <v>0</v>
      </c>
    </row>
    <row r="657" spans="2:113" hidden="1" outlineLevel="2">
      <c r="F657" s="126" t="s">
        <v>144</v>
      </c>
      <c r="H657" s="727"/>
      <c r="I657" s="609" t="s">
        <v>736</v>
      </c>
      <c r="AH657" s="710"/>
      <c r="AI657" s="710"/>
      <c r="AJ657" s="710"/>
      <c r="AK657" s="710"/>
      <c r="AL657" s="710"/>
      <c r="AM657" s="710"/>
      <c r="AN657" s="710"/>
      <c r="AO657" s="710"/>
      <c r="AP657" s="710"/>
      <c r="AQ657" s="710"/>
      <c r="AR657" s="710"/>
      <c r="AS657" s="710"/>
      <c r="AT657" s="750">
        <f t="shared" ref="AT657:DA657" si="680">AT620/AT592*AT634</f>
        <v>0</v>
      </c>
      <c r="AU657" s="750">
        <f t="shared" si="680"/>
        <v>0</v>
      </c>
      <c r="AV657" s="750">
        <f t="shared" si="680"/>
        <v>0</v>
      </c>
      <c r="AW657" s="750">
        <f t="shared" si="680"/>
        <v>0</v>
      </c>
      <c r="AX657" s="750">
        <f t="shared" si="680"/>
        <v>0</v>
      </c>
      <c r="AY657" s="750">
        <f t="shared" si="680"/>
        <v>0</v>
      </c>
      <c r="AZ657" s="750">
        <f t="shared" si="680"/>
        <v>0</v>
      </c>
      <c r="BA657" s="750">
        <f t="shared" si="680"/>
        <v>0</v>
      </c>
      <c r="BB657" s="750">
        <f t="shared" si="680"/>
        <v>0</v>
      </c>
      <c r="BC657" s="750">
        <f t="shared" si="680"/>
        <v>0</v>
      </c>
      <c r="BD657" s="750">
        <f t="shared" si="680"/>
        <v>0</v>
      </c>
      <c r="BE657" s="750">
        <f t="shared" si="680"/>
        <v>0</v>
      </c>
      <c r="BF657" s="750">
        <f t="shared" si="680"/>
        <v>0</v>
      </c>
      <c r="BG657" s="750">
        <f t="shared" si="680"/>
        <v>0</v>
      </c>
      <c r="BH657" s="750">
        <f t="shared" si="680"/>
        <v>0</v>
      </c>
      <c r="BI657" s="750">
        <f t="shared" si="680"/>
        <v>0</v>
      </c>
      <c r="BJ657" s="750">
        <f t="shared" si="680"/>
        <v>0</v>
      </c>
      <c r="BK657" s="750">
        <f t="shared" si="680"/>
        <v>0</v>
      </c>
      <c r="BL657" s="750">
        <f t="shared" si="680"/>
        <v>0</v>
      </c>
      <c r="BM657" s="750">
        <f t="shared" si="680"/>
        <v>0</v>
      </c>
      <c r="BN657" s="750">
        <f t="shared" si="680"/>
        <v>0</v>
      </c>
      <c r="BO657" s="750">
        <f t="shared" si="680"/>
        <v>0</v>
      </c>
      <c r="BP657" s="750">
        <f t="shared" si="680"/>
        <v>0</v>
      </c>
      <c r="BQ657" s="750">
        <f t="shared" si="680"/>
        <v>0</v>
      </c>
      <c r="BR657" s="750">
        <f t="shared" si="680"/>
        <v>0</v>
      </c>
      <c r="BS657" s="750">
        <f t="shared" si="680"/>
        <v>0</v>
      </c>
      <c r="BT657" s="750">
        <f t="shared" si="680"/>
        <v>0</v>
      </c>
      <c r="BU657" s="750">
        <f t="shared" si="680"/>
        <v>0</v>
      </c>
      <c r="BV657" s="750">
        <f t="shared" si="680"/>
        <v>0</v>
      </c>
      <c r="BW657" s="750">
        <f t="shared" si="680"/>
        <v>0</v>
      </c>
      <c r="BX657" s="750">
        <f t="shared" si="680"/>
        <v>0</v>
      </c>
      <c r="BY657" s="750">
        <f t="shared" si="680"/>
        <v>0</v>
      </c>
      <c r="BZ657" s="750">
        <f t="shared" si="680"/>
        <v>0</v>
      </c>
      <c r="CA657" s="750">
        <f t="shared" si="680"/>
        <v>0</v>
      </c>
      <c r="CB657" s="750">
        <f t="shared" si="680"/>
        <v>0</v>
      </c>
      <c r="CC657" s="750">
        <f t="shared" si="680"/>
        <v>0</v>
      </c>
      <c r="CD657" s="750">
        <f t="shared" si="680"/>
        <v>0</v>
      </c>
      <c r="CE657" s="750">
        <f t="shared" si="680"/>
        <v>0</v>
      </c>
      <c r="CF657" s="750">
        <f t="shared" si="680"/>
        <v>0</v>
      </c>
      <c r="CG657" s="750">
        <f t="shared" si="680"/>
        <v>0</v>
      </c>
      <c r="CH657" s="750">
        <f t="shared" si="680"/>
        <v>0</v>
      </c>
      <c r="CI657" s="750">
        <f t="shared" si="680"/>
        <v>0</v>
      </c>
      <c r="CJ657" s="750">
        <f t="shared" si="680"/>
        <v>0</v>
      </c>
      <c r="CK657" s="750">
        <f t="shared" si="680"/>
        <v>0</v>
      </c>
      <c r="CL657" s="750">
        <f t="shared" si="680"/>
        <v>0</v>
      </c>
      <c r="CM657" s="750">
        <f t="shared" si="680"/>
        <v>0</v>
      </c>
      <c r="CN657" s="750">
        <f t="shared" si="680"/>
        <v>0</v>
      </c>
      <c r="CO657" s="750">
        <f t="shared" si="680"/>
        <v>0</v>
      </c>
      <c r="CP657" s="750">
        <f t="shared" si="680"/>
        <v>0</v>
      </c>
      <c r="CQ657" s="750">
        <f t="shared" si="680"/>
        <v>0</v>
      </c>
      <c r="CR657" s="750">
        <f t="shared" si="680"/>
        <v>0</v>
      </c>
      <c r="CS657" s="750">
        <f t="shared" si="680"/>
        <v>0</v>
      </c>
      <c r="CT657" s="750">
        <f t="shared" si="680"/>
        <v>0</v>
      </c>
      <c r="CU657" s="750">
        <f t="shared" si="680"/>
        <v>0</v>
      </c>
      <c r="CV657" s="750">
        <f t="shared" si="680"/>
        <v>0</v>
      </c>
      <c r="CW657" s="750">
        <f t="shared" si="680"/>
        <v>0</v>
      </c>
      <c r="CX657" s="750">
        <f t="shared" si="680"/>
        <v>0</v>
      </c>
      <c r="CY657" s="750">
        <f t="shared" si="680"/>
        <v>0</v>
      </c>
      <c r="CZ657" s="750">
        <f t="shared" si="680"/>
        <v>0</v>
      </c>
      <c r="DA657" s="750">
        <f t="shared" si="680"/>
        <v>0</v>
      </c>
      <c r="DC657" s="12"/>
      <c r="DD657" s="12"/>
      <c r="DE657" s="12"/>
      <c r="DF657" s="12"/>
      <c r="DG657" s="12"/>
      <c r="DH657" s="12"/>
    </row>
    <row r="658" spans="2:113" hidden="1" outlineLevel="2">
      <c r="E658" s="698"/>
      <c r="F658" s="720" t="s">
        <v>675</v>
      </c>
      <c r="I658" s="609" t="s">
        <v>736</v>
      </c>
      <c r="AH658" s="710"/>
      <c r="AI658" s="710"/>
      <c r="AJ658" s="710"/>
      <c r="AK658" s="714"/>
      <c r="AL658" s="714"/>
      <c r="AM658" s="714"/>
      <c r="AN658" s="714"/>
      <c r="AO658" s="714"/>
      <c r="AP658" s="714"/>
      <c r="AQ658" s="714"/>
      <c r="AR658" s="714"/>
      <c r="AS658" s="714"/>
      <c r="AT658" s="714">
        <v>0</v>
      </c>
      <c r="AU658" s="714">
        <v>0</v>
      </c>
      <c r="AV658" s="714">
        <v>0</v>
      </c>
      <c r="AW658" s="714">
        <v>0</v>
      </c>
      <c r="AX658" s="714">
        <v>0</v>
      </c>
      <c r="AY658" s="714">
        <v>0</v>
      </c>
      <c r="AZ658" s="714">
        <v>0</v>
      </c>
      <c r="BA658" s="714">
        <v>0</v>
      </c>
      <c r="BB658" s="714">
        <v>0</v>
      </c>
      <c r="BC658" s="714">
        <v>0</v>
      </c>
      <c r="BD658" s="714">
        <v>0</v>
      </c>
      <c r="BE658" s="714">
        <v>0</v>
      </c>
      <c r="BF658" s="714">
        <v>0</v>
      </c>
      <c r="BG658" s="714">
        <v>0</v>
      </c>
      <c r="BH658" s="714">
        <v>0</v>
      </c>
      <c r="BI658" s="714">
        <v>0</v>
      </c>
      <c r="BJ658" s="714">
        <v>0</v>
      </c>
      <c r="BK658" s="714">
        <v>0</v>
      </c>
      <c r="BL658" s="714">
        <v>0</v>
      </c>
      <c r="BM658" s="714">
        <v>0</v>
      </c>
      <c r="BN658" s="714">
        <v>0</v>
      </c>
      <c r="BO658" s="714">
        <v>0</v>
      </c>
      <c r="BP658" s="714">
        <v>0</v>
      </c>
      <c r="BQ658" s="714">
        <v>0</v>
      </c>
      <c r="BR658" s="714">
        <v>0</v>
      </c>
      <c r="BS658" s="714">
        <v>0</v>
      </c>
      <c r="BT658" s="714">
        <v>0</v>
      </c>
      <c r="BU658" s="714">
        <v>0</v>
      </c>
      <c r="BV658" s="714">
        <v>0</v>
      </c>
      <c r="BW658" s="714">
        <v>0</v>
      </c>
      <c r="BX658" s="714">
        <v>0</v>
      </c>
      <c r="BY658" s="714">
        <v>0</v>
      </c>
      <c r="BZ658" s="714">
        <v>0</v>
      </c>
      <c r="CA658" s="714">
        <v>0</v>
      </c>
      <c r="CB658" s="714">
        <v>0</v>
      </c>
      <c r="CC658" s="714">
        <v>0</v>
      </c>
      <c r="CD658" s="714">
        <v>0</v>
      </c>
      <c r="CE658" s="714">
        <v>0</v>
      </c>
      <c r="CF658" s="714">
        <v>0</v>
      </c>
      <c r="CG658" s="714">
        <v>0</v>
      </c>
      <c r="CH658" s="714">
        <v>0</v>
      </c>
      <c r="CI658" s="714">
        <v>0</v>
      </c>
      <c r="CJ658" s="714">
        <v>0</v>
      </c>
      <c r="CK658" s="714">
        <v>0</v>
      </c>
      <c r="CL658" s="714">
        <v>0</v>
      </c>
      <c r="CM658" s="714">
        <v>0</v>
      </c>
      <c r="CN658" s="714">
        <v>0</v>
      </c>
      <c r="CO658" s="714">
        <v>0</v>
      </c>
      <c r="CP658" s="714">
        <v>0</v>
      </c>
      <c r="CQ658" s="714">
        <v>0</v>
      </c>
      <c r="CR658" s="714">
        <v>0</v>
      </c>
      <c r="CS658" s="714">
        <v>0</v>
      </c>
      <c r="CT658" s="714">
        <v>0</v>
      </c>
      <c r="CU658" s="714">
        <v>0</v>
      </c>
      <c r="CV658" s="714">
        <v>0</v>
      </c>
      <c r="CW658" s="714">
        <v>0</v>
      </c>
      <c r="CX658" s="714">
        <v>0</v>
      </c>
      <c r="CY658" s="714">
        <v>0</v>
      </c>
      <c r="CZ658" s="714">
        <v>0</v>
      </c>
      <c r="DA658" s="714">
        <v>0</v>
      </c>
      <c r="DC658" s="14">
        <f t="shared" si="679"/>
        <v>0</v>
      </c>
      <c r="DD658" s="14">
        <f t="shared" si="673"/>
        <v>0</v>
      </c>
      <c r="DE658" s="14">
        <f t="shared" si="674"/>
        <v>0</v>
      </c>
      <c r="DF658" s="14">
        <f t="shared" si="678"/>
        <v>0</v>
      </c>
      <c r="DG658" s="14">
        <f t="shared" si="675"/>
        <v>0</v>
      </c>
      <c r="DH658" s="14">
        <f t="shared" si="676"/>
        <v>0</v>
      </c>
    </row>
    <row r="659" spans="2:113" hidden="1" outlineLevel="2">
      <c r="E659" s="698"/>
      <c r="F659" s="720"/>
      <c r="G659" s="126" t="s">
        <v>827</v>
      </c>
      <c r="I659" s="609" t="s">
        <v>736</v>
      </c>
      <c r="AH659" s="710"/>
      <c r="AI659" s="710"/>
      <c r="AJ659" s="710"/>
      <c r="AK659" s="714"/>
      <c r="AL659" s="714"/>
      <c r="AM659" s="714"/>
      <c r="AN659" s="710"/>
      <c r="AO659" s="710"/>
      <c r="AP659" s="710"/>
      <c r="AQ659" s="710"/>
      <c r="AR659" s="710"/>
      <c r="AS659" s="710"/>
      <c r="AT659" s="710">
        <v>0</v>
      </c>
      <c r="AU659" s="710">
        <v>0</v>
      </c>
      <c r="AV659" s="710">
        <v>0</v>
      </c>
      <c r="AW659" s="710">
        <v>0</v>
      </c>
      <c r="AX659" s="710">
        <v>0</v>
      </c>
      <c r="AY659" s="710">
        <v>0</v>
      </c>
      <c r="AZ659" s="710">
        <v>0</v>
      </c>
      <c r="BA659" s="710">
        <v>0</v>
      </c>
      <c r="BB659" s="710">
        <v>0</v>
      </c>
      <c r="BC659" s="710">
        <v>0</v>
      </c>
      <c r="BD659" s="710">
        <v>0</v>
      </c>
      <c r="BE659" s="710">
        <v>0</v>
      </c>
      <c r="BF659" s="710">
        <v>0</v>
      </c>
      <c r="BG659" s="710">
        <v>0</v>
      </c>
      <c r="BH659" s="710">
        <v>0</v>
      </c>
      <c r="BI659" s="710">
        <v>0</v>
      </c>
      <c r="BJ659" s="710">
        <v>0</v>
      </c>
      <c r="BK659" s="710">
        <v>0</v>
      </c>
      <c r="BL659" s="710">
        <v>0</v>
      </c>
      <c r="BM659" s="710">
        <v>0</v>
      </c>
      <c r="BN659" s="710">
        <v>0</v>
      </c>
      <c r="BO659" s="710">
        <v>0</v>
      </c>
      <c r="BP659" s="710">
        <v>0</v>
      </c>
      <c r="BQ659" s="710">
        <v>0</v>
      </c>
      <c r="BR659" s="710">
        <v>0</v>
      </c>
      <c r="BS659" s="710">
        <v>0</v>
      </c>
      <c r="BT659" s="710">
        <v>0</v>
      </c>
      <c r="BU659" s="710">
        <v>0</v>
      </c>
      <c r="BV659" s="710">
        <v>0</v>
      </c>
      <c r="BW659" s="710">
        <v>0</v>
      </c>
      <c r="BX659" s="710">
        <v>0</v>
      </c>
      <c r="BY659" s="710">
        <v>0</v>
      </c>
      <c r="BZ659" s="710">
        <v>0</v>
      </c>
      <c r="CA659" s="710">
        <v>0</v>
      </c>
      <c r="CB659" s="710">
        <v>0</v>
      </c>
      <c r="CC659" s="710">
        <v>0</v>
      </c>
      <c r="CD659" s="710">
        <v>0</v>
      </c>
      <c r="CE659" s="710">
        <v>0</v>
      </c>
      <c r="CF659" s="710">
        <v>0</v>
      </c>
      <c r="CG659" s="710">
        <v>0</v>
      </c>
      <c r="CH659" s="710">
        <v>0</v>
      </c>
      <c r="CI659" s="710">
        <v>0</v>
      </c>
      <c r="CJ659" s="710">
        <v>0</v>
      </c>
      <c r="CK659" s="710">
        <v>0</v>
      </c>
      <c r="CL659" s="710">
        <v>0</v>
      </c>
      <c r="CM659" s="710">
        <v>0</v>
      </c>
      <c r="CN659" s="710">
        <v>0</v>
      </c>
      <c r="CO659" s="710">
        <v>0</v>
      </c>
      <c r="CP659" s="710">
        <v>0</v>
      </c>
      <c r="CQ659" s="710">
        <v>0</v>
      </c>
      <c r="CR659" s="710">
        <v>0</v>
      </c>
      <c r="CS659" s="710">
        <v>0</v>
      </c>
      <c r="CT659" s="710">
        <v>0</v>
      </c>
      <c r="CU659" s="710">
        <v>0</v>
      </c>
      <c r="CV659" s="710">
        <v>0</v>
      </c>
      <c r="CW659" s="710">
        <v>0</v>
      </c>
      <c r="CX659" s="710">
        <v>0</v>
      </c>
      <c r="CY659" s="710">
        <v>0</v>
      </c>
      <c r="CZ659" s="710">
        <v>0</v>
      </c>
      <c r="DA659" s="710">
        <v>0</v>
      </c>
      <c r="DC659" s="12">
        <f t="shared" si="679"/>
        <v>0</v>
      </c>
      <c r="DD659" s="12">
        <f t="shared" si="673"/>
        <v>0</v>
      </c>
      <c r="DE659" s="12">
        <f t="shared" si="674"/>
        <v>0</v>
      </c>
      <c r="DF659" s="12">
        <f t="shared" si="678"/>
        <v>0</v>
      </c>
      <c r="DG659" s="12">
        <f t="shared" si="675"/>
        <v>0</v>
      </c>
      <c r="DH659" s="12">
        <f t="shared" si="676"/>
        <v>0</v>
      </c>
    </row>
    <row r="660" spans="2:113" hidden="1" outlineLevel="2">
      <c r="E660" s="698"/>
      <c r="F660" s="720"/>
      <c r="G660" s="126" t="s">
        <v>828</v>
      </c>
      <c r="I660" s="609" t="s">
        <v>736</v>
      </c>
      <c r="AH660" s="710"/>
      <c r="AI660" s="710"/>
      <c r="AJ660" s="710"/>
      <c r="AK660" s="714"/>
      <c r="AL660" s="714"/>
      <c r="AM660" s="714"/>
      <c r="AN660" s="710"/>
      <c r="AO660" s="710"/>
      <c r="AP660" s="710"/>
      <c r="AQ660" s="710"/>
      <c r="AR660" s="710"/>
      <c r="AS660" s="710"/>
      <c r="AT660" s="710">
        <v>0</v>
      </c>
      <c r="AU660" s="710">
        <v>0</v>
      </c>
      <c r="AV660" s="710">
        <v>0</v>
      </c>
      <c r="AW660" s="710">
        <v>0</v>
      </c>
      <c r="AX660" s="710">
        <v>0</v>
      </c>
      <c r="AY660" s="710">
        <v>0</v>
      </c>
      <c r="AZ660" s="710">
        <v>0</v>
      </c>
      <c r="BA660" s="710">
        <v>0</v>
      </c>
      <c r="BB660" s="710">
        <v>0</v>
      </c>
      <c r="BC660" s="710">
        <v>0</v>
      </c>
      <c r="BD660" s="710">
        <v>0</v>
      </c>
      <c r="BE660" s="710">
        <v>0</v>
      </c>
      <c r="BF660" s="710">
        <v>0</v>
      </c>
      <c r="BG660" s="710">
        <v>0</v>
      </c>
      <c r="BH660" s="710">
        <v>0</v>
      </c>
      <c r="BI660" s="710">
        <v>0</v>
      </c>
      <c r="BJ660" s="710">
        <v>0</v>
      </c>
      <c r="BK660" s="710">
        <v>0</v>
      </c>
      <c r="BL660" s="710">
        <v>0</v>
      </c>
      <c r="BM660" s="710">
        <v>0</v>
      </c>
      <c r="BN660" s="710">
        <v>0</v>
      </c>
      <c r="BO660" s="710">
        <v>0</v>
      </c>
      <c r="BP660" s="710">
        <v>0</v>
      </c>
      <c r="BQ660" s="710">
        <v>0</v>
      </c>
      <c r="BR660" s="710">
        <v>0</v>
      </c>
      <c r="BS660" s="710">
        <v>0</v>
      </c>
      <c r="BT660" s="710">
        <v>0</v>
      </c>
      <c r="BU660" s="710">
        <v>0</v>
      </c>
      <c r="BV660" s="710">
        <v>0</v>
      </c>
      <c r="BW660" s="710">
        <v>0</v>
      </c>
      <c r="BX660" s="710">
        <v>0</v>
      </c>
      <c r="BY660" s="710">
        <v>0</v>
      </c>
      <c r="BZ660" s="710">
        <v>0</v>
      </c>
      <c r="CA660" s="710">
        <v>0</v>
      </c>
      <c r="CB660" s="710">
        <v>0</v>
      </c>
      <c r="CC660" s="710">
        <v>0</v>
      </c>
      <c r="CD660" s="710">
        <v>0</v>
      </c>
      <c r="CE660" s="710">
        <v>0</v>
      </c>
      <c r="CF660" s="710">
        <v>0</v>
      </c>
      <c r="CG660" s="710">
        <v>0</v>
      </c>
      <c r="CH660" s="710">
        <v>0</v>
      </c>
      <c r="CI660" s="710">
        <v>0</v>
      </c>
      <c r="CJ660" s="710">
        <v>0</v>
      </c>
      <c r="CK660" s="710">
        <v>0</v>
      </c>
      <c r="CL660" s="710">
        <v>0</v>
      </c>
      <c r="CM660" s="710">
        <v>0</v>
      </c>
      <c r="CN660" s="710">
        <v>0</v>
      </c>
      <c r="CO660" s="710">
        <v>0</v>
      </c>
      <c r="CP660" s="710">
        <v>0</v>
      </c>
      <c r="CQ660" s="710">
        <v>0</v>
      </c>
      <c r="CR660" s="710">
        <v>0</v>
      </c>
      <c r="CS660" s="710">
        <v>0</v>
      </c>
      <c r="CT660" s="710">
        <v>0</v>
      </c>
      <c r="CU660" s="710">
        <v>0</v>
      </c>
      <c r="CV660" s="710">
        <v>0</v>
      </c>
      <c r="CW660" s="710">
        <v>0</v>
      </c>
      <c r="CX660" s="710">
        <v>0</v>
      </c>
      <c r="CY660" s="710">
        <v>0</v>
      </c>
      <c r="CZ660" s="710">
        <v>0</v>
      </c>
      <c r="DA660" s="710">
        <v>0</v>
      </c>
      <c r="DC660" s="14">
        <f t="shared" si="679"/>
        <v>0</v>
      </c>
      <c r="DD660" s="12">
        <f t="shared" si="673"/>
        <v>0</v>
      </c>
      <c r="DE660" s="12">
        <f t="shared" si="674"/>
        <v>0</v>
      </c>
      <c r="DF660" s="12">
        <f t="shared" si="678"/>
        <v>0</v>
      </c>
      <c r="DG660" s="12">
        <f t="shared" si="675"/>
        <v>0</v>
      </c>
      <c r="DH660" s="12">
        <f t="shared" si="676"/>
        <v>0</v>
      </c>
    </row>
    <row r="661" spans="2:113" s="702" customFormat="1" hidden="1" outlineLevel="2">
      <c r="B661" s="126"/>
      <c r="E661" s="720" t="s">
        <v>820</v>
      </c>
      <c r="H661" s="725"/>
      <c r="I661" s="609" t="s">
        <v>736</v>
      </c>
      <c r="J661" s="725"/>
      <c r="K661" s="725"/>
      <c r="L661" s="725"/>
      <c r="M661" s="725"/>
      <c r="X661" s="126"/>
      <c r="Y661" s="126"/>
      <c r="AO661" s="708"/>
      <c r="AP661" s="708"/>
      <c r="AQ661" s="708"/>
      <c r="AR661" s="708"/>
      <c r="AS661" s="708"/>
      <c r="AT661" s="708">
        <f t="shared" ref="AT661:DA661" si="681">AT637+AT649+AT650</f>
        <v>0</v>
      </c>
      <c r="AU661" s="708">
        <f t="shared" si="681"/>
        <v>0</v>
      </c>
      <c r="AV661" s="708">
        <f t="shared" si="681"/>
        <v>0</v>
      </c>
      <c r="AW661" s="708">
        <f t="shared" si="681"/>
        <v>0</v>
      </c>
      <c r="AX661" s="708">
        <f t="shared" si="681"/>
        <v>0</v>
      </c>
      <c r="AY661" s="708">
        <f t="shared" si="681"/>
        <v>0</v>
      </c>
      <c r="AZ661" s="708">
        <f t="shared" si="681"/>
        <v>0</v>
      </c>
      <c r="BA661" s="708">
        <f t="shared" si="681"/>
        <v>0</v>
      </c>
      <c r="BB661" s="708">
        <f t="shared" si="681"/>
        <v>0</v>
      </c>
      <c r="BC661" s="708">
        <f t="shared" si="681"/>
        <v>0</v>
      </c>
      <c r="BD661" s="708">
        <f t="shared" si="681"/>
        <v>0</v>
      </c>
      <c r="BE661" s="708">
        <f t="shared" si="681"/>
        <v>0</v>
      </c>
      <c r="BF661" s="708">
        <f t="shared" si="681"/>
        <v>0</v>
      </c>
      <c r="BG661" s="708">
        <f t="shared" si="681"/>
        <v>0</v>
      </c>
      <c r="BH661" s="708">
        <f t="shared" si="681"/>
        <v>0</v>
      </c>
      <c r="BI661" s="708">
        <f t="shared" si="681"/>
        <v>0</v>
      </c>
      <c r="BJ661" s="708">
        <f t="shared" si="681"/>
        <v>0</v>
      </c>
      <c r="BK661" s="708">
        <f t="shared" si="681"/>
        <v>0</v>
      </c>
      <c r="BL661" s="708">
        <f t="shared" si="681"/>
        <v>0</v>
      </c>
      <c r="BM661" s="708">
        <f t="shared" si="681"/>
        <v>0</v>
      </c>
      <c r="BN661" s="708">
        <f t="shared" si="681"/>
        <v>0</v>
      </c>
      <c r="BO661" s="708">
        <f t="shared" si="681"/>
        <v>0</v>
      </c>
      <c r="BP661" s="708">
        <f t="shared" si="681"/>
        <v>0</v>
      </c>
      <c r="BQ661" s="708">
        <f t="shared" si="681"/>
        <v>0</v>
      </c>
      <c r="BR661" s="708">
        <f t="shared" si="681"/>
        <v>0</v>
      </c>
      <c r="BS661" s="708">
        <f t="shared" si="681"/>
        <v>0</v>
      </c>
      <c r="BT661" s="708">
        <f t="shared" si="681"/>
        <v>0</v>
      </c>
      <c r="BU661" s="708">
        <f t="shared" si="681"/>
        <v>0</v>
      </c>
      <c r="BV661" s="708">
        <f t="shared" si="681"/>
        <v>0</v>
      </c>
      <c r="BW661" s="708">
        <f t="shared" si="681"/>
        <v>0</v>
      </c>
      <c r="BX661" s="708">
        <f t="shared" si="681"/>
        <v>0</v>
      </c>
      <c r="BY661" s="708">
        <f t="shared" si="681"/>
        <v>0</v>
      </c>
      <c r="BZ661" s="708">
        <f t="shared" si="681"/>
        <v>0</v>
      </c>
      <c r="CA661" s="708">
        <f t="shared" si="681"/>
        <v>0</v>
      </c>
      <c r="CB661" s="708">
        <f t="shared" si="681"/>
        <v>0</v>
      </c>
      <c r="CC661" s="708">
        <f t="shared" si="681"/>
        <v>0</v>
      </c>
      <c r="CD661" s="708">
        <f t="shared" si="681"/>
        <v>0</v>
      </c>
      <c r="CE661" s="708">
        <f t="shared" si="681"/>
        <v>0</v>
      </c>
      <c r="CF661" s="708">
        <f t="shared" si="681"/>
        <v>0</v>
      </c>
      <c r="CG661" s="708">
        <f t="shared" si="681"/>
        <v>0</v>
      </c>
      <c r="CH661" s="708">
        <f t="shared" si="681"/>
        <v>0</v>
      </c>
      <c r="CI661" s="708">
        <f t="shared" si="681"/>
        <v>0</v>
      </c>
      <c r="CJ661" s="708">
        <f t="shared" si="681"/>
        <v>0</v>
      </c>
      <c r="CK661" s="708">
        <f t="shared" si="681"/>
        <v>0</v>
      </c>
      <c r="CL661" s="708">
        <f t="shared" si="681"/>
        <v>0</v>
      </c>
      <c r="CM661" s="708">
        <f t="shared" si="681"/>
        <v>0</v>
      </c>
      <c r="CN661" s="708">
        <f t="shared" si="681"/>
        <v>0</v>
      </c>
      <c r="CO661" s="708">
        <f t="shared" si="681"/>
        <v>0</v>
      </c>
      <c r="CP661" s="708">
        <f t="shared" si="681"/>
        <v>0</v>
      </c>
      <c r="CQ661" s="708">
        <f t="shared" si="681"/>
        <v>0</v>
      </c>
      <c r="CR661" s="708">
        <f t="shared" si="681"/>
        <v>0</v>
      </c>
      <c r="CS661" s="708">
        <f t="shared" si="681"/>
        <v>0</v>
      </c>
      <c r="CT661" s="708">
        <f t="shared" si="681"/>
        <v>0</v>
      </c>
      <c r="CU661" s="708">
        <f t="shared" si="681"/>
        <v>0</v>
      </c>
      <c r="CV661" s="708">
        <f t="shared" si="681"/>
        <v>0</v>
      </c>
      <c r="CW661" s="708">
        <f t="shared" si="681"/>
        <v>0</v>
      </c>
      <c r="CX661" s="708">
        <f t="shared" si="681"/>
        <v>0</v>
      </c>
      <c r="CY661" s="708">
        <f t="shared" si="681"/>
        <v>0</v>
      </c>
      <c r="CZ661" s="708">
        <f t="shared" si="681"/>
        <v>0</v>
      </c>
      <c r="DA661" s="708">
        <f t="shared" si="681"/>
        <v>0</v>
      </c>
      <c r="DC661" s="14">
        <f t="shared" si="679"/>
        <v>0</v>
      </c>
      <c r="DD661" s="14">
        <f t="shared" si="673"/>
        <v>0</v>
      </c>
      <c r="DE661" s="14">
        <f t="shared" si="674"/>
        <v>0</v>
      </c>
      <c r="DF661" s="14">
        <f t="shared" si="678"/>
        <v>0</v>
      </c>
      <c r="DG661" s="14">
        <f t="shared" si="675"/>
        <v>0</v>
      </c>
      <c r="DH661" s="14">
        <f t="shared" si="676"/>
        <v>0</v>
      </c>
    </row>
    <row r="662" spans="2:113" s="702" customFormat="1" hidden="1" outlineLevel="2">
      <c r="B662" s="126"/>
      <c r="E662" s="229"/>
      <c r="F662" s="230" t="s">
        <v>423</v>
      </c>
      <c r="G662" s="126"/>
      <c r="H662" s="609"/>
      <c r="I662" s="609" t="s">
        <v>736</v>
      </c>
      <c r="J662" s="725"/>
      <c r="K662" s="725"/>
      <c r="L662" s="725"/>
      <c r="M662" s="725"/>
      <c r="X662" s="126"/>
      <c r="Y662" s="126"/>
      <c r="AO662" s="708"/>
      <c r="AP662" s="708"/>
      <c r="AQ662" s="708"/>
      <c r="AT662" s="739">
        <v>0</v>
      </c>
      <c r="AU662" s="739">
        <v>0</v>
      </c>
      <c r="AV662" s="739">
        <v>0</v>
      </c>
      <c r="AW662" s="739">
        <v>0</v>
      </c>
      <c r="AX662" s="739">
        <v>0</v>
      </c>
      <c r="AY662" s="739">
        <v>0</v>
      </c>
      <c r="AZ662" s="739">
        <v>0</v>
      </c>
      <c r="BA662" s="739">
        <v>0</v>
      </c>
      <c r="BB662" s="739">
        <v>0</v>
      </c>
      <c r="BC662" s="739">
        <v>0</v>
      </c>
      <c r="BD662" s="739">
        <v>0</v>
      </c>
      <c r="BE662" s="739">
        <v>0</v>
      </c>
      <c r="BF662" s="739">
        <v>0</v>
      </c>
      <c r="BG662" s="739">
        <v>0</v>
      </c>
      <c r="BH662" s="739">
        <v>0</v>
      </c>
      <c r="BI662" s="739">
        <v>0</v>
      </c>
      <c r="BJ662" s="739">
        <v>0</v>
      </c>
      <c r="BK662" s="739">
        <v>0</v>
      </c>
      <c r="BL662" s="739">
        <v>0</v>
      </c>
      <c r="BM662" s="739">
        <v>0</v>
      </c>
      <c r="BN662" s="739">
        <v>0</v>
      </c>
      <c r="BO662" s="739">
        <v>0</v>
      </c>
      <c r="BP662" s="739">
        <v>0</v>
      </c>
      <c r="BQ662" s="739">
        <v>0</v>
      </c>
      <c r="BR662" s="739">
        <v>0</v>
      </c>
      <c r="BS662" s="739">
        <v>0</v>
      </c>
      <c r="BT662" s="739">
        <v>0</v>
      </c>
      <c r="BU662" s="739">
        <v>0</v>
      </c>
      <c r="BV662" s="739">
        <v>0</v>
      </c>
      <c r="BW662" s="739">
        <v>0</v>
      </c>
      <c r="BX662" s="739">
        <v>0</v>
      </c>
      <c r="BY662" s="739">
        <v>0</v>
      </c>
      <c r="BZ662" s="739">
        <v>0</v>
      </c>
      <c r="CA662" s="739">
        <v>0</v>
      </c>
      <c r="CB662" s="739">
        <v>0</v>
      </c>
      <c r="CC662" s="739">
        <v>0</v>
      </c>
      <c r="CD662" s="739">
        <v>0</v>
      </c>
      <c r="CE662" s="739">
        <v>0</v>
      </c>
      <c r="CF662" s="739">
        <v>0</v>
      </c>
      <c r="CG662" s="739">
        <v>0</v>
      </c>
      <c r="CH662" s="739">
        <v>0</v>
      </c>
      <c r="CI662" s="739">
        <v>0</v>
      </c>
      <c r="CJ662" s="739">
        <v>0</v>
      </c>
      <c r="CK662" s="739">
        <v>0</v>
      </c>
      <c r="CL662" s="739">
        <v>0</v>
      </c>
      <c r="CM662" s="739">
        <v>0</v>
      </c>
      <c r="CN662" s="739">
        <v>0</v>
      </c>
      <c r="CO662" s="739">
        <v>0</v>
      </c>
      <c r="CP662" s="739">
        <v>0</v>
      </c>
      <c r="CQ662" s="739">
        <v>0</v>
      </c>
      <c r="CR662" s="739">
        <v>0</v>
      </c>
      <c r="CS662" s="739">
        <v>0</v>
      </c>
      <c r="CT662" s="739">
        <v>0</v>
      </c>
      <c r="CU662" s="739">
        <v>0</v>
      </c>
      <c r="CV662" s="739">
        <v>0</v>
      </c>
      <c r="CW662" s="739">
        <v>0</v>
      </c>
      <c r="CX662" s="739">
        <v>0</v>
      </c>
      <c r="CY662" s="739">
        <v>0</v>
      </c>
      <c r="CZ662" s="739">
        <v>0</v>
      </c>
      <c r="DA662" s="739">
        <v>0</v>
      </c>
      <c r="DC662" s="11">
        <f>AG662</f>
        <v>0</v>
      </c>
      <c r="DD662" s="11">
        <f>AS662</f>
        <v>0</v>
      </c>
      <c r="DE662" s="11">
        <f>BE662</f>
        <v>0</v>
      </c>
      <c r="DF662" s="11">
        <f>BQ662</f>
        <v>0</v>
      </c>
      <c r="DG662" s="11">
        <f>CC662</f>
        <v>0</v>
      </c>
      <c r="DH662" s="11">
        <f>CO662</f>
        <v>0</v>
      </c>
    </row>
    <row r="663" spans="2:113" s="702" customFormat="1" hidden="1" outlineLevel="2">
      <c r="B663" s="126"/>
      <c r="E663" s="229"/>
      <c r="F663" s="230" t="s">
        <v>810</v>
      </c>
      <c r="G663" s="126"/>
      <c r="H663" s="609"/>
      <c r="I663" s="609" t="s">
        <v>736</v>
      </c>
      <c r="J663" s="725"/>
      <c r="K663" s="725"/>
      <c r="L663" s="725"/>
      <c r="M663" s="725"/>
      <c r="X663" s="126"/>
      <c r="Y663" s="126"/>
      <c r="AO663" s="708"/>
      <c r="AP663" s="708"/>
      <c r="AQ663" s="708"/>
      <c r="AT663" s="739">
        <v>0</v>
      </c>
      <c r="AU663" s="739">
        <v>0</v>
      </c>
      <c r="AV663" s="739">
        <v>0</v>
      </c>
      <c r="AW663" s="739">
        <v>0</v>
      </c>
      <c r="AX663" s="739">
        <v>0</v>
      </c>
      <c r="AY663" s="739">
        <v>0</v>
      </c>
      <c r="AZ663" s="739">
        <v>0</v>
      </c>
      <c r="BA663" s="739">
        <v>0</v>
      </c>
      <c r="BB663" s="739">
        <v>0</v>
      </c>
      <c r="BC663" s="739">
        <v>0</v>
      </c>
      <c r="BD663" s="739">
        <v>0</v>
      </c>
      <c r="BE663" s="739">
        <v>0</v>
      </c>
      <c r="BF663" s="739">
        <v>0</v>
      </c>
      <c r="BG663" s="739">
        <v>0</v>
      </c>
      <c r="BH663" s="739">
        <v>0</v>
      </c>
      <c r="BI663" s="739">
        <v>0</v>
      </c>
      <c r="BJ663" s="739">
        <v>0</v>
      </c>
      <c r="BK663" s="739">
        <v>0</v>
      </c>
      <c r="BL663" s="739">
        <v>0</v>
      </c>
      <c r="BM663" s="739">
        <v>0</v>
      </c>
      <c r="BN663" s="739">
        <v>0</v>
      </c>
      <c r="BO663" s="739">
        <v>0</v>
      </c>
      <c r="BP663" s="739">
        <v>0</v>
      </c>
      <c r="BQ663" s="739">
        <v>0</v>
      </c>
      <c r="BR663" s="739">
        <v>0</v>
      </c>
      <c r="BS663" s="739">
        <v>0</v>
      </c>
      <c r="BT663" s="739">
        <v>0</v>
      </c>
      <c r="BU663" s="739">
        <v>0</v>
      </c>
      <c r="BV663" s="739">
        <v>0</v>
      </c>
      <c r="BW663" s="739">
        <v>0</v>
      </c>
      <c r="BX663" s="739">
        <v>0</v>
      </c>
      <c r="BY663" s="739">
        <v>0</v>
      </c>
      <c r="BZ663" s="739">
        <v>0</v>
      </c>
      <c r="CA663" s="739">
        <v>0</v>
      </c>
      <c r="CB663" s="739">
        <v>0</v>
      </c>
      <c r="CC663" s="739">
        <v>0</v>
      </c>
      <c r="CD663" s="739">
        <v>0</v>
      </c>
      <c r="CE663" s="739">
        <v>0</v>
      </c>
      <c r="CF663" s="739">
        <v>0</v>
      </c>
      <c r="CG663" s="739">
        <v>0</v>
      </c>
      <c r="CH663" s="739">
        <v>0</v>
      </c>
      <c r="CI663" s="739">
        <v>0</v>
      </c>
      <c r="CJ663" s="739">
        <v>0</v>
      </c>
      <c r="CK663" s="739">
        <v>0</v>
      </c>
      <c r="CL663" s="739">
        <v>0</v>
      </c>
      <c r="CM663" s="739">
        <v>0</v>
      </c>
      <c r="CN663" s="739">
        <v>0</v>
      </c>
      <c r="CO663" s="739">
        <v>0</v>
      </c>
      <c r="CP663" s="739">
        <v>0</v>
      </c>
      <c r="CQ663" s="739">
        <v>0</v>
      </c>
      <c r="CR663" s="739">
        <v>0</v>
      </c>
      <c r="CS663" s="739">
        <v>0</v>
      </c>
      <c r="CT663" s="739">
        <v>0</v>
      </c>
      <c r="CU663" s="739">
        <v>0</v>
      </c>
      <c r="CV663" s="739">
        <v>0</v>
      </c>
      <c r="CW663" s="739">
        <v>0</v>
      </c>
      <c r="CX663" s="739">
        <v>0</v>
      </c>
      <c r="CY663" s="739">
        <v>0</v>
      </c>
      <c r="CZ663" s="739">
        <v>0</v>
      </c>
      <c r="DA663" s="739">
        <v>0</v>
      </c>
      <c r="DC663" s="11">
        <f>AG663</f>
        <v>0</v>
      </c>
      <c r="DD663" s="11">
        <f>AS663</f>
        <v>0</v>
      </c>
      <c r="DE663" s="11">
        <f>BE663</f>
        <v>0</v>
      </c>
      <c r="DF663" s="11">
        <f>BQ663</f>
        <v>0</v>
      </c>
      <c r="DG663" s="11">
        <f>CC663</f>
        <v>0</v>
      </c>
      <c r="DH663" s="11">
        <f>CO663</f>
        <v>0</v>
      </c>
    </row>
    <row r="664" spans="2:113" s="702" customFormat="1" hidden="1" outlineLevel="2">
      <c r="B664" s="126"/>
      <c r="E664" s="230" t="s">
        <v>811</v>
      </c>
      <c r="F664" s="229"/>
      <c r="G664" s="126"/>
      <c r="H664" s="609"/>
      <c r="I664" s="609" t="s">
        <v>812</v>
      </c>
      <c r="J664" s="725"/>
      <c r="K664" s="725"/>
      <c r="L664" s="725"/>
      <c r="M664" s="725"/>
      <c r="X664" s="126"/>
      <c r="Y664" s="126"/>
      <c r="AO664" s="708"/>
      <c r="AP664" s="708"/>
      <c r="AQ664" s="708"/>
      <c r="AR664" s="753"/>
      <c r="AS664" s="753"/>
      <c r="AT664" s="753" t="e">
        <f t="shared" ref="AT664:DA664" si="682">AT662/AT634</f>
        <v>#DIV/0!</v>
      </c>
      <c r="AU664" s="753" t="e">
        <f t="shared" si="682"/>
        <v>#DIV/0!</v>
      </c>
      <c r="AV664" s="753" t="e">
        <f t="shared" si="682"/>
        <v>#DIV/0!</v>
      </c>
      <c r="AW664" s="753" t="e">
        <f t="shared" si="682"/>
        <v>#DIV/0!</v>
      </c>
      <c r="AX664" s="753" t="e">
        <f t="shared" si="682"/>
        <v>#DIV/0!</v>
      </c>
      <c r="AY664" s="753" t="e">
        <f t="shared" si="682"/>
        <v>#DIV/0!</v>
      </c>
      <c r="AZ664" s="753" t="e">
        <f t="shared" si="682"/>
        <v>#DIV/0!</v>
      </c>
      <c r="BA664" s="753" t="e">
        <f t="shared" si="682"/>
        <v>#DIV/0!</v>
      </c>
      <c r="BB664" s="753" t="e">
        <f t="shared" si="682"/>
        <v>#DIV/0!</v>
      </c>
      <c r="BC664" s="753" t="e">
        <f t="shared" si="682"/>
        <v>#DIV/0!</v>
      </c>
      <c r="BD664" s="753" t="e">
        <f t="shared" si="682"/>
        <v>#DIV/0!</v>
      </c>
      <c r="BE664" s="753" t="e">
        <f t="shared" si="682"/>
        <v>#DIV/0!</v>
      </c>
      <c r="BF664" s="753" t="e">
        <f t="shared" si="682"/>
        <v>#DIV/0!</v>
      </c>
      <c r="BG664" s="753" t="e">
        <f t="shared" si="682"/>
        <v>#DIV/0!</v>
      </c>
      <c r="BH664" s="753" t="e">
        <f t="shared" si="682"/>
        <v>#DIV/0!</v>
      </c>
      <c r="BI664" s="753" t="e">
        <f t="shared" si="682"/>
        <v>#DIV/0!</v>
      </c>
      <c r="BJ664" s="753" t="e">
        <f t="shared" si="682"/>
        <v>#DIV/0!</v>
      </c>
      <c r="BK664" s="753" t="e">
        <f t="shared" si="682"/>
        <v>#DIV/0!</v>
      </c>
      <c r="BL664" s="753" t="e">
        <f t="shared" si="682"/>
        <v>#DIV/0!</v>
      </c>
      <c r="BM664" s="753" t="e">
        <f t="shared" si="682"/>
        <v>#DIV/0!</v>
      </c>
      <c r="BN664" s="753" t="e">
        <f t="shared" si="682"/>
        <v>#DIV/0!</v>
      </c>
      <c r="BO664" s="753" t="e">
        <f t="shared" si="682"/>
        <v>#DIV/0!</v>
      </c>
      <c r="BP664" s="753" t="e">
        <f t="shared" si="682"/>
        <v>#DIV/0!</v>
      </c>
      <c r="BQ664" s="753" t="e">
        <f t="shared" si="682"/>
        <v>#DIV/0!</v>
      </c>
      <c r="BR664" s="753" t="e">
        <f t="shared" si="682"/>
        <v>#DIV/0!</v>
      </c>
      <c r="BS664" s="753" t="e">
        <f t="shared" si="682"/>
        <v>#DIV/0!</v>
      </c>
      <c r="BT664" s="753" t="e">
        <f t="shared" si="682"/>
        <v>#DIV/0!</v>
      </c>
      <c r="BU664" s="753" t="e">
        <f t="shared" si="682"/>
        <v>#DIV/0!</v>
      </c>
      <c r="BV664" s="753" t="e">
        <f t="shared" si="682"/>
        <v>#DIV/0!</v>
      </c>
      <c r="BW664" s="753" t="e">
        <f t="shared" si="682"/>
        <v>#DIV/0!</v>
      </c>
      <c r="BX664" s="753" t="e">
        <f t="shared" si="682"/>
        <v>#DIV/0!</v>
      </c>
      <c r="BY664" s="753" t="e">
        <f t="shared" si="682"/>
        <v>#DIV/0!</v>
      </c>
      <c r="BZ664" s="753" t="e">
        <f t="shared" si="682"/>
        <v>#DIV/0!</v>
      </c>
      <c r="CA664" s="753" t="e">
        <f t="shared" si="682"/>
        <v>#DIV/0!</v>
      </c>
      <c r="CB664" s="753" t="e">
        <f t="shared" si="682"/>
        <v>#DIV/0!</v>
      </c>
      <c r="CC664" s="753" t="e">
        <f t="shared" si="682"/>
        <v>#DIV/0!</v>
      </c>
      <c r="CD664" s="753" t="e">
        <f t="shared" si="682"/>
        <v>#DIV/0!</v>
      </c>
      <c r="CE664" s="753" t="e">
        <f t="shared" si="682"/>
        <v>#DIV/0!</v>
      </c>
      <c r="CF664" s="753" t="e">
        <f t="shared" si="682"/>
        <v>#DIV/0!</v>
      </c>
      <c r="CG664" s="753" t="e">
        <f t="shared" si="682"/>
        <v>#DIV/0!</v>
      </c>
      <c r="CH664" s="753" t="e">
        <f t="shared" si="682"/>
        <v>#DIV/0!</v>
      </c>
      <c r="CI664" s="753" t="e">
        <f t="shared" si="682"/>
        <v>#DIV/0!</v>
      </c>
      <c r="CJ664" s="753" t="e">
        <f t="shared" si="682"/>
        <v>#DIV/0!</v>
      </c>
      <c r="CK664" s="753" t="e">
        <f t="shared" si="682"/>
        <v>#DIV/0!</v>
      </c>
      <c r="CL664" s="753" t="e">
        <f t="shared" si="682"/>
        <v>#DIV/0!</v>
      </c>
      <c r="CM664" s="753" t="e">
        <f t="shared" si="682"/>
        <v>#DIV/0!</v>
      </c>
      <c r="CN664" s="753" t="e">
        <f t="shared" si="682"/>
        <v>#DIV/0!</v>
      </c>
      <c r="CO664" s="753" t="e">
        <f t="shared" si="682"/>
        <v>#DIV/0!</v>
      </c>
      <c r="CP664" s="753" t="e">
        <f t="shared" si="682"/>
        <v>#DIV/0!</v>
      </c>
      <c r="CQ664" s="753" t="e">
        <f t="shared" si="682"/>
        <v>#DIV/0!</v>
      </c>
      <c r="CR664" s="753" t="e">
        <f t="shared" si="682"/>
        <v>#DIV/0!</v>
      </c>
      <c r="CS664" s="753" t="e">
        <f t="shared" si="682"/>
        <v>#DIV/0!</v>
      </c>
      <c r="CT664" s="753" t="e">
        <f t="shared" si="682"/>
        <v>#DIV/0!</v>
      </c>
      <c r="CU664" s="753" t="e">
        <f t="shared" si="682"/>
        <v>#DIV/0!</v>
      </c>
      <c r="CV664" s="753" t="e">
        <f t="shared" si="682"/>
        <v>#DIV/0!</v>
      </c>
      <c r="CW664" s="753" t="e">
        <f t="shared" si="682"/>
        <v>#DIV/0!</v>
      </c>
      <c r="CX664" s="753" t="e">
        <f t="shared" si="682"/>
        <v>#DIV/0!</v>
      </c>
      <c r="CY664" s="753" t="e">
        <f t="shared" si="682"/>
        <v>#DIV/0!</v>
      </c>
      <c r="CZ664" s="753" t="e">
        <f t="shared" si="682"/>
        <v>#DIV/0!</v>
      </c>
      <c r="DA664" s="753" t="e">
        <f t="shared" si="682"/>
        <v>#DIV/0!</v>
      </c>
      <c r="DC664" s="729">
        <f>AG664</f>
        <v>0</v>
      </c>
      <c r="DD664" s="729">
        <f>AS664</f>
        <v>0</v>
      </c>
      <c r="DE664" s="729" t="e">
        <f>BE664</f>
        <v>#DIV/0!</v>
      </c>
      <c r="DF664" s="729" t="e">
        <f>BQ664</f>
        <v>#DIV/0!</v>
      </c>
      <c r="DG664" s="729" t="e">
        <f>CC664</f>
        <v>#DIV/0!</v>
      </c>
      <c r="DH664" s="729" t="e">
        <f>CO664</f>
        <v>#DIV/0!</v>
      </c>
    </row>
    <row r="665" spans="2:113" s="702" customFormat="1" hidden="1" outlineLevel="2">
      <c r="B665" s="126"/>
      <c r="E665" s="230" t="s">
        <v>813</v>
      </c>
      <c r="F665" s="229"/>
      <c r="G665" s="126"/>
      <c r="H665" s="609"/>
      <c r="I665" s="609" t="s">
        <v>812</v>
      </c>
      <c r="J665" s="725"/>
      <c r="K665" s="725"/>
      <c r="L665" s="725"/>
      <c r="M665" s="725"/>
      <c r="X665" s="126"/>
      <c r="Y665" s="126"/>
      <c r="AO665" s="708"/>
      <c r="AP665" s="708"/>
      <c r="AQ665" s="708"/>
      <c r="AR665" s="753"/>
      <c r="AS665" s="753"/>
      <c r="AT665" s="753" t="e">
        <f t="shared" ref="AT665:DA665" si="683">AT663/AT634</f>
        <v>#DIV/0!</v>
      </c>
      <c r="AU665" s="753" t="e">
        <f t="shared" si="683"/>
        <v>#DIV/0!</v>
      </c>
      <c r="AV665" s="753" t="e">
        <f t="shared" si="683"/>
        <v>#DIV/0!</v>
      </c>
      <c r="AW665" s="753" t="e">
        <f t="shared" si="683"/>
        <v>#DIV/0!</v>
      </c>
      <c r="AX665" s="753" t="e">
        <f t="shared" si="683"/>
        <v>#DIV/0!</v>
      </c>
      <c r="AY665" s="753" t="e">
        <f t="shared" si="683"/>
        <v>#DIV/0!</v>
      </c>
      <c r="AZ665" s="753" t="e">
        <f t="shared" si="683"/>
        <v>#DIV/0!</v>
      </c>
      <c r="BA665" s="753" t="e">
        <f t="shared" si="683"/>
        <v>#DIV/0!</v>
      </c>
      <c r="BB665" s="753" t="e">
        <f t="shared" si="683"/>
        <v>#DIV/0!</v>
      </c>
      <c r="BC665" s="753" t="e">
        <f t="shared" si="683"/>
        <v>#DIV/0!</v>
      </c>
      <c r="BD665" s="753" t="e">
        <f t="shared" si="683"/>
        <v>#DIV/0!</v>
      </c>
      <c r="BE665" s="753" t="e">
        <f t="shared" si="683"/>
        <v>#DIV/0!</v>
      </c>
      <c r="BF665" s="753" t="e">
        <f t="shared" si="683"/>
        <v>#DIV/0!</v>
      </c>
      <c r="BG665" s="753" t="e">
        <f t="shared" si="683"/>
        <v>#DIV/0!</v>
      </c>
      <c r="BH665" s="753" t="e">
        <f t="shared" si="683"/>
        <v>#DIV/0!</v>
      </c>
      <c r="BI665" s="753" t="e">
        <f t="shared" si="683"/>
        <v>#DIV/0!</v>
      </c>
      <c r="BJ665" s="753" t="e">
        <f t="shared" si="683"/>
        <v>#DIV/0!</v>
      </c>
      <c r="BK665" s="753" t="e">
        <f t="shared" si="683"/>
        <v>#DIV/0!</v>
      </c>
      <c r="BL665" s="753" t="e">
        <f t="shared" si="683"/>
        <v>#DIV/0!</v>
      </c>
      <c r="BM665" s="753" t="e">
        <f t="shared" si="683"/>
        <v>#DIV/0!</v>
      </c>
      <c r="BN665" s="753" t="e">
        <f t="shared" si="683"/>
        <v>#DIV/0!</v>
      </c>
      <c r="BO665" s="753" t="e">
        <f t="shared" si="683"/>
        <v>#DIV/0!</v>
      </c>
      <c r="BP665" s="753" t="e">
        <f t="shared" si="683"/>
        <v>#DIV/0!</v>
      </c>
      <c r="BQ665" s="753" t="e">
        <f t="shared" si="683"/>
        <v>#DIV/0!</v>
      </c>
      <c r="BR665" s="753" t="e">
        <f t="shared" si="683"/>
        <v>#DIV/0!</v>
      </c>
      <c r="BS665" s="753" t="e">
        <f t="shared" si="683"/>
        <v>#DIV/0!</v>
      </c>
      <c r="BT665" s="753" t="e">
        <f t="shared" si="683"/>
        <v>#DIV/0!</v>
      </c>
      <c r="BU665" s="753" t="e">
        <f t="shared" si="683"/>
        <v>#DIV/0!</v>
      </c>
      <c r="BV665" s="753" t="e">
        <f t="shared" si="683"/>
        <v>#DIV/0!</v>
      </c>
      <c r="BW665" s="753" t="e">
        <f t="shared" si="683"/>
        <v>#DIV/0!</v>
      </c>
      <c r="BX665" s="753" t="e">
        <f t="shared" si="683"/>
        <v>#DIV/0!</v>
      </c>
      <c r="BY665" s="753" t="e">
        <f t="shared" si="683"/>
        <v>#DIV/0!</v>
      </c>
      <c r="BZ665" s="753" t="e">
        <f t="shared" si="683"/>
        <v>#DIV/0!</v>
      </c>
      <c r="CA665" s="753" t="e">
        <f t="shared" si="683"/>
        <v>#DIV/0!</v>
      </c>
      <c r="CB665" s="753" t="e">
        <f t="shared" si="683"/>
        <v>#DIV/0!</v>
      </c>
      <c r="CC665" s="753" t="e">
        <f t="shared" si="683"/>
        <v>#DIV/0!</v>
      </c>
      <c r="CD665" s="753" t="e">
        <f t="shared" si="683"/>
        <v>#DIV/0!</v>
      </c>
      <c r="CE665" s="753" t="e">
        <f t="shared" si="683"/>
        <v>#DIV/0!</v>
      </c>
      <c r="CF665" s="753" t="e">
        <f t="shared" si="683"/>
        <v>#DIV/0!</v>
      </c>
      <c r="CG665" s="753" t="e">
        <f t="shared" si="683"/>
        <v>#DIV/0!</v>
      </c>
      <c r="CH665" s="753" t="e">
        <f t="shared" si="683"/>
        <v>#DIV/0!</v>
      </c>
      <c r="CI665" s="753" t="e">
        <f t="shared" si="683"/>
        <v>#DIV/0!</v>
      </c>
      <c r="CJ665" s="753" t="e">
        <f t="shared" si="683"/>
        <v>#DIV/0!</v>
      </c>
      <c r="CK665" s="753" t="e">
        <f t="shared" si="683"/>
        <v>#DIV/0!</v>
      </c>
      <c r="CL665" s="753" t="e">
        <f t="shared" si="683"/>
        <v>#DIV/0!</v>
      </c>
      <c r="CM665" s="753" t="e">
        <f t="shared" si="683"/>
        <v>#DIV/0!</v>
      </c>
      <c r="CN665" s="753" t="e">
        <f t="shared" si="683"/>
        <v>#DIV/0!</v>
      </c>
      <c r="CO665" s="753" t="e">
        <f t="shared" si="683"/>
        <v>#DIV/0!</v>
      </c>
      <c r="CP665" s="753" t="e">
        <f t="shared" si="683"/>
        <v>#DIV/0!</v>
      </c>
      <c r="CQ665" s="753" t="e">
        <f t="shared" si="683"/>
        <v>#DIV/0!</v>
      </c>
      <c r="CR665" s="753" t="e">
        <f t="shared" si="683"/>
        <v>#DIV/0!</v>
      </c>
      <c r="CS665" s="753" t="e">
        <f t="shared" si="683"/>
        <v>#DIV/0!</v>
      </c>
      <c r="CT665" s="753" t="e">
        <f t="shared" si="683"/>
        <v>#DIV/0!</v>
      </c>
      <c r="CU665" s="753" t="e">
        <f t="shared" si="683"/>
        <v>#DIV/0!</v>
      </c>
      <c r="CV665" s="753" t="e">
        <f t="shared" si="683"/>
        <v>#DIV/0!</v>
      </c>
      <c r="CW665" s="753" t="e">
        <f t="shared" si="683"/>
        <v>#DIV/0!</v>
      </c>
      <c r="CX665" s="753" t="e">
        <f t="shared" si="683"/>
        <v>#DIV/0!</v>
      </c>
      <c r="CY665" s="753" t="e">
        <f t="shared" si="683"/>
        <v>#DIV/0!</v>
      </c>
      <c r="CZ665" s="753" t="e">
        <f t="shared" si="683"/>
        <v>#DIV/0!</v>
      </c>
      <c r="DA665" s="753" t="e">
        <f t="shared" si="683"/>
        <v>#DIV/0!</v>
      </c>
      <c r="DC665" s="729">
        <f>AG665</f>
        <v>0</v>
      </c>
      <c r="DD665" s="729">
        <f>AS665</f>
        <v>0</v>
      </c>
      <c r="DE665" s="729" t="e">
        <f>BE665</f>
        <v>#DIV/0!</v>
      </c>
      <c r="DF665" s="729" t="e">
        <f>BQ665</f>
        <v>#DIV/0!</v>
      </c>
      <c r="DG665" s="729" t="e">
        <f>CC665</f>
        <v>#DIV/0!</v>
      </c>
      <c r="DH665" s="729" t="e">
        <f>CO665</f>
        <v>#DIV/0!</v>
      </c>
    </row>
    <row r="666" spans="2:113" s="702" customFormat="1" hidden="1" outlineLevel="2">
      <c r="B666" s="126"/>
      <c r="E666" s="230" t="s">
        <v>814</v>
      </c>
      <c r="F666" s="229"/>
      <c r="G666" s="126"/>
      <c r="H666" s="609"/>
      <c r="I666" s="609" t="s">
        <v>812</v>
      </c>
      <c r="J666" s="725"/>
      <c r="K666" s="725"/>
      <c r="L666" s="725"/>
      <c r="M666" s="725"/>
      <c r="X666" s="126"/>
      <c r="Y666" s="126"/>
      <c r="AO666" s="708"/>
      <c r="AP666" s="708"/>
      <c r="AQ666" s="708"/>
      <c r="AR666" s="753"/>
      <c r="AS666" s="753"/>
      <c r="AT666" s="710">
        <f t="shared" ref="AT666:BE666" si="684">AT649+AS666</f>
        <v>0</v>
      </c>
      <c r="AU666" s="710">
        <f t="shared" si="684"/>
        <v>0</v>
      </c>
      <c r="AV666" s="710">
        <f t="shared" si="684"/>
        <v>0</v>
      </c>
      <c r="AW666" s="710">
        <f t="shared" si="684"/>
        <v>0</v>
      </c>
      <c r="AX666" s="710">
        <f t="shared" si="684"/>
        <v>0</v>
      </c>
      <c r="AY666" s="710">
        <f t="shared" si="684"/>
        <v>0</v>
      </c>
      <c r="AZ666" s="710">
        <f t="shared" si="684"/>
        <v>0</v>
      </c>
      <c r="BA666" s="710">
        <f t="shared" si="684"/>
        <v>0</v>
      </c>
      <c r="BB666" s="710">
        <f t="shared" si="684"/>
        <v>0</v>
      </c>
      <c r="BC666" s="710">
        <f t="shared" si="684"/>
        <v>0</v>
      </c>
      <c r="BD666" s="710">
        <f t="shared" si="684"/>
        <v>0</v>
      </c>
      <c r="BE666" s="710">
        <f t="shared" si="684"/>
        <v>0</v>
      </c>
      <c r="BF666" s="710">
        <f>BF649</f>
        <v>0</v>
      </c>
      <c r="BG666" s="710">
        <f t="shared" ref="BG666:BQ666" si="685">BG649+BF666</f>
        <v>0</v>
      </c>
      <c r="BH666" s="710">
        <f t="shared" si="685"/>
        <v>0</v>
      </c>
      <c r="BI666" s="710">
        <f t="shared" si="685"/>
        <v>0</v>
      </c>
      <c r="BJ666" s="710">
        <f t="shared" si="685"/>
        <v>0</v>
      </c>
      <c r="BK666" s="710">
        <f t="shared" si="685"/>
        <v>0</v>
      </c>
      <c r="BL666" s="710">
        <f t="shared" si="685"/>
        <v>0</v>
      </c>
      <c r="BM666" s="710">
        <f t="shared" si="685"/>
        <v>0</v>
      </c>
      <c r="BN666" s="710">
        <f t="shared" si="685"/>
        <v>0</v>
      </c>
      <c r="BO666" s="710">
        <f t="shared" si="685"/>
        <v>0</v>
      </c>
      <c r="BP666" s="710">
        <f t="shared" si="685"/>
        <v>0</v>
      </c>
      <c r="BQ666" s="710">
        <f t="shared" si="685"/>
        <v>0</v>
      </c>
      <c r="BR666" s="710">
        <f>BR649</f>
        <v>0</v>
      </c>
      <c r="BS666" s="710">
        <f t="shared" ref="BS666:CC666" si="686">BS649+BR666</f>
        <v>0</v>
      </c>
      <c r="BT666" s="710">
        <f t="shared" si="686"/>
        <v>0</v>
      </c>
      <c r="BU666" s="710">
        <f t="shared" si="686"/>
        <v>0</v>
      </c>
      <c r="BV666" s="710">
        <f t="shared" si="686"/>
        <v>0</v>
      </c>
      <c r="BW666" s="710">
        <f t="shared" si="686"/>
        <v>0</v>
      </c>
      <c r="BX666" s="710">
        <f t="shared" si="686"/>
        <v>0</v>
      </c>
      <c r="BY666" s="710">
        <f t="shared" si="686"/>
        <v>0</v>
      </c>
      <c r="BZ666" s="710">
        <f t="shared" si="686"/>
        <v>0</v>
      </c>
      <c r="CA666" s="710">
        <f t="shared" si="686"/>
        <v>0</v>
      </c>
      <c r="CB666" s="710">
        <f t="shared" si="686"/>
        <v>0</v>
      </c>
      <c r="CC666" s="710">
        <f t="shared" si="686"/>
        <v>0</v>
      </c>
      <c r="CD666" s="710">
        <f>CD649</f>
        <v>0</v>
      </c>
      <c r="CE666" s="710">
        <f t="shared" ref="CE666:CO666" si="687">CE649+CD666</f>
        <v>0</v>
      </c>
      <c r="CF666" s="710">
        <f t="shared" si="687"/>
        <v>0</v>
      </c>
      <c r="CG666" s="710">
        <f t="shared" si="687"/>
        <v>0</v>
      </c>
      <c r="CH666" s="710">
        <f t="shared" si="687"/>
        <v>0</v>
      </c>
      <c r="CI666" s="710">
        <f t="shared" si="687"/>
        <v>0</v>
      </c>
      <c r="CJ666" s="710">
        <f t="shared" si="687"/>
        <v>0</v>
      </c>
      <c r="CK666" s="710">
        <f t="shared" si="687"/>
        <v>0</v>
      </c>
      <c r="CL666" s="710">
        <f t="shared" si="687"/>
        <v>0</v>
      </c>
      <c r="CM666" s="710">
        <f t="shared" si="687"/>
        <v>0</v>
      </c>
      <c r="CN666" s="710">
        <f t="shared" si="687"/>
        <v>0</v>
      </c>
      <c r="CO666" s="710">
        <f t="shared" si="687"/>
        <v>0</v>
      </c>
      <c r="CP666" s="710">
        <f>CP649</f>
        <v>0</v>
      </c>
      <c r="CQ666" s="710">
        <f t="shared" ref="CQ666:DA666" si="688">CQ649+CP666</f>
        <v>0</v>
      </c>
      <c r="CR666" s="710">
        <f t="shared" si="688"/>
        <v>0</v>
      </c>
      <c r="CS666" s="710">
        <f t="shared" si="688"/>
        <v>0</v>
      </c>
      <c r="CT666" s="710">
        <f t="shared" si="688"/>
        <v>0</v>
      </c>
      <c r="CU666" s="710">
        <f t="shared" si="688"/>
        <v>0</v>
      </c>
      <c r="CV666" s="710">
        <f t="shared" si="688"/>
        <v>0</v>
      </c>
      <c r="CW666" s="710">
        <f t="shared" si="688"/>
        <v>0</v>
      </c>
      <c r="CX666" s="710">
        <f t="shared" si="688"/>
        <v>0</v>
      </c>
      <c r="CY666" s="710">
        <f t="shared" si="688"/>
        <v>0</v>
      </c>
      <c r="CZ666" s="710">
        <f t="shared" si="688"/>
        <v>0</v>
      </c>
      <c r="DA666" s="710">
        <f t="shared" si="688"/>
        <v>0</v>
      </c>
      <c r="DC666" s="729"/>
      <c r="DD666" s="729"/>
      <c r="DE666" s="729"/>
      <c r="DF666" s="729"/>
      <c r="DG666" s="729"/>
      <c r="DH666" s="729"/>
    </row>
    <row r="667" spans="2:113" hidden="1" outlineLevel="2">
      <c r="E667" s="230" t="s">
        <v>815</v>
      </c>
      <c r="F667" s="229"/>
      <c r="I667" s="609" t="s">
        <v>812</v>
      </c>
      <c r="X667" s="708"/>
      <c r="Y667" s="702"/>
      <c r="AR667" s="753"/>
      <c r="AS667" s="753"/>
      <c r="AT667" s="970" t="e">
        <f>AT666/AVERAGE($AS634:AT634)</f>
        <v>#DIV/0!</v>
      </c>
      <c r="AU667" s="970" t="e">
        <f>AU666/AVERAGE($AS634:AU634)</f>
        <v>#DIV/0!</v>
      </c>
      <c r="AV667" s="970" t="e">
        <f>AV666/AVERAGE($AS634:AV634)</f>
        <v>#DIV/0!</v>
      </c>
      <c r="AW667" s="970" t="e">
        <f>AW666/AVERAGE($AS634:AW634)</f>
        <v>#DIV/0!</v>
      </c>
      <c r="AX667" s="970" t="e">
        <f>AX666/AVERAGE($AS634:AX634)</f>
        <v>#DIV/0!</v>
      </c>
      <c r="AY667" s="970" t="e">
        <f>AY666/AVERAGE($AS634:AY634)</f>
        <v>#DIV/0!</v>
      </c>
      <c r="AZ667" s="970" t="e">
        <f>AZ666/AVERAGE($AS634:AZ634)</f>
        <v>#DIV/0!</v>
      </c>
      <c r="BA667" s="970" t="e">
        <f>BA666/AVERAGE($AS634:BA634)</f>
        <v>#DIV/0!</v>
      </c>
      <c r="BB667" s="970" t="e">
        <f>BB666/AVERAGE($AS634:BB634)</f>
        <v>#DIV/0!</v>
      </c>
      <c r="BC667" s="970" t="e">
        <f>BC666/AVERAGE($AS634:BC634)</f>
        <v>#DIV/0!</v>
      </c>
      <c r="BD667" s="970" t="e">
        <f>BD666/AVERAGE($AS634:BD634)</f>
        <v>#DIV/0!</v>
      </c>
      <c r="BE667" s="970" t="e">
        <f>BE666/AVERAGE($AS634:BE634)</f>
        <v>#DIV/0!</v>
      </c>
      <c r="BF667" s="970" t="e">
        <f>BF666/AVERAGE($BE634:BF634)</f>
        <v>#DIV/0!</v>
      </c>
      <c r="BG667" s="970" t="e">
        <f>BG666/AVERAGE($BE634:BG634)</f>
        <v>#DIV/0!</v>
      </c>
      <c r="BH667" s="970" t="e">
        <f>BH666/AVERAGE($BE634:BH634)</f>
        <v>#DIV/0!</v>
      </c>
      <c r="BI667" s="970" t="e">
        <f>BI666/AVERAGE($BE634:BI634)</f>
        <v>#DIV/0!</v>
      </c>
      <c r="BJ667" s="970" t="e">
        <f>BJ666/AVERAGE($BE634:BJ634)</f>
        <v>#DIV/0!</v>
      </c>
      <c r="BK667" s="970" t="e">
        <f>BK666/AVERAGE($BE634:BK634)</f>
        <v>#DIV/0!</v>
      </c>
      <c r="BL667" s="970" t="e">
        <f>BL666/AVERAGE($BE634:BL634)</f>
        <v>#DIV/0!</v>
      </c>
      <c r="BM667" s="970" t="e">
        <f>BM666/AVERAGE($BE634:BM634)</f>
        <v>#DIV/0!</v>
      </c>
      <c r="BN667" s="970" t="e">
        <f>BN666/AVERAGE($BE634:BN634)</f>
        <v>#DIV/0!</v>
      </c>
      <c r="BO667" s="970" t="e">
        <f>BO666/AVERAGE($BE634:BO634)</f>
        <v>#DIV/0!</v>
      </c>
      <c r="BP667" s="970" t="e">
        <f>BP666/AVERAGE($BE634:BP634)</f>
        <v>#DIV/0!</v>
      </c>
      <c r="BQ667" s="970" t="e">
        <f>BQ666/AVERAGE($BE634:BQ634)</f>
        <v>#DIV/0!</v>
      </c>
      <c r="BR667" s="970" t="e">
        <f>BR666/AVERAGE($BQ634:BR634)</f>
        <v>#DIV/0!</v>
      </c>
      <c r="BS667" s="970" t="e">
        <f>BS666/AVERAGE($BQ634:BS634)</f>
        <v>#DIV/0!</v>
      </c>
      <c r="BT667" s="970" t="e">
        <f>BT666/AVERAGE($BQ634:BT634)</f>
        <v>#DIV/0!</v>
      </c>
      <c r="BU667" s="970" t="e">
        <f>BU666/AVERAGE($BQ634:BU634)</f>
        <v>#DIV/0!</v>
      </c>
      <c r="BV667" s="970" t="e">
        <f>BV666/AVERAGE($BQ634:BV634)</f>
        <v>#DIV/0!</v>
      </c>
      <c r="BW667" s="970" t="e">
        <f>BW666/AVERAGE($BQ634:BW634)</f>
        <v>#DIV/0!</v>
      </c>
      <c r="BX667" s="970" t="e">
        <f>BX666/AVERAGE($BQ634:BX634)</f>
        <v>#DIV/0!</v>
      </c>
      <c r="BY667" s="970" t="e">
        <f>BY666/AVERAGE($BQ634:BY634)</f>
        <v>#DIV/0!</v>
      </c>
      <c r="BZ667" s="970" t="e">
        <f>BZ666/AVERAGE($BQ634:BZ634)</f>
        <v>#DIV/0!</v>
      </c>
      <c r="CA667" s="970" t="e">
        <f>CA666/AVERAGE($BQ634:CA634)</f>
        <v>#DIV/0!</v>
      </c>
      <c r="CB667" s="970" t="e">
        <f>CB666/AVERAGE($BQ634:CB634)</f>
        <v>#DIV/0!</v>
      </c>
      <c r="CC667" s="970" t="e">
        <f>CC666/AVERAGE($BQ634:CC634)</f>
        <v>#DIV/0!</v>
      </c>
      <c r="CD667" s="970" t="e">
        <f>CD666/AVERAGE($CC634:CD634)</f>
        <v>#DIV/0!</v>
      </c>
      <c r="CE667" s="970" t="e">
        <f>CE666/AVERAGE($CC634:CE634)</f>
        <v>#DIV/0!</v>
      </c>
      <c r="CF667" s="970" t="e">
        <f>CF666/AVERAGE($CC634:CF634)</f>
        <v>#DIV/0!</v>
      </c>
      <c r="CG667" s="970" t="e">
        <f>CG666/AVERAGE($CC634:CG634)</f>
        <v>#DIV/0!</v>
      </c>
      <c r="CH667" s="970" t="e">
        <f>CH666/AVERAGE($CC634:CH634)</f>
        <v>#DIV/0!</v>
      </c>
      <c r="CI667" s="970" t="e">
        <f>CI666/AVERAGE($CC634:CI634)</f>
        <v>#DIV/0!</v>
      </c>
      <c r="CJ667" s="970" t="e">
        <f>CJ666/AVERAGE($CC634:CJ634)</f>
        <v>#DIV/0!</v>
      </c>
      <c r="CK667" s="970" t="e">
        <f>CK666/AVERAGE($CC634:CK634)</f>
        <v>#DIV/0!</v>
      </c>
      <c r="CL667" s="970" t="e">
        <f>CL666/AVERAGE($CC634:CL634)</f>
        <v>#DIV/0!</v>
      </c>
      <c r="CM667" s="970" t="e">
        <f>CM666/AVERAGE($CC634:CM634)</f>
        <v>#DIV/0!</v>
      </c>
      <c r="CN667" s="970" t="e">
        <f>CN666/AVERAGE($CC634:CN634)</f>
        <v>#DIV/0!</v>
      </c>
      <c r="CO667" s="970" t="e">
        <f>CO666/AVERAGE($CC634:CO634)</f>
        <v>#DIV/0!</v>
      </c>
      <c r="CP667" s="970" t="e">
        <f>CP666/AVERAGE($CC634:CP634)</f>
        <v>#DIV/0!</v>
      </c>
      <c r="CQ667" s="970" t="e">
        <f>CQ666/AVERAGE($CC634:CQ634)</f>
        <v>#DIV/0!</v>
      </c>
      <c r="CR667" s="970" t="e">
        <f>CR666/AVERAGE($CC634:CR634)</f>
        <v>#DIV/0!</v>
      </c>
      <c r="CS667" s="970" t="e">
        <f>CS666/AVERAGE($CC634:CS634)</f>
        <v>#DIV/0!</v>
      </c>
      <c r="CT667" s="970" t="e">
        <f>CT666/AVERAGE($CC634:CT634)</f>
        <v>#DIV/0!</v>
      </c>
      <c r="CU667" s="970" t="e">
        <f>CU666/AVERAGE($CC634:CU634)</f>
        <v>#DIV/0!</v>
      </c>
      <c r="CV667" s="970" t="e">
        <f>CV666/AVERAGE($CC634:CV634)</f>
        <v>#DIV/0!</v>
      </c>
      <c r="CW667" s="970" t="e">
        <f>CW666/AVERAGE($CC634:CW634)</f>
        <v>#DIV/0!</v>
      </c>
      <c r="CX667" s="970" t="e">
        <f>CX666/AVERAGE($CC634:CX634)</f>
        <v>#DIV/0!</v>
      </c>
      <c r="CY667" s="970" t="e">
        <f>CY666/AVERAGE($CC634:CY634)</f>
        <v>#DIV/0!</v>
      </c>
      <c r="CZ667" s="970" t="e">
        <f>CZ666/AVERAGE($CC634:CZ634)</f>
        <v>#DIV/0!</v>
      </c>
      <c r="DA667" s="970" t="e">
        <f>DA666/AVERAGE($CC634:DA634)</f>
        <v>#DIV/0!</v>
      </c>
      <c r="DC667" s="729">
        <f>AG667</f>
        <v>0</v>
      </c>
      <c r="DD667" s="729">
        <f>AS667</f>
        <v>0</v>
      </c>
      <c r="DE667" s="729" t="e">
        <f>BE667</f>
        <v>#DIV/0!</v>
      </c>
      <c r="DF667" s="729" t="e">
        <f>BQ667</f>
        <v>#DIV/0!</v>
      </c>
      <c r="DG667" s="729" t="e">
        <f>CC667</f>
        <v>#DIV/0!</v>
      </c>
      <c r="DH667" s="729" t="e">
        <f>CO667</f>
        <v>#DIV/0!</v>
      </c>
    </row>
    <row r="668" spans="2:113" outlineLevel="1" collapsed="1">
      <c r="F668" s="698"/>
    </row>
    <row r="669" spans="2:113" ht="15" outlineLevel="1">
      <c r="E669" s="4" t="s">
        <v>855</v>
      </c>
      <c r="O669" s="696"/>
      <c r="P669" s="696"/>
      <c r="Q669" s="696"/>
      <c r="R669" s="696"/>
      <c r="S669" s="696"/>
      <c r="T669" s="696"/>
      <c r="U669" s="696"/>
      <c r="V669" s="696"/>
      <c r="W669" s="696"/>
      <c r="X669" s="705"/>
      <c r="Y669" s="887"/>
      <c r="Z669" s="697"/>
      <c r="AA669" s="697"/>
      <c r="AB669" s="697"/>
      <c r="AC669" s="697"/>
      <c r="AD669" s="697"/>
      <c r="AE669" s="697"/>
      <c r="AF669" s="697"/>
      <c r="AG669" s="697"/>
      <c r="AH669" s="697"/>
      <c r="AI669" s="697"/>
      <c r="AJ669" s="697"/>
      <c r="AK669" s="697"/>
      <c r="AL669" s="697"/>
      <c r="AM669" s="697"/>
      <c r="AN669" s="697"/>
      <c r="AO669" s="697"/>
      <c r="AP669" s="697"/>
      <c r="AQ669" s="697"/>
      <c r="AR669" s="697"/>
      <c r="AS669" s="697"/>
      <c r="AT669" s="697"/>
      <c r="AU669" s="697"/>
      <c r="AV669" s="697"/>
      <c r="AW669" s="697"/>
      <c r="AX669" s="697"/>
      <c r="AY669" s="697"/>
      <c r="AZ669" s="697"/>
      <c r="BA669" s="697"/>
      <c r="BB669" s="697"/>
      <c r="BC669" s="697"/>
      <c r="BD669" s="697"/>
      <c r="BE669" s="697"/>
      <c r="BF669" s="697"/>
      <c r="BG669" s="697"/>
      <c r="BH669" s="697"/>
      <c r="BI669" s="697"/>
      <c r="BJ669" s="697"/>
      <c r="BK669" s="697"/>
      <c r="BL669" s="697"/>
      <c r="BM669" s="697"/>
      <c r="BN669" s="697"/>
      <c r="BO669" s="697"/>
      <c r="BP669" s="697"/>
      <c r="BQ669" s="697"/>
      <c r="BR669" s="697"/>
      <c r="BS669" s="697"/>
      <c r="BT669" s="697"/>
      <c r="BU669" s="697"/>
      <c r="BV669" s="697"/>
      <c r="BW669" s="697"/>
      <c r="BX669" s="697"/>
      <c r="BY669" s="697"/>
      <c r="BZ669" s="697"/>
      <c r="CA669" s="697"/>
      <c r="CB669" s="697"/>
      <c r="CC669" s="697"/>
      <c r="CD669" s="697"/>
      <c r="CE669" s="697"/>
      <c r="CF669" s="697"/>
      <c r="CG669" s="697"/>
      <c r="CH669" s="697"/>
      <c r="CI669" s="697"/>
      <c r="CJ669" s="697"/>
      <c r="CK669" s="697"/>
      <c r="CL669" s="697"/>
      <c r="CM669" s="697"/>
      <c r="CN669" s="697"/>
      <c r="CO669" s="697"/>
      <c r="CP669" s="697"/>
      <c r="CQ669" s="697"/>
      <c r="CR669" s="697"/>
      <c r="CS669" s="697"/>
      <c r="CT669" s="697"/>
      <c r="CU669" s="697"/>
      <c r="CV669" s="697"/>
      <c r="CW669" s="697"/>
      <c r="CX669" s="697"/>
      <c r="CY669" s="697"/>
      <c r="CZ669" s="697"/>
      <c r="DA669" s="697"/>
    </row>
    <row r="670" spans="2:113" outlineLevel="2">
      <c r="E670" s="698"/>
      <c r="F670" s="126" t="s">
        <v>817</v>
      </c>
      <c r="I670" s="699" t="s">
        <v>743</v>
      </c>
      <c r="Y670" s="698"/>
      <c r="AH670" s="12"/>
      <c r="AI670" s="12"/>
      <c r="AJ670" s="12"/>
      <c r="AK670" s="756"/>
      <c r="AL670" s="756"/>
      <c r="AM670" s="756"/>
      <c r="AN670" s="756"/>
      <c r="AO670" s="756"/>
      <c r="AP670" s="756"/>
      <c r="AQ670" s="756"/>
      <c r="AR670" s="710"/>
      <c r="AS670" s="755"/>
      <c r="AT670" s="710">
        <f>AS670+($BE$670-$AS$670)/12</f>
        <v>8.3333333333333329E-2</v>
      </c>
      <c r="AU670" s="710">
        <f t="shared" ref="AU670:BD670" si="689">AT670+($BE$670-$AS$670)/12</f>
        <v>0.16666666666666666</v>
      </c>
      <c r="AV670" s="710">
        <f t="shared" si="689"/>
        <v>0.25</v>
      </c>
      <c r="AW670" s="710">
        <f t="shared" si="689"/>
        <v>0.33333333333333331</v>
      </c>
      <c r="AX670" s="710">
        <f t="shared" si="689"/>
        <v>0.41666666666666663</v>
      </c>
      <c r="AY670" s="710">
        <f t="shared" si="689"/>
        <v>0.49999999999999994</v>
      </c>
      <c r="AZ670" s="710">
        <f t="shared" si="689"/>
        <v>0.58333333333333326</v>
      </c>
      <c r="BA670" s="710">
        <f t="shared" si="689"/>
        <v>0.66666666666666663</v>
      </c>
      <c r="BB670" s="710">
        <f t="shared" si="689"/>
        <v>0.75</v>
      </c>
      <c r="BC670" s="710">
        <f t="shared" si="689"/>
        <v>0.83333333333333337</v>
      </c>
      <c r="BD670" s="710">
        <f t="shared" si="689"/>
        <v>0.91666666666666674</v>
      </c>
      <c r="BE670" s="755">
        <v>1</v>
      </c>
      <c r="BF670" s="710">
        <f>BE670+($BQ$670-$BE$670)/23</f>
        <v>1.1304347826086956</v>
      </c>
      <c r="BG670" s="710">
        <f t="shared" ref="BG670:BP670" si="690">BF670+($BQ$670-$BE$670)/23</f>
        <v>1.2608695652173911</v>
      </c>
      <c r="BH670" s="710">
        <f t="shared" si="690"/>
        <v>1.3913043478260867</v>
      </c>
      <c r="BI670" s="710">
        <f t="shared" si="690"/>
        <v>1.5217391304347823</v>
      </c>
      <c r="BJ670" s="710">
        <f t="shared" si="690"/>
        <v>1.6521739130434778</v>
      </c>
      <c r="BK670" s="710">
        <f t="shared" si="690"/>
        <v>1.7826086956521734</v>
      </c>
      <c r="BL670" s="710">
        <f t="shared" si="690"/>
        <v>1.913043478260869</v>
      </c>
      <c r="BM670" s="710">
        <f t="shared" si="690"/>
        <v>2.0434782608695645</v>
      </c>
      <c r="BN670" s="710">
        <f t="shared" si="690"/>
        <v>2.1739130434782603</v>
      </c>
      <c r="BO670" s="710">
        <f t="shared" si="690"/>
        <v>2.3043478260869561</v>
      </c>
      <c r="BP670" s="710">
        <f t="shared" si="690"/>
        <v>2.4347826086956519</v>
      </c>
      <c r="BQ670" s="755">
        <v>4</v>
      </c>
      <c r="BR670" s="710">
        <f>BQ670+($CC$670-$BQ$670)/12</f>
        <v>4.083333333333333</v>
      </c>
      <c r="BS670" s="710">
        <f t="shared" ref="BS670:CB670" si="691">BR670+($CC$670-$BQ$670)/12</f>
        <v>4.1666666666666661</v>
      </c>
      <c r="BT670" s="710">
        <f t="shared" si="691"/>
        <v>4.2499999999999991</v>
      </c>
      <c r="BU670" s="710">
        <f t="shared" si="691"/>
        <v>4.3333333333333321</v>
      </c>
      <c r="BV670" s="710">
        <f t="shared" si="691"/>
        <v>4.4166666666666652</v>
      </c>
      <c r="BW670" s="710">
        <f t="shared" si="691"/>
        <v>4.4999999999999982</v>
      </c>
      <c r="BX670" s="710">
        <f t="shared" si="691"/>
        <v>4.5833333333333313</v>
      </c>
      <c r="BY670" s="710">
        <f t="shared" si="691"/>
        <v>4.6666666666666643</v>
      </c>
      <c r="BZ670" s="710">
        <f t="shared" si="691"/>
        <v>4.7499999999999973</v>
      </c>
      <c r="CA670" s="710">
        <f t="shared" si="691"/>
        <v>4.8333333333333304</v>
      </c>
      <c r="CB670" s="710">
        <f t="shared" si="691"/>
        <v>4.9166666666666634</v>
      </c>
      <c r="CC670" s="755">
        <v>5</v>
      </c>
      <c r="CD670" s="710">
        <f>CC670+($CO$670-$CC$670)/12</f>
        <v>5.166666666666667</v>
      </c>
      <c r="CE670" s="710">
        <f t="shared" ref="CE670:CN670" si="692">CD670+($CO$670-$CC$670)/12</f>
        <v>5.3333333333333339</v>
      </c>
      <c r="CF670" s="710">
        <f t="shared" si="692"/>
        <v>5.5000000000000009</v>
      </c>
      <c r="CG670" s="710">
        <f t="shared" si="692"/>
        <v>5.6666666666666679</v>
      </c>
      <c r="CH670" s="710">
        <f t="shared" si="692"/>
        <v>5.8333333333333348</v>
      </c>
      <c r="CI670" s="710">
        <f t="shared" si="692"/>
        <v>6.0000000000000018</v>
      </c>
      <c r="CJ670" s="710">
        <f t="shared" si="692"/>
        <v>6.1666666666666687</v>
      </c>
      <c r="CK670" s="710">
        <f t="shared" si="692"/>
        <v>6.3333333333333357</v>
      </c>
      <c r="CL670" s="710">
        <f t="shared" si="692"/>
        <v>6.5000000000000027</v>
      </c>
      <c r="CM670" s="710">
        <f t="shared" si="692"/>
        <v>6.6666666666666696</v>
      </c>
      <c r="CN670" s="710">
        <f t="shared" si="692"/>
        <v>6.8333333333333366</v>
      </c>
      <c r="CO670" s="755">
        <v>7</v>
      </c>
      <c r="CP670" s="710">
        <f>CO670+($DA670-$CO670)/12</f>
        <v>7.083333333333333</v>
      </c>
      <c r="CQ670" s="710">
        <f t="shared" ref="CQ670:CZ670" si="693">CP670+($DA670-$CO670)/12</f>
        <v>7.1666666666666661</v>
      </c>
      <c r="CR670" s="710">
        <f t="shared" si="693"/>
        <v>7.2499999999999991</v>
      </c>
      <c r="CS670" s="710">
        <f t="shared" si="693"/>
        <v>7.3333333333333321</v>
      </c>
      <c r="CT670" s="710">
        <f t="shared" si="693"/>
        <v>7.4166666666666652</v>
      </c>
      <c r="CU670" s="710">
        <f t="shared" si="693"/>
        <v>7.4999999999999982</v>
      </c>
      <c r="CV670" s="710">
        <f t="shared" si="693"/>
        <v>7.5833333333333313</v>
      </c>
      <c r="CW670" s="710">
        <f t="shared" si="693"/>
        <v>7.6666666666666643</v>
      </c>
      <c r="CX670" s="710">
        <f t="shared" si="693"/>
        <v>7.7499999999999973</v>
      </c>
      <c r="CY670" s="710">
        <f t="shared" si="693"/>
        <v>7.8333333333333304</v>
      </c>
      <c r="CZ670" s="710">
        <f t="shared" si="693"/>
        <v>7.9166666666666634</v>
      </c>
      <c r="DA670" s="755">
        <v>8</v>
      </c>
      <c r="DC670" s="12">
        <f>SUM(V670:AG670)</f>
        <v>0</v>
      </c>
      <c r="DD670" s="12">
        <f>SUM(AH670:AS670)</f>
        <v>0</v>
      </c>
      <c r="DE670" s="12">
        <f>SUM(AT670:BE670)</f>
        <v>6.5</v>
      </c>
      <c r="DF670" s="12">
        <f>SUM(BF670:BQ670)</f>
        <v>23.60869565217391</v>
      </c>
      <c r="DG670" s="12">
        <f>SUM(BR670:CC670)</f>
        <v>54.499999999999979</v>
      </c>
      <c r="DH670" s="12">
        <f>SUM(CD670:CO670)</f>
        <v>73.000000000000028</v>
      </c>
      <c r="DI670" s="12">
        <f>SUM(CP670:DA670)</f>
        <v>90.499999999999972</v>
      </c>
    </row>
    <row r="671" spans="2:113" outlineLevel="2">
      <c r="E671" s="698"/>
      <c r="F671" s="126" t="s">
        <v>823</v>
      </c>
      <c r="I671" s="699" t="s">
        <v>743</v>
      </c>
      <c r="AH671" s="12"/>
      <c r="AI671" s="12"/>
      <c r="AJ671" s="12"/>
      <c r="AK671" s="756"/>
      <c r="AL671" s="756"/>
      <c r="AM671" s="756"/>
      <c r="AN671" s="756"/>
      <c r="AO671" s="756"/>
      <c r="AP671" s="756"/>
      <c r="AQ671" s="756"/>
      <c r="AR671" s="710"/>
      <c r="AS671" s="710"/>
      <c r="AT671" s="710">
        <f t="shared" ref="AT671:BH671" si="694">AS671+AT670</f>
        <v>8.3333333333333329E-2</v>
      </c>
      <c r="AU671" s="710">
        <f t="shared" si="694"/>
        <v>0.25</v>
      </c>
      <c r="AV671" s="710">
        <f t="shared" si="694"/>
        <v>0.5</v>
      </c>
      <c r="AW671" s="710">
        <f t="shared" si="694"/>
        <v>0.83333333333333326</v>
      </c>
      <c r="AX671" s="710">
        <f t="shared" si="694"/>
        <v>1.25</v>
      </c>
      <c r="AY671" s="710">
        <f t="shared" si="694"/>
        <v>1.75</v>
      </c>
      <c r="AZ671" s="710">
        <f t="shared" si="694"/>
        <v>2.333333333333333</v>
      </c>
      <c r="BA671" s="710">
        <f t="shared" si="694"/>
        <v>2.9999999999999996</v>
      </c>
      <c r="BB671" s="710">
        <f t="shared" si="694"/>
        <v>3.7499999999999996</v>
      </c>
      <c r="BC671" s="710">
        <f t="shared" si="694"/>
        <v>4.583333333333333</v>
      </c>
      <c r="BD671" s="710">
        <f t="shared" si="694"/>
        <v>5.5</v>
      </c>
      <c r="BE671" s="710">
        <f t="shared" si="694"/>
        <v>6.5</v>
      </c>
      <c r="BF671" s="710">
        <f t="shared" si="694"/>
        <v>7.6304347826086953</v>
      </c>
      <c r="BG671" s="710">
        <f t="shared" si="694"/>
        <v>8.891304347826086</v>
      </c>
      <c r="BH671" s="710">
        <f t="shared" si="694"/>
        <v>10.282608695652172</v>
      </c>
      <c r="BI671" s="710">
        <f>BH671+BI670-AK670</f>
        <v>11.804347826086953</v>
      </c>
      <c r="BJ671" s="710">
        <f t="shared" ref="BJ671:DA671" si="695">BI671+BJ670-AL670</f>
        <v>13.456521739130432</v>
      </c>
      <c r="BK671" s="710">
        <f t="shared" si="695"/>
        <v>15.239130434782606</v>
      </c>
      <c r="BL671" s="710">
        <f t="shared" si="695"/>
        <v>17.152173913043473</v>
      </c>
      <c r="BM671" s="710">
        <f t="shared" si="695"/>
        <v>19.195652173913039</v>
      </c>
      <c r="BN671" s="710">
        <f t="shared" si="695"/>
        <v>21.369565217391301</v>
      </c>
      <c r="BO671" s="710">
        <f t="shared" si="695"/>
        <v>23.673913043478258</v>
      </c>
      <c r="BP671" s="710">
        <f t="shared" si="695"/>
        <v>26.10869565217391</v>
      </c>
      <c r="BQ671" s="710">
        <f t="shared" si="695"/>
        <v>30.10869565217391</v>
      </c>
      <c r="BR671" s="710">
        <f t="shared" si="695"/>
        <v>34.108695652173907</v>
      </c>
      <c r="BS671" s="710">
        <f t="shared" si="695"/>
        <v>38.108695652173907</v>
      </c>
      <c r="BT671" s="710">
        <f t="shared" si="695"/>
        <v>42.108695652173907</v>
      </c>
      <c r="BU671" s="710">
        <f t="shared" si="695"/>
        <v>46.1086956521739</v>
      </c>
      <c r="BV671" s="710">
        <f t="shared" si="695"/>
        <v>50.1086956521739</v>
      </c>
      <c r="BW671" s="710">
        <f t="shared" si="695"/>
        <v>54.1086956521739</v>
      </c>
      <c r="BX671" s="710">
        <f t="shared" si="695"/>
        <v>58.108695652173893</v>
      </c>
      <c r="BY671" s="710">
        <f t="shared" si="695"/>
        <v>62.108695652173893</v>
      </c>
      <c r="BZ671" s="710">
        <f t="shared" si="695"/>
        <v>66.108695652173893</v>
      </c>
      <c r="CA671" s="710">
        <f t="shared" si="695"/>
        <v>70.108695652173893</v>
      </c>
      <c r="CB671" s="710">
        <f t="shared" si="695"/>
        <v>74.108695652173878</v>
      </c>
      <c r="CC671" s="710">
        <f t="shared" si="695"/>
        <v>78.108695652173878</v>
      </c>
      <c r="CD671" s="710">
        <f t="shared" si="695"/>
        <v>82.144927536231847</v>
      </c>
      <c r="CE671" s="710">
        <f t="shared" si="695"/>
        <v>86.217391304347785</v>
      </c>
      <c r="CF671" s="710">
        <f t="shared" si="695"/>
        <v>90.326086956521692</v>
      </c>
      <c r="CG671" s="710">
        <f t="shared" si="695"/>
        <v>94.471014492753582</v>
      </c>
      <c r="CH671" s="710">
        <f t="shared" si="695"/>
        <v>98.652173913043427</v>
      </c>
      <c r="CI671" s="710">
        <f t="shared" si="695"/>
        <v>102.86956521739125</v>
      </c>
      <c r="CJ671" s="710">
        <f t="shared" si="695"/>
        <v>107.12318840579705</v>
      </c>
      <c r="CK671" s="710">
        <f t="shared" si="695"/>
        <v>111.41304347826082</v>
      </c>
      <c r="CL671" s="710">
        <f t="shared" si="695"/>
        <v>115.73913043478255</v>
      </c>
      <c r="CM671" s="710">
        <f t="shared" si="695"/>
        <v>120.10144927536227</v>
      </c>
      <c r="CN671" s="710">
        <f t="shared" si="695"/>
        <v>124.49999999999996</v>
      </c>
      <c r="CO671" s="710">
        <f t="shared" si="695"/>
        <v>127.49999999999994</v>
      </c>
      <c r="CP671" s="710">
        <f t="shared" si="695"/>
        <v>130.49999999999994</v>
      </c>
      <c r="CQ671" s="710">
        <f t="shared" si="695"/>
        <v>133.49999999999994</v>
      </c>
      <c r="CR671" s="710">
        <f t="shared" si="695"/>
        <v>136.49999999999994</v>
      </c>
      <c r="CS671" s="710">
        <f t="shared" si="695"/>
        <v>139.49999999999994</v>
      </c>
      <c r="CT671" s="710">
        <f t="shared" si="695"/>
        <v>142.49999999999994</v>
      </c>
      <c r="CU671" s="710">
        <f t="shared" si="695"/>
        <v>145.49999999999994</v>
      </c>
      <c r="CV671" s="710">
        <f t="shared" si="695"/>
        <v>148.49999999999994</v>
      </c>
      <c r="CW671" s="710">
        <f t="shared" si="695"/>
        <v>151.49999999999994</v>
      </c>
      <c r="CX671" s="710">
        <f t="shared" si="695"/>
        <v>154.49999999999994</v>
      </c>
      <c r="CY671" s="710">
        <f t="shared" si="695"/>
        <v>157.49999999999994</v>
      </c>
      <c r="CZ671" s="710">
        <f t="shared" si="695"/>
        <v>160.49999999999994</v>
      </c>
      <c r="DA671" s="710">
        <f t="shared" si="695"/>
        <v>163.49999999999994</v>
      </c>
      <c r="DC671" s="11">
        <f>AG671</f>
        <v>0</v>
      </c>
      <c r="DD671" s="11">
        <f>AS671</f>
        <v>0</v>
      </c>
      <c r="DE671" s="11">
        <f>BE671</f>
        <v>6.5</v>
      </c>
      <c r="DF671" s="11">
        <f>BQ671</f>
        <v>30.10869565217391</v>
      </c>
      <c r="DG671" s="11">
        <f>CC671</f>
        <v>78.108695652173878</v>
      </c>
      <c r="DH671" s="11">
        <f>CO671</f>
        <v>127.49999999999994</v>
      </c>
      <c r="DI671" s="11">
        <f>DA671</f>
        <v>163.49999999999994</v>
      </c>
    </row>
    <row r="672" spans="2:113" outlineLevel="2">
      <c r="E672" s="698"/>
      <c r="F672" s="12" t="s">
        <v>795</v>
      </c>
      <c r="I672" s="609" t="s">
        <v>736</v>
      </c>
      <c r="AH672" s="11"/>
      <c r="AI672" s="11"/>
      <c r="AJ672" s="11"/>
      <c r="AK672" s="72"/>
      <c r="AL672" s="72"/>
      <c r="AM672" s="72"/>
      <c r="AN672" s="72"/>
      <c r="AO672" s="72"/>
      <c r="AP672" s="72"/>
      <c r="AQ672" s="72"/>
      <c r="AR672" s="971"/>
      <c r="AS672" s="971"/>
      <c r="AT672" s="880">
        <v>1.6666666666666665</v>
      </c>
      <c r="AU672" s="880">
        <v>3.333333333333333</v>
      </c>
      <c r="AV672" s="880">
        <v>5</v>
      </c>
      <c r="AW672" s="880">
        <v>6.6666666666666661</v>
      </c>
      <c r="AX672" s="880">
        <v>8.3333333333333321</v>
      </c>
      <c r="AY672" s="880">
        <v>9.9999999999999982</v>
      </c>
      <c r="AZ672" s="880">
        <v>11.666666666666666</v>
      </c>
      <c r="BA672" s="880">
        <v>13.333333333333332</v>
      </c>
      <c r="BB672" s="880">
        <v>15</v>
      </c>
      <c r="BC672" s="880">
        <v>16.666666666666668</v>
      </c>
      <c r="BD672" s="880">
        <v>18.333333333333336</v>
      </c>
      <c r="BE672" s="880">
        <v>20</v>
      </c>
      <c r="BF672" s="880">
        <v>22.60869565217391</v>
      </c>
      <c r="BG672" s="880">
        <v>25.217391304347824</v>
      </c>
      <c r="BH672" s="880">
        <v>27.826086956521731</v>
      </c>
      <c r="BI672" s="880">
        <v>30.434782608695645</v>
      </c>
      <c r="BJ672" s="880">
        <v>33.043478260869556</v>
      </c>
      <c r="BK672" s="880">
        <v>35.652173913043463</v>
      </c>
      <c r="BL672" s="880">
        <v>38.260869565217376</v>
      </c>
      <c r="BM672" s="880">
        <v>40.86956521739129</v>
      </c>
      <c r="BN672" s="880">
        <v>43.478260869565212</v>
      </c>
      <c r="BO672" s="880">
        <v>46.086956521739118</v>
      </c>
      <c r="BP672" s="880">
        <v>48.695652173913039</v>
      </c>
      <c r="BQ672" s="880">
        <v>80</v>
      </c>
      <c r="BR672" s="880">
        <v>81.666666666666657</v>
      </c>
      <c r="BS672" s="880">
        <v>83.333333333333329</v>
      </c>
      <c r="BT672" s="880">
        <v>84.999999999999986</v>
      </c>
      <c r="BU672" s="880">
        <v>86.666666666666643</v>
      </c>
      <c r="BV672" s="880">
        <v>88.3333333333333</v>
      </c>
      <c r="BW672" s="880">
        <v>89.999999999999972</v>
      </c>
      <c r="BX672" s="880">
        <v>91.666666666666629</v>
      </c>
      <c r="BY672" s="880">
        <v>93.333333333333286</v>
      </c>
      <c r="BZ672" s="880">
        <v>94.999999999999943</v>
      </c>
      <c r="CA672" s="880">
        <v>96.666666666666615</v>
      </c>
      <c r="CB672" s="880">
        <v>98.333333333333272</v>
      </c>
      <c r="CC672" s="880">
        <v>100</v>
      </c>
      <c r="CD672" s="880">
        <v>103.33333333333334</v>
      </c>
      <c r="CE672" s="880">
        <v>106.66666666666667</v>
      </c>
      <c r="CF672" s="880">
        <v>110.00000000000001</v>
      </c>
      <c r="CG672" s="880">
        <v>113.33333333333336</v>
      </c>
      <c r="CH672" s="880">
        <v>116.6666666666667</v>
      </c>
      <c r="CI672" s="880">
        <v>120.00000000000003</v>
      </c>
      <c r="CJ672" s="880">
        <v>123.33333333333337</v>
      </c>
      <c r="CK672" s="880">
        <v>126.66666666666671</v>
      </c>
      <c r="CL672" s="880">
        <v>130.00000000000006</v>
      </c>
      <c r="CM672" s="880">
        <v>133.3333333333334</v>
      </c>
      <c r="CN672" s="880">
        <v>136.66666666666674</v>
      </c>
      <c r="CO672" s="880">
        <v>140</v>
      </c>
      <c r="CP672" s="880">
        <v>141.66666666666666</v>
      </c>
      <c r="CQ672" s="880">
        <v>143.33333333333331</v>
      </c>
      <c r="CR672" s="880">
        <v>144.99999999999997</v>
      </c>
      <c r="CS672" s="880">
        <v>146.66666666666666</v>
      </c>
      <c r="CT672" s="880">
        <v>148.33333333333331</v>
      </c>
      <c r="CU672" s="880">
        <v>149.99999999999997</v>
      </c>
      <c r="CV672" s="880">
        <v>151.66666666666663</v>
      </c>
      <c r="CW672" s="880">
        <v>153.33333333333329</v>
      </c>
      <c r="CX672" s="880">
        <v>154.99999999999994</v>
      </c>
      <c r="CY672" s="880">
        <v>156.6666666666666</v>
      </c>
      <c r="CZ672" s="880">
        <v>158.33333333333326</v>
      </c>
      <c r="DA672" s="880">
        <v>160</v>
      </c>
      <c r="DC672" s="12">
        <f>SUM(V672:AG672)</f>
        <v>0</v>
      </c>
      <c r="DD672" s="12">
        <f>SUM(AH672:AS672)</f>
        <v>0</v>
      </c>
      <c r="DE672" s="12">
        <f>SUM(AT672:BE672)</f>
        <v>130</v>
      </c>
      <c r="DF672" s="12">
        <f>SUM(BF672:BQ672)</f>
        <v>472.17391304347819</v>
      </c>
      <c r="DG672" s="12">
        <f>SUM(BR672:CC672)</f>
        <v>1089.9999999999995</v>
      </c>
      <c r="DH672" s="12">
        <f>SUM(CD672:CO672)</f>
        <v>1460.0000000000005</v>
      </c>
      <c r="DI672" s="12">
        <f t="shared" ref="DI672:DI701" si="696">SUM(CP672:DA672)</f>
        <v>1809.9999999999995</v>
      </c>
    </row>
    <row r="673" spans="2:113" outlineLevel="2">
      <c r="B673" s="694"/>
      <c r="E673" s="698"/>
      <c r="F673" s="12" t="s">
        <v>796</v>
      </c>
      <c r="I673" s="609" t="s">
        <v>736</v>
      </c>
      <c r="AH673" s="12"/>
      <c r="AI673" s="12"/>
      <c r="AJ673" s="12"/>
      <c r="AK673" s="756"/>
      <c r="AL673" s="756"/>
      <c r="AM673" s="756"/>
      <c r="AN673" s="756"/>
      <c r="AO673" s="756"/>
      <c r="AP673" s="756"/>
      <c r="AQ673" s="756"/>
      <c r="AR673" s="756"/>
      <c r="AS673" s="756"/>
      <c r="AT673" s="756">
        <v>1.6666666666666665</v>
      </c>
      <c r="AU673" s="756">
        <v>4.9305555555555554</v>
      </c>
      <c r="AV673" s="756">
        <v>9.7222222222222214</v>
      </c>
      <c r="AW673" s="756">
        <v>15.97222222222222</v>
      </c>
      <c r="AX673" s="756">
        <v>23.611111111111107</v>
      </c>
      <c r="AY673" s="756">
        <v>32.569444444444443</v>
      </c>
      <c r="AZ673" s="756">
        <v>42.777777777777771</v>
      </c>
      <c r="BA673" s="756">
        <v>54.166666666666657</v>
      </c>
      <c r="BB673" s="756">
        <v>66.630040210866653</v>
      </c>
      <c r="BC673" s="756">
        <v>80.064818670690329</v>
      </c>
      <c r="BD673" s="756">
        <v>94.375472214606873</v>
      </c>
      <c r="BE673" s="756">
        <v>109.49310115610771</v>
      </c>
      <c r="BF673" s="756">
        <v>126.27502761454646</v>
      </c>
      <c r="BG673" s="756">
        <v>144.60924540840358</v>
      </c>
      <c r="BH673" s="756">
        <v>164.37889760102649</v>
      </c>
      <c r="BI673" s="756">
        <v>185.46446003899158</v>
      </c>
      <c r="BJ673" s="756">
        <v>207.72976363748447</v>
      </c>
      <c r="BK673" s="756">
        <v>231.04192567352612</v>
      </c>
      <c r="BL673" s="756">
        <v>255.2805606992151</v>
      </c>
      <c r="BM673" s="756">
        <v>280.32694681098104</v>
      </c>
      <c r="BN673" s="756">
        <v>306.04902502396823</v>
      </c>
      <c r="BO673" s="756">
        <v>332.31701519722674</v>
      </c>
      <c r="BP673" s="756">
        <v>359.00319402354859</v>
      </c>
      <c r="BQ673" s="756">
        <v>414.67740124185315</v>
      </c>
      <c r="BR673" s="756">
        <v>468.3823561998064</v>
      </c>
      <c r="BS673" s="756">
        <v>520.10462687166626</v>
      </c>
      <c r="BT673" s="756">
        <v>569.83256320138207</v>
      </c>
      <c r="BU673" s="756">
        <v>617.55626976730741</v>
      </c>
      <c r="BV673" s="756">
        <v>663.26758063802981</v>
      </c>
      <c r="BW673" s="756">
        <v>706.96003428313611</v>
      </c>
      <c r="BX673" s="756">
        <v>748.62884875855741</v>
      </c>
      <c r="BY673" s="756">
        <v>787.83291013352584</v>
      </c>
      <c r="BZ673" s="756">
        <v>824.62086983649021</v>
      </c>
      <c r="CA673" s="756">
        <v>859.03406568922821</v>
      </c>
      <c r="CB673" s="756">
        <v>891.10903381787057</v>
      </c>
      <c r="CC673" s="756">
        <v>920.88087579566445</v>
      </c>
      <c r="CD673" s="756">
        <v>950.05020945117269</v>
      </c>
      <c r="CE673" s="756">
        <v>978.61995378972824</v>
      </c>
      <c r="CF673" s="756">
        <v>1006.5925070104736</v>
      </c>
      <c r="CG673" s="756">
        <v>1033.9698075945741</v>
      </c>
      <c r="CH673" s="756">
        <v>1060.7533300942368</v>
      </c>
      <c r="CI673" s="756">
        <v>1086.9440886263869</v>
      </c>
      <c r="CJ673" s="756">
        <v>1112.5426425019796</v>
      </c>
      <c r="CK673" s="756">
        <v>1137.5491025019046</v>
      </c>
      <c r="CL673" s="756">
        <v>1161.9376987388659</v>
      </c>
      <c r="CM673" s="756">
        <v>1185.6837041598992</v>
      </c>
      <c r="CN673" s="756">
        <v>1208.7630765088145</v>
      </c>
      <c r="CO673" s="756">
        <v>1231.1522240846434</v>
      </c>
      <c r="CP673" s="756">
        <v>1308.1902717382693</v>
      </c>
      <c r="CQ673" s="756">
        <v>1380.6484656544576</v>
      </c>
      <c r="CR673" s="756">
        <v>1448.4650527128324</v>
      </c>
      <c r="CS673" s="756">
        <v>1511.5786068029988</v>
      </c>
      <c r="CT673" s="756">
        <v>1569.9280248918774</v>
      </c>
      <c r="CU673" s="756">
        <v>1623.4525225647717</v>
      </c>
      <c r="CV673" s="756">
        <v>1672.0916294566005</v>
      </c>
      <c r="CW673" s="756">
        <v>1715.785184691355</v>
      </c>
      <c r="CX673" s="756">
        <v>1753.6283269764792</v>
      </c>
      <c r="CY673" s="756">
        <v>1785.6539667211832</v>
      </c>
      <c r="CZ673" s="756">
        <v>1811.8820708788292</v>
      </c>
      <c r="DA673" s="756">
        <v>1832.3243398202208</v>
      </c>
      <c r="DC673" s="11">
        <f>AG673</f>
        <v>0</v>
      </c>
      <c r="DD673" s="11">
        <f>AS673</f>
        <v>0</v>
      </c>
      <c r="DE673" s="11">
        <f>BE673</f>
        <v>109.49310115610771</v>
      </c>
      <c r="DF673" s="11">
        <f>BQ673</f>
        <v>414.67740124185315</v>
      </c>
      <c r="DG673" s="11">
        <f>CC673</f>
        <v>920.88087579566445</v>
      </c>
      <c r="DH673" s="11">
        <f>CO673</f>
        <v>1231.1522240846434</v>
      </c>
      <c r="DI673" s="11">
        <f>DA673</f>
        <v>1832.3243398202208</v>
      </c>
    </row>
    <row r="674" spans="2:113" outlineLevel="2">
      <c r="E674" s="698"/>
      <c r="F674" s="12" t="s">
        <v>215</v>
      </c>
      <c r="I674" s="609" t="s">
        <v>736</v>
      </c>
      <c r="AH674" s="873"/>
      <c r="AI674" s="873"/>
      <c r="AJ674" s="873"/>
      <c r="AK674" s="873"/>
      <c r="AL674" s="873"/>
      <c r="AM674" s="873"/>
      <c r="AN674" s="873"/>
      <c r="AO674" s="873"/>
      <c r="AP674" s="873"/>
      <c r="AQ674" s="873"/>
      <c r="AR674" s="873"/>
      <c r="AS674" s="873"/>
      <c r="AT674" s="873">
        <f t="shared" ref="AT674:DA674" si="697">AT678+AT680</f>
        <v>0.33388888888888885</v>
      </c>
      <c r="AU674" s="873">
        <f t="shared" si="697"/>
        <v>0.66399238719353149</v>
      </c>
      <c r="AV674" s="873">
        <f t="shared" si="697"/>
        <v>1.0866648034722224</v>
      </c>
      <c r="AW674" s="873">
        <f t="shared" si="697"/>
        <v>1.5628474184319645</v>
      </c>
      <c r="AX674" s="873">
        <f t="shared" si="697"/>
        <v>2.088127958394812</v>
      </c>
      <c r="AY674" s="873">
        <f t="shared" si="697"/>
        <v>2.6588782815848573</v>
      </c>
      <c r="AZ674" s="873">
        <f t="shared" si="697"/>
        <v>3.2728625649400991</v>
      </c>
      <c r="BA674" s="873">
        <f t="shared" si="697"/>
        <v>3.9274070368994711</v>
      </c>
      <c r="BB674" s="873">
        <f t="shared" si="697"/>
        <v>4.6198985422111827</v>
      </c>
      <c r="BC674" s="873">
        <f t="shared" si="697"/>
        <v>5.3481622276240746</v>
      </c>
      <c r="BD674" s="873">
        <f t="shared" si="697"/>
        <v>6.1080598135046236</v>
      </c>
      <c r="BE674" s="873">
        <f t="shared" si="697"/>
        <v>6.8943329944277361</v>
      </c>
      <c r="BF674" s="873">
        <f t="shared" si="697"/>
        <v>7.9178247031515756</v>
      </c>
      <c r="BG674" s="873">
        <f t="shared" si="697"/>
        <v>8.9631893902897311</v>
      </c>
      <c r="BH674" s="873">
        <f t="shared" si="697"/>
        <v>10.060155031091426</v>
      </c>
      <c r="BI674" s="873">
        <f t="shared" si="697"/>
        <v>11.203629292897036</v>
      </c>
      <c r="BJ674" s="873">
        <f t="shared" si="697"/>
        <v>12.389002470547622</v>
      </c>
      <c r="BK674" s="873">
        <f t="shared" si="697"/>
        <v>13.611442715580649</v>
      </c>
      <c r="BL674" s="873">
        <f t="shared" si="697"/>
        <v>14.865978561970952</v>
      </c>
      <c r="BM674" s="873">
        <f t="shared" si="697"/>
        <v>16.147899584384199</v>
      </c>
      <c r="BN674" s="873">
        <f t="shared" si="697"/>
        <v>17.452936625262147</v>
      </c>
      <c r="BO674" s="873">
        <f t="shared" si="697"/>
        <v>18.776622793483789</v>
      </c>
      <c r="BP674" s="873">
        <f t="shared" si="697"/>
        <v>20.114548065064998</v>
      </c>
      <c r="BQ674" s="873">
        <f t="shared" si="697"/>
        <v>26.689660125873637</v>
      </c>
      <c r="BR674" s="873">
        <f t="shared" si="697"/>
        <v>28.956640636976729</v>
      </c>
      <c r="BS674" s="873">
        <f t="shared" si="697"/>
        <v>31.110120319673314</v>
      </c>
      <c r="BT674" s="873">
        <f t="shared" si="697"/>
        <v>33.163901935430268</v>
      </c>
      <c r="BU674" s="873">
        <f t="shared" si="697"/>
        <v>35.122057395751774</v>
      </c>
      <c r="BV674" s="873">
        <f t="shared" si="697"/>
        <v>36.987976370981926</v>
      </c>
      <c r="BW674" s="873">
        <f t="shared" si="697"/>
        <v>38.764183117080179</v>
      </c>
      <c r="BX674" s="873">
        <f t="shared" si="697"/>
        <v>40.45225880310749</v>
      </c>
      <c r="BY674" s="873">
        <f t="shared" si="697"/>
        <v>42.064454794786194</v>
      </c>
      <c r="BZ674" s="873">
        <f t="shared" si="697"/>
        <v>43.593739875750181</v>
      </c>
      <c r="CA674" s="873">
        <f t="shared" si="697"/>
        <v>45.041010459624644</v>
      </c>
      <c r="CB674" s="873">
        <f t="shared" si="697"/>
        <v>46.407602936553616</v>
      </c>
      <c r="CC674" s="873">
        <f t="shared" si="697"/>
        <v>47.694763657350627</v>
      </c>
      <c r="CD674" s="873">
        <f t="shared" si="697"/>
        <v>49.208306306077255</v>
      </c>
      <c r="CE674" s="873">
        <f t="shared" si="697"/>
        <v>50.708912079324392</v>
      </c>
      <c r="CF674" s="873">
        <f t="shared" si="697"/>
        <v>52.194430636610853</v>
      </c>
      <c r="CG674" s="873">
        <f t="shared" si="697"/>
        <v>53.663446226830146</v>
      </c>
      <c r="CH674" s="873">
        <f t="shared" si="697"/>
        <v>55.114708062291896</v>
      </c>
      <c r="CI674" s="873">
        <f t="shared" si="697"/>
        <v>56.547089925700533</v>
      </c>
      <c r="CJ674" s="873">
        <f t="shared" si="697"/>
        <v>57.959541555122051</v>
      </c>
      <c r="CK674" s="873">
        <f t="shared" si="697"/>
        <v>59.351035376689595</v>
      </c>
      <c r="CL674" s="873">
        <f t="shared" si="697"/>
        <v>60.721195649131815</v>
      </c>
      <c r="CM674" s="873">
        <f t="shared" si="697"/>
        <v>62.069209358455254</v>
      </c>
      <c r="CN674" s="873">
        <f t="shared" si="697"/>
        <v>63.394252084627531</v>
      </c>
      <c r="CO674" s="873">
        <f t="shared" si="697"/>
        <v>64.695514801038172</v>
      </c>
      <c r="CP674" s="873">
        <f t="shared" si="697"/>
        <v>66.996468413040475</v>
      </c>
      <c r="CQ674" s="873">
        <f t="shared" si="697"/>
        <v>70.039824585755184</v>
      </c>
      <c r="CR674" s="873">
        <f t="shared" si="697"/>
        <v>72.838105674812908</v>
      </c>
      <c r="CS674" s="873">
        <f t="shared" si="697"/>
        <v>75.416925883558406</v>
      </c>
      <c r="CT674" s="873">
        <f t="shared" si="697"/>
        <v>77.782171579173124</v>
      </c>
      <c r="CU674" s="873">
        <f t="shared" si="697"/>
        <v>79.93825920113494</v>
      </c>
      <c r="CV674" s="873">
        <f t="shared" si="697"/>
        <v>81.887885703348701</v>
      </c>
      <c r="CW674" s="873">
        <f t="shared" si="697"/>
        <v>83.631923089702752</v>
      </c>
      <c r="CX674" s="873">
        <f t="shared" si="697"/>
        <v>85.192167570536995</v>
      </c>
      <c r="CY674" s="873">
        <f t="shared" si="697"/>
        <v>86.553190022132554</v>
      </c>
      <c r="CZ674" s="873">
        <f t="shared" si="697"/>
        <v>87.714514954635575</v>
      </c>
      <c r="DA674" s="873">
        <f t="shared" si="697"/>
        <v>88.676583190246049</v>
      </c>
      <c r="DC674" s="12">
        <f t="shared" ref="DC674:DC689" si="698">SUM(V674:AG674)</f>
        <v>0</v>
      </c>
      <c r="DD674" s="12">
        <f>SUM(AH674:AS674)</f>
        <v>0</v>
      </c>
      <c r="DE674" s="12">
        <f>SUM(AT674:BE674)</f>
        <v>38.565122917573461</v>
      </c>
      <c r="DF674" s="12">
        <f t="shared" ref="DF674:DF689" si="699">SUM(BF674:BQ674)</f>
        <v>178.19288935959779</v>
      </c>
      <c r="DG674" s="12">
        <f>SUM(BR674:CC674)</f>
        <v>469.35871030306697</v>
      </c>
      <c r="DH674" s="12">
        <f>SUM(CD674:CO674)</f>
        <v>685.62764206189945</v>
      </c>
      <c r="DI674" s="12">
        <f t="shared" si="696"/>
        <v>956.66801986807764</v>
      </c>
    </row>
    <row r="675" spans="2:113" outlineLevel="2">
      <c r="E675" s="698"/>
      <c r="F675" s="12" t="s">
        <v>99</v>
      </c>
      <c r="I675" s="609" t="s">
        <v>736</v>
      </c>
      <c r="AH675" s="873"/>
      <c r="AI675" s="873"/>
      <c r="AJ675" s="873"/>
      <c r="AK675" s="873"/>
      <c r="AL675" s="873"/>
      <c r="AM675" s="873"/>
      <c r="AN675" s="873"/>
      <c r="AO675" s="873"/>
      <c r="AP675" s="873"/>
      <c r="AQ675" s="873"/>
      <c r="AR675" s="873"/>
      <c r="AS675" s="873"/>
      <c r="AT675" s="873">
        <f t="shared" ref="AT675:DA675" si="700">AT679</f>
        <v>-1.1111111111111112E-2</v>
      </c>
      <c r="AU675" s="873">
        <f t="shared" si="700"/>
        <v>-2.1990740740740738E-2</v>
      </c>
      <c r="AV675" s="873">
        <f t="shared" si="700"/>
        <v>-4.8842592592592597E-2</v>
      </c>
      <c r="AW675" s="873">
        <f t="shared" si="700"/>
        <v>-8.564814814814814E-2</v>
      </c>
      <c r="AX675" s="873">
        <f t="shared" si="700"/>
        <v>-0.13194444444444445</v>
      </c>
      <c r="AY675" s="873">
        <f t="shared" si="700"/>
        <v>-0.18726851851851853</v>
      </c>
      <c r="AZ675" s="873">
        <f t="shared" si="700"/>
        <v>-0.25115740740740738</v>
      </c>
      <c r="BA675" s="873">
        <f t="shared" si="700"/>
        <v>-0.32314814814814813</v>
      </c>
      <c r="BB675" s="873">
        <f t="shared" si="700"/>
        <v>-0.40265568959177772</v>
      </c>
      <c r="BC675" s="873">
        <f t="shared" si="700"/>
        <v>-0.48898286293852328</v>
      </c>
      <c r="BD675" s="873">
        <f t="shared" si="700"/>
        <v>-0.58146763628432396</v>
      </c>
      <c r="BE675" s="873">
        <f t="shared" si="700"/>
        <v>-0.6795619112357153</v>
      </c>
      <c r="BF675" s="873">
        <f t="shared" si="700"/>
        <v>-0.78589376256884735</v>
      </c>
      <c r="BG675" s="873">
        <f t="shared" si="700"/>
        <v>-0.90294757674316672</v>
      </c>
      <c r="BH675" s="873">
        <f t="shared" si="700"/>
        <v>-1.0299604766981003</v>
      </c>
      <c r="BI675" s="873">
        <f t="shared" si="700"/>
        <v>-1.1661445254667271</v>
      </c>
      <c r="BJ675" s="873">
        <f t="shared" si="700"/>
        <v>-1.3106474122549201</v>
      </c>
      <c r="BK675" s="873">
        <f t="shared" si="700"/>
        <v>-1.4625722977033686</v>
      </c>
      <c r="BL675" s="873">
        <f t="shared" si="700"/>
        <v>-1.6210749545758041</v>
      </c>
      <c r="BM675" s="873">
        <f t="shared" si="700"/>
        <v>-1.7853583583673205</v>
      </c>
      <c r="BN675" s="873">
        <f t="shared" si="700"/>
        <v>-1.9545865727831642</v>
      </c>
      <c r="BO675" s="873">
        <f t="shared" si="700"/>
        <v>-2.1278868007373162</v>
      </c>
      <c r="BP675" s="873">
        <f t="shared" si="700"/>
        <v>-2.3044006974025844</v>
      </c>
      <c r="BQ675" s="873">
        <f t="shared" si="700"/>
        <v>-2.578935317551339</v>
      </c>
      <c r="BR675" s="873">
        <f t="shared" si="700"/>
        <v>-2.9435325248055317</v>
      </c>
      <c r="BS675" s="873">
        <f t="shared" si="700"/>
        <v>-3.2949566102382426</v>
      </c>
      <c r="BT675" s="873">
        <f t="shared" si="700"/>
        <v>-3.6331239669101616</v>
      </c>
      <c r="BU675" s="873">
        <f t="shared" si="700"/>
        <v>-3.9579627765622987</v>
      </c>
      <c r="BV675" s="873">
        <f t="shared" si="700"/>
        <v>-4.2694128346844575</v>
      </c>
      <c r="BW675" s="873">
        <f t="shared" si="700"/>
        <v>-4.5674253830705531</v>
      </c>
      <c r="BX675" s="873">
        <f t="shared" si="700"/>
        <v>-4.8519629434723113</v>
      </c>
      <c r="BY675" s="873">
        <f t="shared" si="700"/>
        <v>-5.1215391963069443</v>
      </c>
      <c r="BZ675" s="873">
        <f t="shared" si="700"/>
        <v>-5.3748459332333871</v>
      </c>
      <c r="CA675" s="873">
        <f t="shared" si="700"/>
        <v>-5.6121831184190611</v>
      </c>
      <c r="CB675" s="873">
        <f t="shared" si="700"/>
        <v>-5.8338103316903291</v>
      </c>
      <c r="CC675" s="873">
        <f t="shared" si="700"/>
        <v>-6.0399663653784508</v>
      </c>
      <c r="CD675" s="873">
        <f t="shared" si="700"/>
        <v>-6.2364369508227897</v>
      </c>
      <c r="CE675" s="873">
        <f t="shared" si="700"/>
        <v>-6.4289005441363365</v>
      </c>
      <c r="CF675" s="873">
        <f t="shared" si="700"/>
        <v>-6.6173748693340064</v>
      </c>
      <c r="CG675" s="873">
        <f t="shared" si="700"/>
        <v>-6.8018743820168259</v>
      </c>
      <c r="CH675" s="873">
        <f t="shared" si="700"/>
        <v>-6.9824104589627041</v>
      </c>
      <c r="CI675" s="873">
        <f t="shared" si="700"/>
        <v>-7.1589913957354128</v>
      </c>
      <c r="CJ675" s="873">
        <f t="shared" si="700"/>
        <v>-7.3316224370945555</v>
      </c>
      <c r="CK675" s="873">
        <f t="shared" si="700"/>
        <v>-7.5003058166796137</v>
      </c>
      <c r="CL675" s="873">
        <f t="shared" si="700"/>
        <v>-7.6649560041359024</v>
      </c>
      <c r="CM675" s="873">
        <f t="shared" si="700"/>
        <v>-7.8254046763292173</v>
      </c>
      <c r="CN675" s="873">
        <f t="shared" si="700"/>
        <v>-7.9814892688957118</v>
      </c>
      <c r="CO675" s="873">
        <f t="shared" si="700"/>
        <v>-8.1330510019781936</v>
      </c>
      <c r="CP675" s="873">
        <f t="shared" si="700"/>
        <v>-8.4644749860763753</v>
      </c>
      <c r="CQ675" s="873">
        <f t="shared" si="700"/>
        <v>-8.962795791309091</v>
      </c>
      <c r="CR675" s="873">
        <f t="shared" si="700"/>
        <v>-9.4303783945576338</v>
      </c>
      <c r="CS675" s="873">
        <f t="shared" si="700"/>
        <v>-9.8668121983861052</v>
      </c>
      <c r="CT675" s="873">
        <f t="shared" si="700"/>
        <v>-10.271688772316255</v>
      </c>
      <c r="CU675" s="873">
        <f t="shared" si="700"/>
        <v>-10.644601824855497</v>
      </c>
      <c r="CV675" s="873">
        <f t="shared" si="700"/>
        <v>-10.985147173404576</v>
      </c>
      <c r="CW675" s="873">
        <f t="shared" si="700"/>
        <v>-11.292922713826519</v>
      </c>
      <c r="CX675" s="873">
        <f t="shared" si="700"/>
        <v>-11.564711705559448</v>
      </c>
      <c r="CY675" s="873">
        <f t="shared" si="700"/>
        <v>-11.797607645658877</v>
      </c>
      <c r="CZ675" s="873">
        <f t="shared" si="700"/>
        <v>-11.991786792000042</v>
      </c>
      <c r="DA675" s="873">
        <f t="shared" si="700"/>
        <v>-12.147354702330167</v>
      </c>
      <c r="DC675" s="12">
        <f t="shared" si="698"/>
        <v>0</v>
      </c>
      <c r="DD675" s="12">
        <f t="shared" ref="DD675:DD683" si="701">SUM(AH675:AS675)</f>
        <v>0</v>
      </c>
      <c r="DE675" s="12">
        <f t="shared" ref="DE675:DE683" si="702">SUM(AT675:BE675)</f>
        <v>-3.2137792111614516</v>
      </c>
      <c r="DF675" s="12">
        <f t="shared" si="699"/>
        <v>-19.030408752852658</v>
      </c>
      <c r="DG675" s="12">
        <f t="shared" ref="DG675:DG683" si="703">SUM(BR675:CC675)</f>
        <v>-55.500721984771729</v>
      </c>
      <c r="DH675" s="12">
        <f t="shared" ref="DH675:DH683" si="704">SUM(CD675:CO675)</f>
        <v>-86.662817806121268</v>
      </c>
      <c r="DI675" s="12">
        <f t="shared" si="696"/>
        <v>-127.42028270028057</v>
      </c>
    </row>
    <row r="676" spans="2:113" s="698" customFormat="1" outlineLevel="2">
      <c r="B676" s="126"/>
      <c r="E676" s="698" t="s">
        <v>217</v>
      </c>
      <c r="H676" s="703"/>
      <c r="I676" s="609" t="s">
        <v>736</v>
      </c>
      <c r="J676" s="703"/>
      <c r="K676" s="703"/>
      <c r="L676" s="703"/>
      <c r="M676" s="703"/>
      <c r="AH676" s="969"/>
      <c r="AI676" s="969"/>
      <c r="AJ676" s="969"/>
      <c r="AK676" s="969"/>
      <c r="AL676" s="969"/>
      <c r="AM676" s="969"/>
      <c r="AN676" s="969"/>
      <c r="AO676" s="969"/>
      <c r="AP676" s="969"/>
      <c r="AQ676" s="969"/>
      <c r="AR676" s="969"/>
      <c r="AS676" s="969"/>
      <c r="AT676" s="969">
        <f t="shared" ref="AT676:DA676" si="705">AT677+AT680</f>
        <v>0.32277777777777772</v>
      </c>
      <c r="AU676" s="969">
        <f t="shared" si="705"/>
        <v>0.64200164645279079</v>
      </c>
      <c r="AV676" s="969">
        <f t="shared" si="705"/>
        <v>1.0378222108796298</v>
      </c>
      <c r="AW676" s="969">
        <f t="shared" si="705"/>
        <v>1.4771992702838164</v>
      </c>
      <c r="AX676" s="969">
        <f t="shared" si="705"/>
        <v>1.9561835139503676</v>
      </c>
      <c r="AY676" s="969">
        <f t="shared" si="705"/>
        <v>2.4716097630663389</v>
      </c>
      <c r="AZ676" s="969">
        <f t="shared" si="705"/>
        <v>3.0217051575326916</v>
      </c>
      <c r="BA676" s="969">
        <f t="shared" si="705"/>
        <v>3.6042588887513229</v>
      </c>
      <c r="BB676" s="969">
        <f t="shared" si="705"/>
        <v>4.217242852619405</v>
      </c>
      <c r="BC676" s="969">
        <f t="shared" si="705"/>
        <v>4.8591793646855512</v>
      </c>
      <c r="BD676" s="969">
        <f t="shared" si="705"/>
        <v>5.5265921772202997</v>
      </c>
      <c r="BE676" s="969">
        <f t="shared" si="705"/>
        <v>6.2147710831920211</v>
      </c>
      <c r="BF676" s="969">
        <f t="shared" si="705"/>
        <v>7.1319309405827287</v>
      </c>
      <c r="BG676" s="969">
        <f t="shared" si="705"/>
        <v>8.0602418135465648</v>
      </c>
      <c r="BH676" s="969">
        <f t="shared" si="705"/>
        <v>9.0301945543933257</v>
      </c>
      <c r="BI676" s="969">
        <f t="shared" si="705"/>
        <v>10.037484767430309</v>
      </c>
      <c r="BJ676" s="969">
        <f t="shared" si="705"/>
        <v>11.078355058292701</v>
      </c>
      <c r="BK676" s="969">
        <f t="shared" si="705"/>
        <v>12.14887041787728</v>
      </c>
      <c r="BL676" s="969">
        <f t="shared" si="705"/>
        <v>13.244903607395148</v>
      </c>
      <c r="BM676" s="969">
        <f t="shared" si="705"/>
        <v>14.362541226016877</v>
      </c>
      <c r="BN676" s="969">
        <f t="shared" si="705"/>
        <v>15.498350052478983</v>
      </c>
      <c r="BO676" s="969">
        <f t="shared" si="705"/>
        <v>16.648735992746474</v>
      </c>
      <c r="BP676" s="969">
        <f t="shared" si="705"/>
        <v>17.810147367662413</v>
      </c>
      <c r="BQ676" s="969">
        <f t="shared" si="705"/>
        <v>24.110724808322299</v>
      </c>
      <c r="BR676" s="969">
        <f t="shared" si="705"/>
        <v>26.013108112171199</v>
      </c>
      <c r="BS676" s="969">
        <f t="shared" si="705"/>
        <v>27.815163709435069</v>
      </c>
      <c r="BT676" s="969">
        <f t="shared" si="705"/>
        <v>29.530777968520106</v>
      </c>
      <c r="BU676" s="969">
        <f t="shared" si="705"/>
        <v>31.164094619189477</v>
      </c>
      <c r="BV676" s="969">
        <f t="shared" si="705"/>
        <v>32.718563536297466</v>
      </c>
      <c r="BW676" s="969">
        <f t="shared" si="705"/>
        <v>34.196757734009623</v>
      </c>
      <c r="BX676" s="969">
        <f t="shared" si="705"/>
        <v>35.600295859635182</v>
      </c>
      <c r="BY676" s="969">
        <f t="shared" si="705"/>
        <v>36.942915598479246</v>
      </c>
      <c r="BZ676" s="969">
        <f t="shared" si="705"/>
        <v>38.218893942516793</v>
      </c>
      <c r="CA676" s="969">
        <f t="shared" si="705"/>
        <v>39.428827341205576</v>
      </c>
      <c r="CB676" s="969">
        <f t="shared" si="705"/>
        <v>40.573792604863286</v>
      </c>
      <c r="CC676" s="969">
        <f t="shared" si="705"/>
        <v>41.654797291972173</v>
      </c>
      <c r="CD676" s="969">
        <f t="shared" si="705"/>
        <v>42.971869355254469</v>
      </c>
      <c r="CE676" s="969">
        <f t="shared" si="705"/>
        <v>44.280011535188052</v>
      </c>
      <c r="CF676" s="969">
        <f t="shared" si="705"/>
        <v>45.577055767276846</v>
      </c>
      <c r="CG676" s="969">
        <f t="shared" si="705"/>
        <v>46.861571844813326</v>
      </c>
      <c r="CH676" s="969">
        <f t="shared" si="705"/>
        <v>48.132297603329192</v>
      </c>
      <c r="CI676" s="969">
        <f t="shared" si="705"/>
        <v>49.38809852996512</v>
      </c>
      <c r="CJ676" s="969">
        <f t="shared" si="705"/>
        <v>50.627919118027492</v>
      </c>
      <c r="CK676" s="969">
        <f t="shared" si="705"/>
        <v>51.850729560009981</v>
      </c>
      <c r="CL676" s="969">
        <f t="shared" si="705"/>
        <v>53.056239644995912</v>
      </c>
      <c r="CM676" s="969">
        <f t="shared" si="705"/>
        <v>54.243804682126033</v>
      </c>
      <c r="CN676" s="969">
        <f t="shared" si="705"/>
        <v>55.412762815731817</v>
      </c>
      <c r="CO676" s="969">
        <f t="shared" si="705"/>
        <v>56.562463799059977</v>
      </c>
      <c r="CP676" s="969">
        <f t="shared" si="705"/>
        <v>58.531993426964107</v>
      </c>
      <c r="CQ676" s="969">
        <f t="shared" si="705"/>
        <v>61.0770287944461</v>
      </c>
      <c r="CR676" s="969">
        <f t="shared" si="705"/>
        <v>63.40772728025528</v>
      </c>
      <c r="CS676" s="969">
        <f t="shared" si="705"/>
        <v>65.550113685172292</v>
      </c>
      <c r="CT676" s="969">
        <f t="shared" si="705"/>
        <v>67.510482806856871</v>
      </c>
      <c r="CU676" s="969">
        <f t="shared" si="705"/>
        <v>69.293657376279441</v>
      </c>
      <c r="CV676" s="969">
        <f t="shared" si="705"/>
        <v>70.902738529944131</v>
      </c>
      <c r="CW676" s="969">
        <f t="shared" si="705"/>
        <v>72.339000375876239</v>
      </c>
      <c r="CX676" s="969">
        <f t="shared" si="705"/>
        <v>73.627455864977549</v>
      </c>
      <c r="CY676" s="969">
        <f t="shared" si="705"/>
        <v>74.755582376473683</v>
      </c>
      <c r="CZ676" s="969">
        <f t="shared" si="705"/>
        <v>75.722728162635534</v>
      </c>
      <c r="DA676" s="969">
        <f t="shared" si="705"/>
        <v>76.529228487915873</v>
      </c>
      <c r="DC676" s="14">
        <f t="shared" si="698"/>
        <v>0</v>
      </c>
      <c r="DD676" s="14">
        <f t="shared" si="701"/>
        <v>0</v>
      </c>
      <c r="DE676" s="14">
        <f t="shared" si="702"/>
        <v>35.35134370641201</v>
      </c>
      <c r="DF676" s="14">
        <f t="shared" si="699"/>
        <v>159.16248060674508</v>
      </c>
      <c r="DG676" s="14">
        <f t="shared" si="703"/>
        <v>413.85798831829521</v>
      </c>
      <c r="DH676" s="14">
        <f t="shared" si="704"/>
        <v>598.96482425577824</v>
      </c>
      <c r="DI676" s="14">
        <f t="shared" si="696"/>
        <v>829.24773716779714</v>
      </c>
    </row>
    <row r="677" spans="2:113" outlineLevel="2">
      <c r="E677" s="698"/>
      <c r="F677" s="14" t="s">
        <v>218</v>
      </c>
      <c r="G677" s="698"/>
      <c r="I677" s="609" t="s">
        <v>736</v>
      </c>
      <c r="AH677" s="851"/>
      <c r="AI677" s="851"/>
      <c r="AJ677" s="851"/>
      <c r="AK677" s="851"/>
      <c r="AL677" s="851"/>
      <c r="AM677" s="851"/>
      <c r="AN677" s="851"/>
      <c r="AO677" s="851"/>
      <c r="AP677" s="851"/>
      <c r="AQ677" s="851"/>
      <c r="AR677" s="851"/>
      <c r="AS677" s="851"/>
      <c r="AT677" s="851">
        <f t="shared" ref="AT677:CN677" si="706">AT678+AT679</f>
        <v>5.6944444444444436E-2</v>
      </c>
      <c r="AU677" s="851">
        <f t="shared" si="706"/>
        <v>0.11033497978612415</v>
      </c>
      <c r="AV677" s="851">
        <f t="shared" si="706"/>
        <v>0.24032221087962963</v>
      </c>
      <c r="AW677" s="851">
        <f t="shared" si="706"/>
        <v>0.41386593695048313</v>
      </c>
      <c r="AX677" s="851">
        <f t="shared" si="706"/>
        <v>0.627016847283701</v>
      </c>
      <c r="AY677" s="851">
        <f t="shared" si="706"/>
        <v>0.8766097630663392</v>
      </c>
      <c r="AZ677" s="851">
        <f t="shared" si="706"/>
        <v>1.1608718241993585</v>
      </c>
      <c r="BA677" s="851">
        <f t="shared" si="706"/>
        <v>1.4775922220846565</v>
      </c>
      <c r="BB677" s="851">
        <f t="shared" si="706"/>
        <v>1.8247428526194049</v>
      </c>
      <c r="BC677" s="851">
        <f t="shared" si="706"/>
        <v>2.2008095147757847</v>
      </c>
      <c r="BD677" s="851">
        <f t="shared" si="706"/>
        <v>2.6023189430114102</v>
      </c>
      <c r="BE677" s="851">
        <f t="shared" si="706"/>
        <v>3.0245684575530829</v>
      </c>
      <c r="BF677" s="851">
        <f t="shared" si="706"/>
        <v>3.5255458434489992</v>
      </c>
      <c r="BG677" s="851">
        <f t="shared" si="706"/>
        <v>4.0376590282835991</v>
      </c>
      <c r="BH677" s="851">
        <f t="shared" si="706"/>
        <v>4.5914107804033675</v>
      </c>
      <c r="BI677" s="851">
        <f t="shared" si="706"/>
        <v>5.1824918679127308</v>
      </c>
      <c r="BJ677" s="851">
        <f t="shared" si="706"/>
        <v>5.8071422372317603</v>
      </c>
      <c r="BK677" s="851">
        <f t="shared" si="706"/>
        <v>6.4614102842606327</v>
      </c>
      <c r="BL677" s="851">
        <f t="shared" si="706"/>
        <v>7.1411720467131987</v>
      </c>
      <c r="BM677" s="851">
        <f t="shared" si="706"/>
        <v>7.8425265835432878</v>
      </c>
      <c r="BN677" s="851">
        <f t="shared" si="706"/>
        <v>8.562042332041111</v>
      </c>
      <c r="BO677" s="851">
        <f t="shared" si="706"/>
        <v>9.2961119011016322</v>
      </c>
      <c r="BP677" s="851">
        <f t="shared" si="706"/>
        <v>10.041185883575297</v>
      </c>
      <c r="BQ677" s="851">
        <f t="shared" si="706"/>
        <v>11.348450439481706</v>
      </c>
      <c r="BR677" s="851">
        <f t="shared" si="706"/>
        <v>12.984713938072197</v>
      </c>
      <c r="BS677" s="851">
        <f t="shared" si="706"/>
        <v>14.52063452416583</v>
      </c>
      <c r="BT677" s="851">
        <f t="shared" si="706"/>
        <v>15.970100380350967</v>
      </c>
      <c r="BU677" s="851">
        <f t="shared" si="706"/>
        <v>17.337257013014554</v>
      </c>
      <c r="BV677" s="851">
        <f t="shared" si="706"/>
        <v>18.625556046381377</v>
      </c>
      <c r="BW677" s="851">
        <f t="shared" si="706"/>
        <v>19.837572218918755</v>
      </c>
      <c r="BX677" s="851">
        <f t="shared" si="706"/>
        <v>20.974925877223704</v>
      </c>
      <c r="BY677" s="851">
        <f t="shared" si="706"/>
        <v>22.051356381148935</v>
      </c>
      <c r="BZ677" s="851">
        <f t="shared" si="706"/>
        <v>23.060705699678653</v>
      </c>
      <c r="CA677" s="851">
        <f t="shared" si="706"/>
        <v>24.00405857833379</v>
      </c>
      <c r="CB677" s="851">
        <f t="shared" si="706"/>
        <v>24.882484535766153</v>
      </c>
      <c r="CC677" s="851">
        <f t="shared" si="706"/>
        <v>25.696986343167449</v>
      </c>
      <c r="CD677" s="851">
        <f t="shared" si="706"/>
        <v>26.481757189677335</v>
      </c>
      <c r="CE677" s="851">
        <f t="shared" si="706"/>
        <v>27.257632002146938</v>
      </c>
      <c r="CF677" s="851">
        <f t="shared" si="706"/>
        <v>28.022441879677068</v>
      </c>
      <c r="CG677" s="851">
        <f t="shared" si="706"/>
        <v>28.77475609631643</v>
      </c>
      <c r="CH677" s="851">
        <f t="shared" si="706"/>
        <v>29.513312029257911</v>
      </c>
      <c r="CI677" s="851">
        <f t="shared" si="706"/>
        <v>30.236974703105012</v>
      </c>
      <c r="CJ677" s="851">
        <f t="shared" si="706"/>
        <v>30.944688152110128</v>
      </c>
      <c r="CK677" s="851">
        <f t="shared" si="706"/>
        <v>31.63542211532539</v>
      </c>
      <c r="CL677" s="851">
        <f t="shared" si="706"/>
        <v>32.308885934649638</v>
      </c>
      <c r="CM677" s="851">
        <f t="shared" si="706"/>
        <v>32.964409116197459</v>
      </c>
      <c r="CN677" s="851">
        <f t="shared" si="706"/>
        <v>33.601330844006142</v>
      </c>
      <c r="CO677" s="851">
        <f>CO678+CO679</f>
        <v>34.219001554064796</v>
      </c>
      <c r="CP677" s="851">
        <f t="shared" ref="CP677:CZ677" si="707">CP678+CP679</f>
        <v>35.922340823763875</v>
      </c>
      <c r="CQ677" s="851">
        <f t="shared" si="707"/>
        <v>38.201192811290106</v>
      </c>
      <c r="CR677" s="851">
        <f t="shared" si="707"/>
        <v>40.265715252367492</v>
      </c>
      <c r="CS677" s="851">
        <f t="shared" si="707"/>
        <v>42.141933280802817</v>
      </c>
      <c r="CT677" s="851">
        <f t="shared" si="707"/>
        <v>43.836142020284768</v>
      </c>
      <c r="CU677" s="851">
        <f t="shared" si="707"/>
        <v>45.353164523891841</v>
      </c>
      <c r="CV677" s="851">
        <f t="shared" si="707"/>
        <v>46.696102245790684</v>
      </c>
      <c r="CW677" s="851">
        <f t="shared" si="707"/>
        <v>47.86622960711405</v>
      </c>
      <c r="CX677" s="851">
        <f t="shared" si="707"/>
        <v>48.888559867324382</v>
      </c>
      <c r="CY677" s="851">
        <f t="shared" si="707"/>
        <v>49.749728239331965</v>
      </c>
      <c r="CZ677" s="851">
        <f t="shared" si="707"/>
        <v>50.450017933794349</v>
      </c>
      <c r="DA677" s="851">
        <f>DA678+DA679</f>
        <v>50.989751310538836</v>
      </c>
      <c r="DC677" s="12">
        <f t="shared" si="698"/>
        <v>0</v>
      </c>
      <c r="DD677" s="12">
        <f t="shared" si="701"/>
        <v>0</v>
      </c>
      <c r="DE677" s="12">
        <f t="shared" si="702"/>
        <v>14.615997996654418</v>
      </c>
      <c r="DF677" s="12">
        <f t="shared" si="699"/>
        <v>83.83714922799733</v>
      </c>
      <c r="DG677" s="12">
        <f t="shared" si="703"/>
        <v>239.94635153622238</v>
      </c>
      <c r="DH677" s="12">
        <f t="shared" si="704"/>
        <v>365.96061161653427</v>
      </c>
      <c r="DI677" s="12">
        <f t="shared" si="696"/>
        <v>540.36087791629518</v>
      </c>
    </row>
    <row r="678" spans="2:113" outlineLevel="2">
      <c r="F678" s="126" t="s">
        <v>737</v>
      </c>
      <c r="I678" s="609" t="s">
        <v>736</v>
      </c>
      <c r="AH678" s="702"/>
      <c r="AI678" s="702"/>
      <c r="AJ678" s="702"/>
      <c r="AK678" s="710"/>
      <c r="AL678" s="710"/>
      <c r="AM678" s="710"/>
      <c r="AN678" s="710"/>
      <c r="AO678" s="710"/>
      <c r="AP678" s="710"/>
      <c r="AQ678" s="710"/>
      <c r="AR678" s="710"/>
      <c r="AS678" s="710"/>
      <c r="AT678" s="710">
        <v>6.805555555555555E-2</v>
      </c>
      <c r="AU678" s="710">
        <v>0.13232572052686489</v>
      </c>
      <c r="AV678" s="710">
        <v>0.28916480347222223</v>
      </c>
      <c r="AW678" s="710">
        <v>0.49951408509863127</v>
      </c>
      <c r="AX678" s="710">
        <v>0.75896129172814542</v>
      </c>
      <c r="AY678" s="710">
        <v>1.0638782815848578</v>
      </c>
      <c r="AZ678" s="710">
        <v>1.412029231606766</v>
      </c>
      <c r="BA678" s="710">
        <v>1.8007403702328046</v>
      </c>
      <c r="BB678" s="710">
        <v>2.2273985422111826</v>
      </c>
      <c r="BC678" s="710">
        <v>2.689792377714308</v>
      </c>
      <c r="BD678" s="710">
        <v>3.1837865792957341</v>
      </c>
      <c r="BE678" s="710">
        <v>3.7041303687887983</v>
      </c>
      <c r="BF678" s="710">
        <v>4.3114396060178466</v>
      </c>
      <c r="BG678" s="710">
        <v>4.9406066050267663</v>
      </c>
      <c r="BH678" s="710">
        <v>5.621371257101468</v>
      </c>
      <c r="BI678" s="710">
        <v>6.3486363933794578</v>
      </c>
      <c r="BJ678" s="710">
        <v>7.1177896494866806</v>
      </c>
      <c r="BK678" s="710">
        <v>7.9239825819640011</v>
      </c>
      <c r="BL678" s="710">
        <v>8.762247001289003</v>
      </c>
      <c r="BM678" s="710">
        <v>9.6278849419106081</v>
      </c>
      <c r="BN678" s="710">
        <v>10.516628904824275</v>
      </c>
      <c r="BO678" s="710">
        <v>11.423998701838949</v>
      </c>
      <c r="BP678" s="710">
        <v>12.345586580977882</v>
      </c>
      <c r="BQ678" s="710">
        <v>13.927385757033045</v>
      </c>
      <c r="BR678" s="710">
        <v>15.928246462877729</v>
      </c>
      <c r="BS678" s="710">
        <v>17.815591134404073</v>
      </c>
      <c r="BT678" s="710">
        <v>19.603224347261129</v>
      </c>
      <c r="BU678" s="710">
        <v>21.295219789576851</v>
      </c>
      <c r="BV678" s="710">
        <v>22.894968881065836</v>
      </c>
      <c r="BW678" s="710">
        <v>24.404997601989308</v>
      </c>
      <c r="BX678" s="710">
        <v>25.826888820696016</v>
      </c>
      <c r="BY678" s="710">
        <v>27.172895577455879</v>
      </c>
      <c r="BZ678" s="710">
        <v>28.435551632912041</v>
      </c>
      <c r="CA678" s="710">
        <v>29.616241696752851</v>
      </c>
      <c r="CB678" s="710">
        <v>30.716294867456483</v>
      </c>
      <c r="CC678" s="710">
        <v>31.7369527085459</v>
      </c>
      <c r="CD678" s="710">
        <v>32.718194140500124</v>
      </c>
      <c r="CE678" s="710">
        <v>33.686532546283274</v>
      </c>
      <c r="CF678" s="710">
        <v>34.639816749011075</v>
      </c>
      <c r="CG678" s="710">
        <v>35.576630478333257</v>
      </c>
      <c r="CH678" s="710">
        <v>36.495722488220615</v>
      </c>
      <c r="CI678" s="710">
        <v>37.395966098840425</v>
      </c>
      <c r="CJ678" s="710">
        <v>38.276310589204684</v>
      </c>
      <c r="CK678" s="710">
        <v>39.135727932005004</v>
      </c>
      <c r="CL678" s="710">
        <v>39.97384193878554</v>
      </c>
      <c r="CM678" s="710">
        <v>40.789813792526679</v>
      </c>
      <c r="CN678" s="710">
        <v>41.582820112901857</v>
      </c>
      <c r="CO678" s="710">
        <v>42.352052556042992</v>
      </c>
      <c r="CP678" s="710">
        <v>44.38681580984025</v>
      </c>
      <c r="CQ678" s="710">
        <v>47.163988602599197</v>
      </c>
      <c r="CR678" s="710">
        <v>49.696093646925128</v>
      </c>
      <c r="CS678" s="710">
        <v>52.008745479188924</v>
      </c>
      <c r="CT678" s="710">
        <v>54.107830792601021</v>
      </c>
      <c r="CU678" s="710">
        <v>55.997766348747341</v>
      </c>
      <c r="CV678" s="710">
        <v>57.681249419195261</v>
      </c>
      <c r="CW678" s="710">
        <v>59.159152320940571</v>
      </c>
      <c r="CX678" s="710">
        <v>60.453271572883828</v>
      </c>
      <c r="CY678" s="710">
        <v>61.547335884990844</v>
      </c>
      <c r="CZ678" s="710">
        <v>62.441804725794391</v>
      </c>
      <c r="DA678" s="710">
        <v>63.137106012869005</v>
      </c>
      <c r="DC678" s="12">
        <f t="shared" si="698"/>
        <v>0</v>
      </c>
      <c r="DD678" s="12">
        <f t="shared" si="701"/>
        <v>0</v>
      </c>
      <c r="DE678" s="12">
        <f t="shared" si="702"/>
        <v>17.829777207815873</v>
      </c>
      <c r="DF678" s="12">
        <f t="shared" si="699"/>
        <v>102.86755798084999</v>
      </c>
      <c r="DG678" s="12">
        <f t="shared" si="703"/>
        <v>295.44707352099414</v>
      </c>
      <c r="DH678" s="12">
        <f t="shared" si="704"/>
        <v>452.62342942265548</v>
      </c>
      <c r="DI678" s="12">
        <f t="shared" si="696"/>
        <v>667.78116061657579</v>
      </c>
    </row>
    <row r="679" spans="2:113" outlineLevel="2">
      <c r="F679" s="126" t="s">
        <v>798</v>
      </c>
      <c r="I679" s="609" t="s">
        <v>736</v>
      </c>
      <c r="AH679" s="702"/>
      <c r="AI679" s="702"/>
      <c r="AJ679" s="702"/>
      <c r="AK679" s="710"/>
      <c r="AL679" s="710"/>
      <c r="AM679" s="710"/>
      <c r="AN679" s="710"/>
      <c r="AO679" s="710"/>
      <c r="AP679" s="710"/>
      <c r="AQ679" s="710"/>
      <c r="AR679" s="710"/>
      <c r="AS679" s="710"/>
      <c r="AT679" s="710">
        <v>-1.1111111111111112E-2</v>
      </c>
      <c r="AU679" s="710">
        <v>-2.1990740740740738E-2</v>
      </c>
      <c r="AV679" s="710">
        <v>-4.8842592592592597E-2</v>
      </c>
      <c r="AW679" s="710">
        <v>-8.564814814814814E-2</v>
      </c>
      <c r="AX679" s="710">
        <v>-0.13194444444444445</v>
      </c>
      <c r="AY679" s="710">
        <v>-0.18726851851851853</v>
      </c>
      <c r="AZ679" s="710">
        <v>-0.25115740740740738</v>
      </c>
      <c r="BA679" s="710">
        <v>-0.32314814814814813</v>
      </c>
      <c r="BB679" s="710">
        <v>-0.40265568959177772</v>
      </c>
      <c r="BC679" s="710">
        <v>-0.48898286293852328</v>
      </c>
      <c r="BD679" s="710">
        <v>-0.58146763628432396</v>
      </c>
      <c r="BE679" s="710">
        <v>-0.6795619112357153</v>
      </c>
      <c r="BF679" s="710">
        <v>-0.78589376256884735</v>
      </c>
      <c r="BG679" s="710">
        <v>-0.90294757674316672</v>
      </c>
      <c r="BH679" s="710">
        <v>-1.0299604766981003</v>
      </c>
      <c r="BI679" s="710">
        <v>-1.1661445254667271</v>
      </c>
      <c r="BJ679" s="710">
        <v>-1.3106474122549201</v>
      </c>
      <c r="BK679" s="710">
        <v>-1.4625722977033686</v>
      </c>
      <c r="BL679" s="710">
        <v>-1.6210749545758041</v>
      </c>
      <c r="BM679" s="710">
        <v>-1.7853583583673205</v>
      </c>
      <c r="BN679" s="710">
        <v>-1.9545865727831642</v>
      </c>
      <c r="BO679" s="710">
        <v>-2.1278868007373162</v>
      </c>
      <c r="BP679" s="710">
        <v>-2.3044006974025844</v>
      </c>
      <c r="BQ679" s="710">
        <v>-2.578935317551339</v>
      </c>
      <c r="BR679" s="710">
        <v>-2.9435325248055317</v>
      </c>
      <c r="BS679" s="710">
        <v>-3.2949566102382426</v>
      </c>
      <c r="BT679" s="710">
        <v>-3.6331239669101616</v>
      </c>
      <c r="BU679" s="710">
        <v>-3.9579627765622987</v>
      </c>
      <c r="BV679" s="710">
        <v>-4.2694128346844575</v>
      </c>
      <c r="BW679" s="710">
        <v>-4.5674253830705531</v>
      </c>
      <c r="BX679" s="710">
        <v>-4.8519629434723113</v>
      </c>
      <c r="BY679" s="710">
        <v>-5.1215391963069443</v>
      </c>
      <c r="BZ679" s="710">
        <v>-5.3748459332333871</v>
      </c>
      <c r="CA679" s="710">
        <v>-5.6121831184190611</v>
      </c>
      <c r="CB679" s="710">
        <v>-5.8338103316903291</v>
      </c>
      <c r="CC679" s="710">
        <v>-6.0399663653784508</v>
      </c>
      <c r="CD679" s="710">
        <v>-6.2364369508227897</v>
      </c>
      <c r="CE679" s="710">
        <v>-6.4289005441363365</v>
      </c>
      <c r="CF679" s="710">
        <v>-6.6173748693340064</v>
      </c>
      <c r="CG679" s="710">
        <v>-6.8018743820168259</v>
      </c>
      <c r="CH679" s="710">
        <v>-6.9824104589627041</v>
      </c>
      <c r="CI679" s="710">
        <v>-7.1589913957354128</v>
      </c>
      <c r="CJ679" s="710">
        <v>-7.3316224370945555</v>
      </c>
      <c r="CK679" s="710">
        <v>-7.5003058166796137</v>
      </c>
      <c r="CL679" s="710">
        <v>-7.6649560041359024</v>
      </c>
      <c r="CM679" s="710">
        <v>-7.8254046763292173</v>
      </c>
      <c r="CN679" s="710">
        <v>-7.9814892688957118</v>
      </c>
      <c r="CO679" s="710">
        <v>-8.1330510019781936</v>
      </c>
      <c r="CP679" s="710">
        <v>-8.4644749860763753</v>
      </c>
      <c r="CQ679" s="710">
        <v>-8.962795791309091</v>
      </c>
      <c r="CR679" s="710">
        <v>-9.4303783945576338</v>
      </c>
      <c r="CS679" s="710">
        <v>-9.8668121983861052</v>
      </c>
      <c r="CT679" s="710">
        <v>-10.271688772316255</v>
      </c>
      <c r="CU679" s="710">
        <v>-10.644601824855497</v>
      </c>
      <c r="CV679" s="710">
        <v>-10.985147173404576</v>
      </c>
      <c r="CW679" s="710">
        <v>-11.292922713826519</v>
      </c>
      <c r="CX679" s="710">
        <v>-11.564711705559448</v>
      </c>
      <c r="CY679" s="710">
        <v>-11.797607645658877</v>
      </c>
      <c r="CZ679" s="710">
        <v>-11.991786792000042</v>
      </c>
      <c r="DA679" s="710">
        <v>-12.147354702330167</v>
      </c>
      <c r="DC679" s="704">
        <f t="shared" si="698"/>
        <v>0</v>
      </c>
      <c r="DD679" s="758">
        <f t="shared" si="701"/>
        <v>0</v>
      </c>
      <c r="DE679" s="758">
        <f t="shared" si="702"/>
        <v>-3.2137792111614516</v>
      </c>
      <c r="DF679" s="758">
        <f t="shared" si="699"/>
        <v>-19.030408752852658</v>
      </c>
      <c r="DG679" s="758">
        <f t="shared" si="703"/>
        <v>-55.500721984771729</v>
      </c>
      <c r="DH679" s="758">
        <f t="shared" si="704"/>
        <v>-86.662817806121268</v>
      </c>
      <c r="DI679" s="758">
        <f t="shared" si="696"/>
        <v>-127.42028270028057</v>
      </c>
    </row>
    <row r="680" spans="2:113" outlineLevel="2">
      <c r="E680" s="698"/>
      <c r="F680" s="698" t="s">
        <v>830</v>
      </c>
      <c r="G680" s="698"/>
      <c r="I680" s="609" t="s">
        <v>736</v>
      </c>
      <c r="AH680" s="969"/>
      <c r="AI680" s="969"/>
      <c r="AJ680" s="969"/>
      <c r="AK680" s="969"/>
      <c r="AL680" s="969"/>
      <c r="AM680" s="969"/>
      <c r="AN680" s="969"/>
      <c r="AO680" s="969"/>
      <c r="AP680" s="969"/>
      <c r="AQ680" s="969"/>
      <c r="AR680" s="969"/>
      <c r="AS680" s="969"/>
      <c r="AT680" s="969">
        <f t="shared" ref="AT680:DA680" si="708">SUM(AT681:AT687)</f>
        <v>0.26583333333333331</v>
      </c>
      <c r="AU680" s="969">
        <f t="shared" si="708"/>
        <v>0.53166666666666662</v>
      </c>
      <c r="AV680" s="969">
        <f t="shared" si="708"/>
        <v>0.7975000000000001</v>
      </c>
      <c r="AW680" s="969">
        <f t="shared" si="708"/>
        <v>1.0633333333333332</v>
      </c>
      <c r="AX680" s="969">
        <f t="shared" si="708"/>
        <v>1.3291666666666666</v>
      </c>
      <c r="AY680" s="969">
        <f t="shared" si="708"/>
        <v>1.5949999999999998</v>
      </c>
      <c r="AZ680" s="969">
        <f t="shared" si="708"/>
        <v>1.8608333333333333</v>
      </c>
      <c r="BA680" s="969">
        <f t="shared" si="708"/>
        <v>2.1266666666666665</v>
      </c>
      <c r="BB680" s="969">
        <f t="shared" si="708"/>
        <v>2.3925000000000001</v>
      </c>
      <c r="BC680" s="969">
        <f t="shared" si="708"/>
        <v>2.6583698499097665</v>
      </c>
      <c r="BD680" s="969">
        <f t="shared" si="708"/>
        <v>2.9242732342088895</v>
      </c>
      <c r="BE680" s="969">
        <f t="shared" si="708"/>
        <v>3.1902026256389378</v>
      </c>
      <c r="BF680" s="969">
        <f t="shared" si="708"/>
        <v>3.606385097133729</v>
      </c>
      <c r="BG680" s="969">
        <f t="shared" si="708"/>
        <v>4.0225827852629656</v>
      </c>
      <c r="BH680" s="969">
        <f t="shared" si="708"/>
        <v>4.4387837739899592</v>
      </c>
      <c r="BI680" s="969">
        <f t="shared" si="708"/>
        <v>4.854992899517578</v>
      </c>
      <c r="BJ680" s="969">
        <f t="shared" si="708"/>
        <v>5.2712128210609412</v>
      </c>
      <c r="BK680" s="969">
        <f t="shared" si="708"/>
        <v>5.6874601336166482</v>
      </c>
      <c r="BL680" s="969">
        <f t="shared" si="708"/>
        <v>6.1037315606819496</v>
      </c>
      <c r="BM680" s="969">
        <f t="shared" si="708"/>
        <v>6.5200146424735888</v>
      </c>
      <c r="BN680" s="969">
        <f t="shared" si="708"/>
        <v>6.9363077204378722</v>
      </c>
      <c r="BO680" s="969">
        <f t="shared" si="708"/>
        <v>7.3526240916448398</v>
      </c>
      <c r="BP680" s="969">
        <f t="shared" si="708"/>
        <v>7.7689614840871162</v>
      </c>
      <c r="BQ680" s="969">
        <f t="shared" si="708"/>
        <v>12.762274368840593</v>
      </c>
      <c r="BR680" s="969">
        <f t="shared" si="708"/>
        <v>13.028394174099002</v>
      </c>
      <c r="BS680" s="969">
        <f t="shared" si="708"/>
        <v>13.294529185269241</v>
      </c>
      <c r="BT680" s="969">
        <f t="shared" si="708"/>
        <v>13.560677588169138</v>
      </c>
      <c r="BU680" s="969">
        <f t="shared" si="708"/>
        <v>13.826837606174923</v>
      </c>
      <c r="BV680" s="969">
        <f t="shared" si="708"/>
        <v>14.093007489916086</v>
      </c>
      <c r="BW680" s="969">
        <f t="shared" si="708"/>
        <v>14.359185515090871</v>
      </c>
      <c r="BX680" s="969">
        <f t="shared" si="708"/>
        <v>14.625369982411474</v>
      </c>
      <c r="BY680" s="969">
        <f t="shared" si="708"/>
        <v>14.891559217330315</v>
      </c>
      <c r="BZ680" s="969">
        <f t="shared" si="708"/>
        <v>15.15818824283814</v>
      </c>
      <c r="CA680" s="969">
        <f t="shared" si="708"/>
        <v>15.424768762871789</v>
      </c>
      <c r="CB680" s="969">
        <f t="shared" si="708"/>
        <v>15.691308069097136</v>
      </c>
      <c r="CC680" s="969">
        <f t="shared" si="708"/>
        <v>15.957810948804728</v>
      </c>
      <c r="CD680" s="969">
        <f t="shared" si="708"/>
        <v>16.490112165577131</v>
      </c>
      <c r="CE680" s="969">
        <f t="shared" si="708"/>
        <v>17.022379533041118</v>
      </c>
      <c r="CF680" s="969">
        <f t="shared" si="708"/>
        <v>17.554613887599778</v>
      </c>
      <c r="CG680" s="969">
        <f t="shared" si="708"/>
        <v>18.086815748496893</v>
      </c>
      <c r="CH680" s="969">
        <f t="shared" si="708"/>
        <v>18.618985574071282</v>
      </c>
      <c r="CI680" s="969">
        <f t="shared" si="708"/>
        <v>19.151123826860111</v>
      </c>
      <c r="CJ680" s="969">
        <f t="shared" si="708"/>
        <v>19.683230965917367</v>
      </c>
      <c r="CK680" s="969">
        <f t="shared" si="708"/>
        <v>20.215307444684591</v>
      </c>
      <c r="CL680" s="969">
        <f t="shared" si="708"/>
        <v>20.747353710346271</v>
      </c>
      <c r="CM680" s="969">
        <f t="shared" si="708"/>
        <v>21.279395565928574</v>
      </c>
      <c r="CN680" s="969">
        <f t="shared" si="708"/>
        <v>21.811431971725675</v>
      </c>
      <c r="CO680" s="969">
        <f t="shared" si="708"/>
        <v>22.34346224499518</v>
      </c>
      <c r="CP680" s="969">
        <f t="shared" si="708"/>
        <v>22.609652603200232</v>
      </c>
      <c r="CQ680" s="969">
        <f t="shared" si="708"/>
        <v>22.875835983155994</v>
      </c>
      <c r="CR680" s="969">
        <f t="shared" si="708"/>
        <v>23.142012027887787</v>
      </c>
      <c r="CS680" s="969">
        <f t="shared" si="708"/>
        <v>23.408180404369475</v>
      </c>
      <c r="CT680" s="969">
        <f t="shared" si="708"/>
        <v>23.674340786572103</v>
      </c>
      <c r="CU680" s="969">
        <f t="shared" si="708"/>
        <v>23.940492852387607</v>
      </c>
      <c r="CV680" s="969">
        <f t="shared" si="708"/>
        <v>24.206636284153447</v>
      </c>
      <c r="CW680" s="969">
        <f t="shared" si="708"/>
        <v>24.472770768762185</v>
      </c>
      <c r="CX680" s="969">
        <f t="shared" si="708"/>
        <v>24.73889599765317</v>
      </c>
      <c r="CY680" s="969">
        <f t="shared" si="708"/>
        <v>25.005854137141718</v>
      </c>
      <c r="CZ680" s="969">
        <f t="shared" si="708"/>
        <v>25.272710228841184</v>
      </c>
      <c r="DA680" s="969">
        <f t="shared" si="708"/>
        <v>25.539477177377044</v>
      </c>
      <c r="DC680" s="704">
        <f t="shared" si="698"/>
        <v>0</v>
      </c>
      <c r="DD680" s="758">
        <f t="shared" si="701"/>
        <v>0</v>
      </c>
      <c r="DE680" s="758">
        <f t="shared" si="702"/>
        <v>20.735345709757596</v>
      </c>
      <c r="DF680" s="758">
        <f t="shared" si="699"/>
        <v>75.325331378747791</v>
      </c>
      <c r="DG680" s="758">
        <f t="shared" si="703"/>
        <v>173.91163678207286</v>
      </c>
      <c r="DH680" s="758">
        <f t="shared" si="704"/>
        <v>233.00421263924397</v>
      </c>
      <c r="DI680" s="758">
        <f t="shared" si="696"/>
        <v>288.8868592515019</v>
      </c>
    </row>
    <row r="681" spans="2:113" outlineLevel="2">
      <c r="F681" s="126" t="s">
        <v>540</v>
      </c>
      <c r="I681" s="609" t="s">
        <v>736</v>
      </c>
      <c r="AH681" s="710"/>
      <c r="AI681" s="710"/>
      <c r="AJ681" s="710"/>
      <c r="AK681" s="710"/>
      <c r="AL681" s="710"/>
      <c r="AM681" s="710"/>
      <c r="AN681" s="710"/>
      <c r="AO681" s="710"/>
      <c r="AP681" s="710"/>
      <c r="AQ681" s="710"/>
      <c r="AR681" s="710"/>
      <c r="AS681" s="710"/>
      <c r="AT681" s="710">
        <v>9.9166666666666667E-2</v>
      </c>
      <c r="AU681" s="710">
        <v>0.19833333333333333</v>
      </c>
      <c r="AV681" s="710">
        <v>0.29750000000000004</v>
      </c>
      <c r="AW681" s="710">
        <v>0.39666666666666667</v>
      </c>
      <c r="AX681" s="710">
        <v>0.49583333333333324</v>
      </c>
      <c r="AY681" s="710">
        <v>0.59499999999999997</v>
      </c>
      <c r="AZ681" s="710">
        <v>0.6941666666666666</v>
      </c>
      <c r="BA681" s="710">
        <v>0.79333333333333333</v>
      </c>
      <c r="BB681" s="710">
        <v>0.89249999999999996</v>
      </c>
      <c r="BC681" s="710">
        <v>0.99166666666666692</v>
      </c>
      <c r="BD681" s="710">
        <v>1.0908333333333335</v>
      </c>
      <c r="BE681" s="710">
        <v>1.1900000000000002</v>
      </c>
      <c r="BF681" s="710">
        <v>1.3452173913043477</v>
      </c>
      <c r="BG681" s="710">
        <v>1.5004347826086957</v>
      </c>
      <c r="BH681" s="710">
        <v>1.6556521739130432</v>
      </c>
      <c r="BI681" s="710">
        <v>1.810869565217391</v>
      </c>
      <c r="BJ681" s="710">
        <v>1.9660869565217387</v>
      </c>
      <c r="BK681" s="710">
        <v>2.121304347826086</v>
      </c>
      <c r="BL681" s="710">
        <v>2.276521739130434</v>
      </c>
      <c r="BM681" s="710">
        <v>2.431739130434782</v>
      </c>
      <c r="BN681" s="710">
        <v>2.5869565217391299</v>
      </c>
      <c r="BO681" s="710">
        <v>2.7421739130434779</v>
      </c>
      <c r="BP681" s="710">
        <v>2.8973913043478259</v>
      </c>
      <c r="BQ681" s="710">
        <v>4.7600000000000007</v>
      </c>
      <c r="BR681" s="710">
        <v>4.8591666666666669</v>
      </c>
      <c r="BS681" s="710">
        <v>4.9583333333333339</v>
      </c>
      <c r="BT681" s="710">
        <v>5.0574999999999992</v>
      </c>
      <c r="BU681" s="710">
        <v>5.1566666666666654</v>
      </c>
      <c r="BV681" s="710">
        <v>5.2558333333333316</v>
      </c>
      <c r="BW681" s="710">
        <v>5.3549999999999986</v>
      </c>
      <c r="BX681" s="710">
        <v>5.4541666666666648</v>
      </c>
      <c r="BY681" s="710">
        <v>5.553333333333331</v>
      </c>
      <c r="BZ681" s="710">
        <v>5.6524999999999972</v>
      </c>
      <c r="CA681" s="710">
        <v>5.7516666666666643</v>
      </c>
      <c r="CB681" s="710">
        <v>5.8508333333333296</v>
      </c>
      <c r="CC681" s="710">
        <v>5.95</v>
      </c>
      <c r="CD681" s="710">
        <v>6.1483333333333343</v>
      </c>
      <c r="CE681" s="710">
        <v>6.3466666666666676</v>
      </c>
      <c r="CF681" s="710">
        <v>6.5450000000000017</v>
      </c>
      <c r="CG681" s="710">
        <v>6.743333333333335</v>
      </c>
      <c r="CH681" s="710">
        <v>6.9416666666666691</v>
      </c>
      <c r="CI681" s="710">
        <v>7.1400000000000015</v>
      </c>
      <c r="CJ681" s="710">
        <v>7.3383333333333356</v>
      </c>
      <c r="CK681" s="710">
        <v>7.5366666666666697</v>
      </c>
      <c r="CL681" s="710">
        <v>7.7350000000000039</v>
      </c>
      <c r="CM681" s="710">
        <v>7.933333333333338</v>
      </c>
      <c r="CN681" s="710">
        <v>8.131666666666673</v>
      </c>
      <c r="CO681" s="710">
        <v>8.33</v>
      </c>
      <c r="CP681" s="710">
        <v>8.4291666666666654</v>
      </c>
      <c r="CQ681" s="710">
        <v>8.5283333333333324</v>
      </c>
      <c r="CR681" s="710">
        <v>8.6274999999999977</v>
      </c>
      <c r="CS681" s="710">
        <v>8.7266666666666666</v>
      </c>
      <c r="CT681" s="710">
        <v>8.8258333333333319</v>
      </c>
      <c r="CU681" s="710">
        <v>8.9249999999999989</v>
      </c>
      <c r="CV681" s="710">
        <v>9.024166666666666</v>
      </c>
      <c r="CW681" s="710">
        <v>9.1233333333333313</v>
      </c>
      <c r="CX681" s="710">
        <v>9.2224999999999984</v>
      </c>
      <c r="CY681" s="710">
        <v>9.3216666666666637</v>
      </c>
      <c r="CZ681" s="710">
        <v>9.420833333333329</v>
      </c>
      <c r="DA681" s="710">
        <v>9.5200000000000014</v>
      </c>
      <c r="DC681" s="12">
        <f t="shared" si="698"/>
        <v>0</v>
      </c>
      <c r="DD681" s="12">
        <f t="shared" si="701"/>
        <v>0</v>
      </c>
      <c r="DE681" s="12">
        <f t="shared" si="702"/>
        <v>7.7350000000000003</v>
      </c>
      <c r="DF681" s="12">
        <f t="shared" si="699"/>
        <v>28.094347826086949</v>
      </c>
      <c r="DG681" s="12">
        <f t="shared" si="703"/>
        <v>64.854999999999976</v>
      </c>
      <c r="DH681" s="12">
        <f t="shared" si="704"/>
        <v>86.870000000000033</v>
      </c>
      <c r="DI681" s="12">
        <f t="shared" si="696"/>
        <v>107.69499999999996</v>
      </c>
    </row>
    <row r="682" spans="2:113" outlineLevel="2">
      <c r="F682" s="126" t="s">
        <v>799</v>
      </c>
      <c r="I682" s="609" t="s">
        <v>736</v>
      </c>
      <c r="AH682" s="880"/>
      <c r="AI682" s="880"/>
      <c r="AJ682" s="880"/>
      <c r="AK682" s="880"/>
      <c r="AL682" s="880"/>
      <c r="AM682" s="880"/>
      <c r="AN682" s="880"/>
      <c r="AO682" s="880"/>
      <c r="AP682" s="880"/>
      <c r="AQ682" s="880"/>
      <c r="AR682" s="880"/>
      <c r="AS682" s="880"/>
      <c r="AT682" s="880">
        <v>0.16666666666666666</v>
      </c>
      <c r="AU682" s="880">
        <v>0.33333333333333331</v>
      </c>
      <c r="AV682" s="880">
        <v>0.5</v>
      </c>
      <c r="AW682" s="880">
        <v>0.66666666666666663</v>
      </c>
      <c r="AX682" s="880">
        <v>0.83333333333333326</v>
      </c>
      <c r="AY682" s="880">
        <v>0.99999999999999989</v>
      </c>
      <c r="AZ682" s="880">
        <v>1.1666666666666667</v>
      </c>
      <c r="BA682" s="880">
        <v>1.3333333333333333</v>
      </c>
      <c r="BB682" s="880">
        <v>1.5</v>
      </c>
      <c r="BC682" s="880">
        <v>1.666666666666667</v>
      </c>
      <c r="BD682" s="880">
        <v>1.8333333333333337</v>
      </c>
      <c r="BE682" s="880">
        <v>2</v>
      </c>
      <c r="BF682" s="880">
        <v>2.2608695652173911</v>
      </c>
      <c r="BG682" s="880">
        <v>2.5217391304347827</v>
      </c>
      <c r="BH682" s="880">
        <v>2.7826086956521734</v>
      </c>
      <c r="BI682" s="880">
        <v>3.0434782608695645</v>
      </c>
      <c r="BJ682" s="880">
        <v>3.3043478260869557</v>
      </c>
      <c r="BK682" s="880">
        <v>3.5652173913043463</v>
      </c>
      <c r="BL682" s="880">
        <v>3.8260869565217379</v>
      </c>
      <c r="BM682" s="880">
        <v>4.086956521739129</v>
      </c>
      <c r="BN682" s="880">
        <v>4.3478260869565215</v>
      </c>
      <c r="BO682" s="880">
        <v>4.6086956521739122</v>
      </c>
      <c r="BP682" s="880">
        <v>4.8695652173913047</v>
      </c>
      <c r="BQ682" s="880">
        <v>8</v>
      </c>
      <c r="BR682" s="880">
        <v>8.1666666666666661</v>
      </c>
      <c r="BS682" s="880">
        <v>8.3333333333333339</v>
      </c>
      <c r="BT682" s="880">
        <v>8.4999999999999982</v>
      </c>
      <c r="BU682" s="880">
        <v>8.6666666666666643</v>
      </c>
      <c r="BV682" s="880">
        <v>8.8333333333333304</v>
      </c>
      <c r="BW682" s="880">
        <v>8.9999999999999982</v>
      </c>
      <c r="BX682" s="880">
        <v>9.1666666666666625</v>
      </c>
      <c r="BY682" s="880">
        <v>9.3333333333333286</v>
      </c>
      <c r="BZ682" s="880">
        <v>9.4999999999999947</v>
      </c>
      <c r="CA682" s="880">
        <v>9.6666666666666625</v>
      </c>
      <c r="CB682" s="880">
        <v>9.8333333333333286</v>
      </c>
      <c r="CC682" s="880">
        <v>10</v>
      </c>
      <c r="CD682" s="880">
        <v>10.333333333333336</v>
      </c>
      <c r="CE682" s="880">
        <v>10.666666666666668</v>
      </c>
      <c r="CF682" s="880">
        <v>11.000000000000002</v>
      </c>
      <c r="CG682" s="880">
        <v>11.333333333333336</v>
      </c>
      <c r="CH682" s="880">
        <v>11.666666666666671</v>
      </c>
      <c r="CI682" s="880">
        <v>12.000000000000004</v>
      </c>
      <c r="CJ682" s="880">
        <v>12.333333333333337</v>
      </c>
      <c r="CK682" s="880">
        <v>12.666666666666671</v>
      </c>
      <c r="CL682" s="880">
        <v>13.000000000000007</v>
      </c>
      <c r="CM682" s="880">
        <v>13.333333333333341</v>
      </c>
      <c r="CN682" s="880">
        <v>13.666666666666675</v>
      </c>
      <c r="CO682" s="880">
        <v>14</v>
      </c>
      <c r="CP682" s="880">
        <v>14.166666666666666</v>
      </c>
      <c r="CQ682" s="880">
        <v>14.333333333333332</v>
      </c>
      <c r="CR682" s="880">
        <v>14.499999999999998</v>
      </c>
      <c r="CS682" s="880">
        <v>14.666666666666666</v>
      </c>
      <c r="CT682" s="880">
        <v>14.833333333333332</v>
      </c>
      <c r="CU682" s="880">
        <v>14.999999999999998</v>
      </c>
      <c r="CV682" s="880">
        <v>15.166666666666664</v>
      </c>
      <c r="CW682" s="880">
        <v>15.333333333333329</v>
      </c>
      <c r="CX682" s="880">
        <v>15.499999999999995</v>
      </c>
      <c r="CY682" s="880">
        <v>15.666666666666661</v>
      </c>
      <c r="CZ682" s="880">
        <v>15.833333333333327</v>
      </c>
      <c r="DA682" s="880">
        <v>16</v>
      </c>
      <c r="DC682" s="12">
        <f t="shared" si="698"/>
        <v>0</v>
      </c>
      <c r="DD682" s="12">
        <f t="shared" si="701"/>
        <v>0</v>
      </c>
      <c r="DE682" s="12">
        <f t="shared" si="702"/>
        <v>13.000000000000002</v>
      </c>
      <c r="DF682" s="12">
        <f t="shared" si="699"/>
        <v>47.217391304347821</v>
      </c>
      <c r="DG682" s="12">
        <f t="shared" si="703"/>
        <v>108.99999999999997</v>
      </c>
      <c r="DH682" s="12">
        <f t="shared" si="704"/>
        <v>146.00000000000006</v>
      </c>
      <c r="DI682" s="12">
        <f t="shared" si="696"/>
        <v>180.99999999999994</v>
      </c>
    </row>
    <row r="683" spans="2:113" hidden="1" outlineLevel="2">
      <c r="F683" s="126" t="s">
        <v>800</v>
      </c>
      <c r="I683" s="609" t="s">
        <v>736</v>
      </c>
      <c r="AH683" s="880"/>
      <c r="AI683" s="880"/>
      <c r="AJ683" s="880"/>
      <c r="AK683" s="880"/>
      <c r="AL683" s="880"/>
      <c r="AM683" s="880"/>
      <c r="AN683" s="880"/>
      <c r="AO683" s="880"/>
      <c r="AP683" s="880"/>
      <c r="AQ683" s="880"/>
      <c r="AR683" s="880"/>
      <c r="AS683" s="880"/>
      <c r="AT683" s="880"/>
      <c r="AU683" s="880"/>
      <c r="AV683" s="880"/>
      <c r="AW683" s="880"/>
      <c r="AX683" s="880"/>
      <c r="AY683" s="880"/>
      <c r="AZ683" s="880"/>
      <c r="BA683" s="880"/>
      <c r="BB683" s="880"/>
      <c r="BC683" s="880"/>
      <c r="BD683" s="880"/>
      <c r="BE683" s="880"/>
      <c r="BF683" s="880"/>
      <c r="BG683" s="880"/>
      <c r="BH683" s="880"/>
      <c r="BI683" s="880"/>
      <c r="BJ683" s="880"/>
      <c r="BK683" s="880"/>
      <c r="BL683" s="880"/>
      <c r="BM683" s="880"/>
      <c r="BN683" s="880"/>
      <c r="BO683" s="880"/>
      <c r="BP683" s="880"/>
      <c r="BQ683" s="880"/>
      <c r="BR683" s="880"/>
      <c r="BS683" s="880"/>
      <c r="BT683" s="880"/>
      <c r="BU683" s="880"/>
      <c r="BV683" s="880"/>
      <c r="BW683" s="880"/>
      <c r="BX683" s="880"/>
      <c r="BY683" s="880"/>
      <c r="BZ683" s="880"/>
      <c r="CA683" s="880"/>
      <c r="CB683" s="880"/>
      <c r="CC683" s="880"/>
      <c r="CD683" s="880"/>
      <c r="CE683" s="880"/>
      <c r="CF683" s="880"/>
      <c r="CG683" s="880"/>
      <c r="CH683" s="880"/>
      <c r="CI683" s="880"/>
      <c r="CJ683" s="880"/>
      <c r="CK683" s="880"/>
      <c r="CL683" s="880"/>
      <c r="CM683" s="880"/>
      <c r="CN683" s="880"/>
      <c r="CO683" s="880"/>
      <c r="CP683" s="880"/>
      <c r="CQ683" s="880"/>
      <c r="CR683" s="880"/>
      <c r="CS683" s="880"/>
      <c r="CT683" s="880"/>
      <c r="CU683" s="880"/>
      <c r="CV683" s="880"/>
      <c r="CW683" s="880"/>
      <c r="CX683" s="880"/>
      <c r="CY683" s="880"/>
      <c r="CZ683" s="880"/>
      <c r="DA683" s="880"/>
      <c r="DC683" s="14">
        <f t="shared" si="698"/>
        <v>0</v>
      </c>
      <c r="DD683" s="14">
        <f t="shared" si="701"/>
        <v>0</v>
      </c>
      <c r="DE683" s="14">
        <f t="shared" si="702"/>
        <v>0</v>
      </c>
      <c r="DF683" s="14">
        <f t="shared" si="699"/>
        <v>0</v>
      </c>
      <c r="DG683" s="14">
        <f t="shared" si="703"/>
        <v>0</v>
      </c>
      <c r="DH683" s="14">
        <f t="shared" si="704"/>
        <v>0</v>
      </c>
      <c r="DI683" s="14">
        <f t="shared" si="696"/>
        <v>0</v>
      </c>
    </row>
    <row r="684" spans="2:113" hidden="1" outlineLevel="2">
      <c r="F684" s="126" t="s">
        <v>223</v>
      </c>
      <c r="I684" s="609" t="s">
        <v>736</v>
      </c>
      <c r="AH684" s="880"/>
      <c r="AI684" s="880"/>
      <c r="AJ684" s="880"/>
      <c r="AK684" s="880"/>
      <c r="AL684" s="880"/>
      <c r="AM684" s="880"/>
      <c r="AN684" s="880"/>
      <c r="AO684" s="880"/>
      <c r="AP684" s="880"/>
      <c r="AQ684" s="880"/>
      <c r="AR684" s="880"/>
      <c r="AS684" s="880"/>
      <c r="AT684" s="880"/>
      <c r="AU684" s="880"/>
      <c r="AV684" s="880"/>
      <c r="AW684" s="880"/>
      <c r="AX684" s="880"/>
      <c r="AY684" s="880"/>
      <c r="AZ684" s="880"/>
      <c r="BA684" s="880"/>
      <c r="BB684" s="880"/>
      <c r="BC684" s="880"/>
      <c r="BD684" s="880"/>
      <c r="BE684" s="880"/>
      <c r="BF684" s="880"/>
      <c r="BG684" s="880"/>
      <c r="BH684" s="880"/>
      <c r="BI684" s="880"/>
      <c r="BJ684" s="880"/>
      <c r="BK684" s="880"/>
      <c r="BL684" s="880"/>
      <c r="BM684" s="880"/>
      <c r="BN684" s="880"/>
      <c r="BO684" s="880"/>
      <c r="BP684" s="880"/>
      <c r="BQ684" s="880"/>
      <c r="BR684" s="880"/>
      <c r="BS684" s="880"/>
      <c r="BT684" s="880"/>
      <c r="BU684" s="880"/>
      <c r="BV684" s="880"/>
      <c r="BW684" s="880"/>
      <c r="BX684" s="880"/>
      <c r="BY684" s="880"/>
      <c r="BZ684" s="880"/>
      <c r="CA684" s="880"/>
      <c r="CB684" s="880"/>
      <c r="CC684" s="880"/>
      <c r="CD684" s="880"/>
      <c r="CE684" s="880"/>
      <c r="CF684" s="880"/>
      <c r="CG684" s="880"/>
      <c r="CH684" s="880"/>
      <c r="CI684" s="880"/>
      <c r="CJ684" s="880"/>
      <c r="CK684" s="880"/>
      <c r="CL684" s="880"/>
      <c r="CM684" s="880"/>
      <c r="CN684" s="880"/>
      <c r="CO684" s="880"/>
      <c r="CP684" s="880"/>
      <c r="CQ684" s="880"/>
      <c r="CR684" s="880"/>
      <c r="CS684" s="880"/>
      <c r="CT684" s="880"/>
      <c r="CU684" s="880"/>
      <c r="CV684" s="880"/>
      <c r="CW684" s="880"/>
      <c r="CX684" s="880"/>
      <c r="CY684" s="880"/>
      <c r="CZ684" s="880"/>
      <c r="DA684" s="880"/>
      <c r="DC684" s="12">
        <f t="shared" si="698"/>
        <v>0</v>
      </c>
      <c r="DD684" s="12">
        <f t="shared" ref="DD684:DD701" si="709">SUM(AH684:AS684)</f>
        <v>0</v>
      </c>
      <c r="DE684" s="12">
        <f t="shared" ref="DE684:DE701" si="710">SUM(AT684:BE684)</f>
        <v>0</v>
      </c>
      <c r="DF684" s="12">
        <f t="shared" si="699"/>
        <v>0</v>
      </c>
      <c r="DG684" s="12">
        <f t="shared" ref="DG684:DG701" si="711">SUM(BR684:CC684)</f>
        <v>0</v>
      </c>
      <c r="DH684" s="12">
        <f t="shared" ref="DH684:DH701" si="712">SUM(CD684:CO684)</f>
        <v>0</v>
      </c>
      <c r="DI684" s="12">
        <f t="shared" si="696"/>
        <v>0</v>
      </c>
    </row>
    <row r="685" spans="2:113" hidden="1" outlineLevel="2">
      <c r="F685" s="126" t="s">
        <v>221</v>
      </c>
      <c r="I685" s="609" t="s">
        <v>736</v>
      </c>
      <c r="AH685" s="880"/>
      <c r="AI685" s="880"/>
      <c r="AJ685" s="880"/>
      <c r="AK685" s="880"/>
      <c r="AL685" s="880"/>
      <c r="AM685" s="880"/>
      <c r="AN685" s="880"/>
      <c r="AO685" s="880"/>
      <c r="AP685" s="880"/>
      <c r="AQ685" s="880"/>
      <c r="AR685" s="880"/>
      <c r="AS685" s="880"/>
      <c r="AT685" s="880"/>
      <c r="AU685" s="880"/>
      <c r="AV685" s="880"/>
      <c r="AW685" s="880"/>
      <c r="AX685" s="880"/>
      <c r="AY685" s="880"/>
      <c r="AZ685" s="880"/>
      <c r="BA685" s="880"/>
      <c r="BB685" s="880"/>
      <c r="BC685" s="880"/>
      <c r="BD685" s="880"/>
      <c r="BE685" s="880"/>
      <c r="BF685" s="880"/>
      <c r="BG685" s="880"/>
      <c r="BH685" s="880"/>
      <c r="BI685" s="880"/>
      <c r="BJ685" s="880"/>
      <c r="BK685" s="880"/>
      <c r="BL685" s="880"/>
      <c r="BM685" s="880"/>
      <c r="BN685" s="880"/>
      <c r="BO685" s="880"/>
      <c r="BP685" s="880"/>
      <c r="BQ685" s="880"/>
      <c r="BR685" s="880"/>
      <c r="BS685" s="880"/>
      <c r="BT685" s="880"/>
      <c r="BU685" s="880"/>
      <c r="BV685" s="880"/>
      <c r="BW685" s="880"/>
      <c r="BX685" s="880"/>
      <c r="BY685" s="880"/>
      <c r="BZ685" s="880"/>
      <c r="CA685" s="880"/>
      <c r="CB685" s="880"/>
      <c r="CC685" s="880"/>
      <c r="CD685" s="880"/>
      <c r="CE685" s="880"/>
      <c r="CF685" s="880"/>
      <c r="CG685" s="880"/>
      <c r="CH685" s="880"/>
      <c r="CI685" s="880"/>
      <c r="CJ685" s="880"/>
      <c r="CK685" s="880"/>
      <c r="CL685" s="880"/>
      <c r="CM685" s="880"/>
      <c r="CN685" s="880"/>
      <c r="CO685" s="880"/>
      <c r="CP685" s="880"/>
      <c r="CQ685" s="880"/>
      <c r="CR685" s="880"/>
      <c r="CS685" s="880"/>
      <c r="CT685" s="880"/>
      <c r="CU685" s="880"/>
      <c r="CV685" s="880"/>
      <c r="CW685" s="880"/>
      <c r="CX685" s="880"/>
      <c r="CY685" s="880"/>
      <c r="CZ685" s="880"/>
      <c r="DA685" s="880"/>
      <c r="DC685" s="12">
        <f t="shared" si="698"/>
        <v>0</v>
      </c>
      <c r="DD685" s="12">
        <f t="shared" si="709"/>
        <v>0</v>
      </c>
      <c r="DE685" s="12">
        <f t="shared" si="710"/>
        <v>0</v>
      </c>
      <c r="DF685" s="12">
        <f t="shared" si="699"/>
        <v>0</v>
      </c>
      <c r="DG685" s="12">
        <f t="shared" si="711"/>
        <v>0</v>
      </c>
      <c r="DH685" s="12">
        <f t="shared" si="712"/>
        <v>0</v>
      </c>
      <c r="DI685" s="12">
        <f t="shared" si="696"/>
        <v>0</v>
      </c>
    </row>
    <row r="686" spans="2:113" outlineLevel="2">
      <c r="F686" s="126" t="s">
        <v>801</v>
      </c>
      <c r="I686" s="609" t="s">
        <v>736</v>
      </c>
      <c r="AH686" s="880"/>
      <c r="AI686" s="880"/>
      <c r="AJ686" s="880"/>
      <c r="AK686" s="880"/>
      <c r="AL686" s="880"/>
      <c r="AM686" s="880"/>
      <c r="AN686" s="880"/>
      <c r="AO686" s="880"/>
      <c r="AP686" s="880"/>
      <c r="AQ686" s="880"/>
      <c r="AR686" s="880"/>
      <c r="AS686" s="880"/>
      <c r="AT686" s="880">
        <v>0</v>
      </c>
      <c r="AU686" s="880">
        <v>0</v>
      </c>
      <c r="AV686" s="880">
        <v>0</v>
      </c>
      <c r="AW686" s="880">
        <v>0</v>
      </c>
      <c r="AX686" s="880">
        <v>0</v>
      </c>
      <c r="AY686" s="880">
        <v>0</v>
      </c>
      <c r="AZ686" s="880">
        <v>0</v>
      </c>
      <c r="BA686" s="880">
        <v>0</v>
      </c>
      <c r="BB686" s="880">
        <v>0</v>
      </c>
      <c r="BC686" s="880">
        <v>3.6516576432603365E-5</v>
      </c>
      <c r="BD686" s="880">
        <v>1.0656754222246323E-4</v>
      </c>
      <c r="BE686" s="880">
        <v>2.026256389373593E-4</v>
      </c>
      <c r="BF686" s="880">
        <v>2.9814061199029407E-4</v>
      </c>
      <c r="BG686" s="880">
        <v>4.0887221948726626E-4</v>
      </c>
      <c r="BH686" s="880">
        <v>5.2290442474189902E-4</v>
      </c>
      <c r="BI686" s="880">
        <v>6.4507343062158995E-4</v>
      </c>
      <c r="BJ686" s="880">
        <v>7.7803845224710955E-4</v>
      </c>
      <c r="BK686" s="880">
        <v>9.3839448621579891E-4</v>
      </c>
      <c r="BL686" s="880">
        <v>1.1228650297772091E-3</v>
      </c>
      <c r="BM686" s="880">
        <v>1.318990299678191E-3</v>
      </c>
      <c r="BN686" s="880">
        <v>1.5251117422208083E-3</v>
      </c>
      <c r="BO686" s="880">
        <v>1.7545264274492212E-3</v>
      </c>
      <c r="BP686" s="880">
        <v>2.0049623479856393E-3</v>
      </c>
      <c r="BQ686" s="880">
        <v>2.2743688405917339E-3</v>
      </c>
      <c r="BR686" s="880">
        <v>2.5608407656694254E-3</v>
      </c>
      <c r="BS686" s="880">
        <v>2.8625186025728055E-3</v>
      </c>
      <c r="BT686" s="880">
        <v>3.1775881691409325E-3</v>
      </c>
      <c r="BU686" s="880">
        <v>3.5042728415923818E-3</v>
      </c>
      <c r="BV686" s="880">
        <v>3.8408232494244743E-3</v>
      </c>
      <c r="BW686" s="880">
        <v>4.1855150908745031E-3</v>
      </c>
      <c r="BX686" s="880">
        <v>4.5366490781475477E-3</v>
      </c>
      <c r="BY686" s="880">
        <v>4.8925506636550153E-3</v>
      </c>
      <c r="BZ686" s="880">
        <v>5.6882428381470618E-3</v>
      </c>
      <c r="CA686" s="880">
        <v>6.435429538463211E-3</v>
      </c>
      <c r="CB686" s="880">
        <v>7.1414024304772283E-3</v>
      </c>
      <c r="CC686" s="880">
        <v>7.8109488047282127E-3</v>
      </c>
      <c r="CD686" s="880">
        <v>8.4454989104614242E-3</v>
      </c>
      <c r="CE686" s="880">
        <v>9.0461997077824208E-3</v>
      </c>
      <c r="CF686" s="880">
        <v>9.6138875997766604E-3</v>
      </c>
      <c r="CG686" s="880">
        <v>1.0149081830221007E-2</v>
      </c>
      <c r="CH686" s="880">
        <v>1.0652240737940133E-2</v>
      </c>
      <c r="CI686" s="880">
        <v>1.1123826860107044E-2</v>
      </c>
      <c r="CJ686" s="880">
        <v>1.1564299250693466E-2</v>
      </c>
      <c r="CK686" s="880">
        <v>1.1974111351250372E-2</v>
      </c>
      <c r="CL686" s="880">
        <v>1.2353710346260982E-2</v>
      </c>
      <c r="CM686" s="880">
        <v>1.2728899261894355E-2</v>
      </c>
      <c r="CN686" s="880">
        <v>1.309863839232861E-2</v>
      </c>
      <c r="CO686" s="880">
        <v>1.3462244995182004E-2</v>
      </c>
      <c r="CP686" s="880">
        <v>1.3819269866900186E-2</v>
      </c>
      <c r="CQ686" s="880">
        <v>1.4169316489329731E-2</v>
      </c>
      <c r="CR686" s="880">
        <v>1.4512027887789714E-2</v>
      </c>
      <c r="CS686" s="880">
        <v>1.4847071036143689E-2</v>
      </c>
      <c r="CT686" s="880">
        <v>1.5174119905438488E-2</v>
      </c>
      <c r="CU686" s="880">
        <v>1.5492852387609446E-2</v>
      </c>
      <c r="CV686" s="880">
        <v>1.5802950820116735E-2</v>
      </c>
      <c r="CW686" s="880">
        <v>1.6104102095525263E-2</v>
      </c>
      <c r="CX686" s="880">
        <v>1.6395997653177119E-2</v>
      </c>
      <c r="CY686" s="880">
        <v>1.7520803808395158E-2</v>
      </c>
      <c r="CZ686" s="880">
        <v>1.8543562174528461E-2</v>
      </c>
      <c r="DA686" s="880">
        <v>1.9477177377041244E-2</v>
      </c>
      <c r="DC686" s="12">
        <f t="shared" si="698"/>
        <v>0</v>
      </c>
      <c r="DD686" s="12">
        <f t="shared" si="709"/>
        <v>0</v>
      </c>
      <c r="DE686" s="12">
        <f t="shared" si="710"/>
        <v>3.4570975759242589E-4</v>
      </c>
      <c r="DF686" s="12">
        <f t="shared" si="699"/>
        <v>1.3592248313006761E-2</v>
      </c>
      <c r="DG686" s="12">
        <f t="shared" si="711"/>
        <v>5.66367820728928E-2</v>
      </c>
      <c r="DH686" s="12">
        <f t="shared" si="712"/>
        <v>0.13421263924389848</v>
      </c>
      <c r="DI686" s="12">
        <f t="shared" si="696"/>
        <v>0.19185925150199523</v>
      </c>
    </row>
    <row r="687" spans="2:113" hidden="1" outlineLevel="2">
      <c r="F687" s="126" t="s">
        <v>802</v>
      </c>
      <c r="I687" s="609" t="s">
        <v>736</v>
      </c>
      <c r="AH687" s="880"/>
      <c r="AI687" s="880"/>
      <c r="AJ687" s="880"/>
      <c r="AK687" s="880"/>
      <c r="AL687" s="880"/>
      <c r="AM687" s="880"/>
      <c r="AN687" s="880"/>
      <c r="AO687" s="880"/>
      <c r="AP687" s="880"/>
      <c r="AQ687" s="880"/>
      <c r="AR687" s="880"/>
      <c r="AS687" s="880"/>
      <c r="AT687" s="880"/>
      <c r="AU687" s="880"/>
      <c r="AV687" s="880"/>
      <c r="AW687" s="880"/>
      <c r="AX687" s="880"/>
      <c r="AY687" s="880"/>
      <c r="AZ687" s="880"/>
      <c r="BA687" s="880"/>
      <c r="BB687" s="880"/>
      <c r="BC687" s="880"/>
      <c r="BD687" s="880"/>
      <c r="BE687" s="880"/>
      <c r="BF687" s="880"/>
      <c r="BG687" s="880"/>
      <c r="BH687" s="880"/>
      <c r="BI687" s="880"/>
      <c r="BJ687" s="880"/>
      <c r="BK687" s="880"/>
      <c r="BL687" s="880"/>
      <c r="BM687" s="880"/>
      <c r="BN687" s="880"/>
      <c r="BO687" s="880"/>
      <c r="BP687" s="880"/>
      <c r="BQ687" s="880"/>
      <c r="BR687" s="880"/>
      <c r="BS687" s="880"/>
      <c r="BT687" s="880"/>
      <c r="BU687" s="880"/>
      <c r="BV687" s="880"/>
      <c r="BW687" s="880"/>
      <c r="BX687" s="880"/>
      <c r="BY687" s="880"/>
      <c r="BZ687" s="880"/>
      <c r="CA687" s="880"/>
      <c r="CB687" s="880"/>
      <c r="CC687" s="880"/>
      <c r="CD687" s="880"/>
      <c r="CE687" s="880"/>
      <c r="CF687" s="880"/>
      <c r="CG687" s="880"/>
      <c r="CH687" s="880"/>
      <c r="CI687" s="880"/>
      <c r="CJ687" s="880"/>
      <c r="CK687" s="880"/>
      <c r="CL687" s="880"/>
      <c r="CM687" s="880"/>
      <c r="CN687" s="880"/>
      <c r="CO687" s="880"/>
      <c r="CP687" s="880"/>
      <c r="CQ687" s="880"/>
      <c r="CR687" s="880"/>
      <c r="CS687" s="880"/>
      <c r="CT687" s="880"/>
      <c r="CU687" s="880"/>
      <c r="CV687" s="880"/>
      <c r="CW687" s="880"/>
      <c r="CX687" s="880"/>
      <c r="CY687" s="880"/>
      <c r="CZ687" s="880"/>
      <c r="DA687" s="880"/>
      <c r="DC687" s="12">
        <f t="shared" si="698"/>
        <v>0</v>
      </c>
      <c r="DD687" s="12">
        <f t="shared" si="709"/>
        <v>0</v>
      </c>
      <c r="DE687" s="12">
        <f t="shared" si="710"/>
        <v>0</v>
      </c>
      <c r="DF687" s="12">
        <f t="shared" si="699"/>
        <v>0</v>
      </c>
      <c r="DG687" s="12">
        <f t="shared" si="711"/>
        <v>0</v>
      </c>
      <c r="DH687" s="12">
        <f t="shared" si="712"/>
        <v>0</v>
      </c>
      <c r="DI687" s="12">
        <f t="shared" si="696"/>
        <v>0</v>
      </c>
    </row>
    <row r="688" spans="2:113" outlineLevel="2">
      <c r="E688" s="720" t="s">
        <v>621</v>
      </c>
      <c r="I688" s="609" t="s">
        <v>736</v>
      </c>
      <c r="AH688" s="873"/>
      <c r="AI688" s="873"/>
      <c r="AJ688" s="873"/>
      <c r="AK688" s="873"/>
      <c r="AL688" s="873"/>
      <c r="AM688" s="880"/>
      <c r="AN688" s="880"/>
      <c r="AO688" s="880"/>
      <c r="AP688" s="880"/>
      <c r="AQ688" s="880"/>
      <c r="AR688" s="880"/>
      <c r="AS688" s="880"/>
      <c r="AT688" s="972">
        <v>-1.4999999999999998E-2</v>
      </c>
      <c r="AU688" s="972">
        <v>-3.3375000000000002E-2</v>
      </c>
      <c r="AV688" s="972">
        <v>-5.4118333333333324E-2</v>
      </c>
      <c r="AW688" s="972">
        <v>-7.6501133333333318E-2</v>
      </c>
      <c r="AX688" s="972">
        <v>-0.10746537666666661</v>
      </c>
      <c r="AY688" s="972">
        <v>-0.14487034901333345</v>
      </c>
      <c r="AZ688" s="972">
        <v>-0.18517586627413318</v>
      </c>
      <c r="BA688" s="972">
        <v>-0.23682556445063468</v>
      </c>
      <c r="BB688" s="972">
        <v>-0.32535606567709935</v>
      </c>
      <c r="BC688" s="972">
        <v>-0.44242081198755429</v>
      </c>
      <c r="BD688" s="972">
        <v>-0.57733205653135233</v>
      </c>
      <c r="BE688" s="972">
        <v>-0.72122099194555911</v>
      </c>
      <c r="BF688" s="972">
        <v>-0.8885526811899781</v>
      </c>
      <c r="BG688" s="972">
        <v>-1.0666931037373966</v>
      </c>
      <c r="BH688" s="972">
        <v>-1.255887280152475</v>
      </c>
      <c r="BI688" s="972">
        <v>-1.4629930346002578</v>
      </c>
      <c r="BJ688" s="972">
        <v>-1.6994123264780789</v>
      </c>
      <c r="BK688" s="972">
        <v>-1.957867746423577</v>
      </c>
      <c r="BL688" s="972">
        <v>-2.2297118810833507</v>
      </c>
      <c r="BM688" s="972">
        <v>-2.5182897391218675</v>
      </c>
      <c r="BN688" s="972">
        <v>-2.8302319368254776</v>
      </c>
      <c r="BO688" s="972">
        <v>-3.1630271165346593</v>
      </c>
      <c r="BP688" s="972">
        <v>-3.5143551308555914</v>
      </c>
      <c r="BQ688" s="972">
        <v>-4.1402652744276693</v>
      </c>
      <c r="BR688" s="972">
        <v>-4.5717037714438389</v>
      </c>
      <c r="BS688" s="972">
        <v>-4.987617045797383</v>
      </c>
      <c r="BT688" s="972">
        <v>-5.3958933768640405</v>
      </c>
      <c r="BU688" s="972">
        <v>-5.8989270198724739</v>
      </c>
      <c r="BV688" s="972">
        <v>-6.3870709251087785</v>
      </c>
      <c r="BW688" s="972">
        <v>-6.8654375687110667</v>
      </c>
      <c r="BX688" s="972">
        <v>-7.4961349433431419</v>
      </c>
      <c r="BY688" s="972">
        <v>-8.361998877305469</v>
      </c>
      <c r="BZ688" s="972">
        <v>-9.1763505871352944</v>
      </c>
      <c r="CA688" s="972">
        <v>-9.9453876752779582</v>
      </c>
      <c r="CB688" s="972">
        <v>-10.672567276517997</v>
      </c>
      <c r="CC688" s="972">
        <v>-11.359252878506856</v>
      </c>
      <c r="CD688" s="972">
        <v>-12.021534311491536</v>
      </c>
      <c r="CE688" s="972">
        <v>-12.648931270441693</v>
      </c>
      <c r="CF688" s="972">
        <v>-13.240591270091045</v>
      </c>
      <c r="CG688" s="972">
        <v>-13.796112697324508</v>
      </c>
      <c r="CH688" s="972">
        <v>-14.321099060151436</v>
      </c>
      <c r="CI688" s="972">
        <v>-14.815177515753065</v>
      </c>
      <c r="CJ688" s="972">
        <v>-15.27831031900282</v>
      </c>
      <c r="CK688" s="972">
        <v>-15.719932594127817</v>
      </c>
      <c r="CL688" s="972">
        <v>-16.154882147860405</v>
      </c>
      <c r="CM688" s="972">
        <v>-16.582216300679043</v>
      </c>
      <c r="CN688" s="972">
        <v>-17.001291273823643</v>
      </c>
      <c r="CO688" s="972">
        <v>-17.411621366057648</v>
      </c>
      <c r="CP688" s="972">
        <v>-18.311027838744394</v>
      </c>
      <c r="CQ688" s="972">
        <v>-18.800859608314749</v>
      </c>
      <c r="CR688" s="972">
        <v>-19.225958109411611</v>
      </c>
      <c r="CS688" s="972">
        <v>-19.604343167079399</v>
      </c>
      <c r="CT688" s="972">
        <v>-20.136590602783915</v>
      </c>
      <c r="CU688" s="972">
        <v>-20.61527723128663</v>
      </c>
      <c r="CV688" s="972">
        <v>-21.052583079568034</v>
      </c>
      <c r="CW688" s="972">
        <v>-21.763700708535747</v>
      </c>
      <c r="CX688" s="972">
        <v>-22.912496956226459</v>
      </c>
      <c r="CY688" s="972">
        <v>-23.9494796841519</v>
      </c>
      <c r="CZ688" s="972">
        <v>-24.885362620052977</v>
      </c>
      <c r="DA688" s="972">
        <v>-25.725711096238999</v>
      </c>
      <c r="DC688" s="12">
        <f>SUM(V688:AG688)</f>
        <v>0</v>
      </c>
      <c r="DD688" s="12">
        <f>SUM(AH688:AS688)</f>
        <v>0</v>
      </c>
      <c r="DE688" s="12">
        <f>SUM(AT688:BE688)</f>
        <v>-2.9196615492129996</v>
      </c>
      <c r="DF688" s="12">
        <f>SUM(BF688:BQ688)</f>
        <v>-26.727287251430379</v>
      </c>
      <c r="DG688" s="12">
        <f>SUM(BR688:CC688)</f>
        <v>-91.118341945884296</v>
      </c>
      <c r="DH688" s="12">
        <f>SUM(CD688:CO688)</f>
        <v>-178.99170012680469</v>
      </c>
      <c r="DI688" s="12">
        <f t="shared" si="696"/>
        <v>-256.98339070239479</v>
      </c>
    </row>
    <row r="689" spans="2:113" s="708" customFormat="1" outlineLevel="2">
      <c r="B689" s="126"/>
      <c r="E689" s="724" t="s">
        <v>701</v>
      </c>
      <c r="H689" s="963"/>
      <c r="I689" s="609" t="s">
        <v>736</v>
      </c>
      <c r="J689" s="963"/>
      <c r="K689" s="963"/>
      <c r="L689" s="963"/>
      <c r="M689" s="963"/>
      <c r="AT689" s="708">
        <f t="shared" ref="AT689:DA689" si="713">SUM(AT690:AT698)</f>
        <v>-0.85784166666666672</v>
      </c>
      <c r="AU689" s="708">
        <f t="shared" si="713"/>
        <v>-0.96373549393583735</v>
      </c>
      <c r="AV689" s="708">
        <f t="shared" si="713"/>
        <v>-1.0938933299305558</v>
      </c>
      <c r="AW689" s="708">
        <f t="shared" si="713"/>
        <v>-1.2384031144184784</v>
      </c>
      <c r="AX689" s="708">
        <f t="shared" si="713"/>
        <v>-1.3833810541851104</v>
      </c>
      <c r="AY689" s="708">
        <f t="shared" si="713"/>
        <v>-1.5299306005865685</v>
      </c>
      <c r="AZ689" s="708">
        <f t="shared" si="713"/>
        <v>-1.620638761233141</v>
      </c>
      <c r="BA689" s="708">
        <f t="shared" si="713"/>
        <v>-1.7839292757961969</v>
      </c>
      <c r="BB689" s="708">
        <f t="shared" si="713"/>
        <v>-1.9528779389848883</v>
      </c>
      <c r="BC689" s="708">
        <f t="shared" si="713"/>
        <v>-2.1311844750057798</v>
      </c>
      <c r="BD689" s="708">
        <f t="shared" si="713"/>
        <v>-2.3159563798355536</v>
      </c>
      <c r="BE689" s="708">
        <f t="shared" si="713"/>
        <v>-2.5048214249779992</v>
      </c>
      <c r="BF689" s="708">
        <f t="shared" si="713"/>
        <v>-3.0929251805228661</v>
      </c>
      <c r="BG689" s="708">
        <f t="shared" si="713"/>
        <v>-3.3456331715492356</v>
      </c>
      <c r="BH689" s="708">
        <f t="shared" si="713"/>
        <v>-3.6099421875800584</v>
      </c>
      <c r="BI689" s="708">
        <f t="shared" si="713"/>
        <v>-3.8847929237976002</v>
      </c>
      <c r="BJ689" s="708">
        <f t="shared" si="713"/>
        <v>-4.164194333171972</v>
      </c>
      <c r="BK689" s="708">
        <f t="shared" si="713"/>
        <v>-4.4480635793960648</v>
      </c>
      <c r="BL689" s="708">
        <f t="shared" si="713"/>
        <v>-4.7360078612609575</v>
      </c>
      <c r="BM689" s="708">
        <f t="shared" si="713"/>
        <v>-5.0274574736272317</v>
      </c>
      <c r="BN689" s="708">
        <f t="shared" si="713"/>
        <v>-5.3219479101452034</v>
      </c>
      <c r="BO689" s="708">
        <f t="shared" si="713"/>
        <v>-5.6189453379312315</v>
      </c>
      <c r="BP689" s="708">
        <f t="shared" si="713"/>
        <v>-5.9179135497783975</v>
      </c>
      <c r="BQ689" s="708">
        <f t="shared" si="713"/>
        <v>-7.9100470953455009</v>
      </c>
      <c r="BR689" s="708">
        <f t="shared" si="713"/>
        <v>-8.7473187176733838</v>
      </c>
      <c r="BS689" s="708">
        <f t="shared" si="713"/>
        <v>-9.2526879848374328</v>
      </c>
      <c r="BT689" s="708">
        <f t="shared" si="713"/>
        <v>-9.7308208236096601</v>
      </c>
      <c r="BU689" s="708">
        <f t="shared" si="713"/>
        <v>-10.031595688997136</v>
      </c>
      <c r="BV689" s="708">
        <f t="shared" si="713"/>
        <v>-10.33792596994509</v>
      </c>
      <c r="BW689" s="708">
        <f t="shared" si="713"/>
        <v>-10.64141494168142</v>
      </c>
      <c r="BX689" s="708">
        <f t="shared" si="713"/>
        <v>-10.934595177722338</v>
      </c>
      <c r="BY689" s="708">
        <f t="shared" si="713"/>
        <v>-11.220248489990578</v>
      </c>
      <c r="BZ689" s="708">
        <f t="shared" si="713"/>
        <v>-11.49608736262282</v>
      </c>
      <c r="CA689" s="708">
        <f t="shared" si="713"/>
        <v>-11.761929296011704</v>
      </c>
      <c r="CB689" s="708">
        <f t="shared" si="713"/>
        <v>-12.017969234523026</v>
      </c>
      <c r="CC689" s="708">
        <f t="shared" si="713"/>
        <v>-12.264384092903839</v>
      </c>
      <c r="CD689" s="708">
        <f t="shared" si="713"/>
        <v>-12.859888136062192</v>
      </c>
      <c r="CE689" s="708">
        <f t="shared" si="713"/>
        <v>-13.202562452065976</v>
      </c>
      <c r="CF689" s="708">
        <f t="shared" si="713"/>
        <v>-13.551621215950503</v>
      </c>
      <c r="CG689" s="708">
        <f t="shared" si="713"/>
        <v>-13.906501786819604</v>
      </c>
      <c r="CH689" s="708">
        <f t="shared" si="713"/>
        <v>-14.257873903217524</v>
      </c>
      <c r="CI689" s="708">
        <f t="shared" si="713"/>
        <v>-14.606485724765999</v>
      </c>
      <c r="CJ689" s="708">
        <f t="shared" si="713"/>
        <v>-14.952643780475993</v>
      </c>
      <c r="CK689" s="708">
        <f t="shared" si="713"/>
        <v>-15.296238682484978</v>
      </c>
      <c r="CL689" s="708">
        <f t="shared" si="713"/>
        <v>-15.637318108271741</v>
      </c>
      <c r="CM689" s="708">
        <f t="shared" si="713"/>
        <v>-15.975799301937897</v>
      </c>
      <c r="CN689" s="708">
        <f t="shared" si="713"/>
        <v>-16.311580951951203</v>
      </c>
      <c r="CO689" s="708">
        <f t="shared" si="713"/>
        <v>-16.644564573006662</v>
      </c>
      <c r="CP689" s="708">
        <f t="shared" si="713"/>
        <v>-17.351605929850273</v>
      </c>
      <c r="CQ689" s="708">
        <f t="shared" si="713"/>
        <v>-18.077910309925894</v>
      </c>
      <c r="CR689" s="708">
        <f t="shared" si="713"/>
        <v>-18.742618424043382</v>
      </c>
      <c r="CS689" s="708">
        <f t="shared" si="713"/>
        <v>-19.353629851665048</v>
      </c>
      <c r="CT689" s="708">
        <f t="shared" si="713"/>
        <v>-19.61994643358064</v>
      </c>
      <c r="CU689" s="708">
        <f t="shared" si="713"/>
        <v>-19.891579460348463</v>
      </c>
      <c r="CV689" s="708">
        <f t="shared" si="713"/>
        <v>-20.152431061343613</v>
      </c>
      <c r="CW689" s="708">
        <f t="shared" si="713"/>
        <v>-20.387979163788433</v>
      </c>
      <c r="CX689" s="708">
        <f t="shared" si="713"/>
        <v>-20.603433831381157</v>
      </c>
      <c r="CY689" s="708">
        <f t="shared" si="713"/>
        <v>-20.794199788312234</v>
      </c>
      <c r="CZ689" s="708">
        <f t="shared" si="713"/>
        <v>-20.959634447016203</v>
      </c>
      <c r="DA689" s="708">
        <f t="shared" si="713"/>
        <v>-21.099834426052798</v>
      </c>
      <c r="DC689" s="14">
        <f t="shared" si="698"/>
        <v>0</v>
      </c>
      <c r="DD689" s="14">
        <f t="shared" si="709"/>
        <v>0</v>
      </c>
      <c r="DE689" s="14">
        <f t="shared" si="710"/>
        <v>-19.376593515556777</v>
      </c>
      <c r="DF689" s="14">
        <f t="shared" si="699"/>
        <v>-57.077870604106323</v>
      </c>
      <c r="DG689" s="14">
        <f t="shared" si="711"/>
        <v>-128.43697778051842</v>
      </c>
      <c r="DH689" s="14">
        <f t="shared" si="712"/>
        <v>-177.20307861701031</v>
      </c>
      <c r="DI689" s="14">
        <f t="shared" si="696"/>
        <v>-237.03480312730815</v>
      </c>
    </row>
    <row r="690" spans="2:113" outlineLevel="2">
      <c r="F690" s="126" t="s">
        <v>100</v>
      </c>
      <c r="I690" s="609" t="s">
        <v>736</v>
      </c>
      <c r="AH690" s="710"/>
      <c r="AI690" s="710"/>
      <c r="AJ690" s="710"/>
      <c r="AK690" s="710"/>
      <c r="AL690" s="710"/>
      <c r="AM690" s="710"/>
      <c r="AN690" s="710"/>
      <c r="AO690" s="710"/>
      <c r="AP690" s="710"/>
      <c r="AQ690" s="710"/>
      <c r="AR690" s="710"/>
      <c r="AS690" s="710"/>
      <c r="AT690" s="710">
        <v>-8.3333333333333315E-3</v>
      </c>
      <c r="AU690" s="710">
        <v>-1.6666666666666663E-2</v>
      </c>
      <c r="AV690" s="710">
        <v>-2.5000000000000001E-2</v>
      </c>
      <c r="AW690" s="710">
        <v>-3.3333333333333326E-2</v>
      </c>
      <c r="AX690" s="710">
        <v>-4.1666666666666664E-2</v>
      </c>
      <c r="AY690" s="710">
        <v>-4.9999999999999996E-2</v>
      </c>
      <c r="AZ690" s="710">
        <v>-5.8333333333333327E-2</v>
      </c>
      <c r="BA690" s="710">
        <v>-6.6666666666666652E-2</v>
      </c>
      <c r="BB690" s="710">
        <v>-7.4999999999999997E-2</v>
      </c>
      <c r="BC690" s="710">
        <v>-8.3333333333333343E-2</v>
      </c>
      <c r="BD690" s="710">
        <v>-9.1666666666666674E-2</v>
      </c>
      <c r="BE690" s="710">
        <v>-0.1</v>
      </c>
      <c r="BF690" s="710">
        <v>-0.11304347826086956</v>
      </c>
      <c r="BG690" s="710">
        <v>-0.12608695652173912</v>
      </c>
      <c r="BH690" s="710">
        <v>-0.13913043478260867</v>
      </c>
      <c r="BI690" s="710">
        <v>-0.15217391304347822</v>
      </c>
      <c r="BJ690" s="710">
        <v>-0.16521739130434779</v>
      </c>
      <c r="BK690" s="710">
        <v>-0.17826086956521736</v>
      </c>
      <c r="BL690" s="710">
        <v>-0.19130434782608688</v>
      </c>
      <c r="BM690" s="710">
        <v>-0.20434782608695645</v>
      </c>
      <c r="BN690" s="710">
        <v>-0.21739130434782603</v>
      </c>
      <c r="BO690" s="710">
        <v>-0.2304347826086956</v>
      </c>
      <c r="BP690" s="710">
        <v>-0.2434782608695652</v>
      </c>
      <c r="BQ690" s="710">
        <v>-0.4</v>
      </c>
      <c r="BR690" s="710">
        <v>-0.40833333333333333</v>
      </c>
      <c r="BS690" s="710">
        <v>-0.41666666666666663</v>
      </c>
      <c r="BT690" s="710">
        <v>-0.42499999999999988</v>
      </c>
      <c r="BU690" s="710">
        <v>-0.43333333333333318</v>
      </c>
      <c r="BV690" s="710">
        <v>-0.44166666666666654</v>
      </c>
      <c r="BW690" s="710">
        <v>-0.44999999999999984</v>
      </c>
      <c r="BX690" s="710">
        <v>-0.45833333333333315</v>
      </c>
      <c r="BY690" s="710">
        <v>-0.4666666666666664</v>
      </c>
      <c r="BZ690" s="710">
        <v>-0.4749999999999997</v>
      </c>
      <c r="CA690" s="710">
        <v>-0.483333333333333</v>
      </c>
      <c r="CB690" s="710">
        <v>-0.49166666666666636</v>
      </c>
      <c r="CC690" s="710">
        <v>-0.5</v>
      </c>
      <c r="CD690" s="710">
        <v>-0.51666666666666672</v>
      </c>
      <c r="CE690" s="710">
        <v>-0.53333333333333333</v>
      </c>
      <c r="CF690" s="710">
        <v>-0.55000000000000016</v>
      </c>
      <c r="CG690" s="710">
        <v>-0.56666666666666676</v>
      </c>
      <c r="CH690" s="710">
        <v>-0.58333333333333348</v>
      </c>
      <c r="CI690" s="710">
        <v>-0.6000000000000002</v>
      </c>
      <c r="CJ690" s="710">
        <v>-0.61666666666666681</v>
      </c>
      <c r="CK690" s="710">
        <v>-0.63333333333333364</v>
      </c>
      <c r="CL690" s="710">
        <v>-0.65000000000000024</v>
      </c>
      <c r="CM690" s="710">
        <v>-0.66666666666666696</v>
      </c>
      <c r="CN690" s="710">
        <v>-0.68333333333333368</v>
      </c>
      <c r="CO690" s="710">
        <v>-0.7</v>
      </c>
      <c r="CP690" s="710">
        <v>-0.70833333333333326</v>
      </c>
      <c r="CQ690" s="710">
        <v>-0.71666666666666667</v>
      </c>
      <c r="CR690" s="710">
        <v>-0.72499999999999987</v>
      </c>
      <c r="CS690" s="710">
        <v>-0.73333333333333328</v>
      </c>
      <c r="CT690" s="710">
        <v>-0.74166666666666647</v>
      </c>
      <c r="CU690" s="710">
        <v>-0.74999999999999978</v>
      </c>
      <c r="CV690" s="710">
        <v>-0.75833333333333319</v>
      </c>
      <c r="CW690" s="710">
        <v>-0.76666666666666639</v>
      </c>
      <c r="CX690" s="710">
        <v>-0.7749999999999998</v>
      </c>
      <c r="CY690" s="710">
        <v>-0.78333333333333299</v>
      </c>
      <c r="CZ690" s="710">
        <v>-0.7916666666666663</v>
      </c>
      <c r="DA690" s="710">
        <v>-0.8</v>
      </c>
      <c r="DC690" s="12">
        <f>SUM(V690:AG690)</f>
        <v>0</v>
      </c>
      <c r="DD690" s="12">
        <f t="shared" si="709"/>
        <v>0</v>
      </c>
      <c r="DE690" s="12">
        <f t="shared" si="710"/>
        <v>-0.64999999999999991</v>
      </c>
      <c r="DF690" s="12">
        <f t="shared" ref="DF690:DF701" si="714">SUM(BF690:BQ690)</f>
        <v>-2.3608695652173908</v>
      </c>
      <c r="DG690" s="12">
        <f t="shared" si="711"/>
        <v>-5.4499999999999975</v>
      </c>
      <c r="DH690" s="12">
        <f t="shared" si="712"/>
        <v>-7.3000000000000016</v>
      </c>
      <c r="DI690" s="12">
        <f t="shared" si="696"/>
        <v>-9.0499999999999989</v>
      </c>
    </row>
    <row r="691" spans="2:113" outlineLevel="2">
      <c r="F691" s="126" t="s">
        <v>107</v>
      </c>
      <c r="I691" s="609" t="s">
        <v>736</v>
      </c>
      <c r="AH691" s="710"/>
      <c r="AI691" s="710"/>
      <c r="AJ691" s="710"/>
      <c r="AK691" s="710"/>
      <c r="AL691" s="710"/>
      <c r="AM691" s="710"/>
      <c r="AN691" s="710"/>
      <c r="AO691" s="710"/>
      <c r="AP691" s="710"/>
      <c r="AQ691" s="710"/>
      <c r="AR691" s="710"/>
      <c r="AS691" s="710"/>
      <c r="AT691" s="710">
        <v>0</v>
      </c>
      <c r="AU691" s="710">
        <v>-1.25E-3</v>
      </c>
      <c r="AV691" s="710">
        <v>-3.7499999999999999E-3</v>
      </c>
      <c r="AW691" s="710">
        <v>-7.4999999999999997E-3</v>
      </c>
      <c r="AX691" s="710">
        <v>-1.2499999999999999E-2</v>
      </c>
      <c r="AY691" s="710">
        <v>-1.8749999999999999E-2</v>
      </c>
      <c r="AZ691" s="710">
        <v>-2.6249999999999999E-2</v>
      </c>
      <c r="BA691" s="710">
        <v>-3.4999999999999989E-2</v>
      </c>
      <c r="BB691" s="710">
        <v>-4.4999999999999991E-2</v>
      </c>
      <c r="BC691" s="710">
        <v>-5.6249999999999994E-2</v>
      </c>
      <c r="BD691" s="710">
        <v>-6.8750000000000006E-2</v>
      </c>
      <c r="BE691" s="710">
        <v>-8.2500000000000004E-2</v>
      </c>
      <c r="BF691" s="710">
        <v>-9.7500000000000003E-2</v>
      </c>
      <c r="BG691" s="710">
        <v>-0.11445652173913044</v>
      </c>
      <c r="BH691" s="710">
        <v>-0.13336956521739129</v>
      </c>
      <c r="BI691" s="710">
        <v>-0.15423913043478257</v>
      </c>
      <c r="BJ691" s="710">
        <v>-0.17706521739130432</v>
      </c>
      <c r="BK691" s="710">
        <v>-0.20184782608695648</v>
      </c>
      <c r="BL691" s="710">
        <v>-0.2285869565217391</v>
      </c>
      <c r="BM691" s="710">
        <v>-0.25728260869565206</v>
      </c>
      <c r="BN691" s="710">
        <v>-0.28793478260869559</v>
      </c>
      <c r="BO691" s="710">
        <v>-0.32054347826086949</v>
      </c>
      <c r="BP691" s="710">
        <v>-0.3551086956521739</v>
      </c>
      <c r="BQ691" s="710">
        <v>-0.39163043478260862</v>
      </c>
      <c r="BR691" s="710">
        <v>-0.45163043478260861</v>
      </c>
      <c r="BS691" s="710">
        <v>-0.51163043478260861</v>
      </c>
      <c r="BT691" s="710">
        <v>-0.57163043478260867</v>
      </c>
      <c r="BU691" s="710">
        <v>-0.63163043478260861</v>
      </c>
      <c r="BV691" s="710">
        <v>-0.69163043478260855</v>
      </c>
      <c r="BW691" s="710">
        <v>-0.75163043478260849</v>
      </c>
      <c r="BX691" s="710">
        <v>-0.81163043478260855</v>
      </c>
      <c r="BY691" s="710">
        <v>-0.87163043478260838</v>
      </c>
      <c r="BZ691" s="710">
        <v>-0.93163043478260843</v>
      </c>
      <c r="CA691" s="710">
        <v>-0.99163043478260837</v>
      </c>
      <c r="CB691" s="710">
        <v>-1.0516304347826082</v>
      </c>
      <c r="CC691" s="710">
        <v>-1.111630434782608</v>
      </c>
      <c r="CD691" s="710">
        <v>-1.1716304347826081</v>
      </c>
      <c r="CE691" s="710">
        <v>-1.2321739130434779</v>
      </c>
      <c r="CF691" s="710">
        <v>-1.2932608695652168</v>
      </c>
      <c r="CG691" s="710">
        <v>-1.3548913043478252</v>
      </c>
      <c r="CH691" s="710">
        <v>-1.4170652173913039</v>
      </c>
      <c r="CI691" s="710">
        <v>-1.4797826086956514</v>
      </c>
      <c r="CJ691" s="710">
        <v>-1.5430434782608689</v>
      </c>
      <c r="CK691" s="710">
        <v>-1.6068478260869559</v>
      </c>
      <c r="CL691" s="710">
        <v>-1.6711956521739124</v>
      </c>
      <c r="CM691" s="710">
        <v>-1.7360869565217383</v>
      </c>
      <c r="CN691" s="710">
        <v>-1.8015217391304341</v>
      </c>
      <c r="CO691" s="710">
        <v>-1.8674999999999993</v>
      </c>
      <c r="CP691" s="710">
        <v>-1.9124999999999992</v>
      </c>
      <c r="CQ691" s="710">
        <v>-1.9574999999999991</v>
      </c>
      <c r="CR691" s="710">
        <v>-2.0024999999999991</v>
      </c>
      <c r="CS691" s="710">
        <v>-2.047499999999999</v>
      </c>
      <c r="CT691" s="710">
        <v>-2.0924999999999989</v>
      </c>
      <c r="CU691" s="710">
        <v>-2.1374999999999993</v>
      </c>
      <c r="CV691" s="710">
        <v>-2.1824999999999992</v>
      </c>
      <c r="CW691" s="710">
        <v>-2.2274999999999991</v>
      </c>
      <c r="CX691" s="710">
        <v>-2.2724999999999991</v>
      </c>
      <c r="CY691" s="710">
        <v>-2.317499999999999</v>
      </c>
      <c r="CZ691" s="710">
        <v>-2.3624999999999989</v>
      </c>
      <c r="DA691" s="710">
        <v>-2.4074999999999993</v>
      </c>
      <c r="DC691" s="12">
        <f>SUM(V691:AG691)</f>
        <v>0</v>
      </c>
      <c r="DD691" s="12">
        <f t="shared" si="709"/>
        <v>0</v>
      </c>
      <c r="DE691" s="12">
        <f t="shared" si="710"/>
        <v>-0.35749999999999998</v>
      </c>
      <c r="DF691" s="12">
        <f t="shared" si="714"/>
        <v>-2.7195652173913043</v>
      </c>
      <c r="DG691" s="12">
        <f t="shared" si="711"/>
        <v>-9.3795652173913009</v>
      </c>
      <c r="DH691" s="12">
        <f t="shared" si="712"/>
        <v>-18.17499999999999</v>
      </c>
      <c r="DI691" s="12">
        <f t="shared" si="696"/>
        <v>-25.919999999999995</v>
      </c>
    </row>
    <row r="692" spans="2:113" outlineLevel="2">
      <c r="F692" s="126" t="s">
        <v>806</v>
      </c>
      <c r="I692" s="609" t="s">
        <v>736</v>
      </c>
      <c r="AH692" s="710"/>
      <c r="AI692" s="710"/>
      <c r="AJ692" s="710"/>
      <c r="AK692" s="710"/>
      <c r="AL692" s="710"/>
      <c r="AM692" s="710"/>
      <c r="AN692" s="710"/>
      <c r="AO692" s="710"/>
      <c r="AP692" s="710"/>
      <c r="AQ692" s="710"/>
      <c r="AR692" s="710"/>
      <c r="AS692" s="710"/>
      <c r="AT692" s="710">
        <v>-3.3333333333333332E-4</v>
      </c>
      <c r="AU692" s="710">
        <v>-6.6666666666666664E-4</v>
      </c>
      <c r="AV692" s="710">
        <v>-1E-3</v>
      </c>
      <c r="AW692" s="710">
        <v>-1.3333333333333333E-3</v>
      </c>
      <c r="AX692" s="710">
        <v>-1.6666666666666666E-3</v>
      </c>
      <c r="AY692" s="710">
        <v>-1.9999999999999996E-3</v>
      </c>
      <c r="AZ692" s="710">
        <v>-2.3333333333333331E-3</v>
      </c>
      <c r="BA692" s="710">
        <v>-2.6666666666666666E-3</v>
      </c>
      <c r="BB692" s="710">
        <v>-3.0000000000000001E-3</v>
      </c>
      <c r="BC692" s="710">
        <v>-3.3333333333333335E-3</v>
      </c>
      <c r="BD692" s="710">
        <v>-3.666666666666667E-3</v>
      </c>
      <c r="BE692" s="710">
        <v>-4.0000000000000001E-3</v>
      </c>
      <c r="BF692" s="710">
        <v>-4.5217391304347822E-3</v>
      </c>
      <c r="BG692" s="710">
        <v>-5.0434782608695643E-3</v>
      </c>
      <c r="BH692" s="710">
        <v>-5.5652173913043473E-3</v>
      </c>
      <c r="BI692" s="710">
        <v>-6.0869565217391295E-3</v>
      </c>
      <c r="BJ692" s="710">
        <v>-6.6086956521739116E-3</v>
      </c>
      <c r="BK692" s="710">
        <v>-7.1304347826086929E-3</v>
      </c>
      <c r="BL692" s="710">
        <v>-7.6521739130434759E-3</v>
      </c>
      <c r="BM692" s="710">
        <v>-8.1739130434782589E-3</v>
      </c>
      <c r="BN692" s="710">
        <v>-8.6956521739130418E-3</v>
      </c>
      <c r="BO692" s="710">
        <v>-9.2173913043478248E-3</v>
      </c>
      <c r="BP692" s="710">
        <v>-9.7391304347826078E-3</v>
      </c>
      <c r="BQ692" s="710">
        <v>-1.6E-2</v>
      </c>
      <c r="BR692" s="710">
        <v>-1.6333333333333332E-2</v>
      </c>
      <c r="BS692" s="710">
        <v>-1.6666666666666663E-2</v>
      </c>
      <c r="BT692" s="710">
        <v>-1.6999999999999998E-2</v>
      </c>
      <c r="BU692" s="710">
        <v>-1.7333333333333329E-2</v>
      </c>
      <c r="BV692" s="710">
        <v>-1.766666666666666E-2</v>
      </c>
      <c r="BW692" s="710">
        <v>-1.7999999999999992E-2</v>
      </c>
      <c r="BX692" s="710">
        <v>-1.8333333333333326E-2</v>
      </c>
      <c r="BY692" s="710">
        <v>-1.8666666666666658E-2</v>
      </c>
      <c r="BZ692" s="710">
        <v>-1.8999999999999989E-2</v>
      </c>
      <c r="CA692" s="710">
        <v>-1.933333333333332E-2</v>
      </c>
      <c r="CB692" s="710">
        <v>-1.9666666666666652E-2</v>
      </c>
      <c r="CC692" s="710">
        <v>-0.02</v>
      </c>
      <c r="CD692" s="710">
        <v>-2.0666666666666667E-2</v>
      </c>
      <c r="CE692" s="710">
        <v>-2.1333333333333336E-2</v>
      </c>
      <c r="CF692" s="710">
        <v>-2.2000000000000002E-2</v>
      </c>
      <c r="CG692" s="710">
        <v>-2.2666666666666672E-2</v>
      </c>
      <c r="CH692" s="710">
        <v>-2.3333333333333338E-2</v>
      </c>
      <c r="CI692" s="710">
        <v>-2.4000000000000007E-2</v>
      </c>
      <c r="CJ692" s="710">
        <v>-2.4666666666666674E-2</v>
      </c>
      <c r="CK692" s="710">
        <v>-2.5333333333333343E-2</v>
      </c>
      <c r="CL692" s="710">
        <v>-2.6000000000000009E-2</v>
      </c>
      <c r="CM692" s="710">
        <v>-2.6666666666666679E-2</v>
      </c>
      <c r="CN692" s="710">
        <v>-2.7333333333333348E-2</v>
      </c>
      <c r="CO692" s="710">
        <v>-2.8000000000000001E-2</v>
      </c>
      <c r="CP692" s="710">
        <v>-2.8333333333333332E-2</v>
      </c>
      <c r="CQ692" s="710">
        <v>-2.8666666666666663E-2</v>
      </c>
      <c r="CR692" s="710">
        <v>-2.8999999999999998E-2</v>
      </c>
      <c r="CS692" s="710">
        <v>-2.9333333333333329E-2</v>
      </c>
      <c r="CT692" s="710">
        <v>-2.9666666666666661E-2</v>
      </c>
      <c r="CU692" s="710">
        <v>-2.9999999999999992E-2</v>
      </c>
      <c r="CV692" s="710">
        <v>-3.0333333333333323E-2</v>
      </c>
      <c r="CW692" s="710">
        <v>-3.0666666666666658E-2</v>
      </c>
      <c r="CX692" s="710">
        <v>-3.0999999999999989E-2</v>
      </c>
      <c r="CY692" s="710">
        <v>-3.1333333333333324E-2</v>
      </c>
      <c r="CZ692" s="710">
        <v>-3.1666666666666655E-2</v>
      </c>
      <c r="DA692" s="710">
        <v>-3.2000000000000001E-2</v>
      </c>
      <c r="DC692" s="12">
        <f>SUM(V692:AG692)</f>
        <v>0</v>
      </c>
      <c r="DD692" s="12">
        <f t="shared" si="709"/>
        <v>0</v>
      </c>
      <c r="DE692" s="12">
        <f t="shared" si="710"/>
        <v>-2.5999999999999999E-2</v>
      </c>
      <c r="DF692" s="12">
        <f t="shared" si="714"/>
        <v>-9.4434782608695644E-2</v>
      </c>
      <c r="DG692" s="12">
        <f t="shared" si="711"/>
        <v>-0.21799999999999989</v>
      </c>
      <c r="DH692" s="12">
        <f t="shared" si="712"/>
        <v>-0.29200000000000004</v>
      </c>
      <c r="DI692" s="12">
        <f t="shared" si="696"/>
        <v>-0.36199999999999988</v>
      </c>
    </row>
    <row r="693" spans="2:113" outlineLevel="2">
      <c r="F693" s="126" t="s">
        <v>807</v>
      </c>
      <c r="I693" s="609" t="s">
        <v>736</v>
      </c>
      <c r="AH693" s="710"/>
      <c r="AI693" s="710"/>
      <c r="AJ693" s="710"/>
      <c r="AK693" s="710"/>
      <c r="AL693" s="710"/>
      <c r="AM693" s="710"/>
      <c r="AN693" s="710"/>
      <c r="AO693" s="710"/>
      <c r="AP693" s="710"/>
      <c r="AQ693" s="710"/>
      <c r="AR693" s="710"/>
      <c r="AS693" s="710"/>
      <c r="AT693" s="710"/>
      <c r="AU693" s="710"/>
      <c r="AV693" s="710"/>
      <c r="AW693" s="710"/>
      <c r="AX693" s="710"/>
      <c r="AY693" s="710"/>
      <c r="AZ693" s="710"/>
      <c r="BA693" s="710"/>
      <c r="BB693" s="710"/>
      <c r="BC693" s="710"/>
      <c r="BD693" s="710"/>
      <c r="BE693" s="710"/>
      <c r="BF693" s="710"/>
      <c r="BG693" s="710"/>
      <c r="BH693" s="710"/>
      <c r="BI693" s="710"/>
      <c r="BJ693" s="710"/>
      <c r="BK693" s="710"/>
      <c r="BL693" s="710"/>
      <c r="BM693" s="710"/>
      <c r="BN693" s="710"/>
      <c r="BO693" s="710"/>
      <c r="BP693" s="710"/>
      <c r="BQ693" s="710"/>
      <c r="BR693" s="710"/>
      <c r="BS693" s="710"/>
      <c r="BT693" s="710"/>
      <c r="BU693" s="710"/>
      <c r="BV693" s="710"/>
      <c r="BW693" s="710"/>
      <c r="BX693" s="710"/>
      <c r="BY693" s="710"/>
      <c r="BZ693" s="710"/>
      <c r="CA693" s="710"/>
      <c r="CB693" s="710"/>
      <c r="CC693" s="710"/>
      <c r="CD693" s="710"/>
      <c r="CE693" s="710"/>
      <c r="CF693" s="710"/>
      <c r="CG693" s="710"/>
      <c r="CH693" s="710"/>
      <c r="CI693" s="710"/>
      <c r="CJ693" s="710"/>
      <c r="CK693" s="710"/>
      <c r="CL693" s="710"/>
      <c r="CM693" s="710"/>
      <c r="CN693" s="710"/>
      <c r="CO693" s="710"/>
      <c r="CP693" s="710"/>
      <c r="CQ693" s="710"/>
      <c r="CR693" s="710"/>
      <c r="CS693" s="710"/>
      <c r="CT693" s="710"/>
      <c r="CU693" s="710"/>
      <c r="CV693" s="710"/>
      <c r="CW693" s="710"/>
      <c r="CX693" s="710"/>
      <c r="CY693" s="710"/>
      <c r="CZ693" s="710"/>
      <c r="DA693" s="710"/>
      <c r="DC693" s="12">
        <f>SUM(V693:AG693)</f>
        <v>0</v>
      </c>
      <c r="DD693" s="12">
        <f t="shared" si="709"/>
        <v>0</v>
      </c>
      <c r="DE693" s="12">
        <f t="shared" si="710"/>
        <v>0</v>
      </c>
      <c r="DF693" s="12">
        <f t="shared" si="714"/>
        <v>0</v>
      </c>
      <c r="DG693" s="12">
        <f t="shared" si="711"/>
        <v>0</v>
      </c>
      <c r="DH693" s="12">
        <f t="shared" si="712"/>
        <v>0</v>
      </c>
      <c r="DI693" s="12">
        <f t="shared" si="696"/>
        <v>0</v>
      </c>
    </row>
    <row r="694" spans="2:113" outlineLevel="2">
      <c r="F694" s="126" t="s">
        <v>703</v>
      </c>
      <c r="I694" s="609" t="s">
        <v>736</v>
      </c>
      <c r="AH694" s="710"/>
      <c r="AI694" s="710"/>
      <c r="AJ694" s="710"/>
      <c r="AK694" s="710"/>
      <c r="AL694" s="710"/>
      <c r="AM694" s="710"/>
      <c r="AN694" s="710"/>
      <c r="AO694" s="710"/>
      <c r="AP694" s="710"/>
      <c r="AQ694" s="710"/>
      <c r="AR694" s="710"/>
      <c r="AS694" s="710"/>
      <c r="AT694" s="710"/>
      <c r="AU694" s="710"/>
      <c r="AV694" s="710"/>
      <c r="AW694" s="710"/>
      <c r="AX694" s="710"/>
      <c r="AY694" s="710"/>
      <c r="AZ694" s="710"/>
      <c r="BA694" s="710"/>
      <c r="BB694" s="710"/>
      <c r="BC694" s="710"/>
      <c r="BD694" s="710"/>
      <c r="BE694" s="710"/>
      <c r="BF694" s="710"/>
      <c r="BG694" s="710"/>
      <c r="BH694" s="710"/>
      <c r="BI694" s="710"/>
      <c r="BJ694" s="710"/>
      <c r="BK694" s="710"/>
      <c r="BL694" s="710"/>
      <c r="BM694" s="710"/>
      <c r="BN694" s="710"/>
      <c r="BO694" s="710"/>
      <c r="BP694" s="710"/>
      <c r="BQ694" s="710"/>
      <c r="BR694" s="710"/>
      <c r="BS694" s="710"/>
      <c r="BT694" s="710"/>
      <c r="BU694" s="710"/>
      <c r="BV694" s="710"/>
      <c r="BW694" s="710"/>
      <c r="BX694" s="710"/>
      <c r="BY694" s="710"/>
      <c r="BZ694" s="710"/>
      <c r="CA694" s="710"/>
      <c r="CB694" s="710"/>
      <c r="CC694" s="710"/>
      <c r="CD694" s="710"/>
      <c r="CE694" s="710"/>
      <c r="CF694" s="710"/>
      <c r="CG694" s="710"/>
      <c r="CH694" s="710"/>
      <c r="CI694" s="710"/>
      <c r="CJ694" s="710"/>
      <c r="CK694" s="710"/>
      <c r="CL694" s="710"/>
      <c r="CM694" s="710"/>
      <c r="CN694" s="710"/>
      <c r="CO694" s="710"/>
      <c r="CP694" s="710"/>
      <c r="CQ694" s="710"/>
      <c r="CR694" s="710"/>
      <c r="CS694" s="710"/>
      <c r="CT694" s="710"/>
      <c r="CU694" s="710"/>
      <c r="CV694" s="710"/>
      <c r="CW694" s="710"/>
      <c r="CX694" s="710"/>
      <c r="CY694" s="710"/>
      <c r="CZ694" s="710"/>
      <c r="DA694" s="710"/>
      <c r="DC694" s="12">
        <f t="shared" ref="DC694:DC701" si="715">SUM(V694:AG694)</f>
        <v>0</v>
      </c>
      <c r="DD694" s="14">
        <f t="shared" si="709"/>
        <v>0</v>
      </c>
      <c r="DE694" s="14">
        <f t="shared" si="710"/>
        <v>0</v>
      </c>
      <c r="DF694" s="14">
        <f t="shared" si="714"/>
        <v>0</v>
      </c>
      <c r="DG694" s="14">
        <f t="shared" si="711"/>
        <v>0</v>
      </c>
      <c r="DH694" s="14">
        <f t="shared" si="712"/>
        <v>0</v>
      </c>
      <c r="DI694" s="14">
        <f t="shared" si="696"/>
        <v>0</v>
      </c>
    </row>
    <row r="695" spans="2:113" outlineLevel="2">
      <c r="F695" s="126" t="s">
        <v>163</v>
      </c>
      <c r="I695" s="609" t="s">
        <v>736</v>
      </c>
      <c r="AH695" s="710"/>
      <c r="AI695" s="710"/>
      <c r="AJ695" s="710"/>
      <c r="AK695" s="710"/>
      <c r="AL695" s="710"/>
      <c r="AM695" s="710"/>
      <c r="AN695" s="710"/>
      <c r="AO695" s="710"/>
      <c r="AP695" s="710"/>
      <c r="AQ695" s="710"/>
      <c r="AR695" s="710"/>
      <c r="AS695" s="710"/>
      <c r="AT695" s="710">
        <v>-1.75E-4</v>
      </c>
      <c r="AU695" s="710">
        <v>-3.8499999999999998E-4</v>
      </c>
      <c r="AV695" s="710">
        <v>-6.2999999999999992E-4</v>
      </c>
      <c r="AW695" s="710">
        <v>-9.1E-4</v>
      </c>
      <c r="AX695" s="710">
        <v>-1.225E-3</v>
      </c>
      <c r="AY695" s="710">
        <v>-1.5749999999999996E-3</v>
      </c>
      <c r="AZ695" s="710">
        <v>-1.9599999999999999E-3</v>
      </c>
      <c r="BA695" s="710">
        <v>-2.3799999999999997E-3</v>
      </c>
      <c r="BB695" s="710">
        <v>-2.8349999999999998E-3</v>
      </c>
      <c r="BC695" s="710">
        <v>-3.3249999999999998E-3</v>
      </c>
      <c r="BD695" s="710">
        <v>-3.8500000000000001E-3</v>
      </c>
      <c r="BE695" s="710">
        <v>-4.4099999999999999E-3</v>
      </c>
      <c r="BF695" s="710">
        <v>-5.1039130434782608E-3</v>
      </c>
      <c r="BG695" s="710">
        <v>-5.8526086956521735E-3</v>
      </c>
      <c r="BH695" s="710">
        <v>-6.656086956521738E-3</v>
      </c>
      <c r="BI695" s="710">
        <v>-7.5143478260869551E-3</v>
      </c>
      <c r="BJ695" s="710">
        <v>-8.4273913043478241E-3</v>
      </c>
      <c r="BK695" s="710">
        <v>-9.3952173913043457E-3</v>
      </c>
      <c r="BL695" s="710">
        <v>-1.041782608695652E-2</v>
      </c>
      <c r="BM695" s="710">
        <v>-1.1495217391304343E-2</v>
      </c>
      <c r="BN695" s="710">
        <v>-1.2627391304347823E-2</v>
      </c>
      <c r="BO695" s="710">
        <v>-1.3814347826086953E-2</v>
      </c>
      <c r="BP695" s="710">
        <v>-1.5056086956521737E-2</v>
      </c>
      <c r="BQ695" s="710">
        <v>-1.9365652173913041E-2</v>
      </c>
      <c r="BR695" s="710">
        <v>-2.1220652173913043E-2</v>
      </c>
      <c r="BS695" s="710">
        <v>-2.3075652173913039E-2</v>
      </c>
      <c r="BT695" s="710">
        <v>-2.4930652173913038E-2</v>
      </c>
      <c r="BU695" s="710">
        <v>-2.6785652173913037E-2</v>
      </c>
      <c r="BV695" s="710">
        <v>-2.8640652173913032E-2</v>
      </c>
      <c r="BW695" s="710">
        <v>-3.0495652173913035E-2</v>
      </c>
      <c r="BX695" s="710">
        <v>-3.235065217391303E-2</v>
      </c>
      <c r="BY695" s="710">
        <v>-3.4205652173913026E-2</v>
      </c>
      <c r="BZ695" s="710">
        <v>-3.6060652173913028E-2</v>
      </c>
      <c r="CA695" s="710">
        <v>-3.7915652173913024E-2</v>
      </c>
      <c r="CB695" s="710">
        <v>-3.9770652173913026E-2</v>
      </c>
      <c r="CC695" s="710">
        <v>-4.1625652173913029E-2</v>
      </c>
      <c r="CD695" s="710">
        <v>-4.3655652173913026E-2</v>
      </c>
      <c r="CE695" s="710">
        <v>-4.5700869565217371E-2</v>
      </c>
      <c r="CF695" s="710">
        <v>-4.7761304347826064E-2</v>
      </c>
      <c r="CG695" s="710">
        <v>-4.9836956521739112E-2</v>
      </c>
      <c r="CH695" s="710">
        <v>-5.1927826086956508E-2</v>
      </c>
      <c r="CI695" s="710">
        <v>-5.4033913043478252E-2</v>
      </c>
      <c r="CJ695" s="710">
        <v>-5.6155217391304323E-2</v>
      </c>
      <c r="CK695" s="710">
        <v>-5.8291739130434769E-2</v>
      </c>
      <c r="CL695" s="710">
        <v>-6.0443478260869557E-2</v>
      </c>
      <c r="CM695" s="710">
        <v>-6.2610434782608679E-2</v>
      </c>
      <c r="CN695" s="710">
        <v>-6.4792608695652162E-2</v>
      </c>
      <c r="CO695" s="710">
        <v>-6.698999999999998E-2</v>
      </c>
      <c r="CP695" s="710">
        <v>-6.8424999999999972E-2</v>
      </c>
      <c r="CQ695" s="710">
        <v>-6.9859999999999964E-2</v>
      </c>
      <c r="CR695" s="710">
        <v>-7.129499999999997E-2</v>
      </c>
      <c r="CS695" s="710">
        <v>-7.2729999999999961E-2</v>
      </c>
      <c r="CT695" s="710">
        <v>-7.4164999999999967E-2</v>
      </c>
      <c r="CU695" s="710">
        <v>-7.5599999999999973E-2</v>
      </c>
      <c r="CV695" s="710">
        <v>-7.7034999999999965E-2</v>
      </c>
      <c r="CW695" s="710">
        <v>-7.846999999999997E-2</v>
      </c>
      <c r="CX695" s="710">
        <v>-7.9904999999999962E-2</v>
      </c>
      <c r="CY695" s="710">
        <v>-8.1339999999999968E-2</v>
      </c>
      <c r="CZ695" s="710">
        <v>-8.277499999999996E-2</v>
      </c>
      <c r="DA695" s="710">
        <v>-8.4209999999999965E-2</v>
      </c>
      <c r="DC695" s="12">
        <f t="shared" si="715"/>
        <v>0</v>
      </c>
      <c r="DD695" s="12">
        <f t="shared" si="709"/>
        <v>0</v>
      </c>
      <c r="DE695" s="12">
        <f t="shared" si="710"/>
        <v>-2.366E-2</v>
      </c>
      <c r="DF695" s="12">
        <f t="shared" si="714"/>
        <v>-0.12572608695652171</v>
      </c>
      <c r="DG695" s="12">
        <f t="shared" si="711"/>
        <v>-0.37707782608695634</v>
      </c>
      <c r="DH695" s="12">
        <f t="shared" si="712"/>
        <v>-0.66219999999999979</v>
      </c>
      <c r="DI695" s="12">
        <f t="shared" si="696"/>
        <v>-0.91580999999999957</v>
      </c>
    </row>
    <row r="696" spans="2:113" outlineLevel="2">
      <c r="F696" s="718" t="s">
        <v>152</v>
      </c>
      <c r="I696" s="609" t="s">
        <v>736</v>
      </c>
      <c r="AH696" s="710"/>
      <c r="AI696" s="710"/>
      <c r="AJ696" s="710"/>
      <c r="AK696" s="710"/>
      <c r="AL696" s="710"/>
      <c r="AM696" s="710"/>
      <c r="AN696" s="710"/>
      <c r="AO696" s="710"/>
      <c r="AP696" s="710"/>
      <c r="AQ696" s="710"/>
      <c r="AR696" s="710"/>
      <c r="AS696" s="710"/>
      <c r="AT696" s="750">
        <f>AT670/AT589*AT619</f>
        <v>-8.5500000000000007E-2</v>
      </c>
      <c r="AU696" s="750">
        <f t="shared" ref="AU696:DA696" si="716">AU670/AU589*AU619</f>
        <v>-8.5500000000000007E-2</v>
      </c>
      <c r="AV696" s="750">
        <f t="shared" si="716"/>
        <v>-8.5500000000000007E-2</v>
      </c>
      <c r="AW696" s="750">
        <f t="shared" si="716"/>
        <v>-8.5500000000000007E-2</v>
      </c>
      <c r="AX696" s="750">
        <f t="shared" si="716"/>
        <v>-8.5500000000000007E-2</v>
      </c>
      <c r="AY696" s="750">
        <f t="shared" si="716"/>
        <v>-8.5500000000000007E-2</v>
      </c>
      <c r="AZ696" s="750">
        <f t="shared" si="716"/>
        <v>-2.5500000000000002E-2</v>
      </c>
      <c r="BA696" s="750">
        <f t="shared" si="716"/>
        <v>-2.5500000000000002E-2</v>
      </c>
      <c r="BB696" s="750">
        <f t="shared" si="716"/>
        <v>-2.5500000000000002E-2</v>
      </c>
      <c r="BC696" s="750">
        <f t="shared" si="716"/>
        <v>-2.5500000000000002E-2</v>
      </c>
      <c r="BD696" s="750">
        <f t="shared" si="716"/>
        <v>-2.5500000000000002E-2</v>
      </c>
      <c r="BE696" s="750">
        <f t="shared" si="716"/>
        <v>-2.5500000000000002E-2</v>
      </c>
      <c r="BF696" s="750">
        <f t="shared" si="716"/>
        <v>-2.5500000000000002E-2</v>
      </c>
      <c r="BG696" s="750">
        <f t="shared" si="716"/>
        <v>-2.5500000000000002E-2</v>
      </c>
      <c r="BH696" s="750">
        <f t="shared" si="716"/>
        <v>-2.5500000000000002E-2</v>
      </c>
      <c r="BI696" s="750">
        <f t="shared" si="716"/>
        <v>-2.5500000000000002E-2</v>
      </c>
      <c r="BJ696" s="750">
        <f t="shared" si="716"/>
        <v>-2.5500000000000002E-2</v>
      </c>
      <c r="BK696" s="750">
        <f t="shared" si="716"/>
        <v>-2.5500000000000002E-2</v>
      </c>
      <c r="BL696" s="750">
        <f t="shared" si="716"/>
        <v>-2.5500000000000002E-2</v>
      </c>
      <c r="BM696" s="750">
        <f t="shared" si="716"/>
        <v>-2.5500000000000002E-2</v>
      </c>
      <c r="BN696" s="750">
        <f t="shared" si="716"/>
        <v>-2.5500000000000002E-2</v>
      </c>
      <c r="BO696" s="750">
        <f t="shared" si="716"/>
        <v>-2.5500000000000002E-2</v>
      </c>
      <c r="BP696" s="750">
        <f t="shared" si="716"/>
        <v>-2.5500000000000002E-2</v>
      </c>
      <c r="BQ696" s="750">
        <f t="shared" si="716"/>
        <v>-2.5500000000000002E-2</v>
      </c>
      <c r="BR696" s="750">
        <f t="shared" si="716"/>
        <v>-2.5500000000000002E-2</v>
      </c>
      <c r="BS696" s="750">
        <f t="shared" si="716"/>
        <v>-2.5500000000000002E-2</v>
      </c>
      <c r="BT696" s="750">
        <f t="shared" si="716"/>
        <v>-2.5500000000000002E-2</v>
      </c>
      <c r="BU696" s="750">
        <f t="shared" si="716"/>
        <v>-2.5500000000000002E-2</v>
      </c>
      <c r="BV696" s="750">
        <f t="shared" si="716"/>
        <v>-2.5500000000000002E-2</v>
      </c>
      <c r="BW696" s="750">
        <f t="shared" si="716"/>
        <v>-2.5500000000000002E-2</v>
      </c>
      <c r="BX696" s="750">
        <f t="shared" si="716"/>
        <v>-2.5500000000000002E-2</v>
      </c>
      <c r="BY696" s="750">
        <f t="shared" si="716"/>
        <v>-2.5500000000000002E-2</v>
      </c>
      <c r="BZ696" s="750">
        <f t="shared" si="716"/>
        <v>-2.5500000000000002E-2</v>
      </c>
      <c r="CA696" s="750">
        <f t="shared" si="716"/>
        <v>-2.5500000000000002E-2</v>
      </c>
      <c r="CB696" s="750">
        <f t="shared" si="716"/>
        <v>-2.5500000000000002E-2</v>
      </c>
      <c r="CC696" s="750">
        <f t="shared" si="716"/>
        <v>-2.5500000000000002E-2</v>
      </c>
      <c r="CD696" s="750">
        <f t="shared" si="716"/>
        <v>-2.5500000000000002E-2</v>
      </c>
      <c r="CE696" s="750">
        <f t="shared" si="716"/>
        <v>-2.5500000000000002E-2</v>
      </c>
      <c r="CF696" s="750">
        <f t="shared" si="716"/>
        <v>-2.5500000000000002E-2</v>
      </c>
      <c r="CG696" s="750">
        <f t="shared" si="716"/>
        <v>-2.5500000000000002E-2</v>
      </c>
      <c r="CH696" s="750">
        <f t="shared" si="716"/>
        <v>-2.5500000000000002E-2</v>
      </c>
      <c r="CI696" s="750">
        <f t="shared" si="716"/>
        <v>-2.5500000000000002E-2</v>
      </c>
      <c r="CJ696" s="750">
        <f t="shared" si="716"/>
        <v>-2.5500000000000002E-2</v>
      </c>
      <c r="CK696" s="750">
        <f t="shared" si="716"/>
        <v>-2.5500000000000002E-2</v>
      </c>
      <c r="CL696" s="750">
        <f t="shared" si="716"/>
        <v>-2.5500000000000002E-2</v>
      </c>
      <c r="CM696" s="750">
        <f t="shared" si="716"/>
        <v>-2.5500000000000002E-2</v>
      </c>
      <c r="CN696" s="750">
        <f t="shared" si="716"/>
        <v>-2.5500000000000002E-2</v>
      </c>
      <c r="CO696" s="750">
        <f t="shared" si="716"/>
        <v>-2.5500000000000002E-2</v>
      </c>
      <c r="CP696" s="750">
        <f t="shared" si="716"/>
        <v>-2.5500000000000002E-2</v>
      </c>
      <c r="CQ696" s="750">
        <f t="shared" si="716"/>
        <v>-2.5500000000000002E-2</v>
      </c>
      <c r="CR696" s="750">
        <f t="shared" si="716"/>
        <v>-2.5500000000000002E-2</v>
      </c>
      <c r="CS696" s="750">
        <f t="shared" si="716"/>
        <v>-2.5500000000000002E-2</v>
      </c>
      <c r="CT696" s="750">
        <f t="shared" si="716"/>
        <v>-2.5500000000000002E-2</v>
      </c>
      <c r="CU696" s="750">
        <f t="shared" si="716"/>
        <v>-2.5500000000000002E-2</v>
      </c>
      <c r="CV696" s="750">
        <f t="shared" si="716"/>
        <v>-2.5500000000000002E-2</v>
      </c>
      <c r="CW696" s="750">
        <f t="shared" si="716"/>
        <v>-2.5500000000000002E-2</v>
      </c>
      <c r="CX696" s="750">
        <f t="shared" si="716"/>
        <v>-2.5500000000000002E-2</v>
      </c>
      <c r="CY696" s="750">
        <f t="shared" si="716"/>
        <v>-2.5500000000000002E-2</v>
      </c>
      <c r="CZ696" s="750">
        <f t="shared" si="716"/>
        <v>-2.5500000000000002E-2</v>
      </c>
      <c r="DA696" s="750">
        <f t="shared" si="716"/>
        <v>-2.5500000000000002E-2</v>
      </c>
      <c r="DC696" s="12"/>
      <c r="DD696" s="12">
        <f>SUM(AH696:AS696)</f>
        <v>0</v>
      </c>
      <c r="DE696" s="12">
        <f>SUM(AT696:BE696)</f>
        <v>-0.66599999999999981</v>
      </c>
      <c r="DF696" s="12">
        <f>SUM(BF696:BQ696)</f>
        <v>-0.30600000000000005</v>
      </c>
      <c r="DG696" s="12">
        <f>SUM(BR696:CC696)</f>
        <v>-0.30600000000000005</v>
      </c>
      <c r="DH696" s="12">
        <f>SUM(CD696:CO696)</f>
        <v>-0.30600000000000005</v>
      </c>
      <c r="DI696" s="12">
        <f t="shared" si="696"/>
        <v>-0.30600000000000005</v>
      </c>
    </row>
    <row r="697" spans="2:113" outlineLevel="2">
      <c r="F697" s="126" t="s">
        <v>144</v>
      </c>
      <c r="H697" s="727"/>
      <c r="I697" s="609" t="s">
        <v>736</v>
      </c>
      <c r="AH697" s="710"/>
      <c r="AI697" s="710"/>
      <c r="AJ697" s="710"/>
      <c r="AK697" s="710"/>
      <c r="AL697" s="710"/>
      <c r="AM697" s="710"/>
      <c r="AN697" s="710"/>
      <c r="AO697" s="710"/>
      <c r="AP697" s="710"/>
      <c r="AQ697" s="710"/>
      <c r="AR697" s="710"/>
      <c r="AS697" s="710"/>
      <c r="AT697" s="750">
        <f>AT620/AT589*AT670</f>
        <v>-0.66666666666666674</v>
      </c>
      <c r="AU697" s="750">
        <f t="shared" ref="AU697:DA697" si="717">AU620/AU589*AU670</f>
        <v>-0.66666666666666674</v>
      </c>
      <c r="AV697" s="750">
        <f t="shared" si="717"/>
        <v>-0.66666666666666674</v>
      </c>
      <c r="AW697" s="750">
        <f t="shared" si="717"/>
        <v>-0.66666666666666674</v>
      </c>
      <c r="AX697" s="750">
        <f t="shared" si="717"/>
        <v>-0.66666666666666674</v>
      </c>
      <c r="AY697" s="750">
        <f t="shared" si="717"/>
        <v>-0.66666666666666674</v>
      </c>
      <c r="AZ697" s="750">
        <f t="shared" si="717"/>
        <v>-0.66666666666666685</v>
      </c>
      <c r="BA697" s="750">
        <f t="shared" si="717"/>
        <v>-0.66666666666666674</v>
      </c>
      <c r="BB697" s="750">
        <f t="shared" si="717"/>
        <v>-0.66666666666666674</v>
      </c>
      <c r="BC697" s="750">
        <f t="shared" si="717"/>
        <v>-0.66666666666666674</v>
      </c>
      <c r="BD697" s="750">
        <f t="shared" si="717"/>
        <v>-0.66666666666666674</v>
      </c>
      <c r="BE697" s="750">
        <f t="shared" si="717"/>
        <v>-0.66666666666666674</v>
      </c>
      <c r="BF697" s="750">
        <f t="shared" si="717"/>
        <v>-1</v>
      </c>
      <c r="BG697" s="750">
        <f t="shared" si="717"/>
        <v>-1</v>
      </c>
      <c r="BH697" s="750">
        <f t="shared" si="717"/>
        <v>-1</v>
      </c>
      <c r="BI697" s="750">
        <f t="shared" si="717"/>
        <v>-0.99999999999999989</v>
      </c>
      <c r="BJ697" s="750">
        <f t="shared" si="717"/>
        <v>-0.99999999999999989</v>
      </c>
      <c r="BK697" s="750">
        <f t="shared" si="717"/>
        <v>-1</v>
      </c>
      <c r="BL697" s="750">
        <f t="shared" si="717"/>
        <v>-1</v>
      </c>
      <c r="BM697" s="750">
        <f t="shared" si="717"/>
        <v>-1</v>
      </c>
      <c r="BN697" s="750">
        <f t="shared" si="717"/>
        <v>-1</v>
      </c>
      <c r="BO697" s="750">
        <f t="shared" si="717"/>
        <v>-1</v>
      </c>
      <c r="BP697" s="750">
        <f t="shared" si="717"/>
        <v>-1</v>
      </c>
      <c r="BQ697" s="750">
        <f t="shared" si="717"/>
        <v>-1</v>
      </c>
      <c r="BR697" s="750">
        <f t="shared" si="717"/>
        <v>-1.3</v>
      </c>
      <c r="BS697" s="750">
        <f t="shared" si="717"/>
        <v>-1.3</v>
      </c>
      <c r="BT697" s="750">
        <f t="shared" si="717"/>
        <v>-1.3</v>
      </c>
      <c r="BU697" s="750">
        <f t="shared" si="717"/>
        <v>-1.3</v>
      </c>
      <c r="BV697" s="750">
        <f t="shared" si="717"/>
        <v>-1.3</v>
      </c>
      <c r="BW697" s="750">
        <f t="shared" si="717"/>
        <v>-1.3</v>
      </c>
      <c r="BX697" s="750">
        <f t="shared" si="717"/>
        <v>-1.3</v>
      </c>
      <c r="BY697" s="750">
        <f t="shared" si="717"/>
        <v>-1.3000000000000003</v>
      </c>
      <c r="BZ697" s="750">
        <f t="shared" si="717"/>
        <v>-1.3</v>
      </c>
      <c r="CA697" s="750">
        <f t="shared" si="717"/>
        <v>-1.2999999999999998</v>
      </c>
      <c r="CB697" s="750">
        <f t="shared" si="717"/>
        <v>-1.2999999999999998</v>
      </c>
      <c r="CC697" s="750">
        <f t="shared" si="717"/>
        <v>-1.3</v>
      </c>
      <c r="CD697" s="750">
        <f t="shared" si="717"/>
        <v>-1.56</v>
      </c>
      <c r="CE697" s="750">
        <f t="shared" si="717"/>
        <v>-1.56</v>
      </c>
      <c r="CF697" s="750">
        <f t="shared" si="717"/>
        <v>-1.5599999999999998</v>
      </c>
      <c r="CG697" s="750">
        <f t="shared" si="717"/>
        <v>-1.5600000000000003</v>
      </c>
      <c r="CH697" s="750">
        <f t="shared" si="717"/>
        <v>-1.5599999999999998</v>
      </c>
      <c r="CI697" s="750">
        <f t="shared" si="717"/>
        <v>-1.5600000000000003</v>
      </c>
      <c r="CJ697" s="750">
        <f t="shared" si="717"/>
        <v>-1.56</v>
      </c>
      <c r="CK697" s="750">
        <f t="shared" si="717"/>
        <v>-1.56</v>
      </c>
      <c r="CL697" s="750">
        <f t="shared" si="717"/>
        <v>-1.56</v>
      </c>
      <c r="CM697" s="750">
        <f t="shared" si="717"/>
        <v>-1.56</v>
      </c>
      <c r="CN697" s="750">
        <f t="shared" si="717"/>
        <v>-1.56</v>
      </c>
      <c r="CO697" s="750">
        <f t="shared" si="717"/>
        <v>-1.56</v>
      </c>
      <c r="CP697" s="750">
        <f t="shared" si="717"/>
        <v>-1.7160000000000002</v>
      </c>
      <c r="CQ697" s="750">
        <f t="shared" si="717"/>
        <v>-1.7160000000000002</v>
      </c>
      <c r="CR697" s="750">
        <f t="shared" si="717"/>
        <v>-1.7160000000000002</v>
      </c>
      <c r="CS697" s="750">
        <f t="shared" si="717"/>
        <v>-1.7160000000000002</v>
      </c>
      <c r="CT697" s="750">
        <f t="shared" si="717"/>
        <v>-1.7160000000000002</v>
      </c>
      <c r="CU697" s="750">
        <f t="shared" si="717"/>
        <v>-1.7160000000000002</v>
      </c>
      <c r="CV697" s="750">
        <f t="shared" si="717"/>
        <v>-1.7160000000000002</v>
      </c>
      <c r="CW697" s="750">
        <f t="shared" si="717"/>
        <v>-1.7160000000000002</v>
      </c>
      <c r="CX697" s="750">
        <f t="shared" si="717"/>
        <v>-1.7160000000000002</v>
      </c>
      <c r="CY697" s="750">
        <f t="shared" si="717"/>
        <v>-1.7160000000000002</v>
      </c>
      <c r="CZ697" s="750">
        <f t="shared" si="717"/>
        <v>-1.7160000000000002</v>
      </c>
      <c r="DA697" s="750">
        <f t="shared" si="717"/>
        <v>-1.7160000000000002</v>
      </c>
      <c r="DC697" s="12"/>
      <c r="DD697" s="12">
        <f>SUM(AH697:AS697)</f>
        <v>0</v>
      </c>
      <c r="DE697" s="12">
        <f>SUM(AT697:BE697)</f>
        <v>-8.0000000000000018</v>
      </c>
      <c r="DF697" s="12">
        <f>SUM(BF697:BQ697)</f>
        <v>-12</v>
      </c>
      <c r="DG697" s="12">
        <f>SUM(BR697:CC697)</f>
        <v>-15.600000000000001</v>
      </c>
      <c r="DH697" s="12">
        <f>SUM(CD697:CO697)</f>
        <v>-18.72</v>
      </c>
      <c r="DI697" s="12">
        <f t="shared" si="696"/>
        <v>-20.592000000000009</v>
      </c>
    </row>
    <row r="698" spans="2:113" outlineLevel="2">
      <c r="F698" s="698" t="s">
        <v>675</v>
      </c>
      <c r="H698" s="126"/>
      <c r="I698" s="609" t="s">
        <v>736</v>
      </c>
      <c r="AH698" s="710"/>
      <c r="AI698" s="710"/>
      <c r="AJ698" s="710"/>
      <c r="AK698" s="710"/>
      <c r="AL698" s="710"/>
      <c r="AM698" s="714"/>
      <c r="AN698" s="714"/>
      <c r="AO698" s="714"/>
      <c r="AP698" s="714"/>
      <c r="AQ698" s="714"/>
      <c r="AR698" s="714"/>
      <c r="AS698" s="714"/>
      <c r="AT698" s="714">
        <v>-9.6833333333333313E-2</v>
      </c>
      <c r="AU698" s="714">
        <v>-0.19260049393583722</v>
      </c>
      <c r="AV698" s="714">
        <v>-0.31134666326388893</v>
      </c>
      <c r="AW698" s="714">
        <v>-0.44315978108514492</v>
      </c>
      <c r="AX698" s="714">
        <v>-0.57415605418511029</v>
      </c>
      <c r="AY698" s="714">
        <v>-0.70543893391990176</v>
      </c>
      <c r="AZ698" s="714">
        <v>-0.83959542789980735</v>
      </c>
      <c r="BA698" s="714">
        <v>-0.98504927579619683</v>
      </c>
      <c r="BB698" s="714">
        <v>-1.1348762723182215</v>
      </c>
      <c r="BC698" s="714">
        <v>-1.2927761416724464</v>
      </c>
      <c r="BD698" s="714">
        <v>-1.4558563798355535</v>
      </c>
      <c r="BE698" s="714">
        <v>-1.6217447583113325</v>
      </c>
      <c r="BF698" s="714">
        <v>-1.8472560500880835</v>
      </c>
      <c r="BG698" s="714">
        <v>-2.068693606331844</v>
      </c>
      <c r="BH698" s="714">
        <v>-2.299720883232232</v>
      </c>
      <c r="BI698" s="714">
        <v>-2.5392785759715135</v>
      </c>
      <c r="BJ698" s="714">
        <v>-2.7813756375197984</v>
      </c>
      <c r="BK698" s="714">
        <v>-3.0259292315699775</v>
      </c>
      <c r="BL698" s="714">
        <v>-3.2725465569131313</v>
      </c>
      <c r="BM698" s="714">
        <v>-3.5206579084098402</v>
      </c>
      <c r="BN698" s="714">
        <v>-3.7697987797104204</v>
      </c>
      <c r="BO698" s="714">
        <v>-4.019435337931232</v>
      </c>
      <c r="BP698" s="714">
        <v>-4.269031375865354</v>
      </c>
      <c r="BQ698" s="714">
        <v>-6.0575510083889794</v>
      </c>
      <c r="BR698" s="714">
        <v>-6.5243009640501963</v>
      </c>
      <c r="BS698" s="714">
        <v>-6.9591485645475784</v>
      </c>
      <c r="BT698" s="714">
        <v>-7.3667597366531385</v>
      </c>
      <c r="BU698" s="714">
        <v>-7.5970129353739475</v>
      </c>
      <c r="BV698" s="714">
        <v>-7.8328215496552343</v>
      </c>
      <c r="BW698" s="714">
        <v>-8.0657888547248984</v>
      </c>
      <c r="BX698" s="714">
        <v>-8.2884474240991501</v>
      </c>
      <c r="BY698" s="714">
        <v>-8.5035790697007219</v>
      </c>
      <c r="BZ698" s="714">
        <v>-8.708896275666298</v>
      </c>
      <c r="CA698" s="714">
        <v>-8.9042165423885162</v>
      </c>
      <c r="CB698" s="714">
        <v>-9.0897348142331715</v>
      </c>
      <c r="CC698" s="714">
        <v>-9.2656280059473168</v>
      </c>
      <c r="CD698" s="714">
        <v>-9.521768715772339</v>
      </c>
      <c r="CE698" s="714">
        <v>-9.7845210027906138</v>
      </c>
      <c r="CF698" s="714">
        <v>-10.053099042037459</v>
      </c>
      <c r="CG698" s="714">
        <v>-10.326940192616705</v>
      </c>
      <c r="CH698" s="714">
        <v>-10.596714193072597</v>
      </c>
      <c r="CI698" s="714">
        <v>-10.863169203026869</v>
      </c>
      <c r="CJ698" s="714">
        <v>-11.126611751490486</v>
      </c>
      <c r="CK698" s="714">
        <v>-11.38693245060092</v>
      </c>
      <c r="CL698" s="714">
        <v>-11.644178977836958</v>
      </c>
      <c r="CM698" s="714">
        <v>-11.898268577300216</v>
      </c>
      <c r="CN698" s="714">
        <v>-12.14909993745845</v>
      </c>
      <c r="CO698" s="714">
        <v>-12.396574573006664</v>
      </c>
      <c r="CP698" s="714">
        <v>-12.892514263183605</v>
      </c>
      <c r="CQ698" s="714">
        <v>-13.563716976592561</v>
      </c>
      <c r="CR698" s="714">
        <v>-14.173323424043382</v>
      </c>
      <c r="CS698" s="714">
        <v>-14.729233184998384</v>
      </c>
      <c r="CT698" s="714">
        <v>-14.940448100247309</v>
      </c>
      <c r="CU698" s="714">
        <v>-15.156979460348465</v>
      </c>
      <c r="CV698" s="714">
        <v>-15.362729394676947</v>
      </c>
      <c r="CW698" s="714">
        <v>-15.5431758304551</v>
      </c>
      <c r="CX698" s="714">
        <v>-15.703528831381158</v>
      </c>
      <c r="CY698" s="714">
        <v>-15.83919312164557</v>
      </c>
      <c r="CZ698" s="714">
        <v>-15.949526113682872</v>
      </c>
      <c r="DA698" s="714">
        <v>-16.034624426052797</v>
      </c>
      <c r="DC698" s="14">
        <f t="shared" si="715"/>
        <v>0</v>
      </c>
      <c r="DD698" s="14">
        <f t="shared" si="709"/>
        <v>0</v>
      </c>
      <c r="DE698" s="14">
        <f t="shared" si="710"/>
        <v>-9.6534335155567739</v>
      </c>
      <c r="DF698" s="14">
        <f t="shared" si="714"/>
        <v>-39.471274951932408</v>
      </c>
      <c r="DG698" s="14">
        <f t="shared" si="711"/>
        <v>-97.106334737040171</v>
      </c>
      <c r="DH698" s="14">
        <f t="shared" si="712"/>
        <v>-131.74787861701029</v>
      </c>
      <c r="DI698" s="14">
        <f t="shared" si="696"/>
        <v>-179.88899312730814</v>
      </c>
    </row>
    <row r="699" spans="2:113" outlineLevel="2">
      <c r="F699" s="698"/>
      <c r="G699" s="126" t="s">
        <v>827</v>
      </c>
      <c r="H699" s="126"/>
      <c r="I699" s="609" t="s">
        <v>736</v>
      </c>
      <c r="AH699" s="710"/>
      <c r="AI699" s="710"/>
      <c r="AJ699" s="710"/>
      <c r="AK699" s="710"/>
      <c r="AL699" s="710"/>
      <c r="AM699" s="710"/>
      <c r="AN699" s="710"/>
      <c r="AO699" s="710"/>
      <c r="AP699" s="710"/>
      <c r="AQ699" s="710"/>
      <c r="AR699" s="710"/>
      <c r="AS699" s="710"/>
      <c r="AT699" s="710">
        <v>0</v>
      </c>
      <c r="AU699" s="710">
        <v>0</v>
      </c>
      <c r="AV699" s="710">
        <v>0</v>
      </c>
      <c r="AW699" s="710">
        <v>0</v>
      </c>
      <c r="AX699" s="710">
        <v>-4.233E-2</v>
      </c>
      <c r="AY699" s="710">
        <v>-0.12353305000000001</v>
      </c>
      <c r="AZ699" s="710">
        <v>-0.23488355520000004</v>
      </c>
      <c r="BA699" s="710">
        <v>-0.34560447168000002</v>
      </c>
      <c r="BB699" s="710">
        <v>-0.47396450438999987</v>
      </c>
      <c r="BC699" s="710">
        <v>-0.60615058862862004</v>
      </c>
      <c r="BD699" s="710">
        <v>-0.74776884872030691</v>
      </c>
      <c r="BE699" s="710">
        <v>-0.90190184571159127</v>
      </c>
      <c r="BF699" s="710">
        <v>-1.0877864926583216</v>
      </c>
      <c r="BG699" s="710">
        <v>-1.3016246689547362</v>
      </c>
      <c r="BH699" s="710">
        <v>-1.5289729991096055</v>
      </c>
      <c r="BI699" s="710">
        <v>-1.7679088883754679</v>
      </c>
      <c r="BJ699" s="710">
        <v>-2.0338462947366067</v>
      </c>
      <c r="BK699" s="710">
        <v>-2.3241515082031667</v>
      </c>
      <c r="BL699" s="710">
        <v>-2.6364474008113197</v>
      </c>
      <c r="BM699" s="710">
        <v>-2.9685255355429372</v>
      </c>
      <c r="BN699" s="710">
        <v>-3.3182303568505405</v>
      </c>
      <c r="BO699" s="710">
        <v>-3.6834588655378879</v>
      </c>
      <c r="BP699" s="710">
        <v>-4.0621516000654303</v>
      </c>
      <c r="BQ699" s="710">
        <v>-4.4522806908864663</v>
      </c>
      <c r="BR699" s="710">
        <v>-4.8518473281239851</v>
      </c>
      <c r="BS699" s="710">
        <v>-5.2588816980816349</v>
      </c>
      <c r="BT699" s="710">
        <v>-5.6714426659044452</v>
      </c>
      <c r="BU699" s="710">
        <v>-6.5938086989882789</v>
      </c>
      <c r="BV699" s="710">
        <v>-7.4599472068787422</v>
      </c>
      <c r="BW699" s="710">
        <v>-8.2783106855555229</v>
      </c>
      <c r="BX699" s="710">
        <v>-9.0544485602161533</v>
      </c>
      <c r="BY699" s="710">
        <v>-9.7900187751594601</v>
      </c>
      <c r="BZ699" s="710">
        <v>-10.486350886069065</v>
      </c>
      <c r="CA699" s="710">
        <v>-11.144414451052818</v>
      </c>
      <c r="CB699" s="710">
        <v>-11.76481137727178</v>
      </c>
      <c r="CC699" s="710">
        <v>-12.348072970896437</v>
      </c>
      <c r="CD699" s="710">
        <v>-12.894735404821937</v>
      </c>
      <c r="CE699" s="710">
        <v>-13.405330814221886</v>
      </c>
      <c r="CF699" s="710">
        <v>-13.880384828353851</v>
      </c>
      <c r="CG699" s="710">
        <v>-14.320415823271601</v>
      </c>
      <c r="CH699" s="710">
        <v>-14.755334656043253</v>
      </c>
      <c r="CI699" s="710">
        <v>-15.183936100110365</v>
      </c>
      <c r="CJ699" s="710">
        <v>-15.605428720788522</v>
      </c>
      <c r="CK699" s="710">
        <v>-16.019291801505879</v>
      </c>
      <c r="CL699" s="710">
        <v>-16.425065698604143</v>
      </c>
      <c r="CM699" s="710">
        <v>-16.822336607147765</v>
      </c>
      <c r="CN699" s="710">
        <v>-17.210718483413594</v>
      </c>
      <c r="CO699" s="710">
        <v>-17.589833394779809</v>
      </c>
      <c r="CP699" s="710">
        <v>-17.959307953690658</v>
      </c>
      <c r="CQ699" s="710">
        <v>-18.318773925878485</v>
      </c>
      <c r="CR699" s="710">
        <v>-18.667868357300421</v>
      </c>
      <c r="CS699" s="710">
        <v>-19.006233564633003</v>
      </c>
      <c r="CT699" s="710">
        <v>-20.310108385389935</v>
      </c>
      <c r="CU699" s="710">
        <v>-21.495689452067257</v>
      </c>
      <c r="CV699" s="710">
        <v>-22.577935801080489</v>
      </c>
      <c r="CW699" s="710">
        <v>-23.566401303587003</v>
      </c>
      <c r="CX699" s="710">
        <v>-24.463245808119218</v>
      </c>
      <c r="CY699" s="710">
        <v>-25.270036139078737</v>
      </c>
      <c r="CZ699" s="710">
        <v>-25.987674579087361</v>
      </c>
      <c r="DA699" s="710">
        <v>-26.616375168713677</v>
      </c>
      <c r="DC699" s="12">
        <f t="shared" si="715"/>
        <v>0</v>
      </c>
      <c r="DD699" s="12">
        <f t="shared" si="709"/>
        <v>0</v>
      </c>
      <c r="DE699" s="12">
        <f t="shared" si="710"/>
        <v>-3.4761368643305177</v>
      </c>
      <c r="DF699" s="12">
        <f t="shared" si="714"/>
        <v>-31.165385301732485</v>
      </c>
      <c r="DG699" s="12">
        <f t="shared" si="711"/>
        <v>-102.70235530419833</v>
      </c>
      <c r="DH699" s="12">
        <f t="shared" si="712"/>
        <v>-184.11281233306264</v>
      </c>
      <c r="DI699" s="12">
        <f t="shared" si="696"/>
        <v>-264.23965043862626</v>
      </c>
    </row>
    <row r="700" spans="2:113" outlineLevel="2">
      <c r="F700" s="698"/>
      <c r="G700" s="126" t="s">
        <v>828</v>
      </c>
      <c r="H700" s="126"/>
      <c r="I700" s="609" t="s">
        <v>736</v>
      </c>
      <c r="AH700" s="710"/>
      <c r="AI700" s="710"/>
      <c r="AJ700" s="710"/>
      <c r="AK700" s="710"/>
      <c r="AL700" s="710"/>
      <c r="AM700" s="710"/>
      <c r="AN700" s="710"/>
      <c r="AO700" s="710"/>
      <c r="AP700" s="710"/>
      <c r="AQ700" s="710"/>
      <c r="AR700" s="710"/>
      <c r="AS700" s="710"/>
      <c r="AT700" s="710">
        <v>0</v>
      </c>
      <c r="AU700" s="710">
        <v>0</v>
      </c>
      <c r="AV700" s="710">
        <v>0</v>
      </c>
      <c r="AW700" s="710">
        <v>0</v>
      </c>
      <c r="AX700" s="710">
        <v>0</v>
      </c>
      <c r="AY700" s="710">
        <v>3.3863999999999977E-3</v>
      </c>
      <c r="AZ700" s="710">
        <v>1.1829823999999989E-2</v>
      </c>
      <c r="BA700" s="710">
        <v>2.4843168915999969E-2</v>
      </c>
      <c r="BB700" s="710">
        <v>3.9642559497999996E-2</v>
      </c>
      <c r="BC700" s="710">
        <v>5.6225029517889658E-2</v>
      </c>
      <c r="BD700" s="710">
        <v>7.4031270951852246E-2</v>
      </c>
      <c r="BE700" s="710">
        <v>9.2946623557344399E-2</v>
      </c>
      <c r="BF700" s="710">
        <v>0.11337571903587129</v>
      </c>
      <c r="BG700" s="710">
        <v>0.13702820984765207</v>
      </c>
      <c r="BH700" s="710">
        <v>0.16451472215705376</v>
      </c>
      <c r="BI700" s="710">
        <v>0.19468604085020313</v>
      </c>
      <c r="BJ700" s="710">
        <v>0.22674336150990193</v>
      </c>
      <c r="BK700" s="710">
        <v>0.26171186222581255</v>
      </c>
      <c r="BL700" s="710">
        <v>0.30003231645994433</v>
      </c>
      <c r="BM700" s="710">
        <v>0.34151067089219467</v>
      </c>
      <c r="BN700" s="710">
        <v>0.3858762367396249</v>
      </c>
      <c r="BO700" s="710">
        <v>0.43284066589552239</v>
      </c>
      <c r="BP700" s="710">
        <v>0.48210881862086552</v>
      </c>
      <c r="BQ700" s="710">
        <v>0.53339257719409616</v>
      </c>
      <c r="BR700" s="710">
        <v>0.58640909612010717</v>
      </c>
      <c r="BS700" s="710">
        <v>0.64087987047182793</v>
      </c>
      <c r="BT700" s="710">
        <v>0.69653048622813429</v>
      </c>
      <c r="BU700" s="710">
        <v>0.75309053104529511</v>
      </c>
      <c r="BV700" s="710">
        <v>0.85078883609872236</v>
      </c>
      <c r="BW700" s="710">
        <v>0.96751580062889531</v>
      </c>
      <c r="BX700" s="710">
        <v>1.0823107809114703</v>
      </c>
      <c r="BY700" s="710">
        <v>1.1923667423492859</v>
      </c>
      <c r="BZ700" s="710">
        <v>1.2971111957732688</v>
      </c>
      <c r="CA700" s="710">
        <v>1.396308917808966</v>
      </c>
      <c r="CB700" s="710">
        <v>1.4901348198524005</v>
      </c>
      <c r="CC700" s="710">
        <v>1.5787023654153245</v>
      </c>
      <c r="CD700" s="710">
        <v>1.662095102141933</v>
      </c>
      <c r="CE700" s="710">
        <v>1.7403892883358765</v>
      </c>
      <c r="CF700" s="710">
        <v>1.8136592012018724</v>
      </c>
      <c r="CG700" s="710">
        <v>1.8819779538472972</v>
      </c>
      <c r="CH700" s="710">
        <v>1.9454176962893825</v>
      </c>
      <c r="CI700" s="710">
        <v>2.0064015802348081</v>
      </c>
      <c r="CJ700" s="710">
        <v>2.0662154410626528</v>
      </c>
      <c r="CK700" s="710">
        <v>2.125003743498965</v>
      </c>
      <c r="CL700" s="710">
        <v>2.1827559797314251</v>
      </c>
      <c r="CM700" s="710">
        <v>2.239427182689127</v>
      </c>
      <c r="CN700" s="710">
        <v>2.2949554592099446</v>
      </c>
      <c r="CO700" s="710">
        <v>2.3492848390753807</v>
      </c>
      <c r="CP700" s="710">
        <v>2.4023620706718987</v>
      </c>
      <c r="CQ700" s="710">
        <v>2.4541350534075832</v>
      </c>
      <c r="CR700" s="710">
        <v>2.504552490523082</v>
      </c>
      <c r="CS700" s="710">
        <v>2.553563829455328</v>
      </c>
      <c r="CT700" s="710">
        <v>2.6011192460240977</v>
      </c>
      <c r="CU700" s="710">
        <v>2.7252969436160299</v>
      </c>
      <c r="CV700" s="710">
        <v>2.8842952533928496</v>
      </c>
      <c r="CW700" s="710">
        <v>3.0379870292277644</v>
      </c>
      <c r="CX700" s="710">
        <v>3.1808860477455312</v>
      </c>
      <c r="CY700" s="710">
        <v>3.3117641680902921</v>
      </c>
      <c r="CZ700" s="710">
        <v>3.4300334620614024</v>
      </c>
      <c r="DA700" s="710">
        <v>3.5358947676404568</v>
      </c>
      <c r="DC700" s="14">
        <f t="shared" si="715"/>
        <v>0</v>
      </c>
      <c r="DD700" s="12">
        <f t="shared" si="709"/>
        <v>0</v>
      </c>
      <c r="DE700" s="12">
        <f t="shared" si="710"/>
        <v>0.30290487644108627</v>
      </c>
      <c r="DF700" s="12">
        <f t="shared" si="714"/>
        <v>3.5738212014287427</v>
      </c>
      <c r="DG700" s="12">
        <f t="shared" si="711"/>
        <v>12.532149442703698</v>
      </c>
      <c r="DH700" s="12">
        <f t="shared" si="712"/>
        <v>24.307583467318665</v>
      </c>
      <c r="DI700" s="12">
        <f t="shared" si="696"/>
        <v>34.621890361856316</v>
      </c>
    </row>
    <row r="701" spans="2:113" s="702" customFormat="1" outlineLevel="2">
      <c r="B701" s="126"/>
      <c r="E701" s="720" t="s">
        <v>820</v>
      </c>
      <c r="H701" s="725"/>
      <c r="I701" s="609" t="s">
        <v>736</v>
      </c>
      <c r="J701" s="725"/>
      <c r="K701" s="725"/>
      <c r="L701" s="725"/>
      <c r="M701" s="725"/>
      <c r="AO701" s="708"/>
      <c r="AP701" s="708"/>
      <c r="AQ701" s="708"/>
      <c r="AR701" s="708"/>
      <c r="AS701" s="708"/>
      <c r="AT701" s="708">
        <f t="shared" ref="AT701:DA701" si="718">AT676+AT688+AT689</f>
        <v>-0.55006388888888902</v>
      </c>
      <c r="AU701" s="708">
        <f t="shared" si="718"/>
        <v>-0.35510884748304661</v>
      </c>
      <c r="AV701" s="708">
        <f t="shared" si="718"/>
        <v>-0.11018945238425926</v>
      </c>
      <c r="AW701" s="708">
        <f t="shared" si="718"/>
        <v>0.16229502253200456</v>
      </c>
      <c r="AX701" s="708">
        <f t="shared" si="718"/>
        <v>0.46533708309859056</v>
      </c>
      <c r="AY701" s="708">
        <f t="shared" si="718"/>
        <v>0.79680881346643706</v>
      </c>
      <c r="AZ701" s="708">
        <f t="shared" si="718"/>
        <v>1.2158905300254172</v>
      </c>
      <c r="BA701" s="708">
        <f t="shared" si="718"/>
        <v>1.5835040485044913</v>
      </c>
      <c r="BB701" s="708">
        <f t="shared" si="718"/>
        <v>1.9390088479574172</v>
      </c>
      <c r="BC701" s="708">
        <f t="shared" si="718"/>
        <v>2.2855740776922175</v>
      </c>
      <c r="BD701" s="708">
        <f t="shared" si="718"/>
        <v>2.6333037408533939</v>
      </c>
      <c r="BE701" s="708">
        <f t="shared" si="718"/>
        <v>2.9887286662684627</v>
      </c>
      <c r="BF701" s="708">
        <f t="shared" si="718"/>
        <v>3.1504530788698846</v>
      </c>
      <c r="BG701" s="708">
        <f t="shared" si="718"/>
        <v>3.6479155382599329</v>
      </c>
      <c r="BH701" s="708">
        <f t="shared" si="718"/>
        <v>4.1643650866607924</v>
      </c>
      <c r="BI701" s="708">
        <f t="shared" si="718"/>
        <v>4.6896988090324507</v>
      </c>
      <c r="BJ701" s="708">
        <f t="shared" si="718"/>
        <v>5.2147483986426497</v>
      </c>
      <c r="BK701" s="708">
        <f t="shared" si="718"/>
        <v>5.7429390920576378</v>
      </c>
      <c r="BL701" s="708">
        <f t="shared" si="718"/>
        <v>6.2791838650508405</v>
      </c>
      <c r="BM701" s="708">
        <f t="shared" si="718"/>
        <v>6.8167940132677778</v>
      </c>
      <c r="BN701" s="708">
        <f t="shared" si="718"/>
        <v>7.3461702055083027</v>
      </c>
      <c r="BO701" s="708">
        <f t="shared" si="718"/>
        <v>7.8667635382805834</v>
      </c>
      <c r="BP701" s="708">
        <f t="shared" si="718"/>
        <v>8.3778786870284243</v>
      </c>
      <c r="BQ701" s="708">
        <f t="shared" si="718"/>
        <v>12.060412438549129</v>
      </c>
      <c r="BR701" s="708">
        <f t="shared" si="718"/>
        <v>12.694085623053976</v>
      </c>
      <c r="BS701" s="708">
        <f t="shared" si="718"/>
        <v>13.574858678800254</v>
      </c>
      <c r="BT701" s="708">
        <f t="shared" si="718"/>
        <v>14.404063768046404</v>
      </c>
      <c r="BU701" s="708">
        <f t="shared" si="718"/>
        <v>15.233571910319867</v>
      </c>
      <c r="BV701" s="708">
        <f t="shared" si="718"/>
        <v>15.993566641243596</v>
      </c>
      <c r="BW701" s="708">
        <f t="shared" si="718"/>
        <v>16.689905223617139</v>
      </c>
      <c r="BX701" s="708">
        <f t="shared" si="718"/>
        <v>17.169565738569702</v>
      </c>
      <c r="BY701" s="708">
        <f t="shared" si="718"/>
        <v>17.360668231183201</v>
      </c>
      <c r="BZ701" s="708">
        <f t="shared" si="718"/>
        <v>17.546455992758677</v>
      </c>
      <c r="CA701" s="708">
        <f t="shared" si="718"/>
        <v>17.721510369915915</v>
      </c>
      <c r="CB701" s="708">
        <f t="shared" si="718"/>
        <v>17.883256093822265</v>
      </c>
      <c r="CC701" s="708">
        <f t="shared" si="718"/>
        <v>18.031160320561476</v>
      </c>
      <c r="CD701" s="708">
        <f t="shared" si="718"/>
        <v>18.090446907700741</v>
      </c>
      <c r="CE701" s="708">
        <f t="shared" si="718"/>
        <v>18.428517812680383</v>
      </c>
      <c r="CF701" s="708">
        <f t="shared" si="718"/>
        <v>18.784843281235297</v>
      </c>
      <c r="CG701" s="708">
        <f t="shared" si="718"/>
        <v>19.158957360669213</v>
      </c>
      <c r="CH701" s="708">
        <f t="shared" si="718"/>
        <v>19.553324639960231</v>
      </c>
      <c r="CI701" s="708">
        <f t="shared" si="718"/>
        <v>19.966435289446057</v>
      </c>
      <c r="CJ701" s="708">
        <f t="shared" si="718"/>
        <v>20.396965018548677</v>
      </c>
      <c r="CK701" s="708">
        <f t="shared" si="718"/>
        <v>20.834558283397186</v>
      </c>
      <c r="CL701" s="708">
        <f t="shared" si="718"/>
        <v>21.264039388863765</v>
      </c>
      <c r="CM701" s="708">
        <f t="shared" si="718"/>
        <v>21.685789079509092</v>
      </c>
      <c r="CN701" s="708">
        <f t="shared" si="718"/>
        <v>22.099890589956967</v>
      </c>
      <c r="CO701" s="708">
        <f t="shared" si="718"/>
        <v>22.506277859995663</v>
      </c>
      <c r="CP701" s="708">
        <f t="shared" si="718"/>
        <v>22.86935965836944</v>
      </c>
      <c r="CQ701" s="708">
        <f t="shared" si="718"/>
        <v>24.198258876205461</v>
      </c>
      <c r="CR701" s="708">
        <f t="shared" si="718"/>
        <v>25.439150746800284</v>
      </c>
      <c r="CS701" s="708">
        <f t="shared" si="718"/>
        <v>26.592140666427845</v>
      </c>
      <c r="CT701" s="708">
        <f t="shared" si="718"/>
        <v>27.753945770492319</v>
      </c>
      <c r="CU701" s="708">
        <f t="shared" si="718"/>
        <v>28.786800684644351</v>
      </c>
      <c r="CV701" s="708">
        <f t="shared" si="718"/>
        <v>29.69772438903248</v>
      </c>
      <c r="CW701" s="708">
        <f t="shared" si="718"/>
        <v>30.187320503552055</v>
      </c>
      <c r="CX701" s="708">
        <f t="shared" si="718"/>
        <v>30.111525077369929</v>
      </c>
      <c r="CY701" s="708">
        <f t="shared" si="718"/>
        <v>30.011902904009553</v>
      </c>
      <c r="CZ701" s="708">
        <f t="shared" si="718"/>
        <v>29.877731095566357</v>
      </c>
      <c r="DA701" s="708">
        <f t="shared" si="718"/>
        <v>29.703682965624079</v>
      </c>
      <c r="DC701" s="14">
        <f t="shared" si="715"/>
        <v>0</v>
      </c>
      <c r="DD701" s="14">
        <f t="shared" si="709"/>
        <v>0</v>
      </c>
      <c r="DE701" s="14">
        <f t="shared" si="710"/>
        <v>13.055088641642238</v>
      </c>
      <c r="DF701" s="14">
        <f t="shared" si="714"/>
        <v>75.357322751208415</v>
      </c>
      <c r="DG701" s="14">
        <f t="shared" si="711"/>
        <v>194.30266859189246</v>
      </c>
      <c r="DH701" s="14">
        <f t="shared" si="712"/>
        <v>242.7700455119633</v>
      </c>
      <c r="DI701" s="14">
        <f t="shared" si="696"/>
        <v>335.22954333809412</v>
      </c>
    </row>
    <row r="702" spans="2:113" outlineLevel="2">
      <c r="E702" s="229"/>
      <c r="F702" s="230" t="s">
        <v>423</v>
      </c>
      <c r="I702" s="609" t="s">
        <v>736</v>
      </c>
      <c r="AT702" s="739">
        <v>0</v>
      </c>
      <c r="AU702" s="739">
        <v>0</v>
      </c>
      <c r="AV702" s="739">
        <v>0</v>
      </c>
      <c r="AW702" s="739">
        <v>0</v>
      </c>
      <c r="AX702" s="739">
        <v>4.233E-2</v>
      </c>
      <c r="AY702" s="739">
        <v>0.16247665</v>
      </c>
      <c r="AZ702" s="739">
        <v>0.38553038120000005</v>
      </c>
      <c r="BA702" s="739">
        <v>0.70629168396400011</v>
      </c>
      <c r="BB702" s="739">
        <v>1.1040970524233999</v>
      </c>
      <c r="BC702" s="739">
        <v>1.547491585888092</v>
      </c>
      <c r="BD702" s="739">
        <v>2.0187100922613341</v>
      </c>
      <c r="BE702" s="739">
        <v>2.5297273280641788</v>
      </c>
      <c r="BF702" s="739">
        <v>3.0955640228113337</v>
      </c>
      <c r="BG702" s="739">
        <v>3.7376649293960553</v>
      </c>
      <c r="BH702" s="739">
        <v>4.4575726801517472</v>
      </c>
      <c r="BI702" s="739">
        <v>5.2534021488602836</v>
      </c>
      <c r="BJ702" s="739">
        <v>6.1228886343236075</v>
      </c>
      <c r="BK702" s="739">
        <v>7.0634016450105817</v>
      </c>
      <c r="BL702" s="739">
        <v>8.0819492947137856</v>
      </c>
      <c r="BM702" s="739">
        <v>9.1851714074427164</v>
      </c>
      <c r="BN702" s="739">
        <v>10.364524211847009</v>
      </c>
      <c r="BO702" s="739">
        <v>11.611934589930915</v>
      </c>
      <c r="BP702" s="739">
        <v>12.919613493131543</v>
      </c>
      <c r="BQ702" s="739">
        <v>14.279935209995276</v>
      </c>
      <c r="BR702" s="739">
        <v>15.685415680192033</v>
      </c>
      <c r="BS702" s="739">
        <v>17.128691857263085</v>
      </c>
      <c r="BT702" s="739">
        <v>18.602508783516335</v>
      </c>
      <c r="BU702" s="739">
        <v>20.605907974876278</v>
      </c>
      <c r="BV702" s="739">
        <v>23.033392078030559</v>
      </c>
      <c r="BW702" s="739">
        <v>25.811723399900202</v>
      </c>
      <c r="BX702" s="739">
        <v>28.895847164625856</v>
      </c>
      <c r="BY702" s="739">
        <v>31.810148909957746</v>
      </c>
      <c r="BZ702" s="739">
        <v>34.569647304628461</v>
      </c>
      <c r="CA702" s="739">
        <v>37.182785836938351</v>
      </c>
      <c r="CB702" s="739">
        <v>39.653654992059209</v>
      </c>
      <c r="CC702" s="739">
        <v>41.985337635886765</v>
      </c>
      <c r="CD702" s="739">
        <v>44.18022372970016</v>
      </c>
      <c r="CE702" s="739">
        <v>46.240323855519733</v>
      </c>
      <c r="CF702" s="739">
        <v>48.167581540050207</v>
      </c>
      <c r="CG702" s="739">
        <v>49.963927753363301</v>
      </c>
      <c r="CH702" s="739">
        <v>51.660670093748024</v>
      </c>
      <c r="CI702" s="739">
        <v>53.28502918979099</v>
      </c>
      <c r="CJ702" s="739">
        <v>54.861695417515847</v>
      </c>
      <c r="CK702" s="739">
        <v>56.414247240615765</v>
      </c>
      <c r="CL702" s="739">
        <v>57.940011407940212</v>
      </c>
      <c r="CM702" s="739">
        <v>59.437011339329196</v>
      </c>
      <c r="CN702" s="739">
        <v>60.90362800674054</v>
      </c>
      <c r="CO702" s="739">
        <v>62.338368940541685</v>
      </c>
      <c r="CP702" s="739">
        <v>63.739817604092238</v>
      </c>
      <c r="CQ702" s="739">
        <v>65.106597905269894</v>
      </c>
      <c r="CR702" s="739">
        <v>66.437354763801437</v>
      </c>
      <c r="CS702" s="739">
        <v>67.730751664577554</v>
      </c>
      <c r="CT702" s="739">
        <v>69.962062536238477</v>
      </c>
      <c r="CU702" s="739">
        <v>72.944997076953001</v>
      </c>
      <c r="CV702" s="739">
        <v>76.550338479947527</v>
      </c>
      <c r="CW702" s="739">
        <v>80.698859203230327</v>
      </c>
      <c r="CX702" s="739">
        <v>84.476811152859312</v>
      </c>
      <c r="CY702" s="739">
        <v>87.90904175312636</v>
      </c>
      <c r="CZ702" s="739">
        <v>91.008049055277695</v>
      </c>
      <c r="DA702" s="739">
        <v>93.778115434962103</v>
      </c>
      <c r="DC702" s="11">
        <f t="shared" ref="DC702:DC707" si="719">AG702</f>
        <v>0</v>
      </c>
      <c r="DD702" s="11">
        <f t="shared" ref="DD702:DD707" si="720">AS702</f>
        <v>0</v>
      </c>
      <c r="DE702" s="11">
        <f t="shared" ref="DE702:DE707" si="721">BE702</f>
        <v>2.5297273280641788</v>
      </c>
      <c r="DF702" s="11">
        <f t="shared" ref="DF702:DF707" si="722">BQ702</f>
        <v>14.279935209995276</v>
      </c>
      <c r="DG702" s="11">
        <f t="shared" ref="DG702:DG707" si="723">CC702</f>
        <v>41.985337635886765</v>
      </c>
      <c r="DH702" s="11">
        <f t="shared" ref="DH702:DH707" si="724">CO702</f>
        <v>62.338368940541685</v>
      </c>
      <c r="DI702" s="11">
        <f t="shared" ref="DI702:DI707" si="725">DA702</f>
        <v>93.778115434962103</v>
      </c>
    </row>
    <row r="703" spans="2:113" outlineLevel="2">
      <c r="E703" s="229"/>
      <c r="F703" s="230" t="s">
        <v>810</v>
      </c>
      <c r="I703" s="609" t="s">
        <v>736</v>
      </c>
      <c r="AT703" s="739">
        <v>0</v>
      </c>
      <c r="AU703" s="739">
        <v>6.6666666666666666E-2</v>
      </c>
      <c r="AV703" s="739">
        <v>0.24988888888888888</v>
      </c>
      <c r="AW703" s="739">
        <v>0.58740777777777786</v>
      </c>
      <c r="AX703" s="739">
        <v>1.1056740555555555</v>
      </c>
      <c r="AY703" s="739">
        <v>1.8159899224444442</v>
      </c>
      <c r="AZ703" s="739">
        <v>2.7018431667466669</v>
      </c>
      <c r="BA703" s="739">
        <v>3.7585599311652444</v>
      </c>
      <c r="BB703" s="739">
        <v>4.9641392665173649</v>
      </c>
      <c r="BC703" s="739">
        <v>6.2765721313062004</v>
      </c>
      <c r="BD703" s="739">
        <v>7.6989983421802481</v>
      </c>
      <c r="BE703" s="739">
        <v>9.2715088445732476</v>
      </c>
      <c r="BF703" s="739">
        <v>10.977618615872588</v>
      </c>
      <c r="BG703" s="739">
        <v>12.854624761965537</v>
      </c>
      <c r="BH703" s="739">
        <v>14.920428167278212</v>
      </c>
      <c r="BI703" s="739">
        <v>17.180699520684485</v>
      </c>
      <c r="BJ703" s="739">
        <v>19.62146676387103</v>
      </c>
      <c r="BK703" s="739">
        <v>22.229064815369181</v>
      </c>
      <c r="BL703" s="739">
        <v>24.999857747660059</v>
      </c>
      <c r="BM703" s="739">
        <v>27.930082248256134</v>
      </c>
      <c r="BN703" s="739">
        <v>31.00099054981942</v>
      </c>
      <c r="BO703" s="739">
        <v>34.194469954503639</v>
      </c>
      <c r="BP703" s="739">
        <v>37.492838813546044</v>
      </c>
      <c r="BQ703" s="739">
        <v>40.878722160884948</v>
      </c>
      <c r="BR703" s="739">
        <v>45.482854676068207</v>
      </c>
      <c r="BS703" s="739">
        <v>50.812637894595781</v>
      </c>
      <c r="BT703" s="739">
        <v>56.541828495250805</v>
      </c>
      <c r="BU703" s="739">
        <v>62.56654328434476</v>
      </c>
      <c r="BV703" s="739">
        <v>68.803244693071321</v>
      </c>
      <c r="BW703" s="739">
        <v>75.190507579461666</v>
      </c>
      <c r="BX703" s="739">
        <v>81.68942827829774</v>
      </c>
      <c r="BY703" s="739">
        <v>87.828773461392203</v>
      </c>
      <c r="BZ703" s="739">
        <v>93.626799268353096</v>
      </c>
      <c r="CA703" s="739">
        <v>99.094677127896659</v>
      </c>
      <c r="CB703" s="739">
        <v>104.23914558919414</v>
      </c>
      <c r="CC703" s="739">
        <v>109.06591982788659</v>
      </c>
      <c r="CD703" s="739">
        <v>113.57999085461631</v>
      </c>
      <c r="CE703" s="739">
        <v>117.85260117576183</v>
      </c>
      <c r="CF703" s="739">
        <v>121.93101490228088</v>
      </c>
      <c r="CG703" s="739">
        <v>125.84668959537458</v>
      </c>
      <c r="CH703" s="739">
        <v>129.62715670397915</v>
      </c>
      <c r="CI703" s="739">
        <v>133.29688867469949</v>
      </c>
      <c r="CJ703" s="739">
        <v>136.8783293832949</v>
      </c>
      <c r="CK703" s="739">
        <v>140.39301436245944</v>
      </c>
      <c r="CL703" s="739">
        <v>143.83634081989425</v>
      </c>
      <c r="CM703" s="739">
        <v>147.20445666111874</v>
      </c>
      <c r="CN703" s="739">
        <v>150.49389525595609</v>
      </c>
      <c r="CO703" s="739">
        <v>153.70134173583372</v>
      </c>
      <c r="CP703" s="739">
        <v>156.82358322410076</v>
      </c>
      <c r="CQ703" s="739">
        <v>162.07196610415932</v>
      </c>
      <c r="CR703" s="739">
        <v>168.53671931824675</v>
      </c>
      <c r="CS703" s="739">
        <v>175.61481408264703</v>
      </c>
      <c r="CT703" s="739">
        <v>183.12270697128679</v>
      </c>
      <c r="CU703" s="739">
        <v>190.91079132448036</v>
      </c>
      <c r="CV703" s="739">
        <v>198.86744696865458</v>
      </c>
      <c r="CW703" s="739">
        <v>206.92037920871991</v>
      </c>
      <c r="CX703" s="739">
        <v>214.15949841413689</v>
      </c>
      <c r="CY703" s="739">
        <v>220.61120342589757</v>
      </c>
      <c r="CZ703" s="739">
        <v>226.28863697429435</v>
      </c>
      <c r="DA703" s="739">
        <v>231.19663920323339</v>
      </c>
      <c r="DC703" s="11">
        <f t="shared" si="719"/>
        <v>0</v>
      </c>
      <c r="DD703" s="11">
        <f t="shared" si="720"/>
        <v>0</v>
      </c>
      <c r="DE703" s="11">
        <f t="shared" si="721"/>
        <v>9.2715088445732476</v>
      </c>
      <c r="DF703" s="11">
        <f t="shared" si="722"/>
        <v>40.878722160884948</v>
      </c>
      <c r="DG703" s="11">
        <f t="shared" si="723"/>
        <v>109.06591982788659</v>
      </c>
      <c r="DH703" s="11">
        <f t="shared" si="724"/>
        <v>153.70134173583372</v>
      </c>
      <c r="DI703" s="11">
        <f t="shared" si="725"/>
        <v>231.19663920323339</v>
      </c>
    </row>
    <row r="704" spans="2:113" outlineLevel="2">
      <c r="E704" s="230" t="s">
        <v>811</v>
      </c>
      <c r="F704" s="229"/>
      <c r="I704" s="609" t="s">
        <v>812</v>
      </c>
      <c r="AT704" s="753">
        <f t="shared" ref="AT704:DA704" si="726">AT702/AT673</f>
        <v>0</v>
      </c>
      <c r="AU704" s="753">
        <f t="shared" si="726"/>
        <v>0</v>
      </c>
      <c r="AV704" s="753">
        <f t="shared" si="726"/>
        <v>0</v>
      </c>
      <c r="AW704" s="753">
        <f t="shared" si="726"/>
        <v>0</v>
      </c>
      <c r="AX704" s="753">
        <f t="shared" si="726"/>
        <v>1.7928000000000002E-3</v>
      </c>
      <c r="AY704" s="753">
        <f t="shared" si="726"/>
        <v>4.9886220895522387E-3</v>
      </c>
      <c r="AZ704" s="753">
        <f t="shared" si="726"/>
        <v>9.0123985215584436E-3</v>
      </c>
      <c r="BA704" s="753">
        <f t="shared" si="726"/>
        <v>1.3039231088566158E-2</v>
      </c>
      <c r="BB704" s="753">
        <f t="shared" si="726"/>
        <v>1.6570559599382223E-2</v>
      </c>
      <c r="BC704" s="753">
        <f t="shared" si="726"/>
        <v>1.9327984645203335E-2</v>
      </c>
      <c r="BD704" s="753">
        <f t="shared" si="726"/>
        <v>2.1390198585399929E-2</v>
      </c>
      <c r="BE704" s="753">
        <f t="shared" si="726"/>
        <v>2.3103988300207774E-2</v>
      </c>
      <c r="BF704" s="753">
        <f t="shared" si="726"/>
        <v>2.4514459282167167E-2</v>
      </c>
      <c r="BG704" s="753">
        <f t="shared" si="726"/>
        <v>2.5846652603989391E-2</v>
      </c>
      <c r="BH704" s="753">
        <f t="shared" si="726"/>
        <v>2.7117669878593414E-2</v>
      </c>
      <c r="BI704" s="753">
        <f t="shared" si="726"/>
        <v>2.8325654132095292E-2</v>
      </c>
      <c r="BJ704" s="753">
        <f t="shared" si="726"/>
        <v>2.947525923636464E-2</v>
      </c>
      <c r="BK704" s="753">
        <f t="shared" si="726"/>
        <v>3.0571947599638362E-2</v>
      </c>
      <c r="BL704" s="753">
        <f t="shared" si="726"/>
        <v>3.1659086271893462E-2</v>
      </c>
      <c r="BM704" s="753">
        <f t="shared" si="726"/>
        <v>3.276592390397666E-2</v>
      </c>
      <c r="BN704" s="753">
        <f t="shared" si="726"/>
        <v>3.3865568469088607E-2</v>
      </c>
      <c r="BO704" s="753">
        <f t="shared" si="726"/>
        <v>3.4942341375566795E-2</v>
      </c>
      <c r="BP704" s="753">
        <f t="shared" si="726"/>
        <v>3.5987461137418429E-2</v>
      </c>
      <c r="BQ704" s="753">
        <f t="shared" si="726"/>
        <v>3.4436251329902495E-2</v>
      </c>
      <c r="BR704" s="753">
        <f t="shared" si="726"/>
        <v>3.3488485363656229E-2</v>
      </c>
      <c r="BS704" s="753">
        <f t="shared" si="726"/>
        <v>3.2933165698388452E-2</v>
      </c>
      <c r="BT704" s="753">
        <f t="shared" si="726"/>
        <v>3.2645569917951672E-2</v>
      </c>
      <c r="BU704" s="753">
        <f t="shared" si="726"/>
        <v>3.3366850898688953E-2</v>
      </c>
      <c r="BV704" s="753">
        <f t="shared" si="726"/>
        <v>3.4727148967349804E-2</v>
      </c>
      <c r="BW704" s="753">
        <f t="shared" si="726"/>
        <v>3.6510866453820866E-2</v>
      </c>
      <c r="BX704" s="753">
        <f t="shared" si="726"/>
        <v>3.8598361808449548E-2</v>
      </c>
      <c r="BY704" s="753">
        <f t="shared" si="726"/>
        <v>4.0376770887327371E-2</v>
      </c>
      <c r="BZ704" s="753">
        <f t="shared" si="726"/>
        <v>4.1921868059782548E-2</v>
      </c>
      <c r="CA704" s="753">
        <f t="shared" si="726"/>
        <v>4.3284413647909893E-2</v>
      </c>
      <c r="CB704" s="753">
        <f t="shared" si="726"/>
        <v>4.4499217814196045E-2</v>
      </c>
      <c r="CC704" s="753">
        <f t="shared" si="726"/>
        <v>4.5592582862153987E-2</v>
      </c>
      <c r="CD704" s="753">
        <f t="shared" si="726"/>
        <v>4.6503040881620668E-2</v>
      </c>
      <c r="CE704" s="753">
        <f t="shared" si="726"/>
        <v>4.7250542640636967E-2</v>
      </c>
      <c r="CF704" s="753">
        <f t="shared" si="726"/>
        <v>4.7852116129003752E-2</v>
      </c>
      <c r="CG704" s="753">
        <f t="shared" si="726"/>
        <v>4.8322424297474707E-2</v>
      </c>
      <c r="CH704" s="753">
        <f t="shared" si="726"/>
        <v>4.8701869348982872E-2</v>
      </c>
      <c r="CI704" s="753">
        <f t="shared" si="726"/>
        <v>4.9022787599985324E-2</v>
      </c>
      <c r="CJ704" s="753">
        <f t="shared" si="726"/>
        <v>4.9311993375946696E-2</v>
      </c>
      <c r="CK704" s="753">
        <f t="shared" si="726"/>
        <v>4.9592801854917122E-2</v>
      </c>
      <c r="CL704" s="753">
        <f t="shared" si="726"/>
        <v>4.9864989724342924E-2</v>
      </c>
      <c r="CM704" s="753">
        <f t="shared" si="726"/>
        <v>5.0128892832715891E-2</v>
      </c>
      <c r="CN704" s="753">
        <f t="shared" si="726"/>
        <v>5.0385083057503881E-2</v>
      </c>
      <c r="CO704" s="753">
        <f t="shared" si="726"/>
        <v>5.063416831894204E-2</v>
      </c>
      <c r="CP704" s="753">
        <f t="shared" si="726"/>
        <v>4.8723659685526784E-2</v>
      </c>
      <c r="CQ704" s="753">
        <f t="shared" si="726"/>
        <v>4.715653515350697E-2</v>
      </c>
      <c r="CR704" s="753">
        <f t="shared" si="726"/>
        <v>4.5867419886569449E-2</v>
      </c>
      <c r="CS704" s="753">
        <f t="shared" si="726"/>
        <v>4.4807958620047321E-2</v>
      </c>
      <c r="CT704" s="753">
        <f t="shared" si="726"/>
        <v>4.4563866258172463E-2</v>
      </c>
      <c r="CU704" s="753">
        <f t="shared" si="726"/>
        <v>4.4932017452356803E-2</v>
      </c>
      <c r="CV704" s="753">
        <f t="shared" si="726"/>
        <v>4.5781186348516682E-2</v>
      </c>
      <c r="CW704" s="753">
        <f t="shared" si="726"/>
        <v>4.7033195019542548E-2</v>
      </c>
      <c r="CX704" s="753">
        <f t="shared" si="726"/>
        <v>4.8172585862883574E-2</v>
      </c>
      <c r="CY704" s="753">
        <f t="shared" si="726"/>
        <v>4.9230726328542196E-2</v>
      </c>
      <c r="CZ704" s="753">
        <f t="shared" si="726"/>
        <v>5.0228461618992373E-2</v>
      </c>
      <c r="DA704" s="753">
        <f t="shared" si="726"/>
        <v>5.1179866684608458E-2</v>
      </c>
      <c r="DC704" s="729">
        <f t="shared" si="719"/>
        <v>0</v>
      </c>
      <c r="DD704" s="729">
        <f t="shared" si="720"/>
        <v>0</v>
      </c>
      <c r="DE704" s="729">
        <f t="shared" si="721"/>
        <v>2.3103988300207774E-2</v>
      </c>
      <c r="DF704" s="729">
        <f t="shared" si="722"/>
        <v>3.4436251329902495E-2</v>
      </c>
      <c r="DG704" s="729">
        <f t="shared" si="723"/>
        <v>4.5592582862153987E-2</v>
      </c>
      <c r="DH704" s="729">
        <f t="shared" si="724"/>
        <v>5.063416831894204E-2</v>
      </c>
      <c r="DI704" s="729">
        <f t="shared" si="725"/>
        <v>5.1179866684608458E-2</v>
      </c>
    </row>
    <row r="705" spans="2:113" outlineLevel="2">
      <c r="E705" s="230" t="s">
        <v>813</v>
      </c>
      <c r="F705" s="229"/>
      <c r="I705" s="609" t="s">
        <v>812</v>
      </c>
      <c r="AT705" s="753">
        <f t="shared" ref="AT705:DA705" si="727">AT703/AT673</f>
        <v>0</v>
      </c>
      <c r="AU705" s="753">
        <f t="shared" si="727"/>
        <v>1.3521126760563381E-2</v>
      </c>
      <c r="AV705" s="753">
        <f t="shared" si="727"/>
        <v>2.5702857142857145E-2</v>
      </c>
      <c r="AW705" s="753">
        <f t="shared" si="727"/>
        <v>3.6776834782608708E-2</v>
      </c>
      <c r="AX705" s="753">
        <f t="shared" si="727"/>
        <v>4.6828548235294122E-2</v>
      </c>
      <c r="AY705" s="753">
        <f t="shared" si="727"/>
        <v>5.5757473098507461E-2</v>
      </c>
      <c r="AZ705" s="753">
        <f t="shared" si="727"/>
        <v>6.3159970131740281E-2</v>
      </c>
      <c r="BA705" s="753">
        <f t="shared" si="727"/>
        <v>6.9388798729204532E-2</v>
      </c>
      <c r="BB705" s="753">
        <f t="shared" si="727"/>
        <v>7.4503020721691932E-2</v>
      </c>
      <c r="BC705" s="753">
        <f t="shared" si="727"/>
        <v>7.8393634501590301E-2</v>
      </c>
      <c r="BD705" s="753">
        <f t="shared" si="727"/>
        <v>8.1578382195248433E-2</v>
      </c>
      <c r="BE705" s="753">
        <f t="shared" si="727"/>
        <v>8.4676648543861865E-2</v>
      </c>
      <c r="BF705" s="753">
        <f t="shared" si="727"/>
        <v>8.6934200872889E-2</v>
      </c>
      <c r="BG705" s="753">
        <f t="shared" si="727"/>
        <v>8.8892136361417767E-2</v>
      </c>
      <c r="BH705" s="753">
        <f t="shared" si="727"/>
        <v>9.0768513386021391E-2</v>
      </c>
      <c r="BI705" s="753">
        <f t="shared" si="727"/>
        <v>9.2636074410549912E-2</v>
      </c>
      <c r="BJ705" s="753">
        <f t="shared" si="727"/>
        <v>9.4456694217941006E-2</v>
      </c>
      <c r="BK705" s="753">
        <f t="shared" si="727"/>
        <v>9.6212255635282268E-2</v>
      </c>
      <c r="BL705" s="753">
        <f t="shared" si="727"/>
        <v>9.7930910521291895E-2</v>
      </c>
      <c r="BM705" s="753">
        <f t="shared" si="727"/>
        <v>9.9633954444946174E-2</v>
      </c>
      <c r="BN705" s="753">
        <f t="shared" si="727"/>
        <v>0.10129419803703534</v>
      </c>
      <c r="BO705" s="753">
        <f t="shared" si="727"/>
        <v>0.10289713854768938</v>
      </c>
      <c r="BP705" s="753">
        <f t="shared" si="727"/>
        <v>0.10443594775116882</v>
      </c>
      <c r="BQ705" s="753">
        <f t="shared" si="727"/>
        <v>9.8579575444583165E-2</v>
      </c>
      <c r="BR705" s="753">
        <f t="shared" si="727"/>
        <v>9.7106251066096425E-2</v>
      </c>
      <c r="BS705" s="753">
        <f t="shared" si="727"/>
        <v>9.7696954169057215E-2</v>
      </c>
      <c r="BT705" s="753">
        <f t="shared" si="727"/>
        <v>9.9225337663387619E-2</v>
      </c>
      <c r="BU705" s="753">
        <f t="shared" si="727"/>
        <v>0.1013131051327834</v>
      </c>
      <c r="BV705" s="753">
        <f t="shared" si="727"/>
        <v>0.10373376703695676</v>
      </c>
      <c r="BW705" s="753">
        <f t="shared" si="727"/>
        <v>0.10635750810964233</v>
      </c>
      <c r="BX705" s="753">
        <f t="shared" si="727"/>
        <v>0.10911872874490794</v>
      </c>
      <c r="BY705" s="753">
        <f t="shared" si="727"/>
        <v>0.11148147320541173</v>
      </c>
      <c r="BZ705" s="753">
        <f t="shared" si="727"/>
        <v>0.1135392065530889</v>
      </c>
      <c r="CA705" s="753">
        <f t="shared" si="727"/>
        <v>0.11535593416588211</v>
      </c>
      <c r="CB705" s="753">
        <f t="shared" si="727"/>
        <v>0.11697686998255599</v>
      </c>
      <c r="CC705" s="753">
        <f t="shared" si="727"/>
        <v>0.11843651301114366</v>
      </c>
      <c r="CD705" s="753">
        <f t="shared" si="727"/>
        <v>0.11955156656428662</v>
      </c>
      <c r="CE705" s="753">
        <f t="shared" si="727"/>
        <v>0.12042734334138082</v>
      </c>
      <c r="CF705" s="753">
        <f t="shared" si="727"/>
        <v>0.12113244838709314</v>
      </c>
      <c r="CG705" s="753">
        <f t="shared" si="727"/>
        <v>0.12171215123596707</v>
      </c>
      <c r="CH705" s="753">
        <f t="shared" si="727"/>
        <v>0.12220292223118746</v>
      </c>
      <c r="CI705" s="753">
        <f t="shared" si="727"/>
        <v>0.12263454033146443</v>
      </c>
      <c r="CJ705" s="753">
        <f t="shared" si="727"/>
        <v>0.12303198471158946</v>
      </c>
      <c r="CK705" s="753">
        <f t="shared" si="727"/>
        <v>0.12341710265840976</v>
      </c>
      <c r="CL705" s="753">
        <f t="shared" si="727"/>
        <v>0.12379006290613526</v>
      </c>
      <c r="CM705" s="753">
        <f t="shared" si="727"/>
        <v>0.12415153901893132</v>
      </c>
      <c r="CN705" s="753">
        <f t="shared" si="727"/>
        <v>0.12450239271918948</v>
      </c>
      <c r="CO705" s="753">
        <f t="shared" si="727"/>
        <v>0.12484349110453018</v>
      </c>
      <c r="CP705" s="753">
        <f t="shared" si="727"/>
        <v>0.11987826741420424</v>
      </c>
      <c r="CQ705" s="753">
        <f t="shared" si="727"/>
        <v>0.11738829262909704</v>
      </c>
      <c r="CR705" s="753">
        <f t="shared" si="727"/>
        <v>0.11635539221508595</v>
      </c>
      <c r="CS705" s="753">
        <f t="shared" si="727"/>
        <v>0.11617974301321571</v>
      </c>
      <c r="CT705" s="753">
        <f t="shared" si="727"/>
        <v>0.11664401429097276</v>
      </c>
      <c r="CU705" s="753">
        <f t="shared" si="727"/>
        <v>0.1175955494053344</v>
      </c>
      <c r="CV705" s="753">
        <f t="shared" si="727"/>
        <v>0.11893334280567082</v>
      </c>
      <c r="CW705" s="753">
        <f t="shared" si="727"/>
        <v>0.12059806848486217</v>
      </c>
      <c r="CX705" s="753">
        <f t="shared" si="727"/>
        <v>0.12212365363838544</v>
      </c>
      <c r="CY705" s="753">
        <f t="shared" si="727"/>
        <v>0.12354644714898695</v>
      </c>
      <c r="CZ705" s="753">
        <f t="shared" si="727"/>
        <v>0.12489148196302648</v>
      </c>
      <c r="DA705" s="753">
        <f t="shared" si="727"/>
        <v>0.12617670036840603</v>
      </c>
      <c r="DC705" s="729">
        <f t="shared" si="719"/>
        <v>0</v>
      </c>
      <c r="DD705" s="729">
        <f t="shared" si="720"/>
        <v>0</v>
      </c>
      <c r="DE705" s="729">
        <f t="shared" si="721"/>
        <v>8.4676648543861865E-2</v>
      </c>
      <c r="DF705" s="729">
        <f t="shared" si="722"/>
        <v>9.8579575444583165E-2</v>
      </c>
      <c r="DG705" s="729">
        <f t="shared" si="723"/>
        <v>0.11843651301114366</v>
      </c>
      <c r="DH705" s="729">
        <f t="shared" si="724"/>
        <v>0.12484349110453018</v>
      </c>
      <c r="DI705" s="729">
        <f t="shared" si="725"/>
        <v>0.12617670036840603</v>
      </c>
    </row>
    <row r="706" spans="2:113" outlineLevel="2">
      <c r="E706" s="230" t="s">
        <v>814</v>
      </c>
      <c r="F706" s="229"/>
      <c r="I706" s="609" t="s">
        <v>812</v>
      </c>
      <c r="AT706" s="710">
        <f>AT688+AS706</f>
        <v>-1.4999999999999998E-2</v>
      </c>
      <c r="AU706" s="710">
        <f t="shared" ref="AU706:CO706" si="728">AU688+AT706</f>
        <v>-4.8375000000000001E-2</v>
      </c>
      <c r="AV706" s="710">
        <f t="shared" si="728"/>
        <v>-0.10249333333333333</v>
      </c>
      <c r="AW706" s="710">
        <f t="shared" si="728"/>
        <v>-0.17899446666666663</v>
      </c>
      <c r="AX706" s="710">
        <f t="shared" si="728"/>
        <v>-0.28645984333333324</v>
      </c>
      <c r="AY706" s="710">
        <f t="shared" si="728"/>
        <v>-0.4313301923466667</v>
      </c>
      <c r="AZ706" s="710">
        <f t="shared" si="728"/>
        <v>-0.61650605862079988</v>
      </c>
      <c r="BA706" s="710">
        <f t="shared" si="728"/>
        <v>-0.85333162307143451</v>
      </c>
      <c r="BB706" s="710">
        <f t="shared" si="728"/>
        <v>-1.1786876887485338</v>
      </c>
      <c r="BC706" s="710">
        <f t="shared" si="728"/>
        <v>-1.6211085007360881</v>
      </c>
      <c r="BD706" s="710">
        <f t="shared" si="728"/>
        <v>-2.1984405572674404</v>
      </c>
      <c r="BE706" s="710">
        <f t="shared" si="728"/>
        <v>-2.9196615492129996</v>
      </c>
      <c r="BF706" s="710">
        <f>BF688</f>
        <v>-0.8885526811899781</v>
      </c>
      <c r="BG706" s="710">
        <f t="shared" si="728"/>
        <v>-1.9552457849273748</v>
      </c>
      <c r="BH706" s="710">
        <f t="shared" si="728"/>
        <v>-3.2111330650798497</v>
      </c>
      <c r="BI706" s="710">
        <f t="shared" si="728"/>
        <v>-4.6741260996801071</v>
      </c>
      <c r="BJ706" s="710">
        <f t="shared" si="728"/>
        <v>-6.373538426158186</v>
      </c>
      <c r="BK706" s="710">
        <f t="shared" si="728"/>
        <v>-8.3314061725817634</v>
      </c>
      <c r="BL706" s="710">
        <f t="shared" si="728"/>
        <v>-10.561118053665114</v>
      </c>
      <c r="BM706" s="710">
        <f t="shared" si="728"/>
        <v>-13.079407792786981</v>
      </c>
      <c r="BN706" s="710">
        <f t="shared" si="728"/>
        <v>-15.909639729612458</v>
      </c>
      <c r="BO706" s="710">
        <f t="shared" si="728"/>
        <v>-19.072666846147118</v>
      </c>
      <c r="BP706" s="710">
        <f t="shared" si="728"/>
        <v>-22.58702197700271</v>
      </c>
      <c r="BQ706" s="710">
        <f t="shared" si="728"/>
        <v>-26.727287251430379</v>
      </c>
      <c r="BR706" s="710">
        <f>BR688</f>
        <v>-4.5717037714438389</v>
      </c>
      <c r="BS706" s="710">
        <f t="shared" si="728"/>
        <v>-9.5593208172412218</v>
      </c>
      <c r="BT706" s="710">
        <f t="shared" si="728"/>
        <v>-14.955214194105263</v>
      </c>
      <c r="BU706" s="710">
        <f t="shared" si="728"/>
        <v>-20.854141213977737</v>
      </c>
      <c r="BV706" s="710">
        <f t="shared" si="728"/>
        <v>-27.241212139086514</v>
      </c>
      <c r="BW706" s="710">
        <f t="shared" si="728"/>
        <v>-34.10664970779758</v>
      </c>
      <c r="BX706" s="710">
        <f t="shared" si="728"/>
        <v>-41.602784651140723</v>
      </c>
      <c r="BY706" s="710">
        <f t="shared" si="728"/>
        <v>-49.964783528446191</v>
      </c>
      <c r="BZ706" s="710">
        <f t="shared" si="728"/>
        <v>-59.141134115581487</v>
      </c>
      <c r="CA706" s="710">
        <f t="shared" si="728"/>
        <v>-69.08652179085945</v>
      </c>
      <c r="CB706" s="710">
        <f t="shared" si="728"/>
        <v>-79.759089067377445</v>
      </c>
      <c r="CC706" s="710">
        <f t="shared" si="728"/>
        <v>-91.118341945884296</v>
      </c>
      <c r="CD706" s="710">
        <f>CD688</f>
        <v>-12.021534311491536</v>
      </c>
      <c r="CE706" s="710">
        <f t="shared" si="728"/>
        <v>-24.670465581933229</v>
      </c>
      <c r="CF706" s="710">
        <f t="shared" si="728"/>
        <v>-37.911056852024274</v>
      </c>
      <c r="CG706" s="710">
        <f t="shared" si="728"/>
        <v>-51.707169549348784</v>
      </c>
      <c r="CH706" s="710">
        <f t="shared" si="728"/>
        <v>-66.028268609500216</v>
      </c>
      <c r="CI706" s="710">
        <f t="shared" si="728"/>
        <v>-80.84344612525328</v>
      </c>
      <c r="CJ706" s="710">
        <f t="shared" si="728"/>
        <v>-96.121756444256107</v>
      </c>
      <c r="CK706" s="710">
        <f t="shared" si="728"/>
        <v>-111.84168903838392</v>
      </c>
      <c r="CL706" s="710">
        <f t="shared" si="728"/>
        <v>-127.99657118624432</v>
      </c>
      <c r="CM706" s="710">
        <f t="shared" si="728"/>
        <v>-144.57878748692337</v>
      </c>
      <c r="CN706" s="710">
        <f t="shared" si="728"/>
        <v>-161.58007876074703</v>
      </c>
      <c r="CO706" s="710">
        <f t="shared" si="728"/>
        <v>-178.99170012680469</v>
      </c>
      <c r="CP706" s="710">
        <f>CP688</f>
        <v>-18.311027838744394</v>
      </c>
      <c r="CQ706" s="710">
        <f t="shared" ref="CQ706:DA706" si="729">CQ688+CP706</f>
        <v>-37.111887447059146</v>
      </c>
      <c r="CR706" s="710">
        <f t="shared" si="729"/>
        <v>-56.337845556470754</v>
      </c>
      <c r="CS706" s="710">
        <f t="shared" si="729"/>
        <v>-75.942188723550146</v>
      </c>
      <c r="CT706" s="710">
        <f t="shared" si="729"/>
        <v>-96.078779326334057</v>
      </c>
      <c r="CU706" s="710">
        <f t="shared" si="729"/>
        <v>-116.69405655762068</v>
      </c>
      <c r="CV706" s="710">
        <f t="shared" si="729"/>
        <v>-137.74663963718871</v>
      </c>
      <c r="CW706" s="710">
        <f t="shared" si="729"/>
        <v>-159.51034034572444</v>
      </c>
      <c r="CX706" s="710">
        <f t="shared" si="729"/>
        <v>-182.42283730195089</v>
      </c>
      <c r="CY706" s="710">
        <f t="shared" si="729"/>
        <v>-206.37231698610279</v>
      </c>
      <c r="CZ706" s="710">
        <f t="shared" si="729"/>
        <v>-231.25767960615576</v>
      </c>
      <c r="DA706" s="710">
        <f t="shared" si="729"/>
        <v>-256.98339070239479</v>
      </c>
      <c r="DC706" s="12">
        <f t="shared" si="719"/>
        <v>0</v>
      </c>
      <c r="DD706" s="12">
        <f t="shared" si="720"/>
        <v>0</v>
      </c>
      <c r="DE706" s="12">
        <f t="shared" si="721"/>
        <v>-2.9196615492129996</v>
      </c>
      <c r="DF706" s="12">
        <f t="shared" si="722"/>
        <v>-26.727287251430379</v>
      </c>
      <c r="DG706" s="12">
        <f t="shared" si="723"/>
        <v>-91.118341945884296</v>
      </c>
      <c r="DH706" s="12">
        <f t="shared" si="724"/>
        <v>-178.99170012680469</v>
      </c>
      <c r="DI706" s="12">
        <f t="shared" si="725"/>
        <v>-256.98339070239479</v>
      </c>
    </row>
    <row r="707" spans="2:113" outlineLevel="1">
      <c r="E707" s="230" t="s">
        <v>815</v>
      </c>
      <c r="F707" s="229"/>
      <c r="I707" s="609" t="s">
        <v>812</v>
      </c>
      <c r="AT707" s="970">
        <f>AT706/AVERAGE($AS673:AT673)</f>
        <v>-8.9999999999999993E-3</v>
      </c>
      <c r="AU707" s="970">
        <f>AU706/AVERAGE($AS673:AU673)</f>
        <v>-1.4665263157894739E-2</v>
      </c>
      <c r="AV707" s="970">
        <f>AV706/AVERAGE($AS673:AV673)</f>
        <v>-1.8841327659574469E-2</v>
      </c>
      <c r="AW707" s="970">
        <f>AW706/AVERAGE($AS673:AW673)</f>
        <v>-2.2172217806451611E-2</v>
      </c>
      <c r="AX707" s="970">
        <f>AX706/AVERAGE($AS673:AX673)</f>
        <v>-2.5621253068322979E-2</v>
      </c>
      <c r="AY707" s="970">
        <f>AY706/AVERAGE($AS673:AY673)</f>
        <v>-2.9251906294153852E-2</v>
      </c>
      <c r="AZ707" s="970">
        <f>AZ706/AVERAGE($AS673:AZ673)</f>
        <v>-3.2880323126442658E-2</v>
      </c>
      <c r="BA707" s="970">
        <f>BA706/AVERAGE($AS673:BA673)</f>
        <v>-3.6817903737014705E-2</v>
      </c>
      <c r="BB707" s="970">
        <f>BB706/AVERAGE($AS673:BB673)</f>
        <v>-4.2088188059093368E-2</v>
      </c>
      <c r="BC707" s="970">
        <f>BC706/AVERAGE($AS673:BC673)</f>
        <v>-4.8812172298449731E-2</v>
      </c>
      <c r="BD707" s="970">
        <f>BD706/AVERAGE($AS673:BD673)</f>
        <v>-5.6702422950276971E-2</v>
      </c>
      <c r="BE707" s="970">
        <f>BE706/AVERAGE($AS673:BE673)</f>
        <v>-6.5367984112139288E-2</v>
      </c>
      <c r="BF707" s="970">
        <f>BF706/AVERAGE($BE673:BF673)</f>
        <v>-7.5375131136094023E-3</v>
      </c>
      <c r="BG707" s="970">
        <f>BG706/AVERAGE($BE673:BG673)</f>
        <v>-1.5420836655812507E-2</v>
      </c>
      <c r="BH707" s="970">
        <f>BH706/AVERAGE($BE673:BH673)</f>
        <v>-2.3578493586402766E-2</v>
      </c>
      <c r="BI707" s="970">
        <f>BI706/AVERAGE($BE673:BI673)</f>
        <v>-3.2004884934150282E-2</v>
      </c>
      <c r="BJ707" s="970">
        <f>BJ706/AVERAGE($BE673:BJ673)</f>
        <v>-4.0771054274388624E-2</v>
      </c>
      <c r="BK707" s="970">
        <f>BK706/AVERAGE($BE673:BK673)</f>
        <v>-4.988898315670301E-2</v>
      </c>
      <c r="BL707" s="970">
        <f>BL706/AVERAGE($BE673:BL673)</f>
        <v>-5.932075206594551E-2</v>
      </c>
      <c r="BM707" s="970">
        <f>BM706/AVERAGE($BE673:BM673)</f>
        <v>-6.9057066210826926E-2</v>
      </c>
      <c r="BN707" s="970">
        <f>BN706/AVERAGE($BE673:BN673)</f>
        <v>-7.9126889358872826E-2</v>
      </c>
      <c r="BO707" s="970">
        <f>BO706/AVERAGE($BE673:BO673)</f>
        <v>-8.9544337432082524E-2</v>
      </c>
      <c r="BP707" s="970">
        <f>BP706/AVERAGE($BE673:BP673)</f>
        <v>-0.10031360366623324</v>
      </c>
      <c r="BQ707" s="970">
        <f>BQ706/AVERAGE($BE673:BQ673)</f>
        <v>-0.1114835215092583</v>
      </c>
      <c r="BR707" s="970">
        <f>BR706/AVERAGE($BQ673:BR673)</f>
        <v>-1.0354234201972169E-2</v>
      </c>
      <c r="BS707" s="970">
        <f>BS706/AVERAGE($BQ673:BS673)</f>
        <v>-2.0438063260676303E-2</v>
      </c>
      <c r="BT707" s="970">
        <f>BT706/AVERAGE($BQ673:BT673)</f>
        <v>-3.0319791853593386E-2</v>
      </c>
      <c r="BU707" s="970">
        <f>BU706/AVERAGE($BQ673:BU673)</f>
        <v>-4.0250362499516058E-2</v>
      </c>
      <c r="BV707" s="970">
        <f>BV706/AVERAGE($BQ673:BV673)</f>
        <v>-5.0232413825309692E-2</v>
      </c>
      <c r="BW707" s="970">
        <f>BW706/AVERAGE($BQ673:BW673)</f>
        <v>-6.0277646774456982E-2</v>
      </c>
      <c r="BX707" s="970">
        <f>BX706/AVERAGE($BQ673:BX673)</f>
        <v>-7.0671761379052095E-2</v>
      </c>
      <c r="BY707" s="970">
        <f>BY706/AVERAGE($BQ673:BY673)</f>
        <v>-8.1801565840379148E-2</v>
      </c>
      <c r="BZ707" s="970">
        <f>BZ706/AVERAGE($BQ673:BZ673)</f>
        <v>-9.355016045674755E-2</v>
      </c>
      <c r="CA707" s="970">
        <f>CA706/AVERAGE($BQ673:CA673)</f>
        <v>-0.10582963158604691</v>
      </c>
      <c r="CB707" s="970">
        <f>CB706/AVERAGE($BQ673:CB673)</f>
        <v>-0.1185713938216242</v>
      </c>
      <c r="CC707" s="970">
        <f>CC706/AVERAGE($BQ673:CC673)</f>
        <v>-0.13171947872089493</v>
      </c>
      <c r="CD707" s="970">
        <f>CD706/AVERAGE($CC673:CD673)</f>
        <v>-1.2850857422047165E-2</v>
      </c>
      <c r="CE707" s="970">
        <f>CE706/AVERAGE($CC673:CE673)</f>
        <v>-2.5973002670211156E-2</v>
      </c>
      <c r="CF707" s="970">
        <f>CF706/AVERAGE($CC673:CF673)</f>
        <v>-3.9325358508385588E-2</v>
      </c>
      <c r="CG707" s="970">
        <f>CG706/AVERAGE($CC673:CG673)</f>
        <v>-5.2869090969888288E-2</v>
      </c>
      <c r="CH707" s="970">
        <f>CH706/AVERAGE($CC673:CH673)</f>
        <v>-6.6573430848276535E-2</v>
      </c>
      <c r="CI707" s="970">
        <f>CI706/AVERAGE($CC673:CI673)</f>
        <v>-8.0409113171826252E-2</v>
      </c>
      <c r="CJ707" s="970">
        <f>CJ706/AVERAGE($CC673:CJ673)</f>
        <v>-9.4348553051899764E-2</v>
      </c>
      <c r="CK707" s="970">
        <f>CK706/AVERAGE($CC673:CK673)</f>
        <v>-0.10837486714179054</v>
      </c>
      <c r="CL707" s="970">
        <f>CL706/AVERAGE($CC673:CL673)</f>
        <v>-0.12248662997638926</v>
      </c>
      <c r="CM707" s="970">
        <f>CM706/AVERAGE($CC673:CM673)</f>
        <v>-0.13668199844325979</v>
      </c>
      <c r="CN707" s="970">
        <f>CN706/AVERAGE($CC673:CN673)</f>
        <v>-0.1509590174694791</v>
      </c>
      <c r="CO707" s="970">
        <f>CO706/AVERAGE($CC673:CO673)</f>
        <v>-0.16531577204356418</v>
      </c>
      <c r="CP707" s="970">
        <f>CP706/AVERAGE($CC673:CP673)</f>
        <v>-1.6664103218671011E-2</v>
      </c>
      <c r="CQ707" s="970">
        <f>CQ706/AVERAGE($CC673:CQ673)</f>
        <v>-3.3206220577600261E-2</v>
      </c>
      <c r="CR707" s="970">
        <f>CR706/AVERAGE($CC673:CR673)</f>
        <v>-4.9493122939301033E-2</v>
      </c>
      <c r="CS707" s="970">
        <f>CS706/AVERAGE($CC673:CS673)</f>
        <v>-6.5453060101060931E-2</v>
      </c>
      <c r="CT707" s="970">
        <f>CT706/AVERAGE($CC673:CT673)</f>
        <v>-8.1215260311848184E-2</v>
      </c>
      <c r="CU707" s="970">
        <f>CU706/AVERAGE($CC673:CU673)</f>
        <v>-9.6745609948595185E-2</v>
      </c>
      <c r="CV707" s="970">
        <f>CV706/AVERAGE($CC673:CV673)</f>
        <v>-0.11203561997090788</v>
      </c>
      <c r="CW707" s="970">
        <f>CW706/AVERAGE($CC673:CW673)</f>
        <v>-0.12733865884065956</v>
      </c>
      <c r="CX707" s="970">
        <f>CX706/AVERAGE($CC673:CX673)</f>
        <v>-0.14302978615276021</v>
      </c>
      <c r="CY707" s="970">
        <f>CY706/AVERAGE($CC673:CY673)</f>
        <v>-0.15904122479414828</v>
      </c>
      <c r="CZ707" s="970">
        <f>CZ706/AVERAGE($CC673:CZ673)</f>
        <v>-0.17532391914877118</v>
      </c>
      <c r="DA707" s="970">
        <f>DA706/AVERAGE($CC673:DA673)</f>
        <v>-0.19184125483056655</v>
      </c>
      <c r="DC707" s="729">
        <f t="shared" si="719"/>
        <v>0</v>
      </c>
      <c r="DD707" s="729">
        <f t="shared" si="720"/>
        <v>0</v>
      </c>
      <c r="DE707" s="729">
        <f t="shared" si="721"/>
        <v>-6.5367984112139288E-2</v>
      </c>
      <c r="DF707" s="729">
        <f t="shared" si="722"/>
        <v>-0.1114835215092583</v>
      </c>
      <c r="DG707" s="729">
        <f t="shared" si="723"/>
        <v>-0.13171947872089493</v>
      </c>
      <c r="DH707" s="729">
        <f t="shared" si="724"/>
        <v>-0.16531577204356418</v>
      </c>
      <c r="DI707" s="729">
        <f t="shared" si="725"/>
        <v>-0.19184125483056655</v>
      </c>
    </row>
    <row r="708" spans="2:113">
      <c r="F708" s="698"/>
      <c r="W708" s="708"/>
      <c r="X708" s="702"/>
      <c r="Y708" s="702"/>
      <c r="DI708" s="12"/>
    </row>
    <row r="709" spans="2:113">
      <c r="B709" s="694"/>
      <c r="C709" s="694"/>
      <c r="D709" s="693" t="s">
        <v>856</v>
      </c>
      <c r="E709" s="694"/>
      <c r="F709" s="694"/>
      <c r="G709" s="694"/>
      <c r="H709" s="695"/>
      <c r="I709" s="695"/>
      <c r="DI709" s="729"/>
    </row>
    <row r="710" spans="2:113" hidden="1" outlineLevel="1">
      <c r="D710" s="698" t="s">
        <v>857</v>
      </c>
      <c r="O710" s="696"/>
      <c r="P710" s="696"/>
      <c r="Q710" s="696"/>
      <c r="R710" s="696"/>
      <c r="S710" s="696"/>
      <c r="T710" s="696"/>
      <c r="U710" s="696"/>
      <c r="V710" s="696"/>
      <c r="Z710" s="697"/>
      <c r="AA710" s="697"/>
      <c r="AB710" s="697"/>
      <c r="AC710" s="697"/>
      <c r="AD710" s="697"/>
      <c r="AE710" s="697"/>
      <c r="AF710" s="697"/>
      <c r="AG710" s="697"/>
      <c r="AH710" s="697"/>
      <c r="AI710" s="697"/>
      <c r="AJ710" s="697"/>
      <c r="AK710" s="697"/>
      <c r="AL710" s="697"/>
      <c r="AM710" s="697"/>
      <c r="AN710" s="697"/>
      <c r="AO710" s="697"/>
      <c r="AP710" s="697"/>
      <c r="AQ710" s="697"/>
      <c r="AR710" s="697"/>
      <c r="AS710" s="697"/>
      <c r="AT710" s="697"/>
      <c r="AU710" s="697"/>
      <c r="AV710" s="697"/>
      <c r="AW710" s="697"/>
      <c r="AX710" s="697"/>
      <c r="AY710" s="697"/>
      <c r="AZ710" s="697"/>
      <c r="BA710" s="697"/>
      <c r="BB710" s="697"/>
      <c r="BC710" s="697"/>
      <c r="BD710" s="697"/>
      <c r="BE710" s="697"/>
      <c r="BF710" s="697"/>
      <c r="BG710" s="697"/>
      <c r="BH710" s="697"/>
      <c r="BI710" s="697"/>
      <c r="BJ710" s="697"/>
      <c r="BK710" s="697"/>
      <c r="BL710" s="697"/>
      <c r="BM710" s="697"/>
      <c r="BN710" s="697"/>
      <c r="BO710" s="697"/>
      <c r="BP710" s="697"/>
      <c r="BQ710" s="697"/>
      <c r="BR710" s="697"/>
      <c r="BS710" s="697"/>
      <c r="BT710" s="697"/>
      <c r="BU710" s="697"/>
      <c r="BV710" s="697"/>
      <c r="BW710" s="697"/>
      <c r="BX710" s="697"/>
      <c r="BY710" s="697"/>
      <c r="BZ710" s="697"/>
      <c r="CA710" s="697"/>
      <c r="CB710" s="697"/>
      <c r="CC710" s="697"/>
      <c r="CD710" s="697"/>
      <c r="CE710" s="697"/>
      <c r="CF710" s="697"/>
      <c r="CG710" s="697"/>
      <c r="CH710" s="697"/>
      <c r="CI710" s="697"/>
      <c r="CJ710" s="697"/>
      <c r="CK710" s="697"/>
      <c r="CL710" s="697"/>
      <c r="CM710" s="697"/>
      <c r="CN710" s="697"/>
      <c r="CO710" s="697"/>
      <c r="CP710" s="697"/>
      <c r="CQ710" s="697"/>
      <c r="CR710" s="697"/>
      <c r="CS710" s="697"/>
      <c r="CT710" s="697"/>
      <c r="CU710" s="697"/>
      <c r="CV710" s="697"/>
      <c r="CW710" s="697"/>
      <c r="CX710" s="697"/>
      <c r="CY710" s="697"/>
      <c r="CZ710" s="697"/>
      <c r="DA710" s="697"/>
    </row>
    <row r="711" spans="2:113" hidden="1" outlineLevel="1">
      <c r="E711" s="698" t="s">
        <v>793</v>
      </c>
      <c r="I711" s="699" t="s">
        <v>743</v>
      </c>
      <c r="V711" s="698"/>
      <c r="AA711" s="698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>
        <f t="shared" ref="AS711:CO714" si="730">AS751+AS785+AS820</f>
        <v>0</v>
      </c>
      <c r="AT711" s="12">
        <f t="shared" si="730"/>
        <v>0</v>
      </c>
      <c r="AU711" s="12">
        <f t="shared" si="730"/>
        <v>0</v>
      </c>
      <c r="AV711" s="12">
        <f t="shared" si="730"/>
        <v>0</v>
      </c>
      <c r="AW711" s="12">
        <f t="shared" si="730"/>
        <v>0</v>
      </c>
      <c r="AX711" s="12">
        <f t="shared" si="730"/>
        <v>0</v>
      </c>
      <c r="AY711" s="12">
        <f t="shared" si="730"/>
        <v>0</v>
      </c>
      <c r="AZ711" s="12">
        <f t="shared" si="730"/>
        <v>0</v>
      </c>
      <c r="BA711" s="12">
        <f t="shared" si="730"/>
        <v>0</v>
      </c>
      <c r="BB711" s="12">
        <f t="shared" si="730"/>
        <v>0</v>
      </c>
      <c r="BC711" s="12">
        <f t="shared" si="730"/>
        <v>0</v>
      </c>
      <c r="BD711" s="12">
        <f t="shared" si="730"/>
        <v>0</v>
      </c>
      <c r="BE711" s="12">
        <f t="shared" si="730"/>
        <v>0</v>
      </c>
      <c r="BF711" s="12">
        <f t="shared" si="730"/>
        <v>0</v>
      </c>
      <c r="BG711" s="12">
        <f t="shared" si="730"/>
        <v>0</v>
      </c>
      <c r="BH711" s="12">
        <f t="shared" si="730"/>
        <v>0</v>
      </c>
      <c r="BI711" s="12">
        <f t="shared" si="730"/>
        <v>0</v>
      </c>
      <c r="BJ711" s="12">
        <f t="shared" si="730"/>
        <v>0</v>
      </c>
      <c r="BK711" s="12">
        <f t="shared" si="730"/>
        <v>0</v>
      </c>
      <c r="BL711" s="12">
        <f t="shared" si="730"/>
        <v>0</v>
      </c>
      <c r="BM711" s="12">
        <f t="shared" si="730"/>
        <v>0</v>
      </c>
      <c r="BN711" s="12">
        <f t="shared" si="730"/>
        <v>0</v>
      </c>
      <c r="BO711" s="12">
        <f t="shared" si="730"/>
        <v>0</v>
      </c>
      <c r="BP711" s="12">
        <f t="shared" si="730"/>
        <v>0</v>
      </c>
      <c r="BQ711" s="12">
        <f t="shared" si="730"/>
        <v>0</v>
      </c>
      <c r="BR711" s="12">
        <f t="shared" si="730"/>
        <v>0</v>
      </c>
      <c r="BS711" s="12">
        <f t="shared" si="730"/>
        <v>0</v>
      </c>
      <c r="BT711" s="12">
        <f t="shared" si="730"/>
        <v>0</v>
      </c>
      <c r="BU711" s="12">
        <f t="shared" si="730"/>
        <v>0</v>
      </c>
      <c r="BV711" s="12">
        <f t="shared" si="730"/>
        <v>0</v>
      </c>
      <c r="BW711" s="12">
        <f t="shared" si="730"/>
        <v>0</v>
      </c>
      <c r="BX711" s="12">
        <f t="shared" si="730"/>
        <v>0</v>
      </c>
      <c r="BY711" s="12">
        <f t="shared" si="730"/>
        <v>0</v>
      </c>
      <c r="BZ711" s="12">
        <f t="shared" si="730"/>
        <v>0</v>
      </c>
      <c r="CA711" s="12">
        <f t="shared" si="730"/>
        <v>0</v>
      </c>
      <c r="CB711" s="12">
        <f t="shared" si="730"/>
        <v>0</v>
      </c>
      <c r="CC711" s="12">
        <f t="shared" si="730"/>
        <v>0</v>
      </c>
      <c r="CD711" s="12">
        <f t="shared" si="730"/>
        <v>0</v>
      </c>
      <c r="CE711" s="12">
        <f t="shared" si="730"/>
        <v>0</v>
      </c>
      <c r="CF711" s="12">
        <f t="shared" si="730"/>
        <v>0</v>
      </c>
      <c r="CG711" s="12">
        <f t="shared" si="730"/>
        <v>0</v>
      </c>
      <c r="CH711" s="12">
        <f t="shared" si="730"/>
        <v>0</v>
      </c>
      <c r="CI711" s="12">
        <f t="shared" si="730"/>
        <v>0</v>
      </c>
      <c r="CJ711" s="12">
        <f t="shared" si="730"/>
        <v>0</v>
      </c>
      <c r="CK711" s="12">
        <f t="shared" si="730"/>
        <v>0</v>
      </c>
      <c r="CL711" s="12">
        <f t="shared" si="730"/>
        <v>0</v>
      </c>
      <c r="CM711" s="12">
        <f t="shared" si="730"/>
        <v>0</v>
      </c>
      <c r="CN711" s="12">
        <f t="shared" si="730"/>
        <v>0</v>
      </c>
      <c r="CO711" s="12">
        <f t="shared" si="730"/>
        <v>0</v>
      </c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C711" s="12">
        <f>SUM(V711:AG711)</f>
        <v>0</v>
      </c>
      <c r="DD711" s="12">
        <f>SUM(AH711:AS711)</f>
        <v>0</v>
      </c>
      <c r="DE711" s="12">
        <f>SUM(AT711:BE711)</f>
        <v>0</v>
      </c>
      <c r="DF711" s="12">
        <f>SUM(BF711:BQ711)</f>
        <v>0</v>
      </c>
      <c r="DG711" s="12">
        <f>SUM(BR711:CC711)</f>
        <v>0</v>
      </c>
      <c r="DH711" s="12">
        <f>SUM(CD711:CO711)</f>
        <v>0</v>
      </c>
    </row>
    <row r="712" spans="2:113" hidden="1" outlineLevel="1">
      <c r="E712" s="698" t="s">
        <v>794</v>
      </c>
      <c r="I712" s="699" t="s">
        <v>743</v>
      </c>
      <c r="V712" s="698"/>
      <c r="W712" s="12"/>
      <c r="AA712" s="698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>
        <f t="shared" si="730"/>
        <v>0</v>
      </c>
      <c r="AT712" s="12">
        <f t="shared" si="730"/>
        <v>0</v>
      </c>
      <c r="AU712" s="12">
        <f t="shared" si="730"/>
        <v>0</v>
      </c>
      <c r="AV712" s="12">
        <f t="shared" si="730"/>
        <v>0</v>
      </c>
      <c r="AW712" s="12">
        <f t="shared" si="730"/>
        <v>0</v>
      </c>
      <c r="AX712" s="12">
        <f t="shared" si="730"/>
        <v>0</v>
      </c>
      <c r="AY712" s="12">
        <f t="shared" si="730"/>
        <v>0</v>
      </c>
      <c r="AZ712" s="12">
        <f t="shared" si="730"/>
        <v>0</v>
      </c>
      <c r="BA712" s="12">
        <f t="shared" si="730"/>
        <v>0</v>
      </c>
      <c r="BB712" s="12">
        <f t="shared" si="730"/>
        <v>0</v>
      </c>
      <c r="BC712" s="12">
        <f t="shared" si="730"/>
        <v>0</v>
      </c>
      <c r="BD712" s="12">
        <f t="shared" si="730"/>
        <v>0</v>
      </c>
      <c r="BE712" s="12">
        <f t="shared" si="730"/>
        <v>0</v>
      </c>
      <c r="BF712" s="12">
        <f t="shared" si="730"/>
        <v>0</v>
      </c>
      <c r="BG712" s="12">
        <f t="shared" si="730"/>
        <v>0</v>
      </c>
      <c r="BH712" s="12">
        <f t="shared" si="730"/>
        <v>0</v>
      </c>
      <c r="BI712" s="12">
        <f t="shared" si="730"/>
        <v>0</v>
      </c>
      <c r="BJ712" s="12">
        <f t="shared" si="730"/>
        <v>0</v>
      </c>
      <c r="BK712" s="12">
        <f t="shared" si="730"/>
        <v>0</v>
      </c>
      <c r="BL712" s="12">
        <f t="shared" si="730"/>
        <v>0</v>
      </c>
      <c r="BM712" s="12">
        <f t="shared" si="730"/>
        <v>0</v>
      </c>
      <c r="BN712" s="12">
        <f t="shared" si="730"/>
        <v>0</v>
      </c>
      <c r="BO712" s="12">
        <f t="shared" si="730"/>
        <v>0</v>
      </c>
      <c r="BP712" s="12">
        <f t="shared" si="730"/>
        <v>0</v>
      </c>
      <c r="BQ712" s="12">
        <f t="shared" si="730"/>
        <v>0</v>
      </c>
      <c r="BR712" s="12">
        <f t="shared" si="730"/>
        <v>0</v>
      </c>
      <c r="BS712" s="12">
        <f t="shared" si="730"/>
        <v>0</v>
      </c>
      <c r="BT712" s="12">
        <f t="shared" si="730"/>
        <v>0</v>
      </c>
      <c r="BU712" s="12">
        <f t="shared" si="730"/>
        <v>0</v>
      </c>
      <c r="BV712" s="12">
        <f t="shared" si="730"/>
        <v>0</v>
      </c>
      <c r="BW712" s="12">
        <f t="shared" si="730"/>
        <v>0</v>
      </c>
      <c r="BX712" s="12">
        <f t="shared" si="730"/>
        <v>0</v>
      </c>
      <c r="BY712" s="12">
        <f t="shared" si="730"/>
        <v>0</v>
      </c>
      <c r="BZ712" s="12">
        <f t="shared" si="730"/>
        <v>0</v>
      </c>
      <c r="CA712" s="12">
        <f t="shared" si="730"/>
        <v>0</v>
      </c>
      <c r="CB712" s="12">
        <f t="shared" si="730"/>
        <v>0</v>
      </c>
      <c r="CC712" s="12">
        <f t="shared" si="730"/>
        <v>0</v>
      </c>
      <c r="CD712" s="12">
        <f t="shared" si="730"/>
        <v>0</v>
      </c>
      <c r="CE712" s="12">
        <f t="shared" si="730"/>
        <v>0</v>
      </c>
      <c r="CF712" s="12">
        <f t="shared" si="730"/>
        <v>0</v>
      </c>
      <c r="CG712" s="12">
        <f t="shared" si="730"/>
        <v>0</v>
      </c>
      <c r="CH712" s="12">
        <f t="shared" si="730"/>
        <v>0</v>
      </c>
      <c r="CI712" s="12">
        <f t="shared" si="730"/>
        <v>0</v>
      </c>
      <c r="CJ712" s="12">
        <f t="shared" si="730"/>
        <v>0</v>
      </c>
      <c r="CK712" s="12">
        <f t="shared" si="730"/>
        <v>0</v>
      </c>
      <c r="CL712" s="12">
        <f t="shared" si="730"/>
        <v>0</v>
      </c>
      <c r="CM712" s="12">
        <f t="shared" si="730"/>
        <v>0</v>
      </c>
      <c r="CN712" s="12">
        <f t="shared" si="730"/>
        <v>0</v>
      </c>
      <c r="CO712" s="12">
        <f t="shared" si="730"/>
        <v>0</v>
      </c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C712" s="11">
        <f>AG712</f>
        <v>0</v>
      </c>
      <c r="DD712" s="11">
        <f>AS712</f>
        <v>0</v>
      </c>
      <c r="DE712" s="11">
        <f>BE712</f>
        <v>0</v>
      </c>
      <c r="DF712" s="11">
        <f>BQ712</f>
        <v>0</v>
      </c>
      <c r="DG712" s="11">
        <f>CC712</f>
        <v>0</v>
      </c>
      <c r="DH712" s="11">
        <f>CO712</f>
        <v>0</v>
      </c>
    </row>
    <row r="713" spans="2:113" hidden="1" outlineLevel="1">
      <c r="E713" s="698" t="s">
        <v>795</v>
      </c>
      <c r="F713" s="12"/>
      <c r="I713" s="609" t="s">
        <v>736</v>
      </c>
      <c r="V713" s="698"/>
      <c r="AA713" s="698"/>
      <c r="AB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>
        <f t="shared" si="730"/>
        <v>0</v>
      </c>
      <c r="AT713" s="12">
        <f t="shared" si="730"/>
        <v>0</v>
      </c>
      <c r="AU713" s="12">
        <f t="shared" si="730"/>
        <v>0</v>
      </c>
      <c r="AV713" s="12">
        <f t="shared" si="730"/>
        <v>0</v>
      </c>
      <c r="AW713" s="12">
        <f t="shared" si="730"/>
        <v>0</v>
      </c>
      <c r="AX713" s="12">
        <f t="shared" si="730"/>
        <v>0</v>
      </c>
      <c r="AY713" s="12">
        <f t="shared" si="730"/>
        <v>0</v>
      </c>
      <c r="AZ713" s="12">
        <f t="shared" si="730"/>
        <v>0</v>
      </c>
      <c r="BA713" s="12">
        <f t="shared" si="730"/>
        <v>0</v>
      </c>
      <c r="BB713" s="12">
        <f t="shared" si="730"/>
        <v>0</v>
      </c>
      <c r="BC713" s="12">
        <f t="shared" si="730"/>
        <v>0</v>
      </c>
      <c r="BD713" s="12">
        <f t="shared" si="730"/>
        <v>0</v>
      </c>
      <c r="BE713" s="12">
        <f t="shared" si="730"/>
        <v>0</v>
      </c>
      <c r="BF713" s="12">
        <f t="shared" si="730"/>
        <v>0</v>
      </c>
      <c r="BG713" s="12">
        <f t="shared" si="730"/>
        <v>0</v>
      </c>
      <c r="BH713" s="12">
        <f t="shared" si="730"/>
        <v>0</v>
      </c>
      <c r="BI713" s="12">
        <f t="shared" si="730"/>
        <v>0</v>
      </c>
      <c r="BJ713" s="12">
        <f t="shared" si="730"/>
        <v>0</v>
      </c>
      <c r="BK713" s="12">
        <f t="shared" si="730"/>
        <v>0</v>
      </c>
      <c r="BL713" s="12">
        <f t="shared" si="730"/>
        <v>0</v>
      </c>
      <c r="BM713" s="12">
        <f t="shared" si="730"/>
        <v>0</v>
      </c>
      <c r="BN713" s="12">
        <f t="shared" si="730"/>
        <v>0</v>
      </c>
      <c r="BO713" s="12">
        <f t="shared" si="730"/>
        <v>0</v>
      </c>
      <c r="BP713" s="12">
        <f t="shared" si="730"/>
        <v>0</v>
      </c>
      <c r="BQ713" s="12">
        <f t="shared" si="730"/>
        <v>0</v>
      </c>
      <c r="BR713" s="12">
        <f t="shared" si="730"/>
        <v>0</v>
      </c>
      <c r="BS713" s="12">
        <f t="shared" si="730"/>
        <v>0</v>
      </c>
      <c r="BT713" s="12">
        <f t="shared" si="730"/>
        <v>0</v>
      </c>
      <c r="BU713" s="12">
        <f t="shared" si="730"/>
        <v>0</v>
      </c>
      <c r="BV713" s="12">
        <f t="shared" si="730"/>
        <v>0</v>
      </c>
      <c r="BW713" s="12">
        <f t="shared" si="730"/>
        <v>0</v>
      </c>
      <c r="BX713" s="12">
        <f t="shared" si="730"/>
        <v>0</v>
      </c>
      <c r="BY713" s="12">
        <f t="shared" si="730"/>
        <v>0</v>
      </c>
      <c r="BZ713" s="12">
        <f t="shared" si="730"/>
        <v>0</v>
      </c>
      <c r="CA713" s="12">
        <f t="shared" si="730"/>
        <v>0</v>
      </c>
      <c r="CB713" s="12">
        <f t="shared" si="730"/>
        <v>0</v>
      </c>
      <c r="CC713" s="12">
        <f t="shared" si="730"/>
        <v>0</v>
      </c>
      <c r="CD713" s="12">
        <f t="shared" si="730"/>
        <v>0</v>
      </c>
      <c r="CE713" s="12">
        <f t="shared" si="730"/>
        <v>0</v>
      </c>
      <c r="CF713" s="12">
        <f t="shared" si="730"/>
        <v>0</v>
      </c>
      <c r="CG713" s="12">
        <f t="shared" si="730"/>
        <v>0</v>
      </c>
      <c r="CH713" s="12">
        <f t="shared" si="730"/>
        <v>0</v>
      </c>
      <c r="CI713" s="12">
        <f t="shared" si="730"/>
        <v>0</v>
      </c>
      <c r="CJ713" s="12">
        <f t="shared" si="730"/>
        <v>0</v>
      </c>
      <c r="CK713" s="12">
        <f t="shared" si="730"/>
        <v>0</v>
      </c>
      <c r="CL713" s="12">
        <f t="shared" si="730"/>
        <v>0</v>
      </c>
      <c r="CM713" s="12">
        <f t="shared" si="730"/>
        <v>0</v>
      </c>
      <c r="CN713" s="12">
        <f t="shared" si="730"/>
        <v>0</v>
      </c>
      <c r="CO713" s="12">
        <f t="shared" si="730"/>
        <v>0</v>
      </c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C713" s="12">
        <f>SUM(V713:AG713)</f>
        <v>0</v>
      </c>
      <c r="DD713" s="12">
        <f>SUM(AH713:AS713)</f>
        <v>0</v>
      </c>
      <c r="DE713" s="12">
        <f>SUM(AT713:BE713)</f>
        <v>0</v>
      </c>
      <c r="DF713" s="12">
        <f>SUM(BF713:BQ713)</f>
        <v>0</v>
      </c>
      <c r="DG713" s="12">
        <f>SUM(BR713:CC713)</f>
        <v>0</v>
      </c>
      <c r="DH713" s="12">
        <f>SUM(CD713:CO713)</f>
        <v>0</v>
      </c>
    </row>
    <row r="714" spans="2:113" hidden="1" outlineLevel="1">
      <c r="E714" s="698" t="s">
        <v>796</v>
      </c>
      <c r="F714" s="12"/>
      <c r="I714" s="609" t="s">
        <v>736</v>
      </c>
      <c r="V714" s="698"/>
      <c r="AA714" s="698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>
        <f t="shared" si="730"/>
        <v>0</v>
      </c>
      <c r="AT714" s="12">
        <f t="shared" si="730"/>
        <v>0</v>
      </c>
      <c r="AU714" s="12">
        <f t="shared" si="730"/>
        <v>0</v>
      </c>
      <c r="AV714" s="12">
        <f t="shared" si="730"/>
        <v>0</v>
      </c>
      <c r="AW714" s="12">
        <f t="shared" si="730"/>
        <v>0</v>
      </c>
      <c r="AX714" s="12">
        <f t="shared" si="730"/>
        <v>0</v>
      </c>
      <c r="AY714" s="12">
        <f t="shared" si="730"/>
        <v>0</v>
      </c>
      <c r="AZ714" s="12">
        <f t="shared" si="730"/>
        <v>0</v>
      </c>
      <c r="BA714" s="12">
        <f t="shared" si="730"/>
        <v>0</v>
      </c>
      <c r="BB714" s="12">
        <f t="shared" si="730"/>
        <v>0</v>
      </c>
      <c r="BC714" s="12">
        <f t="shared" si="730"/>
        <v>0</v>
      </c>
      <c r="BD714" s="12">
        <f t="shared" si="730"/>
        <v>0</v>
      </c>
      <c r="BE714" s="12">
        <f t="shared" si="730"/>
        <v>0</v>
      </c>
      <c r="BF714" s="12">
        <f t="shared" si="730"/>
        <v>0</v>
      </c>
      <c r="BG714" s="12">
        <f t="shared" si="730"/>
        <v>0</v>
      </c>
      <c r="BH714" s="12">
        <f t="shared" si="730"/>
        <v>0</v>
      </c>
      <c r="BI714" s="12">
        <f t="shared" si="730"/>
        <v>0</v>
      </c>
      <c r="BJ714" s="12">
        <f t="shared" si="730"/>
        <v>0</v>
      </c>
      <c r="BK714" s="12">
        <f t="shared" si="730"/>
        <v>0</v>
      </c>
      <c r="BL714" s="12">
        <f t="shared" si="730"/>
        <v>0</v>
      </c>
      <c r="BM714" s="12">
        <f t="shared" si="730"/>
        <v>0</v>
      </c>
      <c r="BN714" s="12">
        <f t="shared" si="730"/>
        <v>0</v>
      </c>
      <c r="BO714" s="12">
        <f t="shared" si="730"/>
        <v>0</v>
      </c>
      <c r="BP714" s="12">
        <f t="shared" si="730"/>
        <v>0</v>
      </c>
      <c r="BQ714" s="12">
        <f t="shared" si="730"/>
        <v>0</v>
      </c>
      <c r="BR714" s="12">
        <f t="shared" si="730"/>
        <v>0</v>
      </c>
      <c r="BS714" s="12">
        <f t="shared" si="730"/>
        <v>0</v>
      </c>
      <c r="BT714" s="12">
        <f t="shared" si="730"/>
        <v>0</v>
      </c>
      <c r="BU714" s="12">
        <f t="shared" si="730"/>
        <v>0</v>
      </c>
      <c r="BV714" s="12">
        <f t="shared" si="730"/>
        <v>0</v>
      </c>
      <c r="BW714" s="12">
        <f t="shared" si="730"/>
        <v>0</v>
      </c>
      <c r="BX714" s="12">
        <f t="shared" si="730"/>
        <v>0</v>
      </c>
      <c r="BY714" s="12">
        <f t="shared" si="730"/>
        <v>0</v>
      </c>
      <c r="BZ714" s="12">
        <f t="shared" si="730"/>
        <v>0</v>
      </c>
      <c r="CA714" s="12">
        <f t="shared" si="730"/>
        <v>0</v>
      </c>
      <c r="CB714" s="12">
        <f t="shared" si="730"/>
        <v>0</v>
      </c>
      <c r="CC714" s="12">
        <f t="shared" si="730"/>
        <v>0</v>
      </c>
      <c r="CD714" s="12">
        <f t="shared" si="730"/>
        <v>0</v>
      </c>
      <c r="CE714" s="12">
        <f t="shared" si="730"/>
        <v>0</v>
      </c>
      <c r="CF714" s="12">
        <f t="shared" si="730"/>
        <v>0</v>
      </c>
      <c r="CG714" s="12">
        <f t="shared" si="730"/>
        <v>0</v>
      </c>
      <c r="CH714" s="12">
        <f t="shared" si="730"/>
        <v>0</v>
      </c>
      <c r="CI714" s="12">
        <f t="shared" si="730"/>
        <v>0</v>
      </c>
      <c r="CJ714" s="12">
        <f t="shared" si="730"/>
        <v>0</v>
      </c>
      <c r="CK714" s="12">
        <f t="shared" si="730"/>
        <v>0</v>
      </c>
      <c r="CL714" s="12">
        <f t="shared" si="730"/>
        <v>0</v>
      </c>
      <c r="CM714" s="12">
        <f t="shared" si="730"/>
        <v>0</v>
      </c>
      <c r="CN714" s="12">
        <f t="shared" si="730"/>
        <v>0</v>
      </c>
      <c r="CO714" s="12">
        <f t="shared" si="730"/>
        <v>0</v>
      </c>
      <c r="CP714" s="12"/>
      <c r="CQ714" s="12"/>
      <c r="CR714" s="12"/>
      <c r="CS714" s="12"/>
      <c r="CT714" s="12"/>
      <c r="CU714" s="12"/>
      <c r="CV714" s="12"/>
      <c r="CW714" s="12"/>
      <c r="CX714" s="12"/>
      <c r="CY714" s="12"/>
      <c r="CZ714" s="12"/>
      <c r="DA714" s="12"/>
      <c r="DC714" s="11">
        <f>AG714</f>
        <v>0</v>
      </c>
      <c r="DD714" s="11">
        <f>AS714</f>
        <v>0</v>
      </c>
      <c r="DE714" s="11">
        <f>BE714</f>
        <v>0</v>
      </c>
      <c r="DF714" s="11">
        <f>BQ714</f>
        <v>0</v>
      </c>
      <c r="DG714" s="11">
        <f>CC714</f>
        <v>0</v>
      </c>
      <c r="DH714" s="11">
        <f>CO714</f>
        <v>0</v>
      </c>
    </row>
    <row r="715" spans="2:113" hidden="1" outlineLevel="1">
      <c r="E715" s="698" t="s">
        <v>215</v>
      </c>
      <c r="F715" s="12"/>
      <c r="I715" s="609" t="s">
        <v>736</v>
      </c>
      <c r="V715" s="698"/>
      <c r="AA715" s="698"/>
      <c r="AH715" s="12"/>
      <c r="AI715" s="12"/>
      <c r="AJ715" s="12"/>
      <c r="AK715" s="12"/>
      <c r="AL715" s="12"/>
      <c r="AM715" s="12"/>
      <c r="AN715" s="12"/>
      <c r="AO715" s="14"/>
      <c r="AP715" s="14"/>
      <c r="AQ715" s="14"/>
      <c r="AR715" s="14"/>
      <c r="AS715" s="14">
        <f t="shared" ref="AS715:CO715" si="731">AS719+AS721</f>
        <v>0</v>
      </c>
      <c r="AT715" s="14">
        <f t="shared" si="731"/>
        <v>0</v>
      </c>
      <c r="AU715" s="14">
        <f t="shared" si="731"/>
        <v>0</v>
      </c>
      <c r="AV715" s="14">
        <f t="shared" si="731"/>
        <v>0</v>
      </c>
      <c r="AW715" s="14">
        <f t="shared" si="731"/>
        <v>0</v>
      </c>
      <c r="AX715" s="14">
        <f t="shared" si="731"/>
        <v>0</v>
      </c>
      <c r="AY715" s="14">
        <f t="shared" si="731"/>
        <v>0</v>
      </c>
      <c r="AZ715" s="14">
        <f t="shared" si="731"/>
        <v>0</v>
      </c>
      <c r="BA715" s="14">
        <f t="shared" si="731"/>
        <v>0</v>
      </c>
      <c r="BB715" s="14">
        <f t="shared" si="731"/>
        <v>0</v>
      </c>
      <c r="BC715" s="14">
        <f t="shared" si="731"/>
        <v>0</v>
      </c>
      <c r="BD715" s="14">
        <f t="shared" si="731"/>
        <v>0</v>
      </c>
      <c r="BE715" s="14">
        <f t="shared" si="731"/>
        <v>0</v>
      </c>
      <c r="BF715" s="14">
        <f t="shared" si="731"/>
        <v>0</v>
      </c>
      <c r="BG715" s="14">
        <f t="shared" si="731"/>
        <v>0</v>
      </c>
      <c r="BH715" s="14">
        <f t="shared" si="731"/>
        <v>0</v>
      </c>
      <c r="BI715" s="14">
        <f t="shared" si="731"/>
        <v>0</v>
      </c>
      <c r="BJ715" s="14">
        <f t="shared" si="731"/>
        <v>0</v>
      </c>
      <c r="BK715" s="14">
        <f t="shared" si="731"/>
        <v>0</v>
      </c>
      <c r="BL715" s="14">
        <f t="shared" si="731"/>
        <v>0</v>
      </c>
      <c r="BM715" s="14">
        <f t="shared" si="731"/>
        <v>0</v>
      </c>
      <c r="BN715" s="14">
        <f t="shared" si="731"/>
        <v>0</v>
      </c>
      <c r="BO715" s="14">
        <f t="shared" si="731"/>
        <v>0</v>
      </c>
      <c r="BP715" s="14">
        <f t="shared" si="731"/>
        <v>0</v>
      </c>
      <c r="BQ715" s="14">
        <f t="shared" si="731"/>
        <v>0</v>
      </c>
      <c r="BR715" s="14">
        <f t="shared" si="731"/>
        <v>0</v>
      </c>
      <c r="BS715" s="14">
        <f t="shared" si="731"/>
        <v>0</v>
      </c>
      <c r="BT715" s="14">
        <f t="shared" si="731"/>
        <v>0</v>
      </c>
      <c r="BU715" s="14">
        <f t="shared" si="731"/>
        <v>0</v>
      </c>
      <c r="BV715" s="14">
        <f t="shared" si="731"/>
        <v>0</v>
      </c>
      <c r="BW715" s="14">
        <f t="shared" si="731"/>
        <v>0</v>
      </c>
      <c r="BX715" s="14">
        <f t="shared" si="731"/>
        <v>0</v>
      </c>
      <c r="BY715" s="14">
        <f t="shared" si="731"/>
        <v>0</v>
      </c>
      <c r="BZ715" s="14">
        <f t="shared" si="731"/>
        <v>0</v>
      </c>
      <c r="CA715" s="14">
        <f t="shared" si="731"/>
        <v>0</v>
      </c>
      <c r="CB715" s="14">
        <f t="shared" si="731"/>
        <v>0</v>
      </c>
      <c r="CC715" s="14">
        <f t="shared" si="731"/>
        <v>0</v>
      </c>
      <c r="CD715" s="14">
        <f t="shared" si="731"/>
        <v>0</v>
      </c>
      <c r="CE715" s="14">
        <f t="shared" si="731"/>
        <v>0</v>
      </c>
      <c r="CF715" s="14">
        <f t="shared" si="731"/>
        <v>0</v>
      </c>
      <c r="CG715" s="14">
        <f t="shared" si="731"/>
        <v>0</v>
      </c>
      <c r="CH715" s="14">
        <f t="shared" si="731"/>
        <v>0</v>
      </c>
      <c r="CI715" s="14">
        <f t="shared" si="731"/>
        <v>0</v>
      </c>
      <c r="CJ715" s="14">
        <f t="shared" si="731"/>
        <v>0</v>
      </c>
      <c r="CK715" s="14">
        <f t="shared" si="731"/>
        <v>0</v>
      </c>
      <c r="CL715" s="14">
        <f t="shared" si="731"/>
        <v>0</v>
      </c>
      <c r="CM715" s="14">
        <f t="shared" si="731"/>
        <v>0</v>
      </c>
      <c r="CN715" s="14">
        <f t="shared" si="731"/>
        <v>0</v>
      </c>
      <c r="CO715" s="14">
        <f t="shared" si="731"/>
        <v>0</v>
      </c>
      <c r="CP715" s="14"/>
      <c r="CQ715" s="14"/>
      <c r="CR715" s="14"/>
      <c r="CS715" s="14"/>
      <c r="CT715" s="14"/>
      <c r="CU715" s="14"/>
      <c r="CV715" s="14"/>
      <c r="CW715" s="14"/>
      <c r="CX715" s="14"/>
      <c r="CY715" s="14"/>
      <c r="CZ715" s="14"/>
      <c r="DA715" s="14"/>
      <c r="DC715" s="12">
        <f t="shared" ref="DC715:DC729" si="732">SUM(V715:AG715)</f>
        <v>0</v>
      </c>
      <c r="DD715" s="12">
        <f>SUM(AH715:AS715)</f>
        <v>0</v>
      </c>
      <c r="DE715" s="12">
        <f>SUM(AT715:BE715)</f>
        <v>0</v>
      </c>
      <c r="DF715" s="12">
        <f t="shared" ref="DF715:DF729" si="733">SUM(BF715:BQ715)</f>
        <v>0</v>
      </c>
      <c r="DG715" s="12">
        <f>SUM(BR715:CC715)</f>
        <v>0</v>
      </c>
      <c r="DH715" s="12">
        <f>SUM(CD715:CO715)</f>
        <v>0</v>
      </c>
    </row>
    <row r="716" spans="2:113" hidden="1" outlineLevel="1">
      <c r="E716" s="698" t="s">
        <v>99</v>
      </c>
      <c r="F716" s="12"/>
      <c r="I716" s="609" t="s">
        <v>736</v>
      </c>
      <c r="V716" s="698"/>
      <c r="AA716" s="698"/>
      <c r="AH716" s="12"/>
      <c r="AI716" s="12"/>
      <c r="AJ716" s="12"/>
      <c r="AK716" s="12"/>
      <c r="AL716" s="12"/>
      <c r="AM716" s="12"/>
      <c r="AN716" s="12"/>
      <c r="AO716" s="14"/>
      <c r="AP716" s="14"/>
      <c r="AQ716" s="14"/>
      <c r="AR716" s="14"/>
      <c r="AS716" s="14">
        <f t="shared" ref="AS716:CO716" si="734">AS720</f>
        <v>0</v>
      </c>
      <c r="AT716" s="14">
        <f t="shared" si="734"/>
        <v>0</v>
      </c>
      <c r="AU716" s="14">
        <f t="shared" si="734"/>
        <v>0</v>
      </c>
      <c r="AV716" s="14">
        <f t="shared" si="734"/>
        <v>0</v>
      </c>
      <c r="AW716" s="14">
        <f t="shared" si="734"/>
        <v>0</v>
      </c>
      <c r="AX716" s="14">
        <f t="shared" si="734"/>
        <v>0</v>
      </c>
      <c r="AY716" s="14">
        <f t="shared" si="734"/>
        <v>0</v>
      </c>
      <c r="AZ716" s="14">
        <f t="shared" si="734"/>
        <v>0</v>
      </c>
      <c r="BA716" s="14">
        <f t="shared" si="734"/>
        <v>0</v>
      </c>
      <c r="BB716" s="14">
        <f t="shared" si="734"/>
        <v>0</v>
      </c>
      <c r="BC716" s="14">
        <f t="shared" si="734"/>
        <v>0</v>
      </c>
      <c r="BD716" s="14">
        <f t="shared" si="734"/>
        <v>0</v>
      </c>
      <c r="BE716" s="14">
        <f t="shared" si="734"/>
        <v>0</v>
      </c>
      <c r="BF716" s="14">
        <f t="shared" si="734"/>
        <v>0</v>
      </c>
      <c r="BG716" s="14">
        <f t="shared" si="734"/>
        <v>0</v>
      </c>
      <c r="BH716" s="14">
        <f t="shared" si="734"/>
        <v>0</v>
      </c>
      <c r="BI716" s="14">
        <f t="shared" si="734"/>
        <v>0</v>
      </c>
      <c r="BJ716" s="14">
        <f t="shared" si="734"/>
        <v>0</v>
      </c>
      <c r="BK716" s="14">
        <f t="shared" si="734"/>
        <v>0</v>
      </c>
      <c r="BL716" s="14">
        <f t="shared" si="734"/>
        <v>0</v>
      </c>
      <c r="BM716" s="14">
        <f t="shared" si="734"/>
        <v>0</v>
      </c>
      <c r="BN716" s="14">
        <f t="shared" si="734"/>
        <v>0</v>
      </c>
      <c r="BO716" s="14">
        <f t="shared" si="734"/>
        <v>0</v>
      </c>
      <c r="BP716" s="14">
        <f t="shared" si="734"/>
        <v>0</v>
      </c>
      <c r="BQ716" s="14">
        <f t="shared" si="734"/>
        <v>0</v>
      </c>
      <c r="BR716" s="14">
        <f t="shared" si="734"/>
        <v>0</v>
      </c>
      <c r="BS716" s="14">
        <f t="shared" si="734"/>
        <v>0</v>
      </c>
      <c r="BT716" s="14">
        <f t="shared" si="734"/>
        <v>0</v>
      </c>
      <c r="BU716" s="14">
        <f t="shared" si="734"/>
        <v>0</v>
      </c>
      <c r="BV716" s="14">
        <f t="shared" si="734"/>
        <v>0</v>
      </c>
      <c r="BW716" s="14">
        <f t="shared" si="734"/>
        <v>0</v>
      </c>
      <c r="BX716" s="14">
        <f t="shared" si="734"/>
        <v>0</v>
      </c>
      <c r="BY716" s="14">
        <f t="shared" si="734"/>
        <v>0</v>
      </c>
      <c r="BZ716" s="14">
        <f t="shared" si="734"/>
        <v>0</v>
      </c>
      <c r="CA716" s="14">
        <f t="shared" si="734"/>
        <v>0</v>
      </c>
      <c r="CB716" s="14">
        <f t="shared" si="734"/>
        <v>0</v>
      </c>
      <c r="CC716" s="14">
        <f t="shared" si="734"/>
        <v>0</v>
      </c>
      <c r="CD716" s="14">
        <f t="shared" si="734"/>
        <v>0</v>
      </c>
      <c r="CE716" s="14">
        <f t="shared" si="734"/>
        <v>0</v>
      </c>
      <c r="CF716" s="14">
        <f t="shared" si="734"/>
        <v>0</v>
      </c>
      <c r="CG716" s="14">
        <f t="shared" si="734"/>
        <v>0</v>
      </c>
      <c r="CH716" s="14">
        <f t="shared" si="734"/>
        <v>0</v>
      </c>
      <c r="CI716" s="14">
        <f t="shared" si="734"/>
        <v>0</v>
      </c>
      <c r="CJ716" s="14">
        <f t="shared" si="734"/>
        <v>0</v>
      </c>
      <c r="CK716" s="14">
        <f t="shared" si="734"/>
        <v>0</v>
      </c>
      <c r="CL716" s="14">
        <f t="shared" si="734"/>
        <v>0</v>
      </c>
      <c r="CM716" s="14">
        <f t="shared" si="734"/>
        <v>0</v>
      </c>
      <c r="CN716" s="14">
        <f t="shared" si="734"/>
        <v>0</v>
      </c>
      <c r="CO716" s="14">
        <f t="shared" si="734"/>
        <v>0</v>
      </c>
      <c r="CP716" s="14"/>
      <c r="CQ716" s="14"/>
      <c r="CR716" s="14"/>
      <c r="CS716" s="14"/>
      <c r="CT716" s="14"/>
      <c r="CU716" s="14"/>
      <c r="CV716" s="14"/>
      <c r="CW716" s="14"/>
      <c r="CX716" s="14"/>
      <c r="CY716" s="14"/>
      <c r="CZ716" s="14"/>
      <c r="DA716" s="14"/>
      <c r="DC716" s="12">
        <f t="shared" si="732"/>
        <v>0</v>
      </c>
      <c r="DD716" s="12">
        <f t="shared" ref="DD716:DD724" si="735">SUM(AH716:AS716)</f>
        <v>0</v>
      </c>
      <c r="DE716" s="12">
        <f t="shared" ref="DE716:DE724" si="736">SUM(AT716:BE716)</f>
        <v>0</v>
      </c>
      <c r="DF716" s="12">
        <f t="shared" si="733"/>
        <v>0</v>
      </c>
      <c r="DG716" s="12">
        <f t="shared" ref="DG716:DG724" si="737">SUM(BR716:CC716)</f>
        <v>0</v>
      </c>
      <c r="DH716" s="12">
        <f t="shared" ref="DH716:DH724" si="738">SUM(CD716:CO716)</f>
        <v>0</v>
      </c>
    </row>
    <row r="717" spans="2:113" hidden="1" outlineLevel="1">
      <c r="E717" s="698" t="s">
        <v>217</v>
      </c>
      <c r="F717" s="698"/>
      <c r="G717" s="698"/>
      <c r="I717" s="609" t="s">
        <v>736</v>
      </c>
      <c r="V717" s="698"/>
      <c r="W717" s="698"/>
      <c r="AA717" s="698"/>
      <c r="AH717" s="12"/>
      <c r="AI717" s="12"/>
      <c r="AJ717" s="12"/>
      <c r="AK717" s="12"/>
      <c r="AL717" s="12"/>
      <c r="AM717" s="12"/>
      <c r="AN717" s="12"/>
      <c r="AO717" s="14"/>
      <c r="AP717" s="14"/>
      <c r="AQ717" s="14"/>
      <c r="AR717" s="14"/>
      <c r="AS717" s="14">
        <f t="shared" ref="AS717:CO717" si="739">AS718+AS721</f>
        <v>0</v>
      </c>
      <c r="AT717" s="14">
        <f t="shared" si="739"/>
        <v>0</v>
      </c>
      <c r="AU717" s="14">
        <f t="shared" si="739"/>
        <v>0</v>
      </c>
      <c r="AV717" s="14">
        <f t="shared" si="739"/>
        <v>0</v>
      </c>
      <c r="AW717" s="14">
        <f t="shared" si="739"/>
        <v>0</v>
      </c>
      <c r="AX717" s="14">
        <f t="shared" si="739"/>
        <v>0</v>
      </c>
      <c r="AY717" s="14">
        <f t="shared" si="739"/>
        <v>0</v>
      </c>
      <c r="AZ717" s="14">
        <f t="shared" si="739"/>
        <v>0</v>
      </c>
      <c r="BA717" s="14">
        <f t="shared" si="739"/>
        <v>0</v>
      </c>
      <c r="BB717" s="14">
        <f t="shared" si="739"/>
        <v>0</v>
      </c>
      <c r="BC717" s="14">
        <f t="shared" si="739"/>
        <v>0</v>
      </c>
      <c r="BD717" s="14">
        <f t="shared" si="739"/>
        <v>0</v>
      </c>
      <c r="BE717" s="14">
        <f t="shared" si="739"/>
        <v>0</v>
      </c>
      <c r="BF717" s="14">
        <f t="shared" si="739"/>
        <v>0</v>
      </c>
      <c r="BG717" s="14">
        <f t="shared" si="739"/>
        <v>0</v>
      </c>
      <c r="BH717" s="14">
        <f t="shared" si="739"/>
        <v>0</v>
      </c>
      <c r="BI717" s="14">
        <f t="shared" si="739"/>
        <v>0</v>
      </c>
      <c r="BJ717" s="14">
        <f t="shared" si="739"/>
        <v>0</v>
      </c>
      <c r="BK717" s="14">
        <f t="shared" si="739"/>
        <v>0</v>
      </c>
      <c r="BL717" s="14">
        <f t="shared" si="739"/>
        <v>0</v>
      </c>
      <c r="BM717" s="14">
        <f t="shared" si="739"/>
        <v>0</v>
      </c>
      <c r="BN717" s="14">
        <f t="shared" si="739"/>
        <v>0</v>
      </c>
      <c r="BO717" s="14">
        <f t="shared" si="739"/>
        <v>0</v>
      </c>
      <c r="BP717" s="14">
        <f t="shared" si="739"/>
        <v>0</v>
      </c>
      <c r="BQ717" s="14">
        <f t="shared" si="739"/>
        <v>0</v>
      </c>
      <c r="BR717" s="14">
        <f t="shared" si="739"/>
        <v>0</v>
      </c>
      <c r="BS717" s="14">
        <f t="shared" si="739"/>
        <v>0</v>
      </c>
      <c r="BT717" s="14">
        <f t="shared" si="739"/>
        <v>0</v>
      </c>
      <c r="BU717" s="14">
        <f t="shared" si="739"/>
        <v>0</v>
      </c>
      <c r="BV717" s="14">
        <f t="shared" si="739"/>
        <v>0</v>
      </c>
      <c r="BW717" s="14">
        <f t="shared" si="739"/>
        <v>0</v>
      </c>
      <c r="BX717" s="14">
        <f t="shared" si="739"/>
        <v>0</v>
      </c>
      <c r="BY717" s="14">
        <f t="shared" si="739"/>
        <v>0</v>
      </c>
      <c r="BZ717" s="14">
        <f t="shared" si="739"/>
        <v>0</v>
      </c>
      <c r="CA717" s="14">
        <f t="shared" si="739"/>
        <v>0</v>
      </c>
      <c r="CB717" s="14">
        <f t="shared" si="739"/>
        <v>0</v>
      </c>
      <c r="CC717" s="14">
        <f t="shared" si="739"/>
        <v>0</v>
      </c>
      <c r="CD717" s="14">
        <f t="shared" si="739"/>
        <v>0</v>
      </c>
      <c r="CE717" s="14">
        <f t="shared" si="739"/>
        <v>0</v>
      </c>
      <c r="CF717" s="14">
        <f t="shared" si="739"/>
        <v>0</v>
      </c>
      <c r="CG717" s="14">
        <f t="shared" si="739"/>
        <v>0</v>
      </c>
      <c r="CH717" s="14">
        <f t="shared" si="739"/>
        <v>0</v>
      </c>
      <c r="CI717" s="14">
        <f t="shared" si="739"/>
        <v>0</v>
      </c>
      <c r="CJ717" s="14">
        <f t="shared" si="739"/>
        <v>0</v>
      </c>
      <c r="CK717" s="14">
        <f t="shared" si="739"/>
        <v>0</v>
      </c>
      <c r="CL717" s="14">
        <f t="shared" si="739"/>
        <v>0</v>
      </c>
      <c r="CM717" s="14">
        <f t="shared" si="739"/>
        <v>0</v>
      </c>
      <c r="CN717" s="14">
        <f t="shared" si="739"/>
        <v>0</v>
      </c>
      <c r="CO717" s="14">
        <f t="shared" si="739"/>
        <v>0</v>
      </c>
      <c r="CP717" s="14"/>
      <c r="CQ717" s="14"/>
      <c r="CR717" s="14"/>
      <c r="CS717" s="14"/>
      <c r="CT717" s="14"/>
      <c r="CU717" s="14"/>
      <c r="CV717" s="14"/>
      <c r="CW717" s="14"/>
      <c r="CX717" s="14"/>
      <c r="CY717" s="14"/>
      <c r="CZ717" s="14"/>
      <c r="DA717" s="14"/>
      <c r="DC717" s="14">
        <f t="shared" si="732"/>
        <v>0</v>
      </c>
      <c r="DD717" s="14">
        <f t="shared" si="735"/>
        <v>0</v>
      </c>
      <c r="DE717" s="14">
        <f t="shared" si="736"/>
        <v>0</v>
      </c>
      <c r="DF717" s="14">
        <f t="shared" si="733"/>
        <v>0</v>
      </c>
      <c r="DG717" s="14">
        <f t="shared" si="737"/>
        <v>0</v>
      </c>
      <c r="DH717" s="14">
        <f t="shared" si="738"/>
        <v>0</v>
      </c>
    </row>
    <row r="718" spans="2:113" hidden="1" outlineLevel="1">
      <c r="E718" s="704" t="s">
        <v>797</v>
      </c>
      <c r="F718" s="14"/>
      <c r="G718" s="698"/>
      <c r="I718" s="609" t="s">
        <v>736</v>
      </c>
      <c r="V718" s="698"/>
      <c r="W718" s="698"/>
      <c r="AA718" s="698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>
        <f t="shared" ref="AS718:CO718" si="740">AS719+AS720</f>
        <v>0</v>
      </c>
      <c r="AT718" s="12">
        <f t="shared" si="740"/>
        <v>0</v>
      </c>
      <c r="AU718" s="12">
        <f t="shared" si="740"/>
        <v>0</v>
      </c>
      <c r="AV718" s="12">
        <f t="shared" si="740"/>
        <v>0</v>
      </c>
      <c r="AW718" s="12">
        <f t="shared" si="740"/>
        <v>0</v>
      </c>
      <c r="AX718" s="12">
        <f t="shared" si="740"/>
        <v>0</v>
      </c>
      <c r="AY718" s="12">
        <f t="shared" si="740"/>
        <v>0</v>
      </c>
      <c r="AZ718" s="12">
        <f t="shared" si="740"/>
        <v>0</v>
      </c>
      <c r="BA718" s="12">
        <f t="shared" si="740"/>
        <v>0</v>
      </c>
      <c r="BB718" s="12">
        <f t="shared" si="740"/>
        <v>0</v>
      </c>
      <c r="BC718" s="12">
        <f t="shared" si="740"/>
        <v>0</v>
      </c>
      <c r="BD718" s="12">
        <f t="shared" si="740"/>
        <v>0</v>
      </c>
      <c r="BE718" s="12">
        <f t="shared" si="740"/>
        <v>0</v>
      </c>
      <c r="BF718" s="12">
        <f t="shared" si="740"/>
        <v>0</v>
      </c>
      <c r="BG718" s="12">
        <f t="shared" si="740"/>
        <v>0</v>
      </c>
      <c r="BH718" s="12">
        <f t="shared" si="740"/>
        <v>0</v>
      </c>
      <c r="BI718" s="12">
        <f t="shared" si="740"/>
        <v>0</v>
      </c>
      <c r="BJ718" s="12">
        <f t="shared" si="740"/>
        <v>0</v>
      </c>
      <c r="BK718" s="12">
        <f t="shared" si="740"/>
        <v>0</v>
      </c>
      <c r="BL718" s="12">
        <f t="shared" si="740"/>
        <v>0</v>
      </c>
      <c r="BM718" s="12">
        <f t="shared" si="740"/>
        <v>0</v>
      </c>
      <c r="BN718" s="12">
        <f t="shared" si="740"/>
        <v>0</v>
      </c>
      <c r="BO718" s="12">
        <f t="shared" si="740"/>
        <v>0</v>
      </c>
      <c r="BP718" s="12">
        <f t="shared" si="740"/>
        <v>0</v>
      </c>
      <c r="BQ718" s="12">
        <f t="shared" si="740"/>
        <v>0</v>
      </c>
      <c r="BR718" s="12">
        <f t="shared" si="740"/>
        <v>0</v>
      </c>
      <c r="BS718" s="12">
        <f t="shared" si="740"/>
        <v>0</v>
      </c>
      <c r="BT718" s="12">
        <f t="shared" si="740"/>
        <v>0</v>
      </c>
      <c r="BU718" s="12">
        <f t="shared" si="740"/>
        <v>0</v>
      </c>
      <c r="BV718" s="12">
        <f t="shared" si="740"/>
        <v>0</v>
      </c>
      <c r="BW718" s="12">
        <f t="shared" si="740"/>
        <v>0</v>
      </c>
      <c r="BX718" s="12">
        <f t="shared" si="740"/>
        <v>0</v>
      </c>
      <c r="BY718" s="12">
        <f t="shared" si="740"/>
        <v>0</v>
      </c>
      <c r="BZ718" s="12">
        <f t="shared" si="740"/>
        <v>0</v>
      </c>
      <c r="CA718" s="12">
        <f t="shared" si="740"/>
        <v>0</v>
      </c>
      <c r="CB718" s="12">
        <f t="shared" si="740"/>
        <v>0</v>
      </c>
      <c r="CC718" s="12">
        <f t="shared" si="740"/>
        <v>0</v>
      </c>
      <c r="CD718" s="12">
        <f t="shared" si="740"/>
        <v>0</v>
      </c>
      <c r="CE718" s="12">
        <f t="shared" si="740"/>
        <v>0</v>
      </c>
      <c r="CF718" s="12">
        <f t="shared" si="740"/>
        <v>0</v>
      </c>
      <c r="CG718" s="12">
        <f t="shared" si="740"/>
        <v>0</v>
      </c>
      <c r="CH718" s="12">
        <f t="shared" si="740"/>
        <v>0</v>
      </c>
      <c r="CI718" s="12">
        <f t="shared" si="740"/>
        <v>0</v>
      </c>
      <c r="CJ718" s="12">
        <f t="shared" si="740"/>
        <v>0</v>
      </c>
      <c r="CK718" s="12">
        <f t="shared" si="740"/>
        <v>0</v>
      </c>
      <c r="CL718" s="12">
        <f t="shared" si="740"/>
        <v>0</v>
      </c>
      <c r="CM718" s="12">
        <f t="shared" si="740"/>
        <v>0</v>
      </c>
      <c r="CN718" s="12">
        <f t="shared" si="740"/>
        <v>0</v>
      </c>
      <c r="CO718" s="12">
        <f t="shared" si="740"/>
        <v>0</v>
      </c>
      <c r="CP718" s="12"/>
      <c r="CQ718" s="12"/>
      <c r="CR718" s="12"/>
      <c r="CS718" s="12"/>
      <c r="CT718" s="12"/>
      <c r="CU718" s="12"/>
      <c r="CV718" s="12"/>
      <c r="CW718" s="12"/>
      <c r="CX718" s="12"/>
      <c r="CY718" s="12"/>
      <c r="CZ718" s="12"/>
      <c r="DA718" s="12"/>
      <c r="DC718" s="12">
        <f t="shared" si="732"/>
        <v>0</v>
      </c>
      <c r="DD718" s="12">
        <f t="shared" si="735"/>
        <v>0</v>
      </c>
      <c r="DE718" s="12">
        <f t="shared" si="736"/>
        <v>0</v>
      </c>
      <c r="DF718" s="12">
        <f t="shared" si="733"/>
        <v>0</v>
      </c>
      <c r="DG718" s="12">
        <f t="shared" si="737"/>
        <v>0</v>
      </c>
      <c r="DH718" s="12">
        <f t="shared" si="738"/>
        <v>0</v>
      </c>
    </row>
    <row r="719" spans="2:113" hidden="1" outlineLevel="1">
      <c r="F719" s="126" t="s">
        <v>737</v>
      </c>
      <c r="I719" s="609" t="s">
        <v>736</v>
      </c>
      <c r="AA719" s="698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>
        <f t="shared" ref="AS719:CO720" si="741">AS759+AS793+AS828</f>
        <v>0</v>
      </c>
      <c r="AT719" s="12">
        <f t="shared" si="741"/>
        <v>0</v>
      </c>
      <c r="AU719" s="12">
        <f t="shared" si="741"/>
        <v>0</v>
      </c>
      <c r="AV719" s="12">
        <f t="shared" si="741"/>
        <v>0</v>
      </c>
      <c r="AW719" s="12">
        <f t="shared" si="741"/>
        <v>0</v>
      </c>
      <c r="AX719" s="12">
        <f t="shared" si="741"/>
        <v>0</v>
      </c>
      <c r="AY719" s="12">
        <f t="shared" si="741"/>
        <v>0</v>
      </c>
      <c r="AZ719" s="12">
        <f t="shared" si="741"/>
        <v>0</v>
      </c>
      <c r="BA719" s="12">
        <f t="shared" si="741"/>
        <v>0</v>
      </c>
      <c r="BB719" s="12">
        <f t="shared" si="741"/>
        <v>0</v>
      </c>
      <c r="BC719" s="12">
        <f t="shared" si="741"/>
        <v>0</v>
      </c>
      <c r="BD719" s="12">
        <f t="shared" si="741"/>
        <v>0</v>
      </c>
      <c r="BE719" s="12">
        <f t="shared" si="741"/>
        <v>0</v>
      </c>
      <c r="BF719" s="12">
        <f t="shared" si="741"/>
        <v>0</v>
      </c>
      <c r="BG719" s="12">
        <f t="shared" si="741"/>
        <v>0</v>
      </c>
      <c r="BH719" s="12">
        <f t="shared" si="741"/>
        <v>0</v>
      </c>
      <c r="BI719" s="12">
        <f t="shared" si="741"/>
        <v>0</v>
      </c>
      <c r="BJ719" s="12">
        <f t="shared" si="741"/>
        <v>0</v>
      </c>
      <c r="BK719" s="12">
        <f t="shared" si="741"/>
        <v>0</v>
      </c>
      <c r="BL719" s="12">
        <f t="shared" si="741"/>
        <v>0</v>
      </c>
      <c r="BM719" s="12">
        <f t="shared" si="741"/>
        <v>0</v>
      </c>
      <c r="BN719" s="12">
        <f t="shared" si="741"/>
        <v>0</v>
      </c>
      <c r="BO719" s="12">
        <f t="shared" si="741"/>
        <v>0</v>
      </c>
      <c r="BP719" s="12">
        <f t="shared" si="741"/>
        <v>0</v>
      </c>
      <c r="BQ719" s="12">
        <f t="shared" si="741"/>
        <v>0</v>
      </c>
      <c r="BR719" s="12">
        <f t="shared" si="741"/>
        <v>0</v>
      </c>
      <c r="BS719" s="12">
        <f t="shared" si="741"/>
        <v>0</v>
      </c>
      <c r="BT719" s="12">
        <f t="shared" si="741"/>
        <v>0</v>
      </c>
      <c r="BU719" s="12">
        <f t="shared" si="741"/>
        <v>0</v>
      </c>
      <c r="BV719" s="12">
        <f t="shared" si="741"/>
        <v>0</v>
      </c>
      <c r="BW719" s="12">
        <f t="shared" si="741"/>
        <v>0</v>
      </c>
      <c r="BX719" s="12">
        <f t="shared" si="741"/>
        <v>0</v>
      </c>
      <c r="BY719" s="12">
        <f t="shared" si="741"/>
        <v>0</v>
      </c>
      <c r="BZ719" s="12">
        <f t="shared" si="741"/>
        <v>0</v>
      </c>
      <c r="CA719" s="12">
        <f t="shared" si="741"/>
        <v>0</v>
      </c>
      <c r="CB719" s="12">
        <f t="shared" si="741"/>
        <v>0</v>
      </c>
      <c r="CC719" s="12">
        <f t="shared" si="741"/>
        <v>0</v>
      </c>
      <c r="CD719" s="12">
        <f t="shared" si="741"/>
        <v>0</v>
      </c>
      <c r="CE719" s="12">
        <f t="shared" si="741"/>
        <v>0</v>
      </c>
      <c r="CF719" s="12">
        <f t="shared" si="741"/>
        <v>0</v>
      </c>
      <c r="CG719" s="12">
        <f t="shared" si="741"/>
        <v>0</v>
      </c>
      <c r="CH719" s="12">
        <f t="shared" si="741"/>
        <v>0</v>
      </c>
      <c r="CI719" s="12">
        <f t="shared" si="741"/>
        <v>0</v>
      </c>
      <c r="CJ719" s="12">
        <f t="shared" si="741"/>
        <v>0</v>
      </c>
      <c r="CK719" s="12">
        <f t="shared" si="741"/>
        <v>0</v>
      </c>
      <c r="CL719" s="12">
        <f t="shared" si="741"/>
        <v>0</v>
      </c>
      <c r="CM719" s="12">
        <f t="shared" si="741"/>
        <v>0</v>
      </c>
      <c r="CN719" s="12">
        <f t="shared" si="741"/>
        <v>0</v>
      </c>
      <c r="CO719" s="12">
        <f t="shared" si="741"/>
        <v>0</v>
      </c>
      <c r="CP719" s="12"/>
      <c r="CQ719" s="12"/>
      <c r="CR719" s="12"/>
      <c r="CS719" s="12"/>
      <c r="CT719" s="12"/>
      <c r="CU719" s="12"/>
      <c r="CV719" s="12"/>
      <c r="CW719" s="12"/>
      <c r="CX719" s="12"/>
      <c r="CY719" s="12"/>
      <c r="CZ719" s="12"/>
      <c r="DA719" s="12"/>
      <c r="DC719" s="12">
        <f t="shared" si="732"/>
        <v>0</v>
      </c>
      <c r="DD719" s="12">
        <f t="shared" si="735"/>
        <v>0</v>
      </c>
      <c r="DE719" s="12">
        <f t="shared" si="736"/>
        <v>0</v>
      </c>
      <c r="DF719" s="12">
        <f t="shared" si="733"/>
        <v>0</v>
      </c>
      <c r="DG719" s="12">
        <f t="shared" si="737"/>
        <v>0</v>
      </c>
      <c r="DH719" s="12">
        <f t="shared" si="738"/>
        <v>0</v>
      </c>
    </row>
    <row r="720" spans="2:113" hidden="1" outlineLevel="1">
      <c r="F720" s="126" t="s">
        <v>798</v>
      </c>
      <c r="I720" s="609" t="s">
        <v>736</v>
      </c>
      <c r="AA720" s="698"/>
      <c r="AB720" s="698"/>
      <c r="AC720" s="698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>
        <f t="shared" si="741"/>
        <v>0</v>
      </c>
      <c r="AT720" s="12">
        <f t="shared" si="741"/>
        <v>0</v>
      </c>
      <c r="AU720" s="12">
        <f t="shared" si="741"/>
        <v>0</v>
      </c>
      <c r="AV720" s="12">
        <f t="shared" si="741"/>
        <v>0</v>
      </c>
      <c r="AW720" s="12">
        <f t="shared" si="741"/>
        <v>0</v>
      </c>
      <c r="AX720" s="12">
        <f t="shared" si="741"/>
        <v>0</v>
      </c>
      <c r="AY720" s="12">
        <f t="shared" si="741"/>
        <v>0</v>
      </c>
      <c r="AZ720" s="12">
        <f t="shared" si="741"/>
        <v>0</v>
      </c>
      <c r="BA720" s="12">
        <f t="shared" si="741"/>
        <v>0</v>
      </c>
      <c r="BB720" s="12">
        <f t="shared" si="741"/>
        <v>0</v>
      </c>
      <c r="BC720" s="12">
        <f t="shared" si="741"/>
        <v>0</v>
      </c>
      <c r="BD720" s="12">
        <f t="shared" si="741"/>
        <v>0</v>
      </c>
      <c r="BE720" s="12">
        <f t="shared" si="741"/>
        <v>0</v>
      </c>
      <c r="BF720" s="12">
        <f t="shared" si="741"/>
        <v>0</v>
      </c>
      <c r="BG720" s="12">
        <f t="shared" si="741"/>
        <v>0</v>
      </c>
      <c r="BH720" s="12">
        <f t="shared" si="741"/>
        <v>0</v>
      </c>
      <c r="BI720" s="12">
        <f t="shared" si="741"/>
        <v>0</v>
      </c>
      <c r="BJ720" s="12">
        <f t="shared" si="741"/>
        <v>0</v>
      </c>
      <c r="BK720" s="12">
        <f t="shared" si="741"/>
        <v>0</v>
      </c>
      <c r="BL720" s="12">
        <f t="shared" si="741"/>
        <v>0</v>
      </c>
      <c r="BM720" s="12">
        <f t="shared" si="741"/>
        <v>0</v>
      </c>
      <c r="BN720" s="12">
        <f t="shared" si="741"/>
        <v>0</v>
      </c>
      <c r="BO720" s="12">
        <f t="shared" si="741"/>
        <v>0</v>
      </c>
      <c r="BP720" s="12">
        <f t="shared" si="741"/>
        <v>0</v>
      </c>
      <c r="BQ720" s="12">
        <f t="shared" si="741"/>
        <v>0</v>
      </c>
      <c r="BR720" s="12">
        <f t="shared" si="741"/>
        <v>0</v>
      </c>
      <c r="BS720" s="12">
        <f t="shared" si="741"/>
        <v>0</v>
      </c>
      <c r="BT720" s="12">
        <f t="shared" si="741"/>
        <v>0</v>
      </c>
      <c r="BU720" s="12">
        <f t="shared" si="741"/>
        <v>0</v>
      </c>
      <c r="BV720" s="12">
        <f t="shared" si="741"/>
        <v>0</v>
      </c>
      <c r="BW720" s="12">
        <f t="shared" si="741"/>
        <v>0</v>
      </c>
      <c r="BX720" s="12">
        <f t="shared" si="741"/>
        <v>0</v>
      </c>
      <c r="BY720" s="12">
        <f t="shared" si="741"/>
        <v>0</v>
      </c>
      <c r="BZ720" s="12">
        <f t="shared" si="741"/>
        <v>0</v>
      </c>
      <c r="CA720" s="12">
        <f t="shared" si="741"/>
        <v>0</v>
      </c>
      <c r="CB720" s="12">
        <f t="shared" si="741"/>
        <v>0</v>
      </c>
      <c r="CC720" s="12">
        <f t="shared" si="741"/>
        <v>0</v>
      </c>
      <c r="CD720" s="12">
        <f t="shared" si="741"/>
        <v>0</v>
      </c>
      <c r="CE720" s="12">
        <f t="shared" si="741"/>
        <v>0</v>
      </c>
      <c r="CF720" s="12">
        <f t="shared" si="741"/>
        <v>0</v>
      </c>
      <c r="CG720" s="12">
        <f t="shared" si="741"/>
        <v>0</v>
      </c>
      <c r="CH720" s="12">
        <f t="shared" si="741"/>
        <v>0</v>
      </c>
      <c r="CI720" s="12">
        <f t="shared" si="741"/>
        <v>0</v>
      </c>
      <c r="CJ720" s="12">
        <f t="shared" si="741"/>
        <v>0</v>
      </c>
      <c r="CK720" s="12">
        <f t="shared" si="741"/>
        <v>0</v>
      </c>
      <c r="CL720" s="12">
        <f t="shared" si="741"/>
        <v>0</v>
      </c>
      <c r="CM720" s="12">
        <f t="shared" si="741"/>
        <v>0</v>
      </c>
      <c r="CN720" s="12">
        <f t="shared" si="741"/>
        <v>0</v>
      </c>
      <c r="CO720" s="12">
        <f t="shared" si="741"/>
        <v>0</v>
      </c>
      <c r="CP720" s="12"/>
      <c r="CQ720" s="12"/>
      <c r="CR720" s="12"/>
      <c r="CS720" s="12"/>
      <c r="CT720" s="12"/>
      <c r="CU720" s="12"/>
      <c r="CV720" s="12"/>
      <c r="CW720" s="12"/>
      <c r="CX720" s="12"/>
      <c r="CY720" s="12"/>
      <c r="CZ720" s="12"/>
      <c r="DA720" s="12"/>
      <c r="DC720" s="704">
        <f t="shared" si="732"/>
        <v>0</v>
      </c>
      <c r="DD720" s="758">
        <f t="shared" si="735"/>
        <v>0</v>
      </c>
      <c r="DE720" s="758">
        <f t="shared" si="736"/>
        <v>0</v>
      </c>
      <c r="DF720" s="758">
        <f t="shared" si="733"/>
        <v>0</v>
      </c>
      <c r="DG720" s="758">
        <f t="shared" si="737"/>
        <v>0</v>
      </c>
      <c r="DH720" s="758">
        <f t="shared" si="738"/>
        <v>0</v>
      </c>
    </row>
    <row r="721" spans="2:112" hidden="1" outlineLevel="1">
      <c r="E721" s="698" t="s">
        <v>830</v>
      </c>
      <c r="G721" s="698"/>
      <c r="I721" s="609" t="s">
        <v>736</v>
      </c>
      <c r="V721" s="698"/>
      <c r="W721" s="698"/>
      <c r="AA721" s="698"/>
      <c r="AB721" s="698"/>
      <c r="AC721" s="698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>
        <f t="shared" ref="AS721:CO721" si="742">SUM(AS722:AS729)</f>
        <v>0</v>
      </c>
      <c r="AT721" s="12">
        <f t="shared" si="742"/>
        <v>0</v>
      </c>
      <c r="AU721" s="12">
        <f t="shared" si="742"/>
        <v>0</v>
      </c>
      <c r="AV721" s="12">
        <f t="shared" si="742"/>
        <v>0</v>
      </c>
      <c r="AW721" s="12">
        <f t="shared" si="742"/>
        <v>0</v>
      </c>
      <c r="AX721" s="12">
        <f t="shared" si="742"/>
        <v>0</v>
      </c>
      <c r="AY721" s="12">
        <f t="shared" si="742"/>
        <v>0</v>
      </c>
      <c r="AZ721" s="12">
        <f t="shared" si="742"/>
        <v>0</v>
      </c>
      <c r="BA721" s="12">
        <f t="shared" si="742"/>
        <v>0</v>
      </c>
      <c r="BB721" s="12">
        <f t="shared" si="742"/>
        <v>0</v>
      </c>
      <c r="BC721" s="12">
        <f t="shared" si="742"/>
        <v>0</v>
      </c>
      <c r="BD721" s="12">
        <f t="shared" si="742"/>
        <v>0</v>
      </c>
      <c r="BE721" s="12">
        <f t="shared" si="742"/>
        <v>0</v>
      </c>
      <c r="BF721" s="12">
        <f t="shared" si="742"/>
        <v>0</v>
      </c>
      <c r="BG721" s="12">
        <f t="shared" si="742"/>
        <v>0</v>
      </c>
      <c r="BH721" s="12">
        <f t="shared" si="742"/>
        <v>0</v>
      </c>
      <c r="BI721" s="12">
        <f t="shared" si="742"/>
        <v>0</v>
      </c>
      <c r="BJ721" s="12">
        <f t="shared" si="742"/>
        <v>0</v>
      </c>
      <c r="BK721" s="12">
        <f t="shared" si="742"/>
        <v>0</v>
      </c>
      <c r="BL721" s="12">
        <f t="shared" si="742"/>
        <v>0</v>
      </c>
      <c r="BM721" s="12">
        <f t="shared" si="742"/>
        <v>0</v>
      </c>
      <c r="BN721" s="12">
        <f t="shared" si="742"/>
        <v>0</v>
      </c>
      <c r="BO721" s="12">
        <f t="shared" si="742"/>
        <v>0</v>
      </c>
      <c r="BP721" s="12">
        <f t="shared" si="742"/>
        <v>0</v>
      </c>
      <c r="BQ721" s="12">
        <f t="shared" si="742"/>
        <v>0</v>
      </c>
      <c r="BR721" s="12">
        <f t="shared" si="742"/>
        <v>0</v>
      </c>
      <c r="BS721" s="12">
        <f t="shared" si="742"/>
        <v>0</v>
      </c>
      <c r="BT721" s="12">
        <f t="shared" si="742"/>
        <v>0</v>
      </c>
      <c r="BU721" s="12">
        <f t="shared" si="742"/>
        <v>0</v>
      </c>
      <c r="BV721" s="12">
        <f t="shared" si="742"/>
        <v>0</v>
      </c>
      <c r="BW721" s="12">
        <f t="shared" si="742"/>
        <v>0</v>
      </c>
      <c r="BX721" s="12">
        <f t="shared" si="742"/>
        <v>0</v>
      </c>
      <c r="BY721" s="12">
        <f t="shared" si="742"/>
        <v>0</v>
      </c>
      <c r="BZ721" s="12">
        <f t="shared" si="742"/>
        <v>0</v>
      </c>
      <c r="CA721" s="12">
        <f t="shared" si="742"/>
        <v>0</v>
      </c>
      <c r="CB721" s="12">
        <f t="shared" si="742"/>
        <v>0</v>
      </c>
      <c r="CC721" s="12">
        <f t="shared" si="742"/>
        <v>0</v>
      </c>
      <c r="CD721" s="12">
        <f t="shared" si="742"/>
        <v>0</v>
      </c>
      <c r="CE721" s="12">
        <f t="shared" si="742"/>
        <v>0</v>
      </c>
      <c r="CF721" s="12">
        <f t="shared" si="742"/>
        <v>0</v>
      </c>
      <c r="CG721" s="12">
        <f t="shared" si="742"/>
        <v>0</v>
      </c>
      <c r="CH721" s="12">
        <f t="shared" si="742"/>
        <v>0</v>
      </c>
      <c r="CI721" s="12">
        <f t="shared" si="742"/>
        <v>0</v>
      </c>
      <c r="CJ721" s="12">
        <f t="shared" si="742"/>
        <v>0</v>
      </c>
      <c r="CK721" s="12">
        <f t="shared" si="742"/>
        <v>0</v>
      </c>
      <c r="CL721" s="12">
        <f t="shared" si="742"/>
        <v>0</v>
      </c>
      <c r="CM721" s="12">
        <f t="shared" si="742"/>
        <v>0</v>
      </c>
      <c r="CN721" s="12">
        <f t="shared" si="742"/>
        <v>0</v>
      </c>
      <c r="CO721" s="12">
        <f t="shared" si="742"/>
        <v>0</v>
      </c>
      <c r="CP721" s="12"/>
      <c r="CQ721" s="12"/>
      <c r="CR721" s="12"/>
      <c r="CS721" s="12"/>
      <c r="CT721" s="12"/>
      <c r="CU721" s="12"/>
      <c r="CV721" s="12"/>
      <c r="CW721" s="12"/>
      <c r="CX721" s="12"/>
      <c r="CY721" s="12"/>
      <c r="CZ721" s="12"/>
      <c r="DA721" s="12"/>
      <c r="DC721" s="704">
        <f t="shared" si="732"/>
        <v>0</v>
      </c>
      <c r="DD721" s="758">
        <f t="shared" si="735"/>
        <v>0</v>
      </c>
      <c r="DE721" s="758">
        <f t="shared" si="736"/>
        <v>0</v>
      </c>
      <c r="DF721" s="758">
        <f t="shared" si="733"/>
        <v>0</v>
      </c>
      <c r="DG721" s="758">
        <f t="shared" si="737"/>
        <v>0</v>
      </c>
      <c r="DH721" s="758">
        <f t="shared" si="738"/>
        <v>0</v>
      </c>
    </row>
    <row r="722" spans="2:112" hidden="1" outlineLevel="1">
      <c r="F722" s="126" t="s">
        <v>540</v>
      </c>
      <c r="I722" s="609" t="s">
        <v>736</v>
      </c>
      <c r="V722" s="698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>
        <f t="shared" ref="AS722:CO723" si="743">AS762+AS796+AS831</f>
        <v>0</v>
      </c>
      <c r="AT722" s="12">
        <f t="shared" si="743"/>
        <v>0</v>
      </c>
      <c r="AU722" s="12">
        <f t="shared" si="743"/>
        <v>0</v>
      </c>
      <c r="AV722" s="12">
        <f t="shared" si="743"/>
        <v>0</v>
      </c>
      <c r="AW722" s="12">
        <f t="shared" si="743"/>
        <v>0</v>
      </c>
      <c r="AX722" s="12">
        <f t="shared" si="743"/>
        <v>0</v>
      </c>
      <c r="AY722" s="12">
        <f t="shared" si="743"/>
        <v>0</v>
      </c>
      <c r="AZ722" s="12">
        <f t="shared" si="743"/>
        <v>0</v>
      </c>
      <c r="BA722" s="12">
        <f t="shared" si="743"/>
        <v>0</v>
      </c>
      <c r="BB722" s="12">
        <f t="shared" si="743"/>
        <v>0</v>
      </c>
      <c r="BC722" s="12">
        <f t="shared" si="743"/>
        <v>0</v>
      </c>
      <c r="BD722" s="12">
        <f t="shared" si="743"/>
        <v>0</v>
      </c>
      <c r="BE722" s="12">
        <f t="shared" si="743"/>
        <v>0</v>
      </c>
      <c r="BF722" s="12">
        <f t="shared" si="743"/>
        <v>0</v>
      </c>
      <c r="BG722" s="12">
        <f t="shared" si="743"/>
        <v>0</v>
      </c>
      <c r="BH722" s="12">
        <f t="shared" si="743"/>
        <v>0</v>
      </c>
      <c r="BI722" s="12">
        <f t="shared" si="743"/>
        <v>0</v>
      </c>
      <c r="BJ722" s="12">
        <f t="shared" si="743"/>
        <v>0</v>
      </c>
      <c r="BK722" s="12">
        <f t="shared" si="743"/>
        <v>0</v>
      </c>
      <c r="BL722" s="12">
        <f t="shared" si="743"/>
        <v>0</v>
      </c>
      <c r="BM722" s="12">
        <f t="shared" si="743"/>
        <v>0</v>
      </c>
      <c r="BN722" s="12">
        <f t="shared" si="743"/>
        <v>0</v>
      </c>
      <c r="BO722" s="12">
        <f t="shared" si="743"/>
        <v>0</v>
      </c>
      <c r="BP722" s="12">
        <f t="shared" si="743"/>
        <v>0</v>
      </c>
      <c r="BQ722" s="12">
        <f t="shared" si="743"/>
        <v>0</v>
      </c>
      <c r="BR722" s="12">
        <f t="shared" si="743"/>
        <v>0</v>
      </c>
      <c r="BS722" s="12">
        <f t="shared" si="743"/>
        <v>0</v>
      </c>
      <c r="BT722" s="12">
        <f t="shared" si="743"/>
        <v>0</v>
      </c>
      <c r="BU722" s="12">
        <f t="shared" si="743"/>
        <v>0</v>
      </c>
      <c r="BV722" s="12">
        <f t="shared" si="743"/>
        <v>0</v>
      </c>
      <c r="BW722" s="12">
        <f t="shared" si="743"/>
        <v>0</v>
      </c>
      <c r="BX722" s="12">
        <f t="shared" si="743"/>
        <v>0</v>
      </c>
      <c r="BY722" s="12">
        <f t="shared" si="743"/>
        <v>0</v>
      </c>
      <c r="BZ722" s="12">
        <f t="shared" si="743"/>
        <v>0</v>
      </c>
      <c r="CA722" s="12">
        <f t="shared" si="743"/>
        <v>0</v>
      </c>
      <c r="CB722" s="12">
        <f t="shared" si="743"/>
        <v>0</v>
      </c>
      <c r="CC722" s="12">
        <f t="shared" si="743"/>
        <v>0</v>
      </c>
      <c r="CD722" s="12">
        <f t="shared" si="743"/>
        <v>0</v>
      </c>
      <c r="CE722" s="12">
        <f t="shared" si="743"/>
        <v>0</v>
      </c>
      <c r="CF722" s="12">
        <f t="shared" si="743"/>
        <v>0</v>
      </c>
      <c r="CG722" s="12">
        <f t="shared" si="743"/>
        <v>0</v>
      </c>
      <c r="CH722" s="12">
        <f t="shared" si="743"/>
        <v>0</v>
      </c>
      <c r="CI722" s="12">
        <f t="shared" si="743"/>
        <v>0</v>
      </c>
      <c r="CJ722" s="12">
        <f t="shared" si="743"/>
        <v>0</v>
      </c>
      <c r="CK722" s="12">
        <f t="shared" si="743"/>
        <v>0</v>
      </c>
      <c r="CL722" s="12">
        <f t="shared" si="743"/>
        <v>0</v>
      </c>
      <c r="CM722" s="12">
        <f t="shared" si="743"/>
        <v>0</v>
      </c>
      <c r="CN722" s="12">
        <f t="shared" si="743"/>
        <v>0</v>
      </c>
      <c r="CO722" s="12">
        <f t="shared" si="743"/>
        <v>0</v>
      </c>
      <c r="CP722" s="12"/>
      <c r="CQ722" s="12"/>
      <c r="CR722" s="12"/>
      <c r="CS722" s="12"/>
      <c r="CT722" s="12"/>
      <c r="CU722" s="12"/>
      <c r="CV722" s="12"/>
      <c r="CW722" s="12"/>
      <c r="CX722" s="12"/>
      <c r="CY722" s="12"/>
      <c r="CZ722" s="12"/>
      <c r="DA722" s="12"/>
      <c r="DC722" s="12">
        <f t="shared" si="732"/>
        <v>0</v>
      </c>
      <c r="DD722" s="12">
        <f t="shared" si="735"/>
        <v>0</v>
      </c>
      <c r="DE722" s="12">
        <f t="shared" si="736"/>
        <v>0</v>
      </c>
      <c r="DF722" s="12">
        <f t="shared" si="733"/>
        <v>0</v>
      </c>
      <c r="DG722" s="12">
        <f t="shared" si="737"/>
        <v>0</v>
      </c>
      <c r="DH722" s="12">
        <f t="shared" si="738"/>
        <v>0</v>
      </c>
    </row>
    <row r="723" spans="2:112" hidden="1" outlineLevel="1">
      <c r="F723" s="126" t="s">
        <v>799</v>
      </c>
      <c r="I723" s="609" t="s">
        <v>736</v>
      </c>
      <c r="V723" s="698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>
        <f t="shared" si="743"/>
        <v>0</v>
      </c>
      <c r="AT723" s="12">
        <f t="shared" si="743"/>
        <v>0</v>
      </c>
      <c r="AU723" s="12">
        <f t="shared" si="743"/>
        <v>0</v>
      </c>
      <c r="AV723" s="12">
        <f t="shared" si="743"/>
        <v>0</v>
      </c>
      <c r="AW723" s="12">
        <f t="shared" si="743"/>
        <v>0</v>
      </c>
      <c r="AX723" s="12">
        <f t="shared" si="743"/>
        <v>0</v>
      </c>
      <c r="AY723" s="12">
        <f t="shared" si="743"/>
        <v>0</v>
      </c>
      <c r="AZ723" s="12">
        <f t="shared" si="743"/>
        <v>0</v>
      </c>
      <c r="BA723" s="12">
        <f t="shared" si="743"/>
        <v>0</v>
      </c>
      <c r="BB723" s="12">
        <f t="shared" si="743"/>
        <v>0</v>
      </c>
      <c r="BC723" s="12">
        <f t="shared" si="743"/>
        <v>0</v>
      </c>
      <c r="BD723" s="12">
        <f t="shared" si="743"/>
        <v>0</v>
      </c>
      <c r="BE723" s="12">
        <f t="shared" si="743"/>
        <v>0</v>
      </c>
      <c r="BF723" s="12">
        <f t="shared" si="743"/>
        <v>0</v>
      </c>
      <c r="BG723" s="12">
        <f t="shared" si="743"/>
        <v>0</v>
      </c>
      <c r="BH723" s="12">
        <f t="shared" si="743"/>
        <v>0</v>
      </c>
      <c r="BI723" s="12">
        <f t="shared" si="743"/>
        <v>0</v>
      </c>
      <c r="BJ723" s="12">
        <f t="shared" si="743"/>
        <v>0</v>
      </c>
      <c r="BK723" s="12">
        <f t="shared" si="743"/>
        <v>0</v>
      </c>
      <c r="BL723" s="12">
        <f t="shared" si="743"/>
        <v>0</v>
      </c>
      <c r="BM723" s="12">
        <f t="shared" si="743"/>
        <v>0</v>
      </c>
      <c r="BN723" s="12">
        <f t="shared" si="743"/>
        <v>0</v>
      </c>
      <c r="BO723" s="12">
        <f t="shared" si="743"/>
        <v>0</v>
      </c>
      <c r="BP723" s="12">
        <f t="shared" si="743"/>
        <v>0</v>
      </c>
      <c r="BQ723" s="12">
        <f t="shared" si="743"/>
        <v>0</v>
      </c>
      <c r="BR723" s="12">
        <f t="shared" si="743"/>
        <v>0</v>
      </c>
      <c r="BS723" s="12">
        <f t="shared" si="743"/>
        <v>0</v>
      </c>
      <c r="BT723" s="12">
        <f t="shared" si="743"/>
        <v>0</v>
      </c>
      <c r="BU723" s="12">
        <f t="shared" si="743"/>
        <v>0</v>
      </c>
      <c r="BV723" s="12">
        <f t="shared" si="743"/>
        <v>0</v>
      </c>
      <c r="BW723" s="12">
        <f t="shared" si="743"/>
        <v>0</v>
      </c>
      <c r="BX723" s="12">
        <f t="shared" si="743"/>
        <v>0</v>
      </c>
      <c r="BY723" s="12">
        <f t="shared" si="743"/>
        <v>0</v>
      </c>
      <c r="BZ723" s="12">
        <f t="shared" si="743"/>
        <v>0</v>
      </c>
      <c r="CA723" s="12">
        <f t="shared" si="743"/>
        <v>0</v>
      </c>
      <c r="CB723" s="12">
        <f t="shared" si="743"/>
        <v>0</v>
      </c>
      <c r="CC723" s="12">
        <f t="shared" si="743"/>
        <v>0</v>
      </c>
      <c r="CD723" s="12">
        <f t="shared" si="743"/>
        <v>0</v>
      </c>
      <c r="CE723" s="12">
        <f t="shared" si="743"/>
        <v>0</v>
      </c>
      <c r="CF723" s="12">
        <f t="shared" si="743"/>
        <v>0</v>
      </c>
      <c r="CG723" s="12">
        <f t="shared" si="743"/>
        <v>0</v>
      </c>
      <c r="CH723" s="12">
        <f t="shared" si="743"/>
        <v>0</v>
      </c>
      <c r="CI723" s="12">
        <f t="shared" si="743"/>
        <v>0</v>
      </c>
      <c r="CJ723" s="12">
        <f t="shared" si="743"/>
        <v>0</v>
      </c>
      <c r="CK723" s="12">
        <f t="shared" si="743"/>
        <v>0</v>
      </c>
      <c r="CL723" s="12">
        <f t="shared" si="743"/>
        <v>0</v>
      </c>
      <c r="CM723" s="12">
        <f t="shared" si="743"/>
        <v>0</v>
      </c>
      <c r="CN723" s="12">
        <f t="shared" si="743"/>
        <v>0</v>
      </c>
      <c r="CO723" s="12">
        <f t="shared" si="743"/>
        <v>0</v>
      </c>
      <c r="CP723" s="12"/>
      <c r="CQ723" s="12"/>
      <c r="CR723" s="12"/>
      <c r="CS723" s="12"/>
      <c r="CT723" s="12"/>
      <c r="CU723" s="12"/>
      <c r="CV723" s="12"/>
      <c r="CW723" s="12"/>
      <c r="CX723" s="12"/>
      <c r="CY723" s="12"/>
      <c r="CZ723" s="12"/>
      <c r="DA723" s="12"/>
      <c r="DC723" s="12">
        <f t="shared" si="732"/>
        <v>0</v>
      </c>
      <c r="DD723" s="12">
        <f t="shared" si="735"/>
        <v>0</v>
      </c>
      <c r="DE723" s="12">
        <f t="shared" si="736"/>
        <v>0</v>
      </c>
      <c r="DF723" s="12">
        <f t="shared" si="733"/>
        <v>0</v>
      </c>
      <c r="DG723" s="12">
        <f t="shared" si="737"/>
        <v>0</v>
      </c>
      <c r="DH723" s="12">
        <f t="shared" si="738"/>
        <v>0</v>
      </c>
    </row>
    <row r="724" spans="2:112" hidden="1" outlineLevel="1">
      <c r="F724" s="126" t="s">
        <v>800</v>
      </c>
      <c r="I724" s="609" t="s">
        <v>736</v>
      </c>
      <c r="V724" s="698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>
        <f t="shared" ref="AS724:CN724" si="744">AT764+AS798+AS833</f>
        <v>0</v>
      </c>
      <c r="AT724" s="12">
        <f t="shared" si="744"/>
        <v>0</v>
      </c>
      <c r="AU724" s="12">
        <f t="shared" si="744"/>
        <v>0</v>
      </c>
      <c r="AV724" s="12">
        <f t="shared" si="744"/>
        <v>0</v>
      </c>
      <c r="AW724" s="12">
        <f t="shared" si="744"/>
        <v>0</v>
      </c>
      <c r="AX724" s="12">
        <f t="shared" si="744"/>
        <v>0</v>
      </c>
      <c r="AY724" s="12">
        <f t="shared" si="744"/>
        <v>0</v>
      </c>
      <c r="AZ724" s="12">
        <f t="shared" si="744"/>
        <v>0</v>
      </c>
      <c r="BA724" s="12">
        <f t="shared" si="744"/>
        <v>0</v>
      </c>
      <c r="BB724" s="12">
        <f t="shared" si="744"/>
        <v>0</v>
      </c>
      <c r="BC724" s="12">
        <f t="shared" si="744"/>
        <v>0</v>
      </c>
      <c r="BD724" s="12">
        <f t="shared" si="744"/>
        <v>0</v>
      </c>
      <c r="BE724" s="12">
        <f t="shared" si="744"/>
        <v>0</v>
      </c>
      <c r="BF724" s="12">
        <f t="shared" si="744"/>
        <v>0</v>
      </c>
      <c r="BG724" s="12">
        <f t="shared" si="744"/>
        <v>0</v>
      </c>
      <c r="BH724" s="12">
        <f t="shared" si="744"/>
        <v>0</v>
      </c>
      <c r="BI724" s="12">
        <f t="shared" si="744"/>
        <v>0</v>
      </c>
      <c r="BJ724" s="12">
        <f t="shared" si="744"/>
        <v>0</v>
      </c>
      <c r="BK724" s="12">
        <f t="shared" si="744"/>
        <v>0</v>
      </c>
      <c r="BL724" s="12">
        <f t="shared" si="744"/>
        <v>0</v>
      </c>
      <c r="BM724" s="12">
        <f t="shared" si="744"/>
        <v>0</v>
      </c>
      <c r="BN724" s="12">
        <f t="shared" si="744"/>
        <v>0</v>
      </c>
      <c r="BO724" s="12">
        <f t="shared" si="744"/>
        <v>0</v>
      </c>
      <c r="BP724" s="12">
        <f t="shared" si="744"/>
        <v>0</v>
      </c>
      <c r="BQ724" s="12">
        <f t="shared" si="744"/>
        <v>0</v>
      </c>
      <c r="BR724" s="12">
        <f t="shared" si="744"/>
        <v>0</v>
      </c>
      <c r="BS724" s="12">
        <f t="shared" si="744"/>
        <v>0</v>
      </c>
      <c r="BT724" s="12">
        <f t="shared" si="744"/>
        <v>0</v>
      </c>
      <c r="BU724" s="12">
        <f t="shared" si="744"/>
        <v>0</v>
      </c>
      <c r="BV724" s="12">
        <f t="shared" si="744"/>
        <v>0</v>
      </c>
      <c r="BW724" s="12">
        <f t="shared" si="744"/>
        <v>0</v>
      </c>
      <c r="BX724" s="12">
        <f t="shared" si="744"/>
        <v>0</v>
      </c>
      <c r="BY724" s="12">
        <f t="shared" si="744"/>
        <v>0</v>
      </c>
      <c r="BZ724" s="12">
        <f t="shared" si="744"/>
        <v>0</v>
      </c>
      <c r="CA724" s="12">
        <f t="shared" si="744"/>
        <v>0</v>
      </c>
      <c r="CB724" s="12">
        <f t="shared" si="744"/>
        <v>0</v>
      </c>
      <c r="CC724" s="12">
        <f t="shared" si="744"/>
        <v>0</v>
      </c>
      <c r="CD724" s="12">
        <f t="shared" si="744"/>
        <v>0</v>
      </c>
      <c r="CE724" s="12">
        <f t="shared" si="744"/>
        <v>0</v>
      </c>
      <c r="CF724" s="12">
        <f t="shared" si="744"/>
        <v>0</v>
      </c>
      <c r="CG724" s="12">
        <f t="shared" si="744"/>
        <v>0</v>
      </c>
      <c r="CH724" s="12">
        <f t="shared" si="744"/>
        <v>0</v>
      </c>
      <c r="CI724" s="12">
        <f t="shared" si="744"/>
        <v>0</v>
      </c>
      <c r="CJ724" s="12">
        <f t="shared" si="744"/>
        <v>0</v>
      </c>
      <c r="CK724" s="12">
        <f t="shared" si="744"/>
        <v>0</v>
      </c>
      <c r="CL724" s="12">
        <f t="shared" si="744"/>
        <v>0</v>
      </c>
      <c r="CM724" s="12">
        <f t="shared" si="744"/>
        <v>0</v>
      </c>
      <c r="CN724" s="12">
        <f t="shared" si="744"/>
        <v>0</v>
      </c>
      <c r="CO724" s="12">
        <f>DB764+CO798+CO833</f>
        <v>0</v>
      </c>
      <c r="CP724" s="12"/>
      <c r="CQ724" s="12"/>
      <c r="CR724" s="12"/>
      <c r="CS724" s="12"/>
      <c r="CT724" s="12"/>
      <c r="CU724" s="12"/>
      <c r="CV724" s="12"/>
      <c r="CW724" s="12"/>
      <c r="CX724" s="12"/>
      <c r="CY724" s="12"/>
      <c r="CZ724" s="12"/>
      <c r="DA724" s="12"/>
      <c r="DC724" s="14">
        <f t="shared" si="732"/>
        <v>0</v>
      </c>
      <c r="DD724" s="14">
        <f t="shared" si="735"/>
        <v>0</v>
      </c>
      <c r="DE724" s="14">
        <f t="shared" si="736"/>
        <v>0</v>
      </c>
      <c r="DF724" s="14">
        <f t="shared" si="733"/>
        <v>0</v>
      </c>
      <c r="DG724" s="14">
        <f t="shared" si="737"/>
        <v>0</v>
      </c>
      <c r="DH724" s="14">
        <f t="shared" si="738"/>
        <v>0</v>
      </c>
    </row>
    <row r="725" spans="2:112" hidden="1" outlineLevel="1">
      <c r="F725" s="126" t="s">
        <v>223</v>
      </c>
      <c r="I725" s="609" t="s">
        <v>736</v>
      </c>
      <c r="V725" s="698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>
        <f t="shared" ref="AS725:CO728" si="745">AS765+AS799+AS834</f>
        <v>0</v>
      </c>
      <c r="AT725" s="12">
        <f t="shared" si="745"/>
        <v>0</v>
      </c>
      <c r="AU725" s="12">
        <f t="shared" si="745"/>
        <v>0</v>
      </c>
      <c r="AV725" s="12">
        <f t="shared" si="745"/>
        <v>0</v>
      </c>
      <c r="AW725" s="12">
        <f t="shared" si="745"/>
        <v>0</v>
      </c>
      <c r="AX725" s="12">
        <f t="shared" si="745"/>
        <v>0</v>
      </c>
      <c r="AY725" s="12">
        <f t="shared" si="745"/>
        <v>0</v>
      </c>
      <c r="AZ725" s="12">
        <f t="shared" si="745"/>
        <v>0</v>
      </c>
      <c r="BA725" s="12">
        <f t="shared" si="745"/>
        <v>0</v>
      </c>
      <c r="BB725" s="12">
        <f t="shared" si="745"/>
        <v>0</v>
      </c>
      <c r="BC725" s="12">
        <f t="shared" si="745"/>
        <v>0</v>
      </c>
      <c r="BD725" s="12">
        <f t="shared" si="745"/>
        <v>0</v>
      </c>
      <c r="BE725" s="12">
        <f t="shared" si="745"/>
        <v>0</v>
      </c>
      <c r="BF725" s="12">
        <f t="shared" si="745"/>
        <v>0</v>
      </c>
      <c r="BG725" s="12">
        <f t="shared" si="745"/>
        <v>0</v>
      </c>
      <c r="BH725" s="12">
        <f t="shared" si="745"/>
        <v>0</v>
      </c>
      <c r="BI725" s="12">
        <f t="shared" si="745"/>
        <v>0</v>
      </c>
      <c r="BJ725" s="12">
        <f t="shared" si="745"/>
        <v>0</v>
      </c>
      <c r="BK725" s="12">
        <f t="shared" si="745"/>
        <v>0</v>
      </c>
      <c r="BL725" s="12">
        <f t="shared" si="745"/>
        <v>0</v>
      </c>
      <c r="BM725" s="12">
        <f t="shared" si="745"/>
        <v>0</v>
      </c>
      <c r="BN725" s="12">
        <f t="shared" si="745"/>
        <v>0</v>
      </c>
      <c r="BO725" s="12">
        <f t="shared" si="745"/>
        <v>0</v>
      </c>
      <c r="BP725" s="12">
        <f t="shared" si="745"/>
        <v>0</v>
      </c>
      <c r="BQ725" s="12">
        <f t="shared" si="745"/>
        <v>0</v>
      </c>
      <c r="BR725" s="12">
        <f t="shared" si="745"/>
        <v>0</v>
      </c>
      <c r="BS725" s="12">
        <f t="shared" si="745"/>
        <v>0</v>
      </c>
      <c r="BT725" s="12">
        <f t="shared" si="745"/>
        <v>0</v>
      </c>
      <c r="BU725" s="12">
        <f t="shared" si="745"/>
        <v>0</v>
      </c>
      <c r="BV725" s="12">
        <f t="shared" si="745"/>
        <v>0</v>
      </c>
      <c r="BW725" s="12">
        <f t="shared" si="745"/>
        <v>0</v>
      </c>
      <c r="BX725" s="12">
        <f t="shared" si="745"/>
        <v>0</v>
      </c>
      <c r="BY725" s="12">
        <f t="shared" si="745"/>
        <v>0</v>
      </c>
      <c r="BZ725" s="12">
        <f t="shared" si="745"/>
        <v>0</v>
      </c>
      <c r="CA725" s="12">
        <f t="shared" si="745"/>
        <v>0</v>
      </c>
      <c r="CB725" s="12">
        <f t="shared" si="745"/>
        <v>0</v>
      </c>
      <c r="CC725" s="12">
        <f t="shared" si="745"/>
        <v>0</v>
      </c>
      <c r="CD725" s="12">
        <f t="shared" si="745"/>
        <v>0</v>
      </c>
      <c r="CE725" s="12">
        <f t="shared" si="745"/>
        <v>0</v>
      </c>
      <c r="CF725" s="12">
        <f t="shared" si="745"/>
        <v>0</v>
      </c>
      <c r="CG725" s="12">
        <f t="shared" si="745"/>
        <v>0</v>
      </c>
      <c r="CH725" s="12">
        <f t="shared" si="745"/>
        <v>0</v>
      </c>
      <c r="CI725" s="12">
        <f t="shared" si="745"/>
        <v>0</v>
      </c>
      <c r="CJ725" s="12">
        <f t="shared" si="745"/>
        <v>0</v>
      </c>
      <c r="CK725" s="12">
        <f t="shared" si="745"/>
        <v>0</v>
      </c>
      <c r="CL725" s="12">
        <f t="shared" si="745"/>
        <v>0</v>
      </c>
      <c r="CM725" s="12">
        <f t="shared" si="745"/>
        <v>0</v>
      </c>
      <c r="CN725" s="12">
        <f t="shared" si="745"/>
        <v>0</v>
      </c>
      <c r="CO725" s="12">
        <f t="shared" si="745"/>
        <v>0</v>
      </c>
      <c r="CP725" s="12"/>
      <c r="CQ725" s="12"/>
      <c r="CR725" s="12"/>
      <c r="CS725" s="12"/>
      <c r="CT725" s="12"/>
      <c r="CU725" s="12"/>
      <c r="CV725" s="12"/>
      <c r="CW725" s="12"/>
      <c r="CX725" s="12"/>
      <c r="CY725" s="12"/>
      <c r="CZ725" s="12"/>
      <c r="DA725" s="12"/>
      <c r="DC725" s="12">
        <f t="shared" si="732"/>
        <v>0</v>
      </c>
      <c r="DD725" s="12">
        <f t="shared" ref="DD725:DD743" si="746">SUM(AH725:AS725)</f>
        <v>0</v>
      </c>
      <c r="DE725" s="12">
        <f t="shared" ref="DE725:DE743" si="747">SUM(AT725:BE725)</f>
        <v>0</v>
      </c>
      <c r="DF725" s="12">
        <f t="shared" si="733"/>
        <v>0</v>
      </c>
      <c r="DG725" s="12">
        <f t="shared" ref="DG725:DG743" si="748">SUM(BR725:CC725)</f>
        <v>0</v>
      </c>
      <c r="DH725" s="12">
        <f t="shared" ref="DH725:DH743" si="749">SUM(CD725:CO725)</f>
        <v>0</v>
      </c>
    </row>
    <row r="726" spans="2:112" hidden="1" outlineLevel="1">
      <c r="F726" s="126" t="s">
        <v>221</v>
      </c>
      <c r="I726" s="609" t="s">
        <v>736</v>
      </c>
      <c r="V726" s="698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>
        <f t="shared" si="745"/>
        <v>0</v>
      </c>
      <c r="AT726" s="12">
        <f t="shared" si="745"/>
        <v>0</v>
      </c>
      <c r="AU726" s="12">
        <f t="shared" si="745"/>
        <v>0</v>
      </c>
      <c r="AV726" s="12">
        <f t="shared" si="745"/>
        <v>0</v>
      </c>
      <c r="AW726" s="12">
        <f t="shared" si="745"/>
        <v>0</v>
      </c>
      <c r="AX726" s="12">
        <f t="shared" si="745"/>
        <v>0</v>
      </c>
      <c r="AY726" s="12">
        <f t="shared" si="745"/>
        <v>0</v>
      </c>
      <c r="AZ726" s="12">
        <f t="shared" si="745"/>
        <v>0</v>
      </c>
      <c r="BA726" s="12">
        <f t="shared" si="745"/>
        <v>0</v>
      </c>
      <c r="BB726" s="12">
        <f t="shared" si="745"/>
        <v>0</v>
      </c>
      <c r="BC726" s="12">
        <f t="shared" si="745"/>
        <v>0</v>
      </c>
      <c r="BD726" s="12">
        <f t="shared" si="745"/>
        <v>0</v>
      </c>
      <c r="BE726" s="12">
        <f t="shared" si="745"/>
        <v>0</v>
      </c>
      <c r="BF726" s="12">
        <f t="shared" si="745"/>
        <v>0</v>
      </c>
      <c r="BG726" s="12">
        <f t="shared" si="745"/>
        <v>0</v>
      </c>
      <c r="BH726" s="12">
        <f t="shared" si="745"/>
        <v>0</v>
      </c>
      <c r="BI726" s="12">
        <f t="shared" si="745"/>
        <v>0</v>
      </c>
      <c r="BJ726" s="12">
        <f t="shared" si="745"/>
        <v>0</v>
      </c>
      <c r="BK726" s="12">
        <f t="shared" si="745"/>
        <v>0</v>
      </c>
      <c r="BL726" s="12">
        <f t="shared" si="745"/>
        <v>0</v>
      </c>
      <c r="BM726" s="12">
        <f t="shared" si="745"/>
        <v>0</v>
      </c>
      <c r="BN726" s="12">
        <f t="shared" si="745"/>
        <v>0</v>
      </c>
      <c r="BO726" s="12">
        <f t="shared" si="745"/>
        <v>0</v>
      </c>
      <c r="BP726" s="12">
        <f t="shared" si="745"/>
        <v>0</v>
      </c>
      <c r="BQ726" s="12">
        <f t="shared" si="745"/>
        <v>0</v>
      </c>
      <c r="BR726" s="12">
        <f t="shared" si="745"/>
        <v>0</v>
      </c>
      <c r="BS726" s="12">
        <f t="shared" si="745"/>
        <v>0</v>
      </c>
      <c r="BT726" s="12">
        <f t="shared" si="745"/>
        <v>0</v>
      </c>
      <c r="BU726" s="12">
        <f t="shared" si="745"/>
        <v>0</v>
      </c>
      <c r="BV726" s="12">
        <f t="shared" si="745"/>
        <v>0</v>
      </c>
      <c r="BW726" s="12">
        <f t="shared" si="745"/>
        <v>0</v>
      </c>
      <c r="BX726" s="12">
        <f t="shared" si="745"/>
        <v>0</v>
      </c>
      <c r="BY726" s="12">
        <f t="shared" si="745"/>
        <v>0</v>
      </c>
      <c r="BZ726" s="12">
        <f t="shared" si="745"/>
        <v>0</v>
      </c>
      <c r="CA726" s="12">
        <f t="shared" si="745"/>
        <v>0</v>
      </c>
      <c r="CB726" s="12">
        <f t="shared" si="745"/>
        <v>0</v>
      </c>
      <c r="CC726" s="12">
        <f t="shared" si="745"/>
        <v>0</v>
      </c>
      <c r="CD726" s="12">
        <f t="shared" si="745"/>
        <v>0</v>
      </c>
      <c r="CE726" s="12">
        <f t="shared" si="745"/>
        <v>0</v>
      </c>
      <c r="CF726" s="12">
        <f t="shared" si="745"/>
        <v>0</v>
      </c>
      <c r="CG726" s="12">
        <f t="shared" si="745"/>
        <v>0</v>
      </c>
      <c r="CH726" s="12">
        <f t="shared" si="745"/>
        <v>0</v>
      </c>
      <c r="CI726" s="12">
        <f t="shared" si="745"/>
        <v>0</v>
      </c>
      <c r="CJ726" s="12">
        <f t="shared" si="745"/>
        <v>0</v>
      </c>
      <c r="CK726" s="12">
        <f t="shared" si="745"/>
        <v>0</v>
      </c>
      <c r="CL726" s="12">
        <f t="shared" si="745"/>
        <v>0</v>
      </c>
      <c r="CM726" s="12">
        <f t="shared" si="745"/>
        <v>0</v>
      </c>
      <c r="CN726" s="12">
        <f t="shared" si="745"/>
        <v>0</v>
      </c>
      <c r="CO726" s="12">
        <f t="shared" si="745"/>
        <v>0</v>
      </c>
      <c r="CP726" s="12"/>
      <c r="CQ726" s="12"/>
      <c r="CR726" s="12"/>
      <c r="CS726" s="12"/>
      <c r="CT726" s="12"/>
      <c r="CU726" s="12"/>
      <c r="CV726" s="12"/>
      <c r="CW726" s="12"/>
      <c r="CX726" s="12"/>
      <c r="CY726" s="12"/>
      <c r="CZ726" s="12"/>
      <c r="DA726" s="12"/>
      <c r="DC726" s="12">
        <f t="shared" si="732"/>
        <v>0</v>
      </c>
      <c r="DD726" s="12">
        <f t="shared" si="746"/>
        <v>0</v>
      </c>
      <c r="DE726" s="12">
        <f t="shared" si="747"/>
        <v>0</v>
      </c>
      <c r="DF726" s="12">
        <f t="shared" si="733"/>
        <v>0</v>
      </c>
      <c r="DG726" s="12">
        <f t="shared" si="748"/>
        <v>0</v>
      </c>
      <c r="DH726" s="12">
        <f t="shared" si="749"/>
        <v>0</v>
      </c>
    </row>
    <row r="727" spans="2:112" hidden="1" outlineLevel="1">
      <c r="F727" s="126" t="s">
        <v>801</v>
      </c>
      <c r="I727" s="609" t="s">
        <v>736</v>
      </c>
      <c r="V727" s="698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>
        <f t="shared" si="745"/>
        <v>0</v>
      </c>
      <c r="AT727" s="12">
        <f t="shared" si="745"/>
        <v>0</v>
      </c>
      <c r="AU727" s="12">
        <f t="shared" si="745"/>
        <v>0</v>
      </c>
      <c r="AV727" s="12">
        <f t="shared" si="745"/>
        <v>0</v>
      </c>
      <c r="AW727" s="12">
        <f t="shared" si="745"/>
        <v>0</v>
      </c>
      <c r="AX727" s="12">
        <f t="shared" si="745"/>
        <v>0</v>
      </c>
      <c r="AY727" s="12">
        <f t="shared" si="745"/>
        <v>0</v>
      </c>
      <c r="AZ727" s="12">
        <f t="shared" si="745"/>
        <v>0</v>
      </c>
      <c r="BA727" s="12">
        <f t="shared" si="745"/>
        <v>0</v>
      </c>
      <c r="BB727" s="12">
        <f t="shared" si="745"/>
        <v>0</v>
      </c>
      <c r="BC727" s="12">
        <f t="shared" si="745"/>
        <v>0</v>
      </c>
      <c r="BD727" s="12">
        <f t="shared" si="745"/>
        <v>0</v>
      </c>
      <c r="BE727" s="12">
        <f t="shared" si="745"/>
        <v>0</v>
      </c>
      <c r="BF727" s="12">
        <f t="shared" si="745"/>
        <v>0</v>
      </c>
      <c r="BG727" s="12">
        <f t="shared" si="745"/>
        <v>0</v>
      </c>
      <c r="BH727" s="12">
        <f t="shared" si="745"/>
        <v>0</v>
      </c>
      <c r="BI727" s="12">
        <f t="shared" si="745"/>
        <v>0</v>
      </c>
      <c r="BJ727" s="12">
        <f t="shared" si="745"/>
        <v>0</v>
      </c>
      <c r="BK727" s="12">
        <f t="shared" si="745"/>
        <v>0</v>
      </c>
      <c r="BL727" s="12">
        <f t="shared" si="745"/>
        <v>0</v>
      </c>
      <c r="BM727" s="12">
        <f t="shared" si="745"/>
        <v>0</v>
      </c>
      <c r="BN727" s="12">
        <f t="shared" si="745"/>
        <v>0</v>
      </c>
      <c r="BO727" s="12">
        <f t="shared" si="745"/>
        <v>0</v>
      </c>
      <c r="BP727" s="12">
        <f t="shared" si="745"/>
        <v>0</v>
      </c>
      <c r="BQ727" s="12">
        <f t="shared" si="745"/>
        <v>0</v>
      </c>
      <c r="BR727" s="12">
        <f t="shared" si="745"/>
        <v>0</v>
      </c>
      <c r="BS727" s="12">
        <f t="shared" si="745"/>
        <v>0</v>
      </c>
      <c r="BT727" s="12">
        <f t="shared" si="745"/>
        <v>0</v>
      </c>
      <c r="BU727" s="12">
        <f t="shared" si="745"/>
        <v>0</v>
      </c>
      <c r="BV727" s="12">
        <f t="shared" si="745"/>
        <v>0</v>
      </c>
      <c r="BW727" s="12">
        <f t="shared" si="745"/>
        <v>0</v>
      </c>
      <c r="BX727" s="12">
        <f t="shared" si="745"/>
        <v>0</v>
      </c>
      <c r="BY727" s="12">
        <f t="shared" si="745"/>
        <v>0</v>
      </c>
      <c r="BZ727" s="12">
        <f t="shared" si="745"/>
        <v>0</v>
      </c>
      <c r="CA727" s="12">
        <f t="shared" si="745"/>
        <v>0</v>
      </c>
      <c r="CB727" s="12">
        <f t="shared" si="745"/>
        <v>0</v>
      </c>
      <c r="CC727" s="12">
        <f t="shared" si="745"/>
        <v>0</v>
      </c>
      <c r="CD727" s="12">
        <f t="shared" si="745"/>
        <v>0</v>
      </c>
      <c r="CE727" s="12">
        <f t="shared" si="745"/>
        <v>0</v>
      </c>
      <c r="CF727" s="12">
        <f t="shared" si="745"/>
        <v>0</v>
      </c>
      <c r="CG727" s="12">
        <f t="shared" si="745"/>
        <v>0</v>
      </c>
      <c r="CH727" s="12">
        <f t="shared" si="745"/>
        <v>0</v>
      </c>
      <c r="CI727" s="12">
        <f t="shared" si="745"/>
        <v>0</v>
      </c>
      <c r="CJ727" s="12">
        <f t="shared" si="745"/>
        <v>0</v>
      </c>
      <c r="CK727" s="12">
        <f t="shared" si="745"/>
        <v>0</v>
      </c>
      <c r="CL727" s="12">
        <f t="shared" si="745"/>
        <v>0</v>
      </c>
      <c r="CM727" s="12">
        <f t="shared" si="745"/>
        <v>0</v>
      </c>
      <c r="CN727" s="12">
        <f t="shared" si="745"/>
        <v>0</v>
      </c>
      <c r="CO727" s="12">
        <f t="shared" si="745"/>
        <v>0</v>
      </c>
      <c r="CP727" s="12"/>
      <c r="CQ727" s="12"/>
      <c r="CR727" s="12"/>
      <c r="CS727" s="12"/>
      <c r="CT727" s="12"/>
      <c r="CU727" s="12"/>
      <c r="CV727" s="12"/>
      <c r="CW727" s="12"/>
      <c r="CX727" s="12"/>
      <c r="CY727" s="12"/>
      <c r="CZ727" s="12"/>
      <c r="DA727" s="12"/>
      <c r="DC727" s="12">
        <f t="shared" si="732"/>
        <v>0</v>
      </c>
      <c r="DD727" s="12">
        <f t="shared" si="746"/>
        <v>0</v>
      </c>
      <c r="DE727" s="12">
        <f t="shared" si="747"/>
        <v>0</v>
      </c>
      <c r="DF727" s="12">
        <f t="shared" si="733"/>
        <v>0</v>
      </c>
      <c r="DG727" s="12">
        <f t="shared" si="748"/>
        <v>0</v>
      </c>
      <c r="DH727" s="12">
        <f t="shared" si="749"/>
        <v>0</v>
      </c>
    </row>
    <row r="728" spans="2:112" hidden="1" outlineLevel="1">
      <c r="F728" s="126" t="s">
        <v>802</v>
      </c>
      <c r="I728" s="609" t="s">
        <v>736</v>
      </c>
      <c r="V728" s="698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>
        <f t="shared" si="745"/>
        <v>0</v>
      </c>
      <c r="AT728" s="12">
        <f t="shared" si="745"/>
        <v>0</v>
      </c>
      <c r="AU728" s="12">
        <f t="shared" si="745"/>
        <v>0</v>
      </c>
      <c r="AV728" s="12">
        <f t="shared" si="745"/>
        <v>0</v>
      </c>
      <c r="AW728" s="12">
        <f t="shared" si="745"/>
        <v>0</v>
      </c>
      <c r="AX728" s="12">
        <f t="shared" si="745"/>
        <v>0</v>
      </c>
      <c r="AY728" s="12">
        <f t="shared" si="745"/>
        <v>0</v>
      </c>
      <c r="AZ728" s="12">
        <f t="shared" si="745"/>
        <v>0</v>
      </c>
      <c r="BA728" s="12">
        <f t="shared" si="745"/>
        <v>0</v>
      </c>
      <c r="BB728" s="12">
        <f t="shared" si="745"/>
        <v>0</v>
      </c>
      <c r="BC728" s="12">
        <f t="shared" si="745"/>
        <v>0</v>
      </c>
      <c r="BD728" s="12">
        <f t="shared" si="745"/>
        <v>0</v>
      </c>
      <c r="BE728" s="12">
        <f t="shared" si="745"/>
        <v>0</v>
      </c>
      <c r="BF728" s="12">
        <f t="shared" si="745"/>
        <v>0</v>
      </c>
      <c r="BG728" s="12">
        <f t="shared" si="745"/>
        <v>0</v>
      </c>
      <c r="BH728" s="12">
        <f t="shared" si="745"/>
        <v>0</v>
      </c>
      <c r="BI728" s="12">
        <f t="shared" si="745"/>
        <v>0</v>
      </c>
      <c r="BJ728" s="12">
        <f t="shared" si="745"/>
        <v>0</v>
      </c>
      <c r="BK728" s="12">
        <f t="shared" si="745"/>
        <v>0</v>
      </c>
      <c r="BL728" s="12">
        <f t="shared" si="745"/>
        <v>0</v>
      </c>
      <c r="BM728" s="12">
        <f t="shared" si="745"/>
        <v>0</v>
      </c>
      <c r="BN728" s="12">
        <f t="shared" si="745"/>
        <v>0</v>
      </c>
      <c r="BO728" s="12">
        <f t="shared" si="745"/>
        <v>0</v>
      </c>
      <c r="BP728" s="12">
        <f t="shared" si="745"/>
        <v>0</v>
      </c>
      <c r="BQ728" s="12">
        <f t="shared" si="745"/>
        <v>0</v>
      </c>
      <c r="BR728" s="12">
        <f t="shared" si="745"/>
        <v>0</v>
      </c>
      <c r="BS728" s="12">
        <f t="shared" si="745"/>
        <v>0</v>
      </c>
      <c r="BT728" s="12">
        <f t="shared" si="745"/>
        <v>0</v>
      </c>
      <c r="BU728" s="12">
        <f t="shared" si="745"/>
        <v>0</v>
      </c>
      <c r="BV728" s="12">
        <f t="shared" si="745"/>
        <v>0</v>
      </c>
      <c r="BW728" s="12">
        <f t="shared" si="745"/>
        <v>0</v>
      </c>
      <c r="BX728" s="12">
        <f t="shared" si="745"/>
        <v>0</v>
      </c>
      <c r="BY728" s="12">
        <f t="shared" si="745"/>
        <v>0</v>
      </c>
      <c r="BZ728" s="12">
        <f t="shared" si="745"/>
        <v>0</v>
      </c>
      <c r="CA728" s="12">
        <f t="shared" si="745"/>
        <v>0</v>
      </c>
      <c r="CB728" s="12">
        <f t="shared" si="745"/>
        <v>0</v>
      </c>
      <c r="CC728" s="12">
        <f t="shared" si="745"/>
        <v>0</v>
      </c>
      <c r="CD728" s="12">
        <f t="shared" si="745"/>
        <v>0</v>
      </c>
      <c r="CE728" s="12">
        <f t="shared" si="745"/>
        <v>0</v>
      </c>
      <c r="CF728" s="12">
        <f t="shared" si="745"/>
        <v>0</v>
      </c>
      <c r="CG728" s="12">
        <f t="shared" si="745"/>
        <v>0</v>
      </c>
      <c r="CH728" s="12">
        <f t="shared" si="745"/>
        <v>0</v>
      </c>
      <c r="CI728" s="12">
        <f t="shared" si="745"/>
        <v>0</v>
      </c>
      <c r="CJ728" s="12">
        <f t="shared" si="745"/>
        <v>0</v>
      </c>
      <c r="CK728" s="12">
        <f t="shared" si="745"/>
        <v>0</v>
      </c>
      <c r="CL728" s="12">
        <f t="shared" si="745"/>
        <v>0</v>
      </c>
      <c r="CM728" s="12">
        <f t="shared" si="745"/>
        <v>0</v>
      </c>
      <c r="CN728" s="12">
        <f t="shared" si="745"/>
        <v>0</v>
      </c>
      <c r="CO728" s="12">
        <f t="shared" si="745"/>
        <v>0</v>
      </c>
      <c r="CP728" s="12"/>
      <c r="CQ728" s="12"/>
      <c r="CR728" s="12"/>
      <c r="CS728" s="12"/>
      <c r="CT728" s="12"/>
      <c r="CU728" s="12"/>
      <c r="CV728" s="12"/>
      <c r="CW728" s="12"/>
      <c r="CX728" s="12"/>
      <c r="CY728" s="12"/>
      <c r="CZ728" s="12"/>
      <c r="DA728" s="12"/>
      <c r="DC728" s="12">
        <f t="shared" si="732"/>
        <v>0</v>
      </c>
      <c r="DD728" s="12">
        <f t="shared" si="746"/>
        <v>0</v>
      </c>
      <c r="DE728" s="12">
        <f t="shared" si="747"/>
        <v>0</v>
      </c>
      <c r="DF728" s="12">
        <f t="shared" si="733"/>
        <v>0</v>
      </c>
      <c r="DG728" s="12">
        <f t="shared" si="748"/>
        <v>0</v>
      </c>
      <c r="DH728" s="12">
        <f t="shared" si="749"/>
        <v>0</v>
      </c>
    </row>
    <row r="729" spans="2:112" hidden="1" outlineLevel="1">
      <c r="F729" s="126" t="s">
        <v>831</v>
      </c>
      <c r="I729" s="609" t="s">
        <v>736</v>
      </c>
      <c r="V729" s="698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/>
      <c r="CS729" s="12"/>
      <c r="CT729" s="12"/>
      <c r="CU729" s="12"/>
      <c r="CV729" s="12"/>
      <c r="CW729" s="12"/>
      <c r="CX729" s="12"/>
      <c r="CY729" s="12"/>
      <c r="CZ729" s="12"/>
      <c r="DA729" s="12"/>
      <c r="DC729" s="14">
        <f t="shared" si="732"/>
        <v>0</v>
      </c>
      <c r="DD729" s="14">
        <f t="shared" si="746"/>
        <v>0</v>
      </c>
      <c r="DE729" s="14">
        <f t="shared" si="747"/>
        <v>0</v>
      </c>
      <c r="DF729" s="14">
        <f t="shared" si="733"/>
        <v>0</v>
      </c>
      <c r="DG729" s="14">
        <f t="shared" si="748"/>
        <v>0</v>
      </c>
      <c r="DH729" s="14">
        <f t="shared" si="749"/>
        <v>0</v>
      </c>
    </row>
    <row r="730" spans="2:112" hidden="1" outlineLevel="1">
      <c r="F730" s="126" t="s">
        <v>803</v>
      </c>
      <c r="I730" s="609" t="s">
        <v>736</v>
      </c>
      <c r="V730" s="698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/>
      <c r="CS730" s="12"/>
      <c r="CT730" s="12"/>
      <c r="CU730" s="12"/>
      <c r="CV730" s="12"/>
      <c r="CW730" s="12"/>
      <c r="CX730" s="12"/>
      <c r="CY730" s="12"/>
      <c r="CZ730" s="12"/>
      <c r="DA730" s="12"/>
      <c r="DC730" s="14"/>
      <c r="DD730" s="14"/>
      <c r="DE730" s="14"/>
      <c r="DF730" s="14"/>
      <c r="DG730" s="14"/>
      <c r="DH730" s="14"/>
    </row>
    <row r="731" spans="2:112" hidden="1" outlineLevel="1">
      <c r="F731" s="126" t="s">
        <v>224</v>
      </c>
      <c r="I731" s="609" t="s">
        <v>736</v>
      </c>
      <c r="V731" s="698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  <c r="CM731" s="12"/>
      <c r="CN731" s="12"/>
      <c r="CO731" s="12"/>
      <c r="CP731" s="12"/>
      <c r="CQ731" s="12"/>
      <c r="CR731" s="12"/>
      <c r="CS731" s="12"/>
      <c r="CT731" s="12"/>
      <c r="CU731" s="12"/>
      <c r="CV731" s="12"/>
      <c r="CW731" s="12"/>
      <c r="CX731" s="12"/>
      <c r="CY731" s="12"/>
      <c r="CZ731" s="12"/>
      <c r="DA731" s="12"/>
      <c r="DC731" s="14"/>
      <c r="DD731" s="14"/>
      <c r="DE731" s="14"/>
      <c r="DF731" s="14"/>
      <c r="DG731" s="14"/>
      <c r="DH731" s="14"/>
    </row>
    <row r="732" spans="2:112" hidden="1" outlineLevel="1">
      <c r="F732" s="126" t="s">
        <v>804</v>
      </c>
      <c r="G732" s="230"/>
      <c r="H732" s="232"/>
      <c r="I732" s="609" t="s">
        <v>736</v>
      </c>
      <c r="V732" s="698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12"/>
      <c r="CR732" s="12"/>
      <c r="CS732" s="12"/>
      <c r="CT732" s="12"/>
      <c r="CU732" s="12"/>
      <c r="CV732" s="12"/>
      <c r="CW732" s="12"/>
      <c r="CX732" s="12"/>
      <c r="CY732" s="12"/>
      <c r="CZ732" s="12"/>
      <c r="DA732" s="12"/>
      <c r="DC732" s="12">
        <f>SUM(V732:AG732)</f>
        <v>0</v>
      </c>
      <c r="DD732" s="12">
        <f t="shared" si="746"/>
        <v>0</v>
      </c>
      <c r="DE732" s="12">
        <f t="shared" si="747"/>
        <v>0</v>
      </c>
      <c r="DF732" s="12">
        <f t="shared" ref="DF732:DF743" si="750">SUM(BF732:BQ732)</f>
        <v>0</v>
      </c>
      <c r="DG732" s="12">
        <f t="shared" si="748"/>
        <v>0</v>
      </c>
      <c r="DH732" s="12">
        <f t="shared" si="749"/>
        <v>0</v>
      </c>
    </row>
    <row r="733" spans="2:112" hidden="1" outlineLevel="1">
      <c r="E733" s="720" t="s">
        <v>621</v>
      </c>
      <c r="I733" s="609" t="s">
        <v>736</v>
      </c>
      <c r="V733" s="708"/>
      <c r="W733" s="708"/>
      <c r="X733" s="696"/>
      <c r="AA733" s="698"/>
      <c r="AB733" s="698"/>
      <c r="AC733" s="698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>
        <f t="shared" ref="AS733:CO733" si="751">AS769+AS803+AS838</f>
        <v>0</v>
      </c>
      <c r="AT733" s="12">
        <f t="shared" si="751"/>
        <v>0</v>
      </c>
      <c r="AU733" s="12">
        <f t="shared" si="751"/>
        <v>0</v>
      </c>
      <c r="AV733" s="12">
        <f t="shared" si="751"/>
        <v>0</v>
      </c>
      <c r="AW733" s="12">
        <f t="shared" si="751"/>
        <v>0</v>
      </c>
      <c r="AX733" s="12">
        <f t="shared" si="751"/>
        <v>0</v>
      </c>
      <c r="AY733" s="12">
        <f t="shared" si="751"/>
        <v>0</v>
      </c>
      <c r="AZ733" s="12">
        <f t="shared" si="751"/>
        <v>0</v>
      </c>
      <c r="BA733" s="12">
        <f t="shared" si="751"/>
        <v>0</v>
      </c>
      <c r="BB733" s="12">
        <f t="shared" si="751"/>
        <v>0</v>
      </c>
      <c r="BC733" s="12">
        <f t="shared" si="751"/>
        <v>0</v>
      </c>
      <c r="BD733" s="12">
        <f t="shared" si="751"/>
        <v>0</v>
      </c>
      <c r="BE733" s="12">
        <f t="shared" si="751"/>
        <v>0</v>
      </c>
      <c r="BF733" s="12">
        <f t="shared" si="751"/>
        <v>0</v>
      </c>
      <c r="BG733" s="12">
        <f t="shared" si="751"/>
        <v>0</v>
      </c>
      <c r="BH733" s="12">
        <f t="shared" si="751"/>
        <v>0</v>
      </c>
      <c r="BI733" s="12">
        <f t="shared" si="751"/>
        <v>0</v>
      </c>
      <c r="BJ733" s="12">
        <f t="shared" si="751"/>
        <v>0</v>
      </c>
      <c r="BK733" s="12">
        <f t="shared" si="751"/>
        <v>0</v>
      </c>
      <c r="BL733" s="12">
        <f t="shared" si="751"/>
        <v>0</v>
      </c>
      <c r="BM733" s="12">
        <f t="shared" si="751"/>
        <v>0</v>
      </c>
      <c r="BN733" s="12">
        <f t="shared" si="751"/>
        <v>0</v>
      </c>
      <c r="BO733" s="12">
        <f t="shared" si="751"/>
        <v>0</v>
      </c>
      <c r="BP733" s="12">
        <f t="shared" si="751"/>
        <v>0</v>
      </c>
      <c r="BQ733" s="12">
        <f t="shared" si="751"/>
        <v>0</v>
      </c>
      <c r="BR733" s="12">
        <f t="shared" si="751"/>
        <v>0</v>
      </c>
      <c r="BS733" s="12">
        <f t="shared" si="751"/>
        <v>0</v>
      </c>
      <c r="BT733" s="12">
        <f t="shared" si="751"/>
        <v>0</v>
      </c>
      <c r="BU733" s="12">
        <f t="shared" si="751"/>
        <v>0</v>
      </c>
      <c r="BV733" s="12">
        <f t="shared" si="751"/>
        <v>0</v>
      </c>
      <c r="BW733" s="12">
        <f t="shared" si="751"/>
        <v>0</v>
      </c>
      <c r="BX733" s="12">
        <f t="shared" si="751"/>
        <v>0</v>
      </c>
      <c r="BY733" s="12">
        <f t="shared" si="751"/>
        <v>0</v>
      </c>
      <c r="BZ733" s="12">
        <f t="shared" si="751"/>
        <v>0</v>
      </c>
      <c r="CA733" s="12">
        <f t="shared" si="751"/>
        <v>0</v>
      </c>
      <c r="CB733" s="12">
        <f t="shared" si="751"/>
        <v>0</v>
      </c>
      <c r="CC733" s="12">
        <f t="shared" si="751"/>
        <v>0</v>
      </c>
      <c r="CD733" s="12">
        <f t="shared" si="751"/>
        <v>0</v>
      </c>
      <c r="CE733" s="12">
        <f t="shared" si="751"/>
        <v>0</v>
      </c>
      <c r="CF733" s="12">
        <f t="shared" si="751"/>
        <v>0</v>
      </c>
      <c r="CG733" s="12">
        <f t="shared" si="751"/>
        <v>0</v>
      </c>
      <c r="CH733" s="12">
        <f t="shared" si="751"/>
        <v>0</v>
      </c>
      <c r="CI733" s="12">
        <f t="shared" si="751"/>
        <v>0</v>
      </c>
      <c r="CJ733" s="12">
        <f t="shared" si="751"/>
        <v>0</v>
      </c>
      <c r="CK733" s="12">
        <f t="shared" si="751"/>
        <v>0</v>
      </c>
      <c r="CL733" s="12">
        <f t="shared" si="751"/>
        <v>0</v>
      </c>
      <c r="CM733" s="12">
        <f t="shared" si="751"/>
        <v>0</v>
      </c>
      <c r="CN733" s="12">
        <f t="shared" si="751"/>
        <v>0</v>
      </c>
      <c r="CO733" s="12">
        <f t="shared" si="751"/>
        <v>0</v>
      </c>
      <c r="CP733" s="12"/>
      <c r="CQ733" s="12"/>
      <c r="CR733" s="12"/>
      <c r="CS733" s="12"/>
      <c r="CT733" s="12"/>
      <c r="CU733" s="12"/>
      <c r="CV733" s="12"/>
      <c r="CW733" s="12"/>
      <c r="CX733" s="12"/>
      <c r="CY733" s="12"/>
      <c r="CZ733" s="12"/>
      <c r="DA733" s="12"/>
      <c r="DC733" s="12">
        <f>SUM(V733:AG733)</f>
        <v>0</v>
      </c>
      <c r="DD733" s="12">
        <f>SUM(AH733:AS733)</f>
        <v>0</v>
      </c>
      <c r="DE733" s="12">
        <f>SUM(AT733:BE733)</f>
        <v>0</v>
      </c>
      <c r="DF733" s="12">
        <f>SUM(BF733:BQ733)</f>
        <v>0</v>
      </c>
      <c r="DG733" s="12">
        <f>SUM(BR733:CC733)</f>
        <v>0</v>
      </c>
      <c r="DH733" s="12">
        <f>SUM(CD733:CO733)</f>
        <v>0</v>
      </c>
    </row>
    <row r="734" spans="2:112" s="708" customFormat="1" hidden="1" outlineLevel="1">
      <c r="B734" s="126"/>
      <c r="E734" s="724" t="s">
        <v>701</v>
      </c>
      <c r="H734" s="963"/>
      <c r="I734" s="609" t="s">
        <v>736</v>
      </c>
      <c r="J734" s="963"/>
      <c r="K734" s="963"/>
      <c r="L734" s="963"/>
      <c r="M734" s="963"/>
      <c r="V734" s="698"/>
      <c r="W734" s="698"/>
      <c r="X734" s="126"/>
      <c r="AA734" s="698"/>
      <c r="AB734" s="698"/>
      <c r="AC734" s="698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>
        <f t="shared" ref="AS734:CO734" si="752">SUM(AS735:AS742)</f>
        <v>0</v>
      </c>
      <c r="AT734" s="12">
        <f t="shared" si="752"/>
        <v>0</v>
      </c>
      <c r="AU734" s="12">
        <f t="shared" si="752"/>
        <v>0</v>
      </c>
      <c r="AV734" s="12">
        <f t="shared" si="752"/>
        <v>0</v>
      </c>
      <c r="AW734" s="12">
        <f t="shared" si="752"/>
        <v>0</v>
      </c>
      <c r="AX734" s="12">
        <f t="shared" si="752"/>
        <v>0</v>
      </c>
      <c r="AY734" s="12">
        <f t="shared" si="752"/>
        <v>0</v>
      </c>
      <c r="AZ734" s="12">
        <f t="shared" si="752"/>
        <v>0</v>
      </c>
      <c r="BA734" s="12">
        <f t="shared" si="752"/>
        <v>0</v>
      </c>
      <c r="BB734" s="12">
        <f t="shared" si="752"/>
        <v>0</v>
      </c>
      <c r="BC734" s="12">
        <f t="shared" si="752"/>
        <v>0</v>
      </c>
      <c r="BD734" s="12">
        <f t="shared" si="752"/>
        <v>0</v>
      </c>
      <c r="BE734" s="12">
        <f t="shared" si="752"/>
        <v>0</v>
      </c>
      <c r="BF734" s="12">
        <f t="shared" si="752"/>
        <v>0</v>
      </c>
      <c r="BG734" s="12">
        <f t="shared" si="752"/>
        <v>0</v>
      </c>
      <c r="BH734" s="12">
        <f t="shared" si="752"/>
        <v>0</v>
      </c>
      <c r="BI734" s="12">
        <f t="shared" si="752"/>
        <v>0</v>
      </c>
      <c r="BJ734" s="12">
        <f t="shared" si="752"/>
        <v>0</v>
      </c>
      <c r="BK734" s="12">
        <f t="shared" si="752"/>
        <v>0</v>
      </c>
      <c r="BL734" s="12">
        <f t="shared" si="752"/>
        <v>0</v>
      </c>
      <c r="BM734" s="12">
        <f t="shared" si="752"/>
        <v>0</v>
      </c>
      <c r="BN734" s="12">
        <f t="shared" si="752"/>
        <v>0</v>
      </c>
      <c r="BO734" s="12">
        <f t="shared" si="752"/>
        <v>0</v>
      </c>
      <c r="BP734" s="12">
        <f t="shared" si="752"/>
        <v>0</v>
      </c>
      <c r="BQ734" s="12">
        <f t="shared" si="752"/>
        <v>0</v>
      </c>
      <c r="BR734" s="12">
        <f t="shared" si="752"/>
        <v>0</v>
      </c>
      <c r="BS734" s="12">
        <f t="shared" si="752"/>
        <v>0</v>
      </c>
      <c r="BT734" s="12">
        <f t="shared" si="752"/>
        <v>0</v>
      </c>
      <c r="BU734" s="12">
        <f t="shared" si="752"/>
        <v>0</v>
      </c>
      <c r="BV734" s="12">
        <f t="shared" si="752"/>
        <v>0</v>
      </c>
      <c r="BW734" s="12">
        <f t="shared" si="752"/>
        <v>0</v>
      </c>
      <c r="BX734" s="12">
        <f t="shared" si="752"/>
        <v>0</v>
      </c>
      <c r="BY734" s="12">
        <f t="shared" si="752"/>
        <v>0</v>
      </c>
      <c r="BZ734" s="12">
        <f t="shared" si="752"/>
        <v>0</v>
      </c>
      <c r="CA734" s="12">
        <f t="shared" si="752"/>
        <v>0</v>
      </c>
      <c r="CB734" s="12">
        <f t="shared" si="752"/>
        <v>0</v>
      </c>
      <c r="CC734" s="12">
        <f t="shared" si="752"/>
        <v>0</v>
      </c>
      <c r="CD734" s="12">
        <f t="shared" si="752"/>
        <v>0</v>
      </c>
      <c r="CE734" s="12">
        <f t="shared" si="752"/>
        <v>0</v>
      </c>
      <c r="CF734" s="12">
        <f t="shared" si="752"/>
        <v>0</v>
      </c>
      <c r="CG734" s="12">
        <f t="shared" si="752"/>
        <v>0</v>
      </c>
      <c r="CH734" s="12">
        <f t="shared" si="752"/>
        <v>0</v>
      </c>
      <c r="CI734" s="12">
        <f t="shared" si="752"/>
        <v>0</v>
      </c>
      <c r="CJ734" s="12">
        <f t="shared" si="752"/>
        <v>0</v>
      </c>
      <c r="CK734" s="12">
        <f t="shared" si="752"/>
        <v>0</v>
      </c>
      <c r="CL734" s="12">
        <f t="shared" si="752"/>
        <v>0</v>
      </c>
      <c r="CM734" s="12">
        <f t="shared" si="752"/>
        <v>0</v>
      </c>
      <c r="CN734" s="12">
        <f t="shared" si="752"/>
        <v>0</v>
      </c>
      <c r="CO734" s="12">
        <f t="shared" si="752"/>
        <v>0</v>
      </c>
      <c r="CP734" s="12"/>
      <c r="CQ734" s="12"/>
      <c r="CR734" s="12"/>
      <c r="CS734" s="12"/>
      <c r="CT734" s="12"/>
      <c r="CU734" s="12"/>
      <c r="CV734" s="12"/>
      <c r="CW734" s="12"/>
      <c r="CX734" s="12"/>
      <c r="CY734" s="12"/>
      <c r="CZ734" s="12"/>
      <c r="DA734" s="12"/>
      <c r="DC734" s="12">
        <f>SUM(V734:AG734)</f>
        <v>0</v>
      </c>
      <c r="DD734" s="12">
        <f t="shared" si="746"/>
        <v>0</v>
      </c>
      <c r="DE734" s="12">
        <f t="shared" si="747"/>
        <v>0</v>
      </c>
      <c r="DF734" s="12">
        <f t="shared" si="750"/>
        <v>0</v>
      </c>
      <c r="DG734" s="12">
        <f t="shared" si="748"/>
        <v>0</v>
      </c>
      <c r="DH734" s="12">
        <f t="shared" si="749"/>
        <v>0</v>
      </c>
    </row>
    <row r="735" spans="2:112" hidden="1" outlineLevel="1">
      <c r="F735" s="126" t="s">
        <v>100</v>
      </c>
      <c r="I735" s="609" t="s">
        <v>736</v>
      </c>
      <c r="X735" s="702"/>
      <c r="AA735" s="698"/>
      <c r="AC735" s="698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>
        <f t="shared" ref="AS735:CO740" si="753">AS771+AS805+AS840</f>
        <v>0</v>
      </c>
      <c r="AT735" s="12">
        <f t="shared" si="753"/>
        <v>0</v>
      </c>
      <c r="AU735" s="12">
        <f t="shared" si="753"/>
        <v>0</v>
      </c>
      <c r="AV735" s="12">
        <f t="shared" si="753"/>
        <v>0</v>
      </c>
      <c r="AW735" s="12">
        <f t="shared" si="753"/>
        <v>0</v>
      </c>
      <c r="AX735" s="12">
        <f t="shared" si="753"/>
        <v>0</v>
      </c>
      <c r="AY735" s="12">
        <f t="shared" si="753"/>
        <v>0</v>
      </c>
      <c r="AZ735" s="12">
        <f t="shared" si="753"/>
        <v>0</v>
      </c>
      <c r="BA735" s="12">
        <f t="shared" si="753"/>
        <v>0</v>
      </c>
      <c r="BB735" s="12">
        <f t="shared" si="753"/>
        <v>0</v>
      </c>
      <c r="BC735" s="12">
        <f t="shared" si="753"/>
        <v>0</v>
      </c>
      <c r="BD735" s="12">
        <f t="shared" si="753"/>
        <v>0</v>
      </c>
      <c r="BE735" s="12">
        <f t="shared" si="753"/>
        <v>0</v>
      </c>
      <c r="BF735" s="12">
        <f t="shared" si="753"/>
        <v>0</v>
      </c>
      <c r="BG735" s="12">
        <f t="shared" si="753"/>
        <v>0</v>
      </c>
      <c r="BH735" s="12">
        <f t="shared" si="753"/>
        <v>0</v>
      </c>
      <c r="BI735" s="12">
        <f t="shared" si="753"/>
        <v>0</v>
      </c>
      <c r="BJ735" s="12">
        <f t="shared" si="753"/>
        <v>0</v>
      </c>
      <c r="BK735" s="12">
        <f t="shared" si="753"/>
        <v>0</v>
      </c>
      <c r="BL735" s="12">
        <f t="shared" si="753"/>
        <v>0</v>
      </c>
      <c r="BM735" s="12">
        <f t="shared" si="753"/>
        <v>0</v>
      </c>
      <c r="BN735" s="12">
        <f t="shared" si="753"/>
        <v>0</v>
      </c>
      <c r="BO735" s="12">
        <f t="shared" si="753"/>
        <v>0</v>
      </c>
      <c r="BP735" s="12">
        <f t="shared" si="753"/>
        <v>0</v>
      </c>
      <c r="BQ735" s="12">
        <f t="shared" si="753"/>
        <v>0</v>
      </c>
      <c r="BR735" s="12">
        <f t="shared" si="753"/>
        <v>0</v>
      </c>
      <c r="BS735" s="12">
        <f t="shared" si="753"/>
        <v>0</v>
      </c>
      <c r="BT735" s="12">
        <f t="shared" si="753"/>
        <v>0</v>
      </c>
      <c r="BU735" s="12">
        <f t="shared" si="753"/>
        <v>0</v>
      </c>
      <c r="BV735" s="12">
        <f t="shared" si="753"/>
        <v>0</v>
      </c>
      <c r="BW735" s="12">
        <f t="shared" si="753"/>
        <v>0</v>
      </c>
      <c r="BX735" s="12">
        <f t="shared" si="753"/>
        <v>0</v>
      </c>
      <c r="BY735" s="12">
        <f t="shared" si="753"/>
        <v>0</v>
      </c>
      <c r="BZ735" s="12">
        <f t="shared" si="753"/>
        <v>0</v>
      </c>
      <c r="CA735" s="12">
        <f t="shared" si="753"/>
        <v>0</v>
      </c>
      <c r="CB735" s="12">
        <f t="shared" si="753"/>
        <v>0</v>
      </c>
      <c r="CC735" s="12">
        <f t="shared" si="753"/>
        <v>0</v>
      </c>
      <c r="CD735" s="12">
        <f t="shared" si="753"/>
        <v>0</v>
      </c>
      <c r="CE735" s="12">
        <f t="shared" si="753"/>
        <v>0</v>
      </c>
      <c r="CF735" s="12">
        <f t="shared" si="753"/>
        <v>0</v>
      </c>
      <c r="CG735" s="12">
        <f t="shared" si="753"/>
        <v>0</v>
      </c>
      <c r="CH735" s="12">
        <f t="shared" si="753"/>
        <v>0</v>
      </c>
      <c r="CI735" s="12">
        <f t="shared" si="753"/>
        <v>0</v>
      </c>
      <c r="CJ735" s="12">
        <f t="shared" si="753"/>
        <v>0</v>
      </c>
      <c r="CK735" s="12">
        <f t="shared" si="753"/>
        <v>0</v>
      </c>
      <c r="CL735" s="12">
        <f t="shared" si="753"/>
        <v>0</v>
      </c>
      <c r="CM735" s="12">
        <f t="shared" si="753"/>
        <v>0</v>
      </c>
      <c r="CN735" s="12">
        <f t="shared" si="753"/>
        <v>0</v>
      </c>
      <c r="CO735" s="12">
        <f t="shared" si="753"/>
        <v>0</v>
      </c>
      <c r="CP735" s="12"/>
      <c r="CQ735" s="12"/>
      <c r="CR735" s="12"/>
      <c r="CS735" s="12"/>
      <c r="CT735" s="12"/>
      <c r="CU735" s="12"/>
      <c r="CV735" s="12"/>
      <c r="CW735" s="12"/>
      <c r="CX735" s="12"/>
      <c r="CY735" s="12"/>
      <c r="CZ735" s="12"/>
      <c r="DA735" s="12"/>
      <c r="DC735" s="12">
        <f>SUM(V735:AG735)</f>
        <v>0</v>
      </c>
      <c r="DD735" s="12">
        <f t="shared" si="746"/>
        <v>0</v>
      </c>
      <c r="DE735" s="12">
        <f t="shared" si="747"/>
        <v>0</v>
      </c>
      <c r="DF735" s="12">
        <f t="shared" si="750"/>
        <v>0</v>
      </c>
      <c r="DG735" s="12">
        <f t="shared" si="748"/>
        <v>0</v>
      </c>
      <c r="DH735" s="12">
        <f t="shared" si="749"/>
        <v>0</v>
      </c>
    </row>
    <row r="736" spans="2:112" hidden="1" outlineLevel="1">
      <c r="F736" s="126" t="s">
        <v>107</v>
      </c>
      <c r="I736" s="609" t="s">
        <v>736</v>
      </c>
      <c r="V736" s="702"/>
      <c r="Y736" s="702"/>
      <c r="AA736" s="698"/>
      <c r="AC736" s="698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>
        <f t="shared" si="753"/>
        <v>0</v>
      </c>
      <c r="AT736" s="12">
        <f t="shared" si="753"/>
        <v>0</v>
      </c>
      <c r="AU736" s="12">
        <f t="shared" si="753"/>
        <v>0</v>
      </c>
      <c r="AV736" s="12">
        <f t="shared" si="753"/>
        <v>0</v>
      </c>
      <c r="AW736" s="12">
        <f t="shared" si="753"/>
        <v>0</v>
      </c>
      <c r="AX736" s="12">
        <f t="shared" si="753"/>
        <v>0</v>
      </c>
      <c r="AY736" s="12">
        <f t="shared" si="753"/>
        <v>0</v>
      </c>
      <c r="AZ736" s="12">
        <f t="shared" si="753"/>
        <v>0</v>
      </c>
      <c r="BA736" s="12">
        <f t="shared" si="753"/>
        <v>0</v>
      </c>
      <c r="BB736" s="12">
        <f t="shared" si="753"/>
        <v>0</v>
      </c>
      <c r="BC736" s="12">
        <f t="shared" si="753"/>
        <v>0</v>
      </c>
      <c r="BD736" s="12">
        <f t="shared" si="753"/>
        <v>0</v>
      </c>
      <c r="BE736" s="12">
        <f t="shared" si="753"/>
        <v>0</v>
      </c>
      <c r="BF736" s="12">
        <f t="shared" si="753"/>
        <v>0</v>
      </c>
      <c r="BG736" s="12">
        <f t="shared" si="753"/>
        <v>0</v>
      </c>
      <c r="BH736" s="12">
        <f t="shared" si="753"/>
        <v>0</v>
      </c>
      <c r="BI736" s="12">
        <f t="shared" si="753"/>
        <v>0</v>
      </c>
      <c r="BJ736" s="12">
        <f t="shared" si="753"/>
        <v>0</v>
      </c>
      <c r="BK736" s="12">
        <f t="shared" si="753"/>
        <v>0</v>
      </c>
      <c r="BL736" s="12">
        <f t="shared" si="753"/>
        <v>0</v>
      </c>
      <c r="BM736" s="12">
        <f t="shared" si="753"/>
        <v>0</v>
      </c>
      <c r="BN736" s="12">
        <f t="shared" si="753"/>
        <v>0</v>
      </c>
      <c r="BO736" s="12">
        <f t="shared" si="753"/>
        <v>0</v>
      </c>
      <c r="BP736" s="12">
        <f t="shared" si="753"/>
        <v>0</v>
      </c>
      <c r="BQ736" s="12">
        <f t="shared" si="753"/>
        <v>0</v>
      </c>
      <c r="BR736" s="12">
        <f t="shared" si="753"/>
        <v>0</v>
      </c>
      <c r="BS736" s="12">
        <f t="shared" si="753"/>
        <v>0</v>
      </c>
      <c r="BT736" s="12">
        <f t="shared" si="753"/>
        <v>0</v>
      </c>
      <c r="BU736" s="12">
        <f t="shared" si="753"/>
        <v>0</v>
      </c>
      <c r="BV736" s="12">
        <f t="shared" si="753"/>
        <v>0</v>
      </c>
      <c r="BW736" s="12">
        <f t="shared" si="753"/>
        <v>0</v>
      </c>
      <c r="BX736" s="12">
        <f t="shared" si="753"/>
        <v>0</v>
      </c>
      <c r="BY736" s="12">
        <f t="shared" si="753"/>
        <v>0</v>
      </c>
      <c r="BZ736" s="12">
        <f t="shared" si="753"/>
        <v>0</v>
      </c>
      <c r="CA736" s="12">
        <f t="shared" si="753"/>
        <v>0</v>
      </c>
      <c r="CB736" s="12">
        <f t="shared" si="753"/>
        <v>0</v>
      </c>
      <c r="CC736" s="12">
        <f t="shared" si="753"/>
        <v>0</v>
      </c>
      <c r="CD736" s="12">
        <f t="shared" si="753"/>
        <v>0</v>
      </c>
      <c r="CE736" s="12">
        <f t="shared" si="753"/>
        <v>0</v>
      </c>
      <c r="CF736" s="12">
        <f t="shared" si="753"/>
        <v>0</v>
      </c>
      <c r="CG736" s="12">
        <f t="shared" si="753"/>
        <v>0</v>
      </c>
      <c r="CH736" s="12">
        <f t="shared" si="753"/>
        <v>0</v>
      </c>
      <c r="CI736" s="12">
        <f t="shared" si="753"/>
        <v>0</v>
      </c>
      <c r="CJ736" s="12">
        <f t="shared" si="753"/>
        <v>0</v>
      </c>
      <c r="CK736" s="12">
        <f t="shared" si="753"/>
        <v>0</v>
      </c>
      <c r="CL736" s="12">
        <f t="shared" si="753"/>
        <v>0</v>
      </c>
      <c r="CM736" s="12">
        <f t="shared" si="753"/>
        <v>0</v>
      </c>
      <c r="CN736" s="12">
        <f t="shared" si="753"/>
        <v>0</v>
      </c>
      <c r="CO736" s="12">
        <f t="shared" si="753"/>
        <v>0</v>
      </c>
      <c r="CP736" s="12"/>
      <c r="CQ736" s="12"/>
      <c r="CR736" s="12"/>
      <c r="CS736" s="12"/>
      <c r="CT736" s="12"/>
      <c r="CU736" s="12"/>
      <c r="CV736" s="12"/>
      <c r="CW736" s="12"/>
      <c r="CX736" s="12"/>
      <c r="CY736" s="12"/>
      <c r="CZ736" s="12"/>
      <c r="DA736" s="12"/>
      <c r="DC736" s="12">
        <f>SUM(V736:AG736)</f>
        <v>0</v>
      </c>
      <c r="DD736" s="12">
        <f t="shared" si="746"/>
        <v>0</v>
      </c>
      <c r="DE736" s="12">
        <f t="shared" si="747"/>
        <v>0</v>
      </c>
      <c r="DF736" s="12">
        <f t="shared" si="750"/>
        <v>0</v>
      </c>
      <c r="DG736" s="12">
        <f t="shared" si="748"/>
        <v>0</v>
      </c>
      <c r="DH736" s="12">
        <f t="shared" si="749"/>
        <v>0</v>
      </c>
    </row>
    <row r="737" spans="2:112" hidden="1" outlineLevel="1">
      <c r="F737" s="126" t="s">
        <v>806</v>
      </c>
      <c r="I737" s="609" t="s">
        <v>736</v>
      </c>
      <c r="V737" s="702"/>
      <c r="X737" s="887"/>
      <c r="AA737" s="698"/>
      <c r="AC737" s="698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>
        <f t="shared" si="753"/>
        <v>0</v>
      </c>
      <c r="AT737" s="12">
        <f t="shared" si="753"/>
        <v>0</v>
      </c>
      <c r="AU737" s="12">
        <f t="shared" si="753"/>
        <v>0</v>
      </c>
      <c r="AV737" s="12">
        <f t="shared" si="753"/>
        <v>0</v>
      </c>
      <c r="AW737" s="12">
        <f t="shared" si="753"/>
        <v>0</v>
      </c>
      <c r="AX737" s="12">
        <f t="shared" si="753"/>
        <v>0</v>
      </c>
      <c r="AY737" s="12">
        <f t="shared" si="753"/>
        <v>0</v>
      </c>
      <c r="AZ737" s="12">
        <f t="shared" si="753"/>
        <v>0</v>
      </c>
      <c r="BA737" s="12">
        <f t="shared" si="753"/>
        <v>0</v>
      </c>
      <c r="BB737" s="12">
        <f t="shared" si="753"/>
        <v>0</v>
      </c>
      <c r="BC737" s="12">
        <f t="shared" si="753"/>
        <v>0</v>
      </c>
      <c r="BD737" s="12">
        <f t="shared" si="753"/>
        <v>0</v>
      </c>
      <c r="BE737" s="12">
        <f t="shared" si="753"/>
        <v>0</v>
      </c>
      <c r="BF737" s="12">
        <f t="shared" si="753"/>
        <v>0</v>
      </c>
      <c r="BG737" s="12">
        <f t="shared" si="753"/>
        <v>0</v>
      </c>
      <c r="BH737" s="12">
        <f t="shared" si="753"/>
        <v>0</v>
      </c>
      <c r="BI737" s="12">
        <f t="shared" si="753"/>
        <v>0</v>
      </c>
      <c r="BJ737" s="12">
        <f t="shared" si="753"/>
        <v>0</v>
      </c>
      <c r="BK737" s="12">
        <f t="shared" si="753"/>
        <v>0</v>
      </c>
      <c r="BL737" s="12">
        <f t="shared" si="753"/>
        <v>0</v>
      </c>
      <c r="BM737" s="12">
        <f t="shared" si="753"/>
        <v>0</v>
      </c>
      <c r="BN737" s="12">
        <f t="shared" si="753"/>
        <v>0</v>
      </c>
      <c r="BO737" s="12">
        <f t="shared" si="753"/>
        <v>0</v>
      </c>
      <c r="BP737" s="12">
        <f t="shared" si="753"/>
        <v>0</v>
      </c>
      <c r="BQ737" s="12">
        <f t="shared" si="753"/>
        <v>0</v>
      </c>
      <c r="BR737" s="12">
        <f t="shared" si="753"/>
        <v>0</v>
      </c>
      <c r="BS737" s="12">
        <f t="shared" si="753"/>
        <v>0</v>
      </c>
      <c r="BT737" s="12">
        <f t="shared" si="753"/>
        <v>0</v>
      </c>
      <c r="BU737" s="12">
        <f t="shared" si="753"/>
        <v>0</v>
      </c>
      <c r="BV737" s="12">
        <f t="shared" si="753"/>
        <v>0</v>
      </c>
      <c r="BW737" s="12">
        <f t="shared" si="753"/>
        <v>0</v>
      </c>
      <c r="BX737" s="12">
        <f t="shared" si="753"/>
        <v>0</v>
      </c>
      <c r="BY737" s="12">
        <f t="shared" si="753"/>
        <v>0</v>
      </c>
      <c r="BZ737" s="12">
        <f t="shared" si="753"/>
        <v>0</v>
      </c>
      <c r="CA737" s="12">
        <f t="shared" si="753"/>
        <v>0</v>
      </c>
      <c r="CB737" s="12">
        <f t="shared" si="753"/>
        <v>0</v>
      </c>
      <c r="CC737" s="12">
        <f t="shared" si="753"/>
        <v>0</v>
      </c>
      <c r="CD737" s="12">
        <f t="shared" si="753"/>
        <v>0</v>
      </c>
      <c r="CE737" s="12">
        <f t="shared" si="753"/>
        <v>0</v>
      </c>
      <c r="CF737" s="12">
        <f t="shared" si="753"/>
        <v>0</v>
      </c>
      <c r="CG737" s="12">
        <f t="shared" si="753"/>
        <v>0</v>
      </c>
      <c r="CH737" s="12">
        <f t="shared" si="753"/>
        <v>0</v>
      </c>
      <c r="CI737" s="12">
        <f t="shared" si="753"/>
        <v>0</v>
      </c>
      <c r="CJ737" s="12">
        <f t="shared" si="753"/>
        <v>0</v>
      </c>
      <c r="CK737" s="12">
        <f t="shared" si="753"/>
        <v>0</v>
      </c>
      <c r="CL737" s="12">
        <f t="shared" si="753"/>
        <v>0</v>
      </c>
      <c r="CM737" s="12">
        <f t="shared" si="753"/>
        <v>0</v>
      </c>
      <c r="CN737" s="12">
        <f t="shared" si="753"/>
        <v>0</v>
      </c>
      <c r="CO737" s="12">
        <f t="shared" si="753"/>
        <v>0</v>
      </c>
      <c r="CP737" s="12"/>
      <c r="CQ737" s="12"/>
      <c r="CR737" s="12"/>
      <c r="CS737" s="12"/>
      <c r="CT737" s="12"/>
      <c r="CU737" s="12"/>
      <c r="CV737" s="12"/>
      <c r="CW737" s="12"/>
      <c r="CX737" s="12"/>
      <c r="CY737" s="12"/>
      <c r="CZ737" s="12"/>
      <c r="DA737" s="12"/>
      <c r="DC737" s="12">
        <f t="shared" ref="DC737:DC743" si="754">SUM(V737:AG737)</f>
        <v>0</v>
      </c>
      <c r="DD737" s="14">
        <f t="shared" si="746"/>
        <v>0</v>
      </c>
      <c r="DE737" s="14">
        <f t="shared" si="747"/>
        <v>0</v>
      </c>
      <c r="DF737" s="14">
        <f t="shared" si="750"/>
        <v>0</v>
      </c>
      <c r="DG737" s="14">
        <f t="shared" si="748"/>
        <v>0</v>
      </c>
      <c r="DH737" s="14">
        <f t="shared" si="749"/>
        <v>0</v>
      </c>
    </row>
    <row r="738" spans="2:112" hidden="1" outlineLevel="1">
      <c r="F738" s="126" t="s">
        <v>807</v>
      </c>
      <c r="I738" s="609" t="s">
        <v>736</v>
      </c>
      <c r="V738" s="702"/>
      <c r="X738" s="887"/>
      <c r="AA738" s="698"/>
      <c r="AC738" s="698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>
        <f t="shared" si="753"/>
        <v>0</v>
      </c>
      <c r="AT738" s="12">
        <f t="shared" si="753"/>
        <v>0</v>
      </c>
      <c r="AU738" s="12">
        <f t="shared" si="753"/>
        <v>0</v>
      </c>
      <c r="AV738" s="12">
        <f t="shared" si="753"/>
        <v>0</v>
      </c>
      <c r="AW738" s="12">
        <f t="shared" si="753"/>
        <v>0</v>
      </c>
      <c r="AX738" s="12">
        <f t="shared" si="753"/>
        <v>0</v>
      </c>
      <c r="AY738" s="12">
        <f t="shared" si="753"/>
        <v>0</v>
      </c>
      <c r="AZ738" s="12">
        <f t="shared" si="753"/>
        <v>0</v>
      </c>
      <c r="BA738" s="12">
        <f t="shared" si="753"/>
        <v>0</v>
      </c>
      <c r="BB738" s="12">
        <f t="shared" si="753"/>
        <v>0</v>
      </c>
      <c r="BC738" s="12">
        <f t="shared" si="753"/>
        <v>0</v>
      </c>
      <c r="BD738" s="12">
        <f t="shared" si="753"/>
        <v>0</v>
      </c>
      <c r="BE738" s="12">
        <f t="shared" si="753"/>
        <v>0</v>
      </c>
      <c r="BF738" s="12">
        <f t="shared" si="753"/>
        <v>0</v>
      </c>
      <c r="BG738" s="12">
        <f t="shared" si="753"/>
        <v>0</v>
      </c>
      <c r="BH738" s="12">
        <f t="shared" si="753"/>
        <v>0</v>
      </c>
      <c r="BI738" s="12">
        <f t="shared" si="753"/>
        <v>0</v>
      </c>
      <c r="BJ738" s="12">
        <f t="shared" si="753"/>
        <v>0</v>
      </c>
      <c r="BK738" s="12">
        <f t="shared" si="753"/>
        <v>0</v>
      </c>
      <c r="BL738" s="12">
        <f t="shared" si="753"/>
        <v>0</v>
      </c>
      <c r="BM738" s="12">
        <f t="shared" si="753"/>
        <v>0</v>
      </c>
      <c r="BN738" s="12">
        <f t="shared" si="753"/>
        <v>0</v>
      </c>
      <c r="BO738" s="12">
        <f t="shared" si="753"/>
        <v>0</v>
      </c>
      <c r="BP738" s="12">
        <f t="shared" si="753"/>
        <v>0</v>
      </c>
      <c r="BQ738" s="12">
        <f t="shared" si="753"/>
        <v>0</v>
      </c>
      <c r="BR738" s="12">
        <f t="shared" si="753"/>
        <v>0</v>
      </c>
      <c r="BS738" s="12">
        <f t="shared" si="753"/>
        <v>0</v>
      </c>
      <c r="BT738" s="12">
        <f t="shared" si="753"/>
        <v>0</v>
      </c>
      <c r="BU738" s="12">
        <f t="shared" si="753"/>
        <v>0</v>
      </c>
      <c r="BV738" s="12">
        <f t="shared" si="753"/>
        <v>0</v>
      </c>
      <c r="BW738" s="12">
        <f t="shared" si="753"/>
        <v>0</v>
      </c>
      <c r="BX738" s="12">
        <f t="shared" si="753"/>
        <v>0</v>
      </c>
      <c r="BY738" s="12">
        <f t="shared" si="753"/>
        <v>0</v>
      </c>
      <c r="BZ738" s="12">
        <f t="shared" si="753"/>
        <v>0</v>
      </c>
      <c r="CA738" s="12">
        <f t="shared" si="753"/>
        <v>0</v>
      </c>
      <c r="CB738" s="12">
        <f t="shared" si="753"/>
        <v>0</v>
      </c>
      <c r="CC738" s="12">
        <f t="shared" si="753"/>
        <v>0</v>
      </c>
      <c r="CD738" s="12">
        <f t="shared" si="753"/>
        <v>0</v>
      </c>
      <c r="CE738" s="12">
        <f t="shared" si="753"/>
        <v>0</v>
      </c>
      <c r="CF738" s="12">
        <f t="shared" si="753"/>
        <v>0</v>
      </c>
      <c r="CG738" s="12">
        <f t="shared" si="753"/>
        <v>0</v>
      </c>
      <c r="CH738" s="12">
        <f t="shared" si="753"/>
        <v>0</v>
      </c>
      <c r="CI738" s="12">
        <f t="shared" si="753"/>
        <v>0</v>
      </c>
      <c r="CJ738" s="12">
        <f t="shared" si="753"/>
        <v>0</v>
      </c>
      <c r="CK738" s="12">
        <f t="shared" si="753"/>
        <v>0</v>
      </c>
      <c r="CL738" s="12">
        <f t="shared" si="753"/>
        <v>0</v>
      </c>
      <c r="CM738" s="12">
        <f t="shared" si="753"/>
        <v>0</v>
      </c>
      <c r="CN738" s="12">
        <f t="shared" si="753"/>
        <v>0</v>
      </c>
      <c r="CO738" s="12">
        <f t="shared" si="753"/>
        <v>0</v>
      </c>
      <c r="CP738" s="12"/>
      <c r="CQ738" s="12"/>
      <c r="CR738" s="12"/>
      <c r="CS738" s="12"/>
      <c r="CT738" s="12"/>
      <c r="CU738" s="12"/>
      <c r="CV738" s="12"/>
      <c r="CW738" s="12"/>
      <c r="CX738" s="12"/>
      <c r="CY738" s="12"/>
      <c r="CZ738" s="12"/>
      <c r="DA738" s="12"/>
      <c r="DC738" s="12">
        <f t="shared" si="754"/>
        <v>0</v>
      </c>
      <c r="DD738" s="12">
        <f t="shared" si="746"/>
        <v>0</v>
      </c>
      <c r="DE738" s="12">
        <f t="shared" si="747"/>
        <v>0</v>
      </c>
      <c r="DF738" s="12">
        <f t="shared" si="750"/>
        <v>0</v>
      </c>
      <c r="DG738" s="12">
        <f t="shared" si="748"/>
        <v>0</v>
      </c>
      <c r="DH738" s="12">
        <f t="shared" si="749"/>
        <v>0</v>
      </c>
    </row>
    <row r="739" spans="2:112" hidden="1" outlineLevel="1">
      <c r="F739" s="126" t="s">
        <v>703</v>
      </c>
      <c r="I739" s="609" t="s">
        <v>736</v>
      </c>
      <c r="V739" s="702"/>
      <c r="X739" s="887"/>
      <c r="AA739" s="698"/>
      <c r="AC739" s="698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>
        <f t="shared" si="753"/>
        <v>0</v>
      </c>
      <c r="AT739" s="12">
        <f t="shared" si="753"/>
        <v>0</v>
      </c>
      <c r="AU739" s="12">
        <f t="shared" si="753"/>
        <v>0</v>
      </c>
      <c r="AV739" s="12">
        <f t="shared" si="753"/>
        <v>0</v>
      </c>
      <c r="AW739" s="12">
        <f t="shared" si="753"/>
        <v>0</v>
      </c>
      <c r="AX739" s="12">
        <f t="shared" si="753"/>
        <v>0</v>
      </c>
      <c r="AY739" s="12">
        <f t="shared" si="753"/>
        <v>0</v>
      </c>
      <c r="AZ739" s="12">
        <f t="shared" si="753"/>
        <v>0</v>
      </c>
      <c r="BA739" s="12">
        <f t="shared" si="753"/>
        <v>0</v>
      </c>
      <c r="BB739" s="12">
        <f t="shared" si="753"/>
        <v>0</v>
      </c>
      <c r="BC739" s="12">
        <f t="shared" si="753"/>
        <v>0</v>
      </c>
      <c r="BD739" s="12">
        <f t="shared" si="753"/>
        <v>0</v>
      </c>
      <c r="BE739" s="12">
        <f t="shared" si="753"/>
        <v>0</v>
      </c>
      <c r="BF739" s="12">
        <f t="shared" si="753"/>
        <v>0</v>
      </c>
      <c r="BG739" s="12">
        <f t="shared" si="753"/>
        <v>0</v>
      </c>
      <c r="BH739" s="12">
        <f t="shared" si="753"/>
        <v>0</v>
      </c>
      <c r="BI739" s="12">
        <f t="shared" si="753"/>
        <v>0</v>
      </c>
      <c r="BJ739" s="12">
        <f t="shared" si="753"/>
        <v>0</v>
      </c>
      <c r="BK739" s="12">
        <f t="shared" si="753"/>
        <v>0</v>
      </c>
      <c r="BL739" s="12">
        <f t="shared" si="753"/>
        <v>0</v>
      </c>
      <c r="BM739" s="12">
        <f t="shared" si="753"/>
        <v>0</v>
      </c>
      <c r="BN739" s="12">
        <f t="shared" si="753"/>
        <v>0</v>
      </c>
      <c r="BO739" s="12">
        <f t="shared" si="753"/>
        <v>0</v>
      </c>
      <c r="BP739" s="12">
        <f t="shared" si="753"/>
        <v>0</v>
      </c>
      <c r="BQ739" s="12">
        <f t="shared" si="753"/>
        <v>0</v>
      </c>
      <c r="BR739" s="12">
        <f t="shared" si="753"/>
        <v>0</v>
      </c>
      <c r="BS739" s="12">
        <f t="shared" si="753"/>
        <v>0</v>
      </c>
      <c r="BT739" s="12">
        <f t="shared" si="753"/>
        <v>0</v>
      </c>
      <c r="BU739" s="12">
        <f t="shared" si="753"/>
        <v>0</v>
      </c>
      <c r="BV739" s="12">
        <f t="shared" si="753"/>
        <v>0</v>
      </c>
      <c r="BW739" s="12">
        <f t="shared" si="753"/>
        <v>0</v>
      </c>
      <c r="BX739" s="12">
        <f t="shared" si="753"/>
        <v>0</v>
      </c>
      <c r="BY739" s="12">
        <f t="shared" si="753"/>
        <v>0</v>
      </c>
      <c r="BZ739" s="12">
        <f t="shared" si="753"/>
        <v>0</v>
      </c>
      <c r="CA739" s="12">
        <f t="shared" si="753"/>
        <v>0</v>
      </c>
      <c r="CB739" s="12">
        <f t="shared" si="753"/>
        <v>0</v>
      </c>
      <c r="CC739" s="12">
        <f t="shared" si="753"/>
        <v>0</v>
      </c>
      <c r="CD739" s="12">
        <f t="shared" si="753"/>
        <v>0</v>
      </c>
      <c r="CE739" s="12">
        <f t="shared" si="753"/>
        <v>0</v>
      </c>
      <c r="CF739" s="12">
        <f t="shared" si="753"/>
        <v>0</v>
      </c>
      <c r="CG739" s="12">
        <f t="shared" si="753"/>
        <v>0</v>
      </c>
      <c r="CH739" s="12">
        <f t="shared" si="753"/>
        <v>0</v>
      </c>
      <c r="CI739" s="12">
        <f t="shared" si="753"/>
        <v>0</v>
      </c>
      <c r="CJ739" s="12">
        <f t="shared" si="753"/>
        <v>0</v>
      </c>
      <c r="CK739" s="12">
        <f t="shared" si="753"/>
        <v>0</v>
      </c>
      <c r="CL739" s="12">
        <f t="shared" si="753"/>
        <v>0</v>
      </c>
      <c r="CM739" s="12">
        <f t="shared" si="753"/>
        <v>0</v>
      </c>
      <c r="CN739" s="12">
        <f t="shared" si="753"/>
        <v>0</v>
      </c>
      <c r="CO739" s="12">
        <f t="shared" si="753"/>
        <v>0</v>
      </c>
      <c r="CP739" s="12"/>
      <c r="CQ739" s="12"/>
      <c r="CR739" s="12"/>
      <c r="CS739" s="12"/>
      <c r="CT739" s="12"/>
      <c r="CU739" s="12"/>
      <c r="CV739" s="12"/>
      <c r="CW739" s="12"/>
      <c r="CX739" s="12"/>
      <c r="CY739" s="12"/>
      <c r="CZ739" s="12"/>
      <c r="DA739" s="12"/>
      <c r="DC739" s="14">
        <f t="shared" si="754"/>
        <v>0</v>
      </c>
      <c r="DD739" s="14">
        <f t="shared" si="746"/>
        <v>0</v>
      </c>
      <c r="DE739" s="14">
        <f t="shared" si="747"/>
        <v>0</v>
      </c>
      <c r="DF739" s="14">
        <f t="shared" si="750"/>
        <v>0</v>
      </c>
      <c r="DG739" s="14">
        <f t="shared" si="748"/>
        <v>0</v>
      </c>
      <c r="DH739" s="14">
        <f t="shared" si="749"/>
        <v>0</v>
      </c>
    </row>
    <row r="740" spans="2:112" hidden="1" outlineLevel="1">
      <c r="F740" s="126" t="s">
        <v>163</v>
      </c>
      <c r="I740" s="609" t="s">
        <v>736</v>
      </c>
      <c r="V740" s="702"/>
      <c r="X740" s="887"/>
      <c r="AA740" s="698"/>
      <c r="AC740" s="698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>
        <f t="shared" si="753"/>
        <v>0</v>
      </c>
      <c r="AT740" s="12">
        <f t="shared" si="753"/>
        <v>0</v>
      </c>
      <c r="AU740" s="12">
        <f t="shared" si="753"/>
        <v>0</v>
      </c>
      <c r="AV740" s="12">
        <f t="shared" si="753"/>
        <v>0</v>
      </c>
      <c r="AW740" s="12">
        <f t="shared" si="753"/>
        <v>0</v>
      </c>
      <c r="AX740" s="12">
        <f t="shared" si="753"/>
        <v>0</v>
      </c>
      <c r="AY740" s="12">
        <f t="shared" si="753"/>
        <v>0</v>
      </c>
      <c r="AZ740" s="12">
        <f t="shared" si="753"/>
        <v>0</v>
      </c>
      <c r="BA740" s="12">
        <f t="shared" si="753"/>
        <v>0</v>
      </c>
      <c r="BB740" s="12">
        <f t="shared" si="753"/>
        <v>0</v>
      </c>
      <c r="BC740" s="12">
        <f t="shared" ref="BC740:CO740" si="755">BC776+BC810+BC845</f>
        <v>0</v>
      </c>
      <c r="BD740" s="12">
        <f t="shared" si="755"/>
        <v>0</v>
      </c>
      <c r="BE740" s="12">
        <f t="shared" si="755"/>
        <v>0</v>
      </c>
      <c r="BF740" s="12">
        <f t="shared" si="755"/>
        <v>0</v>
      </c>
      <c r="BG740" s="12">
        <f t="shared" si="755"/>
        <v>0</v>
      </c>
      <c r="BH740" s="12">
        <f t="shared" si="755"/>
        <v>0</v>
      </c>
      <c r="BI740" s="12">
        <f t="shared" si="755"/>
        <v>0</v>
      </c>
      <c r="BJ740" s="12">
        <f t="shared" si="755"/>
        <v>0</v>
      </c>
      <c r="BK740" s="12">
        <f t="shared" si="755"/>
        <v>0</v>
      </c>
      <c r="BL740" s="12">
        <f t="shared" si="755"/>
        <v>0</v>
      </c>
      <c r="BM740" s="12">
        <f t="shared" si="755"/>
        <v>0</v>
      </c>
      <c r="BN740" s="12">
        <f t="shared" si="755"/>
        <v>0</v>
      </c>
      <c r="BO740" s="12">
        <f t="shared" si="755"/>
        <v>0</v>
      </c>
      <c r="BP740" s="12">
        <f t="shared" si="755"/>
        <v>0</v>
      </c>
      <c r="BQ740" s="12">
        <f t="shared" si="755"/>
        <v>0</v>
      </c>
      <c r="BR740" s="12">
        <f t="shared" si="755"/>
        <v>0</v>
      </c>
      <c r="BS740" s="12">
        <f t="shared" si="755"/>
        <v>0</v>
      </c>
      <c r="BT740" s="12">
        <f t="shared" si="755"/>
        <v>0</v>
      </c>
      <c r="BU740" s="12">
        <f t="shared" si="755"/>
        <v>0</v>
      </c>
      <c r="BV740" s="12">
        <f t="shared" si="755"/>
        <v>0</v>
      </c>
      <c r="BW740" s="12">
        <f t="shared" si="755"/>
        <v>0</v>
      </c>
      <c r="BX740" s="12">
        <f t="shared" si="755"/>
        <v>0</v>
      </c>
      <c r="BY740" s="12">
        <f t="shared" si="755"/>
        <v>0</v>
      </c>
      <c r="BZ740" s="12">
        <f t="shared" si="755"/>
        <v>0</v>
      </c>
      <c r="CA740" s="12">
        <f t="shared" si="755"/>
        <v>0</v>
      </c>
      <c r="CB740" s="12">
        <f t="shared" si="755"/>
        <v>0</v>
      </c>
      <c r="CC740" s="12">
        <f t="shared" si="755"/>
        <v>0</v>
      </c>
      <c r="CD740" s="12">
        <f t="shared" si="755"/>
        <v>0</v>
      </c>
      <c r="CE740" s="12">
        <f t="shared" si="755"/>
        <v>0</v>
      </c>
      <c r="CF740" s="12">
        <f t="shared" si="755"/>
        <v>0</v>
      </c>
      <c r="CG740" s="12">
        <f t="shared" si="755"/>
        <v>0</v>
      </c>
      <c r="CH740" s="12">
        <f t="shared" si="755"/>
        <v>0</v>
      </c>
      <c r="CI740" s="12">
        <f t="shared" si="755"/>
        <v>0</v>
      </c>
      <c r="CJ740" s="12">
        <f t="shared" si="755"/>
        <v>0</v>
      </c>
      <c r="CK740" s="12">
        <f t="shared" si="755"/>
        <v>0</v>
      </c>
      <c r="CL740" s="12">
        <f t="shared" si="755"/>
        <v>0</v>
      </c>
      <c r="CM740" s="12">
        <f t="shared" si="755"/>
        <v>0</v>
      </c>
      <c r="CN740" s="12">
        <f t="shared" si="755"/>
        <v>0</v>
      </c>
      <c r="CO740" s="12">
        <f t="shared" si="755"/>
        <v>0</v>
      </c>
      <c r="CP740" s="12"/>
      <c r="CQ740" s="12"/>
      <c r="CR740" s="12"/>
      <c r="CS740" s="12"/>
      <c r="CT740" s="12"/>
      <c r="CU740" s="12"/>
      <c r="CV740" s="12"/>
      <c r="CW740" s="12"/>
      <c r="CX740" s="12"/>
      <c r="CY740" s="12"/>
      <c r="CZ740" s="12"/>
      <c r="DA740" s="12"/>
      <c r="DC740" s="12">
        <f t="shared" si="754"/>
        <v>0</v>
      </c>
      <c r="DD740" s="12">
        <f t="shared" si="746"/>
        <v>0</v>
      </c>
      <c r="DE740" s="12">
        <f t="shared" si="747"/>
        <v>0</v>
      </c>
      <c r="DF740" s="12">
        <f t="shared" si="750"/>
        <v>0</v>
      </c>
      <c r="DG740" s="12">
        <f t="shared" si="748"/>
        <v>0</v>
      </c>
      <c r="DH740" s="12">
        <f t="shared" si="749"/>
        <v>0</v>
      </c>
    </row>
    <row r="741" spans="2:112" hidden="1" outlineLevel="1">
      <c r="F741" s="126" t="s">
        <v>144</v>
      </c>
      <c r="H741" s="727"/>
      <c r="I741" s="609" t="s">
        <v>736</v>
      </c>
      <c r="V741" s="702"/>
      <c r="X741" s="887"/>
      <c r="AA741" s="698"/>
      <c r="AC741" s="698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726">
        <v>0</v>
      </c>
      <c r="AU741" s="728">
        <v>0</v>
      </c>
      <c r="AV741" s="728">
        <v>0</v>
      </c>
      <c r="AW741" s="728">
        <v>0</v>
      </c>
      <c r="AX741" s="728">
        <v>0</v>
      </c>
      <c r="AY741" s="728">
        <v>0</v>
      </c>
      <c r="AZ741" s="728">
        <v>0</v>
      </c>
      <c r="BA741" s="728">
        <v>0</v>
      </c>
      <c r="BB741" s="728">
        <v>0</v>
      </c>
      <c r="BC741" s="728">
        <v>0</v>
      </c>
      <c r="BD741" s="728">
        <v>0</v>
      </c>
      <c r="BE741" s="728">
        <v>0</v>
      </c>
      <c r="BF741" s="728">
        <v>0</v>
      </c>
      <c r="BG741" s="728">
        <v>0</v>
      </c>
      <c r="BH741" s="728">
        <v>0</v>
      </c>
      <c r="BI741" s="728">
        <v>0</v>
      </c>
      <c r="BJ741" s="728">
        <v>0</v>
      </c>
      <c r="BK741" s="728">
        <v>0</v>
      </c>
      <c r="BL741" s="728">
        <v>0</v>
      </c>
      <c r="BM741" s="728">
        <v>0</v>
      </c>
      <c r="BN741" s="728">
        <v>0</v>
      </c>
      <c r="BO741" s="728">
        <v>0</v>
      </c>
      <c r="BP741" s="728">
        <v>0</v>
      </c>
      <c r="BQ741" s="728">
        <v>0</v>
      </c>
      <c r="BR741" s="728">
        <v>0</v>
      </c>
      <c r="BS741" s="728">
        <v>0</v>
      </c>
      <c r="BT741" s="728">
        <v>0</v>
      </c>
      <c r="BU741" s="728">
        <v>0</v>
      </c>
      <c r="BV741" s="728">
        <v>0</v>
      </c>
      <c r="BW741" s="728">
        <v>0</v>
      </c>
      <c r="BX741" s="728">
        <v>0</v>
      </c>
      <c r="BY741" s="728">
        <v>0</v>
      </c>
      <c r="BZ741" s="728">
        <v>0</v>
      </c>
      <c r="CA741" s="728">
        <v>0</v>
      </c>
      <c r="CB741" s="728">
        <v>0</v>
      </c>
      <c r="CC741" s="728">
        <v>0</v>
      </c>
      <c r="CD741" s="728">
        <v>0</v>
      </c>
      <c r="CE741" s="728">
        <v>0</v>
      </c>
      <c r="CF741" s="728">
        <v>0</v>
      </c>
      <c r="CG741" s="728">
        <v>0</v>
      </c>
      <c r="CH741" s="728">
        <v>0</v>
      </c>
      <c r="CI741" s="728">
        <v>0</v>
      </c>
      <c r="CJ741" s="728">
        <v>0</v>
      </c>
      <c r="CK741" s="728">
        <v>0</v>
      </c>
      <c r="CL741" s="728">
        <v>0</v>
      </c>
      <c r="CM741" s="728">
        <v>0</v>
      </c>
      <c r="CN741" s="728">
        <v>0</v>
      </c>
      <c r="CO741" s="728">
        <v>0</v>
      </c>
      <c r="CP741" s="728"/>
      <c r="CQ741" s="728"/>
      <c r="CR741" s="728"/>
      <c r="CS741" s="728"/>
      <c r="CT741" s="728"/>
      <c r="CU741" s="728"/>
      <c r="CV741" s="728"/>
      <c r="CW741" s="728"/>
      <c r="CX741" s="728"/>
      <c r="CY741" s="728"/>
      <c r="CZ741" s="728"/>
      <c r="DA741" s="728"/>
      <c r="DC741" s="12">
        <f>SUM(V741:AG741)</f>
        <v>0</v>
      </c>
      <c r="DD741" s="12">
        <f>SUM(AH741:AS741)</f>
        <v>0</v>
      </c>
      <c r="DE741" s="12">
        <f>SUM(AT741:BE741)</f>
        <v>0</v>
      </c>
      <c r="DF741" s="12">
        <f>SUM(BF741:BQ741)</f>
        <v>0</v>
      </c>
      <c r="DG741" s="12">
        <f>SUM(BR741:CC741)</f>
        <v>0</v>
      </c>
      <c r="DH741" s="12">
        <f>SUM(CD741:CO741)</f>
        <v>0</v>
      </c>
    </row>
    <row r="742" spans="2:112" hidden="1" outlineLevel="1">
      <c r="F742" s="126" t="s">
        <v>675</v>
      </c>
      <c r="I742" s="609" t="s">
        <v>736</v>
      </c>
      <c r="V742" s="702"/>
      <c r="Y742" s="887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>
        <f t="shared" ref="AS742:CO742" si="756">AS778+AS812+AS847</f>
        <v>0</v>
      </c>
      <c r="AT742" s="12">
        <f t="shared" si="756"/>
        <v>0</v>
      </c>
      <c r="AU742" s="12">
        <f t="shared" si="756"/>
        <v>0</v>
      </c>
      <c r="AV742" s="12">
        <f t="shared" si="756"/>
        <v>0</v>
      </c>
      <c r="AW742" s="12">
        <f t="shared" si="756"/>
        <v>0</v>
      </c>
      <c r="AX742" s="12">
        <f t="shared" si="756"/>
        <v>0</v>
      </c>
      <c r="AY742" s="12">
        <f t="shared" si="756"/>
        <v>0</v>
      </c>
      <c r="AZ742" s="12">
        <f t="shared" si="756"/>
        <v>0</v>
      </c>
      <c r="BA742" s="12">
        <f t="shared" si="756"/>
        <v>0</v>
      </c>
      <c r="BB742" s="12">
        <f t="shared" si="756"/>
        <v>0</v>
      </c>
      <c r="BC742" s="12">
        <f t="shared" si="756"/>
        <v>0</v>
      </c>
      <c r="BD742" s="12">
        <f t="shared" si="756"/>
        <v>0</v>
      </c>
      <c r="BE742" s="12">
        <f t="shared" si="756"/>
        <v>0</v>
      </c>
      <c r="BF742" s="12">
        <f t="shared" si="756"/>
        <v>0</v>
      </c>
      <c r="BG742" s="12">
        <f t="shared" si="756"/>
        <v>0</v>
      </c>
      <c r="BH742" s="12">
        <f t="shared" si="756"/>
        <v>0</v>
      </c>
      <c r="BI742" s="12">
        <f t="shared" si="756"/>
        <v>0</v>
      </c>
      <c r="BJ742" s="12">
        <f t="shared" si="756"/>
        <v>0</v>
      </c>
      <c r="BK742" s="12">
        <f t="shared" si="756"/>
        <v>0</v>
      </c>
      <c r="BL742" s="12">
        <f t="shared" si="756"/>
        <v>0</v>
      </c>
      <c r="BM742" s="12">
        <f t="shared" si="756"/>
        <v>0</v>
      </c>
      <c r="BN742" s="12">
        <f t="shared" si="756"/>
        <v>0</v>
      </c>
      <c r="BO742" s="12">
        <f t="shared" si="756"/>
        <v>0</v>
      </c>
      <c r="BP742" s="12">
        <f t="shared" si="756"/>
        <v>0</v>
      </c>
      <c r="BQ742" s="12">
        <f t="shared" si="756"/>
        <v>0</v>
      </c>
      <c r="BR742" s="12">
        <f t="shared" si="756"/>
        <v>0</v>
      </c>
      <c r="BS742" s="12">
        <f t="shared" si="756"/>
        <v>0</v>
      </c>
      <c r="BT742" s="12">
        <f t="shared" si="756"/>
        <v>0</v>
      </c>
      <c r="BU742" s="12">
        <f t="shared" si="756"/>
        <v>0</v>
      </c>
      <c r="BV742" s="12">
        <f t="shared" si="756"/>
        <v>0</v>
      </c>
      <c r="BW742" s="12">
        <f t="shared" si="756"/>
        <v>0</v>
      </c>
      <c r="BX742" s="12">
        <f t="shared" si="756"/>
        <v>0</v>
      </c>
      <c r="BY742" s="12">
        <f t="shared" si="756"/>
        <v>0</v>
      </c>
      <c r="BZ742" s="12">
        <f t="shared" si="756"/>
        <v>0</v>
      </c>
      <c r="CA742" s="12">
        <f t="shared" si="756"/>
        <v>0</v>
      </c>
      <c r="CB742" s="12">
        <f t="shared" si="756"/>
        <v>0</v>
      </c>
      <c r="CC742" s="12">
        <f t="shared" si="756"/>
        <v>0</v>
      </c>
      <c r="CD742" s="12">
        <f t="shared" si="756"/>
        <v>0</v>
      </c>
      <c r="CE742" s="12">
        <f t="shared" si="756"/>
        <v>0</v>
      </c>
      <c r="CF742" s="12">
        <f t="shared" si="756"/>
        <v>0</v>
      </c>
      <c r="CG742" s="12">
        <f t="shared" si="756"/>
        <v>0</v>
      </c>
      <c r="CH742" s="12">
        <f t="shared" si="756"/>
        <v>0</v>
      </c>
      <c r="CI742" s="12">
        <f t="shared" si="756"/>
        <v>0</v>
      </c>
      <c r="CJ742" s="12">
        <f t="shared" si="756"/>
        <v>0</v>
      </c>
      <c r="CK742" s="12">
        <f t="shared" si="756"/>
        <v>0</v>
      </c>
      <c r="CL742" s="12">
        <f t="shared" si="756"/>
        <v>0</v>
      </c>
      <c r="CM742" s="12">
        <f t="shared" si="756"/>
        <v>0</v>
      </c>
      <c r="CN742" s="12">
        <f t="shared" si="756"/>
        <v>0</v>
      </c>
      <c r="CO742" s="12">
        <f t="shared" si="756"/>
        <v>0</v>
      </c>
      <c r="CP742" s="12"/>
      <c r="CQ742" s="12"/>
      <c r="CR742" s="12"/>
      <c r="CS742" s="12"/>
      <c r="CT742" s="12"/>
      <c r="CU742" s="12"/>
      <c r="CV742" s="12"/>
      <c r="CW742" s="12"/>
      <c r="CX742" s="12"/>
      <c r="CY742" s="12"/>
      <c r="CZ742" s="12"/>
      <c r="DA742" s="12"/>
      <c r="DC742" s="14">
        <f t="shared" si="754"/>
        <v>0</v>
      </c>
      <c r="DD742" s="12">
        <f t="shared" si="746"/>
        <v>0</v>
      </c>
      <c r="DE742" s="12">
        <f t="shared" si="747"/>
        <v>0</v>
      </c>
      <c r="DF742" s="12">
        <f t="shared" si="750"/>
        <v>0</v>
      </c>
      <c r="DG742" s="12">
        <f t="shared" si="748"/>
        <v>0</v>
      </c>
      <c r="DH742" s="12">
        <f t="shared" si="749"/>
        <v>0</v>
      </c>
    </row>
    <row r="743" spans="2:112" s="887" customFormat="1" hidden="1" outlineLevel="1">
      <c r="B743" s="126"/>
      <c r="E743" s="720" t="s">
        <v>820</v>
      </c>
      <c r="H743" s="965"/>
      <c r="I743" s="609" t="s">
        <v>736</v>
      </c>
      <c r="J743" s="965"/>
      <c r="K743" s="965"/>
      <c r="L743" s="965"/>
      <c r="M743" s="965"/>
      <c r="V743" s="126"/>
      <c r="W743" s="126"/>
      <c r="X743" s="126"/>
      <c r="Y743" s="696"/>
      <c r="AA743" s="126"/>
      <c r="AB743" s="126"/>
      <c r="AC743" s="126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>
        <f t="shared" ref="AS743:CO743" si="757">AS717+AS733+AS734</f>
        <v>0</v>
      </c>
      <c r="AT743" s="12">
        <f t="shared" si="757"/>
        <v>0</v>
      </c>
      <c r="AU743" s="12">
        <f t="shared" si="757"/>
        <v>0</v>
      </c>
      <c r="AV743" s="12">
        <f t="shared" si="757"/>
        <v>0</v>
      </c>
      <c r="AW743" s="12">
        <f t="shared" si="757"/>
        <v>0</v>
      </c>
      <c r="AX743" s="12">
        <f t="shared" si="757"/>
        <v>0</v>
      </c>
      <c r="AY743" s="12">
        <f t="shared" si="757"/>
        <v>0</v>
      </c>
      <c r="AZ743" s="12">
        <f t="shared" si="757"/>
        <v>0</v>
      </c>
      <c r="BA743" s="12">
        <f t="shared" si="757"/>
        <v>0</v>
      </c>
      <c r="BB743" s="12">
        <f t="shared" si="757"/>
        <v>0</v>
      </c>
      <c r="BC743" s="12">
        <f t="shared" si="757"/>
        <v>0</v>
      </c>
      <c r="BD743" s="12">
        <f t="shared" si="757"/>
        <v>0</v>
      </c>
      <c r="BE743" s="12">
        <f t="shared" si="757"/>
        <v>0</v>
      </c>
      <c r="BF743" s="12">
        <f t="shared" si="757"/>
        <v>0</v>
      </c>
      <c r="BG743" s="12">
        <f t="shared" si="757"/>
        <v>0</v>
      </c>
      <c r="BH743" s="12">
        <f t="shared" si="757"/>
        <v>0</v>
      </c>
      <c r="BI743" s="12">
        <f t="shared" si="757"/>
        <v>0</v>
      </c>
      <c r="BJ743" s="12">
        <f t="shared" si="757"/>
        <v>0</v>
      </c>
      <c r="BK743" s="12">
        <f t="shared" si="757"/>
        <v>0</v>
      </c>
      <c r="BL743" s="12">
        <f t="shared" si="757"/>
        <v>0</v>
      </c>
      <c r="BM743" s="12">
        <f t="shared" si="757"/>
        <v>0</v>
      </c>
      <c r="BN743" s="12">
        <f t="shared" si="757"/>
        <v>0</v>
      </c>
      <c r="BO743" s="12">
        <f t="shared" si="757"/>
        <v>0</v>
      </c>
      <c r="BP743" s="12">
        <f t="shared" si="757"/>
        <v>0</v>
      </c>
      <c r="BQ743" s="12">
        <f t="shared" si="757"/>
        <v>0</v>
      </c>
      <c r="BR743" s="12">
        <f t="shared" si="757"/>
        <v>0</v>
      </c>
      <c r="BS743" s="12">
        <f t="shared" si="757"/>
        <v>0</v>
      </c>
      <c r="BT743" s="12">
        <f t="shared" si="757"/>
        <v>0</v>
      </c>
      <c r="BU743" s="12">
        <f t="shared" si="757"/>
        <v>0</v>
      </c>
      <c r="BV743" s="12">
        <f t="shared" si="757"/>
        <v>0</v>
      </c>
      <c r="BW743" s="12">
        <f t="shared" si="757"/>
        <v>0</v>
      </c>
      <c r="BX743" s="12">
        <f t="shared" si="757"/>
        <v>0</v>
      </c>
      <c r="BY743" s="12">
        <f t="shared" si="757"/>
        <v>0</v>
      </c>
      <c r="BZ743" s="12">
        <f t="shared" si="757"/>
        <v>0</v>
      </c>
      <c r="CA743" s="12">
        <f t="shared" si="757"/>
        <v>0</v>
      </c>
      <c r="CB743" s="12">
        <f t="shared" si="757"/>
        <v>0</v>
      </c>
      <c r="CC743" s="12">
        <f t="shared" si="757"/>
        <v>0</v>
      </c>
      <c r="CD743" s="12">
        <f t="shared" si="757"/>
        <v>0</v>
      </c>
      <c r="CE743" s="12">
        <f t="shared" si="757"/>
        <v>0</v>
      </c>
      <c r="CF743" s="12">
        <f t="shared" si="757"/>
        <v>0</v>
      </c>
      <c r="CG743" s="12">
        <f t="shared" si="757"/>
        <v>0</v>
      </c>
      <c r="CH743" s="12">
        <f t="shared" si="757"/>
        <v>0</v>
      </c>
      <c r="CI743" s="12">
        <f t="shared" si="757"/>
        <v>0</v>
      </c>
      <c r="CJ743" s="12">
        <f t="shared" si="757"/>
        <v>0</v>
      </c>
      <c r="CK743" s="12">
        <f t="shared" si="757"/>
        <v>0</v>
      </c>
      <c r="CL743" s="12">
        <f t="shared" si="757"/>
        <v>0</v>
      </c>
      <c r="CM743" s="12">
        <f t="shared" si="757"/>
        <v>0</v>
      </c>
      <c r="CN743" s="12">
        <f t="shared" si="757"/>
        <v>0</v>
      </c>
      <c r="CO743" s="12">
        <f t="shared" si="757"/>
        <v>0</v>
      </c>
      <c r="CP743" s="12"/>
      <c r="CQ743" s="12"/>
      <c r="CR743" s="12"/>
      <c r="CS743" s="12"/>
      <c r="CT743" s="12"/>
      <c r="CU743" s="12"/>
      <c r="CV743" s="12"/>
      <c r="CW743" s="12"/>
      <c r="CX743" s="12"/>
      <c r="CY743" s="12"/>
      <c r="CZ743" s="12"/>
      <c r="DA743" s="12"/>
      <c r="DC743" s="14">
        <f t="shared" si="754"/>
        <v>0</v>
      </c>
      <c r="DD743" s="14">
        <f t="shared" si="746"/>
        <v>0</v>
      </c>
      <c r="DE743" s="14">
        <f t="shared" si="747"/>
        <v>0</v>
      </c>
      <c r="DF743" s="14">
        <f t="shared" si="750"/>
        <v>0</v>
      </c>
      <c r="DG743" s="14">
        <f t="shared" si="748"/>
        <v>0</v>
      </c>
      <c r="DH743" s="14">
        <f t="shared" si="749"/>
        <v>0</v>
      </c>
    </row>
    <row r="744" spans="2:112" s="887" customFormat="1" hidden="1" outlineLevel="1">
      <c r="B744" s="126"/>
      <c r="E744" s="229"/>
      <c r="F744" s="230" t="s">
        <v>423</v>
      </c>
      <c r="G744" s="126"/>
      <c r="H744" s="609"/>
      <c r="I744" s="609" t="s">
        <v>736</v>
      </c>
      <c r="J744" s="965"/>
      <c r="K744" s="965"/>
      <c r="L744" s="965"/>
      <c r="M744" s="965"/>
      <c r="V744" s="126"/>
      <c r="W744" s="126"/>
      <c r="X744" s="126"/>
      <c r="Y744" s="696"/>
      <c r="AA744" s="126"/>
      <c r="AB744" s="126"/>
      <c r="AC744" s="126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  <c r="CM744" s="12"/>
      <c r="CN744" s="12"/>
      <c r="CO744" s="12"/>
      <c r="CP744" s="12"/>
      <c r="CQ744" s="12"/>
      <c r="CR744" s="12"/>
      <c r="CS744" s="12"/>
      <c r="CT744" s="12"/>
      <c r="CU744" s="12"/>
      <c r="CV744" s="12"/>
      <c r="CW744" s="12"/>
      <c r="CX744" s="12"/>
      <c r="CY744" s="12"/>
      <c r="CZ744" s="12"/>
      <c r="DA744" s="12"/>
      <c r="DC744" s="14"/>
      <c r="DD744" s="14"/>
      <c r="DE744" s="14"/>
      <c r="DF744" s="14"/>
      <c r="DG744" s="14"/>
      <c r="DH744" s="14"/>
    </row>
    <row r="745" spans="2:112" s="887" customFormat="1" hidden="1" outlineLevel="1">
      <c r="B745" s="126"/>
      <c r="E745" s="229"/>
      <c r="F745" s="230" t="s">
        <v>810</v>
      </c>
      <c r="G745" s="126"/>
      <c r="H745" s="609"/>
      <c r="I745" s="609" t="s">
        <v>736</v>
      </c>
      <c r="J745" s="965"/>
      <c r="K745" s="965"/>
      <c r="L745" s="965"/>
      <c r="M745" s="965"/>
      <c r="V745" s="126"/>
      <c r="W745" s="126"/>
      <c r="X745" s="126"/>
      <c r="Y745" s="696"/>
      <c r="AA745" s="126"/>
      <c r="AB745" s="126"/>
      <c r="AC745" s="126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C745" s="14"/>
      <c r="DD745" s="14"/>
      <c r="DE745" s="14"/>
      <c r="DF745" s="14"/>
      <c r="DG745" s="14"/>
      <c r="DH745" s="14"/>
    </row>
    <row r="746" spans="2:112" s="887" customFormat="1" hidden="1" outlineLevel="1">
      <c r="B746" s="126"/>
      <c r="E746" s="230" t="s">
        <v>811</v>
      </c>
      <c r="F746" s="229"/>
      <c r="G746" s="126"/>
      <c r="H746" s="609"/>
      <c r="I746" s="609" t="s">
        <v>812</v>
      </c>
      <c r="J746" s="965"/>
      <c r="K746" s="965"/>
      <c r="L746" s="965"/>
      <c r="M746" s="965"/>
      <c r="V746" s="126"/>
      <c r="W746" s="126"/>
      <c r="X746" s="126"/>
      <c r="Y746" s="696"/>
      <c r="AA746" s="126"/>
      <c r="AB746" s="126"/>
      <c r="AC746" s="126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C746" s="14"/>
      <c r="DD746" s="14"/>
      <c r="DE746" s="14"/>
      <c r="DF746" s="14"/>
      <c r="DG746" s="14"/>
      <c r="DH746" s="14"/>
    </row>
    <row r="747" spans="2:112" s="887" customFormat="1" hidden="1" outlineLevel="1">
      <c r="B747" s="126"/>
      <c r="E747" s="230" t="s">
        <v>813</v>
      </c>
      <c r="F747" s="229"/>
      <c r="G747" s="126"/>
      <c r="H747" s="609"/>
      <c r="I747" s="609" t="s">
        <v>812</v>
      </c>
      <c r="J747" s="965"/>
      <c r="K747" s="965"/>
      <c r="L747" s="965"/>
      <c r="M747" s="965"/>
      <c r="V747" s="126"/>
      <c r="W747" s="126"/>
      <c r="X747" s="126"/>
      <c r="Y747" s="696"/>
      <c r="AA747" s="126"/>
      <c r="AB747" s="126"/>
      <c r="AC747" s="126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  <c r="CU747" s="12"/>
      <c r="CV747" s="12"/>
      <c r="CW747" s="12"/>
      <c r="CX747" s="12"/>
      <c r="CY747" s="12"/>
      <c r="CZ747" s="12"/>
      <c r="DA747" s="12"/>
      <c r="DC747" s="14"/>
      <c r="DD747" s="14"/>
      <c r="DE747" s="14"/>
      <c r="DF747" s="14"/>
      <c r="DG747" s="14"/>
      <c r="DH747" s="14"/>
    </row>
    <row r="748" spans="2:112" hidden="1" outlineLevel="1">
      <c r="E748" s="230" t="s">
        <v>815</v>
      </c>
      <c r="F748" s="229"/>
      <c r="I748" s="609" t="s">
        <v>812</v>
      </c>
      <c r="V748" s="698"/>
      <c r="X748" s="696"/>
      <c r="AA748" s="702"/>
      <c r="AC748" s="702"/>
    </row>
    <row r="749" spans="2:112" hidden="1" outlineLevel="1">
      <c r="F749" s="698"/>
      <c r="V749" s="698"/>
      <c r="X749" s="696"/>
      <c r="AA749" s="702"/>
      <c r="AC749" s="702"/>
    </row>
    <row r="750" spans="2:112" hidden="1" outlineLevel="1">
      <c r="E750" s="698" t="s">
        <v>858</v>
      </c>
      <c r="O750" s="706"/>
      <c r="P750" s="706"/>
      <c r="Q750" s="706"/>
      <c r="R750" s="706"/>
      <c r="S750" s="706"/>
      <c r="T750" s="706"/>
      <c r="U750" s="706"/>
      <c r="V750" s="706"/>
      <c r="W750" s="706"/>
      <c r="Z750" s="731"/>
      <c r="AA750" s="731"/>
      <c r="AB750" s="731"/>
      <c r="AC750" s="731"/>
      <c r="AD750" s="731"/>
      <c r="AE750" s="731"/>
      <c r="AF750" s="731"/>
      <c r="AG750" s="731"/>
      <c r="AH750" s="731"/>
      <c r="AI750" s="731"/>
      <c r="AJ750" s="731"/>
      <c r="AK750" s="731"/>
      <c r="AL750" s="731"/>
      <c r="AM750" s="731"/>
      <c r="AN750" s="731"/>
      <c r="AO750" s="731"/>
      <c r="AP750" s="731"/>
      <c r="AQ750" s="731"/>
      <c r="AR750" s="731"/>
      <c r="AS750" s="731"/>
      <c r="AT750" s="731"/>
      <c r="AU750" s="731"/>
      <c r="AV750" s="731"/>
      <c r="AW750" s="731"/>
      <c r="AX750" s="731"/>
      <c r="AY750" s="731"/>
      <c r="AZ750" s="731"/>
      <c r="BA750" s="731"/>
      <c r="BB750" s="731"/>
      <c r="BC750" s="731"/>
      <c r="BD750" s="731"/>
      <c r="BE750" s="731"/>
      <c r="BF750" s="731"/>
      <c r="BG750" s="731"/>
      <c r="BH750" s="731"/>
      <c r="BI750" s="731"/>
      <c r="BJ750" s="731"/>
      <c r="BK750" s="731"/>
      <c r="BL750" s="731"/>
      <c r="BM750" s="731"/>
      <c r="BN750" s="731"/>
      <c r="BO750" s="731"/>
      <c r="BP750" s="731"/>
      <c r="BQ750" s="731"/>
      <c r="BR750" s="731"/>
      <c r="BS750" s="731"/>
      <c r="BT750" s="731"/>
      <c r="BU750" s="731"/>
      <c r="BV750" s="731"/>
      <c r="BW750" s="731"/>
      <c r="BX750" s="731"/>
      <c r="BY750" s="731"/>
      <c r="BZ750" s="731"/>
      <c r="CA750" s="731"/>
      <c r="CB750" s="731"/>
      <c r="CC750" s="731"/>
      <c r="CD750" s="731"/>
      <c r="CE750" s="731"/>
      <c r="CF750" s="731"/>
      <c r="CG750" s="731"/>
      <c r="CH750" s="731"/>
      <c r="CI750" s="731"/>
      <c r="CJ750" s="731"/>
      <c r="CK750" s="731"/>
      <c r="CL750" s="731"/>
      <c r="CM750" s="731"/>
      <c r="CN750" s="731"/>
      <c r="CO750" s="731"/>
      <c r="CP750" s="731"/>
      <c r="CQ750" s="731"/>
      <c r="CR750" s="731"/>
      <c r="CS750" s="731"/>
      <c r="CT750" s="731"/>
      <c r="CU750" s="731"/>
      <c r="CV750" s="731"/>
      <c r="CW750" s="731"/>
      <c r="CX750" s="731"/>
      <c r="CY750" s="731"/>
      <c r="CZ750" s="731"/>
      <c r="DA750" s="731"/>
      <c r="DB750" s="697"/>
    </row>
    <row r="751" spans="2:112" hidden="1" outlineLevel="2">
      <c r="E751" s="698"/>
      <c r="F751" s="126" t="s">
        <v>817</v>
      </c>
      <c r="I751" s="699" t="s">
        <v>743</v>
      </c>
      <c r="X751" s="698"/>
      <c r="AH751" s="758"/>
      <c r="AI751" s="758"/>
      <c r="AJ751" s="886"/>
      <c r="AK751" s="886"/>
      <c r="AL751" s="886"/>
      <c r="AM751" s="886"/>
      <c r="AN751" s="886"/>
      <c r="AO751" s="886"/>
      <c r="AP751" s="886"/>
      <c r="AQ751" s="886"/>
      <c r="AR751" s="886"/>
      <c r="AS751" s="754">
        <v>0</v>
      </c>
      <c r="AT751" s="886">
        <f>AS751+($BE$751-$AS$751)/12</f>
        <v>0</v>
      </c>
      <c r="AU751" s="886">
        <f t="shared" ref="AU751:BD751" si="758">AT751+($BE$751-$AS$751)/12</f>
        <v>0</v>
      </c>
      <c r="AV751" s="886">
        <f t="shared" si="758"/>
        <v>0</v>
      </c>
      <c r="AW751" s="886">
        <f t="shared" si="758"/>
        <v>0</v>
      </c>
      <c r="AX751" s="886">
        <f t="shared" si="758"/>
        <v>0</v>
      </c>
      <c r="AY751" s="886">
        <f t="shared" si="758"/>
        <v>0</v>
      </c>
      <c r="AZ751" s="886">
        <f t="shared" si="758"/>
        <v>0</v>
      </c>
      <c r="BA751" s="886">
        <f t="shared" si="758"/>
        <v>0</v>
      </c>
      <c r="BB751" s="886">
        <f t="shared" si="758"/>
        <v>0</v>
      </c>
      <c r="BC751" s="886">
        <f t="shared" si="758"/>
        <v>0</v>
      </c>
      <c r="BD751" s="886">
        <f t="shared" si="758"/>
        <v>0</v>
      </c>
      <c r="BE751" s="900"/>
      <c r="BF751" s="886">
        <f>BE751+($BQ$751-$BE$751)/12</f>
        <v>0</v>
      </c>
      <c r="BG751" s="886">
        <f t="shared" ref="BG751:BP751" si="759">BF751+($BQ$751-$BE$751)/12</f>
        <v>0</v>
      </c>
      <c r="BH751" s="886">
        <f t="shared" si="759"/>
        <v>0</v>
      </c>
      <c r="BI751" s="886">
        <f t="shared" si="759"/>
        <v>0</v>
      </c>
      <c r="BJ751" s="886">
        <f t="shared" si="759"/>
        <v>0</v>
      </c>
      <c r="BK751" s="886">
        <f t="shared" si="759"/>
        <v>0</v>
      </c>
      <c r="BL751" s="886">
        <f t="shared" si="759"/>
        <v>0</v>
      </c>
      <c r="BM751" s="886">
        <f t="shared" si="759"/>
        <v>0</v>
      </c>
      <c r="BN751" s="886">
        <f t="shared" si="759"/>
        <v>0</v>
      </c>
      <c r="BO751" s="886">
        <f t="shared" si="759"/>
        <v>0</v>
      </c>
      <c r="BP751" s="886">
        <f t="shared" si="759"/>
        <v>0</v>
      </c>
      <c r="BQ751" s="900">
        <f>BE751*1.4</f>
        <v>0</v>
      </c>
      <c r="BR751" s="886">
        <f>BQ751+($CC$751-$BQ$751)/12</f>
        <v>0</v>
      </c>
      <c r="BS751" s="886">
        <f t="shared" ref="BS751:CB751" si="760">BR751+($CC$751-$BQ$751)/12</f>
        <v>0</v>
      </c>
      <c r="BT751" s="886">
        <f t="shared" si="760"/>
        <v>0</v>
      </c>
      <c r="BU751" s="886">
        <f t="shared" si="760"/>
        <v>0</v>
      </c>
      <c r="BV751" s="886">
        <f t="shared" si="760"/>
        <v>0</v>
      </c>
      <c r="BW751" s="886">
        <f t="shared" si="760"/>
        <v>0</v>
      </c>
      <c r="BX751" s="886">
        <f t="shared" si="760"/>
        <v>0</v>
      </c>
      <c r="BY751" s="886">
        <f t="shared" si="760"/>
        <v>0</v>
      </c>
      <c r="BZ751" s="886">
        <f t="shared" si="760"/>
        <v>0</v>
      </c>
      <c r="CA751" s="886">
        <f t="shared" si="760"/>
        <v>0</v>
      </c>
      <c r="CB751" s="886">
        <f t="shared" si="760"/>
        <v>0</v>
      </c>
      <c r="CC751" s="900">
        <f>BQ751*1.4</f>
        <v>0</v>
      </c>
      <c r="CD751" s="886">
        <f>CC751+($CO$751-$CC$751)/12</f>
        <v>0</v>
      </c>
      <c r="CE751" s="886">
        <f t="shared" ref="CE751:CN751" si="761">CD751+($CO$751-$CC$751)/12</f>
        <v>0</v>
      </c>
      <c r="CF751" s="886">
        <f t="shared" si="761"/>
        <v>0</v>
      </c>
      <c r="CG751" s="886">
        <f t="shared" si="761"/>
        <v>0</v>
      </c>
      <c r="CH751" s="886">
        <f t="shared" si="761"/>
        <v>0</v>
      </c>
      <c r="CI751" s="886">
        <f t="shared" si="761"/>
        <v>0</v>
      </c>
      <c r="CJ751" s="886">
        <f t="shared" si="761"/>
        <v>0</v>
      </c>
      <c r="CK751" s="886">
        <f t="shared" si="761"/>
        <v>0</v>
      </c>
      <c r="CL751" s="886">
        <f t="shared" si="761"/>
        <v>0</v>
      </c>
      <c r="CM751" s="886">
        <f t="shared" si="761"/>
        <v>0</v>
      </c>
      <c r="CN751" s="886">
        <f t="shared" si="761"/>
        <v>0</v>
      </c>
      <c r="CO751" s="900">
        <f>CC751*1.4</f>
        <v>0</v>
      </c>
      <c r="CP751" s="886"/>
      <c r="CQ751" s="886"/>
      <c r="CR751" s="886"/>
      <c r="CS751" s="886"/>
      <c r="CT751" s="886"/>
      <c r="CU751" s="886"/>
      <c r="CV751" s="886"/>
      <c r="CW751" s="886"/>
      <c r="CX751" s="886"/>
      <c r="CY751" s="886"/>
      <c r="CZ751" s="886"/>
      <c r="DA751" s="900"/>
      <c r="DB751" s="12"/>
      <c r="DC751" s="12">
        <f>SUM(V751:AG751)</f>
        <v>0</v>
      </c>
      <c r="DD751" s="12">
        <f>SUM(AH751:AS751)</f>
        <v>0</v>
      </c>
      <c r="DE751" s="12">
        <f>SUM(AT751:BE751)</f>
        <v>0</v>
      </c>
      <c r="DF751" s="12">
        <f>SUM(BF751:BQ751)</f>
        <v>0</v>
      </c>
      <c r="DG751" s="12">
        <f>SUM(BR751:CC751)</f>
        <v>0</v>
      </c>
      <c r="DH751" s="12">
        <f>SUM(CD751:CO751)</f>
        <v>0</v>
      </c>
    </row>
    <row r="752" spans="2:112" hidden="1" outlineLevel="2">
      <c r="E752" s="698"/>
      <c r="F752" s="126" t="s">
        <v>823</v>
      </c>
      <c r="I752" s="699" t="s">
        <v>743</v>
      </c>
      <c r="X752" s="698"/>
      <c r="AH752" s="758"/>
      <c r="AI752" s="758"/>
      <c r="AJ752" s="886"/>
      <c r="AK752" s="886"/>
      <c r="AL752" s="886"/>
      <c r="AM752" s="886"/>
      <c r="AN752" s="886"/>
      <c r="AO752" s="886"/>
      <c r="AP752" s="886"/>
      <c r="AQ752" s="886"/>
      <c r="AR752" s="886"/>
      <c r="AS752" s="886">
        <f t="shared" ref="AS752:CO752" si="762">AS751+AR752-AM751</f>
        <v>0</v>
      </c>
      <c r="AT752" s="886">
        <f t="shared" si="762"/>
        <v>0</v>
      </c>
      <c r="AU752" s="886">
        <f t="shared" si="762"/>
        <v>0</v>
      </c>
      <c r="AV752" s="886">
        <f t="shared" si="762"/>
        <v>0</v>
      </c>
      <c r="AW752" s="886">
        <f t="shared" si="762"/>
        <v>0</v>
      </c>
      <c r="AX752" s="886">
        <f t="shared" si="762"/>
        <v>0</v>
      </c>
      <c r="AY752" s="886">
        <f t="shared" si="762"/>
        <v>0</v>
      </c>
      <c r="AZ752" s="886">
        <f t="shared" si="762"/>
        <v>0</v>
      </c>
      <c r="BA752" s="886">
        <f t="shared" si="762"/>
        <v>0</v>
      </c>
      <c r="BB752" s="886">
        <f t="shared" si="762"/>
        <v>0</v>
      </c>
      <c r="BC752" s="886">
        <f t="shared" si="762"/>
        <v>0</v>
      </c>
      <c r="BD752" s="886">
        <f t="shared" si="762"/>
        <v>0</v>
      </c>
      <c r="BE752" s="886">
        <f t="shared" si="762"/>
        <v>0</v>
      </c>
      <c r="BF752" s="886">
        <f t="shared" si="762"/>
        <v>0</v>
      </c>
      <c r="BG752" s="886">
        <f t="shared" si="762"/>
        <v>0</v>
      </c>
      <c r="BH752" s="886">
        <f t="shared" si="762"/>
        <v>0</v>
      </c>
      <c r="BI752" s="886">
        <f t="shared" si="762"/>
        <v>0</v>
      </c>
      <c r="BJ752" s="886">
        <f t="shared" si="762"/>
        <v>0</v>
      </c>
      <c r="BK752" s="886">
        <f t="shared" si="762"/>
        <v>0</v>
      </c>
      <c r="BL752" s="886">
        <f t="shared" si="762"/>
        <v>0</v>
      </c>
      <c r="BM752" s="886">
        <f t="shared" si="762"/>
        <v>0</v>
      </c>
      <c r="BN752" s="886">
        <f t="shared" si="762"/>
        <v>0</v>
      </c>
      <c r="BO752" s="886">
        <f t="shared" si="762"/>
        <v>0</v>
      </c>
      <c r="BP752" s="886">
        <f t="shared" si="762"/>
        <v>0</v>
      </c>
      <c r="BQ752" s="886">
        <f t="shared" si="762"/>
        <v>0</v>
      </c>
      <c r="BR752" s="886">
        <f t="shared" si="762"/>
        <v>0</v>
      </c>
      <c r="BS752" s="886">
        <f t="shared" si="762"/>
        <v>0</v>
      </c>
      <c r="BT752" s="886">
        <f t="shared" si="762"/>
        <v>0</v>
      </c>
      <c r="BU752" s="886">
        <f t="shared" si="762"/>
        <v>0</v>
      </c>
      <c r="BV752" s="886">
        <f t="shared" si="762"/>
        <v>0</v>
      </c>
      <c r="BW752" s="886">
        <f t="shared" si="762"/>
        <v>0</v>
      </c>
      <c r="BX752" s="886">
        <f t="shared" si="762"/>
        <v>0</v>
      </c>
      <c r="BY752" s="886">
        <f t="shared" si="762"/>
        <v>0</v>
      </c>
      <c r="BZ752" s="886">
        <f t="shared" si="762"/>
        <v>0</v>
      </c>
      <c r="CA752" s="886">
        <f t="shared" si="762"/>
        <v>0</v>
      </c>
      <c r="CB752" s="886">
        <f t="shared" si="762"/>
        <v>0</v>
      </c>
      <c r="CC752" s="886">
        <f t="shared" si="762"/>
        <v>0</v>
      </c>
      <c r="CD752" s="886">
        <f t="shared" si="762"/>
        <v>0</v>
      </c>
      <c r="CE752" s="886">
        <f t="shared" si="762"/>
        <v>0</v>
      </c>
      <c r="CF752" s="886">
        <f t="shared" si="762"/>
        <v>0</v>
      </c>
      <c r="CG752" s="886">
        <f t="shared" si="762"/>
        <v>0</v>
      </c>
      <c r="CH752" s="886">
        <f t="shared" si="762"/>
        <v>0</v>
      </c>
      <c r="CI752" s="886">
        <f t="shared" si="762"/>
        <v>0</v>
      </c>
      <c r="CJ752" s="886">
        <f t="shared" si="762"/>
        <v>0</v>
      </c>
      <c r="CK752" s="886">
        <f t="shared" si="762"/>
        <v>0</v>
      </c>
      <c r="CL752" s="886">
        <f t="shared" si="762"/>
        <v>0</v>
      </c>
      <c r="CM752" s="886">
        <f t="shared" si="762"/>
        <v>0</v>
      </c>
      <c r="CN752" s="886">
        <f t="shared" si="762"/>
        <v>0</v>
      </c>
      <c r="CO752" s="886">
        <f t="shared" si="762"/>
        <v>0</v>
      </c>
      <c r="CP752" s="886"/>
      <c r="CQ752" s="886"/>
      <c r="CR752" s="886"/>
      <c r="CS752" s="886"/>
      <c r="CT752" s="886"/>
      <c r="CU752" s="886"/>
      <c r="CV752" s="886"/>
      <c r="CW752" s="886"/>
      <c r="CX752" s="886"/>
      <c r="CY752" s="886"/>
      <c r="CZ752" s="886"/>
      <c r="DA752" s="886"/>
      <c r="DB752" s="12"/>
      <c r="DC752" s="11">
        <f>AG752</f>
        <v>0</v>
      </c>
      <c r="DD752" s="11">
        <f>AS752</f>
        <v>0</v>
      </c>
      <c r="DE752" s="11">
        <f>BE752</f>
        <v>0</v>
      </c>
      <c r="DF752" s="11">
        <f>BQ752</f>
        <v>0</v>
      </c>
      <c r="DG752" s="11">
        <f>CC752</f>
        <v>0</v>
      </c>
      <c r="DH752" s="11">
        <f>CO752</f>
        <v>0</v>
      </c>
    </row>
    <row r="753" spans="2:112" hidden="1" outlineLevel="2">
      <c r="E753" s="698"/>
      <c r="F753" s="758" t="s">
        <v>795</v>
      </c>
      <c r="I753" s="609" t="s">
        <v>736</v>
      </c>
      <c r="X753" s="698"/>
      <c r="Y753" s="12"/>
      <c r="AH753" s="11"/>
      <c r="AI753" s="11"/>
      <c r="AJ753" s="757"/>
      <c r="AK753" s="72"/>
      <c r="AL753" s="72"/>
      <c r="AM753" s="72"/>
      <c r="AN753" s="72"/>
      <c r="AO753" s="72"/>
      <c r="AP753" s="72"/>
      <c r="AQ753" s="72"/>
      <c r="AR753" s="72"/>
      <c r="AS753" s="72"/>
      <c r="AT753" s="757">
        <v>0</v>
      </c>
      <c r="AU753" s="757">
        <v>0</v>
      </c>
      <c r="AV753" s="757">
        <v>0</v>
      </c>
      <c r="AW753" s="757">
        <v>0</v>
      </c>
      <c r="AX753" s="757">
        <v>0</v>
      </c>
      <c r="AY753" s="757">
        <v>0</v>
      </c>
      <c r="AZ753" s="757">
        <v>0</v>
      </c>
      <c r="BA753" s="757">
        <v>0</v>
      </c>
      <c r="BB753" s="757">
        <v>0</v>
      </c>
      <c r="BC753" s="757">
        <v>0</v>
      </c>
      <c r="BD753" s="757">
        <v>0</v>
      </c>
      <c r="BE753" s="757">
        <v>0</v>
      </c>
      <c r="BF753" s="757">
        <v>0</v>
      </c>
      <c r="BG753" s="757">
        <v>0</v>
      </c>
      <c r="BH753" s="757">
        <v>0</v>
      </c>
      <c r="BI753" s="757">
        <v>0</v>
      </c>
      <c r="BJ753" s="757">
        <v>0</v>
      </c>
      <c r="BK753" s="757">
        <v>0</v>
      </c>
      <c r="BL753" s="757">
        <v>0</v>
      </c>
      <c r="BM753" s="757">
        <v>0</v>
      </c>
      <c r="BN753" s="757">
        <v>0</v>
      </c>
      <c r="BO753" s="757">
        <v>0</v>
      </c>
      <c r="BP753" s="757">
        <v>0</v>
      </c>
      <c r="BQ753" s="757">
        <v>0</v>
      </c>
      <c r="BR753" s="757">
        <v>0</v>
      </c>
      <c r="BS753" s="757">
        <v>0</v>
      </c>
      <c r="BT753" s="757">
        <v>0</v>
      </c>
      <c r="BU753" s="757">
        <v>0</v>
      </c>
      <c r="BV753" s="757">
        <v>0</v>
      </c>
      <c r="BW753" s="757">
        <v>0</v>
      </c>
      <c r="BX753" s="757">
        <v>0</v>
      </c>
      <c r="BY753" s="757">
        <v>0</v>
      </c>
      <c r="BZ753" s="757">
        <v>0</v>
      </c>
      <c r="CA753" s="757">
        <v>0</v>
      </c>
      <c r="CB753" s="757">
        <v>0</v>
      </c>
      <c r="CC753" s="757">
        <v>0</v>
      </c>
      <c r="CD753" s="757">
        <v>0</v>
      </c>
      <c r="CE753" s="757">
        <v>0</v>
      </c>
      <c r="CF753" s="757">
        <v>0</v>
      </c>
      <c r="CG753" s="757">
        <v>0</v>
      </c>
      <c r="CH753" s="757">
        <v>0</v>
      </c>
      <c r="CI753" s="757">
        <v>0</v>
      </c>
      <c r="CJ753" s="757">
        <v>0</v>
      </c>
      <c r="CK753" s="757">
        <v>0</v>
      </c>
      <c r="CL753" s="757">
        <v>0</v>
      </c>
      <c r="CM753" s="757">
        <v>0</v>
      </c>
      <c r="CN753" s="757">
        <v>0</v>
      </c>
      <c r="CO753" s="757">
        <v>0</v>
      </c>
      <c r="CP753" s="757"/>
      <c r="CQ753" s="757"/>
      <c r="CR753" s="757"/>
      <c r="CS753" s="757"/>
      <c r="CT753" s="757"/>
      <c r="CU753" s="757"/>
      <c r="CV753" s="757"/>
      <c r="CW753" s="757"/>
      <c r="CX753" s="757"/>
      <c r="CY753" s="757"/>
      <c r="CZ753" s="757"/>
      <c r="DA753" s="757"/>
      <c r="DB753" s="11"/>
      <c r="DC753" s="12">
        <f>SUM(V753:AG753)</f>
        <v>0</v>
      </c>
      <c r="DD753" s="12">
        <f>SUM(AH753:AS753)</f>
        <v>0</v>
      </c>
      <c r="DE753" s="12">
        <f>SUM(AT753:BE753)</f>
        <v>0</v>
      </c>
      <c r="DF753" s="12">
        <f>SUM(BF753:BQ753)</f>
        <v>0</v>
      </c>
      <c r="DG753" s="12">
        <f>SUM(BR753:CC753)</f>
        <v>0</v>
      </c>
      <c r="DH753" s="12">
        <f>SUM(CD753:CO753)</f>
        <v>0</v>
      </c>
    </row>
    <row r="754" spans="2:112" hidden="1" outlineLevel="2">
      <c r="E754" s="698"/>
      <c r="F754" s="758" t="s">
        <v>796</v>
      </c>
      <c r="I754" s="609" t="s">
        <v>736</v>
      </c>
      <c r="X754" s="698"/>
      <c r="Y754" s="12"/>
      <c r="AH754" s="758"/>
      <c r="AI754" s="758"/>
      <c r="AJ754" s="886"/>
      <c r="AK754" s="886"/>
      <c r="AL754" s="886"/>
      <c r="AM754" s="886"/>
      <c r="AN754" s="886"/>
      <c r="AO754" s="886"/>
      <c r="AP754" s="886"/>
      <c r="AQ754" s="886"/>
      <c r="AR754" s="886"/>
      <c r="AS754" s="756">
        <v>0</v>
      </c>
      <c r="AT754" s="756">
        <v>0</v>
      </c>
      <c r="AU754" s="756">
        <v>0</v>
      </c>
      <c r="AV754" s="756">
        <v>0</v>
      </c>
      <c r="AW754" s="756">
        <v>0</v>
      </c>
      <c r="AX754" s="756">
        <v>0</v>
      </c>
      <c r="AY754" s="756">
        <v>0</v>
      </c>
      <c r="AZ754" s="756">
        <v>0</v>
      </c>
      <c r="BA754" s="756">
        <v>0</v>
      </c>
      <c r="BB754" s="756">
        <v>0</v>
      </c>
      <c r="BC754" s="756">
        <v>0</v>
      </c>
      <c r="BD754" s="756">
        <v>0</v>
      </c>
      <c r="BE754" s="756">
        <v>0</v>
      </c>
      <c r="BF754" s="756">
        <v>0</v>
      </c>
      <c r="BG754" s="756">
        <v>0</v>
      </c>
      <c r="BH754" s="756">
        <v>0</v>
      </c>
      <c r="BI754" s="756">
        <v>0</v>
      </c>
      <c r="BJ754" s="756">
        <v>0</v>
      </c>
      <c r="BK754" s="756">
        <v>0</v>
      </c>
      <c r="BL754" s="756">
        <v>0</v>
      </c>
      <c r="BM754" s="756">
        <v>0</v>
      </c>
      <c r="BN754" s="756">
        <v>0</v>
      </c>
      <c r="BO754" s="756">
        <v>0</v>
      </c>
      <c r="BP754" s="756">
        <v>0</v>
      </c>
      <c r="BQ754" s="756">
        <v>0</v>
      </c>
      <c r="BR754" s="756">
        <v>0</v>
      </c>
      <c r="BS754" s="756">
        <v>0</v>
      </c>
      <c r="BT754" s="756">
        <v>0</v>
      </c>
      <c r="BU754" s="756">
        <v>0</v>
      </c>
      <c r="BV754" s="756">
        <v>0</v>
      </c>
      <c r="BW754" s="756">
        <v>0</v>
      </c>
      <c r="BX754" s="756">
        <v>0</v>
      </c>
      <c r="BY754" s="756">
        <v>0</v>
      </c>
      <c r="BZ754" s="756">
        <v>0</v>
      </c>
      <c r="CA754" s="756">
        <v>0</v>
      </c>
      <c r="CB754" s="756">
        <v>0</v>
      </c>
      <c r="CC754" s="756">
        <v>0</v>
      </c>
      <c r="CD754" s="756">
        <v>0</v>
      </c>
      <c r="CE754" s="756">
        <v>0</v>
      </c>
      <c r="CF754" s="756">
        <v>0</v>
      </c>
      <c r="CG754" s="756">
        <v>0</v>
      </c>
      <c r="CH754" s="756">
        <v>0</v>
      </c>
      <c r="CI754" s="756">
        <v>0</v>
      </c>
      <c r="CJ754" s="756">
        <v>0</v>
      </c>
      <c r="CK754" s="756">
        <v>0</v>
      </c>
      <c r="CL754" s="756">
        <v>0</v>
      </c>
      <c r="CM754" s="756">
        <v>0</v>
      </c>
      <c r="CN754" s="756">
        <v>0</v>
      </c>
      <c r="CO754" s="756">
        <v>0</v>
      </c>
      <c r="CP754" s="886"/>
      <c r="CQ754" s="886"/>
      <c r="CR754" s="886"/>
      <c r="CS754" s="886"/>
      <c r="CT754" s="886"/>
      <c r="CU754" s="886"/>
      <c r="CV754" s="886"/>
      <c r="CW754" s="886"/>
      <c r="CX754" s="886"/>
      <c r="CY754" s="886"/>
      <c r="CZ754" s="886"/>
      <c r="DA754" s="886"/>
      <c r="DB754" s="12"/>
      <c r="DC754" s="11">
        <f>AG754</f>
        <v>0</v>
      </c>
      <c r="DD754" s="11">
        <f>AS754</f>
        <v>0</v>
      </c>
      <c r="DE754" s="11">
        <f>BE754</f>
        <v>0</v>
      </c>
      <c r="DF754" s="11">
        <f>BQ754</f>
        <v>0</v>
      </c>
      <c r="DG754" s="11">
        <f>CC754</f>
        <v>0</v>
      </c>
      <c r="DH754" s="11">
        <f>CO754</f>
        <v>0</v>
      </c>
    </row>
    <row r="755" spans="2:112" hidden="1" outlineLevel="2">
      <c r="E755" s="698"/>
      <c r="F755" s="758" t="s">
        <v>215</v>
      </c>
      <c r="I755" s="609" t="s">
        <v>736</v>
      </c>
      <c r="X755" s="698"/>
      <c r="Y755" s="12"/>
      <c r="AH755" s="873"/>
      <c r="AI755" s="873"/>
      <c r="AJ755" s="873"/>
      <c r="AK755" s="873"/>
      <c r="AL755" s="873"/>
      <c r="AM755" s="873"/>
      <c r="AN755" s="873"/>
      <c r="AO755" s="873"/>
      <c r="AP755" s="873"/>
      <c r="AQ755" s="873"/>
      <c r="AR755" s="873"/>
      <c r="AS755" s="873">
        <f t="shared" ref="AS755:CO755" si="763">AS759+AS762</f>
        <v>0</v>
      </c>
      <c r="AT755" s="873">
        <f t="shared" si="763"/>
        <v>0</v>
      </c>
      <c r="AU755" s="873">
        <f t="shared" si="763"/>
        <v>0</v>
      </c>
      <c r="AV755" s="873">
        <f t="shared" si="763"/>
        <v>0</v>
      </c>
      <c r="AW755" s="873">
        <f t="shared" si="763"/>
        <v>0</v>
      </c>
      <c r="AX755" s="873">
        <f t="shared" si="763"/>
        <v>0</v>
      </c>
      <c r="AY755" s="873">
        <f t="shared" si="763"/>
        <v>0</v>
      </c>
      <c r="AZ755" s="873">
        <f t="shared" si="763"/>
        <v>0</v>
      </c>
      <c r="BA755" s="873">
        <f t="shared" si="763"/>
        <v>0</v>
      </c>
      <c r="BB755" s="873">
        <f t="shared" si="763"/>
        <v>0</v>
      </c>
      <c r="BC755" s="873">
        <f t="shared" si="763"/>
        <v>0</v>
      </c>
      <c r="BD755" s="873">
        <f t="shared" si="763"/>
        <v>0</v>
      </c>
      <c r="BE755" s="873">
        <f t="shared" si="763"/>
        <v>0</v>
      </c>
      <c r="BF755" s="873">
        <f t="shared" si="763"/>
        <v>0</v>
      </c>
      <c r="BG755" s="873">
        <f t="shared" si="763"/>
        <v>0</v>
      </c>
      <c r="BH755" s="873">
        <f t="shared" si="763"/>
        <v>0</v>
      </c>
      <c r="BI755" s="873">
        <f t="shared" si="763"/>
        <v>0</v>
      </c>
      <c r="BJ755" s="873">
        <f t="shared" si="763"/>
        <v>0</v>
      </c>
      <c r="BK755" s="873">
        <f t="shared" si="763"/>
        <v>0</v>
      </c>
      <c r="BL755" s="873">
        <f t="shared" si="763"/>
        <v>0</v>
      </c>
      <c r="BM755" s="873">
        <f t="shared" si="763"/>
        <v>0</v>
      </c>
      <c r="BN755" s="873">
        <f t="shared" si="763"/>
        <v>0</v>
      </c>
      <c r="BO755" s="873">
        <f t="shared" si="763"/>
        <v>0</v>
      </c>
      <c r="BP755" s="873">
        <f t="shared" si="763"/>
        <v>0</v>
      </c>
      <c r="BQ755" s="873">
        <f t="shared" si="763"/>
        <v>0</v>
      </c>
      <c r="BR755" s="873">
        <f t="shared" si="763"/>
        <v>0</v>
      </c>
      <c r="BS755" s="873">
        <f t="shared" si="763"/>
        <v>0</v>
      </c>
      <c r="BT755" s="873">
        <f t="shared" si="763"/>
        <v>0</v>
      </c>
      <c r="BU755" s="873">
        <f t="shared" si="763"/>
        <v>0</v>
      </c>
      <c r="BV755" s="873">
        <f t="shared" si="763"/>
        <v>0</v>
      </c>
      <c r="BW755" s="873">
        <f t="shared" si="763"/>
        <v>0</v>
      </c>
      <c r="BX755" s="873">
        <f t="shared" si="763"/>
        <v>0</v>
      </c>
      <c r="BY755" s="873">
        <f t="shared" si="763"/>
        <v>0</v>
      </c>
      <c r="BZ755" s="873">
        <f t="shared" si="763"/>
        <v>0</v>
      </c>
      <c r="CA755" s="873">
        <f t="shared" si="763"/>
        <v>0</v>
      </c>
      <c r="CB755" s="873">
        <f t="shared" si="763"/>
        <v>0</v>
      </c>
      <c r="CC755" s="873">
        <f t="shared" si="763"/>
        <v>0</v>
      </c>
      <c r="CD755" s="873">
        <f t="shared" si="763"/>
        <v>0</v>
      </c>
      <c r="CE755" s="873">
        <f t="shared" si="763"/>
        <v>0</v>
      </c>
      <c r="CF755" s="873">
        <f t="shared" si="763"/>
        <v>0</v>
      </c>
      <c r="CG755" s="873">
        <f t="shared" si="763"/>
        <v>0</v>
      </c>
      <c r="CH755" s="873">
        <f t="shared" si="763"/>
        <v>0</v>
      </c>
      <c r="CI755" s="873">
        <f t="shared" si="763"/>
        <v>0</v>
      </c>
      <c r="CJ755" s="873">
        <f t="shared" si="763"/>
        <v>0</v>
      </c>
      <c r="CK755" s="873">
        <f t="shared" si="763"/>
        <v>0</v>
      </c>
      <c r="CL755" s="873">
        <f t="shared" si="763"/>
        <v>0</v>
      </c>
      <c r="CM755" s="873">
        <f t="shared" si="763"/>
        <v>0</v>
      </c>
      <c r="CN755" s="873">
        <f t="shared" si="763"/>
        <v>0</v>
      </c>
      <c r="CO755" s="873">
        <f t="shared" si="763"/>
        <v>0</v>
      </c>
      <c r="CP755" s="873"/>
      <c r="CQ755" s="873"/>
      <c r="CR755" s="873"/>
      <c r="CS755" s="873"/>
      <c r="CT755" s="873"/>
      <c r="CU755" s="873"/>
      <c r="CV755" s="873"/>
      <c r="CW755" s="873"/>
      <c r="CX755" s="873"/>
      <c r="CY755" s="873"/>
      <c r="CZ755" s="873"/>
      <c r="DA755" s="873"/>
      <c r="DB755" s="873"/>
      <c r="DC755" s="12">
        <f t="shared" ref="DC755:DC770" si="764">SUM(V755:AG755)</f>
        <v>0</v>
      </c>
      <c r="DD755" s="12">
        <f>SUM(AH755:AS755)</f>
        <v>0</v>
      </c>
      <c r="DE755" s="12">
        <f>SUM(AT755:BE755)</f>
        <v>0</v>
      </c>
      <c r="DF755" s="12">
        <f t="shared" ref="DF755:DF770" si="765">SUM(BF755:BQ755)</f>
        <v>0</v>
      </c>
      <c r="DG755" s="12">
        <f>SUM(BR755:CC755)</f>
        <v>0</v>
      </c>
      <c r="DH755" s="12">
        <f>SUM(CD755:CO755)</f>
        <v>0</v>
      </c>
    </row>
    <row r="756" spans="2:112" hidden="1" outlineLevel="2">
      <c r="E756" s="698"/>
      <c r="F756" s="758" t="s">
        <v>99</v>
      </c>
      <c r="I756" s="609" t="s">
        <v>736</v>
      </c>
      <c r="X756" s="698"/>
      <c r="Y756" s="12"/>
      <c r="AH756" s="873"/>
      <c r="AI756" s="873"/>
      <c r="AJ756" s="873"/>
      <c r="AK756" s="873"/>
      <c r="AL756" s="873"/>
      <c r="AM756" s="873"/>
      <c r="AN756" s="873"/>
      <c r="AO756" s="873"/>
      <c r="AP756" s="873"/>
      <c r="AQ756" s="873"/>
      <c r="AR756" s="873"/>
      <c r="AS756" s="873">
        <f t="shared" ref="AS756:CO756" si="766">AS760+AS768</f>
        <v>0</v>
      </c>
      <c r="AT756" s="873">
        <f t="shared" si="766"/>
        <v>0</v>
      </c>
      <c r="AU756" s="873">
        <f t="shared" si="766"/>
        <v>0</v>
      </c>
      <c r="AV756" s="873">
        <f t="shared" si="766"/>
        <v>0</v>
      </c>
      <c r="AW756" s="873">
        <f t="shared" si="766"/>
        <v>0</v>
      </c>
      <c r="AX756" s="873">
        <f t="shared" si="766"/>
        <v>0</v>
      </c>
      <c r="AY756" s="873">
        <f t="shared" si="766"/>
        <v>0</v>
      </c>
      <c r="AZ756" s="873">
        <f t="shared" si="766"/>
        <v>0</v>
      </c>
      <c r="BA756" s="873">
        <f t="shared" si="766"/>
        <v>0</v>
      </c>
      <c r="BB756" s="873">
        <f t="shared" si="766"/>
        <v>0</v>
      </c>
      <c r="BC756" s="873">
        <f t="shared" si="766"/>
        <v>0</v>
      </c>
      <c r="BD756" s="873">
        <f t="shared" si="766"/>
        <v>0</v>
      </c>
      <c r="BE756" s="873">
        <f t="shared" si="766"/>
        <v>0</v>
      </c>
      <c r="BF756" s="873">
        <f t="shared" si="766"/>
        <v>0</v>
      </c>
      <c r="BG756" s="873">
        <f t="shared" si="766"/>
        <v>0</v>
      </c>
      <c r="BH756" s="873">
        <f t="shared" si="766"/>
        <v>0</v>
      </c>
      <c r="BI756" s="873">
        <f t="shared" si="766"/>
        <v>0</v>
      </c>
      <c r="BJ756" s="873">
        <f t="shared" si="766"/>
        <v>0</v>
      </c>
      <c r="BK756" s="873">
        <f t="shared" si="766"/>
        <v>0</v>
      </c>
      <c r="BL756" s="873">
        <f t="shared" si="766"/>
        <v>0</v>
      </c>
      <c r="BM756" s="873">
        <f t="shared" si="766"/>
        <v>0</v>
      </c>
      <c r="BN756" s="873">
        <f t="shared" si="766"/>
        <v>0</v>
      </c>
      <c r="BO756" s="873">
        <f t="shared" si="766"/>
        <v>0</v>
      </c>
      <c r="BP756" s="873">
        <f t="shared" si="766"/>
        <v>0</v>
      </c>
      <c r="BQ756" s="873">
        <f t="shared" si="766"/>
        <v>0</v>
      </c>
      <c r="BR756" s="873">
        <f t="shared" si="766"/>
        <v>0</v>
      </c>
      <c r="BS756" s="873">
        <f t="shared" si="766"/>
        <v>0</v>
      </c>
      <c r="BT756" s="873">
        <f t="shared" si="766"/>
        <v>0</v>
      </c>
      <c r="BU756" s="873">
        <f t="shared" si="766"/>
        <v>0</v>
      </c>
      <c r="BV756" s="873">
        <f t="shared" si="766"/>
        <v>0</v>
      </c>
      <c r="BW756" s="873">
        <f t="shared" si="766"/>
        <v>0</v>
      </c>
      <c r="BX756" s="873">
        <f t="shared" si="766"/>
        <v>0</v>
      </c>
      <c r="BY756" s="873">
        <f t="shared" si="766"/>
        <v>0</v>
      </c>
      <c r="BZ756" s="873">
        <f t="shared" si="766"/>
        <v>0</v>
      </c>
      <c r="CA756" s="873">
        <f t="shared" si="766"/>
        <v>0</v>
      </c>
      <c r="CB756" s="873">
        <f t="shared" si="766"/>
        <v>0</v>
      </c>
      <c r="CC756" s="873">
        <f t="shared" si="766"/>
        <v>0</v>
      </c>
      <c r="CD756" s="873">
        <f t="shared" si="766"/>
        <v>0</v>
      </c>
      <c r="CE756" s="873">
        <f t="shared" si="766"/>
        <v>0</v>
      </c>
      <c r="CF756" s="873">
        <f t="shared" si="766"/>
        <v>0</v>
      </c>
      <c r="CG756" s="873">
        <f t="shared" si="766"/>
        <v>0</v>
      </c>
      <c r="CH756" s="873">
        <f t="shared" si="766"/>
        <v>0</v>
      </c>
      <c r="CI756" s="873">
        <f t="shared" si="766"/>
        <v>0</v>
      </c>
      <c r="CJ756" s="873">
        <f t="shared" si="766"/>
        <v>0</v>
      </c>
      <c r="CK756" s="873">
        <f t="shared" si="766"/>
        <v>0</v>
      </c>
      <c r="CL756" s="873">
        <f t="shared" si="766"/>
        <v>0</v>
      </c>
      <c r="CM756" s="873">
        <f t="shared" si="766"/>
        <v>0</v>
      </c>
      <c r="CN756" s="873">
        <f t="shared" si="766"/>
        <v>0</v>
      </c>
      <c r="CO756" s="873">
        <f t="shared" si="766"/>
        <v>0</v>
      </c>
      <c r="CP756" s="873"/>
      <c r="CQ756" s="873"/>
      <c r="CR756" s="873"/>
      <c r="CS756" s="873"/>
      <c r="CT756" s="873"/>
      <c r="CU756" s="873"/>
      <c r="CV756" s="873"/>
      <c r="CW756" s="873"/>
      <c r="CX756" s="873"/>
      <c r="CY756" s="873"/>
      <c r="CZ756" s="873"/>
      <c r="DA756" s="873"/>
      <c r="DB756" s="873"/>
      <c r="DC756" s="12">
        <f t="shared" si="764"/>
        <v>0</v>
      </c>
      <c r="DD756" s="12">
        <f t="shared" ref="DD756:DD764" si="767">SUM(AH756:AS756)</f>
        <v>0</v>
      </c>
      <c r="DE756" s="12">
        <f t="shared" ref="DE756:DE764" si="768">SUM(AT756:BE756)</f>
        <v>0</v>
      </c>
      <c r="DF756" s="12">
        <f t="shared" si="765"/>
        <v>0</v>
      </c>
      <c r="DG756" s="12">
        <f t="shared" ref="DG756:DG764" si="769">SUM(BR756:CC756)</f>
        <v>0</v>
      </c>
      <c r="DH756" s="12">
        <f t="shared" ref="DH756:DH764" si="770">SUM(CD756:CO756)</f>
        <v>0</v>
      </c>
    </row>
    <row r="757" spans="2:112" s="698" customFormat="1" hidden="1" outlineLevel="2">
      <c r="B757" s="126"/>
      <c r="E757" s="698" t="s">
        <v>217</v>
      </c>
      <c r="H757" s="703"/>
      <c r="I757" s="609" t="s">
        <v>736</v>
      </c>
      <c r="J757" s="703"/>
      <c r="K757" s="703"/>
      <c r="L757" s="703"/>
      <c r="M757" s="703"/>
      <c r="AH757" s="969"/>
      <c r="AI757" s="969"/>
      <c r="AJ757" s="969"/>
      <c r="AK757" s="969"/>
      <c r="AL757" s="969"/>
      <c r="AM757" s="969"/>
      <c r="AN757" s="969"/>
      <c r="AO757" s="969"/>
      <c r="AP757" s="969"/>
      <c r="AQ757" s="969"/>
      <c r="AR757" s="969"/>
      <c r="AS757" s="969">
        <f t="shared" ref="AS757:CO757" si="771">AS758+AS761</f>
        <v>0</v>
      </c>
      <c r="AT757" s="969">
        <f t="shared" si="771"/>
        <v>0</v>
      </c>
      <c r="AU757" s="969">
        <f t="shared" si="771"/>
        <v>0</v>
      </c>
      <c r="AV757" s="969">
        <f t="shared" si="771"/>
        <v>0</v>
      </c>
      <c r="AW757" s="969">
        <f t="shared" si="771"/>
        <v>0</v>
      </c>
      <c r="AX757" s="969">
        <f t="shared" si="771"/>
        <v>0</v>
      </c>
      <c r="AY757" s="969">
        <f t="shared" si="771"/>
        <v>0</v>
      </c>
      <c r="AZ757" s="969">
        <f t="shared" si="771"/>
        <v>0</v>
      </c>
      <c r="BA757" s="969">
        <f t="shared" si="771"/>
        <v>0</v>
      </c>
      <c r="BB757" s="969">
        <f t="shared" si="771"/>
        <v>0</v>
      </c>
      <c r="BC757" s="969">
        <f t="shared" si="771"/>
        <v>0</v>
      </c>
      <c r="BD757" s="969">
        <f t="shared" si="771"/>
        <v>0</v>
      </c>
      <c r="BE757" s="969">
        <f t="shared" si="771"/>
        <v>0</v>
      </c>
      <c r="BF757" s="969">
        <f t="shared" si="771"/>
        <v>0</v>
      </c>
      <c r="BG757" s="969">
        <f t="shared" si="771"/>
        <v>0</v>
      </c>
      <c r="BH757" s="969">
        <f t="shared" si="771"/>
        <v>0</v>
      </c>
      <c r="BI757" s="969">
        <f t="shared" si="771"/>
        <v>0</v>
      </c>
      <c r="BJ757" s="969">
        <f t="shared" si="771"/>
        <v>0</v>
      </c>
      <c r="BK757" s="969">
        <f t="shared" si="771"/>
        <v>0</v>
      </c>
      <c r="BL757" s="969">
        <f t="shared" si="771"/>
        <v>0</v>
      </c>
      <c r="BM757" s="969">
        <f t="shared" si="771"/>
        <v>0</v>
      </c>
      <c r="BN757" s="969">
        <f t="shared" si="771"/>
        <v>0</v>
      </c>
      <c r="BO757" s="969">
        <f t="shared" si="771"/>
        <v>0</v>
      </c>
      <c r="BP757" s="969">
        <f t="shared" si="771"/>
        <v>0</v>
      </c>
      <c r="BQ757" s="969">
        <f t="shared" si="771"/>
        <v>0</v>
      </c>
      <c r="BR757" s="969">
        <f t="shared" si="771"/>
        <v>0</v>
      </c>
      <c r="BS757" s="969">
        <f t="shared" si="771"/>
        <v>0</v>
      </c>
      <c r="BT757" s="969">
        <f t="shared" si="771"/>
        <v>0</v>
      </c>
      <c r="BU757" s="969">
        <f t="shared" si="771"/>
        <v>0</v>
      </c>
      <c r="BV757" s="969">
        <f t="shared" si="771"/>
        <v>0</v>
      </c>
      <c r="BW757" s="969">
        <f t="shared" si="771"/>
        <v>0</v>
      </c>
      <c r="BX757" s="969">
        <f t="shared" si="771"/>
        <v>0</v>
      </c>
      <c r="BY757" s="969">
        <f t="shared" si="771"/>
        <v>0</v>
      </c>
      <c r="BZ757" s="969">
        <f t="shared" si="771"/>
        <v>0</v>
      </c>
      <c r="CA757" s="969">
        <f t="shared" si="771"/>
        <v>0</v>
      </c>
      <c r="CB757" s="969">
        <f t="shared" si="771"/>
        <v>0</v>
      </c>
      <c r="CC757" s="969">
        <f t="shared" si="771"/>
        <v>0</v>
      </c>
      <c r="CD757" s="969">
        <f t="shared" si="771"/>
        <v>0</v>
      </c>
      <c r="CE757" s="969">
        <f t="shared" si="771"/>
        <v>0</v>
      </c>
      <c r="CF757" s="969">
        <f t="shared" si="771"/>
        <v>0</v>
      </c>
      <c r="CG757" s="969">
        <f t="shared" si="771"/>
        <v>0</v>
      </c>
      <c r="CH757" s="969">
        <f t="shared" si="771"/>
        <v>0</v>
      </c>
      <c r="CI757" s="969">
        <f t="shared" si="771"/>
        <v>0</v>
      </c>
      <c r="CJ757" s="969">
        <f t="shared" si="771"/>
        <v>0</v>
      </c>
      <c r="CK757" s="969">
        <f t="shared" si="771"/>
        <v>0</v>
      </c>
      <c r="CL757" s="969">
        <f t="shared" si="771"/>
        <v>0</v>
      </c>
      <c r="CM757" s="969">
        <f t="shared" si="771"/>
        <v>0</v>
      </c>
      <c r="CN757" s="969">
        <f t="shared" si="771"/>
        <v>0</v>
      </c>
      <c r="CO757" s="969">
        <f t="shared" si="771"/>
        <v>0</v>
      </c>
      <c r="CP757" s="969"/>
      <c r="CQ757" s="969"/>
      <c r="CR757" s="969"/>
      <c r="CS757" s="969"/>
      <c r="CT757" s="969"/>
      <c r="CU757" s="969"/>
      <c r="CV757" s="969"/>
      <c r="CW757" s="969"/>
      <c r="CX757" s="969"/>
      <c r="CY757" s="969"/>
      <c r="CZ757" s="969"/>
      <c r="DA757" s="969"/>
      <c r="DB757" s="969"/>
      <c r="DC757" s="14">
        <f t="shared" si="764"/>
        <v>0</v>
      </c>
      <c r="DD757" s="14">
        <f t="shared" si="767"/>
        <v>0</v>
      </c>
      <c r="DE757" s="14">
        <f t="shared" si="768"/>
        <v>0</v>
      </c>
      <c r="DF757" s="14">
        <f t="shared" si="765"/>
        <v>0</v>
      </c>
      <c r="DG757" s="14">
        <f t="shared" si="769"/>
        <v>0</v>
      </c>
      <c r="DH757" s="14">
        <f t="shared" si="770"/>
        <v>0</v>
      </c>
    </row>
    <row r="758" spans="2:112" hidden="1" outlineLevel="2">
      <c r="E758" s="698"/>
      <c r="F758" s="704" t="s">
        <v>218</v>
      </c>
      <c r="G758" s="698"/>
      <c r="I758" s="609" t="s">
        <v>736</v>
      </c>
      <c r="X758" s="704"/>
      <c r="Y758" s="14"/>
      <c r="AH758" s="851"/>
      <c r="AI758" s="851"/>
      <c r="AJ758" s="851"/>
      <c r="AK758" s="851"/>
      <c r="AL758" s="851"/>
      <c r="AM758" s="851"/>
      <c r="AN758" s="851"/>
      <c r="AO758" s="851"/>
      <c r="AP758" s="851"/>
      <c r="AQ758" s="851"/>
      <c r="AR758" s="851"/>
      <c r="AS758" s="851">
        <f t="shared" ref="AS758:CO758" si="772">AS759-AS760</f>
        <v>0</v>
      </c>
      <c r="AT758" s="851">
        <f t="shared" si="772"/>
        <v>0</v>
      </c>
      <c r="AU758" s="851">
        <f t="shared" si="772"/>
        <v>0</v>
      </c>
      <c r="AV758" s="851">
        <f t="shared" si="772"/>
        <v>0</v>
      </c>
      <c r="AW758" s="851">
        <f t="shared" si="772"/>
        <v>0</v>
      </c>
      <c r="AX758" s="851">
        <f t="shared" si="772"/>
        <v>0</v>
      </c>
      <c r="AY758" s="851">
        <f t="shared" si="772"/>
        <v>0</v>
      </c>
      <c r="AZ758" s="851">
        <f t="shared" si="772"/>
        <v>0</v>
      </c>
      <c r="BA758" s="851">
        <f t="shared" si="772"/>
        <v>0</v>
      </c>
      <c r="BB758" s="851">
        <f t="shared" si="772"/>
        <v>0</v>
      </c>
      <c r="BC758" s="851">
        <f t="shared" si="772"/>
        <v>0</v>
      </c>
      <c r="BD758" s="851">
        <f t="shared" si="772"/>
        <v>0</v>
      </c>
      <c r="BE758" s="851">
        <f t="shared" si="772"/>
        <v>0</v>
      </c>
      <c r="BF758" s="851">
        <f t="shared" si="772"/>
        <v>0</v>
      </c>
      <c r="BG758" s="851">
        <f t="shared" si="772"/>
        <v>0</v>
      </c>
      <c r="BH758" s="851">
        <f t="shared" si="772"/>
        <v>0</v>
      </c>
      <c r="BI758" s="851">
        <f t="shared" si="772"/>
        <v>0</v>
      </c>
      <c r="BJ758" s="851">
        <f t="shared" si="772"/>
        <v>0</v>
      </c>
      <c r="BK758" s="851">
        <f t="shared" si="772"/>
        <v>0</v>
      </c>
      <c r="BL758" s="851">
        <f t="shared" si="772"/>
        <v>0</v>
      </c>
      <c r="BM758" s="851">
        <f t="shared" si="772"/>
        <v>0</v>
      </c>
      <c r="BN758" s="851">
        <f t="shared" si="772"/>
        <v>0</v>
      </c>
      <c r="BO758" s="851">
        <f t="shared" si="772"/>
        <v>0</v>
      </c>
      <c r="BP758" s="851">
        <f t="shared" si="772"/>
        <v>0</v>
      </c>
      <c r="BQ758" s="851">
        <f t="shared" si="772"/>
        <v>0</v>
      </c>
      <c r="BR758" s="851">
        <f t="shared" si="772"/>
        <v>0</v>
      </c>
      <c r="BS758" s="851">
        <f t="shared" si="772"/>
        <v>0</v>
      </c>
      <c r="BT758" s="851">
        <f t="shared" si="772"/>
        <v>0</v>
      </c>
      <c r="BU758" s="851">
        <f t="shared" si="772"/>
        <v>0</v>
      </c>
      <c r="BV758" s="851">
        <f t="shared" si="772"/>
        <v>0</v>
      </c>
      <c r="BW758" s="851">
        <f t="shared" si="772"/>
        <v>0</v>
      </c>
      <c r="BX758" s="851">
        <f t="shared" si="772"/>
        <v>0</v>
      </c>
      <c r="BY758" s="851">
        <f t="shared" si="772"/>
        <v>0</v>
      </c>
      <c r="BZ758" s="851">
        <f t="shared" si="772"/>
        <v>0</v>
      </c>
      <c r="CA758" s="851">
        <f t="shared" si="772"/>
        <v>0</v>
      </c>
      <c r="CB758" s="851">
        <f t="shared" si="772"/>
        <v>0</v>
      </c>
      <c r="CC758" s="851">
        <f t="shared" si="772"/>
        <v>0</v>
      </c>
      <c r="CD758" s="851">
        <f t="shared" si="772"/>
        <v>0</v>
      </c>
      <c r="CE758" s="851">
        <f t="shared" si="772"/>
        <v>0</v>
      </c>
      <c r="CF758" s="851">
        <f t="shared" si="772"/>
        <v>0</v>
      </c>
      <c r="CG758" s="851">
        <f t="shared" si="772"/>
        <v>0</v>
      </c>
      <c r="CH758" s="851">
        <f t="shared" si="772"/>
        <v>0</v>
      </c>
      <c r="CI758" s="851">
        <f t="shared" si="772"/>
        <v>0</v>
      </c>
      <c r="CJ758" s="851">
        <f t="shared" si="772"/>
        <v>0</v>
      </c>
      <c r="CK758" s="851">
        <f t="shared" si="772"/>
        <v>0</v>
      </c>
      <c r="CL758" s="851">
        <f t="shared" si="772"/>
        <v>0</v>
      </c>
      <c r="CM758" s="851">
        <f t="shared" si="772"/>
        <v>0</v>
      </c>
      <c r="CN758" s="851">
        <f t="shared" si="772"/>
        <v>0</v>
      </c>
      <c r="CO758" s="851">
        <f t="shared" si="772"/>
        <v>0</v>
      </c>
      <c r="CP758" s="851"/>
      <c r="CQ758" s="851"/>
      <c r="CR758" s="851"/>
      <c r="CS758" s="851"/>
      <c r="CT758" s="851"/>
      <c r="CU758" s="851"/>
      <c r="CV758" s="851"/>
      <c r="CW758" s="851"/>
      <c r="CX758" s="851"/>
      <c r="CY758" s="851"/>
      <c r="CZ758" s="851"/>
      <c r="DA758" s="851"/>
      <c r="DB758" s="851"/>
      <c r="DC758" s="12">
        <f t="shared" si="764"/>
        <v>0</v>
      </c>
      <c r="DD758" s="12">
        <f t="shared" si="767"/>
        <v>0</v>
      </c>
      <c r="DE758" s="12">
        <f t="shared" si="768"/>
        <v>0</v>
      </c>
      <c r="DF758" s="12">
        <f t="shared" si="765"/>
        <v>0</v>
      </c>
      <c r="DG758" s="12">
        <f t="shared" si="769"/>
        <v>0</v>
      </c>
      <c r="DH758" s="12">
        <f t="shared" si="770"/>
        <v>0</v>
      </c>
    </row>
    <row r="759" spans="2:112" hidden="1" outlineLevel="2">
      <c r="F759" s="126" t="s">
        <v>737</v>
      </c>
      <c r="I759" s="609" t="s">
        <v>736</v>
      </c>
      <c r="AH759" s="887"/>
      <c r="AI759" s="887"/>
      <c r="AJ759" s="716"/>
      <c r="AK759" s="710"/>
      <c r="AL759" s="710"/>
      <c r="AM759" s="710"/>
      <c r="AN759" s="710"/>
      <c r="AO759" s="710"/>
      <c r="AP759" s="710"/>
      <c r="AQ759" s="710"/>
      <c r="AR759" s="710"/>
      <c r="AS759" s="710">
        <v>0</v>
      </c>
      <c r="AT759" s="710">
        <v>0</v>
      </c>
      <c r="AU759" s="710">
        <v>0</v>
      </c>
      <c r="AV759" s="710">
        <v>0</v>
      </c>
      <c r="AW759" s="710">
        <v>0</v>
      </c>
      <c r="AX759" s="710">
        <v>0</v>
      </c>
      <c r="AY759" s="710">
        <v>0</v>
      </c>
      <c r="AZ759" s="710">
        <v>0</v>
      </c>
      <c r="BA759" s="710">
        <v>0</v>
      </c>
      <c r="BB759" s="710">
        <v>0</v>
      </c>
      <c r="BC759" s="710">
        <v>0</v>
      </c>
      <c r="BD759" s="710">
        <v>0</v>
      </c>
      <c r="BE759" s="710">
        <v>0</v>
      </c>
      <c r="BF759" s="710">
        <v>0</v>
      </c>
      <c r="BG759" s="710">
        <v>0</v>
      </c>
      <c r="BH759" s="710">
        <v>0</v>
      </c>
      <c r="BI759" s="710">
        <v>0</v>
      </c>
      <c r="BJ759" s="710">
        <v>0</v>
      </c>
      <c r="BK759" s="710">
        <v>0</v>
      </c>
      <c r="BL759" s="710">
        <v>0</v>
      </c>
      <c r="BM759" s="710">
        <v>0</v>
      </c>
      <c r="BN759" s="710">
        <v>0</v>
      </c>
      <c r="BO759" s="710">
        <v>0</v>
      </c>
      <c r="BP759" s="710">
        <v>0</v>
      </c>
      <c r="BQ759" s="710">
        <v>0</v>
      </c>
      <c r="BR759" s="710">
        <v>0</v>
      </c>
      <c r="BS759" s="710">
        <v>0</v>
      </c>
      <c r="BT759" s="710">
        <v>0</v>
      </c>
      <c r="BU759" s="710">
        <v>0</v>
      </c>
      <c r="BV759" s="710">
        <v>0</v>
      </c>
      <c r="BW759" s="710">
        <v>0</v>
      </c>
      <c r="BX759" s="710">
        <v>0</v>
      </c>
      <c r="BY759" s="710">
        <v>0</v>
      </c>
      <c r="BZ759" s="710">
        <v>0</v>
      </c>
      <c r="CA759" s="710">
        <v>0</v>
      </c>
      <c r="CB759" s="710">
        <v>0</v>
      </c>
      <c r="CC759" s="710">
        <v>0</v>
      </c>
      <c r="CD759" s="710">
        <v>0</v>
      </c>
      <c r="CE759" s="710">
        <v>0</v>
      </c>
      <c r="CF759" s="710">
        <v>0</v>
      </c>
      <c r="CG759" s="710">
        <v>0</v>
      </c>
      <c r="CH759" s="710">
        <v>0</v>
      </c>
      <c r="CI759" s="710">
        <v>0</v>
      </c>
      <c r="CJ759" s="710">
        <v>0</v>
      </c>
      <c r="CK759" s="710">
        <v>0</v>
      </c>
      <c r="CL759" s="710">
        <v>0</v>
      </c>
      <c r="CM759" s="710">
        <v>0</v>
      </c>
      <c r="CN759" s="710">
        <v>0</v>
      </c>
      <c r="CO759" s="710">
        <v>0</v>
      </c>
      <c r="CP759" s="710"/>
      <c r="CQ759" s="710"/>
      <c r="CR759" s="710"/>
      <c r="CS759" s="710"/>
      <c r="CT759" s="710"/>
      <c r="CU759" s="710"/>
      <c r="CV759" s="710"/>
      <c r="CW759" s="710"/>
      <c r="CX759" s="710"/>
      <c r="CY759" s="710"/>
      <c r="CZ759" s="710"/>
      <c r="DA759" s="710"/>
      <c r="DB759" s="702"/>
      <c r="DC759" s="12">
        <f t="shared" si="764"/>
        <v>0</v>
      </c>
      <c r="DD759" s="12">
        <f t="shared" si="767"/>
        <v>0</v>
      </c>
      <c r="DE759" s="12">
        <f t="shared" si="768"/>
        <v>0</v>
      </c>
      <c r="DF759" s="12">
        <f t="shared" si="765"/>
        <v>0</v>
      </c>
      <c r="DG759" s="12">
        <f t="shared" si="769"/>
        <v>0</v>
      </c>
      <c r="DH759" s="12">
        <f t="shared" si="770"/>
        <v>0</v>
      </c>
    </row>
    <row r="760" spans="2:112" hidden="1" outlineLevel="2">
      <c r="F760" s="126" t="s">
        <v>798</v>
      </c>
      <c r="I760" s="609" t="s">
        <v>736</v>
      </c>
      <c r="AH760" s="887"/>
      <c r="AI760" s="887"/>
      <c r="AJ760" s="716"/>
      <c r="AK760" s="710"/>
      <c r="AL760" s="710"/>
      <c r="AM760" s="710"/>
      <c r="AN760" s="710"/>
      <c r="AO760" s="710"/>
      <c r="AP760" s="710"/>
      <c r="AQ760" s="710"/>
      <c r="AR760" s="710"/>
      <c r="AS760" s="710">
        <v>0</v>
      </c>
      <c r="AT760" s="710">
        <v>0</v>
      </c>
      <c r="AU760" s="710">
        <v>0</v>
      </c>
      <c r="AV760" s="710">
        <v>0</v>
      </c>
      <c r="AW760" s="710">
        <v>0</v>
      </c>
      <c r="AX760" s="710">
        <v>0</v>
      </c>
      <c r="AY760" s="710">
        <v>0</v>
      </c>
      <c r="AZ760" s="710">
        <v>0</v>
      </c>
      <c r="BA760" s="710">
        <v>0</v>
      </c>
      <c r="BB760" s="710">
        <v>0</v>
      </c>
      <c r="BC760" s="710">
        <v>0</v>
      </c>
      <c r="BD760" s="710">
        <v>0</v>
      </c>
      <c r="BE760" s="710">
        <v>0</v>
      </c>
      <c r="BF760" s="710">
        <v>0</v>
      </c>
      <c r="BG760" s="710">
        <v>0</v>
      </c>
      <c r="BH760" s="710">
        <v>0</v>
      </c>
      <c r="BI760" s="710">
        <v>0</v>
      </c>
      <c r="BJ760" s="710">
        <v>0</v>
      </c>
      <c r="BK760" s="710">
        <v>0</v>
      </c>
      <c r="BL760" s="710">
        <v>0</v>
      </c>
      <c r="BM760" s="710">
        <v>0</v>
      </c>
      <c r="BN760" s="710">
        <v>0</v>
      </c>
      <c r="BO760" s="710">
        <v>0</v>
      </c>
      <c r="BP760" s="710">
        <v>0</v>
      </c>
      <c r="BQ760" s="710">
        <v>0</v>
      </c>
      <c r="BR760" s="710">
        <v>0</v>
      </c>
      <c r="BS760" s="710">
        <v>0</v>
      </c>
      <c r="BT760" s="710">
        <v>0</v>
      </c>
      <c r="BU760" s="710">
        <v>0</v>
      </c>
      <c r="BV760" s="710">
        <v>0</v>
      </c>
      <c r="BW760" s="710">
        <v>0</v>
      </c>
      <c r="BX760" s="710">
        <v>0</v>
      </c>
      <c r="BY760" s="710">
        <v>0</v>
      </c>
      <c r="BZ760" s="710">
        <v>0</v>
      </c>
      <c r="CA760" s="710">
        <v>0</v>
      </c>
      <c r="CB760" s="710">
        <v>0</v>
      </c>
      <c r="CC760" s="710">
        <v>0</v>
      </c>
      <c r="CD760" s="710">
        <v>0</v>
      </c>
      <c r="CE760" s="710">
        <v>0</v>
      </c>
      <c r="CF760" s="710">
        <v>0</v>
      </c>
      <c r="CG760" s="710">
        <v>0</v>
      </c>
      <c r="CH760" s="710">
        <v>0</v>
      </c>
      <c r="CI760" s="710">
        <v>0</v>
      </c>
      <c r="CJ760" s="710">
        <v>0</v>
      </c>
      <c r="CK760" s="710">
        <v>0</v>
      </c>
      <c r="CL760" s="710">
        <v>0</v>
      </c>
      <c r="CM760" s="710">
        <v>0</v>
      </c>
      <c r="CN760" s="710">
        <v>0</v>
      </c>
      <c r="CO760" s="710">
        <v>0</v>
      </c>
      <c r="CP760" s="710"/>
      <c r="CQ760" s="710"/>
      <c r="CR760" s="710"/>
      <c r="CS760" s="710"/>
      <c r="CT760" s="710"/>
      <c r="CU760" s="710"/>
      <c r="CV760" s="710"/>
      <c r="CW760" s="710"/>
      <c r="CX760" s="710"/>
      <c r="CY760" s="710"/>
      <c r="CZ760" s="710"/>
      <c r="DA760" s="710"/>
      <c r="DB760" s="702"/>
      <c r="DC760" s="704">
        <f t="shared" si="764"/>
        <v>0</v>
      </c>
      <c r="DD760" s="758">
        <f t="shared" si="767"/>
        <v>0</v>
      </c>
      <c r="DE760" s="758">
        <f t="shared" si="768"/>
        <v>0</v>
      </c>
      <c r="DF760" s="758">
        <f t="shared" si="765"/>
        <v>0</v>
      </c>
      <c r="DG760" s="758">
        <f t="shared" si="769"/>
        <v>0</v>
      </c>
      <c r="DH760" s="758">
        <f t="shared" si="770"/>
        <v>0</v>
      </c>
    </row>
    <row r="761" spans="2:112" hidden="1" outlineLevel="2">
      <c r="E761" s="698"/>
      <c r="F761" s="698" t="s">
        <v>830</v>
      </c>
      <c r="G761" s="698"/>
      <c r="I761" s="609" t="s">
        <v>736</v>
      </c>
      <c r="X761" s="698"/>
      <c r="AH761" s="737"/>
      <c r="AI761" s="737"/>
      <c r="AJ761" s="737"/>
      <c r="AK761" s="969"/>
      <c r="AL761" s="969"/>
      <c r="AM761" s="969"/>
      <c r="AN761" s="969"/>
      <c r="AO761" s="969"/>
      <c r="AP761" s="969"/>
      <c r="AQ761" s="969"/>
      <c r="AR761" s="969"/>
      <c r="AS761" s="969">
        <f t="shared" ref="AS761:CO761" si="773">SUM(AS762:AS768)</f>
        <v>0</v>
      </c>
      <c r="AT761" s="969">
        <f t="shared" si="773"/>
        <v>0</v>
      </c>
      <c r="AU761" s="969">
        <f t="shared" si="773"/>
        <v>0</v>
      </c>
      <c r="AV761" s="969">
        <f t="shared" si="773"/>
        <v>0</v>
      </c>
      <c r="AW761" s="969">
        <f t="shared" si="773"/>
        <v>0</v>
      </c>
      <c r="AX761" s="969">
        <f t="shared" si="773"/>
        <v>0</v>
      </c>
      <c r="AY761" s="969">
        <f t="shared" si="773"/>
        <v>0</v>
      </c>
      <c r="AZ761" s="969">
        <f t="shared" si="773"/>
        <v>0</v>
      </c>
      <c r="BA761" s="969">
        <f t="shared" si="773"/>
        <v>0</v>
      </c>
      <c r="BB761" s="969">
        <f t="shared" si="773"/>
        <v>0</v>
      </c>
      <c r="BC761" s="969">
        <f t="shared" si="773"/>
        <v>0</v>
      </c>
      <c r="BD761" s="969">
        <f t="shared" si="773"/>
        <v>0</v>
      </c>
      <c r="BE761" s="969">
        <f t="shared" si="773"/>
        <v>0</v>
      </c>
      <c r="BF761" s="969">
        <f t="shared" si="773"/>
        <v>0</v>
      </c>
      <c r="BG761" s="969">
        <f t="shared" si="773"/>
        <v>0</v>
      </c>
      <c r="BH761" s="969">
        <f t="shared" si="773"/>
        <v>0</v>
      </c>
      <c r="BI761" s="969">
        <f t="shared" si="773"/>
        <v>0</v>
      </c>
      <c r="BJ761" s="969">
        <f t="shared" si="773"/>
        <v>0</v>
      </c>
      <c r="BK761" s="969">
        <f t="shared" si="773"/>
        <v>0</v>
      </c>
      <c r="BL761" s="969">
        <f t="shared" si="773"/>
        <v>0</v>
      </c>
      <c r="BM761" s="969">
        <f t="shared" si="773"/>
        <v>0</v>
      </c>
      <c r="BN761" s="969">
        <f t="shared" si="773"/>
        <v>0</v>
      </c>
      <c r="BO761" s="969">
        <f t="shared" si="773"/>
        <v>0</v>
      </c>
      <c r="BP761" s="969">
        <f t="shared" si="773"/>
        <v>0</v>
      </c>
      <c r="BQ761" s="969">
        <f t="shared" si="773"/>
        <v>0</v>
      </c>
      <c r="BR761" s="969">
        <f t="shared" si="773"/>
        <v>0</v>
      </c>
      <c r="BS761" s="969">
        <f t="shared" si="773"/>
        <v>0</v>
      </c>
      <c r="BT761" s="969">
        <f t="shared" si="773"/>
        <v>0</v>
      </c>
      <c r="BU761" s="969">
        <f t="shared" si="773"/>
        <v>0</v>
      </c>
      <c r="BV761" s="969">
        <f t="shared" si="773"/>
        <v>0</v>
      </c>
      <c r="BW761" s="969">
        <f t="shared" si="773"/>
        <v>0</v>
      </c>
      <c r="BX761" s="969">
        <f t="shared" si="773"/>
        <v>0</v>
      </c>
      <c r="BY761" s="969">
        <f t="shared" si="773"/>
        <v>0</v>
      </c>
      <c r="BZ761" s="969">
        <f t="shared" si="773"/>
        <v>0</v>
      </c>
      <c r="CA761" s="969">
        <f t="shared" si="773"/>
        <v>0</v>
      </c>
      <c r="CB761" s="969">
        <f t="shared" si="773"/>
        <v>0</v>
      </c>
      <c r="CC761" s="969">
        <f t="shared" si="773"/>
        <v>0</v>
      </c>
      <c r="CD761" s="969">
        <f t="shared" si="773"/>
        <v>0</v>
      </c>
      <c r="CE761" s="969">
        <f t="shared" si="773"/>
        <v>0</v>
      </c>
      <c r="CF761" s="969">
        <f t="shared" si="773"/>
        <v>0</v>
      </c>
      <c r="CG761" s="969">
        <f t="shared" si="773"/>
        <v>0</v>
      </c>
      <c r="CH761" s="969">
        <f t="shared" si="773"/>
        <v>0</v>
      </c>
      <c r="CI761" s="969">
        <f t="shared" si="773"/>
        <v>0</v>
      </c>
      <c r="CJ761" s="969">
        <f t="shared" si="773"/>
        <v>0</v>
      </c>
      <c r="CK761" s="969">
        <f t="shared" si="773"/>
        <v>0</v>
      </c>
      <c r="CL761" s="969">
        <f t="shared" si="773"/>
        <v>0</v>
      </c>
      <c r="CM761" s="969">
        <f t="shared" si="773"/>
        <v>0</v>
      </c>
      <c r="CN761" s="969">
        <f t="shared" si="773"/>
        <v>0</v>
      </c>
      <c r="CO761" s="969">
        <f t="shared" si="773"/>
        <v>0</v>
      </c>
      <c r="CP761" s="969"/>
      <c r="CQ761" s="969"/>
      <c r="CR761" s="969"/>
      <c r="CS761" s="969"/>
      <c r="CT761" s="969"/>
      <c r="CU761" s="969"/>
      <c r="CV761" s="969"/>
      <c r="CW761" s="969"/>
      <c r="CX761" s="969"/>
      <c r="CY761" s="969"/>
      <c r="CZ761" s="969"/>
      <c r="DA761" s="969"/>
      <c r="DB761" s="737"/>
      <c r="DC761" s="704">
        <f t="shared" si="764"/>
        <v>0</v>
      </c>
      <c r="DD761" s="758">
        <f t="shared" si="767"/>
        <v>0</v>
      </c>
      <c r="DE761" s="758">
        <f t="shared" si="768"/>
        <v>0</v>
      </c>
      <c r="DF761" s="758">
        <f t="shared" si="765"/>
        <v>0</v>
      </c>
      <c r="DG761" s="758">
        <f t="shared" si="769"/>
        <v>0</v>
      </c>
      <c r="DH761" s="758">
        <f t="shared" si="770"/>
        <v>0</v>
      </c>
    </row>
    <row r="762" spans="2:112" hidden="1" outlineLevel="2">
      <c r="F762" s="126" t="s">
        <v>540</v>
      </c>
      <c r="I762" s="609" t="s">
        <v>736</v>
      </c>
      <c r="AH762" s="887"/>
      <c r="AI762" s="887"/>
      <c r="AJ762" s="716"/>
      <c r="AK762" s="710"/>
      <c r="AL762" s="710"/>
      <c r="AM762" s="710"/>
      <c r="AN762" s="710"/>
      <c r="AO762" s="710"/>
      <c r="AP762" s="710"/>
      <c r="AQ762" s="710"/>
      <c r="AR762" s="710"/>
      <c r="AS762" s="710">
        <v>0</v>
      </c>
      <c r="AT762" s="710">
        <v>0</v>
      </c>
      <c r="AU762" s="710">
        <v>0</v>
      </c>
      <c r="AV762" s="710">
        <v>0</v>
      </c>
      <c r="AW762" s="710">
        <v>0</v>
      </c>
      <c r="AX762" s="710">
        <v>0</v>
      </c>
      <c r="AY762" s="710">
        <v>0</v>
      </c>
      <c r="AZ762" s="710">
        <v>0</v>
      </c>
      <c r="BA762" s="710">
        <v>0</v>
      </c>
      <c r="BB762" s="710">
        <v>0</v>
      </c>
      <c r="BC762" s="710">
        <v>0</v>
      </c>
      <c r="BD762" s="710">
        <v>0</v>
      </c>
      <c r="BE762" s="710">
        <v>0</v>
      </c>
      <c r="BF762" s="710">
        <v>0</v>
      </c>
      <c r="BG762" s="710">
        <v>0</v>
      </c>
      <c r="BH762" s="710">
        <v>0</v>
      </c>
      <c r="BI762" s="710">
        <v>0</v>
      </c>
      <c r="BJ762" s="710">
        <v>0</v>
      </c>
      <c r="BK762" s="710">
        <v>0</v>
      </c>
      <c r="BL762" s="710">
        <v>0</v>
      </c>
      <c r="BM762" s="710">
        <v>0</v>
      </c>
      <c r="BN762" s="710">
        <v>0</v>
      </c>
      <c r="BO762" s="710">
        <v>0</v>
      </c>
      <c r="BP762" s="710">
        <v>0</v>
      </c>
      <c r="BQ762" s="710">
        <v>0</v>
      </c>
      <c r="BR762" s="710">
        <v>0</v>
      </c>
      <c r="BS762" s="710">
        <v>0</v>
      </c>
      <c r="BT762" s="710">
        <v>0</v>
      </c>
      <c r="BU762" s="710">
        <v>0</v>
      </c>
      <c r="BV762" s="710">
        <v>0</v>
      </c>
      <c r="BW762" s="710">
        <v>0</v>
      </c>
      <c r="BX762" s="710">
        <v>0</v>
      </c>
      <c r="BY762" s="710">
        <v>0</v>
      </c>
      <c r="BZ762" s="710">
        <v>0</v>
      </c>
      <c r="CA762" s="710">
        <v>0</v>
      </c>
      <c r="CB762" s="710">
        <v>0</v>
      </c>
      <c r="CC762" s="710">
        <v>0</v>
      </c>
      <c r="CD762" s="710">
        <v>0</v>
      </c>
      <c r="CE762" s="710">
        <v>0</v>
      </c>
      <c r="CF762" s="710">
        <v>0</v>
      </c>
      <c r="CG762" s="710">
        <v>0</v>
      </c>
      <c r="CH762" s="710">
        <v>0</v>
      </c>
      <c r="CI762" s="710">
        <v>0</v>
      </c>
      <c r="CJ762" s="710">
        <v>0</v>
      </c>
      <c r="CK762" s="710">
        <v>0</v>
      </c>
      <c r="CL762" s="710">
        <v>0</v>
      </c>
      <c r="CM762" s="710">
        <v>0</v>
      </c>
      <c r="CN762" s="710">
        <v>0</v>
      </c>
      <c r="CO762" s="710">
        <v>0</v>
      </c>
      <c r="CP762" s="710"/>
      <c r="CQ762" s="710"/>
      <c r="CR762" s="710"/>
      <c r="CS762" s="710"/>
      <c r="CT762" s="710"/>
      <c r="CU762" s="710"/>
      <c r="CV762" s="710"/>
      <c r="CW762" s="710"/>
      <c r="CX762" s="710"/>
      <c r="CY762" s="710"/>
      <c r="CZ762" s="710"/>
      <c r="DA762" s="710"/>
      <c r="DB762" s="702"/>
      <c r="DC762" s="12">
        <f t="shared" si="764"/>
        <v>0</v>
      </c>
      <c r="DD762" s="12">
        <f t="shared" si="767"/>
        <v>0</v>
      </c>
      <c r="DE762" s="12">
        <f t="shared" si="768"/>
        <v>0</v>
      </c>
      <c r="DF762" s="12">
        <f t="shared" si="765"/>
        <v>0</v>
      </c>
      <c r="DG762" s="12">
        <f t="shared" si="769"/>
        <v>0</v>
      </c>
      <c r="DH762" s="12">
        <f t="shared" si="770"/>
        <v>0</v>
      </c>
    </row>
    <row r="763" spans="2:112" hidden="1" outlineLevel="2">
      <c r="F763" s="126" t="s">
        <v>799</v>
      </c>
      <c r="I763" s="609" t="s">
        <v>736</v>
      </c>
      <c r="AH763" s="887"/>
      <c r="AI763" s="887"/>
      <c r="AJ763" s="716"/>
      <c r="AK763" s="710"/>
      <c r="AL763" s="710"/>
      <c r="AM763" s="710"/>
      <c r="AN763" s="710"/>
      <c r="AO763" s="710"/>
      <c r="AP763" s="710"/>
      <c r="AQ763" s="710"/>
      <c r="AR763" s="710"/>
      <c r="AS763" s="710"/>
      <c r="AT763" s="710"/>
      <c r="AU763" s="710"/>
      <c r="AV763" s="710"/>
      <c r="AW763" s="710"/>
      <c r="AX763" s="710"/>
      <c r="AY763" s="710"/>
      <c r="AZ763" s="710"/>
      <c r="BA763" s="710"/>
      <c r="BB763" s="710"/>
      <c r="BC763" s="710"/>
      <c r="BD763" s="710"/>
      <c r="BE763" s="710"/>
      <c r="BF763" s="710"/>
      <c r="BG763" s="710"/>
      <c r="BH763" s="710"/>
      <c r="BI763" s="710"/>
      <c r="BJ763" s="710"/>
      <c r="BK763" s="710"/>
      <c r="BL763" s="710"/>
      <c r="BM763" s="710"/>
      <c r="BN763" s="710"/>
      <c r="BO763" s="710"/>
      <c r="BP763" s="710"/>
      <c r="BQ763" s="710"/>
      <c r="BR763" s="710"/>
      <c r="BS763" s="710"/>
      <c r="BT763" s="710"/>
      <c r="BU763" s="710"/>
      <c r="BV763" s="710"/>
      <c r="BW763" s="710"/>
      <c r="BX763" s="710"/>
      <c r="BY763" s="710"/>
      <c r="BZ763" s="710"/>
      <c r="CA763" s="710"/>
      <c r="CB763" s="710"/>
      <c r="CC763" s="710"/>
      <c r="CD763" s="710"/>
      <c r="CE763" s="710"/>
      <c r="CF763" s="710"/>
      <c r="CG763" s="710"/>
      <c r="CH763" s="710"/>
      <c r="CI763" s="710"/>
      <c r="CJ763" s="710"/>
      <c r="CK763" s="710"/>
      <c r="CL763" s="710"/>
      <c r="CM763" s="710"/>
      <c r="CN763" s="710"/>
      <c r="CO763" s="710"/>
      <c r="CP763" s="710"/>
      <c r="CQ763" s="710"/>
      <c r="CR763" s="710"/>
      <c r="CS763" s="710"/>
      <c r="CT763" s="710"/>
      <c r="CU763" s="710"/>
      <c r="CV763" s="710"/>
      <c r="CW763" s="710"/>
      <c r="CX763" s="710"/>
      <c r="CY763" s="710"/>
      <c r="CZ763" s="710"/>
      <c r="DA763" s="710"/>
      <c r="DB763" s="702"/>
      <c r="DC763" s="12">
        <f t="shared" si="764"/>
        <v>0</v>
      </c>
      <c r="DD763" s="12">
        <f t="shared" si="767"/>
        <v>0</v>
      </c>
      <c r="DE763" s="12">
        <f t="shared" si="768"/>
        <v>0</v>
      </c>
      <c r="DF763" s="12">
        <f t="shared" si="765"/>
        <v>0</v>
      </c>
      <c r="DG763" s="12">
        <f t="shared" si="769"/>
        <v>0</v>
      </c>
      <c r="DH763" s="12">
        <f t="shared" si="770"/>
        <v>0</v>
      </c>
    </row>
    <row r="764" spans="2:112" hidden="1" outlineLevel="2">
      <c r="F764" s="126" t="s">
        <v>800</v>
      </c>
      <c r="I764" s="609" t="s">
        <v>736</v>
      </c>
      <c r="AH764" s="887"/>
      <c r="AI764" s="887"/>
      <c r="AJ764" s="716"/>
      <c r="AK764" s="710"/>
      <c r="AL764" s="710"/>
      <c r="AM764" s="710"/>
      <c r="AN764" s="710"/>
      <c r="AO764" s="710"/>
      <c r="AP764" s="710"/>
      <c r="AQ764" s="710"/>
      <c r="AR764" s="710"/>
      <c r="AS764" s="710"/>
      <c r="AT764" s="710"/>
      <c r="AU764" s="710"/>
      <c r="AV764" s="710"/>
      <c r="AW764" s="710"/>
      <c r="AX764" s="710"/>
      <c r="AY764" s="710"/>
      <c r="AZ764" s="710"/>
      <c r="BA764" s="710"/>
      <c r="BB764" s="710"/>
      <c r="BC764" s="710"/>
      <c r="BD764" s="710"/>
      <c r="BE764" s="710"/>
      <c r="BF764" s="710"/>
      <c r="BG764" s="710"/>
      <c r="BH764" s="710"/>
      <c r="BI764" s="710"/>
      <c r="BJ764" s="710"/>
      <c r="BK764" s="710"/>
      <c r="BL764" s="710"/>
      <c r="BM764" s="710"/>
      <c r="BN764" s="710"/>
      <c r="BO764" s="710"/>
      <c r="BP764" s="710"/>
      <c r="BQ764" s="710"/>
      <c r="BR764" s="710"/>
      <c r="BS764" s="710"/>
      <c r="BT764" s="710"/>
      <c r="BU764" s="710"/>
      <c r="BV764" s="710"/>
      <c r="BW764" s="710"/>
      <c r="BX764" s="710"/>
      <c r="BY764" s="710"/>
      <c r="BZ764" s="710"/>
      <c r="CA764" s="710"/>
      <c r="CB764" s="710"/>
      <c r="CC764" s="710"/>
      <c r="CD764" s="710"/>
      <c r="CE764" s="710"/>
      <c r="CF764" s="710"/>
      <c r="CG764" s="710"/>
      <c r="CH764" s="710"/>
      <c r="CI764" s="710"/>
      <c r="CJ764" s="710"/>
      <c r="CK764" s="710"/>
      <c r="CL764" s="710"/>
      <c r="CM764" s="710"/>
      <c r="CN764" s="710"/>
      <c r="CO764" s="710"/>
      <c r="CP764" s="710"/>
      <c r="CQ764" s="710"/>
      <c r="CR764" s="710"/>
      <c r="CS764" s="710"/>
      <c r="CT764" s="710"/>
      <c r="CU764" s="710"/>
      <c r="CV764" s="710"/>
      <c r="CW764" s="710"/>
      <c r="CX764" s="710"/>
      <c r="CY764" s="710"/>
      <c r="CZ764" s="710"/>
      <c r="DA764" s="710"/>
      <c r="DB764" s="702"/>
      <c r="DC764" s="14">
        <f t="shared" si="764"/>
        <v>0</v>
      </c>
      <c r="DD764" s="14">
        <f t="shared" si="767"/>
        <v>0</v>
      </c>
      <c r="DE764" s="14">
        <f t="shared" si="768"/>
        <v>0</v>
      </c>
      <c r="DF764" s="14">
        <f t="shared" si="765"/>
        <v>0</v>
      </c>
      <c r="DG764" s="14">
        <f t="shared" si="769"/>
        <v>0</v>
      </c>
      <c r="DH764" s="14">
        <f t="shared" si="770"/>
        <v>0</v>
      </c>
    </row>
    <row r="765" spans="2:112" hidden="1" outlineLevel="2">
      <c r="F765" s="126" t="s">
        <v>223</v>
      </c>
      <c r="I765" s="609" t="s">
        <v>736</v>
      </c>
      <c r="AH765" s="887"/>
      <c r="AI765" s="887"/>
      <c r="AJ765" s="716"/>
      <c r="AK765" s="710"/>
      <c r="AL765" s="710"/>
      <c r="AM765" s="710"/>
      <c r="AN765" s="710"/>
      <c r="AO765" s="710"/>
      <c r="AP765" s="710"/>
      <c r="AQ765" s="710"/>
      <c r="AR765" s="710"/>
      <c r="AS765" s="710"/>
      <c r="AT765" s="710"/>
      <c r="AU765" s="710"/>
      <c r="AV765" s="710"/>
      <c r="AW765" s="710"/>
      <c r="AX765" s="710"/>
      <c r="AY765" s="710"/>
      <c r="AZ765" s="710"/>
      <c r="BA765" s="710"/>
      <c r="BB765" s="710"/>
      <c r="BC765" s="710"/>
      <c r="BD765" s="710"/>
      <c r="BE765" s="710"/>
      <c r="BF765" s="710"/>
      <c r="BG765" s="710"/>
      <c r="BH765" s="710"/>
      <c r="BI765" s="710"/>
      <c r="BJ765" s="710"/>
      <c r="BK765" s="710"/>
      <c r="BL765" s="710"/>
      <c r="BM765" s="710"/>
      <c r="BN765" s="710"/>
      <c r="BO765" s="710"/>
      <c r="BP765" s="710"/>
      <c r="BQ765" s="710"/>
      <c r="BR765" s="710"/>
      <c r="BS765" s="710"/>
      <c r="BT765" s="710"/>
      <c r="BU765" s="710"/>
      <c r="BV765" s="710"/>
      <c r="BW765" s="710"/>
      <c r="BX765" s="710"/>
      <c r="BY765" s="710"/>
      <c r="BZ765" s="710"/>
      <c r="CA765" s="710"/>
      <c r="CB765" s="710"/>
      <c r="CC765" s="710"/>
      <c r="CD765" s="710"/>
      <c r="CE765" s="710"/>
      <c r="CF765" s="710"/>
      <c r="CG765" s="710"/>
      <c r="CH765" s="710"/>
      <c r="CI765" s="710"/>
      <c r="CJ765" s="710"/>
      <c r="CK765" s="710"/>
      <c r="CL765" s="710"/>
      <c r="CM765" s="710"/>
      <c r="CN765" s="710"/>
      <c r="CO765" s="710"/>
      <c r="CP765" s="710"/>
      <c r="CQ765" s="710"/>
      <c r="CR765" s="710"/>
      <c r="CS765" s="710"/>
      <c r="CT765" s="710"/>
      <c r="CU765" s="710"/>
      <c r="CV765" s="710"/>
      <c r="CW765" s="710"/>
      <c r="CX765" s="710"/>
      <c r="CY765" s="710"/>
      <c r="CZ765" s="710"/>
      <c r="DA765" s="710"/>
      <c r="DB765" s="702"/>
      <c r="DC765" s="12">
        <f t="shared" si="764"/>
        <v>0</v>
      </c>
      <c r="DD765" s="12">
        <f t="shared" ref="DD765:DD781" si="774">SUM(AH765:AS765)</f>
        <v>0</v>
      </c>
      <c r="DE765" s="12">
        <f t="shared" ref="DE765:DE781" si="775">SUM(AT765:BE765)</f>
        <v>0</v>
      </c>
      <c r="DF765" s="12">
        <f t="shared" si="765"/>
        <v>0</v>
      </c>
      <c r="DG765" s="12">
        <f t="shared" ref="DG765:DG781" si="776">SUM(BR765:CC765)</f>
        <v>0</v>
      </c>
      <c r="DH765" s="12">
        <f t="shared" ref="DH765:DH781" si="777">SUM(CD765:CO765)</f>
        <v>0</v>
      </c>
    </row>
    <row r="766" spans="2:112" hidden="1" outlineLevel="2">
      <c r="F766" s="126" t="s">
        <v>221</v>
      </c>
      <c r="I766" s="609" t="s">
        <v>736</v>
      </c>
      <c r="AH766" s="887"/>
      <c r="AI766" s="887"/>
      <c r="AJ766" s="716"/>
      <c r="AK766" s="710"/>
      <c r="AL766" s="710"/>
      <c r="AM766" s="710"/>
      <c r="AN766" s="710"/>
      <c r="AO766" s="710"/>
      <c r="AP766" s="710"/>
      <c r="AQ766" s="710"/>
      <c r="AR766" s="710"/>
      <c r="AS766" s="710"/>
      <c r="AT766" s="710"/>
      <c r="AU766" s="710"/>
      <c r="AV766" s="710"/>
      <c r="AW766" s="710"/>
      <c r="AX766" s="710"/>
      <c r="AY766" s="710"/>
      <c r="AZ766" s="710"/>
      <c r="BA766" s="710"/>
      <c r="BB766" s="710"/>
      <c r="BC766" s="710"/>
      <c r="BD766" s="710"/>
      <c r="BE766" s="710"/>
      <c r="BF766" s="710"/>
      <c r="BG766" s="710"/>
      <c r="BH766" s="710"/>
      <c r="BI766" s="710"/>
      <c r="BJ766" s="710"/>
      <c r="BK766" s="710"/>
      <c r="BL766" s="710"/>
      <c r="BM766" s="710"/>
      <c r="BN766" s="710"/>
      <c r="BO766" s="710"/>
      <c r="BP766" s="710"/>
      <c r="BQ766" s="710"/>
      <c r="BR766" s="710"/>
      <c r="BS766" s="710"/>
      <c r="BT766" s="710"/>
      <c r="BU766" s="710"/>
      <c r="BV766" s="710"/>
      <c r="BW766" s="710"/>
      <c r="BX766" s="710"/>
      <c r="BY766" s="710"/>
      <c r="BZ766" s="710"/>
      <c r="CA766" s="710"/>
      <c r="CB766" s="710"/>
      <c r="CC766" s="710"/>
      <c r="CD766" s="710"/>
      <c r="CE766" s="710"/>
      <c r="CF766" s="710"/>
      <c r="CG766" s="710"/>
      <c r="CH766" s="710"/>
      <c r="CI766" s="710"/>
      <c r="CJ766" s="710"/>
      <c r="CK766" s="710"/>
      <c r="CL766" s="710"/>
      <c r="CM766" s="710"/>
      <c r="CN766" s="710"/>
      <c r="CO766" s="710"/>
      <c r="CP766" s="710"/>
      <c r="CQ766" s="710"/>
      <c r="CR766" s="710"/>
      <c r="CS766" s="710"/>
      <c r="CT766" s="710"/>
      <c r="CU766" s="710"/>
      <c r="CV766" s="710"/>
      <c r="CW766" s="710"/>
      <c r="CX766" s="710"/>
      <c r="CY766" s="710"/>
      <c r="CZ766" s="710"/>
      <c r="DA766" s="710"/>
      <c r="DB766" s="702"/>
      <c r="DC766" s="12">
        <f t="shared" si="764"/>
        <v>0</v>
      </c>
      <c r="DD766" s="12">
        <f t="shared" si="774"/>
        <v>0</v>
      </c>
      <c r="DE766" s="12">
        <f t="shared" si="775"/>
        <v>0</v>
      </c>
      <c r="DF766" s="12">
        <f t="shared" si="765"/>
        <v>0</v>
      </c>
      <c r="DG766" s="12">
        <f t="shared" si="776"/>
        <v>0</v>
      </c>
      <c r="DH766" s="12">
        <f t="shared" si="777"/>
        <v>0</v>
      </c>
    </row>
    <row r="767" spans="2:112" hidden="1" outlineLevel="2">
      <c r="F767" s="126" t="s">
        <v>801</v>
      </c>
      <c r="I767" s="609" t="s">
        <v>736</v>
      </c>
      <c r="AH767" s="887"/>
      <c r="AI767" s="887"/>
      <c r="AJ767" s="716"/>
      <c r="AK767" s="710"/>
      <c r="AL767" s="710"/>
      <c r="AM767" s="710"/>
      <c r="AN767" s="710"/>
      <c r="AO767" s="710"/>
      <c r="AP767" s="710"/>
      <c r="AQ767" s="710"/>
      <c r="AR767" s="710"/>
      <c r="AS767" s="710">
        <v>0</v>
      </c>
      <c r="AT767" s="710">
        <v>0</v>
      </c>
      <c r="AU767" s="710">
        <v>0</v>
      </c>
      <c r="AV767" s="710">
        <v>0</v>
      </c>
      <c r="AW767" s="710">
        <v>0</v>
      </c>
      <c r="AX767" s="710">
        <v>0</v>
      </c>
      <c r="AY767" s="710">
        <v>0</v>
      </c>
      <c r="AZ767" s="710">
        <v>0</v>
      </c>
      <c r="BA767" s="710">
        <v>0</v>
      </c>
      <c r="BB767" s="710">
        <v>0</v>
      </c>
      <c r="BC767" s="710">
        <v>0</v>
      </c>
      <c r="BD767" s="710">
        <v>0</v>
      </c>
      <c r="BE767" s="710">
        <v>0</v>
      </c>
      <c r="BF767" s="710">
        <v>0</v>
      </c>
      <c r="BG767" s="710">
        <v>0</v>
      </c>
      <c r="BH767" s="710">
        <v>0</v>
      </c>
      <c r="BI767" s="710">
        <v>0</v>
      </c>
      <c r="BJ767" s="710">
        <v>0</v>
      </c>
      <c r="BK767" s="710">
        <v>0</v>
      </c>
      <c r="BL767" s="710">
        <v>0</v>
      </c>
      <c r="BM767" s="710">
        <v>0</v>
      </c>
      <c r="BN767" s="710">
        <v>0</v>
      </c>
      <c r="BO767" s="710">
        <v>0</v>
      </c>
      <c r="BP767" s="710">
        <v>0</v>
      </c>
      <c r="BQ767" s="710">
        <v>0</v>
      </c>
      <c r="BR767" s="710">
        <v>0</v>
      </c>
      <c r="BS767" s="710">
        <v>0</v>
      </c>
      <c r="BT767" s="710">
        <v>0</v>
      </c>
      <c r="BU767" s="710">
        <v>0</v>
      </c>
      <c r="BV767" s="710">
        <v>0</v>
      </c>
      <c r="BW767" s="710">
        <v>0</v>
      </c>
      <c r="BX767" s="710">
        <v>0</v>
      </c>
      <c r="BY767" s="710">
        <v>0</v>
      </c>
      <c r="BZ767" s="710">
        <v>0</v>
      </c>
      <c r="CA767" s="710">
        <v>0</v>
      </c>
      <c r="CB767" s="710">
        <v>0</v>
      </c>
      <c r="CC767" s="710">
        <v>0</v>
      </c>
      <c r="CD767" s="710">
        <v>0</v>
      </c>
      <c r="CE767" s="710">
        <v>0</v>
      </c>
      <c r="CF767" s="710">
        <v>0</v>
      </c>
      <c r="CG767" s="710">
        <v>0</v>
      </c>
      <c r="CH767" s="710">
        <v>0</v>
      </c>
      <c r="CI767" s="710">
        <v>0</v>
      </c>
      <c r="CJ767" s="710">
        <v>0</v>
      </c>
      <c r="CK767" s="710">
        <v>0</v>
      </c>
      <c r="CL767" s="710">
        <v>0</v>
      </c>
      <c r="CM767" s="710">
        <v>0</v>
      </c>
      <c r="CN767" s="710">
        <v>0</v>
      </c>
      <c r="CO767" s="710">
        <v>0</v>
      </c>
      <c r="CP767" s="710"/>
      <c r="CQ767" s="710"/>
      <c r="CR767" s="710"/>
      <c r="CS767" s="710"/>
      <c r="CT767" s="710"/>
      <c r="CU767" s="710"/>
      <c r="CV767" s="710"/>
      <c r="CW767" s="710"/>
      <c r="CX767" s="710"/>
      <c r="CY767" s="710"/>
      <c r="CZ767" s="710"/>
      <c r="DA767" s="710"/>
      <c r="DB767" s="702"/>
      <c r="DC767" s="12">
        <f t="shared" si="764"/>
        <v>0</v>
      </c>
      <c r="DD767" s="12">
        <f t="shared" si="774"/>
        <v>0</v>
      </c>
      <c r="DE767" s="12">
        <f t="shared" si="775"/>
        <v>0</v>
      </c>
      <c r="DF767" s="12">
        <f t="shared" si="765"/>
        <v>0</v>
      </c>
      <c r="DG767" s="12">
        <f t="shared" si="776"/>
        <v>0</v>
      </c>
      <c r="DH767" s="12">
        <f t="shared" si="777"/>
        <v>0</v>
      </c>
    </row>
    <row r="768" spans="2:112" hidden="1" outlineLevel="2">
      <c r="F768" s="126" t="s">
        <v>802</v>
      </c>
      <c r="I768" s="609" t="s">
        <v>736</v>
      </c>
      <c r="AH768" s="873"/>
      <c r="AI768" s="873"/>
      <c r="AJ768" s="880"/>
      <c r="AK768" s="880"/>
      <c r="AL768" s="880"/>
      <c r="AM768" s="880"/>
      <c r="AN768" s="880"/>
      <c r="AO768" s="880"/>
      <c r="AP768" s="880"/>
      <c r="AQ768" s="880"/>
      <c r="AR768" s="880"/>
      <c r="AS768" s="880">
        <v>0</v>
      </c>
      <c r="AT768" s="880">
        <v>0</v>
      </c>
      <c r="AU768" s="880">
        <v>0</v>
      </c>
      <c r="AV768" s="880">
        <v>0</v>
      </c>
      <c r="AW768" s="880">
        <v>0</v>
      </c>
      <c r="AX768" s="880">
        <v>0</v>
      </c>
      <c r="AY768" s="880">
        <v>0</v>
      </c>
      <c r="AZ768" s="880">
        <v>0</v>
      </c>
      <c r="BA768" s="880">
        <v>0</v>
      </c>
      <c r="BB768" s="880">
        <v>0</v>
      </c>
      <c r="BC768" s="880">
        <v>0</v>
      </c>
      <c r="BD768" s="880">
        <v>0</v>
      </c>
      <c r="BE768" s="880">
        <v>0</v>
      </c>
      <c r="BF768" s="880">
        <v>0</v>
      </c>
      <c r="BG768" s="880">
        <v>0</v>
      </c>
      <c r="BH768" s="880">
        <v>0</v>
      </c>
      <c r="BI768" s="880">
        <v>0</v>
      </c>
      <c r="BJ768" s="880">
        <v>0</v>
      </c>
      <c r="BK768" s="880">
        <v>0</v>
      </c>
      <c r="BL768" s="880">
        <v>0</v>
      </c>
      <c r="BM768" s="880">
        <v>0</v>
      </c>
      <c r="BN768" s="880">
        <v>0</v>
      </c>
      <c r="BO768" s="880">
        <v>0</v>
      </c>
      <c r="BP768" s="880">
        <v>0</v>
      </c>
      <c r="BQ768" s="880">
        <v>0</v>
      </c>
      <c r="BR768" s="880">
        <v>0</v>
      </c>
      <c r="BS768" s="880">
        <v>0</v>
      </c>
      <c r="BT768" s="880">
        <v>0</v>
      </c>
      <c r="BU768" s="880">
        <v>0</v>
      </c>
      <c r="BV768" s="880">
        <v>0</v>
      </c>
      <c r="BW768" s="880">
        <v>0</v>
      </c>
      <c r="BX768" s="880">
        <v>0</v>
      </c>
      <c r="BY768" s="880">
        <v>0</v>
      </c>
      <c r="BZ768" s="880">
        <v>0</v>
      </c>
      <c r="CA768" s="880">
        <v>0</v>
      </c>
      <c r="CB768" s="880">
        <v>0</v>
      </c>
      <c r="CC768" s="880">
        <v>0</v>
      </c>
      <c r="CD768" s="880">
        <v>0</v>
      </c>
      <c r="CE768" s="880">
        <v>0</v>
      </c>
      <c r="CF768" s="880">
        <v>0</v>
      </c>
      <c r="CG768" s="880">
        <v>0</v>
      </c>
      <c r="CH768" s="880">
        <v>0</v>
      </c>
      <c r="CI768" s="880">
        <v>0</v>
      </c>
      <c r="CJ768" s="880">
        <v>0</v>
      </c>
      <c r="CK768" s="880">
        <v>0</v>
      </c>
      <c r="CL768" s="880">
        <v>0</v>
      </c>
      <c r="CM768" s="880">
        <v>0</v>
      </c>
      <c r="CN768" s="880">
        <v>0</v>
      </c>
      <c r="CO768" s="880">
        <v>0</v>
      </c>
      <c r="CP768" s="880"/>
      <c r="CQ768" s="880"/>
      <c r="CR768" s="880"/>
      <c r="CS768" s="880"/>
      <c r="CT768" s="880"/>
      <c r="CU768" s="880"/>
      <c r="CV768" s="880"/>
      <c r="CW768" s="880"/>
      <c r="CX768" s="880"/>
      <c r="CY768" s="880"/>
      <c r="CZ768" s="880"/>
      <c r="DA768" s="880"/>
      <c r="DB768" s="873"/>
      <c r="DC768" s="12">
        <f t="shared" si="764"/>
        <v>0</v>
      </c>
      <c r="DD768" s="12">
        <f t="shared" si="774"/>
        <v>0</v>
      </c>
      <c r="DE768" s="12">
        <f t="shared" si="775"/>
        <v>0</v>
      </c>
      <c r="DF768" s="12">
        <f t="shared" si="765"/>
        <v>0</v>
      </c>
      <c r="DG768" s="12">
        <f t="shared" si="776"/>
        <v>0</v>
      </c>
      <c r="DH768" s="12">
        <f t="shared" si="777"/>
        <v>0</v>
      </c>
    </row>
    <row r="769" spans="2:112" s="702" customFormat="1" hidden="1" outlineLevel="2">
      <c r="B769" s="126"/>
      <c r="E769" s="720" t="s">
        <v>621</v>
      </c>
      <c r="F769" s="126"/>
      <c r="G769" s="126"/>
      <c r="H769" s="609"/>
      <c r="I769" s="609" t="s">
        <v>736</v>
      </c>
      <c r="J769" s="965"/>
      <c r="K769" s="965"/>
      <c r="L769" s="965"/>
      <c r="M769" s="965"/>
      <c r="N769" s="887"/>
      <c r="O769" s="887"/>
      <c r="P769" s="887"/>
      <c r="Q769" s="887"/>
      <c r="R769" s="887"/>
      <c r="S769" s="887"/>
      <c r="T769" s="887"/>
      <c r="U769" s="887"/>
      <c r="V769" s="887"/>
      <c r="W769" s="126"/>
      <c r="X769" s="705"/>
      <c r="Y769" s="887"/>
      <c r="Z769" s="887"/>
      <c r="AA769" s="887"/>
      <c r="AB769" s="887"/>
      <c r="AC769" s="887"/>
      <c r="AD769" s="887"/>
      <c r="AE769" s="887"/>
      <c r="AF769" s="887"/>
      <c r="AG769" s="887"/>
      <c r="AH769" s="887"/>
      <c r="AI769" s="887"/>
      <c r="AJ769" s="887"/>
      <c r="AK769" s="973"/>
      <c r="AL769" s="973"/>
      <c r="AM769" s="974"/>
      <c r="AN769" s="974"/>
      <c r="AO769" s="974"/>
      <c r="AP769" s="756"/>
      <c r="AQ769" s="756"/>
      <c r="AR769" s="756"/>
      <c r="AS769" s="756">
        <v>0</v>
      </c>
      <c r="AT769" s="756">
        <v>0</v>
      </c>
      <c r="AU769" s="756">
        <v>0</v>
      </c>
      <c r="AV769" s="756">
        <v>0</v>
      </c>
      <c r="AW769" s="756">
        <v>0</v>
      </c>
      <c r="AX769" s="756">
        <v>0</v>
      </c>
      <c r="AY769" s="756">
        <v>0</v>
      </c>
      <c r="AZ769" s="756">
        <v>0</v>
      </c>
      <c r="BA769" s="756">
        <v>0</v>
      </c>
      <c r="BB769" s="756">
        <v>0</v>
      </c>
      <c r="BC769" s="756">
        <v>0</v>
      </c>
      <c r="BD769" s="756">
        <v>0</v>
      </c>
      <c r="BE769" s="756">
        <v>0</v>
      </c>
      <c r="BF769" s="756">
        <v>0</v>
      </c>
      <c r="BG769" s="756">
        <v>0</v>
      </c>
      <c r="BH769" s="756">
        <v>0</v>
      </c>
      <c r="BI769" s="756">
        <v>0</v>
      </c>
      <c r="BJ769" s="756">
        <v>0</v>
      </c>
      <c r="BK769" s="756">
        <v>0</v>
      </c>
      <c r="BL769" s="756">
        <v>0</v>
      </c>
      <c r="BM769" s="756">
        <v>0</v>
      </c>
      <c r="BN769" s="756">
        <v>0</v>
      </c>
      <c r="BO769" s="756">
        <v>0</v>
      </c>
      <c r="BP769" s="756">
        <v>0</v>
      </c>
      <c r="BQ769" s="756">
        <v>0</v>
      </c>
      <c r="BR769" s="756">
        <v>0</v>
      </c>
      <c r="BS769" s="756">
        <v>0</v>
      </c>
      <c r="BT769" s="756">
        <v>0</v>
      </c>
      <c r="BU769" s="756">
        <v>0</v>
      </c>
      <c r="BV769" s="756">
        <v>0</v>
      </c>
      <c r="BW769" s="756">
        <v>0</v>
      </c>
      <c r="BX769" s="756">
        <v>0</v>
      </c>
      <c r="BY769" s="756">
        <v>0</v>
      </c>
      <c r="BZ769" s="756">
        <v>0</v>
      </c>
      <c r="CA769" s="756">
        <v>0</v>
      </c>
      <c r="CB769" s="756">
        <v>0</v>
      </c>
      <c r="CC769" s="756">
        <v>0</v>
      </c>
      <c r="CD769" s="756">
        <v>0</v>
      </c>
      <c r="CE769" s="756">
        <v>0</v>
      </c>
      <c r="CF769" s="756">
        <v>0</v>
      </c>
      <c r="CG769" s="756">
        <v>0</v>
      </c>
      <c r="CH769" s="756">
        <v>0</v>
      </c>
      <c r="CI769" s="756">
        <v>0</v>
      </c>
      <c r="CJ769" s="756">
        <v>0</v>
      </c>
      <c r="CK769" s="756">
        <v>0</v>
      </c>
      <c r="CL769" s="756">
        <v>0</v>
      </c>
      <c r="CM769" s="756">
        <v>0</v>
      </c>
      <c r="CN769" s="756">
        <v>0</v>
      </c>
      <c r="CO769" s="756">
        <v>0</v>
      </c>
      <c r="CP769" s="756"/>
      <c r="CQ769" s="756"/>
      <c r="CR769" s="756"/>
      <c r="CS769" s="756"/>
      <c r="CT769" s="756"/>
      <c r="CU769" s="756"/>
      <c r="CV769" s="756"/>
      <c r="CW769" s="756"/>
      <c r="CX769" s="756"/>
      <c r="CY769" s="756"/>
      <c r="CZ769" s="756"/>
      <c r="DA769" s="756"/>
      <c r="DC769" s="12">
        <f>SUM(V769:AG769)</f>
        <v>0</v>
      </c>
      <c r="DD769" s="12">
        <f>SUM(AH769:AS769)</f>
        <v>0</v>
      </c>
      <c r="DE769" s="12">
        <f>SUM(AT769:BE769)</f>
        <v>0</v>
      </c>
      <c r="DF769" s="12">
        <f>SUM(BF769:BQ769)</f>
        <v>0</v>
      </c>
      <c r="DG769" s="12">
        <f>SUM(BR769:CC769)</f>
        <v>0</v>
      </c>
      <c r="DH769" s="12">
        <f>SUM(CD769:CO769)</f>
        <v>0</v>
      </c>
    </row>
    <row r="770" spans="2:112" s="708" customFormat="1" hidden="1" outlineLevel="2">
      <c r="B770" s="126"/>
      <c r="E770" s="724" t="s">
        <v>701</v>
      </c>
      <c r="F770" s="705"/>
      <c r="G770" s="705"/>
      <c r="H770" s="975"/>
      <c r="I770" s="609" t="s">
        <v>736</v>
      </c>
      <c r="J770" s="975"/>
      <c r="K770" s="975"/>
      <c r="L770" s="975"/>
      <c r="M770" s="975"/>
      <c r="N770" s="705"/>
      <c r="O770" s="705"/>
      <c r="P770" s="705"/>
      <c r="Q770" s="705"/>
      <c r="R770" s="705"/>
      <c r="S770" s="705"/>
      <c r="T770" s="705"/>
      <c r="U770" s="705"/>
      <c r="V770" s="705"/>
      <c r="W770" s="705"/>
      <c r="Z770" s="705"/>
      <c r="AA770" s="705"/>
      <c r="AB770" s="705"/>
      <c r="AC770" s="705"/>
      <c r="AD770" s="705"/>
      <c r="AE770" s="705"/>
      <c r="AF770" s="705"/>
      <c r="AG770" s="705"/>
      <c r="AH770" s="705"/>
      <c r="AI770" s="705"/>
      <c r="AJ770" s="705"/>
      <c r="AS770" s="708">
        <f t="shared" ref="AS770:CO770" si="778">SUM(AS771:AS778)</f>
        <v>0</v>
      </c>
      <c r="AT770" s="708">
        <f t="shared" si="778"/>
        <v>0</v>
      </c>
      <c r="AU770" s="708">
        <f t="shared" si="778"/>
        <v>0</v>
      </c>
      <c r="AV770" s="708">
        <f t="shared" si="778"/>
        <v>0</v>
      </c>
      <c r="AW770" s="708">
        <f t="shared" si="778"/>
        <v>0</v>
      </c>
      <c r="AX770" s="708">
        <f t="shared" si="778"/>
        <v>0</v>
      </c>
      <c r="AY770" s="708">
        <f t="shared" si="778"/>
        <v>0</v>
      </c>
      <c r="AZ770" s="708">
        <f t="shared" si="778"/>
        <v>0</v>
      </c>
      <c r="BA770" s="708">
        <f t="shared" si="778"/>
        <v>0</v>
      </c>
      <c r="BB770" s="708">
        <f t="shared" si="778"/>
        <v>0</v>
      </c>
      <c r="BC770" s="708">
        <f t="shared" si="778"/>
        <v>0</v>
      </c>
      <c r="BD770" s="708">
        <f t="shared" si="778"/>
        <v>0</v>
      </c>
      <c r="BE770" s="708">
        <f t="shared" si="778"/>
        <v>0</v>
      </c>
      <c r="BF770" s="708">
        <f t="shared" si="778"/>
        <v>0</v>
      </c>
      <c r="BG770" s="708">
        <f t="shared" si="778"/>
        <v>0</v>
      </c>
      <c r="BH770" s="708">
        <f t="shared" si="778"/>
        <v>0</v>
      </c>
      <c r="BI770" s="708">
        <f t="shared" si="778"/>
        <v>0</v>
      </c>
      <c r="BJ770" s="708">
        <f t="shared" si="778"/>
        <v>0</v>
      </c>
      <c r="BK770" s="708">
        <f t="shared" si="778"/>
        <v>0</v>
      </c>
      <c r="BL770" s="708">
        <f t="shared" si="778"/>
        <v>0</v>
      </c>
      <c r="BM770" s="708">
        <f t="shared" si="778"/>
        <v>0</v>
      </c>
      <c r="BN770" s="708">
        <f t="shared" si="778"/>
        <v>0</v>
      </c>
      <c r="BO770" s="708">
        <f t="shared" si="778"/>
        <v>0</v>
      </c>
      <c r="BP770" s="708">
        <f t="shared" si="778"/>
        <v>0</v>
      </c>
      <c r="BQ770" s="708">
        <f t="shared" si="778"/>
        <v>0</v>
      </c>
      <c r="BR770" s="708">
        <f t="shared" si="778"/>
        <v>0</v>
      </c>
      <c r="BS770" s="708">
        <f t="shared" si="778"/>
        <v>0</v>
      </c>
      <c r="BT770" s="708">
        <f t="shared" si="778"/>
        <v>0</v>
      </c>
      <c r="BU770" s="708">
        <f t="shared" si="778"/>
        <v>0</v>
      </c>
      <c r="BV770" s="708">
        <f t="shared" si="778"/>
        <v>0</v>
      </c>
      <c r="BW770" s="708">
        <f t="shared" si="778"/>
        <v>0</v>
      </c>
      <c r="BX770" s="708">
        <f t="shared" si="778"/>
        <v>0</v>
      </c>
      <c r="BY770" s="708">
        <f t="shared" si="778"/>
        <v>0</v>
      </c>
      <c r="BZ770" s="708">
        <f t="shared" si="778"/>
        <v>0</v>
      </c>
      <c r="CA770" s="708">
        <f t="shared" si="778"/>
        <v>0</v>
      </c>
      <c r="CB770" s="708">
        <f t="shared" si="778"/>
        <v>0</v>
      </c>
      <c r="CC770" s="708">
        <f t="shared" si="778"/>
        <v>0</v>
      </c>
      <c r="CD770" s="708">
        <f t="shared" si="778"/>
        <v>0</v>
      </c>
      <c r="CE770" s="708">
        <f t="shared" si="778"/>
        <v>0</v>
      </c>
      <c r="CF770" s="708">
        <f t="shared" si="778"/>
        <v>0</v>
      </c>
      <c r="CG770" s="708">
        <f t="shared" si="778"/>
        <v>0</v>
      </c>
      <c r="CH770" s="708">
        <f t="shared" si="778"/>
        <v>0</v>
      </c>
      <c r="CI770" s="708">
        <f t="shared" si="778"/>
        <v>0</v>
      </c>
      <c r="CJ770" s="708">
        <f t="shared" si="778"/>
        <v>0</v>
      </c>
      <c r="CK770" s="708">
        <f t="shared" si="778"/>
        <v>0</v>
      </c>
      <c r="CL770" s="708">
        <f t="shared" si="778"/>
        <v>0</v>
      </c>
      <c r="CM770" s="708">
        <f t="shared" si="778"/>
        <v>0</v>
      </c>
      <c r="CN770" s="708">
        <f t="shared" si="778"/>
        <v>0</v>
      </c>
      <c r="CO770" s="708">
        <f t="shared" si="778"/>
        <v>0</v>
      </c>
      <c r="DC770" s="14">
        <f t="shared" si="764"/>
        <v>0</v>
      </c>
      <c r="DD770" s="14">
        <f t="shared" si="774"/>
        <v>0</v>
      </c>
      <c r="DE770" s="14">
        <f t="shared" si="775"/>
        <v>0</v>
      </c>
      <c r="DF770" s="14">
        <f t="shared" si="765"/>
        <v>0</v>
      </c>
      <c r="DG770" s="14">
        <f t="shared" si="776"/>
        <v>0</v>
      </c>
      <c r="DH770" s="14">
        <f t="shared" si="777"/>
        <v>0</v>
      </c>
    </row>
    <row r="771" spans="2:112" hidden="1" outlineLevel="2">
      <c r="F771" s="126" t="s">
        <v>100</v>
      </c>
      <c r="I771" s="609" t="s">
        <v>736</v>
      </c>
      <c r="AJ771" s="976"/>
      <c r="AK771" s="710"/>
      <c r="AL771" s="710"/>
      <c r="AM771" s="710"/>
      <c r="AN771" s="710"/>
      <c r="AO771" s="710"/>
      <c r="AP771" s="710"/>
      <c r="AQ771" s="710"/>
      <c r="AR771" s="710"/>
      <c r="AS771" s="710">
        <v>0</v>
      </c>
      <c r="AT771" s="710">
        <v>0</v>
      </c>
      <c r="AU771" s="710">
        <v>0</v>
      </c>
      <c r="AV771" s="710">
        <v>0</v>
      </c>
      <c r="AW771" s="710">
        <v>0</v>
      </c>
      <c r="AX771" s="710">
        <v>0</v>
      </c>
      <c r="AY771" s="710">
        <v>0</v>
      </c>
      <c r="AZ771" s="710">
        <v>0</v>
      </c>
      <c r="BA771" s="710">
        <v>0</v>
      </c>
      <c r="BB771" s="710">
        <v>0</v>
      </c>
      <c r="BC771" s="710">
        <v>0</v>
      </c>
      <c r="BD771" s="710">
        <v>0</v>
      </c>
      <c r="BE771" s="710">
        <v>0</v>
      </c>
      <c r="BF771" s="710">
        <v>0</v>
      </c>
      <c r="BG771" s="710">
        <v>0</v>
      </c>
      <c r="BH771" s="710">
        <v>0</v>
      </c>
      <c r="BI771" s="710">
        <v>0</v>
      </c>
      <c r="BJ771" s="710">
        <v>0</v>
      </c>
      <c r="BK771" s="710">
        <v>0</v>
      </c>
      <c r="BL771" s="710">
        <v>0</v>
      </c>
      <c r="BM771" s="710">
        <v>0</v>
      </c>
      <c r="BN771" s="710">
        <v>0</v>
      </c>
      <c r="BO771" s="710">
        <v>0</v>
      </c>
      <c r="BP771" s="710">
        <v>0</v>
      </c>
      <c r="BQ771" s="710">
        <v>0</v>
      </c>
      <c r="BR771" s="710">
        <v>0</v>
      </c>
      <c r="BS771" s="710">
        <v>0</v>
      </c>
      <c r="BT771" s="710">
        <v>0</v>
      </c>
      <c r="BU771" s="710">
        <v>0</v>
      </c>
      <c r="BV771" s="710">
        <v>0</v>
      </c>
      <c r="BW771" s="710">
        <v>0</v>
      </c>
      <c r="BX771" s="710">
        <v>0</v>
      </c>
      <c r="BY771" s="710">
        <v>0</v>
      </c>
      <c r="BZ771" s="710">
        <v>0</v>
      </c>
      <c r="CA771" s="710">
        <v>0</v>
      </c>
      <c r="CB771" s="710">
        <v>0</v>
      </c>
      <c r="CC771" s="710">
        <v>0</v>
      </c>
      <c r="CD771" s="710">
        <v>0</v>
      </c>
      <c r="CE771" s="710">
        <v>0</v>
      </c>
      <c r="CF771" s="710">
        <v>0</v>
      </c>
      <c r="CG771" s="710">
        <v>0</v>
      </c>
      <c r="CH771" s="710">
        <v>0</v>
      </c>
      <c r="CI771" s="710">
        <v>0</v>
      </c>
      <c r="CJ771" s="710">
        <v>0</v>
      </c>
      <c r="CK771" s="710">
        <v>0</v>
      </c>
      <c r="CL771" s="710">
        <v>0</v>
      </c>
      <c r="CM771" s="710">
        <v>0</v>
      </c>
      <c r="CN771" s="710">
        <v>0</v>
      </c>
      <c r="CO771" s="710">
        <v>0</v>
      </c>
      <c r="CP771" s="710"/>
      <c r="CQ771" s="710"/>
      <c r="CR771" s="710"/>
      <c r="CS771" s="710"/>
      <c r="CT771" s="710"/>
      <c r="CU771" s="710"/>
      <c r="CV771" s="710"/>
      <c r="CW771" s="710"/>
      <c r="CX771" s="710"/>
      <c r="CY771" s="710"/>
      <c r="CZ771" s="710"/>
      <c r="DA771" s="710"/>
      <c r="DC771" s="12">
        <f>SUM(V771:AG771)</f>
        <v>0</v>
      </c>
      <c r="DD771" s="12">
        <f t="shared" si="774"/>
        <v>0</v>
      </c>
      <c r="DE771" s="12">
        <f t="shared" si="775"/>
        <v>0</v>
      </c>
      <c r="DF771" s="12">
        <f t="shared" ref="DF771:DF781" si="779">SUM(BF771:BQ771)</f>
        <v>0</v>
      </c>
      <c r="DG771" s="12">
        <f t="shared" si="776"/>
        <v>0</v>
      </c>
      <c r="DH771" s="12">
        <f t="shared" si="777"/>
        <v>0</v>
      </c>
    </row>
    <row r="772" spans="2:112" hidden="1" outlineLevel="2">
      <c r="F772" s="126" t="s">
        <v>107</v>
      </c>
      <c r="I772" s="609" t="s">
        <v>736</v>
      </c>
      <c r="AH772" s="887"/>
      <c r="AI772" s="887"/>
      <c r="AJ772" s="716"/>
      <c r="AK772" s="710"/>
      <c r="AL772" s="710"/>
      <c r="AM772" s="710"/>
      <c r="AN772" s="710"/>
      <c r="AO772" s="710"/>
      <c r="AP772" s="710"/>
      <c r="AQ772" s="710"/>
      <c r="AR772" s="710"/>
      <c r="AS772" s="710">
        <v>0</v>
      </c>
      <c r="AT772" s="710">
        <v>0</v>
      </c>
      <c r="AU772" s="710">
        <v>0</v>
      </c>
      <c r="AV772" s="710">
        <v>0</v>
      </c>
      <c r="AW772" s="710">
        <v>0</v>
      </c>
      <c r="AX772" s="710">
        <v>0</v>
      </c>
      <c r="AY772" s="710">
        <v>0</v>
      </c>
      <c r="AZ772" s="710">
        <v>0</v>
      </c>
      <c r="BA772" s="710">
        <v>0</v>
      </c>
      <c r="BB772" s="710">
        <v>0</v>
      </c>
      <c r="BC772" s="710">
        <v>0</v>
      </c>
      <c r="BD772" s="710">
        <v>0</v>
      </c>
      <c r="BE772" s="710">
        <v>0</v>
      </c>
      <c r="BF772" s="710">
        <v>0</v>
      </c>
      <c r="BG772" s="710">
        <v>0</v>
      </c>
      <c r="BH772" s="710">
        <v>0</v>
      </c>
      <c r="BI772" s="710">
        <v>0</v>
      </c>
      <c r="BJ772" s="710">
        <v>0</v>
      </c>
      <c r="BK772" s="710">
        <v>0</v>
      </c>
      <c r="BL772" s="710">
        <v>0</v>
      </c>
      <c r="BM772" s="710">
        <v>0</v>
      </c>
      <c r="BN772" s="710">
        <v>0</v>
      </c>
      <c r="BO772" s="710">
        <v>0</v>
      </c>
      <c r="BP772" s="710">
        <v>0</v>
      </c>
      <c r="BQ772" s="710">
        <v>0</v>
      </c>
      <c r="BR772" s="710">
        <v>0</v>
      </c>
      <c r="BS772" s="710">
        <v>0</v>
      </c>
      <c r="BT772" s="710">
        <v>0</v>
      </c>
      <c r="BU772" s="710">
        <v>0</v>
      </c>
      <c r="BV772" s="710">
        <v>0</v>
      </c>
      <c r="BW772" s="710">
        <v>0</v>
      </c>
      <c r="BX772" s="710">
        <v>0</v>
      </c>
      <c r="BY772" s="710">
        <v>0</v>
      </c>
      <c r="BZ772" s="710">
        <v>0</v>
      </c>
      <c r="CA772" s="710">
        <v>0</v>
      </c>
      <c r="CB772" s="710">
        <v>0</v>
      </c>
      <c r="CC772" s="710">
        <v>0</v>
      </c>
      <c r="CD772" s="710">
        <v>0</v>
      </c>
      <c r="CE772" s="710">
        <v>0</v>
      </c>
      <c r="CF772" s="710">
        <v>0</v>
      </c>
      <c r="CG772" s="710">
        <v>0</v>
      </c>
      <c r="CH772" s="710">
        <v>0</v>
      </c>
      <c r="CI772" s="710">
        <v>0</v>
      </c>
      <c r="CJ772" s="710">
        <v>0</v>
      </c>
      <c r="CK772" s="710">
        <v>0</v>
      </c>
      <c r="CL772" s="710">
        <v>0</v>
      </c>
      <c r="CM772" s="710">
        <v>0</v>
      </c>
      <c r="CN772" s="710">
        <v>0</v>
      </c>
      <c r="CO772" s="710">
        <v>0</v>
      </c>
      <c r="CP772" s="710"/>
      <c r="CQ772" s="710"/>
      <c r="CR772" s="710"/>
      <c r="CS772" s="710"/>
      <c r="CT772" s="710"/>
      <c r="CU772" s="710"/>
      <c r="CV772" s="710"/>
      <c r="CW772" s="710"/>
      <c r="CX772" s="710"/>
      <c r="CY772" s="710"/>
      <c r="CZ772" s="710"/>
      <c r="DA772" s="710"/>
      <c r="DB772" s="702"/>
      <c r="DC772" s="12">
        <f>SUM(V772:AG772)</f>
        <v>0</v>
      </c>
      <c r="DD772" s="12">
        <f t="shared" si="774"/>
        <v>0</v>
      </c>
      <c r="DE772" s="12">
        <f t="shared" si="775"/>
        <v>0</v>
      </c>
      <c r="DF772" s="12">
        <f t="shared" si="779"/>
        <v>0</v>
      </c>
      <c r="DG772" s="12">
        <f t="shared" si="776"/>
        <v>0</v>
      </c>
      <c r="DH772" s="12">
        <f t="shared" si="777"/>
        <v>0</v>
      </c>
    </row>
    <row r="773" spans="2:112" hidden="1" outlineLevel="2">
      <c r="F773" s="126" t="s">
        <v>806</v>
      </c>
      <c r="I773" s="609" t="s">
        <v>736</v>
      </c>
      <c r="AH773" s="887"/>
      <c r="AI773" s="887"/>
      <c r="AJ773" s="716"/>
      <c r="AK773" s="977"/>
      <c r="AL773" s="710"/>
      <c r="AM773" s="710"/>
      <c r="AN773" s="710"/>
      <c r="AO773" s="710"/>
      <c r="AP773" s="710"/>
      <c r="AQ773" s="710"/>
      <c r="AR773" s="710"/>
      <c r="AS773" s="710">
        <v>0</v>
      </c>
      <c r="AT773" s="710">
        <v>0</v>
      </c>
      <c r="AU773" s="710">
        <v>0</v>
      </c>
      <c r="AV773" s="710">
        <v>0</v>
      </c>
      <c r="AW773" s="710">
        <v>0</v>
      </c>
      <c r="AX773" s="710">
        <v>0</v>
      </c>
      <c r="AY773" s="710">
        <v>0</v>
      </c>
      <c r="AZ773" s="710">
        <v>0</v>
      </c>
      <c r="BA773" s="710">
        <v>0</v>
      </c>
      <c r="BB773" s="710">
        <v>0</v>
      </c>
      <c r="BC773" s="710">
        <v>0</v>
      </c>
      <c r="BD773" s="710">
        <v>0</v>
      </c>
      <c r="BE773" s="710">
        <v>0</v>
      </c>
      <c r="BF773" s="710">
        <v>0</v>
      </c>
      <c r="BG773" s="710">
        <v>0</v>
      </c>
      <c r="BH773" s="710">
        <v>0</v>
      </c>
      <c r="BI773" s="710">
        <v>0</v>
      </c>
      <c r="BJ773" s="710">
        <v>0</v>
      </c>
      <c r="BK773" s="710">
        <v>0</v>
      </c>
      <c r="BL773" s="710">
        <v>0</v>
      </c>
      <c r="BM773" s="710">
        <v>0</v>
      </c>
      <c r="BN773" s="710">
        <v>0</v>
      </c>
      <c r="BO773" s="710">
        <v>0</v>
      </c>
      <c r="BP773" s="710">
        <v>0</v>
      </c>
      <c r="BQ773" s="710">
        <v>0</v>
      </c>
      <c r="BR773" s="710">
        <v>0</v>
      </c>
      <c r="BS773" s="710">
        <v>0</v>
      </c>
      <c r="BT773" s="710">
        <v>0</v>
      </c>
      <c r="BU773" s="710">
        <v>0</v>
      </c>
      <c r="BV773" s="710">
        <v>0</v>
      </c>
      <c r="BW773" s="710">
        <v>0</v>
      </c>
      <c r="BX773" s="710">
        <v>0</v>
      </c>
      <c r="BY773" s="710">
        <v>0</v>
      </c>
      <c r="BZ773" s="710">
        <v>0</v>
      </c>
      <c r="CA773" s="710">
        <v>0</v>
      </c>
      <c r="CB773" s="710">
        <v>0</v>
      </c>
      <c r="CC773" s="710">
        <v>0</v>
      </c>
      <c r="CD773" s="710">
        <v>0</v>
      </c>
      <c r="CE773" s="710">
        <v>0</v>
      </c>
      <c r="CF773" s="710">
        <v>0</v>
      </c>
      <c r="CG773" s="710">
        <v>0</v>
      </c>
      <c r="CH773" s="710">
        <v>0</v>
      </c>
      <c r="CI773" s="710">
        <v>0</v>
      </c>
      <c r="CJ773" s="710">
        <v>0</v>
      </c>
      <c r="CK773" s="710">
        <v>0</v>
      </c>
      <c r="CL773" s="710">
        <v>0</v>
      </c>
      <c r="CM773" s="710">
        <v>0</v>
      </c>
      <c r="CN773" s="710">
        <v>0</v>
      </c>
      <c r="CO773" s="710">
        <v>0</v>
      </c>
      <c r="CP773" s="710"/>
      <c r="CQ773" s="710"/>
      <c r="CR773" s="710"/>
      <c r="CS773" s="710"/>
      <c r="CT773" s="710"/>
      <c r="CU773" s="710"/>
      <c r="CV773" s="710"/>
      <c r="CW773" s="710"/>
      <c r="CX773" s="710"/>
      <c r="CY773" s="710"/>
      <c r="CZ773" s="710"/>
      <c r="DA773" s="710"/>
      <c r="DB773" s="702"/>
      <c r="DC773" s="12">
        <f>SUM(V773:AG773)</f>
        <v>0</v>
      </c>
      <c r="DD773" s="12">
        <f t="shared" si="774"/>
        <v>0</v>
      </c>
      <c r="DE773" s="12">
        <f t="shared" si="775"/>
        <v>0</v>
      </c>
      <c r="DF773" s="12">
        <f t="shared" si="779"/>
        <v>0</v>
      </c>
      <c r="DG773" s="12">
        <f t="shared" si="776"/>
        <v>0</v>
      </c>
      <c r="DH773" s="12">
        <f t="shared" si="777"/>
        <v>0</v>
      </c>
    </row>
    <row r="774" spans="2:112" hidden="1" outlineLevel="2">
      <c r="F774" s="126" t="s">
        <v>807</v>
      </c>
      <c r="I774" s="609" t="s">
        <v>736</v>
      </c>
      <c r="AH774" s="887"/>
      <c r="AI774" s="887"/>
      <c r="AJ774" s="716"/>
      <c r="AK774" s="977"/>
      <c r="AL774" s="710"/>
      <c r="AM774" s="710"/>
      <c r="AN774" s="710"/>
      <c r="AO774" s="710"/>
      <c r="AP774" s="710"/>
      <c r="AQ774" s="710"/>
      <c r="AR774" s="710"/>
      <c r="AS774" s="710"/>
      <c r="AT774" s="710"/>
      <c r="AU774" s="710"/>
      <c r="AV774" s="710"/>
      <c r="AW774" s="710"/>
      <c r="AX774" s="710"/>
      <c r="AY774" s="710"/>
      <c r="AZ774" s="710"/>
      <c r="BA774" s="710"/>
      <c r="BB774" s="710"/>
      <c r="BC774" s="710"/>
      <c r="BD774" s="710"/>
      <c r="BE774" s="710"/>
      <c r="BF774" s="710"/>
      <c r="BG774" s="710"/>
      <c r="BH774" s="710"/>
      <c r="BI774" s="710"/>
      <c r="BJ774" s="710"/>
      <c r="BK774" s="710"/>
      <c r="BL774" s="710"/>
      <c r="BM774" s="710"/>
      <c r="BN774" s="710"/>
      <c r="BO774" s="710"/>
      <c r="BP774" s="710"/>
      <c r="BQ774" s="710"/>
      <c r="BR774" s="710"/>
      <c r="BS774" s="710"/>
      <c r="BT774" s="710"/>
      <c r="BU774" s="710"/>
      <c r="BV774" s="710"/>
      <c r="BW774" s="710"/>
      <c r="BX774" s="710"/>
      <c r="BY774" s="710"/>
      <c r="BZ774" s="710"/>
      <c r="CA774" s="710"/>
      <c r="CB774" s="710"/>
      <c r="CC774" s="710"/>
      <c r="CD774" s="710"/>
      <c r="CE774" s="710"/>
      <c r="CF774" s="710"/>
      <c r="CG774" s="710"/>
      <c r="CH774" s="710"/>
      <c r="CI774" s="710"/>
      <c r="CJ774" s="710"/>
      <c r="CK774" s="710"/>
      <c r="CL774" s="710"/>
      <c r="CM774" s="710"/>
      <c r="CN774" s="710"/>
      <c r="CO774" s="710"/>
      <c r="CP774" s="710"/>
      <c r="CQ774" s="710"/>
      <c r="CR774" s="710"/>
      <c r="CS774" s="710"/>
      <c r="CT774" s="710"/>
      <c r="CU774" s="710"/>
      <c r="CV774" s="710"/>
      <c r="CW774" s="710"/>
      <c r="CX774" s="710"/>
      <c r="CY774" s="710"/>
      <c r="CZ774" s="710"/>
      <c r="DA774" s="710"/>
      <c r="DB774" s="702"/>
      <c r="DC774" s="12">
        <f>SUM(V774:AG774)</f>
        <v>0</v>
      </c>
      <c r="DD774" s="12">
        <f t="shared" si="774"/>
        <v>0</v>
      </c>
      <c r="DE774" s="12">
        <f t="shared" si="775"/>
        <v>0</v>
      </c>
      <c r="DF774" s="12">
        <f t="shared" si="779"/>
        <v>0</v>
      </c>
      <c r="DG774" s="12">
        <f t="shared" si="776"/>
        <v>0</v>
      </c>
      <c r="DH774" s="12">
        <f t="shared" si="777"/>
        <v>0</v>
      </c>
    </row>
    <row r="775" spans="2:112" hidden="1" outlineLevel="2">
      <c r="F775" s="126" t="s">
        <v>703</v>
      </c>
      <c r="I775" s="609" t="s">
        <v>736</v>
      </c>
      <c r="W775" s="887"/>
      <c r="AH775" s="887"/>
      <c r="AI775" s="887"/>
      <c r="AJ775" s="716"/>
      <c r="AK775" s="977"/>
      <c r="AL775" s="710"/>
      <c r="AM775" s="710"/>
      <c r="AN775" s="710"/>
      <c r="AO775" s="710"/>
      <c r="AP775" s="710"/>
      <c r="AQ775" s="710"/>
      <c r="AR775" s="710"/>
      <c r="AS775" s="710"/>
      <c r="AT775" s="710"/>
      <c r="AU775" s="710"/>
      <c r="AV775" s="710"/>
      <c r="AW775" s="710"/>
      <c r="AX775" s="710"/>
      <c r="AY775" s="710"/>
      <c r="AZ775" s="710"/>
      <c r="BA775" s="710"/>
      <c r="BB775" s="710"/>
      <c r="BC775" s="710"/>
      <c r="BD775" s="710"/>
      <c r="BE775" s="710"/>
      <c r="BF775" s="710"/>
      <c r="BG775" s="710"/>
      <c r="BH775" s="710"/>
      <c r="BI775" s="710"/>
      <c r="BJ775" s="710"/>
      <c r="BK775" s="710"/>
      <c r="BL775" s="710"/>
      <c r="BM775" s="710"/>
      <c r="BN775" s="710"/>
      <c r="BO775" s="710"/>
      <c r="BP775" s="710"/>
      <c r="BQ775" s="710"/>
      <c r="BR775" s="710"/>
      <c r="BS775" s="710"/>
      <c r="BT775" s="710"/>
      <c r="BU775" s="710"/>
      <c r="BV775" s="710"/>
      <c r="BW775" s="710"/>
      <c r="BX775" s="710"/>
      <c r="BY775" s="710"/>
      <c r="BZ775" s="710"/>
      <c r="CA775" s="710"/>
      <c r="CB775" s="710"/>
      <c r="CC775" s="710"/>
      <c r="CD775" s="710"/>
      <c r="CE775" s="710"/>
      <c r="CF775" s="710"/>
      <c r="CG775" s="710"/>
      <c r="CH775" s="710"/>
      <c r="CI775" s="710"/>
      <c r="CJ775" s="710"/>
      <c r="CK775" s="710"/>
      <c r="CL775" s="710"/>
      <c r="CM775" s="710"/>
      <c r="CN775" s="710"/>
      <c r="CO775" s="710"/>
      <c r="CP775" s="710"/>
      <c r="CQ775" s="710"/>
      <c r="CR775" s="710"/>
      <c r="CS775" s="710"/>
      <c r="CT775" s="710"/>
      <c r="CU775" s="710"/>
      <c r="CV775" s="710"/>
      <c r="CW775" s="710"/>
      <c r="CX775" s="710"/>
      <c r="CY775" s="710"/>
      <c r="CZ775" s="710"/>
      <c r="DA775" s="710"/>
      <c r="DB775" s="702"/>
      <c r="DC775" s="12">
        <f t="shared" ref="DC775:DC781" si="780">SUM(V775:AG775)</f>
        <v>0</v>
      </c>
      <c r="DD775" s="14">
        <f t="shared" si="774"/>
        <v>0</v>
      </c>
      <c r="DE775" s="14">
        <f t="shared" si="775"/>
        <v>0</v>
      </c>
      <c r="DF775" s="14">
        <f t="shared" si="779"/>
        <v>0</v>
      </c>
      <c r="DG775" s="14">
        <f t="shared" si="776"/>
        <v>0</v>
      </c>
      <c r="DH775" s="14">
        <f t="shared" si="777"/>
        <v>0</v>
      </c>
    </row>
    <row r="776" spans="2:112" hidden="1" outlineLevel="2">
      <c r="F776" s="126" t="s">
        <v>163</v>
      </c>
      <c r="I776" s="609" t="s">
        <v>736</v>
      </c>
      <c r="AH776" s="887"/>
      <c r="AI776" s="887"/>
      <c r="AJ776" s="716"/>
      <c r="AK776" s="977"/>
      <c r="AL776" s="710"/>
      <c r="AM776" s="710"/>
      <c r="AN776" s="710"/>
      <c r="AO776" s="710"/>
      <c r="AP776" s="710"/>
      <c r="AQ776" s="710"/>
      <c r="AR776" s="710"/>
      <c r="AS776" s="710"/>
      <c r="AT776" s="710"/>
      <c r="AU776" s="710"/>
      <c r="AV776" s="710"/>
      <c r="AW776" s="710"/>
      <c r="AX776" s="710"/>
      <c r="AY776" s="710"/>
      <c r="AZ776" s="710"/>
      <c r="BA776" s="710"/>
      <c r="BB776" s="710"/>
      <c r="BC776" s="710"/>
      <c r="BD776" s="710"/>
      <c r="BE776" s="710"/>
      <c r="BF776" s="710"/>
      <c r="BG776" s="710"/>
      <c r="BH776" s="710"/>
      <c r="BI776" s="710"/>
      <c r="BJ776" s="710"/>
      <c r="BK776" s="710"/>
      <c r="BL776" s="710"/>
      <c r="BM776" s="710"/>
      <c r="BN776" s="710"/>
      <c r="BO776" s="710"/>
      <c r="BP776" s="710"/>
      <c r="BQ776" s="710"/>
      <c r="BR776" s="710"/>
      <c r="BS776" s="710"/>
      <c r="BT776" s="710"/>
      <c r="BU776" s="710"/>
      <c r="BV776" s="710"/>
      <c r="BW776" s="710"/>
      <c r="BX776" s="710"/>
      <c r="BY776" s="710"/>
      <c r="BZ776" s="710"/>
      <c r="CA776" s="710"/>
      <c r="CB776" s="710"/>
      <c r="CC776" s="710"/>
      <c r="CD776" s="710"/>
      <c r="CE776" s="710"/>
      <c r="CF776" s="710"/>
      <c r="CG776" s="710"/>
      <c r="CH776" s="710"/>
      <c r="CI776" s="710"/>
      <c r="CJ776" s="710"/>
      <c r="CK776" s="710"/>
      <c r="CL776" s="710"/>
      <c r="CM776" s="710"/>
      <c r="CN776" s="710"/>
      <c r="CO776" s="710"/>
      <c r="CP776" s="710"/>
      <c r="CQ776" s="710"/>
      <c r="CR776" s="710"/>
      <c r="CS776" s="710"/>
      <c r="CT776" s="710"/>
      <c r="CU776" s="710"/>
      <c r="CV776" s="710"/>
      <c r="CW776" s="710"/>
      <c r="CX776" s="710"/>
      <c r="CY776" s="710"/>
      <c r="CZ776" s="710"/>
      <c r="DA776" s="710"/>
      <c r="DB776" s="702"/>
      <c r="DC776" s="12">
        <f t="shared" si="780"/>
        <v>0</v>
      </c>
      <c r="DD776" s="12">
        <f t="shared" si="774"/>
        <v>0</v>
      </c>
      <c r="DE776" s="12">
        <f t="shared" si="775"/>
        <v>0</v>
      </c>
      <c r="DF776" s="12">
        <f t="shared" si="779"/>
        <v>0</v>
      </c>
      <c r="DG776" s="12">
        <f t="shared" si="776"/>
        <v>0</v>
      </c>
      <c r="DH776" s="12">
        <f t="shared" si="777"/>
        <v>0</v>
      </c>
    </row>
    <row r="777" spans="2:112" hidden="1" outlineLevel="2">
      <c r="F777" s="126" t="s">
        <v>144</v>
      </c>
      <c r="H777" s="727"/>
      <c r="I777" s="609" t="s">
        <v>736</v>
      </c>
      <c r="AH777" s="887"/>
      <c r="AI777" s="887"/>
      <c r="AJ777" s="716"/>
      <c r="AK777" s="977"/>
      <c r="AL777" s="710"/>
      <c r="AM777" s="710"/>
      <c r="AN777" s="710"/>
      <c r="AO777" s="710"/>
      <c r="AP777" s="710"/>
      <c r="AQ777" s="710"/>
      <c r="AR777" s="710"/>
      <c r="AS777" s="710"/>
      <c r="AT777" s="710"/>
      <c r="AU777" s="710"/>
      <c r="AV777" s="710"/>
      <c r="AW777" s="710"/>
      <c r="AX777" s="710"/>
      <c r="AY777" s="710"/>
      <c r="AZ777" s="710"/>
      <c r="BA777" s="710"/>
      <c r="BB777" s="710"/>
      <c r="BC777" s="710"/>
      <c r="BD777" s="710"/>
      <c r="BE777" s="710"/>
      <c r="BF777" s="710"/>
      <c r="BG777" s="710"/>
      <c r="BH777" s="710"/>
      <c r="BI777" s="710"/>
      <c r="BJ777" s="710"/>
      <c r="BK777" s="710"/>
      <c r="BL777" s="710"/>
      <c r="BM777" s="710"/>
      <c r="BN777" s="710"/>
      <c r="BO777" s="710"/>
      <c r="BP777" s="710"/>
      <c r="BQ777" s="710"/>
      <c r="BR777" s="710"/>
      <c r="BS777" s="710"/>
      <c r="BT777" s="710"/>
      <c r="BU777" s="710"/>
      <c r="BV777" s="710"/>
      <c r="BW777" s="710"/>
      <c r="BX777" s="710"/>
      <c r="BY777" s="710"/>
      <c r="BZ777" s="710"/>
      <c r="CA777" s="710"/>
      <c r="CB777" s="710"/>
      <c r="CC777" s="710"/>
      <c r="CD777" s="710"/>
      <c r="CE777" s="710"/>
      <c r="CF777" s="710"/>
      <c r="CG777" s="710"/>
      <c r="CH777" s="710"/>
      <c r="CI777" s="710"/>
      <c r="CJ777" s="710"/>
      <c r="CK777" s="710"/>
      <c r="CL777" s="710"/>
      <c r="CM777" s="710"/>
      <c r="CN777" s="710"/>
      <c r="CO777" s="710"/>
      <c r="CP777" s="710"/>
      <c r="CQ777" s="710"/>
      <c r="CR777" s="710"/>
      <c r="CS777" s="710"/>
      <c r="CT777" s="710"/>
      <c r="CU777" s="710"/>
      <c r="CV777" s="710"/>
      <c r="CW777" s="710"/>
      <c r="CX777" s="710"/>
      <c r="CY777" s="710"/>
      <c r="CZ777" s="710"/>
      <c r="DA777" s="710"/>
      <c r="DB777" s="702"/>
      <c r="DC777" s="12"/>
      <c r="DD777" s="12"/>
      <c r="DE777" s="12"/>
      <c r="DF777" s="12"/>
      <c r="DG777" s="12"/>
      <c r="DH777" s="12"/>
    </row>
    <row r="778" spans="2:112" s="698" customFormat="1" hidden="1" outlineLevel="2">
      <c r="B778" s="126"/>
      <c r="F778" s="698" t="s">
        <v>675</v>
      </c>
      <c r="H778" s="703"/>
      <c r="I778" s="609" t="s">
        <v>736</v>
      </c>
      <c r="J778" s="703"/>
      <c r="K778" s="703"/>
      <c r="L778" s="703"/>
      <c r="M778" s="703"/>
      <c r="W778" s="705"/>
      <c r="X778" s="708"/>
      <c r="Y778" s="708"/>
      <c r="AJ778" s="790"/>
      <c r="AK778" s="972"/>
      <c r="AL778" s="972"/>
      <c r="AM778" s="972"/>
      <c r="AN778" s="972"/>
      <c r="AO778" s="972"/>
      <c r="AP778" s="972"/>
      <c r="AQ778" s="972"/>
      <c r="AR778" s="972"/>
      <c r="AS778" s="972">
        <v>0</v>
      </c>
      <c r="AT778" s="972">
        <v>0</v>
      </c>
      <c r="AU778" s="972">
        <v>0</v>
      </c>
      <c r="AV778" s="972">
        <v>0</v>
      </c>
      <c r="AW778" s="972">
        <v>0</v>
      </c>
      <c r="AX778" s="972">
        <v>0</v>
      </c>
      <c r="AY778" s="972">
        <v>0</v>
      </c>
      <c r="AZ778" s="972">
        <v>0</v>
      </c>
      <c r="BA778" s="972">
        <v>0</v>
      </c>
      <c r="BB778" s="972">
        <v>0</v>
      </c>
      <c r="BC778" s="972">
        <v>0</v>
      </c>
      <c r="BD778" s="972">
        <v>0</v>
      </c>
      <c r="BE778" s="972">
        <v>0</v>
      </c>
      <c r="BF778" s="972">
        <v>0</v>
      </c>
      <c r="BG778" s="972">
        <v>0</v>
      </c>
      <c r="BH778" s="972">
        <v>0</v>
      </c>
      <c r="BI778" s="972">
        <v>0</v>
      </c>
      <c r="BJ778" s="972">
        <v>0</v>
      </c>
      <c r="BK778" s="972">
        <v>0</v>
      </c>
      <c r="BL778" s="972">
        <v>0</v>
      </c>
      <c r="BM778" s="972">
        <v>0</v>
      </c>
      <c r="BN778" s="972">
        <v>0</v>
      </c>
      <c r="BO778" s="972">
        <v>0</v>
      </c>
      <c r="BP778" s="972">
        <v>0</v>
      </c>
      <c r="BQ778" s="972">
        <v>0</v>
      </c>
      <c r="BR778" s="972">
        <v>0</v>
      </c>
      <c r="BS778" s="972">
        <v>0</v>
      </c>
      <c r="BT778" s="972">
        <v>0</v>
      </c>
      <c r="BU778" s="972">
        <v>0</v>
      </c>
      <c r="BV778" s="972">
        <v>0</v>
      </c>
      <c r="BW778" s="972">
        <v>0</v>
      </c>
      <c r="BX778" s="972">
        <v>0</v>
      </c>
      <c r="BY778" s="972">
        <v>0</v>
      </c>
      <c r="BZ778" s="972">
        <v>0</v>
      </c>
      <c r="CA778" s="972">
        <v>0</v>
      </c>
      <c r="CB778" s="972">
        <v>0</v>
      </c>
      <c r="CC778" s="972">
        <v>0</v>
      </c>
      <c r="CD778" s="972">
        <v>0</v>
      </c>
      <c r="CE778" s="972">
        <v>0</v>
      </c>
      <c r="CF778" s="972">
        <v>0</v>
      </c>
      <c r="CG778" s="972">
        <v>0</v>
      </c>
      <c r="CH778" s="972">
        <v>0</v>
      </c>
      <c r="CI778" s="972">
        <v>0</v>
      </c>
      <c r="CJ778" s="972">
        <v>0</v>
      </c>
      <c r="CK778" s="972">
        <v>0</v>
      </c>
      <c r="CL778" s="972">
        <v>0</v>
      </c>
      <c r="CM778" s="972">
        <v>0</v>
      </c>
      <c r="CN778" s="972">
        <v>0</v>
      </c>
      <c r="CO778" s="972">
        <v>0</v>
      </c>
      <c r="CP778" s="972"/>
      <c r="CQ778" s="972"/>
      <c r="CR778" s="972"/>
      <c r="CS778" s="972"/>
      <c r="CT778" s="972"/>
      <c r="CU778" s="972"/>
      <c r="CV778" s="972"/>
      <c r="CW778" s="972"/>
      <c r="CX778" s="972"/>
      <c r="CY778" s="972"/>
      <c r="CZ778" s="972"/>
      <c r="DA778" s="972"/>
      <c r="DC778" s="14">
        <f t="shared" si="780"/>
        <v>0</v>
      </c>
      <c r="DD778" s="14">
        <f t="shared" si="774"/>
        <v>0</v>
      </c>
      <c r="DE778" s="14">
        <f t="shared" si="775"/>
        <v>0</v>
      </c>
      <c r="DF778" s="14">
        <f t="shared" si="779"/>
        <v>0</v>
      </c>
      <c r="DG778" s="14">
        <f t="shared" si="776"/>
        <v>0</v>
      </c>
      <c r="DH778" s="14">
        <f t="shared" si="777"/>
        <v>0</v>
      </c>
    </row>
    <row r="779" spans="2:112" s="698" customFormat="1" hidden="1" outlineLevel="2">
      <c r="B779" s="126"/>
      <c r="G779" s="126" t="s">
        <v>827</v>
      </c>
      <c r="H779" s="609"/>
      <c r="I779" s="609" t="s">
        <v>736</v>
      </c>
      <c r="J779" s="703"/>
      <c r="K779" s="703"/>
      <c r="L779" s="703"/>
      <c r="M779" s="703"/>
      <c r="W779" s="705"/>
      <c r="X779" s="708"/>
      <c r="Y779" s="708"/>
      <c r="AJ779" s="790"/>
      <c r="AK779" s="972"/>
      <c r="AL779" s="972"/>
      <c r="AM779" s="880"/>
      <c r="AN779" s="880"/>
      <c r="AO779" s="880"/>
      <c r="AP779" s="880"/>
      <c r="AQ779" s="880"/>
      <c r="AR779" s="880"/>
      <c r="AS779" s="880">
        <v>0</v>
      </c>
      <c r="AT779" s="880">
        <v>0</v>
      </c>
      <c r="AU779" s="880">
        <v>0</v>
      </c>
      <c r="AV779" s="880">
        <v>0</v>
      </c>
      <c r="AW779" s="880">
        <v>0</v>
      </c>
      <c r="AX779" s="880">
        <v>0</v>
      </c>
      <c r="AY779" s="880">
        <v>0</v>
      </c>
      <c r="AZ779" s="880">
        <v>0</v>
      </c>
      <c r="BA779" s="880">
        <v>0</v>
      </c>
      <c r="BB779" s="880">
        <v>0</v>
      </c>
      <c r="BC779" s="880">
        <v>0</v>
      </c>
      <c r="BD779" s="880">
        <v>0</v>
      </c>
      <c r="BE779" s="880">
        <v>0</v>
      </c>
      <c r="BF779" s="880">
        <v>0</v>
      </c>
      <c r="BG779" s="880">
        <v>0</v>
      </c>
      <c r="BH779" s="880">
        <v>0</v>
      </c>
      <c r="BI779" s="880">
        <v>0</v>
      </c>
      <c r="BJ779" s="880">
        <v>0</v>
      </c>
      <c r="BK779" s="880">
        <v>0</v>
      </c>
      <c r="BL779" s="880">
        <v>0</v>
      </c>
      <c r="BM779" s="880">
        <v>0</v>
      </c>
      <c r="BN779" s="880">
        <v>0</v>
      </c>
      <c r="BO779" s="880">
        <v>0</v>
      </c>
      <c r="BP779" s="880">
        <v>0</v>
      </c>
      <c r="BQ779" s="880">
        <v>0</v>
      </c>
      <c r="BR779" s="880">
        <v>0</v>
      </c>
      <c r="BS779" s="880">
        <v>0</v>
      </c>
      <c r="BT779" s="880">
        <v>0</v>
      </c>
      <c r="BU779" s="880">
        <v>0</v>
      </c>
      <c r="BV779" s="880">
        <v>0</v>
      </c>
      <c r="BW779" s="880">
        <v>0</v>
      </c>
      <c r="BX779" s="880">
        <v>0</v>
      </c>
      <c r="BY779" s="880">
        <v>0</v>
      </c>
      <c r="BZ779" s="880">
        <v>0</v>
      </c>
      <c r="CA779" s="880">
        <v>0</v>
      </c>
      <c r="CB779" s="880">
        <v>0</v>
      </c>
      <c r="CC779" s="880">
        <v>0</v>
      </c>
      <c r="CD779" s="880">
        <v>0</v>
      </c>
      <c r="CE779" s="880">
        <v>0</v>
      </c>
      <c r="CF779" s="880">
        <v>0</v>
      </c>
      <c r="CG779" s="880">
        <v>0</v>
      </c>
      <c r="CH779" s="880">
        <v>0</v>
      </c>
      <c r="CI779" s="880">
        <v>0</v>
      </c>
      <c r="CJ779" s="880">
        <v>0</v>
      </c>
      <c r="CK779" s="880">
        <v>0</v>
      </c>
      <c r="CL779" s="880">
        <v>0</v>
      </c>
      <c r="CM779" s="880">
        <v>0</v>
      </c>
      <c r="CN779" s="880">
        <v>0</v>
      </c>
      <c r="CO779" s="880">
        <v>0</v>
      </c>
      <c r="CP779" s="880"/>
      <c r="CQ779" s="880"/>
      <c r="CR779" s="880"/>
      <c r="CS779" s="880"/>
      <c r="CT779" s="880"/>
      <c r="CU779" s="880"/>
      <c r="CV779" s="880"/>
      <c r="CW779" s="880"/>
      <c r="CX779" s="880"/>
      <c r="CY779" s="880"/>
      <c r="CZ779" s="880"/>
      <c r="DA779" s="880"/>
      <c r="DC779" s="12">
        <f t="shared" si="780"/>
        <v>0</v>
      </c>
      <c r="DD779" s="12">
        <f t="shared" si="774"/>
        <v>0</v>
      </c>
      <c r="DE779" s="12">
        <f t="shared" si="775"/>
        <v>0</v>
      </c>
      <c r="DF779" s="12">
        <f t="shared" si="779"/>
        <v>0</v>
      </c>
      <c r="DG779" s="12">
        <f t="shared" si="776"/>
        <v>0</v>
      </c>
      <c r="DH779" s="12">
        <f t="shared" si="777"/>
        <v>0</v>
      </c>
    </row>
    <row r="780" spans="2:112" s="698" customFormat="1" hidden="1" outlineLevel="2">
      <c r="B780" s="126"/>
      <c r="G780" s="126" t="s">
        <v>828</v>
      </c>
      <c r="H780" s="609"/>
      <c r="I780" s="609" t="s">
        <v>736</v>
      </c>
      <c r="J780" s="703"/>
      <c r="K780" s="703"/>
      <c r="L780" s="703"/>
      <c r="M780" s="703"/>
      <c r="W780" s="705"/>
      <c r="X780" s="708"/>
      <c r="Y780" s="708"/>
      <c r="AJ780" s="790"/>
      <c r="AK780" s="972"/>
      <c r="AL780" s="972"/>
      <c r="AM780" s="880"/>
      <c r="AN780" s="880"/>
      <c r="AO780" s="880"/>
      <c r="AP780" s="880"/>
      <c r="AQ780" s="880"/>
      <c r="AR780" s="880"/>
      <c r="AS780" s="880">
        <v>0</v>
      </c>
      <c r="AT780" s="880">
        <v>0</v>
      </c>
      <c r="AU780" s="880">
        <v>0</v>
      </c>
      <c r="AV780" s="880">
        <v>0</v>
      </c>
      <c r="AW780" s="880">
        <v>0</v>
      </c>
      <c r="AX780" s="880">
        <v>0</v>
      </c>
      <c r="AY780" s="880">
        <v>0</v>
      </c>
      <c r="AZ780" s="880">
        <v>0</v>
      </c>
      <c r="BA780" s="880">
        <v>0</v>
      </c>
      <c r="BB780" s="880">
        <v>0</v>
      </c>
      <c r="BC780" s="880">
        <v>0</v>
      </c>
      <c r="BD780" s="880">
        <v>0</v>
      </c>
      <c r="BE780" s="880">
        <v>0</v>
      </c>
      <c r="BF780" s="880">
        <v>0</v>
      </c>
      <c r="BG780" s="880">
        <v>0</v>
      </c>
      <c r="BH780" s="880">
        <v>0</v>
      </c>
      <c r="BI780" s="880">
        <v>0</v>
      </c>
      <c r="BJ780" s="880">
        <v>0</v>
      </c>
      <c r="BK780" s="880">
        <v>0</v>
      </c>
      <c r="BL780" s="880">
        <v>0</v>
      </c>
      <c r="BM780" s="880">
        <v>0</v>
      </c>
      <c r="BN780" s="880">
        <v>0</v>
      </c>
      <c r="BO780" s="880">
        <v>0</v>
      </c>
      <c r="BP780" s="880">
        <v>0</v>
      </c>
      <c r="BQ780" s="880">
        <v>0</v>
      </c>
      <c r="BR780" s="880">
        <v>0</v>
      </c>
      <c r="BS780" s="880">
        <v>0</v>
      </c>
      <c r="BT780" s="880">
        <v>0</v>
      </c>
      <c r="BU780" s="880">
        <v>0</v>
      </c>
      <c r="BV780" s="880">
        <v>0</v>
      </c>
      <c r="BW780" s="880">
        <v>0</v>
      </c>
      <c r="BX780" s="880">
        <v>0</v>
      </c>
      <c r="BY780" s="880">
        <v>0</v>
      </c>
      <c r="BZ780" s="880">
        <v>0</v>
      </c>
      <c r="CA780" s="880">
        <v>0</v>
      </c>
      <c r="CB780" s="880">
        <v>0</v>
      </c>
      <c r="CC780" s="880">
        <v>0</v>
      </c>
      <c r="CD780" s="880">
        <v>0</v>
      </c>
      <c r="CE780" s="880">
        <v>0</v>
      </c>
      <c r="CF780" s="880">
        <v>0</v>
      </c>
      <c r="CG780" s="880">
        <v>0</v>
      </c>
      <c r="CH780" s="880">
        <v>0</v>
      </c>
      <c r="CI780" s="880">
        <v>0</v>
      </c>
      <c r="CJ780" s="880">
        <v>0</v>
      </c>
      <c r="CK780" s="880">
        <v>0</v>
      </c>
      <c r="CL780" s="880">
        <v>0</v>
      </c>
      <c r="CM780" s="880">
        <v>0</v>
      </c>
      <c r="CN780" s="880">
        <v>0</v>
      </c>
      <c r="CO780" s="880">
        <v>0</v>
      </c>
      <c r="CP780" s="880"/>
      <c r="CQ780" s="880"/>
      <c r="CR780" s="880"/>
      <c r="CS780" s="880"/>
      <c r="CT780" s="880"/>
      <c r="CU780" s="880"/>
      <c r="CV780" s="880"/>
      <c r="CW780" s="880"/>
      <c r="CX780" s="880"/>
      <c r="CY780" s="880"/>
      <c r="CZ780" s="880"/>
      <c r="DA780" s="880"/>
      <c r="DC780" s="14">
        <f t="shared" si="780"/>
        <v>0</v>
      </c>
      <c r="DD780" s="12">
        <f t="shared" si="774"/>
        <v>0</v>
      </c>
      <c r="DE780" s="12">
        <f t="shared" si="775"/>
        <v>0</v>
      </c>
      <c r="DF780" s="12">
        <f t="shared" si="779"/>
        <v>0</v>
      </c>
      <c r="DG780" s="12">
        <f t="shared" si="776"/>
        <v>0</v>
      </c>
      <c r="DH780" s="12">
        <f t="shared" si="777"/>
        <v>0</v>
      </c>
    </row>
    <row r="781" spans="2:112" hidden="1" outlineLevel="2">
      <c r="E781" s="720" t="s">
        <v>820</v>
      </c>
      <c r="F781" s="887"/>
      <c r="G781" s="887"/>
      <c r="H781" s="965"/>
      <c r="I781" s="609" t="s">
        <v>736</v>
      </c>
      <c r="W781" s="706"/>
      <c r="Y781" s="698"/>
      <c r="AH781" s="873"/>
      <c r="AI781" s="873"/>
      <c r="AJ781" s="880"/>
      <c r="AK781" s="978"/>
      <c r="AL781" s="978"/>
      <c r="AM781" s="978"/>
      <c r="AN781" s="978"/>
      <c r="AO781" s="978"/>
      <c r="AP781" s="978"/>
      <c r="AQ781" s="978"/>
      <c r="AR781" s="978"/>
      <c r="AS781" s="978">
        <f t="shared" ref="AS781:CO781" si="781">AS757+AS769+AS770</f>
        <v>0</v>
      </c>
      <c r="AT781" s="978">
        <f t="shared" si="781"/>
        <v>0</v>
      </c>
      <c r="AU781" s="978">
        <f t="shared" si="781"/>
        <v>0</v>
      </c>
      <c r="AV781" s="978">
        <f t="shared" si="781"/>
        <v>0</v>
      </c>
      <c r="AW781" s="978">
        <f t="shared" si="781"/>
        <v>0</v>
      </c>
      <c r="AX781" s="978">
        <f t="shared" si="781"/>
        <v>0</v>
      </c>
      <c r="AY781" s="978">
        <f t="shared" si="781"/>
        <v>0</v>
      </c>
      <c r="AZ781" s="978">
        <f t="shared" si="781"/>
        <v>0</v>
      </c>
      <c r="BA781" s="978">
        <f t="shared" si="781"/>
        <v>0</v>
      </c>
      <c r="BB781" s="978">
        <f t="shared" si="781"/>
        <v>0</v>
      </c>
      <c r="BC781" s="978">
        <f t="shared" si="781"/>
        <v>0</v>
      </c>
      <c r="BD781" s="978">
        <f t="shared" si="781"/>
        <v>0</v>
      </c>
      <c r="BE781" s="978">
        <f t="shared" si="781"/>
        <v>0</v>
      </c>
      <c r="BF781" s="978">
        <f t="shared" si="781"/>
        <v>0</v>
      </c>
      <c r="BG781" s="978">
        <f t="shared" si="781"/>
        <v>0</v>
      </c>
      <c r="BH781" s="978">
        <f t="shared" si="781"/>
        <v>0</v>
      </c>
      <c r="BI781" s="978">
        <f t="shared" si="781"/>
        <v>0</v>
      </c>
      <c r="BJ781" s="978">
        <f t="shared" si="781"/>
        <v>0</v>
      </c>
      <c r="BK781" s="978">
        <f t="shared" si="781"/>
        <v>0</v>
      </c>
      <c r="BL781" s="978">
        <f t="shared" si="781"/>
        <v>0</v>
      </c>
      <c r="BM781" s="978">
        <f t="shared" si="781"/>
        <v>0</v>
      </c>
      <c r="BN781" s="978">
        <f t="shared" si="781"/>
        <v>0</v>
      </c>
      <c r="BO781" s="978">
        <f t="shared" si="781"/>
        <v>0</v>
      </c>
      <c r="BP781" s="978">
        <f t="shared" si="781"/>
        <v>0</v>
      </c>
      <c r="BQ781" s="978">
        <f t="shared" si="781"/>
        <v>0</v>
      </c>
      <c r="BR781" s="978">
        <f t="shared" si="781"/>
        <v>0</v>
      </c>
      <c r="BS781" s="978">
        <f t="shared" si="781"/>
        <v>0</v>
      </c>
      <c r="BT781" s="978">
        <f t="shared" si="781"/>
        <v>0</v>
      </c>
      <c r="BU781" s="978">
        <f t="shared" si="781"/>
        <v>0</v>
      </c>
      <c r="BV781" s="978">
        <f t="shared" si="781"/>
        <v>0</v>
      </c>
      <c r="BW781" s="978">
        <f t="shared" si="781"/>
        <v>0</v>
      </c>
      <c r="BX781" s="978">
        <f t="shared" si="781"/>
        <v>0</v>
      </c>
      <c r="BY781" s="978">
        <f t="shared" si="781"/>
        <v>0</v>
      </c>
      <c r="BZ781" s="978">
        <f t="shared" si="781"/>
        <v>0</v>
      </c>
      <c r="CA781" s="978">
        <f t="shared" si="781"/>
        <v>0</v>
      </c>
      <c r="CB781" s="978">
        <f t="shared" si="781"/>
        <v>0</v>
      </c>
      <c r="CC781" s="978">
        <f t="shared" si="781"/>
        <v>0</v>
      </c>
      <c r="CD781" s="978">
        <f t="shared" si="781"/>
        <v>0</v>
      </c>
      <c r="CE781" s="978">
        <f t="shared" si="781"/>
        <v>0</v>
      </c>
      <c r="CF781" s="978">
        <f t="shared" si="781"/>
        <v>0</v>
      </c>
      <c r="CG781" s="978">
        <f t="shared" si="781"/>
        <v>0</v>
      </c>
      <c r="CH781" s="978">
        <f t="shared" si="781"/>
        <v>0</v>
      </c>
      <c r="CI781" s="978">
        <f t="shared" si="781"/>
        <v>0</v>
      </c>
      <c r="CJ781" s="978">
        <f t="shared" si="781"/>
        <v>0</v>
      </c>
      <c r="CK781" s="978">
        <f t="shared" si="781"/>
        <v>0</v>
      </c>
      <c r="CL781" s="978">
        <f t="shared" si="781"/>
        <v>0</v>
      </c>
      <c r="CM781" s="978">
        <f t="shared" si="781"/>
        <v>0</v>
      </c>
      <c r="CN781" s="978">
        <f t="shared" si="781"/>
        <v>0</v>
      </c>
      <c r="CO781" s="978">
        <f t="shared" si="781"/>
        <v>0</v>
      </c>
      <c r="CP781" s="978"/>
      <c r="CQ781" s="978"/>
      <c r="CR781" s="978"/>
      <c r="CS781" s="978"/>
      <c r="CT781" s="978"/>
      <c r="CU781" s="978"/>
      <c r="CV781" s="978"/>
      <c r="CW781" s="978"/>
      <c r="CX781" s="978"/>
      <c r="CY781" s="978"/>
      <c r="CZ781" s="978"/>
      <c r="DA781" s="978"/>
      <c r="DB781" s="873"/>
      <c r="DC781" s="14">
        <f t="shared" si="780"/>
        <v>0</v>
      </c>
      <c r="DD781" s="14">
        <f t="shared" si="774"/>
        <v>0</v>
      </c>
      <c r="DE781" s="14">
        <f t="shared" si="775"/>
        <v>0</v>
      </c>
      <c r="DF781" s="14">
        <f t="shared" si="779"/>
        <v>0</v>
      </c>
      <c r="DG781" s="14">
        <f t="shared" si="776"/>
        <v>0</v>
      </c>
      <c r="DH781" s="14">
        <f t="shared" si="777"/>
        <v>0</v>
      </c>
    </row>
    <row r="782" spans="2:112" s="702" customFormat="1" hidden="1" outlineLevel="2">
      <c r="B782" s="126"/>
      <c r="E782" s="126"/>
      <c r="F782" s="698"/>
      <c r="G782" s="126"/>
      <c r="H782" s="609"/>
      <c r="I782" s="609"/>
      <c r="J782" s="965"/>
      <c r="K782" s="965"/>
      <c r="L782" s="965"/>
      <c r="M782" s="965"/>
      <c r="N782" s="887"/>
      <c r="O782" s="887"/>
      <c r="P782" s="887"/>
      <c r="Q782" s="887"/>
      <c r="R782" s="887"/>
      <c r="S782" s="887"/>
      <c r="T782" s="887"/>
      <c r="U782" s="887"/>
      <c r="V782" s="887"/>
      <c r="Z782" s="887"/>
      <c r="AA782" s="887"/>
      <c r="AB782" s="887"/>
      <c r="AC782" s="887"/>
      <c r="AD782" s="887"/>
      <c r="AE782" s="887"/>
      <c r="AF782" s="887"/>
      <c r="AG782" s="887"/>
      <c r="AH782" s="887"/>
      <c r="AI782" s="887"/>
      <c r="AJ782" s="887"/>
      <c r="AK782" s="887"/>
      <c r="AL782" s="887"/>
      <c r="AM782" s="887"/>
      <c r="AN782" s="887"/>
      <c r="AO782" s="887"/>
      <c r="AP782" s="887"/>
      <c r="AQ782" s="887"/>
      <c r="AR782" s="887"/>
      <c r="AS782" s="887"/>
      <c r="AT782" s="887"/>
      <c r="AU782" s="887"/>
      <c r="AV782" s="887"/>
      <c r="AW782" s="887"/>
      <c r="AX782" s="887"/>
      <c r="AY782" s="887"/>
      <c r="AZ782" s="887"/>
      <c r="BA782" s="887"/>
      <c r="BB782" s="887"/>
      <c r="BC782" s="887"/>
      <c r="BD782" s="887"/>
      <c r="BE782" s="887"/>
      <c r="BF782" s="887"/>
      <c r="BG782" s="887"/>
      <c r="BH782" s="887"/>
      <c r="BI782" s="887"/>
      <c r="BJ782" s="887"/>
      <c r="BK782" s="887"/>
      <c r="BL782" s="887"/>
      <c r="BM782" s="887"/>
      <c r="BN782" s="887"/>
      <c r="BO782" s="887"/>
      <c r="BP782" s="887"/>
      <c r="BQ782" s="887"/>
      <c r="BR782" s="887"/>
      <c r="BS782" s="887"/>
      <c r="BT782" s="887"/>
      <c r="BU782" s="887"/>
      <c r="BV782" s="887"/>
      <c r="BW782" s="887"/>
      <c r="BX782" s="887"/>
      <c r="BY782" s="887"/>
      <c r="BZ782" s="887"/>
      <c r="CA782" s="887"/>
      <c r="CB782" s="887"/>
      <c r="CC782" s="887"/>
      <c r="CD782" s="887"/>
      <c r="CE782" s="887"/>
      <c r="CF782" s="887"/>
      <c r="CG782" s="887"/>
      <c r="CH782" s="887"/>
      <c r="CI782" s="887"/>
      <c r="CJ782" s="887"/>
      <c r="CK782" s="887"/>
      <c r="CL782" s="887"/>
      <c r="CM782" s="887"/>
      <c r="CN782" s="887"/>
      <c r="CO782" s="887"/>
      <c r="CP782" s="887"/>
      <c r="CQ782" s="887"/>
      <c r="CR782" s="887"/>
      <c r="CS782" s="887"/>
      <c r="CT782" s="887"/>
      <c r="CU782" s="887"/>
      <c r="CV782" s="887"/>
      <c r="CW782" s="887"/>
      <c r="CX782" s="887"/>
      <c r="CY782" s="887"/>
      <c r="CZ782" s="887"/>
      <c r="DA782" s="887"/>
    </row>
    <row r="783" spans="2:112" s="702" customFormat="1" hidden="1" outlineLevel="1">
      <c r="B783" s="126"/>
      <c r="E783" s="126"/>
      <c r="F783" s="698"/>
      <c r="G783" s="126"/>
      <c r="H783" s="609"/>
      <c r="I783" s="609"/>
      <c r="J783" s="965"/>
      <c r="K783" s="965"/>
      <c r="L783" s="965"/>
      <c r="M783" s="965"/>
      <c r="N783" s="887"/>
      <c r="O783" s="887"/>
      <c r="P783" s="887"/>
      <c r="Q783" s="887"/>
      <c r="R783" s="887"/>
      <c r="S783" s="887"/>
      <c r="T783" s="887"/>
      <c r="U783" s="887"/>
      <c r="V783" s="887"/>
      <c r="Z783" s="887"/>
      <c r="AA783" s="887"/>
      <c r="AB783" s="887"/>
      <c r="AC783" s="887"/>
      <c r="AD783" s="887"/>
      <c r="AE783" s="887"/>
      <c r="AF783" s="887"/>
      <c r="AG783" s="887"/>
      <c r="AH783" s="887"/>
      <c r="AI783" s="887"/>
      <c r="AJ783" s="887"/>
      <c r="AK783" s="887"/>
      <c r="AL783" s="887"/>
      <c r="AM783" s="887"/>
      <c r="AN783" s="887"/>
      <c r="AO783" s="887"/>
      <c r="AP783" s="887"/>
      <c r="AQ783" s="887"/>
      <c r="AR783" s="887"/>
      <c r="AS783" s="887"/>
      <c r="AT783" s="887"/>
      <c r="AU783" s="887"/>
      <c r="AV783" s="887"/>
      <c r="AW783" s="887"/>
      <c r="AX783" s="887"/>
      <c r="AY783" s="887"/>
      <c r="AZ783" s="887"/>
      <c r="BA783" s="887"/>
      <c r="BB783" s="887"/>
      <c r="BC783" s="887"/>
      <c r="BD783" s="887"/>
      <c r="BE783" s="887"/>
      <c r="BF783" s="887"/>
      <c r="BG783" s="887"/>
      <c r="BH783" s="887"/>
      <c r="BI783" s="887"/>
      <c r="BJ783" s="887"/>
      <c r="BK783" s="887"/>
      <c r="BL783" s="887"/>
      <c r="BM783" s="887"/>
      <c r="BN783" s="887"/>
      <c r="BO783" s="887"/>
      <c r="BP783" s="887"/>
      <c r="BQ783" s="887"/>
      <c r="BR783" s="887"/>
      <c r="BS783" s="887"/>
      <c r="BT783" s="887"/>
      <c r="BU783" s="887"/>
      <c r="BV783" s="887"/>
      <c r="BW783" s="887"/>
      <c r="BX783" s="887"/>
      <c r="BY783" s="887"/>
      <c r="BZ783" s="887"/>
      <c r="CA783" s="887"/>
      <c r="CB783" s="887"/>
      <c r="CC783" s="887"/>
      <c r="CD783" s="887"/>
      <c r="CE783" s="887"/>
      <c r="CF783" s="887"/>
      <c r="CG783" s="887"/>
      <c r="CH783" s="887"/>
      <c r="CI783" s="887"/>
      <c r="CJ783" s="887"/>
      <c r="CK783" s="887"/>
      <c r="CL783" s="887"/>
      <c r="CM783" s="887"/>
      <c r="CN783" s="887"/>
      <c r="CO783" s="887"/>
      <c r="CP783" s="887"/>
      <c r="CQ783" s="887"/>
      <c r="CR783" s="887"/>
      <c r="CS783" s="887"/>
      <c r="CT783" s="887"/>
      <c r="CU783" s="887"/>
      <c r="CV783" s="887"/>
      <c r="CW783" s="887"/>
      <c r="CX783" s="887"/>
      <c r="CY783" s="887"/>
      <c r="CZ783" s="887"/>
      <c r="DA783" s="887"/>
    </row>
    <row r="784" spans="2:112" hidden="1" outlineLevel="1">
      <c r="E784" s="698" t="s">
        <v>859</v>
      </c>
      <c r="O784" s="706"/>
      <c r="P784" s="706"/>
      <c r="Q784" s="706"/>
      <c r="R784" s="706"/>
      <c r="S784" s="706"/>
      <c r="T784" s="706"/>
      <c r="U784" s="706"/>
      <c r="V784" s="706"/>
      <c r="Z784" s="731"/>
      <c r="AA784" s="731"/>
      <c r="AB784" s="731"/>
      <c r="AC784" s="731"/>
      <c r="AD784" s="731"/>
      <c r="AE784" s="731"/>
      <c r="AF784" s="731"/>
      <c r="AG784" s="731"/>
      <c r="AH784" s="731"/>
      <c r="AI784" s="731"/>
      <c r="AJ784" s="731"/>
      <c r="AK784" s="731"/>
      <c r="AL784" s="731"/>
      <c r="AM784" s="731"/>
      <c r="AN784" s="731"/>
      <c r="AO784" s="731"/>
      <c r="AP784" s="731"/>
      <c r="AQ784" s="731"/>
      <c r="AR784" s="731"/>
      <c r="AS784" s="731"/>
      <c r="AT784" s="731"/>
      <c r="AU784" s="731"/>
      <c r="AV784" s="731"/>
      <c r="AW784" s="731"/>
      <c r="AX784" s="731"/>
      <c r="AY784" s="731"/>
      <c r="AZ784" s="731"/>
      <c r="BA784" s="731"/>
      <c r="BB784" s="731"/>
      <c r="BC784" s="731"/>
      <c r="BD784" s="731"/>
      <c r="BE784" s="731"/>
      <c r="BF784" s="731"/>
      <c r="BG784" s="731"/>
      <c r="BH784" s="731"/>
      <c r="BI784" s="731"/>
      <c r="BJ784" s="731"/>
      <c r="BK784" s="731"/>
      <c r="BL784" s="731"/>
      <c r="BM784" s="731"/>
      <c r="BN784" s="731"/>
      <c r="BO784" s="731"/>
      <c r="BP784" s="731"/>
      <c r="BQ784" s="731"/>
      <c r="BR784" s="731"/>
      <c r="BS784" s="731"/>
      <c r="BT784" s="731"/>
      <c r="BU784" s="731"/>
      <c r="BV784" s="731"/>
      <c r="BW784" s="731"/>
      <c r="BX784" s="731"/>
      <c r="BY784" s="731"/>
      <c r="BZ784" s="731"/>
      <c r="CA784" s="731"/>
      <c r="CB784" s="731"/>
      <c r="CC784" s="731"/>
      <c r="CD784" s="731"/>
      <c r="CE784" s="731"/>
      <c r="CF784" s="731"/>
      <c r="CG784" s="731"/>
      <c r="CH784" s="731"/>
      <c r="CI784" s="731"/>
      <c r="CJ784" s="731"/>
      <c r="CK784" s="731"/>
      <c r="CL784" s="731"/>
      <c r="CM784" s="731"/>
      <c r="CN784" s="731"/>
      <c r="CO784" s="731"/>
      <c r="CP784" s="731"/>
      <c r="CQ784" s="731"/>
      <c r="CR784" s="731"/>
      <c r="CS784" s="731"/>
      <c r="CT784" s="731"/>
      <c r="CU784" s="731"/>
      <c r="CV784" s="731"/>
      <c r="CW784" s="731"/>
      <c r="CX784" s="731"/>
      <c r="CY784" s="731"/>
      <c r="CZ784" s="731"/>
      <c r="DA784" s="731"/>
      <c r="DB784" s="697"/>
    </row>
    <row r="785" spans="2:112" hidden="1" outlineLevel="2">
      <c r="E785" s="698"/>
      <c r="F785" s="126" t="s">
        <v>817</v>
      </c>
      <c r="I785" s="699" t="s">
        <v>743</v>
      </c>
      <c r="AH785" s="758"/>
      <c r="AI785" s="758"/>
      <c r="AJ785" s="886"/>
      <c r="AK785" s="886"/>
      <c r="AL785" s="886"/>
      <c r="AM785" s="886"/>
      <c r="AN785" s="886"/>
      <c r="AO785" s="886"/>
      <c r="AP785" s="886"/>
      <c r="AQ785" s="886"/>
      <c r="AR785" s="886"/>
      <c r="AS785" s="756">
        <v>0</v>
      </c>
      <c r="AT785" s="886">
        <f>AS785+($BE$785-$AS$785)/12</f>
        <v>0</v>
      </c>
      <c r="AU785" s="886">
        <f t="shared" ref="AU785:BD785" si="782">AT785+($BE$785-$AS$785)/12</f>
        <v>0</v>
      </c>
      <c r="AV785" s="886">
        <f t="shared" si="782"/>
        <v>0</v>
      </c>
      <c r="AW785" s="886">
        <f t="shared" si="782"/>
        <v>0</v>
      </c>
      <c r="AX785" s="886">
        <f t="shared" si="782"/>
        <v>0</v>
      </c>
      <c r="AY785" s="886">
        <f t="shared" si="782"/>
        <v>0</v>
      </c>
      <c r="AZ785" s="886">
        <f t="shared" si="782"/>
        <v>0</v>
      </c>
      <c r="BA785" s="886">
        <f t="shared" si="782"/>
        <v>0</v>
      </c>
      <c r="BB785" s="886">
        <f t="shared" si="782"/>
        <v>0</v>
      </c>
      <c r="BC785" s="886">
        <f t="shared" si="782"/>
        <v>0</v>
      </c>
      <c r="BD785" s="886">
        <f t="shared" si="782"/>
        <v>0</v>
      </c>
      <c r="BE785" s="900">
        <f>AS785*1.4</f>
        <v>0</v>
      </c>
      <c r="BF785" s="886">
        <f>BE785+($BQ$785-$BE$785)/12</f>
        <v>0</v>
      </c>
      <c r="BG785" s="886">
        <f t="shared" ref="BG785:BP785" si="783">BF785+($BQ$785-$BE$785)/12</f>
        <v>0</v>
      </c>
      <c r="BH785" s="886">
        <f t="shared" si="783"/>
        <v>0</v>
      </c>
      <c r="BI785" s="886">
        <f t="shared" si="783"/>
        <v>0</v>
      </c>
      <c r="BJ785" s="886">
        <f t="shared" si="783"/>
        <v>0</v>
      </c>
      <c r="BK785" s="886">
        <f t="shared" si="783"/>
        <v>0</v>
      </c>
      <c r="BL785" s="886">
        <f t="shared" si="783"/>
        <v>0</v>
      </c>
      <c r="BM785" s="886">
        <f t="shared" si="783"/>
        <v>0</v>
      </c>
      <c r="BN785" s="886">
        <f t="shared" si="783"/>
        <v>0</v>
      </c>
      <c r="BO785" s="886">
        <f t="shared" si="783"/>
        <v>0</v>
      </c>
      <c r="BP785" s="886">
        <f t="shared" si="783"/>
        <v>0</v>
      </c>
      <c r="BQ785" s="900">
        <f>BE785*1.4</f>
        <v>0</v>
      </c>
      <c r="BR785" s="886">
        <f>BQ785+($CC$785-$BQ$785)/12</f>
        <v>0</v>
      </c>
      <c r="BS785" s="886">
        <f t="shared" ref="BS785:CB785" si="784">BR785+($CC$785-$BQ$785)/12</f>
        <v>0</v>
      </c>
      <c r="BT785" s="886">
        <f t="shared" si="784"/>
        <v>0</v>
      </c>
      <c r="BU785" s="886">
        <f t="shared" si="784"/>
        <v>0</v>
      </c>
      <c r="BV785" s="886">
        <f t="shared" si="784"/>
        <v>0</v>
      </c>
      <c r="BW785" s="886">
        <f t="shared" si="784"/>
        <v>0</v>
      </c>
      <c r="BX785" s="886">
        <f t="shared" si="784"/>
        <v>0</v>
      </c>
      <c r="BY785" s="886">
        <f t="shared" si="784"/>
        <v>0</v>
      </c>
      <c r="BZ785" s="886">
        <f t="shared" si="784"/>
        <v>0</v>
      </c>
      <c r="CA785" s="886">
        <f t="shared" si="784"/>
        <v>0</v>
      </c>
      <c r="CB785" s="886">
        <f t="shared" si="784"/>
        <v>0</v>
      </c>
      <c r="CC785" s="900">
        <f>BQ785*1.4</f>
        <v>0</v>
      </c>
      <c r="CD785" s="886">
        <f>CC785+($CO$785-$CC$785)/12</f>
        <v>0</v>
      </c>
      <c r="CE785" s="886">
        <f t="shared" ref="CE785:CN785" si="785">CD785+($CO$785-$CC$785)/12</f>
        <v>0</v>
      </c>
      <c r="CF785" s="886">
        <f t="shared" si="785"/>
        <v>0</v>
      </c>
      <c r="CG785" s="886">
        <f t="shared" si="785"/>
        <v>0</v>
      </c>
      <c r="CH785" s="886">
        <f t="shared" si="785"/>
        <v>0</v>
      </c>
      <c r="CI785" s="886">
        <f t="shared" si="785"/>
        <v>0</v>
      </c>
      <c r="CJ785" s="886">
        <f t="shared" si="785"/>
        <v>0</v>
      </c>
      <c r="CK785" s="886">
        <f t="shared" si="785"/>
        <v>0</v>
      </c>
      <c r="CL785" s="886">
        <f t="shared" si="785"/>
        <v>0</v>
      </c>
      <c r="CM785" s="886">
        <f t="shared" si="785"/>
        <v>0</v>
      </c>
      <c r="CN785" s="886">
        <f t="shared" si="785"/>
        <v>0</v>
      </c>
      <c r="CO785" s="900">
        <f>CC785*1.4</f>
        <v>0</v>
      </c>
      <c r="CP785" s="886"/>
      <c r="CQ785" s="886"/>
      <c r="CR785" s="886"/>
      <c r="CS785" s="886"/>
      <c r="CT785" s="886"/>
      <c r="CU785" s="886"/>
      <c r="CV785" s="886"/>
      <c r="CW785" s="886"/>
      <c r="CX785" s="886"/>
      <c r="CY785" s="886"/>
      <c r="CZ785" s="886"/>
      <c r="DA785" s="900"/>
      <c r="DB785" s="12"/>
      <c r="DC785" s="12">
        <f>SUM(V785:AG785)</f>
        <v>0</v>
      </c>
      <c r="DD785" s="12">
        <f>SUM(AH785:AS785)</f>
        <v>0</v>
      </c>
      <c r="DE785" s="12">
        <f>SUM(AT785:BE785)</f>
        <v>0</v>
      </c>
      <c r="DF785" s="12">
        <f>SUM(BF785:BQ785)</f>
        <v>0</v>
      </c>
      <c r="DG785" s="12">
        <f>SUM(BR785:CC785)</f>
        <v>0</v>
      </c>
      <c r="DH785" s="12">
        <f>SUM(CD785:CO785)</f>
        <v>0</v>
      </c>
    </row>
    <row r="786" spans="2:112" hidden="1" outlineLevel="2">
      <c r="E786" s="698"/>
      <c r="F786" s="126" t="s">
        <v>823</v>
      </c>
      <c r="I786" s="699" t="s">
        <v>743</v>
      </c>
      <c r="AH786" s="758"/>
      <c r="AI786" s="758"/>
      <c r="AJ786" s="886"/>
      <c r="AK786" s="886"/>
      <c r="AL786" s="886"/>
      <c r="AM786" s="886"/>
      <c r="AN786" s="886"/>
      <c r="AO786" s="886"/>
      <c r="AP786" s="886"/>
      <c r="AQ786" s="886"/>
      <c r="AR786" s="886"/>
      <c r="AS786" s="886">
        <f>AS785+AR786-AM785</f>
        <v>0</v>
      </c>
      <c r="AT786" s="886">
        <f>AT785+AS786-AN785</f>
        <v>0</v>
      </c>
      <c r="AU786" s="886">
        <f t="shared" ref="AU786:CO786" si="786">AU785+AT786-AO785</f>
        <v>0</v>
      </c>
      <c r="AV786" s="886">
        <f t="shared" si="786"/>
        <v>0</v>
      </c>
      <c r="AW786" s="886">
        <f t="shared" si="786"/>
        <v>0</v>
      </c>
      <c r="AX786" s="886">
        <f t="shared" si="786"/>
        <v>0</v>
      </c>
      <c r="AY786" s="886">
        <f t="shared" si="786"/>
        <v>0</v>
      </c>
      <c r="AZ786" s="886">
        <f t="shared" si="786"/>
        <v>0</v>
      </c>
      <c r="BA786" s="886">
        <f t="shared" si="786"/>
        <v>0</v>
      </c>
      <c r="BB786" s="886">
        <f t="shared" si="786"/>
        <v>0</v>
      </c>
      <c r="BC786" s="886">
        <f t="shared" si="786"/>
        <v>0</v>
      </c>
      <c r="BD786" s="886">
        <f t="shared" si="786"/>
        <v>0</v>
      </c>
      <c r="BE786" s="886">
        <f t="shared" si="786"/>
        <v>0</v>
      </c>
      <c r="BF786" s="886">
        <f t="shared" si="786"/>
        <v>0</v>
      </c>
      <c r="BG786" s="886">
        <f t="shared" si="786"/>
        <v>0</v>
      </c>
      <c r="BH786" s="886">
        <f t="shared" si="786"/>
        <v>0</v>
      </c>
      <c r="BI786" s="886">
        <f t="shared" si="786"/>
        <v>0</v>
      </c>
      <c r="BJ786" s="886">
        <f t="shared" si="786"/>
        <v>0</v>
      </c>
      <c r="BK786" s="886">
        <f t="shared" si="786"/>
        <v>0</v>
      </c>
      <c r="BL786" s="886">
        <f t="shared" si="786"/>
        <v>0</v>
      </c>
      <c r="BM786" s="886">
        <f t="shared" si="786"/>
        <v>0</v>
      </c>
      <c r="BN786" s="886">
        <f t="shared" si="786"/>
        <v>0</v>
      </c>
      <c r="BO786" s="886">
        <f t="shared" si="786"/>
        <v>0</v>
      </c>
      <c r="BP786" s="886">
        <f t="shared" si="786"/>
        <v>0</v>
      </c>
      <c r="BQ786" s="886">
        <f t="shared" si="786"/>
        <v>0</v>
      </c>
      <c r="BR786" s="886">
        <f t="shared" si="786"/>
        <v>0</v>
      </c>
      <c r="BS786" s="886">
        <f t="shared" si="786"/>
        <v>0</v>
      </c>
      <c r="BT786" s="886">
        <f t="shared" si="786"/>
        <v>0</v>
      </c>
      <c r="BU786" s="886">
        <f t="shared" si="786"/>
        <v>0</v>
      </c>
      <c r="BV786" s="886">
        <f t="shared" si="786"/>
        <v>0</v>
      </c>
      <c r="BW786" s="886">
        <f t="shared" si="786"/>
        <v>0</v>
      </c>
      <c r="BX786" s="886">
        <f t="shared" si="786"/>
        <v>0</v>
      </c>
      <c r="BY786" s="886">
        <f t="shared" si="786"/>
        <v>0</v>
      </c>
      <c r="BZ786" s="886">
        <f t="shared" si="786"/>
        <v>0</v>
      </c>
      <c r="CA786" s="886">
        <f t="shared" si="786"/>
        <v>0</v>
      </c>
      <c r="CB786" s="886">
        <f t="shared" si="786"/>
        <v>0</v>
      </c>
      <c r="CC786" s="886">
        <f t="shared" si="786"/>
        <v>0</v>
      </c>
      <c r="CD786" s="886">
        <f t="shared" si="786"/>
        <v>0</v>
      </c>
      <c r="CE786" s="886">
        <f t="shared" si="786"/>
        <v>0</v>
      </c>
      <c r="CF786" s="886">
        <f t="shared" si="786"/>
        <v>0</v>
      </c>
      <c r="CG786" s="886">
        <f t="shared" si="786"/>
        <v>0</v>
      </c>
      <c r="CH786" s="886">
        <f t="shared" si="786"/>
        <v>0</v>
      </c>
      <c r="CI786" s="886">
        <f t="shared" si="786"/>
        <v>0</v>
      </c>
      <c r="CJ786" s="886">
        <f t="shared" si="786"/>
        <v>0</v>
      </c>
      <c r="CK786" s="886">
        <f t="shared" si="786"/>
        <v>0</v>
      </c>
      <c r="CL786" s="886">
        <f t="shared" si="786"/>
        <v>0</v>
      </c>
      <c r="CM786" s="886">
        <f t="shared" si="786"/>
        <v>0</v>
      </c>
      <c r="CN786" s="886">
        <f t="shared" si="786"/>
        <v>0</v>
      </c>
      <c r="CO786" s="886">
        <f t="shared" si="786"/>
        <v>0</v>
      </c>
      <c r="CP786" s="886"/>
      <c r="CQ786" s="886"/>
      <c r="CR786" s="886"/>
      <c r="CS786" s="886"/>
      <c r="CT786" s="886"/>
      <c r="CU786" s="886"/>
      <c r="CV786" s="886"/>
      <c r="CW786" s="886"/>
      <c r="CX786" s="886"/>
      <c r="CY786" s="886"/>
      <c r="CZ786" s="886"/>
      <c r="DA786" s="886"/>
      <c r="DB786" s="12"/>
      <c r="DC786" s="11">
        <f>AG786</f>
        <v>0</v>
      </c>
      <c r="DD786" s="11">
        <f>AS786</f>
        <v>0</v>
      </c>
      <c r="DE786" s="11">
        <f>BE786</f>
        <v>0</v>
      </c>
      <c r="DF786" s="11">
        <f>BQ786</f>
        <v>0</v>
      </c>
      <c r="DG786" s="11">
        <f>CC786</f>
        <v>0</v>
      </c>
      <c r="DH786" s="11">
        <f>CO786</f>
        <v>0</v>
      </c>
    </row>
    <row r="787" spans="2:112" hidden="1" outlineLevel="2">
      <c r="E787" s="698"/>
      <c r="F787" s="758" t="s">
        <v>795</v>
      </c>
      <c r="I787" s="609" t="s">
        <v>736</v>
      </c>
      <c r="AH787" s="11"/>
      <c r="AI787" s="11"/>
      <c r="AJ787" s="757"/>
      <c r="AK787" s="72"/>
      <c r="AL787" s="72"/>
      <c r="AM787" s="72"/>
      <c r="AN787" s="72"/>
      <c r="AO787" s="72"/>
      <c r="AP787" s="72"/>
      <c r="AQ787" s="72"/>
      <c r="AR787" s="72"/>
      <c r="AS787" s="72"/>
      <c r="AT787" s="757">
        <v>0</v>
      </c>
      <c r="AU787" s="757">
        <v>0</v>
      </c>
      <c r="AV787" s="757">
        <v>0</v>
      </c>
      <c r="AW787" s="757">
        <v>0</v>
      </c>
      <c r="AX787" s="757">
        <v>0</v>
      </c>
      <c r="AY787" s="757">
        <v>0</v>
      </c>
      <c r="AZ787" s="757">
        <v>0</v>
      </c>
      <c r="BA787" s="757">
        <v>0</v>
      </c>
      <c r="BB787" s="757">
        <v>0</v>
      </c>
      <c r="BC787" s="757">
        <v>0</v>
      </c>
      <c r="BD787" s="757">
        <v>0</v>
      </c>
      <c r="BE787" s="757">
        <v>0</v>
      </c>
      <c r="BF787" s="757">
        <v>0</v>
      </c>
      <c r="BG787" s="757">
        <v>0</v>
      </c>
      <c r="BH787" s="757">
        <v>0</v>
      </c>
      <c r="BI787" s="757">
        <v>0</v>
      </c>
      <c r="BJ787" s="757">
        <v>0</v>
      </c>
      <c r="BK787" s="757">
        <v>0</v>
      </c>
      <c r="BL787" s="757">
        <v>0</v>
      </c>
      <c r="BM787" s="757">
        <v>0</v>
      </c>
      <c r="BN787" s="757">
        <v>0</v>
      </c>
      <c r="BO787" s="757">
        <v>0</v>
      </c>
      <c r="BP787" s="757">
        <v>0</v>
      </c>
      <c r="BQ787" s="757">
        <v>0</v>
      </c>
      <c r="BR787" s="757">
        <v>0</v>
      </c>
      <c r="BS787" s="757">
        <v>0</v>
      </c>
      <c r="BT787" s="757">
        <v>0</v>
      </c>
      <c r="BU787" s="757">
        <v>0</v>
      </c>
      <c r="BV787" s="757">
        <v>0</v>
      </c>
      <c r="BW787" s="757">
        <v>0</v>
      </c>
      <c r="BX787" s="757">
        <v>0</v>
      </c>
      <c r="BY787" s="757">
        <v>0</v>
      </c>
      <c r="BZ787" s="757">
        <v>0</v>
      </c>
      <c r="CA787" s="757">
        <v>0</v>
      </c>
      <c r="CB787" s="757">
        <v>0</v>
      </c>
      <c r="CC787" s="757">
        <v>0</v>
      </c>
      <c r="CD787" s="757">
        <v>0</v>
      </c>
      <c r="CE787" s="757">
        <v>0</v>
      </c>
      <c r="CF787" s="757">
        <v>0</v>
      </c>
      <c r="CG787" s="757">
        <v>0</v>
      </c>
      <c r="CH787" s="757">
        <v>0</v>
      </c>
      <c r="CI787" s="757">
        <v>0</v>
      </c>
      <c r="CJ787" s="757">
        <v>0</v>
      </c>
      <c r="CK787" s="757">
        <v>0</v>
      </c>
      <c r="CL787" s="757">
        <v>0</v>
      </c>
      <c r="CM787" s="757">
        <v>0</v>
      </c>
      <c r="CN787" s="757">
        <v>0</v>
      </c>
      <c r="CO787" s="757">
        <v>0</v>
      </c>
      <c r="CP787" s="757"/>
      <c r="CQ787" s="757"/>
      <c r="CR787" s="757"/>
      <c r="CS787" s="757"/>
      <c r="CT787" s="757"/>
      <c r="CU787" s="757"/>
      <c r="CV787" s="757"/>
      <c r="CW787" s="757"/>
      <c r="CX787" s="757"/>
      <c r="CY787" s="757"/>
      <c r="CZ787" s="757"/>
      <c r="DA787" s="757"/>
      <c r="DB787" s="11"/>
      <c r="DC787" s="12">
        <f>SUM(V787:AG787)</f>
        <v>0</v>
      </c>
      <c r="DD787" s="12">
        <f>SUM(AH787:AS787)</f>
        <v>0</v>
      </c>
      <c r="DE787" s="12">
        <f>SUM(AT787:BE787)</f>
        <v>0</v>
      </c>
      <c r="DF787" s="12">
        <f>SUM(BF787:BQ787)</f>
        <v>0</v>
      </c>
      <c r="DG787" s="12">
        <f>SUM(BR787:CC787)</f>
        <v>0</v>
      </c>
      <c r="DH787" s="12">
        <f>SUM(CD787:CO787)</f>
        <v>0</v>
      </c>
    </row>
    <row r="788" spans="2:112" hidden="1" outlineLevel="2">
      <c r="E788" s="698"/>
      <c r="F788" s="758" t="s">
        <v>796</v>
      </c>
      <c r="I788" s="609" t="s">
        <v>736</v>
      </c>
      <c r="AH788" s="758"/>
      <c r="AI788" s="758"/>
      <c r="AJ788" s="886"/>
      <c r="AK788" s="886"/>
      <c r="AL788" s="886"/>
      <c r="AM788" s="886"/>
      <c r="AN788" s="886"/>
      <c r="AO788" s="886"/>
      <c r="AP788" s="886"/>
      <c r="AQ788" s="886"/>
      <c r="AR788" s="886"/>
      <c r="AS788" s="756">
        <v>0</v>
      </c>
      <c r="AT788" s="756">
        <v>0</v>
      </c>
      <c r="AU788" s="756">
        <v>0</v>
      </c>
      <c r="AV788" s="756">
        <v>0</v>
      </c>
      <c r="AW788" s="756">
        <v>0</v>
      </c>
      <c r="AX788" s="756">
        <v>0</v>
      </c>
      <c r="AY788" s="756">
        <v>0</v>
      </c>
      <c r="AZ788" s="756">
        <v>0</v>
      </c>
      <c r="BA788" s="756">
        <v>0</v>
      </c>
      <c r="BB788" s="756">
        <v>0</v>
      </c>
      <c r="BC788" s="756">
        <v>0</v>
      </c>
      <c r="BD788" s="756">
        <v>0</v>
      </c>
      <c r="BE788" s="756">
        <v>0</v>
      </c>
      <c r="BF788" s="756">
        <v>0</v>
      </c>
      <c r="BG788" s="756">
        <v>0</v>
      </c>
      <c r="BH788" s="756">
        <v>0</v>
      </c>
      <c r="BI788" s="756">
        <v>0</v>
      </c>
      <c r="BJ788" s="756">
        <v>0</v>
      </c>
      <c r="BK788" s="756">
        <v>0</v>
      </c>
      <c r="BL788" s="756">
        <v>0</v>
      </c>
      <c r="BM788" s="756">
        <v>0</v>
      </c>
      <c r="BN788" s="756">
        <v>0</v>
      </c>
      <c r="BO788" s="756">
        <v>0</v>
      </c>
      <c r="BP788" s="756">
        <v>0</v>
      </c>
      <c r="BQ788" s="756">
        <v>0</v>
      </c>
      <c r="BR788" s="756">
        <v>0</v>
      </c>
      <c r="BS788" s="756">
        <v>0</v>
      </c>
      <c r="BT788" s="756">
        <v>0</v>
      </c>
      <c r="BU788" s="756">
        <v>0</v>
      </c>
      <c r="BV788" s="756">
        <v>0</v>
      </c>
      <c r="BW788" s="756">
        <v>0</v>
      </c>
      <c r="BX788" s="756">
        <v>0</v>
      </c>
      <c r="BY788" s="756">
        <v>0</v>
      </c>
      <c r="BZ788" s="756">
        <v>0</v>
      </c>
      <c r="CA788" s="756">
        <v>0</v>
      </c>
      <c r="CB788" s="756">
        <v>0</v>
      </c>
      <c r="CC788" s="756">
        <v>0</v>
      </c>
      <c r="CD788" s="756">
        <v>0</v>
      </c>
      <c r="CE788" s="756">
        <v>0</v>
      </c>
      <c r="CF788" s="756">
        <v>0</v>
      </c>
      <c r="CG788" s="756">
        <v>0</v>
      </c>
      <c r="CH788" s="756">
        <v>0</v>
      </c>
      <c r="CI788" s="756">
        <v>0</v>
      </c>
      <c r="CJ788" s="756">
        <v>0</v>
      </c>
      <c r="CK788" s="756">
        <v>0</v>
      </c>
      <c r="CL788" s="756">
        <v>0</v>
      </c>
      <c r="CM788" s="756">
        <v>0</v>
      </c>
      <c r="CN788" s="756">
        <v>0</v>
      </c>
      <c r="CO788" s="756">
        <v>0</v>
      </c>
      <c r="CP788" s="886"/>
      <c r="CQ788" s="886"/>
      <c r="CR788" s="886"/>
      <c r="CS788" s="886"/>
      <c r="CT788" s="886"/>
      <c r="CU788" s="886"/>
      <c r="CV788" s="886"/>
      <c r="CW788" s="886"/>
      <c r="CX788" s="886"/>
      <c r="CY788" s="886"/>
      <c r="CZ788" s="886"/>
      <c r="DA788" s="886"/>
      <c r="DB788" s="12"/>
      <c r="DC788" s="11">
        <f>AG788</f>
        <v>0</v>
      </c>
      <c r="DD788" s="11">
        <f>AS788</f>
        <v>0</v>
      </c>
      <c r="DE788" s="11">
        <f>BE788</f>
        <v>0</v>
      </c>
      <c r="DF788" s="11">
        <f>BQ788</f>
        <v>0</v>
      </c>
      <c r="DG788" s="11">
        <f>CC788</f>
        <v>0</v>
      </c>
      <c r="DH788" s="11">
        <f>CO788</f>
        <v>0</v>
      </c>
    </row>
    <row r="789" spans="2:112" hidden="1" outlineLevel="2">
      <c r="E789" s="698"/>
      <c r="F789" s="758" t="s">
        <v>215</v>
      </c>
      <c r="I789" s="609" t="s">
        <v>736</v>
      </c>
      <c r="AH789" s="873"/>
      <c r="AI789" s="873"/>
      <c r="AJ789" s="873"/>
      <c r="AK789" s="873"/>
      <c r="AL789" s="873"/>
      <c r="AM789" s="873"/>
      <c r="AN789" s="873"/>
      <c r="AO789" s="873"/>
      <c r="AP789" s="873"/>
      <c r="AQ789" s="873"/>
      <c r="AR789" s="873"/>
      <c r="AS789" s="873">
        <f t="shared" ref="AS789:CO789" si="787">AS793+AS796</f>
        <v>0</v>
      </c>
      <c r="AT789" s="873">
        <f t="shared" si="787"/>
        <v>0</v>
      </c>
      <c r="AU789" s="873">
        <f t="shared" si="787"/>
        <v>0</v>
      </c>
      <c r="AV789" s="873">
        <f t="shared" si="787"/>
        <v>0</v>
      </c>
      <c r="AW789" s="873">
        <f t="shared" si="787"/>
        <v>0</v>
      </c>
      <c r="AX789" s="873">
        <f t="shared" si="787"/>
        <v>0</v>
      </c>
      <c r="AY789" s="873">
        <f t="shared" si="787"/>
        <v>0</v>
      </c>
      <c r="AZ789" s="873">
        <f t="shared" si="787"/>
        <v>0</v>
      </c>
      <c r="BA789" s="873">
        <f t="shared" si="787"/>
        <v>0</v>
      </c>
      <c r="BB789" s="873">
        <f t="shared" si="787"/>
        <v>0</v>
      </c>
      <c r="BC789" s="873">
        <f t="shared" si="787"/>
        <v>0</v>
      </c>
      <c r="BD789" s="873">
        <f t="shared" si="787"/>
        <v>0</v>
      </c>
      <c r="BE789" s="873">
        <f t="shared" si="787"/>
        <v>0</v>
      </c>
      <c r="BF789" s="873">
        <f t="shared" si="787"/>
        <v>0</v>
      </c>
      <c r="BG789" s="873">
        <f t="shared" si="787"/>
        <v>0</v>
      </c>
      <c r="BH789" s="873">
        <f t="shared" si="787"/>
        <v>0</v>
      </c>
      <c r="BI789" s="873">
        <f t="shared" si="787"/>
        <v>0</v>
      </c>
      <c r="BJ789" s="873">
        <f t="shared" si="787"/>
        <v>0</v>
      </c>
      <c r="BK789" s="873">
        <f t="shared" si="787"/>
        <v>0</v>
      </c>
      <c r="BL789" s="873">
        <f t="shared" si="787"/>
        <v>0</v>
      </c>
      <c r="BM789" s="873">
        <f t="shared" si="787"/>
        <v>0</v>
      </c>
      <c r="BN789" s="873">
        <f t="shared" si="787"/>
        <v>0</v>
      </c>
      <c r="BO789" s="873">
        <f t="shared" si="787"/>
        <v>0</v>
      </c>
      <c r="BP789" s="873">
        <f t="shared" si="787"/>
        <v>0</v>
      </c>
      <c r="BQ789" s="873">
        <f t="shared" si="787"/>
        <v>0</v>
      </c>
      <c r="BR789" s="873">
        <f t="shared" si="787"/>
        <v>0</v>
      </c>
      <c r="BS789" s="873">
        <f t="shared" si="787"/>
        <v>0</v>
      </c>
      <c r="BT789" s="873">
        <f t="shared" si="787"/>
        <v>0</v>
      </c>
      <c r="BU789" s="873">
        <f t="shared" si="787"/>
        <v>0</v>
      </c>
      <c r="BV789" s="873">
        <f t="shared" si="787"/>
        <v>0</v>
      </c>
      <c r="BW789" s="873">
        <f t="shared" si="787"/>
        <v>0</v>
      </c>
      <c r="BX789" s="873">
        <f t="shared" si="787"/>
        <v>0</v>
      </c>
      <c r="BY789" s="873">
        <f t="shared" si="787"/>
        <v>0</v>
      </c>
      <c r="BZ789" s="873">
        <f t="shared" si="787"/>
        <v>0</v>
      </c>
      <c r="CA789" s="873">
        <f t="shared" si="787"/>
        <v>0</v>
      </c>
      <c r="CB789" s="873">
        <f t="shared" si="787"/>
        <v>0</v>
      </c>
      <c r="CC789" s="873">
        <f t="shared" si="787"/>
        <v>0</v>
      </c>
      <c r="CD789" s="873">
        <f t="shared" si="787"/>
        <v>0</v>
      </c>
      <c r="CE789" s="873">
        <f t="shared" si="787"/>
        <v>0</v>
      </c>
      <c r="CF789" s="873">
        <f t="shared" si="787"/>
        <v>0</v>
      </c>
      <c r="CG789" s="873">
        <f t="shared" si="787"/>
        <v>0</v>
      </c>
      <c r="CH789" s="873">
        <f t="shared" si="787"/>
        <v>0</v>
      </c>
      <c r="CI789" s="873">
        <f t="shared" si="787"/>
        <v>0</v>
      </c>
      <c r="CJ789" s="873">
        <f t="shared" si="787"/>
        <v>0</v>
      </c>
      <c r="CK789" s="873">
        <f t="shared" si="787"/>
        <v>0</v>
      </c>
      <c r="CL789" s="873">
        <f t="shared" si="787"/>
        <v>0</v>
      </c>
      <c r="CM789" s="873">
        <f t="shared" si="787"/>
        <v>0</v>
      </c>
      <c r="CN789" s="873">
        <f t="shared" si="787"/>
        <v>0</v>
      </c>
      <c r="CO789" s="873">
        <f t="shared" si="787"/>
        <v>0</v>
      </c>
      <c r="CP789" s="873"/>
      <c r="CQ789" s="873"/>
      <c r="CR789" s="873"/>
      <c r="CS789" s="873"/>
      <c r="CT789" s="873"/>
      <c r="CU789" s="873"/>
      <c r="CV789" s="873"/>
      <c r="CW789" s="873"/>
      <c r="CX789" s="873"/>
      <c r="CY789" s="873"/>
      <c r="CZ789" s="873"/>
      <c r="DA789" s="873"/>
      <c r="DB789" s="873"/>
      <c r="DC789" s="12">
        <f t="shared" ref="DC789:DC804" si="788">SUM(V789:AG789)</f>
        <v>0</v>
      </c>
      <c r="DD789" s="12">
        <f>SUM(AH789:AS789)</f>
        <v>0</v>
      </c>
      <c r="DE789" s="12">
        <f>SUM(AT789:BE789)</f>
        <v>0</v>
      </c>
      <c r="DF789" s="12">
        <f t="shared" ref="DF789:DF804" si="789">SUM(BF789:BQ789)</f>
        <v>0</v>
      </c>
      <c r="DG789" s="12">
        <f>SUM(BR789:CC789)</f>
        <v>0</v>
      </c>
      <c r="DH789" s="12">
        <f>SUM(CD789:CO789)</f>
        <v>0</v>
      </c>
    </row>
    <row r="790" spans="2:112" hidden="1" outlineLevel="2">
      <c r="E790" s="698"/>
      <c r="F790" s="758" t="s">
        <v>99</v>
      </c>
      <c r="I790" s="609" t="s">
        <v>736</v>
      </c>
      <c r="AH790" s="873"/>
      <c r="AI790" s="873"/>
      <c r="AJ790" s="873"/>
      <c r="AK790" s="873"/>
      <c r="AL790" s="873"/>
      <c r="AM790" s="873"/>
      <c r="AN790" s="873"/>
      <c r="AO790" s="873"/>
      <c r="AP790" s="873"/>
      <c r="AQ790" s="873"/>
      <c r="AR790" s="873"/>
      <c r="AS790" s="873">
        <f t="shared" ref="AS790:CO790" si="790">AS794+AS802</f>
        <v>0</v>
      </c>
      <c r="AT790" s="873">
        <f t="shared" si="790"/>
        <v>0</v>
      </c>
      <c r="AU790" s="873">
        <f t="shared" si="790"/>
        <v>0</v>
      </c>
      <c r="AV790" s="873">
        <f t="shared" si="790"/>
        <v>0</v>
      </c>
      <c r="AW790" s="873">
        <f t="shared" si="790"/>
        <v>0</v>
      </c>
      <c r="AX790" s="873">
        <f t="shared" si="790"/>
        <v>0</v>
      </c>
      <c r="AY790" s="873">
        <f t="shared" si="790"/>
        <v>0</v>
      </c>
      <c r="AZ790" s="873">
        <f t="shared" si="790"/>
        <v>0</v>
      </c>
      <c r="BA790" s="873">
        <f t="shared" si="790"/>
        <v>0</v>
      </c>
      <c r="BB790" s="873">
        <f t="shared" si="790"/>
        <v>0</v>
      </c>
      <c r="BC790" s="873">
        <f t="shared" si="790"/>
        <v>0</v>
      </c>
      <c r="BD790" s="873">
        <f t="shared" si="790"/>
        <v>0</v>
      </c>
      <c r="BE790" s="873">
        <f t="shared" si="790"/>
        <v>0</v>
      </c>
      <c r="BF790" s="873">
        <f t="shared" si="790"/>
        <v>0</v>
      </c>
      <c r="BG790" s="873">
        <f t="shared" si="790"/>
        <v>0</v>
      </c>
      <c r="BH790" s="873">
        <f t="shared" si="790"/>
        <v>0</v>
      </c>
      <c r="BI790" s="873">
        <f t="shared" si="790"/>
        <v>0</v>
      </c>
      <c r="BJ790" s="873">
        <f t="shared" si="790"/>
        <v>0</v>
      </c>
      <c r="BK790" s="873">
        <f t="shared" si="790"/>
        <v>0</v>
      </c>
      <c r="BL790" s="873">
        <f t="shared" si="790"/>
        <v>0</v>
      </c>
      <c r="BM790" s="873">
        <f t="shared" si="790"/>
        <v>0</v>
      </c>
      <c r="BN790" s="873">
        <f t="shared" si="790"/>
        <v>0</v>
      </c>
      <c r="BO790" s="873">
        <f t="shared" si="790"/>
        <v>0</v>
      </c>
      <c r="BP790" s="873">
        <f t="shared" si="790"/>
        <v>0</v>
      </c>
      <c r="BQ790" s="873">
        <f t="shared" si="790"/>
        <v>0</v>
      </c>
      <c r="BR790" s="873">
        <f t="shared" si="790"/>
        <v>0</v>
      </c>
      <c r="BS790" s="873">
        <f t="shared" si="790"/>
        <v>0</v>
      </c>
      <c r="BT790" s="873">
        <f t="shared" si="790"/>
        <v>0</v>
      </c>
      <c r="BU790" s="873">
        <f t="shared" si="790"/>
        <v>0</v>
      </c>
      <c r="BV790" s="873">
        <f t="shared" si="790"/>
        <v>0</v>
      </c>
      <c r="BW790" s="873">
        <f t="shared" si="790"/>
        <v>0</v>
      </c>
      <c r="BX790" s="873">
        <f t="shared" si="790"/>
        <v>0</v>
      </c>
      <c r="BY790" s="873">
        <f t="shared" si="790"/>
        <v>0</v>
      </c>
      <c r="BZ790" s="873">
        <f t="shared" si="790"/>
        <v>0</v>
      </c>
      <c r="CA790" s="873">
        <f t="shared" si="790"/>
        <v>0</v>
      </c>
      <c r="CB790" s="873">
        <f t="shared" si="790"/>
        <v>0</v>
      </c>
      <c r="CC790" s="873">
        <f t="shared" si="790"/>
        <v>0</v>
      </c>
      <c r="CD790" s="873">
        <f t="shared" si="790"/>
        <v>0</v>
      </c>
      <c r="CE790" s="873">
        <f t="shared" si="790"/>
        <v>0</v>
      </c>
      <c r="CF790" s="873">
        <f t="shared" si="790"/>
        <v>0</v>
      </c>
      <c r="CG790" s="873">
        <f t="shared" si="790"/>
        <v>0</v>
      </c>
      <c r="CH790" s="873">
        <f t="shared" si="790"/>
        <v>0</v>
      </c>
      <c r="CI790" s="873">
        <f t="shared" si="790"/>
        <v>0</v>
      </c>
      <c r="CJ790" s="873">
        <f t="shared" si="790"/>
        <v>0</v>
      </c>
      <c r="CK790" s="873">
        <f t="shared" si="790"/>
        <v>0</v>
      </c>
      <c r="CL790" s="873">
        <f t="shared" si="790"/>
        <v>0</v>
      </c>
      <c r="CM790" s="873">
        <f t="shared" si="790"/>
        <v>0</v>
      </c>
      <c r="CN790" s="873">
        <f t="shared" si="790"/>
        <v>0</v>
      </c>
      <c r="CO790" s="873">
        <f t="shared" si="790"/>
        <v>0</v>
      </c>
      <c r="CP790" s="873"/>
      <c r="CQ790" s="873"/>
      <c r="CR790" s="873"/>
      <c r="CS790" s="873"/>
      <c r="CT790" s="873"/>
      <c r="CU790" s="873"/>
      <c r="CV790" s="873"/>
      <c r="CW790" s="873"/>
      <c r="CX790" s="873"/>
      <c r="CY790" s="873"/>
      <c r="CZ790" s="873"/>
      <c r="DA790" s="873"/>
      <c r="DB790" s="873"/>
      <c r="DC790" s="12">
        <f t="shared" si="788"/>
        <v>0</v>
      </c>
      <c r="DD790" s="12">
        <f t="shared" ref="DD790:DD798" si="791">SUM(AH790:AS790)</f>
        <v>0</v>
      </c>
      <c r="DE790" s="12">
        <f t="shared" ref="DE790:DE798" si="792">SUM(AT790:BE790)</f>
        <v>0</v>
      </c>
      <c r="DF790" s="12">
        <f t="shared" si="789"/>
        <v>0</v>
      </c>
      <c r="DG790" s="12">
        <f t="shared" ref="DG790:DG798" si="793">SUM(BR790:CC790)</f>
        <v>0</v>
      </c>
      <c r="DH790" s="12">
        <f t="shared" ref="DH790:DH798" si="794">SUM(CD790:CO790)</f>
        <v>0</v>
      </c>
    </row>
    <row r="791" spans="2:112" s="698" customFormat="1" hidden="1" outlineLevel="2">
      <c r="B791" s="126"/>
      <c r="E791" s="698" t="s">
        <v>217</v>
      </c>
      <c r="H791" s="703"/>
      <c r="I791" s="609" t="s">
        <v>736</v>
      </c>
      <c r="J791" s="703"/>
      <c r="K791" s="703"/>
      <c r="L791" s="703"/>
      <c r="M791" s="703"/>
      <c r="AH791" s="969"/>
      <c r="AI791" s="969"/>
      <c r="AJ791" s="969"/>
      <c r="AK791" s="969"/>
      <c r="AL791" s="969"/>
      <c r="AM791" s="969"/>
      <c r="AN791" s="969"/>
      <c r="AO791" s="969"/>
      <c r="AP791" s="969"/>
      <c r="AQ791" s="969"/>
      <c r="AR791" s="969"/>
      <c r="AS791" s="969">
        <f t="shared" ref="AS791:CO791" si="795">AS792+AS795</f>
        <v>0</v>
      </c>
      <c r="AT791" s="969">
        <f t="shared" si="795"/>
        <v>0</v>
      </c>
      <c r="AU791" s="969">
        <f t="shared" si="795"/>
        <v>0</v>
      </c>
      <c r="AV791" s="969">
        <f t="shared" si="795"/>
        <v>0</v>
      </c>
      <c r="AW791" s="969">
        <f t="shared" si="795"/>
        <v>0</v>
      </c>
      <c r="AX791" s="969">
        <f t="shared" si="795"/>
        <v>0</v>
      </c>
      <c r="AY791" s="969">
        <f t="shared" si="795"/>
        <v>0</v>
      </c>
      <c r="AZ791" s="969">
        <f t="shared" si="795"/>
        <v>0</v>
      </c>
      <c r="BA791" s="969">
        <f t="shared" si="795"/>
        <v>0</v>
      </c>
      <c r="BB791" s="969">
        <f t="shared" si="795"/>
        <v>0</v>
      </c>
      <c r="BC791" s="969">
        <f t="shared" si="795"/>
        <v>0</v>
      </c>
      <c r="BD791" s="969">
        <f t="shared" si="795"/>
        <v>0</v>
      </c>
      <c r="BE791" s="969">
        <f t="shared" si="795"/>
        <v>0</v>
      </c>
      <c r="BF791" s="969">
        <f t="shared" si="795"/>
        <v>0</v>
      </c>
      <c r="BG791" s="969">
        <f t="shared" si="795"/>
        <v>0</v>
      </c>
      <c r="BH791" s="969">
        <f t="shared" si="795"/>
        <v>0</v>
      </c>
      <c r="BI791" s="969">
        <f t="shared" si="795"/>
        <v>0</v>
      </c>
      <c r="BJ791" s="969">
        <f t="shared" si="795"/>
        <v>0</v>
      </c>
      <c r="BK791" s="969">
        <f t="shared" si="795"/>
        <v>0</v>
      </c>
      <c r="BL791" s="969">
        <f t="shared" si="795"/>
        <v>0</v>
      </c>
      <c r="BM791" s="969">
        <f t="shared" si="795"/>
        <v>0</v>
      </c>
      <c r="BN791" s="969">
        <f t="shared" si="795"/>
        <v>0</v>
      </c>
      <c r="BO791" s="969">
        <f t="shared" si="795"/>
        <v>0</v>
      </c>
      <c r="BP791" s="969">
        <f t="shared" si="795"/>
        <v>0</v>
      </c>
      <c r="BQ791" s="969">
        <f t="shared" si="795"/>
        <v>0</v>
      </c>
      <c r="BR791" s="969">
        <f t="shared" si="795"/>
        <v>0</v>
      </c>
      <c r="BS791" s="969">
        <f t="shared" si="795"/>
        <v>0</v>
      </c>
      <c r="BT791" s="969">
        <f t="shared" si="795"/>
        <v>0</v>
      </c>
      <c r="BU791" s="969">
        <f t="shared" si="795"/>
        <v>0</v>
      </c>
      <c r="BV791" s="969">
        <f t="shared" si="795"/>
        <v>0</v>
      </c>
      <c r="BW791" s="969">
        <f t="shared" si="795"/>
        <v>0</v>
      </c>
      <c r="BX791" s="969">
        <f t="shared" si="795"/>
        <v>0</v>
      </c>
      <c r="BY791" s="969">
        <f t="shared" si="795"/>
        <v>0</v>
      </c>
      <c r="BZ791" s="969">
        <f t="shared" si="795"/>
        <v>0</v>
      </c>
      <c r="CA791" s="969">
        <f t="shared" si="795"/>
        <v>0</v>
      </c>
      <c r="CB791" s="969">
        <f t="shared" si="795"/>
        <v>0</v>
      </c>
      <c r="CC791" s="969">
        <f t="shared" si="795"/>
        <v>0</v>
      </c>
      <c r="CD791" s="969">
        <f t="shared" si="795"/>
        <v>0</v>
      </c>
      <c r="CE791" s="969">
        <f t="shared" si="795"/>
        <v>0</v>
      </c>
      <c r="CF791" s="969">
        <f t="shared" si="795"/>
        <v>0</v>
      </c>
      <c r="CG791" s="969">
        <f t="shared" si="795"/>
        <v>0</v>
      </c>
      <c r="CH791" s="969">
        <f t="shared" si="795"/>
        <v>0</v>
      </c>
      <c r="CI791" s="969">
        <f t="shared" si="795"/>
        <v>0</v>
      </c>
      <c r="CJ791" s="969">
        <f t="shared" si="795"/>
        <v>0</v>
      </c>
      <c r="CK791" s="969">
        <f t="shared" si="795"/>
        <v>0</v>
      </c>
      <c r="CL791" s="969">
        <f t="shared" si="795"/>
        <v>0</v>
      </c>
      <c r="CM791" s="969">
        <f t="shared" si="795"/>
        <v>0</v>
      </c>
      <c r="CN791" s="969">
        <f t="shared" si="795"/>
        <v>0</v>
      </c>
      <c r="CO791" s="969">
        <f t="shared" si="795"/>
        <v>0</v>
      </c>
      <c r="CP791" s="969"/>
      <c r="CQ791" s="969"/>
      <c r="CR791" s="969"/>
      <c r="CS791" s="969"/>
      <c r="CT791" s="969"/>
      <c r="CU791" s="969"/>
      <c r="CV791" s="969"/>
      <c r="CW791" s="969"/>
      <c r="CX791" s="969"/>
      <c r="CY791" s="969"/>
      <c r="CZ791" s="969"/>
      <c r="DA791" s="969"/>
      <c r="DB791" s="969"/>
      <c r="DC791" s="14">
        <f t="shared" si="788"/>
        <v>0</v>
      </c>
      <c r="DD791" s="14">
        <f t="shared" si="791"/>
        <v>0</v>
      </c>
      <c r="DE791" s="14">
        <f t="shared" si="792"/>
        <v>0</v>
      </c>
      <c r="DF791" s="14">
        <f t="shared" si="789"/>
        <v>0</v>
      </c>
      <c r="DG791" s="14">
        <f t="shared" si="793"/>
        <v>0</v>
      </c>
      <c r="DH791" s="14">
        <f t="shared" si="794"/>
        <v>0</v>
      </c>
    </row>
    <row r="792" spans="2:112" hidden="1" outlineLevel="2">
      <c r="E792" s="698"/>
      <c r="F792" s="704" t="s">
        <v>218</v>
      </c>
      <c r="G792" s="698"/>
      <c r="I792" s="609" t="s">
        <v>736</v>
      </c>
      <c r="X792" s="698"/>
      <c r="Y792" s="698"/>
      <c r="AH792" s="851"/>
      <c r="AI792" s="851"/>
      <c r="AJ792" s="851"/>
      <c r="AK792" s="851"/>
      <c r="AL792" s="851"/>
      <c r="AM792" s="851"/>
      <c r="AN792" s="851"/>
      <c r="AO792" s="851"/>
      <c r="AP792" s="851"/>
      <c r="AQ792" s="851"/>
      <c r="AR792" s="851"/>
      <c r="AS792" s="851">
        <f t="shared" ref="AS792:CO792" si="796">AS793+AS794</f>
        <v>0</v>
      </c>
      <c r="AT792" s="851">
        <f t="shared" si="796"/>
        <v>0</v>
      </c>
      <c r="AU792" s="851">
        <f t="shared" si="796"/>
        <v>0</v>
      </c>
      <c r="AV792" s="851">
        <f t="shared" si="796"/>
        <v>0</v>
      </c>
      <c r="AW792" s="851">
        <f t="shared" si="796"/>
        <v>0</v>
      </c>
      <c r="AX792" s="851">
        <f t="shared" si="796"/>
        <v>0</v>
      </c>
      <c r="AY792" s="851">
        <f t="shared" si="796"/>
        <v>0</v>
      </c>
      <c r="AZ792" s="851">
        <f t="shared" si="796"/>
        <v>0</v>
      </c>
      <c r="BA792" s="851">
        <f t="shared" si="796"/>
        <v>0</v>
      </c>
      <c r="BB792" s="851">
        <f t="shared" si="796"/>
        <v>0</v>
      </c>
      <c r="BC792" s="851">
        <f t="shared" si="796"/>
        <v>0</v>
      </c>
      <c r="BD792" s="851">
        <f t="shared" si="796"/>
        <v>0</v>
      </c>
      <c r="BE792" s="851">
        <f t="shared" si="796"/>
        <v>0</v>
      </c>
      <c r="BF792" s="851">
        <f t="shared" si="796"/>
        <v>0</v>
      </c>
      <c r="BG792" s="851">
        <f t="shared" si="796"/>
        <v>0</v>
      </c>
      <c r="BH792" s="851">
        <f t="shared" si="796"/>
        <v>0</v>
      </c>
      <c r="BI792" s="851">
        <f t="shared" si="796"/>
        <v>0</v>
      </c>
      <c r="BJ792" s="851">
        <f t="shared" si="796"/>
        <v>0</v>
      </c>
      <c r="BK792" s="851">
        <f t="shared" si="796"/>
        <v>0</v>
      </c>
      <c r="BL792" s="851">
        <f t="shared" si="796"/>
        <v>0</v>
      </c>
      <c r="BM792" s="851">
        <f t="shared" si="796"/>
        <v>0</v>
      </c>
      <c r="BN792" s="851">
        <f t="shared" si="796"/>
        <v>0</v>
      </c>
      <c r="BO792" s="851">
        <f t="shared" si="796"/>
        <v>0</v>
      </c>
      <c r="BP792" s="851">
        <f t="shared" si="796"/>
        <v>0</v>
      </c>
      <c r="BQ792" s="851">
        <f t="shared" si="796"/>
        <v>0</v>
      </c>
      <c r="BR792" s="851">
        <f t="shared" si="796"/>
        <v>0</v>
      </c>
      <c r="BS792" s="851">
        <f t="shared" si="796"/>
        <v>0</v>
      </c>
      <c r="BT792" s="851">
        <f t="shared" si="796"/>
        <v>0</v>
      </c>
      <c r="BU792" s="851">
        <f t="shared" si="796"/>
        <v>0</v>
      </c>
      <c r="BV792" s="851">
        <f t="shared" si="796"/>
        <v>0</v>
      </c>
      <c r="BW792" s="851">
        <f t="shared" si="796"/>
        <v>0</v>
      </c>
      <c r="BX792" s="851">
        <f t="shared" si="796"/>
        <v>0</v>
      </c>
      <c r="BY792" s="851">
        <f t="shared" si="796"/>
        <v>0</v>
      </c>
      <c r="BZ792" s="851">
        <f t="shared" si="796"/>
        <v>0</v>
      </c>
      <c r="CA792" s="851">
        <f t="shared" si="796"/>
        <v>0</v>
      </c>
      <c r="CB792" s="851">
        <f t="shared" si="796"/>
        <v>0</v>
      </c>
      <c r="CC792" s="851">
        <f t="shared" si="796"/>
        <v>0</v>
      </c>
      <c r="CD792" s="851">
        <f t="shared" si="796"/>
        <v>0</v>
      </c>
      <c r="CE792" s="851">
        <f t="shared" si="796"/>
        <v>0</v>
      </c>
      <c r="CF792" s="851">
        <f t="shared" si="796"/>
        <v>0</v>
      </c>
      <c r="CG792" s="851">
        <f t="shared" si="796"/>
        <v>0</v>
      </c>
      <c r="CH792" s="851">
        <f t="shared" si="796"/>
        <v>0</v>
      </c>
      <c r="CI792" s="851">
        <f t="shared" si="796"/>
        <v>0</v>
      </c>
      <c r="CJ792" s="851">
        <f t="shared" si="796"/>
        <v>0</v>
      </c>
      <c r="CK792" s="851">
        <f t="shared" si="796"/>
        <v>0</v>
      </c>
      <c r="CL792" s="851">
        <f t="shared" si="796"/>
        <v>0</v>
      </c>
      <c r="CM792" s="851">
        <f t="shared" si="796"/>
        <v>0</v>
      </c>
      <c r="CN792" s="851">
        <f t="shared" si="796"/>
        <v>0</v>
      </c>
      <c r="CO792" s="851">
        <f t="shared" si="796"/>
        <v>0</v>
      </c>
      <c r="CP792" s="851"/>
      <c r="CQ792" s="851"/>
      <c r="CR792" s="851"/>
      <c r="CS792" s="851"/>
      <c r="CT792" s="851"/>
      <c r="CU792" s="851"/>
      <c r="CV792" s="851"/>
      <c r="CW792" s="851"/>
      <c r="CX792" s="851"/>
      <c r="CY792" s="851"/>
      <c r="CZ792" s="851"/>
      <c r="DA792" s="851"/>
      <c r="DB792" s="851"/>
      <c r="DC792" s="12">
        <f t="shared" si="788"/>
        <v>0</v>
      </c>
      <c r="DD792" s="12">
        <f t="shared" si="791"/>
        <v>0</v>
      </c>
      <c r="DE792" s="12">
        <f t="shared" si="792"/>
        <v>0</v>
      </c>
      <c r="DF792" s="12">
        <f t="shared" si="789"/>
        <v>0</v>
      </c>
      <c r="DG792" s="12">
        <f t="shared" si="793"/>
        <v>0</v>
      </c>
      <c r="DH792" s="12">
        <f t="shared" si="794"/>
        <v>0</v>
      </c>
    </row>
    <row r="793" spans="2:112" hidden="1" outlineLevel="2">
      <c r="F793" s="126" t="s">
        <v>737</v>
      </c>
      <c r="I793" s="609" t="s">
        <v>736</v>
      </c>
      <c r="AH793" s="887"/>
      <c r="AI793" s="887"/>
      <c r="AJ793" s="716"/>
      <c r="AK793" s="710"/>
      <c r="AL793" s="710"/>
      <c r="AM793" s="710"/>
      <c r="AN793" s="710"/>
      <c r="AO793" s="710"/>
      <c r="AP793" s="710"/>
      <c r="AQ793" s="710"/>
      <c r="AR793" s="710"/>
      <c r="AS793" s="710">
        <v>0</v>
      </c>
      <c r="AT793" s="710">
        <v>0</v>
      </c>
      <c r="AU793" s="710">
        <v>0</v>
      </c>
      <c r="AV793" s="710">
        <v>0</v>
      </c>
      <c r="AW793" s="710">
        <v>0</v>
      </c>
      <c r="AX793" s="710">
        <v>0</v>
      </c>
      <c r="AY793" s="710">
        <v>0</v>
      </c>
      <c r="AZ793" s="710">
        <v>0</v>
      </c>
      <c r="BA793" s="710">
        <v>0</v>
      </c>
      <c r="BB793" s="710">
        <v>0</v>
      </c>
      <c r="BC793" s="710">
        <v>0</v>
      </c>
      <c r="BD793" s="710">
        <v>0</v>
      </c>
      <c r="BE793" s="710">
        <v>0</v>
      </c>
      <c r="BF793" s="710">
        <v>0</v>
      </c>
      <c r="BG793" s="710">
        <v>0</v>
      </c>
      <c r="BH793" s="710">
        <v>0</v>
      </c>
      <c r="BI793" s="710">
        <v>0</v>
      </c>
      <c r="BJ793" s="710">
        <v>0</v>
      </c>
      <c r="BK793" s="710">
        <v>0</v>
      </c>
      <c r="BL793" s="710">
        <v>0</v>
      </c>
      <c r="BM793" s="710">
        <v>0</v>
      </c>
      <c r="BN793" s="710">
        <v>0</v>
      </c>
      <c r="BO793" s="710">
        <v>0</v>
      </c>
      <c r="BP793" s="710">
        <v>0</v>
      </c>
      <c r="BQ793" s="710">
        <v>0</v>
      </c>
      <c r="BR793" s="710">
        <v>0</v>
      </c>
      <c r="BS793" s="710">
        <v>0</v>
      </c>
      <c r="BT793" s="710">
        <v>0</v>
      </c>
      <c r="BU793" s="710">
        <v>0</v>
      </c>
      <c r="BV793" s="710">
        <v>0</v>
      </c>
      <c r="BW793" s="710">
        <v>0</v>
      </c>
      <c r="BX793" s="710">
        <v>0</v>
      </c>
      <c r="BY793" s="710">
        <v>0</v>
      </c>
      <c r="BZ793" s="710">
        <v>0</v>
      </c>
      <c r="CA793" s="710">
        <v>0</v>
      </c>
      <c r="CB793" s="710">
        <v>0</v>
      </c>
      <c r="CC793" s="710">
        <v>0</v>
      </c>
      <c r="CD793" s="710">
        <v>0</v>
      </c>
      <c r="CE793" s="710">
        <v>0</v>
      </c>
      <c r="CF793" s="710">
        <v>0</v>
      </c>
      <c r="CG793" s="710">
        <v>0</v>
      </c>
      <c r="CH793" s="710">
        <v>0</v>
      </c>
      <c r="CI793" s="710">
        <v>0</v>
      </c>
      <c r="CJ793" s="710">
        <v>0</v>
      </c>
      <c r="CK793" s="710">
        <v>0</v>
      </c>
      <c r="CL793" s="710">
        <v>0</v>
      </c>
      <c r="CM793" s="710">
        <v>0</v>
      </c>
      <c r="CN793" s="710">
        <v>0</v>
      </c>
      <c r="CO793" s="710">
        <v>0</v>
      </c>
      <c r="CP793" s="710"/>
      <c r="CQ793" s="710"/>
      <c r="CR793" s="710"/>
      <c r="CS793" s="710"/>
      <c r="CT793" s="710"/>
      <c r="CU793" s="710"/>
      <c r="CV793" s="710"/>
      <c r="CW793" s="710"/>
      <c r="CX793" s="710"/>
      <c r="CY793" s="710"/>
      <c r="CZ793" s="710"/>
      <c r="DA793" s="710"/>
      <c r="DB793" s="702"/>
      <c r="DC793" s="12">
        <f t="shared" si="788"/>
        <v>0</v>
      </c>
      <c r="DD793" s="12">
        <f t="shared" si="791"/>
        <v>0</v>
      </c>
      <c r="DE793" s="12">
        <f t="shared" si="792"/>
        <v>0</v>
      </c>
      <c r="DF793" s="12">
        <f t="shared" si="789"/>
        <v>0</v>
      </c>
      <c r="DG793" s="12">
        <f t="shared" si="793"/>
        <v>0</v>
      </c>
      <c r="DH793" s="12">
        <f t="shared" si="794"/>
        <v>0</v>
      </c>
    </row>
    <row r="794" spans="2:112" hidden="1" outlineLevel="2">
      <c r="F794" s="126" t="s">
        <v>798</v>
      </c>
      <c r="I794" s="609" t="s">
        <v>736</v>
      </c>
      <c r="AH794" s="887"/>
      <c r="AI794" s="887"/>
      <c r="AJ794" s="716"/>
      <c r="AK794" s="710"/>
      <c r="AL794" s="710"/>
      <c r="AM794" s="710"/>
      <c r="AN794" s="710"/>
      <c r="AO794" s="710"/>
      <c r="AP794" s="710"/>
      <c r="AQ794" s="710"/>
      <c r="AR794" s="710"/>
      <c r="AS794" s="710">
        <v>0</v>
      </c>
      <c r="AT794" s="710">
        <v>0</v>
      </c>
      <c r="AU794" s="710">
        <v>0</v>
      </c>
      <c r="AV794" s="710">
        <v>0</v>
      </c>
      <c r="AW794" s="710">
        <v>0</v>
      </c>
      <c r="AX794" s="710">
        <v>0</v>
      </c>
      <c r="AY794" s="710">
        <v>0</v>
      </c>
      <c r="AZ794" s="710">
        <v>0</v>
      </c>
      <c r="BA794" s="710">
        <v>0</v>
      </c>
      <c r="BB794" s="710">
        <v>0</v>
      </c>
      <c r="BC794" s="710">
        <v>0</v>
      </c>
      <c r="BD794" s="710">
        <v>0</v>
      </c>
      <c r="BE794" s="710">
        <v>0</v>
      </c>
      <c r="BF794" s="710">
        <v>0</v>
      </c>
      <c r="BG794" s="710">
        <v>0</v>
      </c>
      <c r="BH794" s="710">
        <v>0</v>
      </c>
      <c r="BI794" s="710">
        <v>0</v>
      </c>
      <c r="BJ794" s="710">
        <v>0</v>
      </c>
      <c r="BK794" s="710">
        <v>0</v>
      </c>
      <c r="BL794" s="710">
        <v>0</v>
      </c>
      <c r="BM794" s="710">
        <v>0</v>
      </c>
      <c r="BN794" s="710">
        <v>0</v>
      </c>
      <c r="BO794" s="710">
        <v>0</v>
      </c>
      <c r="BP794" s="710">
        <v>0</v>
      </c>
      <c r="BQ794" s="710">
        <v>0</v>
      </c>
      <c r="BR794" s="710">
        <v>0</v>
      </c>
      <c r="BS794" s="710">
        <v>0</v>
      </c>
      <c r="BT794" s="710">
        <v>0</v>
      </c>
      <c r="BU794" s="710">
        <v>0</v>
      </c>
      <c r="BV794" s="710">
        <v>0</v>
      </c>
      <c r="BW794" s="710">
        <v>0</v>
      </c>
      <c r="BX794" s="710">
        <v>0</v>
      </c>
      <c r="BY794" s="710">
        <v>0</v>
      </c>
      <c r="BZ794" s="710">
        <v>0</v>
      </c>
      <c r="CA794" s="710">
        <v>0</v>
      </c>
      <c r="CB794" s="710">
        <v>0</v>
      </c>
      <c r="CC794" s="710">
        <v>0</v>
      </c>
      <c r="CD794" s="710">
        <v>0</v>
      </c>
      <c r="CE794" s="710">
        <v>0</v>
      </c>
      <c r="CF794" s="710">
        <v>0</v>
      </c>
      <c r="CG794" s="710">
        <v>0</v>
      </c>
      <c r="CH794" s="710">
        <v>0</v>
      </c>
      <c r="CI794" s="710">
        <v>0</v>
      </c>
      <c r="CJ794" s="710">
        <v>0</v>
      </c>
      <c r="CK794" s="710">
        <v>0</v>
      </c>
      <c r="CL794" s="710">
        <v>0</v>
      </c>
      <c r="CM794" s="710">
        <v>0</v>
      </c>
      <c r="CN794" s="710">
        <v>0</v>
      </c>
      <c r="CO794" s="710">
        <v>0</v>
      </c>
      <c r="CP794" s="710"/>
      <c r="CQ794" s="710"/>
      <c r="CR794" s="710"/>
      <c r="CS794" s="710"/>
      <c r="CT794" s="710"/>
      <c r="CU794" s="710"/>
      <c r="CV794" s="710"/>
      <c r="CW794" s="710"/>
      <c r="CX794" s="710"/>
      <c r="CY794" s="710"/>
      <c r="CZ794" s="710"/>
      <c r="DA794" s="710"/>
      <c r="DB794" s="702"/>
      <c r="DC794" s="704">
        <f t="shared" si="788"/>
        <v>0</v>
      </c>
      <c r="DD794" s="758">
        <f t="shared" si="791"/>
        <v>0</v>
      </c>
      <c r="DE794" s="758">
        <f t="shared" si="792"/>
        <v>0</v>
      </c>
      <c r="DF794" s="758">
        <f t="shared" si="789"/>
        <v>0</v>
      </c>
      <c r="DG794" s="758">
        <f t="shared" si="793"/>
        <v>0</v>
      </c>
      <c r="DH794" s="758">
        <f t="shared" si="794"/>
        <v>0</v>
      </c>
    </row>
    <row r="795" spans="2:112" hidden="1" outlineLevel="2">
      <c r="E795" s="698"/>
      <c r="F795" s="698" t="s">
        <v>830</v>
      </c>
      <c r="G795" s="698"/>
      <c r="I795" s="609" t="s">
        <v>736</v>
      </c>
      <c r="X795" s="698"/>
      <c r="Y795" s="698"/>
      <c r="AH795" s="737"/>
      <c r="AI795" s="737"/>
      <c r="AJ795" s="737"/>
      <c r="AK795" s="969"/>
      <c r="AL795" s="969"/>
      <c r="AM795" s="969"/>
      <c r="AN795" s="969"/>
      <c r="AO795" s="969"/>
      <c r="AP795" s="969"/>
      <c r="AQ795" s="969"/>
      <c r="AR795" s="969"/>
      <c r="AS795" s="969">
        <f t="shared" ref="AS795:CO795" si="797">SUM(AS796:AS802)</f>
        <v>0</v>
      </c>
      <c r="AT795" s="969">
        <f t="shared" si="797"/>
        <v>0</v>
      </c>
      <c r="AU795" s="969">
        <f t="shared" si="797"/>
        <v>0</v>
      </c>
      <c r="AV795" s="969">
        <f t="shared" si="797"/>
        <v>0</v>
      </c>
      <c r="AW795" s="969">
        <f t="shared" si="797"/>
        <v>0</v>
      </c>
      <c r="AX795" s="969">
        <f t="shared" si="797"/>
        <v>0</v>
      </c>
      <c r="AY795" s="969">
        <f t="shared" si="797"/>
        <v>0</v>
      </c>
      <c r="AZ795" s="969">
        <f t="shared" si="797"/>
        <v>0</v>
      </c>
      <c r="BA795" s="969">
        <f t="shared" si="797"/>
        <v>0</v>
      </c>
      <c r="BB795" s="969">
        <f t="shared" si="797"/>
        <v>0</v>
      </c>
      <c r="BC795" s="969">
        <f t="shared" si="797"/>
        <v>0</v>
      </c>
      <c r="BD795" s="969">
        <f t="shared" si="797"/>
        <v>0</v>
      </c>
      <c r="BE795" s="969">
        <f t="shared" si="797"/>
        <v>0</v>
      </c>
      <c r="BF795" s="969">
        <f t="shared" si="797"/>
        <v>0</v>
      </c>
      <c r="BG795" s="969">
        <f t="shared" si="797"/>
        <v>0</v>
      </c>
      <c r="BH795" s="969">
        <f t="shared" si="797"/>
        <v>0</v>
      </c>
      <c r="BI795" s="969">
        <f t="shared" si="797"/>
        <v>0</v>
      </c>
      <c r="BJ795" s="969">
        <f t="shared" si="797"/>
        <v>0</v>
      </c>
      <c r="BK795" s="969">
        <f t="shared" si="797"/>
        <v>0</v>
      </c>
      <c r="BL795" s="969">
        <f t="shared" si="797"/>
        <v>0</v>
      </c>
      <c r="BM795" s="969">
        <f t="shared" si="797"/>
        <v>0</v>
      </c>
      <c r="BN795" s="969">
        <f t="shared" si="797"/>
        <v>0</v>
      </c>
      <c r="BO795" s="969">
        <f t="shared" si="797"/>
        <v>0</v>
      </c>
      <c r="BP795" s="969">
        <f t="shared" si="797"/>
        <v>0</v>
      </c>
      <c r="BQ795" s="969">
        <f t="shared" si="797"/>
        <v>0</v>
      </c>
      <c r="BR795" s="969">
        <f t="shared" si="797"/>
        <v>0</v>
      </c>
      <c r="BS795" s="969">
        <f t="shared" si="797"/>
        <v>0</v>
      </c>
      <c r="BT795" s="969">
        <f t="shared" si="797"/>
        <v>0</v>
      </c>
      <c r="BU795" s="969">
        <f t="shared" si="797"/>
        <v>0</v>
      </c>
      <c r="BV795" s="969">
        <f t="shared" si="797"/>
        <v>0</v>
      </c>
      <c r="BW795" s="969">
        <f t="shared" si="797"/>
        <v>0</v>
      </c>
      <c r="BX795" s="969">
        <f t="shared" si="797"/>
        <v>0</v>
      </c>
      <c r="BY795" s="969">
        <f t="shared" si="797"/>
        <v>0</v>
      </c>
      <c r="BZ795" s="969">
        <f t="shared" si="797"/>
        <v>0</v>
      </c>
      <c r="CA795" s="969">
        <f t="shared" si="797"/>
        <v>0</v>
      </c>
      <c r="CB795" s="969">
        <f t="shared" si="797"/>
        <v>0</v>
      </c>
      <c r="CC795" s="969">
        <f t="shared" si="797"/>
        <v>0</v>
      </c>
      <c r="CD795" s="969">
        <f t="shared" si="797"/>
        <v>0</v>
      </c>
      <c r="CE795" s="969">
        <f t="shared" si="797"/>
        <v>0</v>
      </c>
      <c r="CF795" s="969">
        <f t="shared" si="797"/>
        <v>0</v>
      </c>
      <c r="CG795" s="969">
        <f t="shared" si="797"/>
        <v>0</v>
      </c>
      <c r="CH795" s="969">
        <f t="shared" si="797"/>
        <v>0</v>
      </c>
      <c r="CI795" s="969">
        <f t="shared" si="797"/>
        <v>0</v>
      </c>
      <c r="CJ795" s="969">
        <f t="shared" si="797"/>
        <v>0</v>
      </c>
      <c r="CK795" s="969">
        <f t="shared" si="797"/>
        <v>0</v>
      </c>
      <c r="CL795" s="969">
        <f t="shared" si="797"/>
        <v>0</v>
      </c>
      <c r="CM795" s="969">
        <f t="shared" si="797"/>
        <v>0</v>
      </c>
      <c r="CN795" s="969">
        <f t="shared" si="797"/>
        <v>0</v>
      </c>
      <c r="CO795" s="969">
        <f t="shared" si="797"/>
        <v>0</v>
      </c>
      <c r="CP795" s="969"/>
      <c r="CQ795" s="969"/>
      <c r="CR795" s="969"/>
      <c r="CS795" s="969"/>
      <c r="CT795" s="969"/>
      <c r="CU795" s="969"/>
      <c r="CV795" s="969"/>
      <c r="CW795" s="969"/>
      <c r="CX795" s="969"/>
      <c r="CY795" s="969"/>
      <c r="CZ795" s="969"/>
      <c r="DA795" s="969"/>
      <c r="DB795" s="737"/>
      <c r="DC795" s="704">
        <f t="shared" si="788"/>
        <v>0</v>
      </c>
      <c r="DD795" s="758">
        <f t="shared" si="791"/>
        <v>0</v>
      </c>
      <c r="DE795" s="758">
        <f t="shared" si="792"/>
        <v>0</v>
      </c>
      <c r="DF795" s="758">
        <f t="shared" si="789"/>
        <v>0</v>
      </c>
      <c r="DG795" s="758">
        <f t="shared" si="793"/>
        <v>0</v>
      </c>
      <c r="DH795" s="758">
        <f t="shared" si="794"/>
        <v>0</v>
      </c>
    </row>
    <row r="796" spans="2:112" hidden="1" outlineLevel="2">
      <c r="F796" s="126" t="s">
        <v>540</v>
      </c>
      <c r="I796" s="609" t="s">
        <v>736</v>
      </c>
      <c r="AH796" s="887"/>
      <c r="AI796" s="887"/>
      <c r="AJ796" s="716"/>
      <c r="AK796" s="710"/>
      <c r="AL796" s="710"/>
      <c r="AM796" s="710"/>
      <c r="AN796" s="710"/>
      <c r="AO796" s="710"/>
      <c r="AP796" s="710"/>
      <c r="AQ796" s="710"/>
      <c r="AR796" s="710"/>
      <c r="AS796" s="710">
        <v>0</v>
      </c>
      <c r="AT796" s="710">
        <v>0</v>
      </c>
      <c r="AU796" s="710">
        <v>0</v>
      </c>
      <c r="AV796" s="710">
        <v>0</v>
      </c>
      <c r="AW796" s="710">
        <v>0</v>
      </c>
      <c r="AX796" s="710">
        <v>0</v>
      </c>
      <c r="AY796" s="710">
        <v>0</v>
      </c>
      <c r="AZ796" s="710">
        <v>0</v>
      </c>
      <c r="BA796" s="710">
        <v>0</v>
      </c>
      <c r="BB796" s="710">
        <v>0</v>
      </c>
      <c r="BC796" s="710">
        <v>0</v>
      </c>
      <c r="BD796" s="710">
        <v>0</v>
      </c>
      <c r="BE796" s="710">
        <v>0</v>
      </c>
      <c r="BF796" s="710">
        <v>0</v>
      </c>
      <c r="BG796" s="710">
        <v>0</v>
      </c>
      <c r="BH796" s="710">
        <v>0</v>
      </c>
      <c r="BI796" s="710">
        <v>0</v>
      </c>
      <c r="BJ796" s="710">
        <v>0</v>
      </c>
      <c r="BK796" s="710">
        <v>0</v>
      </c>
      <c r="BL796" s="710">
        <v>0</v>
      </c>
      <c r="BM796" s="710">
        <v>0</v>
      </c>
      <c r="BN796" s="710">
        <v>0</v>
      </c>
      <c r="BO796" s="710">
        <v>0</v>
      </c>
      <c r="BP796" s="710">
        <v>0</v>
      </c>
      <c r="BQ796" s="710">
        <v>0</v>
      </c>
      <c r="BR796" s="710">
        <v>0</v>
      </c>
      <c r="BS796" s="710">
        <v>0</v>
      </c>
      <c r="BT796" s="710">
        <v>0</v>
      </c>
      <c r="BU796" s="710">
        <v>0</v>
      </c>
      <c r="BV796" s="710">
        <v>0</v>
      </c>
      <c r="BW796" s="710">
        <v>0</v>
      </c>
      <c r="BX796" s="710">
        <v>0</v>
      </c>
      <c r="BY796" s="710">
        <v>0</v>
      </c>
      <c r="BZ796" s="710">
        <v>0</v>
      </c>
      <c r="CA796" s="710">
        <v>0</v>
      </c>
      <c r="CB796" s="710">
        <v>0</v>
      </c>
      <c r="CC796" s="710">
        <v>0</v>
      </c>
      <c r="CD796" s="710">
        <v>0</v>
      </c>
      <c r="CE796" s="710">
        <v>0</v>
      </c>
      <c r="CF796" s="710">
        <v>0</v>
      </c>
      <c r="CG796" s="710">
        <v>0</v>
      </c>
      <c r="CH796" s="710">
        <v>0</v>
      </c>
      <c r="CI796" s="710">
        <v>0</v>
      </c>
      <c r="CJ796" s="710">
        <v>0</v>
      </c>
      <c r="CK796" s="710">
        <v>0</v>
      </c>
      <c r="CL796" s="710">
        <v>0</v>
      </c>
      <c r="CM796" s="710">
        <v>0</v>
      </c>
      <c r="CN796" s="710">
        <v>0</v>
      </c>
      <c r="CO796" s="710">
        <v>0</v>
      </c>
      <c r="CP796" s="710"/>
      <c r="CQ796" s="710"/>
      <c r="CR796" s="710"/>
      <c r="CS796" s="710"/>
      <c r="CT796" s="710"/>
      <c r="CU796" s="710"/>
      <c r="CV796" s="710"/>
      <c r="CW796" s="710"/>
      <c r="CX796" s="710"/>
      <c r="CY796" s="710"/>
      <c r="CZ796" s="710"/>
      <c r="DA796" s="710"/>
      <c r="DB796" s="702"/>
      <c r="DC796" s="12">
        <f t="shared" si="788"/>
        <v>0</v>
      </c>
      <c r="DD796" s="12">
        <f t="shared" si="791"/>
        <v>0</v>
      </c>
      <c r="DE796" s="12">
        <f t="shared" si="792"/>
        <v>0</v>
      </c>
      <c r="DF796" s="12">
        <f t="shared" si="789"/>
        <v>0</v>
      </c>
      <c r="DG796" s="12">
        <f t="shared" si="793"/>
        <v>0</v>
      </c>
      <c r="DH796" s="12">
        <f t="shared" si="794"/>
        <v>0</v>
      </c>
    </row>
    <row r="797" spans="2:112" hidden="1" outlineLevel="2">
      <c r="F797" s="126" t="s">
        <v>799</v>
      </c>
      <c r="I797" s="609" t="s">
        <v>736</v>
      </c>
      <c r="AH797" s="887"/>
      <c r="AI797" s="887"/>
      <c r="AJ797" s="716"/>
      <c r="AK797" s="710"/>
      <c r="AL797" s="710"/>
      <c r="AM797" s="710"/>
      <c r="AN797" s="710"/>
      <c r="AO797" s="710"/>
      <c r="AP797" s="710"/>
      <c r="AQ797" s="710"/>
      <c r="AR797" s="710"/>
      <c r="AS797" s="710"/>
      <c r="AT797" s="710"/>
      <c r="AU797" s="710"/>
      <c r="AV797" s="710"/>
      <c r="AW797" s="710"/>
      <c r="AX797" s="710"/>
      <c r="AY797" s="710"/>
      <c r="AZ797" s="710"/>
      <c r="BA797" s="710"/>
      <c r="BB797" s="710"/>
      <c r="BC797" s="710"/>
      <c r="BD797" s="710"/>
      <c r="BE797" s="710"/>
      <c r="BF797" s="710"/>
      <c r="BG797" s="710"/>
      <c r="BH797" s="710"/>
      <c r="BI797" s="710"/>
      <c r="BJ797" s="710"/>
      <c r="BK797" s="710"/>
      <c r="BL797" s="710"/>
      <c r="BM797" s="710"/>
      <c r="BN797" s="710"/>
      <c r="BO797" s="710"/>
      <c r="BP797" s="710"/>
      <c r="BQ797" s="710"/>
      <c r="BR797" s="710"/>
      <c r="BS797" s="710"/>
      <c r="BT797" s="710"/>
      <c r="BU797" s="710"/>
      <c r="BV797" s="710"/>
      <c r="BW797" s="710"/>
      <c r="BX797" s="710"/>
      <c r="BY797" s="710"/>
      <c r="BZ797" s="710"/>
      <c r="CA797" s="710"/>
      <c r="CB797" s="710"/>
      <c r="CC797" s="710"/>
      <c r="CD797" s="710"/>
      <c r="CE797" s="710"/>
      <c r="CF797" s="710"/>
      <c r="CG797" s="710"/>
      <c r="CH797" s="710"/>
      <c r="CI797" s="710"/>
      <c r="CJ797" s="710"/>
      <c r="CK797" s="710"/>
      <c r="CL797" s="710"/>
      <c r="CM797" s="710"/>
      <c r="CN797" s="710"/>
      <c r="CO797" s="710"/>
      <c r="CP797" s="710"/>
      <c r="CQ797" s="710"/>
      <c r="CR797" s="710"/>
      <c r="CS797" s="710"/>
      <c r="CT797" s="710"/>
      <c r="CU797" s="710"/>
      <c r="CV797" s="710"/>
      <c r="CW797" s="710"/>
      <c r="CX797" s="710"/>
      <c r="CY797" s="710"/>
      <c r="CZ797" s="710"/>
      <c r="DA797" s="710"/>
      <c r="DB797" s="702"/>
      <c r="DC797" s="12">
        <f t="shared" si="788"/>
        <v>0</v>
      </c>
      <c r="DD797" s="12">
        <f t="shared" si="791"/>
        <v>0</v>
      </c>
      <c r="DE797" s="12">
        <f t="shared" si="792"/>
        <v>0</v>
      </c>
      <c r="DF797" s="12">
        <f t="shared" si="789"/>
        <v>0</v>
      </c>
      <c r="DG797" s="12">
        <f t="shared" si="793"/>
        <v>0</v>
      </c>
      <c r="DH797" s="12">
        <f t="shared" si="794"/>
        <v>0</v>
      </c>
    </row>
    <row r="798" spans="2:112" hidden="1" outlineLevel="2">
      <c r="F798" s="126" t="s">
        <v>800</v>
      </c>
      <c r="I798" s="609" t="s">
        <v>736</v>
      </c>
      <c r="AH798" s="887"/>
      <c r="AI798" s="887"/>
      <c r="AJ798" s="716"/>
      <c r="AK798" s="710"/>
      <c r="AL798" s="710"/>
      <c r="AM798" s="710"/>
      <c r="AN798" s="710"/>
      <c r="AO798" s="710"/>
      <c r="AP798" s="710"/>
      <c r="AQ798" s="710"/>
      <c r="AR798" s="710"/>
      <c r="AS798" s="710"/>
      <c r="AT798" s="710"/>
      <c r="AU798" s="710"/>
      <c r="AV798" s="710"/>
      <c r="AW798" s="710"/>
      <c r="AX798" s="710"/>
      <c r="AY798" s="710"/>
      <c r="AZ798" s="710"/>
      <c r="BA798" s="710"/>
      <c r="BB798" s="710"/>
      <c r="BC798" s="710"/>
      <c r="BD798" s="710"/>
      <c r="BE798" s="710"/>
      <c r="BF798" s="710"/>
      <c r="BG798" s="710"/>
      <c r="BH798" s="710"/>
      <c r="BI798" s="710"/>
      <c r="BJ798" s="710"/>
      <c r="BK798" s="710"/>
      <c r="BL798" s="710"/>
      <c r="BM798" s="710"/>
      <c r="BN798" s="710"/>
      <c r="BO798" s="710"/>
      <c r="BP798" s="710"/>
      <c r="BQ798" s="710"/>
      <c r="BR798" s="710"/>
      <c r="BS798" s="710"/>
      <c r="BT798" s="710"/>
      <c r="BU798" s="710"/>
      <c r="BV798" s="710"/>
      <c r="BW798" s="710"/>
      <c r="BX798" s="710"/>
      <c r="BY798" s="710"/>
      <c r="BZ798" s="710"/>
      <c r="CA798" s="710"/>
      <c r="CB798" s="710"/>
      <c r="CC798" s="710"/>
      <c r="CD798" s="710"/>
      <c r="CE798" s="710"/>
      <c r="CF798" s="710"/>
      <c r="CG798" s="710"/>
      <c r="CH798" s="710"/>
      <c r="CI798" s="710"/>
      <c r="CJ798" s="710"/>
      <c r="CK798" s="710"/>
      <c r="CL798" s="710"/>
      <c r="CM798" s="710"/>
      <c r="CN798" s="710"/>
      <c r="CO798" s="710"/>
      <c r="CP798" s="710"/>
      <c r="CQ798" s="710"/>
      <c r="CR798" s="710"/>
      <c r="CS798" s="710"/>
      <c r="CT798" s="710"/>
      <c r="CU798" s="710"/>
      <c r="CV798" s="710"/>
      <c r="CW798" s="710"/>
      <c r="CX798" s="710"/>
      <c r="CY798" s="710"/>
      <c r="CZ798" s="710"/>
      <c r="DA798" s="710"/>
      <c r="DB798" s="702"/>
      <c r="DC798" s="14">
        <f t="shared" si="788"/>
        <v>0</v>
      </c>
      <c r="DD798" s="14">
        <f t="shared" si="791"/>
        <v>0</v>
      </c>
      <c r="DE798" s="14">
        <f t="shared" si="792"/>
        <v>0</v>
      </c>
      <c r="DF798" s="14">
        <f t="shared" si="789"/>
        <v>0</v>
      </c>
      <c r="DG798" s="14">
        <f t="shared" si="793"/>
        <v>0</v>
      </c>
      <c r="DH798" s="14">
        <f t="shared" si="794"/>
        <v>0</v>
      </c>
    </row>
    <row r="799" spans="2:112" hidden="1" outlineLevel="2">
      <c r="F799" s="126" t="s">
        <v>223</v>
      </c>
      <c r="I799" s="609" t="s">
        <v>736</v>
      </c>
      <c r="AH799" s="887"/>
      <c r="AI799" s="887"/>
      <c r="AJ799" s="716"/>
      <c r="AK799" s="710"/>
      <c r="AL799" s="710"/>
      <c r="AM799" s="710"/>
      <c r="AN799" s="710"/>
      <c r="AO799" s="710"/>
      <c r="AP799" s="710"/>
      <c r="AQ799" s="710"/>
      <c r="AR799" s="710"/>
      <c r="AS799" s="710"/>
      <c r="AT799" s="710"/>
      <c r="AU799" s="710"/>
      <c r="AV799" s="710"/>
      <c r="AW799" s="710"/>
      <c r="AX799" s="710"/>
      <c r="AY799" s="710"/>
      <c r="AZ799" s="710"/>
      <c r="BA799" s="710"/>
      <c r="BB799" s="710"/>
      <c r="BC799" s="710"/>
      <c r="BD799" s="710"/>
      <c r="BE799" s="710"/>
      <c r="BF799" s="710"/>
      <c r="BG799" s="710"/>
      <c r="BH799" s="710"/>
      <c r="BI799" s="710"/>
      <c r="BJ799" s="710"/>
      <c r="BK799" s="710"/>
      <c r="BL799" s="710"/>
      <c r="BM799" s="710"/>
      <c r="BN799" s="710"/>
      <c r="BO799" s="710"/>
      <c r="BP799" s="710"/>
      <c r="BQ799" s="710"/>
      <c r="BR799" s="710"/>
      <c r="BS799" s="710"/>
      <c r="BT799" s="710"/>
      <c r="BU799" s="710"/>
      <c r="BV799" s="710"/>
      <c r="BW799" s="710"/>
      <c r="BX799" s="710"/>
      <c r="BY799" s="710"/>
      <c r="BZ799" s="710"/>
      <c r="CA799" s="710"/>
      <c r="CB799" s="710"/>
      <c r="CC799" s="710"/>
      <c r="CD799" s="710"/>
      <c r="CE799" s="710"/>
      <c r="CF799" s="710"/>
      <c r="CG799" s="710"/>
      <c r="CH799" s="710"/>
      <c r="CI799" s="710"/>
      <c r="CJ799" s="710"/>
      <c r="CK799" s="710"/>
      <c r="CL799" s="710"/>
      <c r="CM799" s="710"/>
      <c r="CN799" s="710"/>
      <c r="CO799" s="710"/>
      <c r="CP799" s="710"/>
      <c r="CQ799" s="710"/>
      <c r="CR799" s="710"/>
      <c r="CS799" s="710"/>
      <c r="CT799" s="710"/>
      <c r="CU799" s="710"/>
      <c r="CV799" s="710"/>
      <c r="CW799" s="710"/>
      <c r="CX799" s="710"/>
      <c r="CY799" s="710"/>
      <c r="CZ799" s="710"/>
      <c r="DA799" s="710"/>
      <c r="DB799" s="702"/>
      <c r="DC799" s="12">
        <f t="shared" si="788"/>
        <v>0</v>
      </c>
      <c r="DD799" s="12">
        <f t="shared" ref="DD799:DD815" si="798">SUM(AH799:AS799)</f>
        <v>0</v>
      </c>
      <c r="DE799" s="12">
        <f t="shared" ref="DE799:DE815" si="799">SUM(AT799:BE799)</f>
        <v>0</v>
      </c>
      <c r="DF799" s="12">
        <f t="shared" si="789"/>
        <v>0</v>
      </c>
      <c r="DG799" s="12">
        <f t="shared" ref="DG799:DG815" si="800">SUM(BR799:CC799)</f>
        <v>0</v>
      </c>
      <c r="DH799" s="12">
        <f t="shared" ref="DH799:DH815" si="801">SUM(CD799:CO799)</f>
        <v>0</v>
      </c>
    </row>
    <row r="800" spans="2:112" hidden="1" outlineLevel="2">
      <c r="F800" s="126" t="s">
        <v>221</v>
      </c>
      <c r="I800" s="609" t="s">
        <v>736</v>
      </c>
      <c r="AH800" s="887"/>
      <c r="AI800" s="887"/>
      <c r="AJ800" s="716"/>
      <c r="AK800" s="710"/>
      <c r="AL800" s="710"/>
      <c r="AM800" s="710"/>
      <c r="AN800" s="710"/>
      <c r="AO800" s="710"/>
      <c r="AP800" s="710"/>
      <c r="AQ800" s="710"/>
      <c r="AR800" s="710"/>
      <c r="AS800" s="710"/>
      <c r="AT800" s="710"/>
      <c r="AU800" s="710"/>
      <c r="AV800" s="710"/>
      <c r="AW800" s="710"/>
      <c r="AX800" s="710"/>
      <c r="AY800" s="710"/>
      <c r="AZ800" s="710"/>
      <c r="BA800" s="710"/>
      <c r="BB800" s="710"/>
      <c r="BC800" s="710"/>
      <c r="BD800" s="710"/>
      <c r="BE800" s="710"/>
      <c r="BF800" s="710"/>
      <c r="BG800" s="710"/>
      <c r="BH800" s="710"/>
      <c r="BI800" s="710"/>
      <c r="BJ800" s="710"/>
      <c r="BK800" s="710"/>
      <c r="BL800" s="710"/>
      <c r="BM800" s="710"/>
      <c r="BN800" s="710"/>
      <c r="BO800" s="710"/>
      <c r="BP800" s="710"/>
      <c r="BQ800" s="710"/>
      <c r="BR800" s="710"/>
      <c r="BS800" s="710"/>
      <c r="BT800" s="710"/>
      <c r="BU800" s="710"/>
      <c r="BV800" s="710"/>
      <c r="BW800" s="710"/>
      <c r="BX800" s="710"/>
      <c r="BY800" s="710"/>
      <c r="BZ800" s="710"/>
      <c r="CA800" s="710"/>
      <c r="CB800" s="710"/>
      <c r="CC800" s="710"/>
      <c r="CD800" s="710"/>
      <c r="CE800" s="710"/>
      <c r="CF800" s="710"/>
      <c r="CG800" s="710"/>
      <c r="CH800" s="710"/>
      <c r="CI800" s="710"/>
      <c r="CJ800" s="710"/>
      <c r="CK800" s="710"/>
      <c r="CL800" s="710"/>
      <c r="CM800" s="710"/>
      <c r="CN800" s="710"/>
      <c r="CO800" s="710"/>
      <c r="CP800" s="710"/>
      <c r="CQ800" s="710"/>
      <c r="CR800" s="710"/>
      <c r="CS800" s="710"/>
      <c r="CT800" s="710"/>
      <c r="CU800" s="710"/>
      <c r="CV800" s="710"/>
      <c r="CW800" s="710"/>
      <c r="CX800" s="710"/>
      <c r="CY800" s="710"/>
      <c r="CZ800" s="710"/>
      <c r="DA800" s="710"/>
      <c r="DB800" s="702"/>
      <c r="DC800" s="12">
        <f t="shared" si="788"/>
        <v>0</v>
      </c>
      <c r="DD800" s="12">
        <f t="shared" si="798"/>
        <v>0</v>
      </c>
      <c r="DE800" s="12">
        <f t="shared" si="799"/>
        <v>0</v>
      </c>
      <c r="DF800" s="12">
        <f t="shared" si="789"/>
        <v>0</v>
      </c>
      <c r="DG800" s="12">
        <f t="shared" si="800"/>
        <v>0</v>
      </c>
      <c r="DH800" s="12">
        <f t="shared" si="801"/>
        <v>0</v>
      </c>
    </row>
    <row r="801" spans="2:112" hidden="1" outlineLevel="2">
      <c r="F801" s="126" t="s">
        <v>801</v>
      </c>
      <c r="I801" s="609" t="s">
        <v>736</v>
      </c>
      <c r="AH801" s="887"/>
      <c r="AI801" s="887"/>
      <c r="AJ801" s="716"/>
      <c r="AK801" s="710"/>
      <c r="AL801" s="710"/>
      <c r="AM801" s="710"/>
      <c r="AN801" s="710"/>
      <c r="AO801" s="710"/>
      <c r="AP801" s="710"/>
      <c r="AQ801" s="710"/>
      <c r="AR801" s="710"/>
      <c r="AS801" s="710">
        <v>0</v>
      </c>
      <c r="AT801" s="710">
        <v>0</v>
      </c>
      <c r="AU801" s="710">
        <v>0</v>
      </c>
      <c r="AV801" s="710">
        <v>0</v>
      </c>
      <c r="AW801" s="710">
        <v>0</v>
      </c>
      <c r="AX801" s="710">
        <v>0</v>
      </c>
      <c r="AY801" s="710">
        <v>0</v>
      </c>
      <c r="AZ801" s="710">
        <v>0</v>
      </c>
      <c r="BA801" s="710">
        <v>0</v>
      </c>
      <c r="BB801" s="710">
        <v>0</v>
      </c>
      <c r="BC801" s="710">
        <v>0</v>
      </c>
      <c r="BD801" s="710">
        <v>0</v>
      </c>
      <c r="BE801" s="710">
        <v>0</v>
      </c>
      <c r="BF801" s="710">
        <v>0</v>
      </c>
      <c r="BG801" s="710">
        <v>0</v>
      </c>
      <c r="BH801" s="710">
        <v>0</v>
      </c>
      <c r="BI801" s="710">
        <v>0</v>
      </c>
      <c r="BJ801" s="710">
        <v>0</v>
      </c>
      <c r="BK801" s="710">
        <v>0</v>
      </c>
      <c r="BL801" s="710">
        <v>0</v>
      </c>
      <c r="BM801" s="710">
        <v>0</v>
      </c>
      <c r="BN801" s="710">
        <v>0</v>
      </c>
      <c r="BO801" s="710">
        <v>0</v>
      </c>
      <c r="BP801" s="710">
        <v>0</v>
      </c>
      <c r="BQ801" s="710">
        <v>0</v>
      </c>
      <c r="BR801" s="710">
        <v>0</v>
      </c>
      <c r="BS801" s="710">
        <v>0</v>
      </c>
      <c r="BT801" s="710">
        <v>0</v>
      </c>
      <c r="BU801" s="710">
        <v>0</v>
      </c>
      <c r="BV801" s="710">
        <v>0</v>
      </c>
      <c r="BW801" s="710">
        <v>0</v>
      </c>
      <c r="BX801" s="710">
        <v>0</v>
      </c>
      <c r="BY801" s="710">
        <v>0</v>
      </c>
      <c r="BZ801" s="710">
        <v>0</v>
      </c>
      <c r="CA801" s="710">
        <v>0</v>
      </c>
      <c r="CB801" s="710">
        <v>0</v>
      </c>
      <c r="CC801" s="710">
        <v>0</v>
      </c>
      <c r="CD801" s="710">
        <v>0</v>
      </c>
      <c r="CE801" s="710">
        <v>0</v>
      </c>
      <c r="CF801" s="710">
        <v>0</v>
      </c>
      <c r="CG801" s="710">
        <v>0</v>
      </c>
      <c r="CH801" s="710">
        <v>0</v>
      </c>
      <c r="CI801" s="710">
        <v>0</v>
      </c>
      <c r="CJ801" s="710">
        <v>0</v>
      </c>
      <c r="CK801" s="710">
        <v>0</v>
      </c>
      <c r="CL801" s="710">
        <v>0</v>
      </c>
      <c r="CM801" s="710">
        <v>0</v>
      </c>
      <c r="CN801" s="710">
        <v>0</v>
      </c>
      <c r="CO801" s="710">
        <v>0</v>
      </c>
      <c r="CP801" s="710"/>
      <c r="CQ801" s="710"/>
      <c r="CR801" s="710"/>
      <c r="CS801" s="710"/>
      <c r="CT801" s="710"/>
      <c r="CU801" s="710"/>
      <c r="CV801" s="710"/>
      <c r="CW801" s="710"/>
      <c r="CX801" s="710"/>
      <c r="CY801" s="710"/>
      <c r="CZ801" s="710"/>
      <c r="DA801" s="710"/>
      <c r="DB801" s="702"/>
      <c r="DC801" s="12">
        <f t="shared" si="788"/>
        <v>0</v>
      </c>
      <c r="DD801" s="12">
        <f t="shared" si="798"/>
        <v>0</v>
      </c>
      <c r="DE801" s="12">
        <f t="shared" si="799"/>
        <v>0</v>
      </c>
      <c r="DF801" s="12">
        <f t="shared" si="789"/>
        <v>0</v>
      </c>
      <c r="DG801" s="12">
        <f t="shared" si="800"/>
        <v>0</v>
      </c>
      <c r="DH801" s="12">
        <f t="shared" si="801"/>
        <v>0</v>
      </c>
    </row>
    <row r="802" spans="2:112" hidden="1" outlineLevel="2">
      <c r="F802" s="126" t="s">
        <v>802</v>
      </c>
      <c r="I802" s="609" t="s">
        <v>736</v>
      </c>
      <c r="AH802" s="873"/>
      <c r="AI802" s="873"/>
      <c r="AJ802" s="880"/>
      <c r="AK802" s="880"/>
      <c r="AL802" s="880"/>
      <c r="AM802" s="880"/>
      <c r="AN802" s="880"/>
      <c r="AO802" s="880"/>
      <c r="AP802" s="880"/>
      <c r="AQ802" s="880"/>
      <c r="AR802" s="880"/>
      <c r="AS802" s="880">
        <v>0</v>
      </c>
      <c r="AT802" s="880">
        <v>0</v>
      </c>
      <c r="AU802" s="880">
        <v>0</v>
      </c>
      <c r="AV802" s="880">
        <v>0</v>
      </c>
      <c r="AW802" s="880">
        <v>0</v>
      </c>
      <c r="AX802" s="880">
        <v>0</v>
      </c>
      <c r="AY802" s="880">
        <v>0</v>
      </c>
      <c r="AZ802" s="880">
        <v>0</v>
      </c>
      <c r="BA802" s="880">
        <v>0</v>
      </c>
      <c r="BB802" s="880">
        <v>0</v>
      </c>
      <c r="BC802" s="880">
        <v>0</v>
      </c>
      <c r="BD802" s="880">
        <v>0</v>
      </c>
      <c r="BE802" s="880">
        <v>0</v>
      </c>
      <c r="BF802" s="880">
        <v>0</v>
      </c>
      <c r="BG802" s="880">
        <v>0</v>
      </c>
      <c r="BH802" s="880">
        <v>0</v>
      </c>
      <c r="BI802" s="880">
        <v>0</v>
      </c>
      <c r="BJ802" s="880">
        <v>0</v>
      </c>
      <c r="BK802" s="880">
        <v>0</v>
      </c>
      <c r="BL802" s="880">
        <v>0</v>
      </c>
      <c r="BM802" s="880">
        <v>0</v>
      </c>
      <c r="BN802" s="880">
        <v>0</v>
      </c>
      <c r="BO802" s="880">
        <v>0</v>
      </c>
      <c r="BP802" s="880">
        <v>0</v>
      </c>
      <c r="BQ802" s="880">
        <v>0</v>
      </c>
      <c r="BR802" s="880">
        <v>0</v>
      </c>
      <c r="BS802" s="880">
        <v>0</v>
      </c>
      <c r="BT802" s="880">
        <v>0</v>
      </c>
      <c r="BU802" s="880">
        <v>0</v>
      </c>
      <c r="BV802" s="880">
        <v>0</v>
      </c>
      <c r="BW802" s="880">
        <v>0</v>
      </c>
      <c r="BX802" s="880">
        <v>0</v>
      </c>
      <c r="BY802" s="880">
        <v>0</v>
      </c>
      <c r="BZ802" s="880">
        <v>0</v>
      </c>
      <c r="CA802" s="880">
        <v>0</v>
      </c>
      <c r="CB802" s="880">
        <v>0</v>
      </c>
      <c r="CC802" s="880">
        <v>0</v>
      </c>
      <c r="CD802" s="880">
        <v>0</v>
      </c>
      <c r="CE802" s="880">
        <v>0</v>
      </c>
      <c r="CF802" s="880">
        <v>0</v>
      </c>
      <c r="CG802" s="880">
        <v>0</v>
      </c>
      <c r="CH802" s="880">
        <v>0</v>
      </c>
      <c r="CI802" s="880">
        <v>0</v>
      </c>
      <c r="CJ802" s="880">
        <v>0</v>
      </c>
      <c r="CK802" s="880">
        <v>0</v>
      </c>
      <c r="CL802" s="880">
        <v>0</v>
      </c>
      <c r="CM802" s="880">
        <v>0</v>
      </c>
      <c r="CN802" s="880">
        <v>0</v>
      </c>
      <c r="CO802" s="880">
        <v>0</v>
      </c>
      <c r="CP802" s="880"/>
      <c r="CQ802" s="880"/>
      <c r="CR802" s="880"/>
      <c r="CS802" s="880"/>
      <c r="CT802" s="880"/>
      <c r="CU802" s="880"/>
      <c r="CV802" s="880"/>
      <c r="CW802" s="880"/>
      <c r="CX802" s="880"/>
      <c r="CY802" s="880"/>
      <c r="CZ802" s="880"/>
      <c r="DA802" s="880"/>
      <c r="DB802" s="873"/>
      <c r="DC802" s="12">
        <f t="shared" si="788"/>
        <v>0</v>
      </c>
      <c r="DD802" s="12">
        <f t="shared" si="798"/>
        <v>0</v>
      </c>
      <c r="DE802" s="12">
        <f t="shared" si="799"/>
        <v>0</v>
      </c>
      <c r="DF802" s="12">
        <f t="shared" si="789"/>
        <v>0</v>
      </c>
      <c r="DG802" s="12">
        <f t="shared" si="800"/>
        <v>0</v>
      </c>
      <c r="DH802" s="12">
        <f t="shared" si="801"/>
        <v>0</v>
      </c>
    </row>
    <row r="803" spans="2:112" s="702" customFormat="1" hidden="1" outlineLevel="2">
      <c r="B803" s="126"/>
      <c r="E803" s="720" t="s">
        <v>621</v>
      </c>
      <c r="F803" s="126"/>
      <c r="G803" s="126"/>
      <c r="H803" s="609"/>
      <c r="I803" s="609" t="s">
        <v>736</v>
      </c>
      <c r="J803" s="965"/>
      <c r="K803" s="965"/>
      <c r="L803" s="965"/>
      <c r="M803" s="965"/>
      <c r="N803" s="887"/>
      <c r="O803" s="887"/>
      <c r="P803" s="887"/>
      <c r="Q803" s="887"/>
      <c r="R803" s="887"/>
      <c r="S803" s="887"/>
      <c r="T803" s="887"/>
      <c r="U803" s="887"/>
      <c r="Y803" s="126"/>
      <c r="Z803" s="887"/>
      <c r="AA803" s="887"/>
      <c r="AB803" s="887"/>
      <c r="AC803" s="887"/>
      <c r="AD803" s="887"/>
      <c r="AE803" s="887"/>
      <c r="AF803" s="887"/>
      <c r="AG803" s="887"/>
      <c r="AH803" s="887"/>
      <c r="AI803" s="887"/>
      <c r="AJ803" s="887"/>
      <c r="AK803" s="12"/>
      <c r="AL803" s="12"/>
      <c r="AM803" s="756"/>
      <c r="AN803" s="756"/>
      <c r="AO803" s="756"/>
      <c r="AP803" s="756"/>
      <c r="AQ803" s="756"/>
      <c r="AR803" s="756"/>
      <c r="AS803" s="979">
        <v>0</v>
      </c>
      <c r="AT803" s="979">
        <v>0</v>
      </c>
      <c r="AU803" s="979">
        <v>0</v>
      </c>
      <c r="AV803" s="979">
        <v>0</v>
      </c>
      <c r="AW803" s="979">
        <v>0</v>
      </c>
      <c r="AX803" s="979">
        <v>0</v>
      </c>
      <c r="AY803" s="979">
        <v>0</v>
      </c>
      <c r="AZ803" s="979">
        <v>0</v>
      </c>
      <c r="BA803" s="979">
        <v>0</v>
      </c>
      <c r="BB803" s="979">
        <v>0</v>
      </c>
      <c r="BC803" s="979">
        <v>0</v>
      </c>
      <c r="BD803" s="979">
        <v>0</v>
      </c>
      <c r="BE803" s="979">
        <v>0</v>
      </c>
      <c r="BF803" s="979">
        <v>0</v>
      </c>
      <c r="BG803" s="979">
        <v>0</v>
      </c>
      <c r="BH803" s="979">
        <v>0</v>
      </c>
      <c r="BI803" s="979">
        <v>0</v>
      </c>
      <c r="BJ803" s="979">
        <v>0</v>
      </c>
      <c r="BK803" s="979">
        <v>0</v>
      </c>
      <c r="BL803" s="979">
        <v>0</v>
      </c>
      <c r="BM803" s="979">
        <v>0</v>
      </c>
      <c r="BN803" s="979">
        <v>0</v>
      </c>
      <c r="BO803" s="979">
        <v>0</v>
      </c>
      <c r="BP803" s="979">
        <v>0</v>
      </c>
      <c r="BQ803" s="979">
        <v>0</v>
      </c>
      <c r="BR803" s="979">
        <v>0</v>
      </c>
      <c r="BS803" s="979">
        <v>0</v>
      </c>
      <c r="BT803" s="979">
        <v>0</v>
      </c>
      <c r="BU803" s="979">
        <v>0</v>
      </c>
      <c r="BV803" s="979">
        <v>0</v>
      </c>
      <c r="BW803" s="979">
        <v>0</v>
      </c>
      <c r="BX803" s="979">
        <v>0</v>
      </c>
      <c r="BY803" s="979">
        <v>0</v>
      </c>
      <c r="BZ803" s="979">
        <v>0</v>
      </c>
      <c r="CA803" s="979">
        <v>0</v>
      </c>
      <c r="CB803" s="979">
        <v>0</v>
      </c>
      <c r="CC803" s="979">
        <v>0</v>
      </c>
      <c r="CD803" s="979">
        <v>0</v>
      </c>
      <c r="CE803" s="979">
        <v>0</v>
      </c>
      <c r="CF803" s="979">
        <v>0</v>
      </c>
      <c r="CG803" s="979">
        <v>0</v>
      </c>
      <c r="CH803" s="979">
        <v>0</v>
      </c>
      <c r="CI803" s="979">
        <v>0</v>
      </c>
      <c r="CJ803" s="979">
        <v>0</v>
      </c>
      <c r="CK803" s="979">
        <v>0</v>
      </c>
      <c r="CL803" s="979">
        <v>0</v>
      </c>
      <c r="CM803" s="979">
        <v>0</v>
      </c>
      <c r="CN803" s="979">
        <v>0</v>
      </c>
      <c r="CO803" s="979">
        <v>0</v>
      </c>
      <c r="CP803" s="979"/>
      <c r="CQ803" s="979"/>
      <c r="CR803" s="979"/>
      <c r="CS803" s="979"/>
      <c r="CT803" s="979"/>
      <c r="CU803" s="979"/>
      <c r="CV803" s="979"/>
      <c r="CW803" s="979"/>
      <c r="CX803" s="979"/>
      <c r="CY803" s="979"/>
      <c r="CZ803" s="979"/>
      <c r="DA803" s="979"/>
      <c r="DC803" s="12">
        <f>SUM(V803:AG803)</f>
        <v>0</v>
      </c>
      <c r="DD803" s="12">
        <f>SUM(AH803:AS803)</f>
        <v>0</v>
      </c>
      <c r="DE803" s="12">
        <f>SUM(AT803:BE803)</f>
        <v>0</v>
      </c>
      <c r="DF803" s="12">
        <f>SUM(BF803:BQ803)</f>
        <v>0</v>
      </c>
      <c r="DG803" s="12">
        <f>SUM(BR803:CC803)</f>
        <v>0</v>
      </c>
      <c r="DH803" s="12">
        <f>SUM(CD803:CO803)</f>
        <v>0</v>
      </c>
    </row>
    <row r="804" spans="2:112" s="708" customFormat="1" hidden="1" outlineLevel="2">
      <c r="B804" s="126"/>
      <c r="E804" s="724" t="s">
        <v>701</v>
      </c>
      <c r="F804" s="705"/>
      <c r="G804" s="705"/>
      <c r="H804" s="975"/>
      <c r="I804" s="609" t="s">
        <v>736</v>
      </c>
      <c r="J804" s="975"/>
      <c r="K804" s="975"/>
      <c r="L804" s="975"/>
      <c r="M804" s="975"/>
      <c r="N804" s="705"/>
      <c r="O804" s="705"/>
      <c r="P804" s="705"/>
      <c r="Q804" s="705"/>
      <c r="R804" s="705"/>
      <c r="S804" s="705"/>
      <c r="T804" s="705"/>
      <c r="U804" s="705"/>
      <c r="X804" s="126"/>
      <c r="Y804" s="126"/>
      <c r="Z804" s="705"/>
      <c r="AA804" s="705"/>
      <c r="AB804" s="705"/>
      <c r="AC804" s="705"/>
      <c r="AD804" s="705"/>
      <c r="AE804" s="705"/>
      <c r="AF804" s="705"/>
      <c r="AG804" s="705"/>
      <c r="AH804" s="705"/>
      <c r="AI804" s="705"/>
      <c r="AJ804" s="705"/>
      <c r="AS804" s="708">
        <f t="shared" ref="AS804:CO804" si="802">SUM(AS805:AS812)</f>
        <v>0</v>
      </c>
      <c r="AT804" s="708">
        <f t="shared" si="802"/>
        <v>0</v>
      </c>
      <c r="AU804" s="708">
        <f t="shared" si="802"/>
        <v>0</v>
      </c>
      <c r="AV804" s="708">
        <f t="shared" si="802"/>
        <v>0</v>
      </c>
      <c r="AW804" s="708">
        <f t="shared" si="802"/>
        <v>0</v>
      </c>
      <c r="AX804" s="708">
        <f t="shared" si="802"/>
        <v>0</v>
      </c>
      <c r="AY804" s="708">
        <f t="shared" si="802"/>
        <v>0</v>
      </c>
      <c r="AZ804" s="708">
        <f t="shared" si="802"/>
        <v>0</v>
      </c>
      <c r="BA804" s="708">
        <f t="shared" si="802"/>
        <v>0</v>
      </c>
      <c r="BB804" s="708">
        <f t="shared" si="802"/>
        <v>0</v>
      </c>
      <c r="BC804" s="708">
        <f t="shared" si="802"/>
        <v>0</v>
      </c>
      <c r="BD804" s="708">
        <f t="shared" si="802"/>
        <v>0</v>
      </c>
      <c r="BE804" s="708">
        <f t="shared" si="802"/>
        <v>0</v>
      </c>
      <c r="BF804" s="708">
        <f t="shared" si="802"/>
        <v>0</v>
      </c>
      <c r="BG804" s="708">
        <f t="shared" si="802"/>
        <v>0</v>
      </c>
      <c r="BH804" s="708">
        <f t="shared" si="802"/>
        <v>0</v>
      </c>
      <c r="BI804" s="708">
        <f t="shared" si="802"/>
        <v>0</v>
      </c>
      <c r="BJ804" s="708">
        <f t="shared" si="802"/>
        <v>0</v>
      </c>
      <c r="BK804" s="708">
        <f t="shared" si="802"/>
        <v>0</v>
      </c>
      <c r="BL804" s="708">
        <f t="shared" si="802"/>
        <v>0</v>
      </c>
      <c r="BM804" s="708">
        <f t="shared" si="802"/>
        <v>0</v>
      </c>
      <c r="BN804" s="708">
        <f t="shared" si="802"/>
        <v>0</v>
      </c>
      <c r="BO804" s="708">
        <f t="shared" si="802"/>
        <v>0</v>
      </c>
      <c r="BP804" s="708">
        <f t="shared" si="802"/>
        <v>0</v>
      </c>
      <c r="BQ804" s="708">
        <f t="shared" si="802"/>
        <v>0</v>
      </c>
      <c r="BR804" s="708">
        <f t="shared" si="802"/>
        <v>0</v>
      </c>
      <c r="BS804" s="708">
        <f t="shared" si="802"/>
        <v>0</v>
      </c>
      <c r="BT804" s="708">
        <f t="shared" si="802"/>
        <v>0</v>
      </c>
      <c r="BU804" s="708">
        <f t="shared" si="802"/>
        <v>0</v>
      </c>
      <c r="BV804" s="708">
        <f t="shared" si="802"/>
        <v>0</v>
      </c>
      <c r="BW804" s="708">
        <f t="shared" si="802"/>
        <v>0</v>
      </c>
      <c r="BX804" s="708">
        <f t="shared" si="802"/>
        <v>0</v>
      </c>
      <c r="BY804" s="708">
        <f t="shared" si="802"/>
        <v>0</v>
      </c>
      <c r="BZ804" s="708">
        <f t="shared" si="802"/>
        <v>0</v>
      </c>
      <c r="CA804" s="708">
        <f t="shared" si="802"/>
        <v>0</v>
      </c>
      <c r="CB804" s="708">
        <f t="shared" si="802"/>
        <v>0</v>
      </c>
      <c r="CC804" s="708">
        <f t="shared" si="802"/>
        <v>0</v>
      </c>
      <c r="CD804" s="708">
        <f t="shared" si="802"/>
        <v>0</v>
      </c>
      <c r="CE804" s="708">
        <f t="shared" si="802"/>
        <v>0</v>
      </c>
      <c r="CF804" s="708">
        <f t="shared" si="802"/>
        <v>0</v>
      </c>
      <c r="CG804" s="708">
        <f t="shared" si="802"/>
        <v>0</v>
      </c>
      <c r="CH804" s="708">
        <f t="shared" si="802"/>
        <v>0</v>
      </c>
      <c r="CI804" s="708">
        <f t="shared" si="802"/>
        <v>0</v>
      </c>
      <c r="CJ804" s="708">
        <f t="shared" si="802"/>
        <v>0</v>
      </c>
      <c r="CK804" s="708">
        <f t="shared" si="802"/>
        <v>0</v>
      </c>
      <c r="CL804" s="708">
        <f t="shared" si="802"/>
        <v>0</v>
      </c>
      <c r="CM804" s="708">
        <f t="shared" si="802"/>
        <v>0</v>
      </c>
      <c r="CN804" s="708">
        <f t="shared" si="802"/>
        <v>0</v>
      </c>
      <c r="CO804" s="708">
        <f t="shared" si="802"/>
        <v>0</v>
      </c>
      <c r="DC804" s="14">
        <f t="shared" si="788"/>
        <v>0</v>
      </c>
      <c r="DD804" s="14">
        <f t="shared" si="798"/>
        <v>0</v>
      </c>
      <c r="DE804" s="14">
        <f t="shared" si="799"/>
        <v>0</v>
      </c>
      <c r="DF804" s="14">
        <f t="shared" si="789"/>
        <v>0</v>
      </c>
      <c r="DG804" s="14">
        <f t="shared" si="800"/>
        <v>0</v>
      </c>
      <c r="DH804" s="14">
        <f t="shared" si="801"/>
        <v>0</v>
      </c>
    </row>
    <row r="805" spans="2:112" hidden="1" outlineLevel="2">
      <c r="F805" s="126" t="s">
        <v>100</v>
      </c>
      <c r="I805" s="609" t="s">
        <v>736</v>
      </c>
      <c r="X805" s="708"/>
      <c r="AJ805" s="976"/>
      <c r="AK805" s="710"/>
      <c r="AL805" s="710"/>
      <c r="AM805" s="710"/>
      <c r="AN805" s="710"/>
      <c r="AO805" s="710"/>
      <c r="AP805" s="710"/>
      <c r="AQ805" s="710"/>
      <c r="AR805" s="710"/>
      <c r="AS805" s="710">
        <v>0</v>
      </c>
      <c r="AT805" s="710">
        <v>0</v>
      </c>
      <c r="AU805" s="710">
        <v>0</v>
      </c>
      <c r="AV805" s="710">
        <v>0</v>
      </c>
      <c r="AW805" s="710">
        <v>0</v>
      </c>
      <c r="AX805" s="710">
        <v>0</v>
      </c>
      <c r="AY805" s="710">
        <v>0</v>
      </c>
      <c r="AZ805" s="710">
        <v>0</v>
      </c>
      <c r="BA805" s="710">
        <v>0</v>
      </c>
      <c r="BB805" s="710">
        <v>0</v>
      </c>
      <c r="BC805" s="710">
        <v>0</v>
      </c>
      <c r="BD805" s="710">
        <v>0</v>
      </c>
      <c r="BE805" s="710">
        <v>0</v>
      </c>
      <c r="BF805" s="710">
        <v>0</v>
      </c>
      <c r="BG805" s="710">
        <v>0</v>
      </c>
      <c r="BH805" s="710">
        <v>0</v>
      </c>
      <c r="BI805" s="710">
        <v>0</v>
      </c>
      <c r="BJ805" s="710">
        <v>0</v>
      </c>
      <c r="BK805" s="710">
        <v>0</v>
      </c>
      <c r="BL805" s="710">
        <v>0</v>
      </c>
      <c r="BM805" s="710">
        <v>0</v>
      </c>
      <c r="BN805" s="710">
        <v>0</v>
      </c>
      <c r="BO805" s="710">
        <v>0</v>
      </c>
      <c r="BP805" s="710">
        <v>0</v>
      </c>
      <c r="BQ805" s="710">
        <v>0</v>
      </c>
      <c r="BR805" s="710">
        <v>0</v>
      </c>
      <c r="BS805" s="710">
        <v>0</v>
      </c>
      <c r="BT805" s="710">
        <v>0</v>
      </c>
      <c r="BU805" s="710">
        <v>0</v>
      </c>
      <c r="BV805" s="710">
        <v>0</v>
      </c>
      <c r="BW805" s="710">
        <v>0</v>
      </c>
      <c r="BX805" s="710">
        <v>0</v>
      </c>
      <c r="BY805" s="710">
        <v>0</v>
      </c>
      <c r="BZ805" s="710">
        <v>0</v>
      </c>
      <c r="CA805" s="710">
        <v>0</v>
      </c>
      <c r="CB805" s="710">
        <v>0</v>
      </c>
      <c r="CC805" s="710">
        <v>0</v>
      </c>
      <c r="CD805" s="710">
        <v>0</v>
      </c>
      <c r="CE805" s="710">
        <v>0</v>
      </c>
      <c r="CF805" s="710">
        <v>0</v>
      </c>
      <c r="CG805" s="710">
        <v>0</v>
      </c>
      <c r="CH805" s="710">
        <v>0</v>
      </c>
      <c r="CI805" s="710">
        <v>0</v>
      </c>
      <c r="CJ805" s="710">
        <v>0</v>
      </c>
      <c r="CK805" s="710">
        <v>0</v>
      </c>
      <c r="CL805" s="710">
        <v>0</v>
      </c>
      <c r="CM805" s="710">
        <v>0</v>
      </c>
      <c r="CN805" s="710">
        <v>0</v>
      </c>
      <c r="CO805" s="710">
        <v>0</v>
      </c>
      <c r="CP805" s="710"/>
      <c r="CQ805" s="710"/>
      <c r="CR805" s="710"/>
      <c r="CS805" s="710"/>
      <c r="CT805" s="710"/>
      <c r="CU805" s="710"/>
      <c r="CV805" s="710"/>
      <c r="CW805" s="710"/>
      <c r="CX805" s="710"/>
      <c r="CY805" s="710"/>
      <c r="CZ805" s="710"/>
      <c r="DA805" s="710"/>
      <c r="DC805" s="12">
        <f>SUM(V805:AG805)</f>
        <v>0</v>
      </c>
      <c r="DD805" s="12">
        <f t="shared" si="798"/>
        <v>0</v>
      </c>
      <c r="DE805" s="12">
        <f t="shared" si="799"/>
        <v>0</v>
      </c>
      <c r="DF805" s="12">
        <f t="shared" ref="DF805:DF815" si="803">SUM(BF805:BQ805)</f>
        <v>0</v>
      </c>
      <c r="DG805" s="12">
        <f t="shared" si="800"/>
        <v>0</v>
      </c>
      <c r="DH805" s="12">
        <f t="shared" si="801"/>
        <v>0</v>
      </c>
    </row>
    <row r="806" spans="2:112" hidden="1" outlineLevel="2">
      <c r="F806" s="126" t="s">
        <v>107</v>
      </c>
      <c r="I806" s="609" t="s">
        <v>736</v>
      </c>
      <c r="AH806" s="887"/>
      <c r="AI806" s="887"/>
      <c r="AJ806" s="716"/>
      <c r="AK806" s="710"/>
      <c r="AL806" s="710"/>
      <c r="AM806" s="710"/>
      <c r="AN806" s="710"/>
      <c r="AO806" s="710"/>
      <c r="AP806" s="710"/>
      <c r="AQ806" s="710"/>
      <c r="AR806" s="710"/>
      <c r="AS806" s="710">
        <v>0</v>
      </c>
      <c r="AT806" s="710">
        <v>0</v>
      </c>
      <c r="AU806" s="710">
        <v>0</v>
      </c>
      <c r="AV806" s="710">
        <v>0</v>
      </c>
      <c r="AW806" s="710">
        <v>0</v>
      </c>
      <c r="AX806" s="710">
        <v>0</v>
      </c>
      <c r="AY806" s="710">
        <v>0</v>
      </c>
      <c r="AZ806" s="710">
        <v>0</v>
      </c>
      <c r="BA806" s="710">
        <v>0</v>
      </c>
      <c r="BB806" s="710">
        <v>0</v>
      </c>
      <c r="BC806" s="710">
        <v>0</v>
      </c>
      <c r="BD806" s="710">
        <v>0</v>
      </c>
      <c r="BE806" s="710">
        <v>0</v>
      </c>
      <c r="BF806" s="710">
        <v>0</v>
      </c>
      <c r="BG806" s="710">
        <v>0</v>
      </c>
      <c r="BH806" s="710">
        <v>0</v>
      </c>
      <c r="BI806" s="710">
        <v>0</v>
      </c>
      <c r="BJ806" s="710">
        <v>0</v>
      </c>
      <c r="BK806" s="710">
        <v>0</v>
      </c>
      <c r="BL806" s="710">
        <v>0</v>
      </c>
      <c r="BM806" s="710">
        <v>0</v>
      </c>
      <c r="BN806" s="710">
        <v>0</v>
      </c>
      <c r="BO806" s="710">
        <v>0</v>
      </c>
      <c r="BP806" s="710">
        <v>0</v>
      </c>
      <c r="BQ806" s="710">
        <v>0</v>
      </c>
      <c r="BR806" s="710">
        <v>0</v>
      </c>
      <c r="BS806" s="710">
        <v>0</v>
      </c>
      <c r="BT806" s="710">
        <v>0</v>
      </c>
      <c r="BU806" s="710">
        <v>0</v>
      </c>
      <c r="BV806" s="710">
        <v>0</v>
      </c>
      <c r="BW806" s="710">
        <v>0</v>
      </c>
      <c r="BX806" s="710">
        <v>0</v>
      </c>
      <c r="BY806" s="710">
        <v>0</v>
      </c>
      <c r="BZ806" s="710">
        <v>0</v>
      </c>
      <c r="CA806" s="710">
        <v>0</v>
      </c>
      <c r="CB806" s="710">
        <v>0</v>
      </c>
      <c r="CC806" s="710">
        <v>0</v>
      </c>
      <c r="CD806" s="710">
        <v>0</v>
      </c>
      <c r="CE806" s="710">
        <v>0</v>
      </c>
      <c r="CF806" s="710">
        <v>0</v>
      </c>
      <c r="CG806" s="710">
        <v>0</v>
      </c>
      <c r="CH806" s="710">
        <v>0</v>
      </c>
      <c r="CI806" s="710">
        <v>0</v>
      </c>
      <c r="CJ806" s="710">
        <v>0</v>
      </c>
      <c r="CK806" s="710">
        <v>0</v>
      </c>
      <c r="CL806" s="710">
        <v>0</v>
      </c>
      <c r="CM806" s="710">
        <v>0</v>
      </c>
      <c r="CN806" s="710">
        <v>0</v>
      </c>
      <c r="CO806" s="710">
        <v>0</v>
      </c>
      <c r="CP806" s="710"/>
      <c r="CQ806" s="710"/>
      <c r="CR806" s="710"/>
      <c r="CS806" s="710"/>
      <c r="CT806" s="710"/>
      <c r="CU806" s="710"/>
      <c r="CV806" s="710"/>
      <c r="CW806" s="710"/>
      <c r="CX806" s="710"/>
      <c r="CY806" s="710"/>
      <c r="CZ806" s="710"/>
      <c r="DA806" s="710"/>
      <c r="DB806" s="702"/>
      <c r="DC806" s="12">
        <f>SUM(V806:AG806)</f>
        <v>0</v>
      </c>
      <c r="DD806" s="12">
        <f t="shared" si="798"/>
        <v>0</v>
      </c>
      <c r="DE806" s="12">
        <f t="shared" si="799"/>
        <v>0</v>
      </c>
      <c r="DF806" s="12">
        <f t="shared" si="803"/>
        <v>0</v>
      </c>
      <c r="DG806" s="12">
        <f t="shared" si="800"/>
        <v>0</v>
      </c>
      <c r="DH806" s="12">
        <f t="shared" si="801"/>
        <v>0</v>
      </c>
    </row>
    <row r="807" spans="2:112" hidden="1" outlineLevel="2">
      <c r="F807" s="126" t="s">
        <v>806</v>
      </c>
      <c r="I807" s="609" t="s">
        <v>736</v>
      </c>
      <c r="AH807" s="887"/>
      <c r="AI807" s="887"/>
      <c r="AJ807" s="716"/>
      <c r="AK807" s="710"/>
      <c r="AL807" s="710"/>
      <c r="AM807" s="710"/>
      <c r="AN807" s="710"/>
      <c r="AO807" s="710"/>
      <c r="AP807" s="710"/>
      <c r="AQ807" s="710"/>
      <c r="AR807" s="710"/>
      <c r="AS807" s="710">
        <v>0</v>
      </c>
      <c r="AT807" s="710">
        <v>0</v>
      </c>
      <c r="AU807" s="710">
        <v>0</v>
      </c>
      <c r="AV807" s="710">
        <v>0</v>
      </c>
      <c r="AW807" s="710">
        <v>0</v>
      </c>
      <c r="AX807" s="710">
        <v>0</v>
      </c>
      <c r="AY807" s="710">
        <v>0</v>
      </c>
      <c r="AZ807" s="710">
        <v>0</v>
      </c>
      <c r="BA807" s="710">
        <v>0</v>
      </c>
      <c r="BB807" s="710">
        <v>0</v>
      </c>
      <c r="BC807" s="710">
        <v>0</v>
      </c>
      <c r="BD807" s="710">
        <v>0</v>
      </c>
      <c r="BE807" s="710">
        <v>0</v>
      </c>
      <c r="BF807" s="710">
        <v>0</v>
      </c>
      <c r="BG807" s="710">
        <v>0</v>
      </c>
      <c r="BH807" s="710">
        <v>0</v>
      </c>
      <c r="BI807" s="710">
        <v>0</v>
      </c>
      <c r="BJ807" s="710">
        <v>0</v>
      </c>
      <c r="BK807" s="710">
        <v>0</v>
      </c>
      <c r="BL807" s="710">
        <v>0</v>
      </c>
      <c r="BM807" s="710">
        <v>0</v>
      </c>
      <c r="BN807" s="710">
        <v>0</v>
      </c>
      <c r="BO807" s="710">
        <v>0</v>
      </c>
      <c r="BP807" s="710">
        <v>0</v>
      </c>
      <c r="BQ807" s="710">
        <v>0</v>
      </c>
      <c r="BR807" s="710">
        <v>0</v>
      </c>
      <c r="BS807" s="710">
        <v>0</v>
      </c>
      <c r="BT807" s="710">
        <v>0</v>
      </c>
      <c r="BU807" s="710">
        <v>0</v>
      </c>
      <c r="BV807" s="710">
        <v>0</v>
      </c>
      <c r="BW807" s="710">
        <v>0</v>
      </c>
      <c r="BX807" s="710">
        <v>0</v>
      </c>
      <c r="BY807" s="710">
        <v>0</v>
      </c>
      <c r="BZ807" s="710">
        <v>0</v>
      </c>
      <c r="CA807" s="710">
        <v>0</v>
      </c>
      <c r="CB807" s="710">
        <v>0</v>
      </c>
      <c r="CC807" s="710">
        <v>0</v>
      </c>
      <c r="CD807" s="710">
        <v>0</v>
      </c>
      <c r="CE807" s="710">
        <v>0</v>
      </c>
      <c r="CF807" s="710">
        <v>0</v>
      </c>
      <c r="CG807" s="710">
        <v>0</v>
      </c>
      <c r="CH807" s="710">
        <v>0</v>
      </c>
      <c r="CI807" s="710">
        <v>0</v>
      </c>
      <c r="CJ807" s="710">
        <v>0</v>
      </c>
      <c r="CK807" s="710">
        <v>0</v>
      </c>
      <c r="CL807" s="710">
        <v>0</v>
      </c>
      <c r="CM807" s="710">
        <v>0</v>
      </c>
      <c r="CN807" s="710">
        <v>0</v>
      </c>
      <c r="CO807" s="710">
        <v>0</v>
      </c>
      <c r="CP807" s="710"/>
      <c r="CQ807" s="710"/>
      <c r="CR807" s="710"/>
      <c r="CS807" s="710"/>
      <c r="CT807" s="710"/>
      <c r="CU807" s="710"/>
      <c r="CV807" s="710"/>
      <c r="CW807" s="710"/>
      <c r="CX807" s="710"/>
      <c r="CY807" s="710"/>
      <c r="CZ807" s="710"/>
      <c r="DA807" s="710"/>
      <c r="DB807" s="702"/>
      <c r="DC807" s="12">
        <f>SUM(V807:AG807)</f>
        <v>0</v>
      </c>
      <c r="DD807" s="12">
        <f t="shared" si="798"/>
        <v>0</v>
      </c>
      <c r="DE807" s="12">
        <f t="shared" si="799"/>
        <v>0</v>
      </c>
      <c r="DF807" s="12">
        <f t="shared" si="803"/>
        <v>0</v>
      </c>
      <c r="DG807" s="12">
        <f t="shared" si="800"/>
        <v>0</v>
      </c>
      <c r="DH807" s="12">
        <f t="shared" si="801"/>
        <v>0</v>
      </c>
    </row>
    <row r="808" spans="2:112" hidden="1" outlineLevel="2">
      <c r="F808" s="126" t="s">
        <v>807</v>
      </c>
      <c r="I808" s="609" t="s">
        <v>736</v>
      </c>
      <c r="AH808" s="887"/>
      <c r="AI808" s="887"/>
      <c r="AJ808" s="716"/>
      <c r="AK808" s="710"/>
      <c r="AL808" s="710"/>
      <c r="AM808" s="710"/>
      <c r="AN808" s="710"/>
      <c r="AO808" s="710"/>
      <c r="AP808" s="710"/>
      <c r="AQ808" s="710"/>
      <c r="AR808" s="710"/>
      <c r="AS808" s="710"/>
      <c r="AT808" s="710"/>
      <c r="AU808" s="710"/>
      <c r="AV808" s="710"/>
      <c r="AW808" s="710"/>
      <c r="AX808" s="710"/>
      <c r="AY808" s="710"/>
      <c r="AZ808" s="710"/>
      <c r="BA808" s="710"/>
      <c r="BB808" s="710"/>
      <c r="BC808" s="710"/>
      <c r="BD808" s="710"/>
      <c r="BE808" s="710"/>
      <c r="BF808" s="710"/>
      <c r="BG808" s="710"/>
      <c r="BH808" s="710"/>
      <c r="BI808" s="710"/>
      <c r="BJ808" s="710"/>
      <c r="BK808" s="710"/>
      <c r="BL808" s="710"/>
      <c r="BM808" s="710"/>
      <c r="BN808" s="710"/>
      <c r="BO808" s="710"/>
      <c r="BP808" s="710"/>
      <c r="BQ808" s="710"/>
      <c r="BR808" s="710"/>
      <c r="BS808" s="710"/>
      <c r="BT808" s="710"/>
      <c r="BU808" s="710"/>
      <c r="BV808" s="710"/>
      <c r="BW808" s="710"/>
      <c r="BX808" s="710"/>
      <c r="BY808" s="710"/>
      <c r="BZ808" s="710"/>
      <c r="CA808" s="710"/>
      <c r="CB808" s="710"/>
      <c r="CC808" s="710"/>
      <c r="CD808" s="710"/>
      <c r="CE808" s="710"/>
      <c r="CF808" s="710"/>
      <c r="CG808" s="710"/>
      <c r="CH808" s="710"/>
      <c r="CI808" s="710"/>
      <c r="CJ808" s="710"/>
      <c r="CK808" s="710"/>
      <c r="CL808" s="710"/>
      <c r="CM808" s="710"/>
      <c r="CN808" s="710"/>
      <c r="CO808" s="710"/>
      <c r="CP808" s="710"/>
      <c r="CQ808" s="710"/>
      <c r="CR808" s="710"/>
      <c r="CS808" s="710"/>
      <c r="CT808" s="710"/>
      <c r="CU808" s="710"/>
      <c r="CV808" s="710"/>
      <c r="CW808" s="710"/>
      <c r="CX808" s="710"/>
      <c r="CY808" s="710"/>
      <c r="CZ808" s="710"/>
      <c r="DA808" s="710"/>
      <c r="DB808" s="702"/>
      <c r="DC808" s="12">
        <f>SUM(V808:AG808)</f>
        <v>0</v>
      </c>
      <c r="DD808" s="12">
        <f t="shared" si="798"/>
        <v>0</v>
      </c>
      <c r="DE808" s="12">
        <f t="shared" si="799"/>
        <v>0</v>
      </c>
      <c r="DF808" s="12">
        <f t="shared" si="803"/>
        <v>0</v>
      </c>
      <c r="DG808" s="12">
        <f t="shared" si="800"/>
        <v>0</v>
      </c>
      <c r="DH808" s="12">
        <f t="shared" si="801"/>
        <v>0</v>
      </c>
    </row>
    <row r="809" spans="2:112" hidden="1" outlineLevel="2">
      <c r="F809" s="126" t="s">
        <v>703</v>
      </c>
      <c r="I809" s="609" t="s">
        <v>736</v>
      </c>
      <c r="AH809" s="887"/>
      <c r="AI809" s="887"/>
      <c r="AJ809" s="716"/>
      <c r="AK809" s="710"/>
      <c r="AL809" s="710"/>
      <c r="AM809" s="710"/>
      <c r="AN809" s="710"/>
      <c r="AO809" s="710"/>
      <c r="AP809" s="710"/>
      <c r="AQ809" s="710"/>
      <c r="AR809" s="710"/>
      <c r="AS809" s="710"/>
      <c r="AT809" s="710"/>
      <c r="AU809" s="710"/>
      <c r="AV809" s="710"/>
      <c r="AW809" s="710"/>
      <c r="AX809" s="710"/>
      <c r="AY809" s="710"/>
      <c r="AZ809" s="710"/>
      <c r="BA809" s="710"/>
      <c r="BB809" s="710"/>
      <c r="BC809" s="710"/>
      <c r="BD809" s="710"/>
      <c r="BE809" s="710"/>
      <c r="BF809" s="710"/>
      <c r="BG809" s="710"/>
      <c r="BH809" s="710"/>
      <c r="BI809" s="710"/>
      <c r="BJ809" s="710"/>
      <c r="BK809" s="710"/>
      <c r="BL809" s="710"/>
      <c r="BM809" s="710"/>
      <c r="BN809" s="710"/>
      <c r="BO809" s="710"/>
      <c r="BP809" s="710"/>
      <c r="BQ809" s="710"/>
      <c r="BR809" s="710"/>
      <c r="BS809" s="710"/>
      <c r="BT809" s="710"/>
      <c r="BU809" s="710"/>
      <c r="BV809" s="710"/>
      <c r="BW809" s="710"/>
      <c r="BX809" s="710"/>
      <c r="BY809" s="710"/>
      <c r="BZ809" s="710"/>
      <c r="CA809" s="710"/>
      <c r="CB809" s="710"/>
      <c r="CC809" s="710"/>
      <c r="CD809" s="710"/>
      <c r="CE809" s="710"/>
      <c r="CF809" s="710"/>
      <c r="CG809" s="710"/>
      <c r="CH809" s="710"/>
      <c r="CI809" s="710"/>
      <c r="CJ809" s="710"/>
      <c r="CK809" s="710"/>
      <c r="CL809" s="710"/>
      <c r="CM809" s="710"/>
      <c r="CN809" s="710"/>
      <c r="CO809" s="710"/>
      <c r="CP809" s="710"/>
      <c r="CQ809" s="710"/>
      <c r="CR809" s="710"/>
      <c r="CS809" s="710"/>
      <c r="CT809" s="710"/>
      <c r="CU809" s="710"/>
      <c r="CV809" s="710"/>
      <c r="CW809" s="710"/>
      <c r="CX809" s="710"/>
      <c r="CY809" s="710"/>
      <c r="CZ809" s="710"/>
      <c r="DA809" s="710"/>
      <c r="DB809" s="702"/>
      <c r="DC809" s="12">
        <f t="shared" ref="DC809:DC815" si="804">SUM(V809:AG809)</f>
        <v>0</v>
      </c>
      <c r="DD809" s="14">
        <f t="shared" si="798"/>
        <v>0</v>
      </c>
      <c r="DE809" s="14">
        <f t="shared" si="799"/>
        <v>0</v>
      </c>
      <c r="DF809" s="14">
        <f t="shared" si="803"/>
        <v>0</v>
      </c>
      <c r="DG809" s="14">
        <f t="shared" si="800"/>
        <v>0</v>
      </c>
      <c r="DH809" s="14">
        <f t="shared" si="801"/>
        <v>0</v>
      </c>
    </row>
    <row r="810" spans="2:112" hidden="1" outlineLevel="2">
      <c r="F810" s="126" t="s">
        <v>163</v>
      </c>
      <c r="I810" s="609" t="s">
        <v>736</v>
      </c>
      <c r="AH810" s="887"/>
      <c r="AI810" s="887"/>
      <c r="AJ810" s="716"/>
      <c r="AK810" s="710"/>
      <c r="AL810" s="710"/>
      <c r="AM810" s="710"/>
      <c r="AN810" s="710"/>
      <c r="AO810" s="710"/>
      <c r="AP810" s="710"/>
      <c r="AQ810" s="710"/>
      <c r="AR810" s="710"/>
      <c r="AS810" s="710"/>
      <c r="AT810" s="710"/>
      <c r="AU810" s="710"/>
      <c r="AV810" s="710"/>
      <c r="AW810" s="710"/>
      <c r="AX810" s="710"/>
      <c r="AY810" s="710"/>
      <c r="AZ810" s="710"/>
      <c r="BA810" s="710"/>
      <c r="BB810" s="710"/>
      <c r="BC810" s="710"/>
      <c r="BD810" s="710"/>
      <c r="BE810" s="710"/>
      <c r="BF810" s="710"/>
      <c r="BG810" s="710"/>
      <c r="BH810" s="710"/>
      <c r="BI810" s="710"/>
      <c r="BJ810" s="710"/>
      <c r="BK810" s="710"/>
      <c r="BL810" s="710"/>
      <c r="BM810" s="710"/>
      <c r="BN810" s="710"/>
      <c r="BO810" s="710"/>
      <c r="BP810" s="710"/>
      <c r="BQ810" s="710"/>
      <c r="BR810" s="710"/>
      <c r="BS810" s="710"/>
      <c r="BT810" s="710"/>
      <c r="BU810" s="710"/>
      <c r="BV810" s="710"/>
      <c r="BW810" s="710"/>
      <c r="BX810" s="710"/>
      <c r="BY810" s="710"/>
      <c r="BZ810" s="710"/>
      <c r="CA810" s="710"/>
      <c r="CB810" s="710"/>
      <c r="CC810" s="710"/>
      <c r="CD810" s="710"/>
      <c r="CE810" s="710"/>
      <c r="CF810" s="710"/>
      <c r="CG810" s="710"/>
      <c r="CH810" s="710"/>
      <c r="CI810" s="710"/>
      <c r="CJ810" s="710"/>
      <c r="CK810" s="710"/>
      <c r="CL810" s="710"/>
      <c r="CM810" s="710"/>
      <c r="CN810" s="710"/>
      <c r="CO810" s="710"/>
      <c r="CP810" s="710"/>
      <c r="CQ810" s="710"/>
      <c r="CR810" s="710"/>
      <c r="CS810" s="710"/>
      <c r="CT810" s="710"/>
      <c r="CU810" s="710"/>
      <c r="CV810" s="710"/>
      <c r="CW810" s="710"/>
      <c r="CX810" s="710"/>
      <c r="CY810" s="710"/>
      <c r="CZ810" s="710"/>
      <c r="DA810" s="710"/>
      <c r="DB810" s="702"/>
      <c r="DC810" s="12">
        <f t="shared" si="804"/>
        <v>0</v>
      </c>
      <c r="DD810" s="12">
        <f t="shared" si="798"/>
        <v>0</v>
      </c>
      <c r="DE810" s="12">
        <f t="shared" si="799"/>
        <v>0</v>
      </c>
      <c r="DF810" s="12">
        <f t="shared" si="803"/>
        <v>0</v>
      </c>
      <c r="DG810" s="12">
        <f t="shared" si="800"/>
        <v>0</v>
      </c>
      <c r="DH810" s="12">
        <f t="shared" si="801"/>
        <v>0</v>
      </c>
    </row>
    <row r="811" spans="2:112" hidden="1" outlineLevel="2">
      <c r="F811" s="126" t="s">
        <v>144</v>
      </c>
      <c r="H811" s="727"/>
      <c r="I811" s="609" t="s">
        <v>736</v>
      </c>
      <c r="AH811" s="887"/>
      <c r="AI811" s="887"/>
      <c r="AJ811" s="716"/>
      <c r="AK811" s="710"/>
      <c r="AL811" s="710"/>
      <c r="AM811" s="710"/>
      <c r="AN811" s="710"/>
      <c r="AO811" s="710"/>
      <c r="AP811" s="710"/>
      <c r="AQ811" s="710"/>
      <c r="AR811" s="710"/>
      <c r="AS811" s="710"/>
      <c r="AT811" s="710"/>
      <c r="AU811" s="710"/>
      <c r="AV811" s="710"/>
      <c r="AW811" s="710"/>
      <c r="AX811" s="710"/>
      <c r="AY811" s="710"/>
      <c r="AZ811" s="710"/>
      <c r="BA811" s="710"/>
      <c r="BB811" s="710"/>
      <c r="BC811" s="710"/>
      <c r="BD811" s="710"/>
      <c r="BE811" s="710"/>
      <c r="BF811" s="710"/>
      <c r="BG811" s="710"/>
      <c r="BH811" s="710"/>
      <c r="BI811" s="710"/>
      <c r="BJ811" s="710"/>
      <c r="BK811" s="710"/>
      <c r="BL811" s="710"/>
      <c r="BM811" s="710"/>
      <c r="BN811" s="710"/>
      <c r="BO811" s="710"/>
      <c r="BP811" s="710"/>
      <c r="BQ811" s="710"/>
      <c r="BR811" s="710"/>
      <c r="BS811" s="710"/>
      <c r="BT811" s="710"/>
      <c r="BU811" s="710"/>
      <c r="BV811" s="710"/>
      <c r="BW811" s="710"/>
      <c r="BX811" s="710"/>
      <c r="BY811" s="710"/>
      <c r="BZ811" s="710"/>
      <c r="CA811" s="710"/>
      <c r="CB811" s="710"/>
      <c r="CC811" s="710"/>
      <c r="CD811" s="710"/>
      <c r="CE811" s="710"/>
      <c r="CF811" s="710"/>
      <c r="CG811" s="710"/>
      <c r="CH811" s="710"/>
      <c r="CI811" s="710"/>
      <c r="CJ811" s="710"/>
      <c r="CK811" s="710"/>
      <c r="CL811" s="710"/>
      <c r="CM811" s="710"/>
      <c r="CN811" s="710"/>
      <c r="CO811" s="710"/>
      <c r="CP811" s="710"/>
      <c r="CQ811" s="710"/>
      <c r="CR811" s="710"/>
      <c r="CS811" s="710"/>
      <c r="CT811" s="710"/>
      <c r="CU811" s="710"/>
      <c r="CV811" s="710"/>
      <c r="CW811" s="710"/>
      <c r="CX811" s="710"/>
      <c r="CY811" s="710"/>
      <c r="CZ811" s="710"/>
      <c r="DA811" s="710"/>
      <c r="DB811" s="702"/>
      <c r="DC811" s="12"/>
      <c r="DD811" s="12">
        <f>SUM(AH811:AS811)</f>
        <v>0</v>
      </c>
      <c r="DE811" s="12">
        <f>SUM(AT811:BE811)</f>
        <v>0</v>
      </c>
      <c r="DF811" s="12">
        <f>SUM(BF811:BQ811)</f>
        <v>0</v>
      </c>
      <c r="DG811" s="12">
        <f>SUM(BR811:CC811)</f>
        <v>0</v>
      </c>
      <c r="DH811" s="12">
        <f>SUM(CD811:CO811)</f>
        <v>0</v>
      </c>
    </row>
    <row r="812" spans="2:112" hidden="1" outlineLevel="2">
      <c r="F812" s="698" t="s">
        <v>808</v>
      </c>
      <c r="I812" s="609" t="s">
        <v>736</v>
      </c>
      <c r="AJ812" s="980"/>
      <c r="AK812" s="972"/>
      <c r="AL812" s="972"/>
      <c r="AM812" s="972"/>
      <c r="AN812" s="972"/>
      <c r="AO812" s="972"/>
      <c r="AP812" s="972"/>
      <c r="AQ812" s="972"/>
      <c r="AR812" s="972"/>
      <c r="AS812" s="972">
        <v>0</v>
      </c>
      <c r="AT812" s="972">
        <v>0</v>
      </c>
      <c r="AU812" s="972">
        <v>0</v>
      </c>
      <c r="AV812" s="972">
        <v>0</v>
      </c>
      <c r="AW812" s="972">
        <v>0</v>
      </c>
      <c r="AX812" s="972">
        <v>0</v>
      </c>
      <c r="AY812" s="972">
        <v>0</v>
      </c>
      <c r="AZ812" s="972">
        <v>0</v>
      </c>
      <c r="BA812" s="972">
        <v>0</v>
      </c>
      <c r="BB812" s="972">
        <v>0</v>
      </c>
      <c r="BC812" s="972">
        <v>0</v>
      </c>
      <c r="BD812" s="972">
        <v>0</v>
      </c>
      <c r="BE812" s="972">
        <v>0</v>
      </c>
      <c r="BF812" s="972">
        <v>0</v>
      </c>
      <c r="BG812" s="972">
        <v>0</v>
      </c>
      <c r="BH812" s="972">
        <v>0</v>
      </c>
      <c r="BI812" s="972">
        <v>0</v>
      </c>
      <c r="BJ812" s="972">
        <v>0</v>
      </c>
      <c r="BK812" s="972">
        <v>0</v>
      </c>
      <c r="BL812" s="972">
        <v>0</v>
      </c>
      <c r="BM812" s="972">
        <v>0</v>
      </c>
      <c r="BN812" s="972">
        <v>0</v>
      </c>
      <c r="BO812" s="972">
        <v>0</v>
      </c>
      <c r="BP812" s="972">
        <v>0</v>
      </c>
      <c r="BQ812" s="972">
        <v>0</v>
      </c>
      <c r="BR812" s="972">
        <v>0</v>
      </c>
      <c r="BS812" s="972">
        <v>0</v>
      </c>
      <c r="BT812" s="972">
        <v>0</v>
      </c>
      <c r="BU812" s="972">
        <v>0</v>
      </c>
      <c r="BV812" s="972">
        <v>0</v>
      </c>
      <c r="BW812" s="972">
        <v>0</v>
      </c>
      <c r="BX812" s="972">
        <v>0</v>
      </c>
      <c r="BY812" s="972">
        <v>0</v>
      </c>
      <c r="BZ812" s="972">
        <v>0</v>
      </c>
      <c r="CA812" s="972">
        <v>0</v>
      </c>
      <c r="CB812" s="972">
        <v>0</v>
      </c>
      <c r="CC812" s="972">
        <v>0</v>
      </c>
      <c r="CD812" s="972">
        <v>0</v>
      </c>
      <c r="CE812" s="972">
        <v>0</v>
      </c>
      <c r="CF812" s="972">
        <v>0</v>
      </c>
      <c r="CG812" s="972">
        <v>0</v>
      </c>
      <c r="CH812" s="972">
        <v>0</v>
      </c>
      <c r="CI812" s="972">
        <v>0</v>
      </c>
      <c r="CJ812" s="972">
        <v>0</v>
      </c>
      <c r="CK812" s="972">
        <v>0</v>
      </c>
      <c r="CL812" s="972">
        <v>0</v>
      </c>
      <c r="CM812" s="972">
        <v>0</v>
      </c>
      <c r="CN812" s="972">
        <v>0</v>
      </c>
      <c r="CO812" s="972">
        <v>0</v>
      </c>
      <c r="CP812" s="972"/>
      <c r="CQ812" s="972"/>
      <c r="CR812" s="972"/>
      <c r="CS812" s="972"/>
      <c r="CT812" s="972"/>
      <c r="CU812" s="972"/>
      <c r="CV812" s="972"/>
      <c r="CW812" s="972"/>
      <c r="CX812" s="972"/>
      <c r="CY812" s="972"/>
      <c r="CZ812" s="972"/>
      <c r="DA812" s="972"/>
      <c r="DC812" s="14">
        <f t="shared" si="804"/>
        <v>0</v>
      </c>
      <c r="DD812" s="14">
        <f t="shared" si="798"/>
        <v>0</v>
      </c>
      <c r="DE812" s="14">
        <f t="shared" si="799"/>
        <v>0</v>
      </c>
      <c r="DF812" s="14">
        <f t="shared" si="803"/>
        <v>0</v>
      </c>
      <c r="DG812" s="14">
        <f t="shared" si="800"/>
        <v>0</v>
      </c>
      <c r="DH812" s="14">
        <f t="shared" si="801"/>
        <v>0</v>
      </c>
    </row>
    <row r="813" spans="2:112" hidden="1" outlineLevel="2">
      <c r="F813" s="698"/>
      <c r="G813" s="126" t="s">
        <v>827</v>
      </c>
      <c r="I813" s="609" t="s">
        <v>736</v>
      </c>
      <c r="AJ813" s="980"/>
      <c r="AK813" s="972"/>
      <c r="AL813" s="972"/>
      <c r="AM813" s="880"/>
      <c r="AN813" s="880"/>
      <c r="AO813" s="880"/>
      <c r="AP813" s="880"/>
      <c r="AQ813" s="880"/>
      <c r="AR813" s="880"/>
      <c r="AS813" s="880">
        <v>0</v>
      </c>
      <c r="AT813" s="880">
        <v>0</v>
      </c>
      <c r="AU813" s="880">
        <v>0</v>
      </c>
      <c r="AV813" s="880">
        <v>0</v>
      </c>
      <c r="AW813" s="880">
        <v>0</v>
      </c>
      <c r="AX813" s="880">
        <v>0</v>
      </c>
      <c r="AY813" s="880">
        <v>0</v>
      </c>
      <c r="AZ813" s="880">
        <v>0</v>
      </c>
      <c r="BA813" s="880">
        <v>0</v>
      </c>
      <c r="BB813" s="880">
        <v>0</v>
      </c>
      <c r="BC813" s="880">
        <v>0</v>
      </c>
      <c r="BD813" s="880">
        <v>0</v>
      </c>
      <c r="BE813" s="880">
        <v>0</v>
      </c>
      <c r="BF813" s="880">
        <v>0</v>
      </c>
      <c r="BG813" s="880">
        <v>0</v>
      </c>
      <c r="BH813" s="880">
        <v>0</v>
      </c>
      <c r="BI813" s="880">
        <v>0</v>
      </c>
      <c r="BJ813" s="880">
        <v>0</v>
      </c>
      <c r="BK813" s="880">
        <v>0</v>
      </c>
      <c r="BL813" s="880">
        <v>0</v>
      </c>
      <c r="BM813" s="880">
        <v>0</v>
      </c>
      <c r="BN813" s="880">
        <v>0</v>
      </c>
      <c r="BO813" s="880">
        <v>0</v>
      </c>
      <c r="BP813" s="880">
        <v>0</v>
      </c>
      <c r="BQ813" s="880">
        <v>0</v>
      </c>
      <c r="BR813" s="880">
        <v>0</v>
      </c>
      <c r="BS813" s="880">
        <v>0</v>
      </c>
      <c r="BT813" s="880">
        <v>0</v>
      </c>
      <c r="BU813" s="880">
        <v>0</v>
      </c>
      <c r="BV813" s="880">
        <v>0</v>
      </c>
      <c r="BW813" s="880">
        <v>0</v>
      </c>
      <c r="BX813" s="880">
        <v>0</v>
      </c>
      <c r="BY813" s="880">
        <v>0</v>
      </c>
      <c r="BZ813" s="880">
        <v>0</v>
      </c>
      <c r="CA813" s="880">
        <v>0</v>
      </c>
      <c r="CB813" s="880">
        <v>0</v>
      </c>
      <c r="CC813" s="880">
        <v>0</v>
      </c>
      <c r="CD813" s="880">
        <v>0</v>
      </c>
      <c r="CE813" s="880">
        <v>0</v>
      </c>
      <c r="CF813" s="880">
        <v>0</v>
      </c>
      <c r="CG813" s="880">
        <v>0</v>
      </c>
      <c r="CH813" s="880">
        <v>0</v>
      </c>
      <c r="CI813" s="880">
        <v>0</v>
      </c>
      <c r="CJ813" s="880">
        <v>0</v>
      </c>
      <c r="CK813" s="880">
        <v>0</v>
      </c>
      <c r="CL813" s="880">
        <v>0</v>
      </c>
      <c r="CM813" s="880">
        <v>0</v>
      </c>
      <c r="CN813" s="880">
        <v>0</v>
      </c>
      <c r="CO813" s="880">
        <v>0</v>
      </c>
      <c r="CP813" s="880"/>
      <c r="CQ813" s="880"/>
      <c r="CR813" s="880"/>
      <c r="CS813" s="880"/>
      <c r="CT813" s="880"/>
      <c r="CU813" s="880"/>
      <c r="CV813" s="880"/>
      <c r="CW813" s="880"/>
      <c r="CX813" s="880"/>
      <c r="CY813" s="880"/>
      <c r="CZ813" s="880"/>
      <c r="DA813" s="880"/>
      <c r="DC813" s="12">
        <f t="shared" si="804"/>
        <v>0</v>
      </c>
      <c r="DD813" s="12">
        <f t="shared" si="798"/>
        <v>0</v>
      </c>
      <c r="DE813" s="12">
        <f t="shared" si="799"/>
        <v>0</v>
      </c>
      <c r="DF813" s="12">
        <f t="shared" si="803"/>
        <v>0</v>
      </c>
      <c r="DG813" s="12">
        <f t="shared" si="800"/>
        <v>0</v>
      </c>
      <c r="DH813" s="12">
        <f t="shared" si="801"/>
        <v>0</v>
      </c>
    </row>
    <row r="814" spans="2:112" hidden="1" outlineLevel="2">
      <c r="F814" s="698"/>
      <c r="G814" s="126" t="s">
        <v>828</v>
      </c>
      <c r="I814" s="609" t="s">
        <v>736</v>
      </c>
      <c r="AJ814" s="980"/>
      <c r="AK814" s="972"/>
      <c r="AL814" s="972"/>
      <c r="AM814" s="880"/>
      <c r="AN814" s="880"/>
      <c r="AO814" s="880"/>
      <c r="AP814" s="880"/>
      <c r="AQ814" s="880"/>
      <c r="AR814" s="880"/>
      <c r="AS814" s="880">
        <v>0</v>
      </c>
      <c r="AT814" s="880">
        <v>0</v>
      </c>
      <c r="AU814" s="880">
        <v>0</v>
      </c>
      <c r="AV814" s="880">
        <v>0</v>
      </c>
      <c r="AW814" s="880">
        <v>0</v>
      </c>
      <c r="AX814" s="880">
        <v>0</v>
      </c>
      <c r="AY814" s="880">
        <v>0</v>
      </c>
      <c r="AZ814" s="880">
        <v>0</v>
      </c>
      <c r="BA814" s="880">
        <v>0</v>
      </c>
      <c r="BB814" s="880">
        <v>0</v>
      </c>
      <c r="BC814" s="880">
        <v>0</v>
      </c>
      <c r="BD814" s="880">
        <v>0</v>
      </c>
      <c r="BE814" s="880">
        <v>0</v>
      </c>
      <c r="BF814" s="880">
        <v>0</v>
      </c>
      <c r="BG814" s="880">
        <v>0</v>
      </c>
      <c r="BH814" s="880">
        <v>0</v>
      </c>
      <c r="BI814" s="880">
        <v>0</v>
      </c>
      <c r="BJ814" s="880">
        <v>0</v>
      </c>
      <c r="BK814" s="880">
        <v>0</v>
      </c>
      <c r="BL814" s="880">
        <v>0</v>
      </c>
      <c r="BM814" s="880">
        <v>0</v>
      </c>
      <c r="BN814" s="880">
        <v>0</v>
      </c>
      <c r="BO814" s="880">
        <v>0</v>
      </c>
      <c r="BP814" s="880">
        <v>0</v>
      </c>
      <c r="BQ814" s="880">
        <v>0</v>
      </c>
      <c r="BR814" s="880">
        <v>0</v>
      </c>
      <c r="BS814" s="880">
        <v>0</v>
      </c>
      <c r="BT814" s="880">
        <v>0</v>
      </c>
      <c r="BU814" s="880">
        <v>0</v>
      </c>
      <c r="BV814" s="880">
        <v>0</v>
      </c>
      <c r="BW814" s="880">
        <v>0</v>
      </c>
      <c r="BX814" s="880">
        <v>0</v>
      </c>
      <c r="BY814" s="880">
        <v>0</v>
      </c>
      <c r="BZ814" s="880">
        <v>0</v>
      </c>
      <c r="CA814" s="880">
        <v>0</v>
      </c>
      <c r="CB814" s="880">
        <v>0</v>
      </c>
      <c r="CC814" s="880">
        <v>0</v>
      </c>
      <c r="CD814" s="880">
        <v>0</v>
      </c>
      <c r="CE814" s="880">
        <v>0</v>
      </c>
      <c r="CF814" s="880">
        <v>0</v>
      </c>
      <c r="CG814" s="880">
        <v>0</v>
      </c>
      <c r="CH814" s="880">
        <v>0</v>
      </c>
      <c r="CI814" s="880">
        <v>0</v>
      </c>
      <c r="CJ814" s="880">
        <v>0</v>
      </c>
      <c r="CK814" s="880">
        <v>0</v>
      </c>
      <c r="CL814" s="880">
        <v>0</v>
      </c>
      <c r="CM814" s="880">
        <v>0</v>
      </c>
      <c r="CN814" s="880">
        <v>0</v>
      </c>
      <c r="CO814" s="880">
        <v>0</v>
      </c>
      <c r="CP814" s="880"/>
      <c r="CQ814" s="880"/>
      <c r="CR814" s="880"/>
      <c r="CS814" s="880"/>
      <c r="CT814" s="880"/>
      <c r="CU814" s="880"/>
      <c r="CV814" s="880"/>
      <c r="CW814" s="880"/>
      <c r="CX814" s="880"/>
      <c r="CY814" s="880"/>
      <c r="CZ814" s="880"/>
      <c r="DA814" s="880"/>
      <c r="DC814" s="14">
        <f t="shared" si="804"/>
        <v>0</v>
      </c>
      <c r="DD814" s="12">
        <f t="shared" si="798"/>
        <v>0</v>
      </c>
      <c r="DE814" s="12">
        <f t="shared" si="799"/>
        <v>0</v>
      </c>
      <c r="DF814" s="12">
        <f t="shared" si="803"/>
        <v>0</v>
      </c>
      <c r="DG814" s="12">
        <f t="shared" si="800"/>
        <v>0</v>
      </c>
      <c r="DH814" s="12">
        <f t="shared" si="801"/>
        <v>0</v>
      </c>
    </row>
    <row r="815" spans="2:112" hidden="1" outlineLevel="2">
      <c r="E815" s="705" t="s">
        <v>860</v>
      </c>
      <c r="F815" s="887"/>
      <c r="G815" s="887"/>
      <c r="H815" s="965"/>
      <c r="I815" s="609" t="s">
        <v>736</v>
      </c>
      <c r="AH815" s="873"/>
      <c r="AI815" s="873"/>
      <c r="AJ815" s="880"/>
      <c r="AK815" s="14"/>
      <c r="AL815" s="14"/>
      <c r="AM815" s="14"/>
      <c r="AN815" s="14"/>
      <c r="AO815" s="14"/>
      <c r="AP815" s="14"/>
      <c r="AQ815" s="14"/>
      <c r="AR815" s="14"/>
      <c r="AS815" s="14">
        <f t="shared" ref="AS815:CO815" si="805">AS791+AS803+AS804</f>
        <v>0</v>
      </c>
      <c r="AT815" s="14">
        <f t="shared" si="805"/>
        <v>0</v>
      </c>
      <c r="AU815" s="14">
        <f t="shared" si="805"/>
        <v>0</v>
      </c>
      <c r="AV815" s="14">
        <f t="shared" si="805"/>
        <v>0</v>
      </c>
      <c r="AW815" s="14">
        <f t="shared" si="805"/>
        <v>0</v>
      </c>
      <c r="AX815" s="14">
        <f t="shared" si="805"/>
        <v>0</v>
      </c>
      <c r="AY815" s="14">
        <f t="shared" si="805"/>
        <v>0</v>
      </c>
      <c r="AZ815" s="14">
        <f t="shared" si="805"/>
        <v>0</v>
      </c>
      <c r="BA815" s="14">
        <f t="shared" si="805"/>
        <v>0</v>
      </c>
      <c r="BB815" s="14">
        <f t="shared" si="805"/>
        <v>0</v>
      </c>
      <c r="BC815" s="14">
        <f t="shared" si="805"/>
        <v>0</v>
      </c>
      <c r="BD815" s="14">
        <f t="shared" si="805"/>
        <v>0</v>
      </c>
      <c r="BE815" s="14">
        <f t="shared" si="805"/>
        <v>0</v>
      </c>
      <c r="BF815" s="14">
        <f t="shared" si="805"/>
        <v>0</v>
      </c>
      <c r="BG815" s="14">
        <f t="shared" si="805"/>
        <v>0</v>
      </c>
      <c r="BH815" s="14">
        <f t="shared" si="805"/>
        <v>0</v>
      </c>
      <c r="BI815" s="14">
        <f t="shared" si="805"/>
        <v>0</v>
      </c>
      <c r="BJ815" s="14">
        <f t="shared" si="805"/>
        <v>0</v>
      </c>
      <c r="BK815" s="14">
        <f t="shared" si="805"/>
        <v>0</v>
      </c>
      <c r="BL815" s="14">
        <f t="shared" si="805"/>
        <v>0</v>
      </c>
      <c r="BM815" s="14">
        <f t="shared" si="805"/>
        <v>0</v>
      </c>
      <c r="BN815" s="14">
        <f t="shared" si="805"/>
        <v>0</v>
      </c>
      <c r="BO815" s="14">
        <f t="shared" si="805"/>
        <v>0</v>
      </c>
      <c r="BP815" s="14">
        <f t="shared" si="805"/>
        <v>0</v>
      </c>
      <c r="BQ815" s="14">
        <f t="shared" si="805"/>
        <v>0</v>
      </c>
      <c r="BR815" s="14">
        <f t="shared" si="805"/>
        <v>0</v>
      </c>
      <c r="BS815" s="14">
        <f t="shared" si="805"/>
        <v>0</v>
      </c>
      <c r="BT815" s="14">
        <f t="shared" si="805"/>
        <v>0</v>
      </c>
      <c r="BU815" s="14">
        <f t="shared" si="805"/>
        <v>0</v>
      </c>
      <c r="BV815" s="14">
        <f t="shared" si="805"/>
        <v>0</v>
      </c>
      <c r="BW815" s="14">
        <f t="shared" si="805"/>
        <v>0</v>
      </c>
      <c r="BX815" s="14">
        <f t="shared" si="805"/>
        <v>0</v>
      </c>
      <c r="BY815" s="14">
        <f t="shared" si="805"/>
        <v>0</v>
      </c>
      <c r="BZ815" s="14">
        <f t="shared" si="805"/>
        <v>0</v>
      </c>
      <c r="CA815" s="14">
        <f t="shared" si="805"/>
        <v>0</v>
      </c>
      <c r="CB815" s="14">
        <f t="shared" si="805"/>
        <v>0</v>
      </c>
      <c r="CC815" s="14">
        <f t="shared" si="805"/>
        <v>0</v>
      </c>
      <c r="CD815" s="14">
        <f t="shared" si="805"/>
        <v>0</v>
      </c>
      <c r="CE815" s="14">
        <f t="shared" si="805"/>
        <v>0</v>
      </c>
      <c r="CF815" s="14">
        <f t="shared" si="805"/>
        <v>0</v>
      </c>
      <c r="CG815" s="14">
        <f t="shared" si="805"/>
        <v>0</v>
      </c>
      <c r="CH815" s="14">
        <f t="shared" si="805"/>
        <v>0</v>
      </c>
      <c r="CI815" s="14">
        <f t="shared" si="805"/>
        <v>0</v>
      </c>
      <c r="CJ815" s="14">
        <f t="shared" si="805"/>
        <v>0</v>
      </c>
      <c r="CK815" s="14">
        <f t="shared" si="805"/>
        <v>0</v>
      </c>
      <c r="CL815" s="14">
        <f t="shared" si="805"/>
        <v>0</v>
      </c>
      <c r="CM815" s="14">
        <f t="shared" si="805"/>
        <v>0</v>
      </c>
      <c r="CN815" s="14">
        <f t="shared" si="805"/>
        <v>0</v>
      </c>
      <c r="CO815" s="14">
        <f t="shared" si="805"/>
        <v>0</v>
      </c>
      <c r="CP815" s="14"/>
      <c r="CQ815" s="14"/>
      <c r="CR815" s="14"/>
      <c r="CS815" s="14"/>
      <c r="CT815" s="14"/>
      <c r="CU815" s="14"/>
      <c r="CV815" s="14"/>
      <c r="CW815" s="14"/>
      <c r="CX815" s="14"/>
      <c r="CY815" s="14"/>
      <c r="CZ815" s="14"/>
      <c r="DA815" s="14"/>
      <c r="DB815" s="873"/>
      <c r="DC815" s="14">
        <f t="shared" si="804"/>
        <v>0</v>
      </c>
      <c r="DD815" s="14">
        <f t="shared" si="798"/>
        <v>0</v>
      </c>
      <c r="DE815" s="14">
        <f t="shared" si="799"/>
        <v>0</v>
      </c>
      <c r="DF815" s="14">
        <f t="shared" si="803"/>
        <v>0</v>
      </c>
      <c r="DG815" s="14">
        <f t="shared" si="800"/>
        <v>0</v>
      </c>
      <c r="DH815" s="14">
        <f t="shared" si="801"/>
        <v>0</v>
      </c>
    </row>
    <row r="816" spans="2:112" s="702" customFormat="1" hidden="1" outlineLevel="2">
      <c r="B816" s="126"/>
      <c r="E816" s="126"/>
      <c r="F816" s="698" t="s">
        <v>320</v>
      </c>
      <c r="G816" s="126"/>
      <c r="H816" s="609"/>
      <c r="I816" s="609" t="s">
        <v>736</v>
      </c>
      <c r="J816" s="965"/>
      <c r="K816" s="965"/>
      <c r="L816" s="965"/>
      <c r="M816" s="965"/>
      <c r="N816" s="887"/>
      <c r="O816" s="887"/>
      <c r="P816" s="887"/>
      <c r="Q816" s="887"/>
      <c r="R816" s="887"/>
      <c r="S816" s="887"/>
      <c r="T816" s="887"/>
      <c r="U816" s="887"/>
      <c r="X816" s="887"/>
      <c r="Y816" s="126"/>
      <c r="Z816" s="887"/>
      <c r="AA816" s="887"/>
      <c r="AB816" s="887"/>
      <c r="AC816" s="887"/>
      <c r="AD816" s="887"/>
      <c r="AE816" s="887"/>
      <c r="AF816" s="887"/>
      <c r="AG816" s="887"/>
      <c r="AH816" s="887"/>
      <c r="AI816" s="887"/>
      <c r="AJ816" s="887"/>
      <c r="AK816" s="978"/>
      <c r="AL816" s="887"/>
      <c r="AM816" s="887"/>
      <c r="AN816" s="887"/>
      <c r="AO816" s="887"/>
      <c r="AP816" s="887"/>
      <c r="AQ816" s="887"/>
      <c r="AR816" s="887"/>
      <c r="AS816" s="887"/>
      <c r="AT816" s="887"/>
      <c r="AU816" s="887"/>
      <c r="AV816" s="887"/>
      <c r="AW816" s="887"/>
      <c r="AX816" s="887"/>
      <c r="AY816" s="887"/>
      <c r="AZ816" s="887"/>
      <c r="BA816" s="887"/>
      <c r="BB816" s="887"/>
      <c r="BC816" s="887"/>
      <c r="BD816" s="887"/>
      <c r="BE816" s="887"/>
      <c r="BF816" s="887"/>
      <c r="BG816" s="887"/>
      <c r="BH816" s="887"/>
      <c r="BI816" s="887"/>
      <c r="BJ816" s="887"/>
      <c r="BK816" s="887"/>
      <c r="BL816" s="887"/>
      <c r="BM816" s="887"/>
      <c r="BN816" s="887"/>
      <c r="BO816" s="887"/>
      <c r="BP816" s="887"/>
      <c r="BQ816" s="887"/>
      <c r="BR816" s="887"/>
      <c r="BS816" s="887"/>
      <c r="BT816" s="887"/>
      <c r="BU816" s="887"/>
      <c r="BV816" s="887"/>
      <c r="BW816" s="887"/>
      <c r="BX816" s="887"/>
      <c r="BY816" s="887"/>
      <c r="BZ816" s="887"/>
      <c r="CA816" s="887"/>
      <c r="CB816" s="887"/>
      <c r="CC816" s="887"/>
      <c r="CD816" s="887"/>
      <c r="CE816" s="887"/>
      <c r="CF816" s="887"/>
      <c r="CG816" s="887"/>
      <c r="CH816" s="887"/>
      <c r="CI816" s="887"/>
      <c r="CJ816" s="887"/>
      <c r="CK816" s="887"/>
      <c r="CL816" s="887"/>
      <c r="CM816" s="887"/>
      <c r="CN816" s="887"/>
      <c r="CO816" s="887"/>
      <c r="CP816" s="887"/>
      <c r="CQ816" s="887"/>
      <c r="CR816" s="887"/>
      <c r="CS816" s="887"/>
      <c r="CT816" s="887"/>
      <c r="CU816" s="887"/>
      <c r="CV816" s="887"/>
      <c r="CW816" s="887"/>
      <c r="CX816" s="887"/>
      <c r="CY816" s="887"/>
      <c r="CZ816" s="887"/>
      <c r="DA816" s="887"/>
    </row>
    <row r="817" spans="1:112" hidden="1" outlineLevel="1"/>
    <row r="818" spans="1:112" hidden="1" outlineLevel="1">
      <c r="W818" s="705"/>
      <c r="X818" s="887"/>
    </row>
    <row r="819" spans="1:112" hidden="1" outlineLevel="1">
      <c r="E819" s="698" t="s">
        <v>861</v>
      </c>
      <c r="U819" s="698"/>
      <c r="X819" s="698"/>
      <c r="AK819" s="886"/>
    </row>
    <row r="820" spans="1:112" hidden="1" outlineLevel="2">
      <c r="E820" s="698"/>
      <c r="F820" s="126" t="s">
        <v>817</v>
      </c>
      <c r="I820" s="699" t="s">
        <v>743</v>
      </c>
      <c r="U820" s="698"/>
      <c r="V820" s="698"/>
      <c r="Z820" s="609"/>
      <c r="AJ820" s="886"/>
      <c r="AK820" s="886"/>
      <c r="AL820" s="886"/>
      <c r="AM820" s="886"/>
      <c r="AN820" s="886"/>
      <c r="AO820" s="886"/>
      <c r="AP820" s="886"/>
      <c r="AQ820" s="886"/>
      <c r="AR820" s="886"/>
      <c r="AS820" s="756">
        <v>0</v>
      </c>
      <c r="AT820" s="757">
        <f>AS820+($BE$820-$AS$820)/12</f>
        <v>0</v>
      </c>
      <c r="AU820" s="757">
        <f t="shared" ref="AU820:BD820" si="806">AT820+($BE$820-$AS$820)/12</f>
        <v>0</v>
      </c>
      <c r="AV820" s="757">
        <f t="shared" si="806"/>
        <v>0</v>
      </c>
      <c r="AW820" s="757">
        <f t="shared" si="806"/>
        <v>0</v>
      </c>
      <c r="AX820" s="757">
        <f t="shared" si="806"/>
        <v>0</v>
      </c>
      <c r="AY820" s="757">
        <f t="shared" si="806"/>
        <v>0</v>
      </c>
      <c r="AZ820" s="757">
        <f t="shared" si="806"/>
        <v>0</v>
      </c>
      <c r="BA820" s="757">
        <f t="shared" si="806"/>
        <v>0</v>
      </c>
      <c r="BB820" s="757">
        <f t="shared" si="806"/>
        <v>0</v>
      </c>
      <c r="BC820" s="757">
        <f t="shared" si="806"/>
        <v>0</v>
      </c>
      <c r="BD820" s="757">
        <f t="shared" si="806"/>
        <v>0</v>
      </c>
      <c r="BE820" s="900">
        <f>AS820*1.4</f>
        <v>0</v>
      </c>
      <c r="BF820" s="886">
        <f>BE820+($BQ$820-$BE$820)/12</f>
        <v>0</v>
      </c>
      <c r="BG820" s="886">
        <f t="shared" ref="BG820:BP820" si="807">BF820+($BQ$820-$BE$820)/12</f>
        <v>0</v>
      </c>
      <c r="BH820" s="886">
        <f t="shared" si="807"/>
        <v>0</v>
      </c>
      <c r="BI820" s="886">
        <f t="shared" si="807"/>
        <v>0</v>
      </c>
      <c r="BJ820" s="886">
        <f t="shared" si="807"/>
        <v>0</v>
      </c>
      <c r="BK820" s="886">
        <f t="shared" si="807"/>
        <v>0</v>
      </c>
      <c r="BL820" s="886">
        <f t="shared" si="807"/>
        <v>0</v>
      </c>
      <c r="BM820" s="886">
        <f t="shared" si="807"/>
        <v>0</v>
      </c>
      <c r="BN820" s="886">
        <f t="shared" si="807"/>
        <v>0</v>
      </c>
      <c r="BO820" s="886">
        <f t="shared" si="807"/>
        <v>0</v>
      </c>
      <c r="BP820" s="886">
        <f t="shared" si="807"/>
        <v>0</v>
      </c>
      <c r="BQ820" s="900">
        <f>BE820*1.4</f>
        <v>0</v>
      </c>
      <c r="BR820" s="756">
        <f>BQ820+($CC$820-$BQ$820)/12</f>
        <v>0</v>
      </c>
      <c r="BS820" s="756">
        <f t="shared" ref="BS820:CA820" si="808">BR820+($CC$820-$BQ$820)/12</f>
        <v>0</v>
      </c>
      <c r="BT820" s="756">
        <f t="shared" si="808"/>
        <v>0</v>
      </c>
      <c r="BU820" s="756">
        <f t="shared" si="808"/>
        <v>0</v>
      </c>
      <c r="BV820" s="756">
        <f t="shared" si="808"/>
        <v>0</v>
      </c>
      <c r="BW820" s="756">
        <f t="shared" si="808"/>
        <v>0</v>
      </c>
      <c r="BX820" s="756">
        <f t="shared" si="808"/>
        <v>0</v>
      </c>
      <c r="BY820" s="756">
        <f t="shared" si="808"/>
        <v>0</v>
      </c>
      <c r="BZ820" s="756">
        <f t="shared" si="808"/>
        <v>0</v>
      </c>
      <c r="CA820" s="756">
        <f t="shared" si="808"/>
        <v>0</v>
      </c>
      <c r="CB820" s="756">
        <f>CA820+($CC$820-$BQ$820)/12</f>
        <v>0</v>
      </c>
      <c r="CC820" s="900">
        <f>BQ820*1.4</f>
        <v>0</v>
      </c>
      <c r="CD820" s="756">
        <f>CC820+($CO$820-$CC$820)/12</f>
        <v>0</v>
      </c>
      <c r="CE820" s="756">
        <f t="shared" ref="CE820:CN820" si="809">CD820+($CO$820-$CC$820)/12</f>
        <v>0</v>
      </c>
      <c r="CF820" s="756">
        <f t="shared" si="809"/>
        <v>0</v>
      </c>
      <c r="CG820" s="756">
        <f t="shared" si="809"/>
        <v>0</v>
      </c>
      <c r="CH820" s="756">
        <f t="shared" si="809"/>
        <v>0</v>
      </c>
      <c r="CI820" s="756">
        <f t="shared" si="809"/>
        <v>0</v>
      </c>
      <c r="CJ820" s="756">
        <f t="shared" si="809"/>
        <v>0</v>
      </c>
      <c r="CK820" s="756">
        <f t="shared" si="809"/>
        <v>0</v>
      </c>
      <c r="CL820" s="756">
        <f t="shared" si="809"/>
        <v>0</v>
      </c>
      <c r="CM820" s="756">
        <f>CL820+($CO$820-$CC$820)/12</f>
        <v>0</v>
      </c>
      <c r="CN820" s="756">
        <f t="shared" si="809"/>
        <v>0</v>
      </c>
      <c r="CO820" s="900">
        <f>CC820*1.4</f>
        <v>0</v>
      </c>
      <c r="CP820" s="756"/>
      <c r="CQ820" s="756"/>
      <c r="CR820" s="756"/>
      <c r="CS820" s="756"/>
      <c r="CT820" s="756"/>
      <c r="CU820" s="756"/>
      <c r="CV820" s="756"/>
      <c r="CW820" s="756"/>
      <c r="CX820" s="756"/>
      <c r="CY820" s="756"/>
      <c r="CZ820" s="756"/>
      <c r="DA820" s="900"/>
      <c r="DC820" s="12">
        <f>SUM(V820:AG820)</f>
        <v>0</v>
      </c>
      <c r="DD820" s="12">
        <f>SUM(AH820:AS820)</f>
        <v>0</v>
      </c>
      <c r="DE820" s="12">
        <f>SUM(AT820:BE820)</f>
        <v>0</v>
      </c>
      <c r="DF820" s="12">
        <f>SUM(BF820:BQ820)</f>
        <v>0</v>
      </c>
      <c r="DG820" s="12">
        <f>SUM(BR820:CC820)</f>
        <v>0</v>
      </c>
      <c r="DH820" s="12">
        <f>SUM(CD820:CO820)</f>
        <v>0</v>
      </c>
    </row>
    <row r="821" spans="1:112" hidden="1" outlineLevel="2">
      <c r="E821" s="698"/>
      <c r="F821" s="126" t="s">
        <v>823</v>
      </c>
      <c r="I821" s="699" t="s">
        <v>743</v>
      </c>
      <c r="U821" s="698"/>
      <c r="V821" s="698"/>
      <c r="Z821" s="609"/>
      <c r="AJ821" s="886"/>
      <c r="AK821" s="886"/>
      <c r="AL821" s="886"/>
      <c r="AM821" s="886"/>
      <c r="AN821" s="886"/>
      <c r="AO821" s="886"/>
      <c r="AP821" s="886"/>
      <c r="AQ821" s="886"/>
      <c r="AR821" s="886"/>
      <c r="AS821" s="886">
        <f>AS820+AR821-AM820</f>
        <v>0</v>
      </c>
      <c r="AT821" s="886">
        <f t="shared" ref="AT821:CO821" si="810">AT820+AS821-AN820</f>
        <v>0</v>
      </c>
      <c r="AU821" s="886">
        <f>AU820+AT821-AO820</f>
        <v>0</v>
      </c>
      <c r="AV821" s="886">
        <f t="shared" si="810"/>
        <v>0</v>
      </c>
      <c r="AW821" s="886">
        <f t="shared" si="810"/>
        <v>0</v>
      </c>
      <c r="AX821" s="886">
        <f t="shared" si="810"/>
        <v>0</v>
      </c>
      <c r="AY821" s="886">
        <f t="shared" si="810"/>
        <v>0</v>
      </c>
      <c r="AZ821" s="886">
        <f t="shared" si="810"/>
        <v>0</v>
      </c>
      <c r="BA821" s="886">
        <f t="shared" si="810"/>
        <v>0</v>
      </c>
      <c r="BB821" s="886">
        <f t="shared" si="810"/>
        <v>0</v>
      </c>
      <c r="BC821" s="886">
        <f t="shared" si="810"/>
        <v>0</v>
      </c>
      <c r="BD821" s="886">
        <f t="shared" si="810"/>
        <v>0</v>
      </c>
      <c r="BE821" s="886">
        <f t="shared" si="810"/>
        <v>0</v>
      </c>
      <c r="BF821" s="886">
        <f t="shared" si="810"/>
        <v>0</v>
      </c>
      <c r="BG821" s="886">
        <f t="shared" si="810"/>
        <v>0</v>
      </c>
      <c r="BH821" s="886">
        <f t="shared" si="810"/>
        <v>0</v>
      </c>
      <c r="BI821" s="886">
        <f t="shared" si="810"/>
        <v>0</v>
      </c>
      <c r="BJ821" s="886">
        <f t="shared" si="810"/>
        <v>0</v>
      </c>
      <c r="BK821" s="886">
        <f t="shared" si="810"/>
        <v>0</v>
      </c>
      <c r="BL821" s="886">
        <f t="shared" si="810"/>
        <v>0</v>
      </c>
      <c r="BM821" s="886">
        <f t="shared" si="810"/>
        <v>0</v>
      </c>
      <c r="BN821" s="886">
        <f t="shared" si="810"/>
        <v>0</v>
      </c>
      <c r="BO821" s="886">
        <f t="shared" si="810"/>
        <v>0</v>
      </c>
      <c r="BP821" s="886">
        <f t="shared" si="810"/>
        <v>0</v>
      </c>
      <c r="BQ821" s="886">
        <f t="shared" si="810"/>
        <v>0</v>
      </c>
      <c r="BR821" s="886">
        <f t="shared" si="810"/>
        <v>0</v>
      </c>
      <c r="BS821" s="886">
        <f t="shared" si="810"/>
        <v>0</v>
      </c>
      <c r="BT821" s="886">
        <f t="shared" si="810"/>
        <v>0</v>
      </c>
      <c r="BU821" s="886">
        <f t="shared" si="810"/>
        <v>0</v>
      </c>
      <c r="BV821" s="886">
        <f t="shared" si="810"/>
        <v>0</v>
      </c>
      <c r="BW821" s="886">
        <f t="shared" si="810"/>
        <v>0</v>
      </c>
      <c r="BX821" s="886">
        <f t="shared" si="810"/>
        <v>0</v>
      </c>
      <c r="BY821" s="886">
        <f t="shared" si="810"/>
        <v>0</v>
      </c>
      <c r="BZ821" s="886">
        <f t="shared" si="810"/>
        <v>0</v>
      </c>
      <c r="CA821" s="886">
        <f t="shared" si="810"/>
        <v>0</v>
      </c>
      <c r="CB821" s="886">
        <f t="shared" si="810"/>
        <v>0</v>
      </c>
      <c r="CC821" s="886">
        <f t="shared" si="810"/>
        <v>0</v>
      </c>
      <c r="CD821" s="886">
        <f t="shared" si="810"/>
        <v>0</v>
      </c>
      <c r="CE821" s="886">
        <f t="shared" si="810"/>
        <v>0</v>
      </c>
      <c r="CF821" s="886">
        <f t="shared" si="810"/>
        <v>0</v>
      </c>
      <c r="CG821" s="886">
        <f t="shared" si="810"/>
        <v>0</v>
      </c>
      <c r="CH821" s="886">
        <f t="shared" si="810"/>
        <v>0</v>
      </c>
      <c r="CI821" s="886">
        <f t="shared" si="810"/>
        <v>0</v>
      </c>
      <c r="CJ821" s="886">
        <f t="shared" si="810"/>
        <v>0</v>
      </c>
      <c r="CK821" s="886">
        <f t="shared" si="810"/>
        <v>0</v>
      </c>
      <c r="CL821" s="886">
        <f t="shared" si="810"/>
        <v>0</v>
      </c>
      <c r="CM821" s="886">
        <f t="shared" si="810"/>
        <v>0</v>
      </c>
      <c r="CN821" s="886">
        <f t="shared" si="810"/>
        <v>0</v>
      </c>
      <c r="CO821" s="886">
        <f t="shared" si="810"/>
        <v>0</v>
      </c>
      <c r="CP821" s="886"/>
      <c r="CQ821" s="886"/>
      <c r="CR821" s="886"/>
      <c r="CS821" s="886"/>
      <c r="CT821" s="886"/>
      <c r="CU821" s="886"/>
      <c r="CV821" s="886"/>
      <c r="CW821" s="886"/>
      <c r="CX821" s="886"/>
      <c r="CY821" s="886"/>
      <c r="CZ821" s="886"/>
      <c r="DA821" s="886"/>
      <c r="DC821" s="11">
        <f>AG821</f>
        <v>0</v>
      </c>
      <c r="DD821" s="11">
        <f>AS821</f>
        <v>0</v>
      </c>
      <c r="DE821" s="11">
        <f>BE821</f>
        <v>0</v>
      </c>
      <c r="DF821" s="11">
        <f>BQ821</f>
        <v>0</v>
      </c>
      <c r="DG821" s="11">
        <f>CC821</f>
        <v>0</v>
      </c>
      <c r="DH821" s="11">
        <f>CO821</f>
        <v>0</v>
      </c>
    </row>
    <row r="822" spans="1:112" hidden="1" outlineLevel="2">
      <c r="E822" s="698"/>
      <c r="F822" s="758" t="s">
        <v>795</v>
      </c>
      <c r="I822" s="609" t="s">
        <v>736</v>
      </c>
      <c r="U822" s="698"/>
      <c r="V822" s="698"/>
      <c r="W822" s="12"/>
      <c r="X822" s="758"/>
      <c r="Z822" s="609"/>
      <c r="AJ822" s="833"/>
      <c r="AK822" s="833"/>
      <c r="AL822" s="833"/>
      <c r="AM822" s="833"/>
      <c r="AN822" s="833"/>
      <c r="AO822" s="833"/>
      <c r="AP822" s="833"/>
      <c r="AQ822" s="833"/>
      <c r="AR822" s="833"/>
      <c r="AS822" s="833"/>
      <c r="AT822" s="757">
        <v>0</v>
      </c>
      <c r="AU822" s="757">
        <v>0</v>
      </c>
      <c r="AV822" s="757">
        <v>0</v>
      </c>
      <c r="AW822" s="757">
        <v>0</v>
      </c>
      <c r="AX822" s="757">
        <v>0</v>
      </c>
      <c r="AY822" s="757">
        <v>0</v>
      </c>
      <c r="AZ822" s="757">
        <v>0</v>
      </c>
      <c r="BA822" s="757">
        <v>0</v>
      </c>
      <c r="BB822" s="757">
        <v>0</v>
      </c>
      <c r="BC822" s="757">
        <v>0</v>
      </c>
      <c r="BD822" s="757">
        <v>0</v>
      </c>
      <c r="BE822" s="757">
        <v>0</v>
      </c>
      <c r="BF822" s="757">
        <v>0</v>
      </c>
      <c r="BG822" s="757">
        <v>0</v>
      </c>
      <c r="BH822" s="757">
        <v>0</v>
      </c>
      <c r="BI822" s="757">
        <v>0</v>
      </c>
      <c r="BJ822" s="757">
        <v>0</v>
      </c>
      <c r="BK822" s="757">
        <v>0</v>
      </c>
      <c r="BL822" s="757">
        <v>0</v>
      </c>
      <c r="BM822" s="757">
        <v>0</v>
      </c>
      <c r="BN822" s="757">
        <v>0</v>
      </c>
      <c r="BO822" s="757">
        <v>0</v>
      </c>
      <c r="BP822" s="757">
        <v>0</v>
      </c>
      <c r="BQ822" s="757">
        <v>0</v>
      </c>
      <c r="BR822" s="757">
        <v>0</v>
      </c>
      <c r="BS822" s="757">
        <v>0</v>
      </c>
      <c r="BT822" s="757">
        <v>0</v>
      </c>
      <c r="BU822" s="757">
        <v>0</v>
      </c>
      <c r="BV822" s="757">
        <v>0</v>
      </c>
      <c r="BW822" s="757">
        <v>0</v>
      </c>
      <c r="BX822" s="757">
        <v>0</v>
      </c>
      <c r="BY822" s="757">
        <v>0</v>
      </c>
      <c r="BZ822" s="757">
        <v>0</v>
      </c>
      <c r="CA822" s="757">
        <v>0</v>
      </c>
      <c r="CB822" s="757">
        <v>0</v>
      </c>
      <c r="CC822" s="757">
        <v>0</v>
      </c>
      <c r="CD822" s="757">
        <v>0</v>
      </c>
      <c r="CE822" s="757">
        <v>0</v>
      </c>
      <c r="CF822" s="757">
        <v>0</v>
      </c>
      <c r="CG822" s="757">
        <v>0</v>
      </c>
      <c r="CH822" s="757">
        <v>0</v>
      </c>
      <c r="CI822" s="757">
        <v>0</v>
      </c>
      <c r="CJ822" s="757">
        <v>0</v>
      </c>
      <c r="CK822" s="757">
        <v>0</v>
      </c>
      <c r="CL822" s="757">
        <v>0</v>
      </c>
      <c r="CM822" s="757">
        <v>0</v>
      </c>
      <c r="CN822" s="757">
        <v>0</v>
      </c>
      <c r="CO822" s="757">
        <v>0</v>
      </c>
      <c r="CP822" s="757"/>
      <c r="CQ822" s="757"/>
      <c r="CR822" s="757"/>
      <c r="CS822" s="757"/>
      <c r="CT822" s="757"/>
      <c r="CU822" s="757"/>
      <c r="CV822" s="757"/>
      <c r="CW822" s="757"/>
      <c r="CX822" s="757"/>
      <c r="CY822" s="757"/>
      <c r="CZ822" s="757"/>
      <c r="DA822" s="757"/>
      <c r="DC822" s="12">
        <f>SUM(V822:AG822)</f>
        <v>0</v>
      </c>
      <c r="DD822" s="12">
        <f>SUM(AH822:AS822)</f>
        <v>0</v>
      </c>
      <c r="DE822" s="12">
        <f>SUM(AT822:BE822)</f>
        <v>0</v>
      </c>
      <c r="DF822" s="12">
        <f>SUM(BF822:BQ822)</f>
        <v>0</v>
      </c>
      <c r="DG822" s="12">
        <f>SUM(BR822:CC822)</f>
        <v>0</v>
      </c>
      <c r="DH822" s="12">
        <f>SUM(CD822:CO822)</f>
        <v>0</v>
      </c>
    </row>
    <row r="823" spans="1:112" hidden="1" outlineLevel="2">
      <c r="E823" s="698"/>
      <c r="F823" s="758" t="s">
        <v>796</v>
      </c>
      <c r="I823" s="609" t="s">
        <v>736</v>
      </c>
      <c r="U823" s="698"/>
      <c r="V823" s="698"/>
      <c r="W823" s="12"/>
      <c r="X823" s="758"/>
      <c r="Z823" s="609"/>
      <c r="AJ823" s="886"/>
      <c r="AK823" s="886"/>
      <c r="AL823" s="886"/>
      <c r="AM823" s="886"/>
      <c r="AN823" s="886"/>
      <c r="AO823" s="886"/>
      <c r="AP823" s="886"/>
      <c r="AQ823" s="886"/>
      <c r="AR823" s="886"/>
      <c r="AS823" s="756">
        <v>0</v>
      </c>
      <c r="AT823" s="756">
        <v>0</v>
      </c>
      <c r="AU823" s="756">
        <v>0</v>
      </c>
      <c r="AV823" s="756">
        <v>0</v>
      </c>
      <c r="AW823" s="756">
        <v>0</v>
      </c>
      <c r="AX823" s="756">
        <v>0</v>
      </c>
      <c r="AY823" s="756">
        <v>0</v>
      </c>
      <c r="AZ823" s="756">
        <v>0</v>
      </c>
      <c r="BA823" s="756">
        <v>0</v>
      </c>
      <c r="BB823" s="756">
        <v>0</v>
      </c>
      <c r="BC823" s="756">
        <v>0</v>
      </c>
      <c r="BD823" s="756">
        <v>0</v>
      </c>
      <c r="BE823" s="756">
        <v>0</v>
      </c>
      <c r="BF823" s="756">
        <v>0</v>
      </c>
      <c r="BG823" s="756">
        <v>0</v>
      </c>
      <c r="BH823" s="756">
        <v>0</v>
      </c>
      <c r="BI823" s="756">
        <v>0</v>
      </c>
      <c r="BJ823" s="756">
        <v>0</v>
      </c>
      <c r="BK823" s="756">
        <v>0</v>
      </c>
      <c r="BL823" s="756">
        <v>0</v>
      </c>
      <c r="BM823" s="756">
        <v>0</v>
      </c>
      <c r="BN823" s="756">
        <v>0</v>
      </c>
      <c r="BO823" s="756">
        <v>0</v>
      </c>
      <c r="BP823" s="756">
        <v>0</v>
      </c>
      <c r="BQ823" s="756">
        <v>0</v>
      </c>
      <c r="BR823" s="756">
        <v>0</v>
      </c>
      <c r="BS823" s="756">
        <v>0</v>
      </c>
      <c r="BT823" s="756">
        <v>0</v>
      </c>
      <c r="BU823" s="756">
        <v>0</v>
      </c>
      <c r="BV823" s="756">
        <v>0</v>
      </c>
      <c r="BW823" s="756">
        <v>0</v>
      </c>
      <c r="BX823" s="756">
        <v>0</v>
      </c>
      <c r="BY823" s="756">
        <v>0</v>
      </c>
      <c r="BZ823" s="756">
        <v>0</v>
      </c>
      <c r="CA823" s="756">
        <v>0</v>
      </c>
      <c r="CB823" s="756">
        <v>0</v>
      </c>
      <c r="CC823" s="756">
        <v>0</v>
      </c>
      <c r="CD823" s="756">
        <v>0</v>
      </c>
      <c r="CE823" s="756">
        <v>0</v>
      </c>
      <c r="CF823" s="756">
        <v>0</v>
      </c>
      <c r="CG823" s="756">
        <v>0</v>
      </c>
      <c r="CH823" s="756">
        <v>0</v>
      </c>
      <c r="CI823" s="756">
        <v>0</v>
      </c>
      <c r="CJ823" s="756">
        <v>0</v>
      </c>
      <c r="CK823" s="756">
        <v>0</v>
      </c>
      <c r="CL823" s="756">
        <v>0</v>
      </c>
      <c r="CM823" s="756">
        <v>0</v>
      </c>
      <c r="CN823" s="756">
        <v>0</v>
      </c>
      <c r="CO823" s="756">
        <v>0</v>
      </c>
      <c r="CP823" s="886"/>
      <c r="CQ823" s="886"/>
      <c r="CR823" s="886"/>
      <c r="CS823" s="886"/>
      <c r="CT823" s="886"/>
      <c r="CU823" s="886"/>
      <c r="CV823" s="886"/>
      <c r="CW823" s="886"/>
      <c r="CX823" s="886"/>
      <c r="CY823" s="886"/>
      <c r="CZ823" s="886"/>
      <c r="DA823" s="886"/>
      <c r="DC823" s="11">
        <f>AG823</f>
        <v>0</v>
      </c>
      <c r="DD823" s="11">
        <f>AS823</f>
        <v>0</v>
      </c>
      <c r="DE823" s="11">
        <f>BE823</f>
        <v>0</v>
      </c>
      <c r="DF823" s="11">
        <f>BQ823</f>
        <v>0</v>
      </c>
      <c r="DG823" s="11">
        <f>CC823</f>
        <v>0</v>
      </c>
      <c r="DH823" s="11">
        <f>CO823</f>
        <v>0</v>
      </c>
    </row>
    <row r="824" spans="1:112" hidden="1" outlineLevel="2">
      <c r="E824" s="698"/>
      <c r="F824" s="758" t="s">
        <v>215</v>
      </c>
      <c r="I824" s="609" t="s">
        <v>736</v>
      </c>
      <c r="U824" s="698"/>
      <c r="V824" s="698"/>
      <c r="W824" s="12"/>
      <c r="X824" s="758"/>
      <c r="Z824" s="609"/>
      <c r="AJ824" s="873"/>
      <c r="AK824" s="873"/>
      <c r="AL824" s="873"/>
      <c r="AM824" s="873"/>
      <c r="AN824" s="873"/>
      <c r="AO824" s="873"/>
      <c r="AP824" s="873"/>
      <c r="AQ824" s="873"/>
      <c r="AR824" s="873"/>
      <c r="AS824" s="873">
        <f t="shared" ref="AS824:CO824" si="811">AS828+AS831</f>
        <v>0</v>
      </c>
      <c r="AT824" s="873">
        <f t="shared" si="811"/>
        <v>0</v>
      </c>
      <c r="AU824" s="873">
        <f t="shared" si="811"/>
        <v>0</v>
      </c>
      <c r="AV824" s="873">
        <f t="shared" si="811"/>
        <v>0</v>
      </c>
      <c r="AW824" s="873">
        <f t="shared" si="811"/>
        <v>0</v>
      </c>
      <c r="AX824" s="873">
        <f t="shared" si="811"/>
        <v>0</v>
      </c>
      <c r="AY824" s="873">
        <f t="shared" si="811"/>
        <v>0</v>
      </c>
      <c r="AZ824" s="873">
        <f t="shared" si="811"/>
        <v>0</v>
      </c>
      <c r="BA824" s="873">
        <f t="shared" si="811"/>
        <v>0</v>
      </c>
      <c r="BB824" s="873">
        <f t="shared" si="811"/>
        <v>0</v>
      </c>
      <c r="BC824" s="873">
        <f t="shared" si="811"/>
        <v>0</v>
      </c>
      <c r="BD824" s="873">
        <f t="shared" si="811"/>
        <v>0</v>
      </c>
      <c r="BE824" s="873">
        <f t="shared" si="811"/>
        <v>0</v>
      </c>
      <c r="BF824" s="873">
        <f t="shared" si="811"/>
        <v>0</v>
      </c>
      <c r="BG824" s="873">
        <f t="shared" si="811"/>
        <v>0</v>
      </c>
      <c r="BH824" s="873">
        <f t="shared" si="811"/>
        <v>0</v>
      </c>
      <c r="BI824" s="873">
        <f t="shared" si="811"/>
        <v>0</v>
      </c>
      <c r="BJ824" s="873">
        <f t="shared" si="811"/>
        <v>0</v>
      </c>
      <c r="BK824" s="873">
        <f t="shared" si="811"/>
        <v>0</v>
      </c>
      <c r="BL824" s="873">
        <f t="shared" si="811"/>
        <v>0</v>
      </c>
      <c r="BM824" s="873">
        <f t="shared" si="811"/>
        <v>0</v>
      </c>
      <c r="BN824" s="873">
        <f t="shared" si="811"/>
        <v>0</v>
      </c>
      <c r="BO824" s="873">
        <f t="shared" si="811"/>
        <v>0</v>
      </c>
      <c r="BP824" s="873">
        <f t="shared" si="811"/>
        <v>0</v>
      </c>
      <c r="BQ824" s="873">
        <f t="shared" si="811"/>
        <v>0</v>
      </c>
      <c r="BR824" s="873">
        <f t="shared" si="811"/>
        <v>0</v>
      </c>
      <c r="BS824" s="873">
        <f t="shared" si="811"/>
        <v>0</v>
      </c>
      <c r="BT824" s="873">
        <f t="shared" si="811"/>
        <v>0</v>
      </c>
      <c r="BU824" s="873">
        <f t="shared" si="811"/>
        <v>0</v>
      </c>
      <c r="BV824" s="873">
        <f t="shared" si="811"/>
        <v>0</v>
      </c>
      <c r="BW824" s="873">
        <f t="shared" si="811"/>
        <v>0</v>
      </c>
      <c r="BX824" s="873">
        <f t="shared" si="811"/>
        <v>0</v>
      </c>
      <c r="BY824" s="873">
        <f t="shared" si="811"/>
        <v>0</v>
      </c>
      <c r="BZ824" s="873">
        <f t="shared" si="811"/>
        <v>0</v>
      </c>
      <c r="CA824" s="873">
        <f t="shared" si="811"/>
        <v>0</v>
      </c>
      <c r="CB824" s="873">
        <f t="shared" si="811"/>
        <v>0</v>
      </c>
      <c r="CC824" s="873">
        <f t="shared" si="811"/>
        <v>0</v>
      </c>
      <c r="CD824" s="873">
        <f t="shared" si="811"/>
        <v>0</v>
      </c>
      <c r="CE824" s="873">
        <f t="shared" si="811"/>
        <v>0</v>
      </c>
      <c r="CF824" s="873">
        <f t="shared" si="811"/>
        <v>0</v>
      </c>
      <c r="CG824" s="873">
        <f t="shared" si="811"/>
        <v>0</v>
      </c>
      <c r="CH824" s="873">
        <f t="shared" si="811"/>
        <v>0</v>
      </c>
      <c r="CI824" s="873">
        <f t="shared" si="811"/>
        <v>0</v>
      </c>
      <c r="CJ824" s="873">
        <f t="shared" si="811"/>
        <v>0</v>
      </c>
      <c r="CK824" s="873">
        <f t="shared" si="811"/>
        <v>0</v>
      </c>
      <c r="CL824" s="873">
        <f t="shared" si="811"/>
        <v>0</v>
      </c>
      <c r="CM824" s="873">
        <f t="shared" si="811"/>
        <v>0</v>
      </c>
      <c r="CN824" s="873">
        <f t="shared" si="811"/>
        <v>0</v>
      </c>
      <c r="CO824" s="873">
        <f t="shared" si="811"/>
        <v>0</v>
      </c>
      <c r="CP824" s="873"/>
      <c r="CQ824" s="873"/>
      <c r="CR824" s="873"/>
      <c r="CS824" s="873"/>
      <c r="CT824" s="873"/>
      <c r="CU824" s="873"/>
      <c r="CV824" s="873"/>
      <c r="CW824" s="873"/>
      <c r="CX824" s="873"/>
      <c r="CY824" s="873"/>
      <c r="CZ824" s="873"/>
      <c r="DA824" s="873"/>
      <c r="DC824" s="12">
        <f t="shared" ref="DC824:DC839" si="812">SUM(V824:AG824)</f>
        <v>0</v>
      </c>
      <c r="DD824" s="12">
        <f>SUM(AH824:AS824)</f>
        <v>0</v>
      </c>
      <c r="DE824" s="12">
        <f>SUM(AT824:BE824)</f>
        <v>0</v>
      </c>
      <c r="DF824" s="12">
        <f t="shared" ref="DF824:DF839" si="813">SUM(BF824:BQ824)</f>
        <v>0</v>
      </c>
      <c r="DG824" s="12">
        <f>SUM(BR824:CC824)</f>
        <v>0</v>
      </c>
      <c r="DH824" s="12">
        <f>SUM(CD824:CO824)</f>
        <v>0</v>
      </c>
    </row>
    <row r="825" spans="1:112" hidden="1" outlineLevel="2">
      <c r="E825" s="698"/>
      <c r="F825" s="758" t="s">
        <v>99</v>
      </c>
      <c r="I825" s="609" t="s">
        <v>736</v>
      </c>
      <c r="U825" s="698"/>
      <c r="V825" s="698"/>
      <c r="W825" s="12"/>
      <c r="X825" s="758"/>
      <c r="Z825" s="609"/>
      <c r="AJ825" s="873"/>
      <c r="AK825" s="873"/>
      <c r="AL825" s="873"/>
      <c r="AM825" s="873"/>
      <c r="AN825" s="873"/>
      <c r="AO825" s="873"/>
      <c r="AP825" s="873"/>
      <c r="AQ825" s="873"/>
      <c r="AR825" s="873"/>
      <c r="AS825" s="873">
        <f t="shared" ref="AS825:CO825" si="814">AS829+AS837</f>
        <v>0</v>
      </c>
      <c r="AT825" s="873">
        <f t="shared" si="814"/>
        <v>0</v>
      </c>
      <c r="AU825" s="873">
        <f t="shared" si="814"/>
        <v>0</v>
      </c>
      <c r="AV825" s="873">
        <f t="shared" si="814"/>
        <v>0</v>
      </c>
      <c r="AW825" s="873">
        <f t="shared" si="814"/>
        <v>0</v>
      </c>
      <c r="AX825" s="873">
        <f t="shared" si="814"/>
        <v>0</v>
      </c>
      <c r="AY825" s="873">
        <f t="shared" si="814"/>
        <v>0</v>
      </c>
      <c r="AZ825" s="873">
        <f t="shared" si="814"/>
        <v>0</v>
      </c>
      <c r="BA825" s="873">
        <f t="shared" si="814"/>
        <v>0</v>
      </c>
      <c r="BB825" s="873">
        <f t="shared" si="814"/>
        <v>0</v>
      </c>
      <c r="BC825" s="873">
        <f t="shared" si="814"/>
        <v>0</v>
      </c>
      <c r="BD825" s="873">
        <f t="shared" si="814"/>
        <v>0</v>
      </c>
      <c r="BE825" s="873">
        <f t="shared" si="814"/>
        <v>0</v>
      </c>
      <c r="BF825" s="873">
        <f t="shared" si="814"/>
        <v>0</v>
      </c>
      <c r="BG825" s="873">
        <f t="shared" si="814"/>
        <v>0</v>
      </c>
      <c r="BH825" s="873">
        <f t="shared" si="814"/>
        <v>0</v>
      </c>
      <c r="BI825" s="873">
        <f t="shared" si="814"/>
        <v>0</v>
      </c>
      <c r="BJ825" s="873">
        <f t="shared" si="814"/>
        <v>0</v>
      </c>
      <c r="BK825" s="873">
        <f t="shared" si="814"/>
        <v>0</v>
      </c>
      <c r="BL825" s="873">
        <f t="shared" si="814"/>
        <v>0</v>
      </c>
      <c r="BM825" s="873">
        <f t="shared" si="814"/>
        <v>0</v>
      </c>
      <c r="BN825" s="873">
        <f t="shared" si="814"/>
        <v>0</v>
      </c>
      <c r="BO825" s="873">
        <f t="shared" si="814"/>
        <v>0</v>
      </c>
      <c r="BP825" s="873">
        <f t="shared" si="814"/>
        <v>0</v>
      </c>
      <c r="BQ825" s="873">
        <f t="shared" si="814"/>
        <v>0</v>
      </c>
      <c r="BR825" s="873">
        <f t="shared" si="814"/>
        <v>0</v>
      </c>
      <c r="BS825" s="873">
        <f t="shared" si="814"/>
        <v>0</v>
      </c>
      <c r="BT825" s="873">
        <f t="shared" si="814"/>
        <v>0</v>
      </c>
      <c r="BU825" s="873">
        <f t="shared" si="814"/>
        <v>0</v>
      </c>
      <c r="BV825" s="873">
        <f t="shared" si="814"/>
        <v>0</v>
      </c>
      <c r="BW825" s="873">
        <f t="shared" si="814"/>
        <v>0</v>
      </c>
      <c r="BX825" s="873">
        <f t="shared" si="814"/>
        <v>0</v>
      </c>
      <c r="BY825" s="873">
        <f t="shared" si="814"/>
        <v>0</v>
      </c>
      <c r="BZ825" s="873">
        <f t="shared" si="814"/>
        <v>0</v>
      </c>
      <c r="CA825" s="873">
        <f t="shared" si="814"/>
        <v>0</v>
      </c>
      <c r="CB825" s="873">
        <f t="shared" si="814"/>
        <v>0</v>
      </c>
      <c r="CC825" s="873">
        <f t="shared" si="814"/>
        <v>0</v>
      </c>
      <c r="CD825" s="873">
        <f t="shared" si="814"/>
        <v>0</v>
      </c>
      <c r="CE825" s="873">
        <f t="shared" si="814"/>
        <v>0</v>
      </c>
      <c r="CF825" s="873">
        <f t="shared" si="814"/>
        <v>0</v>
      </c>
      <c r="CG825" s="873">
        <f t="shared" si="814"/>
        <v>0</v>
      </c>
      <c r="CH825" s="873">
        <f t="shared" si="814"/>
        <v>0</v>
      </c>
      <c r="CI825" s="873">
        <f t="shared" si="814"/>
        <v>0</v>
      </c>
      <c r="CJ825" s="873">
        <f t="shared" si="814"/>
        <v>0</v>
      </c>
      <c r="CK825" s="873">
        <f t="shared" si="814"/>
        <v>0</v>
      </c>
      <c r="CL825" s="873">
        <f t="shared" si="814"/>
        <v>0</v>
      </c>
      <c r="CM825" s="873">
        <f t="shared" si="814"/>
        <v>0</v>
      </c>
      <c r="CN825" s="873">
        <f t="shared" si="814"/>
        <v>0</v>
      </c>
      <c r="CO825" s="873">
        <f t="shared" si="814"/>
        <v>0</v>
      </c>
      <c r="CP825" s="873"/>
      <c r="CQ825" s="873"/>
      <c r="CR825" s="873"/>
      <c r="CS825" s="873"/>
      <c r="CT825" s="873"/>
      <c r="CU825" s="873"/>
      <c r="CV825" s="873"/>
      <c r="CW825" s="873"/>
      <c r="CX825" s="873"/>
      <c r="CY825" s="873"/>
      <c r="CZ825" s="873"/>
      <c r="DA825" s="873"/>
      <c r="DC825" s="12">
        <f t="shared" si="812"/>
        <v>0</v>
      </c>
      <c r="DD825" s="12">
        <f t="shared" ref="DD825:DD833" si="815">SUM(AH825:AS825)</f>
        <v>0</v>
      </c>
      <c r="DE825" s="12">
        <f t="shared" ref="DE825:DE833" si="816">SUM(AT825:BE825)</f>
        <v>0</v>
      </c>
      <c r="DF825" s="12">
        <f t="shared" si="813"/>
        <v>0</v>
      </c>
      <c r="DG825" s="12">
        <f t="shared" ref="DG825:DG833" si="817">SUM(BR825:CC825)</f>
        <v>0</v>
      </c>
      <c r="DH825" s="12">
        <f t="shared" ref="DH825:DH833" si="818">SUM(CD825:CO825)</f>
        <v>0</v>
      </c>
    </row>
    <row r="826" spans="1:112" hidden="1" outlineLevel="2">
      <c r="A826" s="698"/>
      <c r="C826" s="698"/>
      <c r="D826" s="698"/>
      <c r="E826" s="698" t="s">
        <v>217</v>
      </c>
      <c r="F826" s="698"/>
      <c r="G826" s="698"/>
      <c r="H826" s="703"/>
      <c r="I826" s="609" t="s">
        <v>736</v>
      </c>
      <c r="U826" s="698"/>
      <c r="V826" s="698"/>
      <c r="W826" s="698"/>
      <c r="X826" s="698"/>
      <c r="Y826" s="698"/>
      <c r="Z826" s="703"/>
      <c r="AJ826" s="969"/>
      <c r="AK826" s="969"/>
      <c r="AL826" s="969"/>
      <c r="AM826" s="969"/>
      <c r="AN826" s="969"/>
      <c r="AO826" s="969"/>
      <c r="AP826" s="969"/>
      <c r="AQ826" s="969"/>
      <c r="AR826" s="969"/>
      <c r="AS826" s="969">
        <f>AS827+AS830</f>
        <v>0</v>
      </c>
      <c r="AT826" s="969">
        <f t="shared" ref="AT826:CO826" si="819">AT827+AT830</f>
        <v>0</v>
      </c>
      <c r="AU826" s="969">
        <f t="shared" si="819"/>
        <v>0</v>
      </c>
      <c r="AV826" s="969">
        <f t="shared" si="819"/>
        <v>0</v>
      </c>
      <c r="AW826" s="969">
        <f t="shared" si="819"/>
        <v>0</v>
      </c>
      <c r="AX826" s="969">
        <f t="shared" si="819"/>
        <v>0</v>
      </c>
      <c r="AY826" s="969">
        <f t="shared" si="819"/>
        <v>0</v>
      </c>
      <c r="AZ826" s="969">
        <f t="shared" si="819"/>
        <v>0</v>
      </c>
      <c r="BA826" s="969">
        <f t="shared" si="819"/>
        <v>0</v>
      </c>
      <c r="BB826" s="969">
        <f t="shared" si="819"/>
        <v>0</v>
      </c>
      <c r="BC826" s="969">
        <f t="shared" si="819"/>
        <v>0</v>
      </c>
      <c r="BD826" s="969">
        <f t="shared" si="819"/>
        <v>0</v>
      </c>
      <c r="BE826" s="969">
        <f t="shared" si="819"/>
        <v>0</v>
      </c>
      <c r="BF826" s="969">
        <f t="shared" si="819"/>
        <v>0</v>
      </c>
      <c r="BG826" s="969">
        <f t="shared" si="819"/>
        <v>0</v>
      </c>
      <c r="BH826" s="969">
        <f t="shared" si="819"/>
        <v>0</v>
      </c>
      <c r="BI826" s="969">
        <f t="shared" si="819"/>
        <v>0</v>
      </c>
      <c r="BJ826" s="969">
        <f t="shared" si="819"/>
        <v>0</v>
      </c>
      <c r="BK826" s="969">
        <f t="shared" si="819"/>
        <v>0</v>
      </c>
      <c r="BL826" s="969">
        <f t="shared" si="819"/>
        <v>0</v>
      </c>
      <c r="BM826" s="969">
        <f t="shared" si="819"/>
        <v>0</v>
      </c>
      <c r="BN826" s="969">
        <f t="shared" si="819"/>
        <v>0</v>
      </c>
      <c r="BO826" s="969">
        <f t="shared" si="819"/>
        <v>0</v>
      </c>
      <c r="BP826" s="969">
        <f t="shared" si="819"/>
        <v>0</v>
      </c>
      <c r="BQ826" s="969">
        <f t="shared" si="819"/>
        <v>0</v>
      </c>
      <c r="BR826" s="969">
        <f t="shared" si="819"/>
        <v>0</v>
      </c>
      <c r="BS826" s="969">
        <f t="shared" si="819"/>
        <v>0</v>
      </c>
      <c r="BT826" s="969">
        <f t="shared" si="819"/>
        <v>0</v>
      </c>
      <c r="BU826" s="969">
        <f t="shared" si="819"/>
        <v>0</v>
      </c>
      <c r="BV826" s="969">
        <f t="shared" si="819"/>
        <v>0</v>
      </c>
      <c r="BW826" s="969">
        <f t="shared" si="819"/>
        <v>0</v>
      </c>
      <c r="BX826" s="969">
        <f t="shared" si="819"/>
        <v>0</v>
      </c>
      <c r="BY826" s="969">
        <f t="shared" si="819"/>
        <v>0</v>
      </c>
      <c r="BZ826" s="969">
        <f t="shared" si="819"/>
        <v>0</v>
      </c>
      <c r="CA826" s="969">
        <f t="shared" si="819"/>
        <v>0</v>
      </c>
      <c r="CB826" s="969">
        <f t="shared" si="819"/>
        <v>0</v>
      </c>
      <c r="CC826" s="969">
        <f t="shared" si="819"/>
        <v>0</v>
      </c>
      <c r="CD826" s="969">
        <f t="shared" si="819"/>
        <v>0</v>
      </c>
      <c r="CE826" s="969">
        <f t="shared" si="819"/>
        <v>0</v>
      </c>
      <c r="CF826" s="969">
        <f t="shared" si="819"/>
        <v>0</v>
      </c>
      <c r="CG826" s="969">
        <f t="shared" si="819"/>
        <v>0</v>
      </c>
      <c r="CH826" s="969">
        <f t="shared" si="819"/>
        <v>0</v>
      </c>
      <c r="CI826" s="969">
        <f t="shared" si="819"/>
        <v>0</v>
      </c>
      <c r="CJ826" s="969">
        <f t="shared" si="819"/>
        <v>0</v>
      </c>
      <c r="CK826" s="969">
        <f t="shared" si="819"/>
        <v>0</v>
      </c>
      <c r="CL826" s="969">
        <f t="shared" si="819"/>
        <v>0</v>
      </c>
      <c r="CM826" s="969">
        <f t="shared" si="819"/>
        <v>0</v>
      </c>
      <c r="CN826" s="969">
        <f t="shared" si="819"/>
        <v>0</v>
      </c>
      <c r="CO826" s="969">
        <f t="shared" si="819"/>
        <v>0</v>
      </c>
      <c r="CP826" s="969"/>
      <c r="CQ826" s="969"/>
      <c r="CR826" s="969"/>
      <c r="CS826" s="969"/>
      <c r="CT826" s="969"/>
      <c r="CU826" s="969"/>
      <c r="CV826" s="969"/>
      <c r="CW826" s="969"/>
      <c r="CX826" s="969"/>
      <c r="CY826" s="969"/>
      <c r="CZ826" s="969"/>
      <c r="DA826" s="969"/>
      <c r="DC826" s="14">
        <f t="shared" si="812"/>
        <v>0</v>
      </c>
      <c r="DD826" s="14">
        <f t="shared" si="815"/>
        <v>0</v>
      </c>
      <c r="DE826" s="14">
        <f t="shared" si="816"/>
        <v>0</v>
      </c>
      <c r="DF826" s="14">
        <f t="shared" si="813"/>
        <v>0</v>
      </c>
      <c r="DG826" s="14">
        <f t="shared" si="817"/>
        <v>0</v>
      </c>
      <c r="DH826" s="14">
        <f t="shared" si="818"/>
        <v>0</v>
      </c>
    </row>
    <row r="827" spans="1:112" hidden="1" outlineLevel="2">
      <c r="E827" s="698"/>
      <c r="F827" s="704" t="s">
        <v>218</v>
      </c>
      <c r="G827" s="698"/>
      <c r="I827" s="609" t="s">
        <v>736</v>
      </c>
      <c r="U827" s="698"/>
      <c r="V827" s="704"/>
      <c r="W827" s="14"/>
      <c r="X827" s="704"/>
      <c r="Y827" s="698"/>
      <c r="Z827" s="609"/>
      <c r="AJ827" s="851"/>
      <c r="AK827" s="851"/>
      <c r="AL827" s="851"/>
      <c r="AM827" s="851"/>
      <c r="AN827" s="851"/>
      <c r="AO827" s="851"/>
      <c r="AP827" s="851"/>
      <c r="AQ827" s="851"/>
      <c r="AR827" s="851"/>
      <c r="AS827" s="851">
        <f t="shared" ref="AS827:CO827" si="820">AS828+AS829</f>
        <v>0</v>
      </c>
      <c r="AT827" s="851">
        <f t="shared" si="820"/>
        <v>0</v>
      </c>
      <c r="AU827" s="851">
        <f t="shared" si="820"/>
        <v>0</v>
      </c>
      <c r="AV827" s="851">
        <f t="shared" si="820"/>
        <v>0</v>
      </c>
      <c r="AW827" s="851">
        <f t="shared" si="820"/>
        <v>0</v>
      </c>
      <c r="AX827" s="851">
        <f t="shared" si="820"/>
        <v>0</v>
      </c>
      <c r="AY827" s="851">
        <f t="shared" si="820"/>
        <v>0</v>
      </c>
      <c r="AZ827" s="851">
        <f t="shared" si="820"/>
        <v>0</v>
      </c>
      <c r="BA827" s="851">
        <f t="shared" si="820"/>
        <v>0</v>
      </c>
      <c r="BB827" s="851">
        <f t="shared" si="820"/>
        <v>0</v>
      </c>
      <c r="BC827" s="851">
        <f t="shared" si="820"/>
        <v>0</v>
      </c>
      <c r="BD827" s="851">
        <f t="shared" si="820"/>
        <v>0</v>
      </c>
      <c r="BE827" s="851">
        <f t="shared" si="820"/>
        <v>0</v>
      </c>
      <c r="BF827" s="851">
        <f t="shared" si="820"/>
        <v>0</v>
      </c>
      <c r="BG827" s="851">
        <f t="shared" si="820"/>
        <v>0</v>
      </c>
      <c r="BH827" s="851">
        <f t="shared" si="820"/>
        <v>0</v>
      </c>
      <c r="BI827" s="851">
        <f t="shared" si="820"/>
        <v>0</v>
      </c>
      <c r="BJ827" s="851">
        <f t="shared" si="820"/>
        <v>0</v>
      </c>
      <c r="BK827" s="851">
        <f t="shared" si="820"/>
        <v>0</v>
      </c>
      <c r="BL827" s="851">
        <f t="shared" si="820"/>
        <v>0</v>
      </c>
      <c r="BM827" s="851">
        <f t="shared" si="820"/>
        <v>0</v>
      </c>
      <c r="BN827" s="851">
        <f t="shared" si="820"/>
        <v>0</v>
      </c>
      <c r="BO827" s="851">
        <f t="shared" si="820"/>
        <v>0</v>
      </c>
      <c r="BP827" s="851">
        <f t="shared" si="820"/>
        <v>0</v>
      </c>
      <c r="BQ827" s="851">
        <f t="shared" si="820"/>
        <v>0</v>
      </c>
      <c r="BR827" s="851">
        <f t="shared" si="820"/>
        <v>0</v>
      </c>
      <c r="BS827" s="851">
        <f t="shared" si="820"/>
        <v>0</v>
      </c>
      <c r="BT827" s="851">
        <f t="shared" si="820"/>
        <v>0</v>
      </c>
      <c r="BU827" s="851">
        <f t="shared" si="820"/>
        <v>0</v>
      </c>
      <c r="BV827" s="851">
        <f t="shared" si="820"/>
        <v>0</v>
      </c>
      <c r="BW827" s="851">
        <f t="shared" si="820"/>
        <v>0</v>
      </c>
      <c r="BX827" s="851">
        <f t="shared" si="820"/>
        <v>0</v>
      </c>
      <c r="BY827" s="851">
        <f t="shared" si="820"/>
        <v>0</v>
      </c>
      <c r="BZ827" s="851">
        <f t="shared" si="820"/>
        <v>0</v>
      </c>
      <c r="CA827" s="851">
        <f t="shared" si="820"/>
        <v>0</v>
      </c>
      <c r="CB827" s="851">
        <f t="shared" si="820"/>
        <v>0</v>
      </c>
      <c r="CC827" s="851">
        <f t="shared" si="820"/>
        <v>0</v>
      </c>
      <c r="CD827" s="851">
        <f t="shared" si="820"/>
        <v>0</v>
      </c>
      <c r="CE827" s="851">
        <f t="shared" si="820"/>
        <v>0</v>
      </c>
      <c r="CF827" s="851">
        <f t="shared" si="820"/>
        <v>0</v>
      </c>
      <c r="CG827" s="851">
        <f t="shared" si="820"/>
        <v>0</v>
      </c>
      <c r="CH827" s="851">
        <f t="shared" si="820"/>
        <v>0</v>
      </c>
      <c r="CI827" s="851">
        <f t="shared" si="820"/>
        <v>0</v>
      </c>
      <c r="CJ827" s="851">
        <f t="shared" si="820"/>
        <v>0</v>
      </c>
      <c r="CK827" s="851">
        <f t="shared" si="820"/>
        <v>0</v>
      </c>
      <c r="CL827" s="851">
        <f t="shared" si="820"/>
        <v>0</v>
      </c>
      <c r="CM827" s="851">
        <f t="shared" si="820"/>
        <v>0</v>
      </c>
      <c r="CN827" s="851">
        <f t="shared" si="820"/>
        <v>0</v>
      </c>
      <c r="CO827" s="851">
        <f t="shared" si="820"/>
        <v>0</v>
      </c>
      <c r="CP827" s="851"/>
      <c r="CQ827" s="851"/>
      <c r="CR827" s="851"/>
      <c r="CS827" s="851"/>
      <c r="CT827" s="851"/>
      <c r="CU827" s="851"/>
      <c r="CV827" s="851"/>
      <c r="CW827" s="851"/>
      <c r="CX827" s="851"/>
      <c r="CY827" s="851"/>
      <c r="CZ827" s="851"/>
      <c r="DA827" s="851"/>
      <c r="DC827" s="12">
        <f t="shared" si="812"/>
        <v>0</v>
      </c>
      <c r="DD827" s="12">
        <f t="shared" si="815"/>
        <v>0</v>
      </c>
      <c r="DE827" s="12">
        <f t="shared" si="816"/>
        <v>0</v>
      </c>
      <c r="DF827" s="12">
        <f t="shared" si="813"/>
        <v>0</v>
      </c>
      <c r="DG827" s="12">
        <f t="shared" si="817"/>
        <v>0</v>
      </c>
      <c r="DH827" s="12">
        <f t="shared" si="818"/>
        <v>0</v>
      </c>
    </row>
    <row r="828" spans="1:112" hidden="1" outlineLevel="2">
      <c r="F828" s="126" t="s">
        <v>737</v>
      </c>
      <c r="I828" s="609" t="s">
        <v>736</v>
      </c>
      <c r="Z828" s="609"/>
      <c r="AJ828" s="710"/>
      <c r="AK828" s="710"/>
      <c r="AL828" s="710"/>
      <c r="AM828" s="710"/>
      <c r="AN828" s="710"/>
      <c r="AO828" s="710"/>
      <c r="AP828" s="710"/>
      <c r="AQ828" s="710"/>
      <c r="AR828" s="710"/>
      <c r="AS828" s="710">
        <v>0</v>
      </c>
      <c r="AT828" s="710">
        <v>0</v>
      </c>
      <c r="AU828" s="710">
        <v>0</v>
      </c>
      <c r="AV828" s="710">
        <v>0</v>
      </c>
      <c r="AW828" s="710">
        <v>0</v>
      </c>
      <c r="AX828" s="710">
        <v>0</v>
      </c>
      <c r="AY828" s="710">
        <v>0</v>
      </c>
      <c r="AZ828" s="710">
        <v>0</v>
      </c>
      <c r="BA828" s="710">
        <v>0</v>
      </c>
      <c r="BB828" s="710">
        <v>0</v>
      </c>
      <c r="BC828" s="710">
        <v>0</v>
      </c>
      <c r="BD828" s="710">
        <v>0</v>
      </c>
      <c r="BE828" s="710">
        <v>0</v>
      </c>
      <c r="BF828" s="710">
        <v>0</v>
      </c>
      <c r="BG828" s="710">
        <v>0</v>
      </c>
      <c r="BH828" s="710">
        <v>0</v>
      </c>
      <c r="BI828" s="710">
        <v>0</v>
      </c>
      <c r="BJ828" s="710">
        <v>0</v>
      </c>
      <c r="BK828" s="710">
        <v>0</v>
      </c>
      <c r="BL828" s="710">
        <v>0</v>
      </c>
      <c r="BM828" s="710">
        <v>0</v>
      </c>
      <c r="BN828" s="710">
        <v>0</v>
      </c>
      <c r="BO828" s="710">
        <v>0</v>
      </c>
      <c r="BP828" s="710">
        <v>0</v>
      </c>
      <c r="BQ828" s="710">
        <v>0</v>
      </c>
      <c r="BR828" s="710">
        <v>0</v>
      </c>
      <c r="BS828" s="710">
        <v>0</v>
      </c>
      <c r="BT828" s="710">
        <v>0</v>
      </c>
      <c r="BU828" s="710">
        <v>0</v>
      </c>
      <c r="BV828" s="710">
        <v>0</v>
      </c>
      <c r="BW828" s="710">
        <v>0</v>
      </c>
      <c r="BX828" s="710">
        <v>0</v>
      </c>
      <c r="BY828" s="710">
        <v>0</v>
      </c>
      <c r="BZ828" s="710">
        <v>0</v>
      </c>
      <c r="CA828" s="710">
        <v>0</v>
      </c>
      <c r="CB828" s="710">
        <v>0</v>
      </c>
      <c r="CC828" s="710">
        <v>0</v>
      </c>
      <c r="CD828" s="710">
        <v>0</v>
      </c>
      <c r="CE828" s="710">
        <v>0</v>
      </c>
      <c r="CF828" s="710">
        <v>0</v>
      </c>
      <c r="CG828" s="710">
        <v>0</v>
      </c>
      <c r="CH828" s="710">
        <v>0</v>
      </c>
      <c r="CI828" s="710">
        <v>0</v>
      </c>
      <c r="CJ828" s="710">
        <v>0</v>
      </c>
      <c r="CK828" s="710">
        <v>0</v>
      </c>
      <c r="CL828" s="710">
        <v>0</v>
      </c>
      <c r="CM828" s="710">
        <v>0</v>
      </c>
      <c r="CN828" s="710">
        <v>0</v>
      </c>
      <c r="CO828" s="710">
        <v>0</v>
      </c>
      <c r="CP828" s="710"/>
      <c r="CQ828" s="710"/>
      <c r="CR828" s="710"/>
      <c r="CS828" s="710"/>
      <c r="CT828" s="710"/>
      <c r="CU828" s="710"/>
      <c r="CV828" s="710"/>
      <c r="CW828" s="710"/>
      <c r="CX828" s="710"/>
      <c r="CY828" s="710"/>
      <c r="CZ828" s="710"/>
      <c r="DA828" s="710"/>
      <c r="DC828" s="12">
        <f t="shared" si="812"/>
        <v>0</v>
      </c>
      <c r="DD828" s="12">
        <f t="shared" si="815"/>
        <v>0</v>
      </c>
      <c r="DE828" s="12">
        <f t="shared" si="816"/>
        <v>0</v>
      </c>
      <c r="DF828" s="12">
        <f t="shared" si="813"/>
        <v>0</v>
      </c>
      <c r="DG828" s="12">
        <f t="shared" si="817"/>
        <v>0</v>
      </c>
      <c r="DH828" s="12">
        <f t="shared" si="818"/>
        <v>0</v>
      </c>
    </row>
    <row r="829" spans="1:112" hidden="1" outlineLevel="2">
      <c r="F829" s="126" t="s">
        <v>798</v>
      </c>
      <c r="I829" s="609" t="s">
        <v>736</v>
      </c>
      <c r="Z829" s="609"/>
      <c r="AJ829" s="710"/>
      <c r="AK829" s="710"/>
      <c r="AL829" s="710"/>
      <c r="AM829" s="710"/>
      <c r="AN829" s="710"/>
      <c r="AO829" s="710"/>
      <c r="AP829" s="710"/>
      <c r="AQ829" s="710"/>
      <c r="AR829" s="710"/>
      <c r="AS829" s="710">
        <v>0</v>
      </c>
      <c r="AT829" s="710">
        <v>0</v>
      </c>
      <c r="AU829" s="710">
        <v>0</v>
      </c>
      <c r="AV829" s="710">
        <v>0</v>
      </c>
      <c r="AW829" s="710">
        <v>0</v>
      </c>
      <c r="AX829" s="710">
        <v>0</v>
      </c>
      <c r="AY829" s="710">
        <v>0</v>
      </c>
      <c r="AZ829" s="710">
        <v>0</v>
      </c>
      <c r="BA829" s="710">
        <v>0</v>
      </c>
      <c r="BB829" s="710">
        <v>0</v>
      </c>
      <c r="BC829" s="710">
        <v>0</v>
      </c>
      <c r="BD829" s="710">
        <v>0</v>
      </c>
      <c r="BE829" s="710">
        <v>0</v>
      </c>
      <c r="BF829" s="710">
        <v>0</v>
      </c>
      <c r="BG829" s="710">
        <v>0</v>
      </c>
      <c r="BH829" s="710">
        <v>0</v>
      </c>
      <c r="BI829" s="710">
        <v>0</v>
      </c>
      <c r="BJ829" s="710">
        <v>0</v>
      </c>
      <c r="BK829" s="710">
        <v>0</v>
      </c>
      <c r="BL829" s="710">
        <v>0</v>
      </c>
      <c r="BM829" s="710">
        <v>0</v>
      </c>
      <c r="BN829" s="710">
        <v>0</v>
      </c>
      <c r="BO829" s="710">
        <v>0</v>
      </c>
      <c r="BP829" s="710">
        <v>0</v>
      </c>
      <c r="BQ829" s="710">
        <v>0</v>
      </c>
      <c r="BR829" s="710">
        <v>0</v>
      </c>
      <c r="BS829" s="710">
        <v>0</v>
      </c>
      <c r="BT829" s="710">
        <v>0</v>
      </c>
      <c r="BU829" s="710">
        <v>0</v>
      </c>
      <c r="BV829" s="710">
        <v>0</v>
      </c>
      <c r="BW829" s="710">
        <v>0</v>
      </c>
      <c r="BX829" s="710">
        <v>0</v>
      </c>
      <c r="BY829" s="710">
        <v>0</v>
      </c>
      <c r="BZ829" s="710">
        <v>0</v>
      </c>
      <c r="CA829" s="710">
        <v>0</v>
      </c>
      <c r="CB829" s="710">
        <v>0</v>
      </c>
      <c r="CC829" s="710">
        <v>0</v>
      </c>
      <c r="CD829" s="710">
        <v>0</v>
      </c>
      <c r="CE829" s="710">
        <v>0</v>
      </c>
      <c r="CF829" s="710">
        <v>0</v>
      </c>
      <c r="CG829" s="710">
        <v>0</v>
      </c>
      <c r="CH829" s="710">
        <v>0</v>
      </c>
      <c r="CI829" s="710">
        <v>0</v>
      </c>
      <c r="CJ829" s="710">
        <v>0</v>
      </c>
      <c r="CK829" s="710">
        <v>0</v>
      </c>
      <c r="CL829" s="710">
        <v>0</v>
      </c>
      <c r="CM829" s="710">
        <v>0</v>
      </c>
      <c r="CN829" s="710">
        <v>0</v>
      </c>
      <c r="CO829" s="710">
        <v>0</v>
      </c>
      <c r="CP829" s="710"/>
      <c r="CQ829" s="710"/>
      <c r="CR829" s="710"/>
      <c r="CS829" s="710"/>
      <c r="CT829" s="710"/>
      <c r="CU829" s="710"/>
      <c r="CV829" s="710"/>
      <c r="CW829" s="710"/>
      <c r="CX829" s="710"/>
      <c r="CY829" s="710"/>
      <c r="CZ829" s="710"/>
      <c r="DA829" s="710"/>
      <c r="DC829" s="704">
        <f t="shared" si="812"/>
        <v>0</v>
      </c>
      <c r="DD829" s="758">
        <f t="shared" si="815"/>
        <v>0</v>
      </c>
      <c r="DE829" s="758">
        <f t="shared" si="816"/>
        <v>0</v>
      </c>
      <c r="DF829" s="758">
        <f t="shared" si="813"/>
        <v>0</v>
      </c>
      <c r="DG829" s="758">
        <f t="shared" si="817"/>
        <v>0</v>
      </c>
      <c r="DH829" s="758">
        <f t="shared" si="818"/>
        <v>0</v>
      </c>
    </row>
    <row r="830" spans="1:112" hidden="1" outlineLevel="2">
      <c r="E830" s="698"/>
      <c r="F830" s="698" t="s">
        <v>830</v>
      </c>
      <c r="G830" s="698"/>
      <c r="I830" s="609" t="s">
        <v>736</v>
      </c>
      <c r="U830" s="698"/>
      <c r="V830" s="698"/>
      <c r="X830" s="698"/>
      <c r="Y830" s="698"/>
      <c r="Z830" s="609"/>
      <c r="AJ830" s="969"/>
      <c r="AK830" s="969"/>
      <c r="AL830" s="969"/>
      <c r="AM830" s="969"/>
      <c r="AN830" s="969"/>
      <c r="AO830" s="969"/>
      <c r="AP830" s="969"/>
      <c r="AQ830" s="969"/>
      <c r="AR830" s="969"/>
      <c r="AS830" s="969">
        <f t="shared" ref="AS830:CO830" si="821">SUM(AS831:AS837)</f>
        <v>0</v>
      </c>
      <c r="AT830" s="969">
        <f t="shared" si="821"/>
        <v>0</v>
      </c>
      <c r="AU830" s="969">
        <f t="shared" si="821"/>
        <v>0</v>
      </c>
      <c r="AV830" s="969">
        <f t="shared" si="821"/>
        <v>0</v>
      </c>
      <c r="AW830" s="969">
        <f t="shared" si="821"/>
        <v>0</v>
      </c>
      <c r="AX830" s="969">
        <f t="shared" si="821"/>
        <v>0</v>
      </c>
      <c r="AY830" s="969">
        <f t="shared" si="821"/>
        <v>0</v>
      </c>
      <c r="AZ830" s="969">
        <f t="shared" si="821"/>
        <v>0</v>
      </c>
      <c r="BA830" s="969">
        <f t="shared" si="821"/>
        <v>0</v>
      </c>
      <c r="BB830" s="969">
        <f t="shared" si="821"/>
        <v>0</v>
      </c>
      <c r="BC830" s="969">
        <f t="shared" si="821"/>
        <v>0</v>
      </c>
      <c r="BD830" s="969">
        <f t="shared" si="821"/>
        <v>0</v>
      </c>
      <c r="BE830" s="969">
        <f t="shared" si="821"/>
        <v>0</v>
      </c>
      <c r="BF830" s="969">
        <f t="shared" si="821"/>
        <v>0</v>
      </c>
      <c r="BG830" s="969">
        <f t="shared" si="821"/>
        <v>0</v>
      </c>
      <c r="BH830" s="969">
        <f t="shared" si="821"/>
        <v>0</v>
      </c>
      <c r="BI830" s="969">
        <f t="shared" si="821"/>
        <v>0</v>
      </c>
      <c r="BJ830" s="969">
        <f t="shared" si="821"/>
        <v>0</v>
      </c>
      <c r="BK830" s="969">
        <f t="shared" si="821"/>
        <v>0</v>
      </c>
      <c r="BL830" s="969">
        <f t="shared" si="821"/>
        <v>0</v>
      </c>
      <c r="BM830" s="969">
        <f t="shared" si="821"/>
        <v>0</v>
      </c>
      <c r="BN830" s="969">
        <f t="shared" si="821"/>
        <v>0</v>
      </c>
      <c r="BO830" s="969">
        <f t="shared" si="821"/>
        <v>0</v>
      </c>
      <c r="BP830" s="969">
        <f t="shared" si="821"/>
        <v>0</v>
      </c>
      <c r="BQ830" s="969">
        <f t="shared" si="821"/>
        <v>0</v>
      </c>
      <c r="BR830" s="969">
        <f t="shared" si="821"/>
        <v>0</v>
      </c>
      <c r="BS830" s="969">
        <f t="shared" si="821"/>
        <v>0</v>
      </c>
      <c r="BT830" s="969">
        <f t="shared" si="821"/>
        <v>0</v>
      </c>
      <c r="BU830" s="969">
        <f t="shared" si="821"/>
        <v>0</v>
      </c>
      <c r="BV830" s="969">
        <f t="shared" si="821"/>
        <v>0</v>
      </c>
      <c r="BW830" s="969">
        <f t="shared" si="821"/>
        <v>0</v>
      </c>
      <c r="BX830" s="969">
        <f t="shared" si="821"/>
        <v>0</v>
      </c>
      <c r="BY830" s="969">
        <f t="shared" si="821"/>
        <v>0</v>
      </c>
      <c r="BZ830" s="969">
        <f t="shared" si="821"/>
        <v>0</v>
      </c>
      <c r="CA830" s="969">
        <f t="shared" si="821"/>
        <v>0</v>
      </c>
      <c r="CB830" s="969">
        <f t="shared" si="821"/>
        <v>0</v>
      </c>
      <c r="CC830" s="969">
        <f t="shared" si="821"/>
        <v>0</v>
      </c>
      <c r="CD830" s="969">
        <f t="shared" si="821"/>
        <v>0</v>
      </c>
      <c r="CE830" s="969">
        <f t="shared" si="821"/>
        <v>0</v>
      </c>
      <c r="CF830" s="969">
        <f t="shared" si="821"/>
        <v>0</v>
      </c>
      <c r="CG830" s="969">
        <f t="shared" si="821"/>
        <v>0</v>
      </c>
      <c r="CH830" s="969">
        <f t="shared" si="821"/>
        <v>0</v>
      </c>
      <c r="CI830" s="969">
        <f t="shared" si="821"/>
        <v>0</v>
      </c>
      <c r="CJ830" s="969">
        <f t="shared" si="821"/>
        <v>0</v>
      </c>
      <c r="CK830" s="969">
        <f t="shared" si="821"/>
        <v>0</v>
      </c>
      <c r="CL830" s="969">
        <f t="shared" si="821"/>
        <v>0</v>
      </c>
      <c r="CM830" s="969">
        <f t="shared" si="821"/>
        <v>0</v>
      </c>
      <c r="CN830" s="969">
        <f t="shared" si="821"/>
        <v>0</v>
      </c>
      <c r="CO830" s="969">
        <f t="shared" si="821"/>
        <v>0</v>
      </c>
      <c r="CP830" s="969"/>
      <c r="CQ830" s="969"/>
      <c r="CR830" s="969"/>
      <c r="CS830" s="969"/>
      <c r="CT830" s="969"/>
      <c r="CU830" s="969"/>
      <c r="CV830" s="969"/>
      <c r="CW830" s="969"/>
      <c r="CX830" s="969"/>
      <c r="CY830" s="969"/>
      <c r="CZ830" s="969"/>
      <c r="DA830" s="969"/>
      <c r="DC830" s="704">
        <f t="shared" si="812"/>
        <v>0</v>
      </c>
      <c r="DD830" s="758">
        <f t="shared" si="815"/>
        <v>0</v>
      </c>
      <c r="DE830" s="758">
        <f t="shared" si="816"/>
        <v>0</v>
      </c>
      <c r="DF830" s="758">
        <f t="shared" si="813"/>
        <v>0</v>
      </c>
      <c r="DG830" s="758">
        <f t="shared" si="817"/>
        <v>0</v>
      </c>
      <c r="DH830" s="758">
        <f t="shared" si="818"/>
        <v>0</v>
      </c>
    </row>
    <row r="831" spans="1:112" hidden="1" outlineLevel="2">
      <c r="F831" s="126" t="s">
        <v>540</v>
      </c>
      <c r="I831" s="609" t="s">
        <v>736</v>
      </c>
      <c r="Z831" s="609"/>
      <c r="AJ831" s="710"/>
      <c r="AK831" s="710"/>
      <c r="AL831" s="710"/>
      <c r="AM831" s="710"/>
      <c r="AN831" s="710"/>
      <c r="AO831" s="710"/>
      <c r="AP831" s="710"/>
      <c r="AQ831" s="710"/>
      <c r="AR831" s="710"/>
      <c r="AS831" s="710">
        <v>0</v>
      </c>
      <c r="AT831" s="710">
        <v>0</v>
      </c>
      <c r="AU831" s="710">
        <v>0</v>
      </c>
      <c r="AV831" s="710">
        <v>0</v>
      </c>
      <c r="AW831" s="710">
        <v>0</v>
      </c>
      <c r="AX831" s="710">
        <v>0</v>
      </c>
      <c r="AY831" s="710">
        <v>0</v>
      </c>
      <c r="AZ831" s="710">
        <v>0</v>
      </c>
      <c r="BA831" s="710">
        <v>0</v>
      </c>
      <c r="BB831" s="710">
        <v>0</v>
      </c>
      <c r="BC831" s="710">
        <v>0</v>
      </c>
      <c r="BD831" s="710">
        <v>0</v>
      </c>
      <c r="BE831" s="710">
        <v>0</v>
      </c>
      <c r="BF831" s="710">
        <v>0</v>
      </c>
      <c r="BG831" s="710">
        <v>0</v>
      </c>
      <c r="BH831" s="710">
        <v>0</v>
      </c>
      <c r="BI831" s="710">
        <v>0</v>
      </c>
      <c r="BJ831" s="710">
        <v>0</v>
      </c>
      <c r="BK831" s="710">
        <v>0</v>
      </c>
      <c r="BL831" s="710">
        <v>0</v>
      </c>
      <c r="BM831" s="710">
        <v>0</v>
      </c>
      <c r="BN831" s="710">
        <v>0</v>
      </c>
      <c r="BO831" s="710">
        <v>0</v>
      </c>
      <c r="BP831" s="710">
        <v>0</v>
      </c>
      <c r="BQ831" s="710">
        <v>0</v>
      </c>
      <c r="BR831" s="710">
        <v>0</v>
      </c>
      <c r="BS831" s="710">
        <v>0</v>
      </c>
      <c r="BT831" s="710">
        <v>0</v>
      </c>
      <c r="BU831" s="710">
        <v>0</v>
      </c>
      <c r="BV831" s="710">
        <v>0</v>
      </c>
      <c r="BW831" s="710">
        <v>0</v>
      </c>
      <c r="BX831" s="710">
        <v>0</v>
      </c>
      <c r="BY831" s="710">
        <v>0</v>
      </c>
      <c r="BZ831" s="710">
        <v>0</v>
      </c>
      <c r="CA831" s="710">
        <v>0</v>
      </c>
      <c r="CB831" s="710">
        <v>0</v>
      </c>
      <c r="CC831" s="710">
        <v>0</v>
      </c>
      <c r="CD831" s="710">
        <v>0</v>
      </c>
      <c r="CE831" s="710">
        <v>0</v>
      </c>
      <c r="CF831" s="710">
        <v>0</v>
      </c>
      <c r="CG831" s="710">
        <v>0</v>
      </c>
      <c r="CH831" s="710">
        <v>0</v>
      </c>
      <c r="CI831" s="710">
        <v>0</v>
      </c>
      <c r="CJ831" s="710">
        <v>0</v>
      </c>
      <c r="CK831" s="710">
        <v>0</v>
      </c>
      <c r="CL831" s="710">
        <v>0</v>
      </c>
      <c r="CM831" s="710">
        <v>0</v>
      </c>
      <c r="CN831" s="710">
        <v>0</v>
      </c>
      <c r="CO831" s="710">
        <v>0</v>
      </c>
      <c r="CP831" s="710"/>
      <c r="CQ831" s="710"/>
      <c r="CR831" s="710"/>
      <c r="CS831" s="710"/>
      <c r="CT831" s="710"/>
      <c r="CU831" s="710"/>
      <c r="CV831" s="710"/>
      <c r="CW831" s="710"/>
      <c r="CX831" s="710"/>
      <c r="CY831" s="710"/>
      <c r="CZ831" s="710"/>
      <c r="DA831" s="710"/>
      <c r="DC831" s="12">
        <f t="shared" si="812"/>
        <v>0</v>
      </c>
      <c r="DD831" s="12">
        <f t="shared" si="815"/>
        <v>0</v>
      </c>
      <c r="DE831" s="12">
        <f t="shared" si="816"/>
        <v>0</v>
      </c>
      <c r="DF831" s="12">
        <f t="shared" si="813"/>
        <v>0</v>
      </c>
      <c r="DG831" s="12">
        <f t="shared" si="817"/>
        <v>0</v>
      </c>
      <c r="DH831" s="12">
        <f t="shared" si="818"/>
        <v>0</v>
      </c>
    </row>
    <row r="832" spans="1:112" hidden="1" outlineLevel="2">
      <c r="F832" s="126" t="s">
        <v>799</v>
      </c>
      <c r="I832" s="609" t="s">
        <v>736</v>
      </c>
      <c r="Z832" s="609"/>
      <c r="AJ832" s="710"/>
      <c r="AK832" s="710"/>
      <c r="AL832" s="710"/>
      <c r="AM832" s="710"/>
      <c r="AN832" s="710"/>
      <c r="AO832" s="710"/>
      <c r="AP832" s="710"/>
      <c r="AQ832" s="710"/>
      <c r="AR832" s="710"/>
      <c r="AS832" s="710"/>
      <c r="AT832" s="710"/>
      <c r="AU832" s="710"/>
      <c r="AV832" s="710"/>
      <c r="AW832" s="710"/>
      <c r="AX832" s="710"/>
      <c r="AY832" s="710"/>
      <c r="AZ832" s="710"/>
      <c r="BA832" s="710"/>
      <c r="BB832" s="710"/>
      <c r="BC832" s="710"/>
      <c r="BD832" s="710"/>
      <c r="BE832" s="710"/>
      <c r="BF832" s="710"/>
      <c r="BG832" s="710"/>
      <c r="BH832" s="710"/>
      <c r="BI832" s="710"/>
      <c r="BJ832" s="710"/>
      <c r="BK832" s="710"/>
      <c r="BL832" s="710"/>
      <c r="BM832" s="710"/>
      <c r="BN832" s="710"/>
      <c r="BO832" s="710"/>
      <c r="BP832" s="710"/>
      <c r="BQ832" s="710"/>
      <c r="BR832" s="710"/>
      <c r="BS832" s="710"/>
      <c r="BT832" s="710"/>
      <c r="BU832" s="710"/>
      <c r="BV832" s="710"/>
      <c r="BW832" s="710"/>
      <c r="BX832" s="710"/>
      <c r="BY832" s="710"/>
      <c r="BZ832" s="710"/>
      <c r="CA832" s="710"/>
      <c r="CB832" s="710"/>
      <c r="CC832" s="710"/>
      <c r="CD832" s="710"/>
      <c r="CE832" s="710"/>
      <c r="CF832" s="710"/>
      <c r="CG832" s="710"/>
      <c r="CH832" s="710"/>
      <c r="CI832" s="710"/>
      <c r="CJ832" s="710"/>
      <c r="CK832" s="710"/>
      <c r="CL832" s="710"/>
      <c r="CM832" s="710"/>
      <c r="CN832" s="710"/>
      <c r="CO832" s="710"/>
      <c r="CP832" s="710"/>
      <c r="CQ832" s="710"/>
      <c r="CR832" s="710"/>
      <c r="CS832" s="710"/>
      <c r="CT832" s="710"/>
      <c r="CU832" s="710"/>
      <c r="CV832" s="710"/>
      <c r="CW832" s="710"/>
      <c r="CX832" s="710"/>
      <c r="CY832" s="710"/>
      <c r="CZ832" s="710"/>
      <c r="DA832" s="710"/>
      <c r="DC832" s="12">
        <f t="shared" si="812"/>
        <v>0</v>
      </c>
      <c r="DD832" s="12">
        <f t="shared" si="815"/>
        <v>0</v>
      </c>
      <c r="DE832" s="12">
        <f t="shared" si="816"/>
        <v>0</v>
      </c>
      <c r="DF832" s="12">
        <f t="shared" si="813"/>
        <v>0</v>
      </c>
      <c r="DG832" s="12">
        <f t="shared" si="817"/>
        <v>0</v>
      </c>
      <c r="DH832" s="12">
        <f t="shared" si="818"/>
        <v>0</v>
      </c>
    </row>
    <row r="833" spans="2:112" hidden="1" outlineLevel="2">
      <c r="F833" s="126" t="s">
        <v>800</v>
      </c>
      <c r="I833" s="609" t="s">
        <v>736</v>
      </c>
      <c r="Z833" s="609"/>
      <c r="AJ833" s="710"/>
      <c r="AK833" s="710"/>
      <c r="AL833" s="710"/>
      <c r="AM833" s="710"/>
      <c r="AN833" s="710"/>
      <c r="AO833" s="710"/>
      <c r="AP833" s="710"/>
      <c r="AQ833" s="710"/>
      <c r="AR833" s="710"/>
      <c r="AS833" s="710"/>
      <c r="AT833" s="710"/>
      <c r="AU833" s="710"/>
      <c r="AV833" s="710"/>
      <c r="AW833" s="710"/>
      <c r="AX833" s="710"/>
      <c r="AY833" s="710"/>
      <c r="AZ833" s="710"/>
      <c r="BA833" s="710"/>
      <c r="BB833" s="710"/>
      <c r="BC833" s="710"/>
      <c r="BD833" s="710"/>
      <c r="BE833" s="710"/>
      <c r="BF833" s="710"/>
      <c r="BG833" s="710"/>
      <c r="BH833" s="710"/>
      <c r="BI833" s="710"/>
      <c r="BJ833" s="710"/>
      <c r="BK833" s="710"/>
      <c r="BL833" s="710"/>
      <c r="BM833" s="710"/>
      <c r="BN833" s="710"/>
      <c r="BO833" s="710"/>
      <c r="BP833" s="710"/>
      <c r="BQ833" s="710"/>
      <c r="BR833" s="710"/>
      <c r="BS833" s="710"/>
      <c r="BT833" s="710"/>
      <c r="BU833" s="710"/>
      <c r="BV833" s="710"/>
      <c r="BW833" s="710"/>
      <c r="BX833" s="710"/>
      <c r="BY833" s="710"/>
      <c r="BZ833" s="710"/>
      <c r="CA833" s="710"/>
      <c r="CB833" s="710"/>
      <c r="CC833" s="710"/>
      <c r="CD833" s="710"/>
      <c r="CE833" s="710"/>
      <c r="CF833" s="710"/>
      <c r="CG833" s="710"/>
      <c r="CH833" s="710"/>
      <c r="CI833" s="710"/>
      <c r="CJ833" s="710"/>
      <c r="CK833" s="710"/>
      <c r="CL833" s="710"/>
      <c r="CM833" s="710"/>
      <c r="CN833" s="710"/>
      <c r="CO833" s="710"/>
      <c r="CP833" s="710"/>
      <c r="CQ833" s="710"/>
      <c r="CR833" s="710"/>
      <c r="CS833" s="710"/>
      <c r="CT833" s="710"/>
      <c r="CU833" s="710"/>
      <c r="CV833" s="710"/>
      <c r="CW833" s="710"/>
      <c r="CX833" s="710"/>
      <c r="CY833" s="710"/>
      <c r="CZ833" s="710"/>
      <c r="DA833" s="710"/>
      <c r="DC833" s="14">
        <f t="shared" si="812"/>
        <v>0</v>
      </c>
      <c r="DD833" s="14">
        <f t="shared" si="815"/>
        <v>0</v>
      </c>
      <c r="DE833" s="14">
        <f t="shared" si="816"/>
        <v>0</v>
      </c>
      <c r="DF833" s="14">
        <f t="shared" si="813"/>
        <v>0</v>
      </c>
      <c r="DG833" s="14">
        <f t="shared" si="817"/>
        <v>0</v>
      </c>
      <c r="DH833" s="14">
        <f t="shared" si="818"/>
        <v>0</v>
      </c>
    </row>
    <row r="834" spans="2:112" hidden="1" outlineLevel="2">
      <c r="F834" s="126" t="s">
        <v>223</v>
      </c>
      <c r="I834" s="609" t="s">
        <v>736</v>
      </c>
      <c r="Z834" s="609"/>
      <c r="AJ834" s="710"/>
      <c r="AK834" s="710"/>
      <c r="AL834" s="710"/>
      <c r="AM834" s="710"/>
      <c r="AN834" s="710"/>
      <c r="AO834" s="710"/>
      <c r="AP834" s="710"/>
      <c r="AQ834" s="710"/>
      <c r="AR834" s="710"/>
      <c r="AS834" s="710"/>
      <c r="AT834" s="710"/>
      <c r="AU834" s="710"/>
      <c r="AV834" s="710"/>
      <c r="AW834" s="710"/>
      <c r="AX834" s="710"/>
      <c r="AY834" s="710"/>
      <c r="AZ834" s="710"/>
      <c r="BA834" s="710"/>
      <c r="BB834" s="710"/>
      <c r="BC834" s="710"/>
      <c r="BD834" s="710"/>
      <c r="BE834" s="710"/>
      <c r="BF834" s="710"/>
      <c r="BG834" s="710"/>
      <c r="BH834" s="710"/>
      <c r="BI834" s="710"/>
      <c r="BJ834" s="710"/>
      <c r="BK834" s="710"/>
      <c r="BL834" s="710"/>
      <c r="BM834" s="710"/>
      <c r="BN834" s="710"/>
      <c r="BO834" s="710"/>
      <c r="BP834" s="710"/>
      <c r="BQ834" s="710"/>
      <c r="BR834" s="710"/>
      <c r="BS834" s="710"/>
      <c r="BT834" s="710"/>
      <c r="BU834" s="710"/>
      <c r="BV834" s="710"/>
      <c r="BW834" s="710"/>
      <c r="BX834" s="710"/>
      <c r="BY834" s="710"/>
      <c r="BZ834" s="710"/>
      <c r="CA834" s="710"/>
      <c r="CB834" s="710"/>
      <c r="CC834" s="710"/>
      <c r="CD834" s="710"/>
      <c r="CE834" s="710"/>
      <c r="CF834" s="710"/>
      <c r="CG834" s="710"/>
      <c r="CH834" s="710"/>
      <c r="CI834" s="710"/>
      <c r="CJ834" s="710"/>
      <c r="CK834" s="710"/>
      <c r="CL834" s="710"/>
      <c r="CM834" s="710"/>
      <c r="CN834" s="710"/>
      <c r="CO834" s="710"/>
      <c r="CP834" s="710"/>
      <c r="CQ834" s="710"/>
      <c r="CR834" s="710"/>
      <c r="CS834" s="710"/>
      <c r="CT834" s="710"/>
      <c r="CU834" s="710"/>
      <c r="CV834" s="710"/>
      <c r="CW834" s="710"/>
      <c r="CX834" s="710"/>
      <c r="CY834" s="710"/>
      <c r="CZ834" s="710"/>
      <c r="DA834" s="710"/>
      <c r="DC834" s="12">
        <f t="shared" si="812"/>
        <v>0</v>
      </c>
      <c r="DD834" s="12">
        <f t="shared" ref="DD834:DD850" si="822">SUM(AH834:AS834)</f>
        <v>0</v>
      </c>
      <c r="DE834" s="12">
        <f t="shared" ref="DE834:DE850" si="823">SUM(AT834:BE834)</f>
        <v>0</v>
      </c>
      <c r="DF834" s="12">
        <f t="shared" si="813"/>
        <v>0</v>
      </c>
      <c r="DG834" s="12">
        <f t="shared" ref="DG834:DG850" si="824">SUM(BR834:CC834)</f>
        <v>0</v>
      </c>
      <c r="DH834" s="12">
        <f t="shared" ref="DH834:DH850" si="825">SUM(CD834:CO834)</f>
        <v>0</v>
      </c>
    </row>
    <row r="835" spans="2:112" hidden="1" outlineLevel="2">
      <c r="F835" s="126" t="s">
        <v>221</v>
      </c>
      <c r="I835" s="609" t="s">
        <v>736</v>
      </c>
      <c r="Z835" s="609"/>
      <c r="AJ835" s="710"/>
      <c r="AK835" s="710"/>
      <c r="AL835" s="710"/>
      <c r="AM835" s="710"/>
      <c r="AN835" s="710"/>
      <c r="AO835" s="710"/>
      <c r="AP835" s="710"/>
      <c r="AQ835" s="710"/>
      <c r="AR835" s="710"/>
      <c r="AS835" s="710"/>
      <c r="AT835" s="710"/>
      <c r="AU835" s="710"/>
      <c r="AV835" s="710"/>
      <c r="AW835" s="710"/>
      <c r="AX835" s="710"/>
      <c r="AY835" s="710"/>
      <c r="AZ835" s="710"/>
      <c r="BA835" s="710"/>
      <c r="BB835" s="710"/>
      <c r="BC835" s="710"/>
      <c r="BD835" s="710"/>
      <c r="BE835" s="710"/>
      <c r="BF835" s="710"/>
      <c r="BG835" s="710"/>
      <c r="BH835" s="710"/>
      <c r="BI835" s="710"/>
      <c r="BJ835" s="710"/>
      <c r="BK835" s="710"/>
      <c r="BL835" s="710"/>
      <c r="BM835" s="710"/>
      <c r="BN835" s="710"/>
      <c r="BO835" s="710"/>
      <c r="BP835" s="710"/>
      <c r="BQ835" s="710"/>
      <c r="BR835" s="710"/>
      <c r="BS835" s="710"/>
      <c r="BT835" s="710"/>
      <c r="BU835" s="710"/>
      <c r="BV835" s="710"/>
      <c r="BW835" s="710"/>
      <c r="BX835" s="710"/>
      <c r="BY835" s="710"/>
      <c r="BZ835" s="710"/>
      <c r="CA835" s="710"/>
      <c r="CB835" s="710"/>
      <c r="CC835" s="710"/>
      <c r="CD835" s="710"/>
      <c r="CE835" s="710"/>
      <c r="CF835" s="710"/>
      <c r="CG835" s="710"/>
      <c r="CH835" s="710"/>
      <c r="CI835" s="710"/>
      <c r="CJ835" s="710"/>
      <c r="CK835" s="710"/>
      <c r="CL835" s="710"/>
      <c r="CM835" s="710"/>
      <c r="CN835" s="710"/>
      <c r="CO835" s="710"/>
      <c r="CP835" s="710"/>
      <c r="CQ835" s="710"/>
      <c r="CR835" s="710"/>
      <c r="CS835" s="710"/>
      <c r="CT835" s="710"/>
      <c r="CU835" s="710"/>
      <c r="CV835" s="710"/>
      <c r="CW835" s="710"/>
      <c r="CX835" s="710"/>
      <c r="CY835" s="710"/>
      <c r="CZ835" s="710"/>
      <c r="DA835" s="710"/>
      <c r="DC835" s="12">
        <f t="shared" si="812"/>
        <v>0</v>
      </c>
      <c r="DD835" s="12">
        <f t="shared" si="822"/>
        <v>0</v>
      </c>
      <c r="DE835" s="12">
        <f t="shared" si="823"/>
        <v>0</v>
      </c>
      <c r="DF835" s="12">
        <f t="shared" si="813"/>
        <v>0</v>
      </c>
      <c r="DG835" s="12">
        <f t="shared" si="824"/>
        <v>0</v>
      </c>
      <c r="DH835" s="12">
        <f t="shared" si="825"/>
        <v>0</v>
      </c>
    </row>
    <row r="836" spans="2:112" hidden="1" outlineLevel="2">
      <c r="F836" s="126" t="s">
        <v>801</v>
      </c>
      <c r="I836" s="609" t="s">
        <v>736</v>
      </c>
      <c r="Z836" s="609"/>
      <c r="AJ836" s="710"/>
      <c r="AK836" s="710"/>
      <c r="AL836" s="710"/>
      <c r="AM836" s="710"/>
      <c r="AN836" s="710"/>
      <c r="AO836" s="710"/>
      <c r="AP836" s="710"/>
      <c r="AQ836" s="710"/>
      <c r="AR836" s="710"/>
      <c r="AS836" s="710">
        <v>0</v>
      </c>
      <c r="AT836" s="710">
        <v>0</v>
      </c>
      <c r="AU836" s="710">
        <v>0</v>
      </c>
      <c r="AV836" s="710">
        <v>0</v>
      </c>
      <c r="AW836" s="710">
        <v>0</v>
      </c>
      <c r="AX836" s="710">
        <v>0</v>
      </c>
      <c r="AY836" s="710">
        <v>0</v>
      </c>
      <c r="AZ836" s="710">
        <v>0</v>
      </c>
      <c r="BA836" s="710">
        <v>0</v>
      </c>
      <c r="BB836" s="710">
        <v>0</v>
      </c>
      <c r="BC836" s="710">
        <v>0</v>
      </c>
      <c r="BD836" s="710">
        <v>0</v>
      </c>
      <c r="BE836" s="710">
        <v>0</v>
      </c>
      <c r="BF836" s="710">
        <v>0</v>
      </c>
      <c r="BG836" s="710">
        <v>0</v>
      </c>
      <c r="BH836" s="710">
        <v>0</v>
      </c>
      <c r="BI836" s="710">
        <v>0</v>
      </c>
      <c r="BJ836" s="710">
        <v>0</v>
      </c>
      <c r="BK836" s="710">
        <v>0</v>
      </c>
      <c r="BL836" s="710">
        <v>0</v>
      </c>
      <c r="BM836" s="710">
        <v>0</v>
      </c>
      <c r="BN836" s="710">
        <v>0</v>
      </c>
      <c r="BO836" s="710">
        <v>0</v>
      </c>
      <c r="BP836" s="710">
        <v>0</v>
      </c>
      <c r="BQ836" s="710">
        <v>0</v>
      </c>
      <c r="BR836" s="710">
        <v>0</v>
      </c>
      <c r="BS836" s="710">
        <v>0</v>
      </c>
      <c r="BT836" s="710">
        <v>0</v>
      </c>
      <c r="BU836" s="710">
        <v>0</v>
      </c>
      <c r="BV836" s="710">
        <v>0</v>
      </c>
      <c r="BW836" s="710">
        <v>0</v>
      </c>
      <c r="BX836" s="710">
        <v>0</v>
      </c>
      <c r="BY836" s="710">
        <v>0</v>
      </c>
      <c r="BZ836" s="710">
        <v>0</v>
      </c>
      <c r="CA836" s="710">
        <v>0</v>
      </c>
      <c r="CB836" s="710">
        <v>0</v>
      </c>
      <c r="CC836" s="710">
        <v>0</v>
      </c>
      <c r="CD836" s="710">
        <v>0</v>
      </c>
      <c r="CE836" s="710">
        <v>0</v>
      </c>
      <c r="CF836" s="710">
        <v>0</v>
      </c>
      <c r="CG836" s="710">
        <v>0</v>
      </c>
      <c r="CH836" s="710">
        <v>0</v>
      </c>
      <c r="CI836" s="710">
        <v>0</v>
      </c>
      <c r="CJ836" s="710">
        <v>0</v>
      </c>
      <c r="CK836" s="710">
        <v>0</v>
      </c>
      <c r="CL836" s="710">
        <v>0</v>
      </c>
      <c r="CM836" s="710">
        <v>0</v>
      </c>
      <c r="CN836" s="710">
        <v>0</v>
      </c>
      <c r="CO836" s="710">
        <v>0</v>
      </c>
      <c r="CP836" s="710"/>
      <c r="CQ836" s="710"/>
      <c r="CR836" s="710"/>
      <c r="CS836" s="710"/>
      <c r="CT836" s="710"/>
      <c r="CU836" s="710"/>
      <c r="CV836" s="710"/>
      <c r="CW836" s="710"/>
      <c r="CX836" s="710"/>
      <c r="CY836" s="710"/>
      <c r="CZ836" s="710"/>
      <c r="DA836" s="710"/>
      <c r="DC836" s="12">
        <f t="shared" si="812"/>
        <v>0</v>
      </c>
      <c r="DD836" s="12">
        <f t="shared" si="822"/>
        <v>0</v>
      </c>
      <c r="DE836" s="12">
        <f t="shared" si="823"/>
        <v>0</v>
      </c>
      <c r="DF836" s="12">
        <f t="shared" si="813"/>
        <v>0</v>
      </c>
      <c r="DG836" s="12">
        <f t="shared" si="824"/>
        <v>0</v>
      </c>
      <c r="DH836" s="12">
        <f t="shared" si="825"/>
        <v>0</v>
      </c>
    </row>
    <row r="837" spans="2:112" hidden="1" outlineLevel="2">
      <c r="F837" s="126" t="s">
        <v>802</v>
      </c>
      <c r="I837" s="609" t="s">
        <v>736</v>
      </c>
      <c r="Z837" s="609"/>
      <c r="AJ837" s="880"/>
      <c r="AK837" s="880"/>
      <c r="AL837" s="880"/>
      <c r="AM837" s="880"/>
      <c r="AN837" s="880"/>
      <c r="AO837" s="880"/>
      <c r="AP837" s="880"/>
      <c r="AQ837" s="880"/>
      <c r="AR837" s="880"/>
      <c r="AS837" s="880">
        <v>0</v>
      </c>
      <c r="AT837" s="880">
        <v>0</v>
      </c>
      <c r="AU837" s="880">
        <v>0</v>
      </c>
      <c r="AV837" s="880">
        <v>0</v>
      </c>
      <c r="AW837" s="880">
        <v>0</v>
      </c>
      <c r="AX837" s="880">
        <v>0</v>
      </c>
      <c r="AY837" s="880">
        <v>0</v>
      </c>
      <c r="AZ837" s="880">
        <v>0</v>
      </c>
      <c r="BA837" s="880">
        <v>0</v>
      </c>
      <c r="BB837" s="880">
        <v>0</v>
      </c>
      <c r="BC837" s="880">
        <v>0</v>
      </c>
      <c r="BD837" s="880">
        <v>0</v>
      </c>
      <c r="BE837" s="880">
        <v>0</v>
      </c>
      <c r="BF837" s="880">
        <v>0</v>
      </c>
      <c r="BG837" s="880">
        <v>0</v>
      </c>
      <c r="BH837" s="880">
        <v>0</v>
      </c>
      <c r="BI837" s="880">
        <v>0</v>
      </c>
      <c r="BJ837" s="880">
        <v>0</v>
      </c>
      <c r="BK837" s="880">
        <v>0</v>
      </c>
      <c r="BL837" s="880">
        <v>0</v>
      </c>
      <c r="BM837" s="880">
        <v>0</v>
      </c>
      <c r="BN837" s="880">
        <v>0</v>
      </c>
      <c r="BO837" s="880">
        <v>0</v>
      </c>
      <c r="BP837" s="880">
        <v>0</v>
      </c>
      <c r="BQ837" s="880">
        <v>0</v>
      </c>
      <c r="BR837" s="880">
        <v>0</v>
      </c>
      <c r="BS837" s="880">
        <v>0</v>
      </c>
      <c r="BT837" s="880">
        <v>0</v>
      </c>
      <c r="BU837" s="880">
        <v>0</v>
      </c>
      <c r="BV837" s="880">
        <v>0</v>
      </c>
      <c r="BW837" s="880">
        <v>0</v>
      </c>
      <c r="BX837" s="880">
        <v>0</v>
      </c>
      <c r="BY837" s="880">
        <v>0</v>
      </c>
      <c r="BZ837" s="880">
        <v>0</v>
      </c>
      <c r="CA837" s="880">
        <v>0</v>
      </c>
      <c r="CB837" s="880">
        <v>0</v>
      </c>
      <c r="CC837" s="880">
        <v>0</v>
      </c>
      <c r="CD837" s="880">
        <v>0</v>
      </c>
      <c r="CE837" s="880">
        <v>0</v>
      </c>
      <c r="CF837" s="880">
        <v>0</v>
      </c>
      <c r="CG837" s="880">
        <v>0</v>
      </c>
      <c r="CH837" s="880">
        <v>0</v>
      </c>
      <c r="CI837" s="880">
        <v>0</v>
      </c>
      <c r="CJ837" s="880">
        <v>0</v>
      </c>
      <c r="CK837" s="880">
        <v>0</v>
      </c>
      <c r="CL837" s="880">
        <v>0</v>
      </c>
      <c r="CM837" s="880">
        <v>0</v>
      </c>
      <c r="CN837" s="880">
        <v>0</v>
      </c>
      <c r="CO837" s="880">
        <v>0</v>
      </c>
      <c r="CP837" s="880"/>
      <c r="CQ837" s="880"/>
      <c r="CR837" s="880"/>
      <c r="CS837" s="880"/>
      <c r="CT837" s="880"/>
      <c r="CU837" s="880"/>
      <c r="CV837" s="880"/>
      <c r="CW837" s="880"/>
      <c r="CX837" s="880"/>
      <c r="CY837" s="880"/>
      <c r="CZ837" s="880"/>
      <c r="DA837" s="880"/>
      <c r="DC837" s="12">
        <f t="shared" si="812"/>
        <v>0</v>
      </c>
      <c r="DD837" s="12">
        <f t="shared" si="822"/>
        <v>0</v>
      </c>
      <c r="DE837" s="12">
        <f t="shared" si="823"/>
        <v>0</v>
      </c>
      <c r="DF837" s="12">
        <f t="shared" si="813"/>
        <v>0</v>
      </c>
      <c r="DG837" s="12">
        <f t="shared" si="824"/>
        <v>0</v>
      </c>
      <c r="DH837" s="12">
        <f t="shared" si="825"/>
        <v>0</v>
      </c>
    </row>
    <row r="838" spans="2:112" hidden="1" outlineLevel="2">
      <c r="E838" s="720" t="s">
        <v>621</v>
      </c>
      <c r="I838" s="609" t="s">
        <v>736</v>
      </c>
      <c r="V838" s="705"/>
      <c r="W838" s="887"/>
      <c r="X838" s="887"/>
      <c r="Z838" s="609"/>
      <c r="AJ838" s="973"/>
      <c r="AK838" s="973"/>
      <c r="AM838" s="981"/>
      <c r="AN838" s="981"/>
      <c r="AO838" s="981"/>
      <c r="AP838" s="981"/>
      <c r="AQ838" s="981"/>
      <c r="AR838" s="981"/>
      <c r="AS838" s="982">
        <v>0</v>
      </c>
      <c r="AT838" s="982">
        <v>0</v>
      </c>
      <c r="AU838" s="982">
        <v>0</v>
      </c>
      <c r="AV838" s="982">
        <v>0</v>
      </c>
      <c r="AW838" s="982">
        <v>0</v>
      </c>
      <c r="AX838" s="982">
        <v>0</v>
      </c>
      <c r="AY838" s="982">
        <v>0</v>
      </c>
      <c r="AZ838" s="982">
        <v>0</v>
      </c>
      <c r="BA838" s="982">
        <v>0</v>
      </c>
      <c r="BB838" s="982">
        <v>0</v>
      </c>
      <c r="BC838" s="982">
        <v>0</v>
      </c>
      <c r="BD838" s="982">
        <v>0</v>
      </c>
      <c r="BE838" s="982">
        <v>0</v>
      </c>
      <c r="BF838" s="982">
        <v>0</v>
      </c>
      <c r="BG838" s="982">
        <v>0</v>
      </c>
      <c r="BH838" s="982">
        <v>0</v>
      </c>
      <c r="BI838" s="982">
        <v>0</v>
      </c>
      <c r="BJ838" s="982">
        <v>0</v>
      </c>
      <c r="BK838" s="982">
        <v>0</v>
      </c>
      <c r="BL838" s="982">
        <v>0</v>
      </c>
      <c r="BM838" s="982">
        <v>0</v>
      </c>
      <c r="BN838" s="982">
        <v>0</v>
      </c>
      <c r="BO838" s="982">
        <v>0</v>
      </c>
      <c r="BP838" s="982">
        <v>0</v>
      </c>
      <c r="BQ838" s="982">
        <v>0</v>
      </c>
      <c r="BR838" s="982">
        <v>0</v>
      </c>
      <c r="BS838" s="982">
        <v>0</v>
      </c>
      <c r="BT838" s="982">
        <v>0</v>
      </c>
      <c r="BU838" s="982">
        <v>0</v>
      </c>
      <c r="BV838" s="982">
        <v>0</v>
      </c>
      <c r="BW838" s="982">
        <v>0</v>
      </c>
      <c r="BX838" s="982">
        <v>0</v>
      </c>
      <c r="BY838" s="982">
        <v>0</v>
      </c>
      <c r="BZ838" s="982">
        <v>0</v>
      </c>
      <c r="CA838" s="982">
        <v>0</v>
      </c>
      <c r="CB838" s="982">
        <v>0</v>
      </c>
      <c r="CC838" s="982">
        <v>0</v>
      </c>
      <c r="CD838" s="982">
        <v>0</v>
      </c>
      <c r="CE838" s="982">
        <v>0</v>
      </c>
      <c r="CF838" s="982">
        <v>0</v>
      </c>
      <c r="CG838" s="982">
        <v>0</v>
      </c>
      <c r="CH838" s="982">
        <v>0</v>
      </c>
      <c r="CI838" s="982">
        <v>0</v>
      </c>
      <c r="CJ838" s="982">
        <v>0</v>
      </c>
      <c r="CK838" s="982">
        <v>0</v>
      </c>
      <c r="CL838" s="982">
        <v>0</v>
      </c>
      <c r="CM838" s="982">
        <v>0</v>
      </c>
      <c r="CN838" s="982">
        <v>0</v>
      </c>
      <c r="CO838" s="982">
        <v>0</v>
      </c>
      <c r="CP838" s="982"/>
      <c r="CQ838" s="982"/>
      <c r="CR838" s="982"/>
      <c r="CS838" s="982"/>
      <c r="CT838" s="982"/>
      <c r="CU838" s="982"/>
      <c r="CV838" s="982"/>
      <c r="CW838" s="982"/>
      <c r="CX838" s="982"/>
      <c r="CY838" s="982"/>
      <c r="CZ838" s="982"/>
      <c r="DA838" s="982"/>
      <c r="DC838" s="12">
        <f>SUM(V838:AG838)</f>
        <v>0</v>
      </c>
      <c r="DD838" s="12">
        <f>SUM(AH838:AS838)</f>
        <v>0</v>
      </c>
      <c r="DE838" s="12">
        <f>SUM(AT838:BE838)</f>
        <v>0</v>
      </c>
      <c r="DF838" s="12">
        <f>SUM(BF838:BQ838)</f>
        <v>0</v>
      </c>
      <c r="DG838" s="12">
        <f>SUM(BR838:CC838)</f>
        <v>0</v>
      </c>
      <c r="DH838" s="12">
        <f>SUM(CD838:CO838)</f>
        <v>0</v>
      </c>
    </row>
    <row r="839" spans="2:112" hidden="1" outlineLevel="2">
      <c r="E839" s="724" t="s">
        <v>701</v>
      </c>
      <c r="F839" s="705"/>
      <c r="G839" s="705"/>
      <c r="H839" s="975"/>
      <c r="I839" s="609" t="s">
        <v>736</v>
      </c>
      <c r="U839" s="705"/>
      <c r="Z839" s="609"/>
      <c r="AJ839" s="708"/>
      <c r="AK839" s="708"/>
      <c r="AL839" s="708"/>
      <c r="AM839" s="708"/>
      <c r="AN839" s="708"/>
      <c r="AO839" s="708"/>
      <c r="AP839" s="708"/>
      <c r="AQ839" s="708"/>
      <c r="AR839" s="708"/>
      <c r="AS839" s="708">
        <f t="shared" ref="AS839:CO839" si="826">SUM(AS840:AS847)</f>
        <v>0</v>
      </c>
      <c r="AT839" s="708">
        <f t="shared" si="826"/>
        <v>0</v>
      </c>
      <c r="AU839" s="708">
        <f t="shared" si="826"/>
        <v>0</v>
      </c>
      <c r="AV839" s="708">
        <f t="shared" si="826"/>
        <v>0</v>
      </c>
      <c r="AW839" s="708">
        <f t="shared" si="826"/>
        <v>0</v>
      </c>
      <c r="AX839" s="708">
        <f t="shared" si="826"/>
        <v>0</v>
      </c>
      <c r="AY839" s="708">
        <f t="shared" si="826"/>
        <v>0</v>
      </c>
      <c r="AZ839" s="708">
        <f t="shared" si="826"/>
        <v>0</v>
      </c>
      <c r="BA839" s="708">
        <f t="shared" si="826"/>
        <v>0</v>
      </c>
      <c r="BB839" s="708">
        <f t="shared" si="826"/>
        <v>0</v>
      </c>
      <c r="BC839" s="708">
        <f t="shared" si="826"/>
        <v>0</v>
      </c>
      <c r="BD839" s="708">
        <f t="shared" si="826"/>
        <v>0</v>
      </c>
      <c r="BE839" s="708">
        <f t="shared" si="826"/>
        <v>0</v>
      </c>
      <c r="BF839" s="708">
        <f t="shared" si="826"/>
        <v>0</v>
      </c>
      <c r="BG839" s="708">
        <f t="shared" si="826"/>
        <v>0</v>
      </c>
      <c r="BH839" s="708">
        <f t="shared" si="826"/>
        <v>0</v>
      </c>
      <c r="BI839" s="708">
        <f t="shared" si="826"/>
        <v>0</v>
      </c>
      <c r="BJ839" s="708">
        <f t="shared" si="826"/>
        <v>0</v>
      </c>
      <c r="BK839" s="708">
        <f t="shared" si="826"/>
        <v>0</v>
      </c>
      <c r="BL839" s="708">
        <f t="shared" si="826"/>
        <v>0</v>
      </c>
      <c r="BM839" s="708">
        <f t="shared" si="826"/>
        <v>0</v>
      </c>
      <c r="BN839" s="708">
        <f t="shared" si="826"/>
        <v>0</v>
      </c>
      <c r="BO839" s="708">
        <f t="shared" si="826"/>
        <v>0</v>
      </c>
      <c r="BP839" s="708">
        <f t="shared" si="826"/>
        <v>0</v>
      </c>
      <c r="BQ839" s="708">
        <f t="shared" si="826"/>
        <v>0</v>
      </c>
      <c r="BR839" s="708">
        <f t="shared" si="826"/>
        <v>0</v>
      </c>
      <c r="BS839" s="708">
        <f t="shared" si="826"/>
        <v>0</v>
      </c>
      <c r="BT839" s="708">
        <f t="shared" si="826"/>
        <v>0</v>
      </c>
      <c r="BU839" s="708">
        <f t="shared" si="826"/>
        <v>0</v>
      </c>
      <c r="BV839" s="708">
        <f t="shared" si="826"/>
        <v>0</v>
      </c>
      <c r="BW839" s="708">
        <f t="shared" si="826"/>
        <v>0</v>
      </c>
      <c r="BX839" s="708">
        <f t="shared" si="826"/>
        <v>0</v>
      </c>
      <c r="BY839" s="708">
        <f t="shared" si="826"/>
        <v>0</v>
      </c>
      <c r="BZ839" s="708">
        <f t="shared" si="826"/>
        <v>0</v>
      </c>
      <c r="CA839" s="708">
        <f t="shared" si="826"/>
        <v>0</v>
      </c>
      <c r="CB839" s="708">
        <f t="shared" si="826"/>
        <v>0</v>
      </c>
      <c r="CC839" s="708">
        <f t="shared" si="826"/>
        <v>0</v>
      </c>
      <c r="CD839" s="708">
        <f t="shared" si="826"/>
        <v>0</v>
      </c>
      <c r="CE839" s="708">
        <f t="shared" si="826"/>
        <v>0</v>
      </c>
      <c r="CF839" s="708">
        <f t="shared" si="826"/>
        <v>0</v>
      </c>
      <c r="CG839" s="708">
        <f t="shared" si="826"/>
        <v>0</v>
      </c>
      <c r="CH839" s="708">
        <f t="shared" si="826"/>
        <v>0</v>
      </c>
      <c r="CI839" s="708">
        <f t="shared" si="826"/>
        <v>0</v>
      </c>
      <c r="CJ839" s="708">
        <f t="shared" si="826"/>
        <v>0</v>
      </c>
      <c r="CK839" s="708">
        <f t="shared" si="826"/>
        <v>0</v>
      </c>
      <c r="CL839" s="708">
        <f t="shared" si="826"/>
        <v>0</v>
      </c>
      <c r="CM839" s="708">
        <f t="shared" si="826"/>
        <v>0</v>
      </c>
      <c r="CN839" s="708">
        <f t="shared" si="826"/>
        <v>0</v>
      </c>
      <c r="CO839" s="708">
        <f t="shared" si="826"/>
        <v>0</v>
      </c>
      <c r="CP839" s="708"/>
      <c r="CQ839" s="708"/>
      <c r="CR839" s="708"/>
      <c r="CS839" s="708"/>
      <c r="CT839" s="708"/>
      <c r="CU839" s="708"/>
      <c r="CV839" s="708"/>
      <c r="CW839" s="708"/>
      <c r="CX839" s="708"/>
      <c r="CY839" s="708"/>
      <c r="CZ839" s="708"/>
      <c r="DA839" s="708"/>
      <c r="DC839" s="14">
        <f t="shared" si="812"/>
        <v>0</v>
      </c>
      <c r="DD839" s="14">
        <f t="shared" si="822"/>
        <v>0</v>
      </c>
      <c r="DE839" s="14">
        <f t="shared" si="823"/>
        <v>0</v>
      </c>
      <c r="DF839" s="14">
        <f t="shared" si="813"/>
        <v>0</v>
      </c>
      <c r="DG839" s="14">
        <f t="shared" si="824"/>
        <v>0</v>
      </c>
      <c r="DH839" s="14">
        <f t="shared" si="825"/>
        <v>0</v>
      </c>
    </row>
    <row r="840" spans="2:112" hidden="1" outlineLevel="2">
      <c r="F840" s="126" t="s">
        <v>100</v>
      </c>
      <c r="I840" s="609" t="s">
        <v>736</v>
      </c>
      <c r="Z840" s="609"/>
      <c r="AJ840" s="710"/>
      <c r="AK840" s="710"/>
      <c r="AL840" s="710"/>
      <c r="AM840" s="710"/>
      <c r="AN840" s="710"/>
      <c r="AO840" s="710"/>
      <c r="AP840" s="710"/>
      <c r="AQ840" s="710"/>
      <c r="AR840" s="710"/>
      <c r="AS840" s="710">
        <v>0</v>
      </c>
      <c r="AT840" s="710">
        <v>0</v>
      </c>
      <c r="AU840" s="710">
        <v>0</v>
      </c>
      <c r="AV840" s="710">
        <v>0</v>
      </c>
      <c r="AW840" s="710">
        <v>0</v>
      </c>
      <c r="AX840" s="710">
        <v>0</v>
      </c>
      <c r="AY840" s="710">
        <v>0</v>
      </c>
      <c r="AZ840" s="710">
        <v>0</v>
      </c>
      <c r="BA840" s="710">
        <v>0</v>
      </c>
      <c r="BB840" s="710">
        <v>0</v>
      </c>
      <c r="BC840" s="710">
        <v>0</v>
      </c>
      <c r="BD840" s="710">
        <v>0</v>
      </c>
      <c r="BE840" s="710">
        <v>0</v>
      </c>
      <c r="BF840" s="710">
        <v>0</v>
      </c>
      <c r="BG840" s="710">
        <v>0</v>
      </c>
      <c r="BH840" s="710">
        <v>0</v>
      </c>
      <c r="BI840" s="710">
        <v>0</v>
      </c>
      <c r="BJ840" s="710">
        <v>0</v>
      </c>
      <c r="BK840" s="710">
        <v>0</v>
      </c>
      <c r="BL840" s="710">
        <v>0</v>
      </c>
      <c r="BM840" s="710">
        <v>0</v>
      </c>
      <c r="BN840" s="710">
        <v>0</v>
      </c>
      <c r="BO840" s="710">
        <v>0</v>
      </c>
      <c r="BP840" s="710">
        <v>0</v>
      </c>
      <c r="BQ840" s="710">
        <v>0</v>
      </c>
      <c r="BR840" s="710">
        <v>0</v>
      </c>
      <c r="BS840" s="710">
        <v>0</v>
      </c>
      <c r="BT840" s="710">
        <v>0</v>
      </c>
      <c r="BU840" s="710">
        <v>0</v>
      </c>
      <c r="BV840" s="710">
        <v>0</v>
      </c>
      <c r="BW840" s="710">
        <v>0</v>
      </c>
      <c r="BX840" s="710">
        <v>0</v>
      </c>
      <c r="BY840" s="710">
        <v>0</v>
      </c>
      <c r="BZ840" s="710">
        <v>0</v>
      </c>
      <c r="CA840" s="710">
        <v>0</v>
      </c>
      <c r="CB840" s="710">
        <v>0</v>
      </c>
      <c r="CC840" s="710">
        <v>0</v>
      </c>
      <c r="CD840" s="710">
        <v>0</v>
      </c>
      <c r="CE840" s="710">
        <v>0</v>
      </c>
      <c r="CF840" s="710">
        <v>0</v>
      </c>
      <c r="CG840" s="710">
        <v>0</v>
      </c>
      <c r="CH840" s="710">
        <v>0</v>
      </c>
      <c r="CI840" s="710">
        <v>0</v>
      </c>
      <c r="CJ840" s="710">
        <v>0</v>
      </c>
      <c r="CK840" s="710">
        <v>0</v>
      </c>
      <c r="CL840" s="710">
        <v>0</v>
      </c>
      <c r="CM840" s="710">
        <v>0</v>
      </c>
      <c r="CN840" s="710">
        <v>0</v>
      </c>
      <c r="CO840" s="710">
        <v>0</v>
      </c>
      <c r="CP840" s="710"/>
      <c r="CQ840" s="710"/>
      <c r="CR840" s="710"/>
      <c r="CS840" s="710"/>
      <c r="CT840" s="710"/>
      <c r="CU840" s="710"/>
      <c r="CV840" s="710"/>
      <c r="CW840" s="710"/>
      <c r="CX840" s="710"/>
      <c r="CY840" s="710"/>
      <c r="CZ840" s="710"/>
      <c r="DA840" s="710"/>
      <c r="DC840" s="12">
        <f>SUM(V840:AG840)</f>
        <v>0</v>
      </c>
      <c r="DD840" s="12">
        <f t="shared" si="822"/>
        <v>0</v>
      </c>
      <c r="DE840" s="12">
        <f t="shared" si="823"/>
        <v>0</v>
      </c>
      <c r="DF840" s="12">
        <f t="shared" ref="DF840:DF850" si="827">SUM(BF840:BQ840)</f>
        <v>0</v>
      </c>
      <c r="DG840" s="12">
        <f t="shared" si="824"/>
        <v>0</v>
      </c>
      <c r="DH840" s="12">
        <f t="shared" si="825"/>
        <v>0</v>
      </c>
    </row>
    <row r="841" spans="2:112" hidden="1" outlineLevel="2">
      <c r="F841" s="126" t="s">
        <v>107</v>
      </c>
      <c r="I841" s="609" t="s">
        <v>736</v>
      </c>
      <c r="Z841" s="609"/>
      <c r="AJ841" s="710"/>
      <c r="AK841" s="710"/>
      <c r="AL841" s="710"/>
      <c r="AM841" s="710"/>
      <c r="AN841" s="710"/>
      <c r="AO841" s="710"/>
      <c r="AP841" s="710"/>
      <c r="AQ841" s="710"/>
      <c r="AR841" s="710"/>
      <c r="AS841" s="710">
        <v>0</v>
      </c>
      <c r="AT841" s="710">
        <v>0</v>
      </c>
      <c r="AU841" s="710">
        <v>0</v>
      </c>
      <c r="AV841" s="710">
        <v>0</v>
      </c>
      <c r="AW841" s="710">
        <v>0</v>
      </c>
      <c r="AX841" s="710">
        <v>0</v>
      </c>
      <c r="AY841" s="710">
        <v>0</v>
      </c>
      <c r="AZ841" s="710">
        <v>0</v>
      </c>
      <c r="BA841" s="710">
        <v>0</v>
      </c>
      <c r="BB841" s="710">
        <v>0</v>
      </c>
      <c r="BC841" s="710">
        <v>0</v>
      </c>
      <c r="BD841" s="710">
        <v>0</v>
      </c>
      <c r="BE841" s="710">
        <v>0</v>
      </c>
      <c r="BF841" s="710">
        <v>0</v>
      </c>
      <c r="BG841" s="710">
        <v>0</v>
      </c>
      <c r="BH841" s="710">
        <v>0</v>
      </c>
      <c r="BI841" s="710">
        <v>0</v>
      </c>
      <c r="BJ841" s="710">
        <v>0</v>
      </c>
      <c r="BK841" s="710">
        <v>0</v>
      </c>
      <c r="BL841" s="710">
        <v>0</v>
      </c>
      <c r="BM841" s="710">
        <v>0</v>
      </c>
      <c r="BN841" s="710">
        <v>0</v>
      </c>
      <c r="BO841" s="710">
        <v>0</v>
      </c>
      <c r="BP841" s="710">
        <v>0</v>
      </c>
      <c r="BQ841" s="710">
        <v>0</v>
      </c>
      <c r="BR841" s="710">
        <v>0</v>
      </c>
      <c r="BS841" s="710">
        <v>0</v>
      </c>
      <c r="BT841" s="710">
        <v>0</v>
      </c>
      <c r="BU841" s="710">
        <v>0</v>
      </c>
      <c r="BV841" s="710">
        <v>0</v>
      </c>
      <c r="BW841" s="710">
        <v>0</v>
      </c>
      <c r="BX841" s="710">
        <v>0</v>
      </c>
      <c r="BY841" s="710">
        <v>0</v>
      </c>
      <c r="BZ841" s="710">
        <v>0</v>
      </c>
      <c r="CA841" s="710">
        <v>0</v>
      </c>
      <c r="CB841" s="710">
        <v>0</v>
      </c>
      <c r="CC841" s="710">
        <v>0</v>
      </c>
      <c r="CD841" s="710">
        <v>0</v>
      </c>
      <c r="CE841" s="710">
        <v>0</v>
      </c>
      <c r="CF841" s="710">
        <v>0</v>
      </c>
      <c r="CG841" s="710">
        <v>0</v>
      </c>
      <c r="CH841" s="710">
        <v>0</v>
      </c>
      <c r="CI841" s="710">
        <v>0</v>
      </c>
      <c r="CJ841" s="710">
        <v>0</v>
      </c>
      <c r="CK841" s="710">
        <v>0</v>
      </c>
      <c r="CL841" s="710">
        <v>0</v>
      </c>
      <c r="CM841" s="710">
        <v>0</v>
      </c>
      <c r="CN841" s="710">
        <v>0</v>
      </c>
      <c r="CO841" s="710">
        <v>0</v>
      </c>
      <c r="CP841" s="710"/>
      <c r="CQ841" s="710"/>
      <c r="CR841" s="710"/>
      <c r="CS841" s="710"/>
      <c r="CT841" s="710"/>
      <c r="CU841" s="710"/>
      <c r="CV841" s="710"/>
      <c r="CW841" s="710"/>
      <c r="CX841" s="710"/>
      <c r="CY841" s="710"/>
      <c r="CZ841" s="710"/>
      <c r="DA841" s="710"/>
      <c r="DC841" s="12">
        <f>SUM(V841:AG841)</f>
        <v>0</v>
      </c>
      <c r="DD841" s="12">
        <f t="shared" si="822"/>
        <v>0</v>
      </c>
      <c r="DE841" s="12">
        <f t="shared" si="823"/>
        <v>0</v>
      </c>
      <c r="DF841" s="12">
        <f t="shared" si="827"/>
        <v>0</v>
      </c>
      <c r="DG841" s="12">
        <f t="shared" si="824"/>
        <v>0</v>
      </c>
      <c r="DH841" s="12">
        <f t="shared" si="825"/>
        <v>0</v>
      </c>
    </row>
    <row r="842" spans="2:112" hidden="1" outlineLevel="2">
      <c r="F842" s="126" t="s">
        <v>806</v>
      </c>
      <c r="I842" s="609" t="s">
        <v>736</v>
      </c>
      <c r="Z842" s="609"/>
      <c r="AJ842" s="710"/>
      <c r="AK842" s="710"/>
      <c r="AL842" s="710"/>
      <c r="AM842" s="710"/>
      <c r="AN842" s="710"/>
      <c r="AO842" s="710"/>
      <c r="AP842" s="710"/>
      <c r="AQ842" s="710"/>
      <c r="AR842" s="710"/>
      <c r="AS842" s="710">
        <v>0</v>
      </c>
      <c r="AT842" s="710">
        <v>0</v>
      </c>
      <c r="AU842" s="710">
        <v>0</v>
      </c>
      <c r="AV842" s="710">
        <v>0</v>
      </c>
      <c r="AW842" s="710">
        <v>0</v>
      </c>
      <c r="AX842" s="710">
        <v>0</v>
      </c>
      <c r="AY842" s="710">
        <v>0</v>
      </c>
      <c r="AZ842" s="710">
        <v>0</v>
      </c>
      <c r="BA842" s="710">
        <v>0</v>
      </c>
      <c r="BB842" s="710">
        <v>0</v>
      </c>
      <c r="BC842" s="710">
        <v>0</v>
      </c>
      <c r="BD842" s="710">
        <v>0</v>
      </c>
      <c r="BE842" s="710">
        <v>0</v>
      </c>
      <c r="BF842" s="710">
        <v>0</v>
      </c>
      <c r="BG842" s="710">
        <v>0</v>
      </c>
      <c r="BH842" s="710">
        <v>0</v>
      </c>
      <c r="BI842" s="710">
        <v>0</v>
      </c>
      <c r="BJ842" s="710">
        <v>0</v>
      </c>
      <c r="BK842" s="710">
        <v>0</v>
      </c>
      <c r="BL842" s="710">
        <v>0</v>
      </c>
      <c r="BM842" s="710">
        <v>0</v>
      </c>
      <c r="BN842" s="710">
        <v>0</v>
      </c>
      <c r="BO842" s="710">
        <v>0</v>
      </c>
      <c r="BP842" s="710">
        <v>0</v>
      </c>
      <c r="BQ842" s="710">
        <v>0</v>
      </c>
      <c r="BR842" s="710">
        <v>0</v>
      </c>
      <c r="BS842" s="710">
        <v>0</v>
      </c>
      <c r="BT842" s="710">
        <v>0</v>
      </c>
      <c r="BU842" s="710">
        <v>0</v>
      </c>
      <c r="BV842" s="710">
        <v>0</v>
      </c>
      <c r="BW842" s="710">
        <v>0</v>
      </c>
      <c r="BX842" s="710">
        <v>0</v>
      </c>
      <c r="BY842" s="710">
        <v>0</v>
      </c>
      <c r="BZ842" s="710">
        <v>0</v>
      </c>
      <c r="CA842" s="710">
        <v>0</v>
      </c>
      <c r="CB842" s="710">
        <v>0</v>
      </c>
      <c r="CC842" s="710">
        <v>0</v>
      </c>
      <c r="CD842" s="710">
        <v>0</v>
      </c>
      <c r="CE842" s="710">
        <v>0</v>
      </c>
      <c r="CF842" s="710">
        <v>0</v>
      </c>
      <c r="CG842" s="710">
        <v>0</v>
      </c>
      <c r="CH842" s="710">
        <v>0</v>
      </c>
      <c r="CI842" s="710">
        <v>0</v>
      </c>
      <c r="CJ842" s="710">
        <v>0</v>
      </c>
      <c r="CK842" s="710">
        <v>0</v>
      </c>
      <c r="CL842" s="710">
        <v>0</v>
      </c>
      <c r="CM842" s="710">
        <v>0</v>
      </c>
      <c r="CN842" s="710">
        <v>0</v>
      </c>
      <c r="CO842" s="710">
        <v>0</v>
      </c>
      <c r="CP842" s="710"/>
      <c r="CQ842" s="710"/>
      <c r="CR842" s="710"/>
      <c r="CS842" s="710"/>
      <c r="CT842" s="710"/>
      <c r="CU842" s="710"/>
      <c r="CV842" s="710"/>
      <c r="CW842" s="710"/>
      <c r="CX842" s="710"/>
      <c r="CY842" s="710"/>
      <c r="CZ842" s="710"/>
      <c r="DA842" s="710"/>
      <c r="DC842" s="12">
        <f>SUM(V842:AG842)</f>
        <v>0</v>
      </c>
      <c r="DD842" s="12">
        <f t="shared" si="822"/>
        <v>0</v>
      </c>
      <c r="DE842" s="12">
        <f t="shared" si="823"/>
        <v>0</v>
      </c>
      <c r="DF842" s="12">
        <f t="shared" si="827"/>
        <v>0</v>
      </c>
      <c r="DG842" s="12">
        <f t="shared" si="824"/>
        <v>0</v>
      </c>
      <c r="DH842" s="12">
        <f t="shared" si="825"/>
        <v>0</v>
      </c>
    </row>
    <row r="843" spans="2:112" hidden="1" outlineLevel="2">
      <c r="F843" s="126" t="s">
        <v>807</v>
      </c>
      <c r="I843" s="609" t="s">
        <v>736</v>
      </c>
      <c r="Z843" s="609"/>
      <c r="AJ843" s="710"/>
      <c r="AK843" s="710"/>
      <c r="AL843" s="710"/>
      <c r="AM843" s="710"/>
      <c r="AN843" s="710"/>
      <c r="AO843" s="710"/>
      <c r="AP843" s="710"/>
      <c r="AQ843" s="710"/>
      <c r="AR843" s="710"/>
      <c r="AS843" s="710"/>
      <c r="AT843" s="710"/>
      <c r="AU843" s="710"/>
      <c r="AV843" s="710"/>
      <c r="AW843" s="710"/>
      <c r="AX843" s="710"/>
      <c r="AY843" s="710"/>
      <c r="AZ843" s="710"/>
      <c r="BA843" s="710"/>
      <c r="BB843" s="710"/>
      <c r="BC843" s="710"/>
      <c r="BD843" s="710"/>
      <c r="BE843" s="710"/>
      <c r="BF843" s="710"/>
      <c r="BG843" s="710"/>
      <c r="BH843" s="710"/>
      <c r="BI843" s="710"/>
      <c r="BJ843" s="710"/>
      <c r="BK843" s="710"/>
      <c r="BL843" s="710"/>
      <c r="BM843" s="710"/>
      <c r="BN843" s="710"/>
      <c r="BO843" s="710"/>
      <c r="BP843" s="710"/>
      <c r="BQ843" s="710"/>
      <c r="BR843" s="710"/>
      <c r="BS843" s="710"/>
      <c r="BT843" s="710"/>
      <c r="BU843" s="710"/>
      <c r="BV843" s="710"/>
      <c r="BW843" s="710"/>
      <c r="BX843" s="710"/>
      <c r="BY843" s="710"/>
      <c r="BZ843" s="710"/>
      <c r="CA843" s="710"/>
      <c r="CB843" s="710"/>
      <c r="CC843" s="710"/>
      <c r="CD843" s="710"/>
      <c r="CE843" s="710"/>
      <c r="CF843" s="710"/>
      <c r="CG843" s="710"/>
      <c r="CH843" s="710"/>
      <c r="CI843" s="710"/>
      <c r="CJ843" s="710"/>
      <c r="CK843" s="710"/>
      <c r="CL843" s="710"/>
      <c r="CM843" s="710"/>
      <c r="CN843" s="710"/>
      <c r="CO843" s="710"/>
      <c r="CP843" s="710"/>
      <c r="CQ843" s="710"/>
      <c r="CR843" s="710"/>
      <c r="CS843" s="710"/>
      <c r="CT843" s="710"/>
      <c r="CU843" s="710"/>
      <c r="CV843" s="710"/>
      <c r="CW843" s="710"/>
      <c r="CX843" s="710"/>
      <c r="CY843" s="710"/>
      <c r="CZ843" s="710"/>
      <c r="DA843" s="710"/>
      <c r="DC843" s="12">
        <f>SUM(V843:AG843)</f>
        <v>0</v>
      </c>
      <c r="DD843" s="12">
        <f t="shared" si="822"/>
        <v>0</v>
      </c>
      <c r="DE843" s="12">
        <f t="shared" si="823"/>
        <v>0</v>
      </c>
      <c r="DF843" s="12">
        <f t="shared" si="827"/>
        <v>0</v>
      </c>
      <c r="DG843" s="12">
        <f t="shared" si="824"/>
        <v>0</v>
      </c>
      <c r="DH843" s="12">
        <f t="shared" si="825"/>
        <v>0</v>
      </c>
    </row>
    <row r="844" spans="2:112" hidden="1" outlineLevel="2">
      <c r="F844" s="126" t="s">
        <v>703</v>
      </c>
      <c r="I844" s="609" t="s">
        <v>736</v>
      </c>
      <c r="Z844" s="609"/>
      <c r="AJ844" s="710"/>
      <c r="AK844" s="710"/>
      <c r="AL844" s="710"/>
      <c r="AM844" s="710"/>
      <c r="AN844" s="710"/>
      <c r="AO844" s="710"/>
      <c r="AP844" s="710"/>
      <c r="AQ844" s="710"/>
      <c r="AR844" s="710"/>
      <c r="AS844" s="710"/>
      <c r="AT844" s="710"/>
      <c r="AU844" s="710"/>
      <c r="AV844" s="710"/>
      <c r="AW844" s="710"/>
      <c r="AX844" s="710"/>
      <c r="AY844" s="710"/>
      <c r="AZ844" s="710"/>
      <c r="BA844" s="710"/>
      <c r="BB844" s="710"/>
      <c r="BC844" s="710"/>
      <c r="BD844" s="710"/>
      <c r="BE844" s="710"/>
      <c r="BF844" s="710"/>
      <c r="BG844" s="710"/>
      <c r="BH844" s="710"/>
      <c r="BI844" s="710"/>
      <c r="BJ844" s="710"/>
      <c r="BK844" s="710"/>
      <c r="BL844" s="710"/>
      <c r="BM844" s="710"/>
      <c r="BN844" s="710"/>
      <c r="BO844" s="710"/>
      <c r="BP844" s="710"/>
      <c r="BQ844" s="710"/>
      <c r="BR844" s="710"/>
      <c r="BS844" s="710"/>
      <c r="BT844" s="710"/>
      <c r="BU844" s="710"/>
      <c r="BV844" s="710"/>
      <c r="BW844" s="710"/>
      <c r="BX844" s="710"/>
      <c r="BY844" s="710"/>
      <c r="BZ844" s="710"/>
      <c r="CA844" s="710"/>
      <c r="CB844" s="710"/>
      <c r="CC844" s="710"/>
      <c r="CD844" s="710"/>
      <c r="CE844" s="710"/>
      <c r="CF844" s="710"/>
      <c r="CG844" s="710"/>
      <c r="CH844" s="710"/>
      <c r="CI844" s="710"/>
      <c r="CJ844" s="710"/>
      <c r="CK844" s="710"/>
      <c r="CL844" s="710"/>
      <c r="CM844" s="710"/>
      <c r="CN844" s="710"/>
      <c r="CO844" s="710"/>
      <c r="CP844" s="710"/>
      <c r="CQ844" s="710"/>
      <c r="CR844" s="710"/>
      <c r="CS844" s="710"/>
      <c r="CT844" s="710"/>
      <c r="CU844" s="710"/>
      <c r="CV844" s="710"/>
      <c r="CW844" s="710"/>
      <c r="CX844" s="710"/>
      <c r="CY844" s="710"/>
      <c r="CZ844" s="710"/>
      <c r="DA844" s="710"/>
      <c r="DC844" s="12">
        <f t="shared" ref="DC844:DC850" si="828">SUM(V844:AG844)</f>
        <v>0</v>
      </c>
      <c r="DD844" s="14">
        <f t="shared" si="822"/>
        <v>0</v>
      </c>
      <c r="DE844" s="14">
        <f t="shared" si="823"/>
        <v>0</v>
      </c>
      <c r="DF844" s="14">
        <f t="shared" si="827"/>
        <v>0</v>
      </c>
      <c r="DG844" s="14">
        <f t="shared" si="824"/>
        <v>0</v>
      </c>
      <c r="DH844" s="14">
        <f t="shared" si="825"/>
        <v>0</v>
      </c>
    </row>
    <row r="845" spans="2:112" hidden="1" outlineLevel="2">
      <c r="F845" s="126" t="s">
        <v>163</v>
      </c>
      <c r="I845" s="609" t="s">
        <v>736</v>
      </c>
      <c r="Z845" s="609"/>
      <c r="AJ845" s="710"/>
      <c r="AK845" s="710"/>
      <c r="AL845" s="710"/>
      <c r="AM845" s="710"/>
      <c r="AN845" s="710"/>
      <c r="AO845" s="710"/>
      <c r="AP845" s="710"/>
      <c r="AQ845" s="710"/>
      <c r="AR845" s="710"/>
      <c r="AS845" s="710"/>
      <c r="AT845" s="710"/>
      <c r="AU845" s="710"/>
      <c r="AV845" s="710"/>
      <c r="AW845" s="710"/>
      <c r="AX845" s="710"/>
      <c r="AY845" s="710"/>
      <c r="AZ845" s="710"/>
      <c r="BA845" s="710"/>
      <c r="BB845" s="710"/>
      <c r="BC845" s="710"/>
      <c r="BD845" s="710"/>
      <c r="BE845" s="710"/>
      <c r="BF845" s="710"/>
      <c r="BG845" s="710"/>
      <c r="BH845" s="710"/>
      <c r="BI845" s="710"/>
      <c r="BJ845" s="710"/>
      <c r="BK845" s="710"/>
      <c r="BL845" s="710"/>
      <c r="BM845" s="710"/>
      <c r="BN845" s="710"/>
      <c r="BO845" s="710"/>
      <c r="BP845" s="710"/>
      <c r="BQ845" s="710"/>
      <c r="BR845" s="710"/>
      <c r="BS845" s="710"/>
      <c r="BT845" s="710"/>
      <c r="BU845" s="710"/>
      <c r="BV845" s="710"/>
      <c r="BW845" s="710"/>
      <c r="BX845" s="710"/>
      <c r="BY845" s="710"/>
      <c r="BZ845" s="710"/>
      <c r="CA845" s="710"/>
      <c r="CB845" s="710"/>
      <c r="CC845" s="710"/>
      <c r="CD845" s="710"/>
      <c r="CE845" s="710"/>
      <c r="CF845" s="710"/>
      <c r="CG845" s="710"/>
      <c r="CH845" s="710"/>
      <c r="CI845" s="710"/>
      <c r="CJ845" s="710"/>
      <c r="CK845" s="710"/>
      <c r="CL845" s="710"/>
      <c r="CM845" s="710"/>
      <c r="CN845" s="710"/>
      <c r="CO845" s="710"/>
      <c r="CP845" s="710"/>
      <c r="CQ845" s="710"/>
      <c r="CR845" s="710"/>
      <c r="CS845" s="710"/>
      <c r="CT845" s="710"/>
      <c r="CU845" s="710"/>
      <c r="CV845" s="710"/>
      <c r="CW845" s="710"/>
      <c r="CX845" s="710"/>
      <c r="CY845" s="710"/>
      <c r="CZ845" s="710"/>
      <c r="DA845" s="710"/>
      <c r="DC845" s="12">
        <f t="shared" si="828"/>
        <v>0</v>
      </c>
      <c r="DD845" s="12">
        <f t="shared" si="822"/>
        <v>0</v>
      </c>
      <c r="DE845" s="12">
        <f t="shared" si="823"/>
        <v>0</v>
      </c>
      <c r="DF845" s="12">
        <f t="shared" si="827"/>
        <v>0</v>
      </c>
      <c r="DG845" s="12">
        <f t="shared" si="824"/>
        <v>0</v>
      </c>
      <c r="DH845" s="12">
        <f t="shared" si="825"/>
        <v>0</v>
      </c>
    </row>
    <row r="846" spans="2:112" hidden="1" outlineLevel="2">
      <c r="F846" s="126" t="s">
        <v>144</v>
      </c>
      <c r="H846" s="727"/>
      <c r="I846" s="609" t="s">
        <v>736</v>
      </c>
      <c r="Z846" s="609"/>
      <c r="AJ846" s="710"/>
      <c r="AK846" s="710"/>
      <c r="AL846" s="710"/>
      <c r="AM846" s="710"/>
      <c r="AN846" s="710"/>
      <c r="AO846" s="710"/>
      <c r="AP846" s="710"/>
      <c r="AQ846" s="710"/>
      <c r="AR846" s="710"/>
      <c r="AS846" s="710"/>
      <c r="AT846" s="710"/>
      <c r="AU846" s="710"/>
      <c r="AV846" s="710"/>
      <c r="AW846" s="710"/>
      <c r="AX846" s="710"/>
      <c r="AY846" s="710"/>
      <c r="AZ846" s="710"/>
      <c r="BA846" s="710"/>
      <c r="BB846" s="710"/>
      <c r="BC846" s="710"/>
      <c r="BD846" s="710"/>
      <c r="BE846" s="710"/>
      <c r="BF846" s="710"/>
      <c r="BG846" s="710"/>
      <c r="BH846" s="710"/>
      <c r="BI846" s="710"/>
      <c r="BJ846" s="710"/>
      <c r="BK846" s="710"/>
      <c r="BL846" s="710"/>
      <c r="BM846" s="710"/>
      <c r="BN846" s="710"/>
      <c r="BO846" s="710"/>
      <c r="BP846" s="710"/>
      <c r="BQ846" s="710"/>
      <c r="BR846" s="710"/>
      <c r="BS846" s="710"/>
      <c r="BT846" s="710"/>
      <c r="BU846" s="710"/>
      <c r="BV846" s="710"/>
      <c r="BW846" s="710"/>
      <c r="BX846" s="710"/>
      <c r="BY846" s="710"/>
      <c r="BZ846" s="710"/>
      <c r="CA846" s="710"/>
      <c r="CB846" s="710"/>
      <c r="CC846" s="710"/>
      <c r="CD846" s="710"/>
      <c r="CE846" s="710"/>
      <c r="CF846" s="710"/>
      <c r="CG846" s="710"/>
      <c r="CH846" s="710"/>
      <c r="CI846" s="710"/>
      <c r="CJ846" s="710"/>
      <c r="CK846" s="710"/>
      <c r="CL846" s="710"/>
      <c r="CM846" s="710"/>
      <c r="CN846" s="710"/>
      <c r="CO846" s="710"/>
      <c r="CP846" s="710"/>
      <c r="CQ846" s="710"/>
      <c r="CR846" s="710"/>
      <c r="CS846" s="710"/>
      <c r="CT846" s="710"/>
      <c r="CU846" s="710"/>
      <c r="CV846" s="710"/>
      <c r="CW846" s="710"/>
      <c r="CX846" s="710"/>
      <c r="CY846" s="710"/>
      <c r="CZ846" s="710"/>
      <c r="DA846" s="710"/>
      <c r="DC846" s="12"/>
      <c r="DD846" s="12"/>
      <c r="DE846" s="12"/>
      <c r="DF846" s="12"/>
      <c r="DG846" s="12"/>
      <c r="DH846" s="12"/>
    </row>
    <row r="847" spans="2:112" s="698" customFormat="1" hidden="1" outlineLevel="2">
      <c r="B847" s="126"/>
      <c r="F847" s="698" t="s">
        <v>808</v>
      </c>
      <c r="H847" s="703"/>
      <c r="I847" s="609" t="s">
        <v>736</v>
      </c>
      <c r="J847" s="703"/>
      <c r="K847" s="703"/>
      <c r="L847" s="703"/>
      <c r="M847" s="703"/>
      <c r="V847" s="708"/>
      <c r="W847" s="708"/>
      <c r="X847" s="705"/>
      <c r="Y847" s="705"/>
      <c r="Z847" s="975"/>
      <c r="AJ847" s="972"/>
      <c r="AK847" s="972"/>
      <c r="AL847" s="972"/>
      <c r="AM847" s="972"/>
      <c r="AN847" s="972"/>
      <c r="AO847" s="972"/>
      <c r="AP847" s="972"/>
      <c r="AQ847" s="972"/>
      <c r="AR847" s="972"/>
      <c r="AS847" s="972">
        <v>0</v>
      </c>
      <c r="AT847" s="972">
        <v>0</v>
      </c>
      <c r="AU847" s="972">
        <v>0</v>
      </c>
      <c r="AV847" s="972">
        <v>0</v>
      </c>
      <c r="AW847" s="972">
        <v>0</v>
      </c>
      <c r="AX847" s="972">
        <v>0</v>
      </c>
      <c r="AY847" s="972">
        <v>0</v>
      </c>
      <c r="AZ847" s="972">
        <v>0</v>
      </c>
      <c r="BA847" s="972">
        <v>0</v>
      </c>
      <c r="BB847" s="972">
        <v>0</v>
      </c>
      <c r="BC847" s="972">
        <v>0</v>
      </c>
      <c r="BD847" s="972">
        <v>0</v>
      </c>
      <c r="BE847" s="972">
        <v>0</v>
      </c>
      <c r="BF847" s="972">
        <v>0</v>
      </c>
      <c r="BG847" s="972">
        <v>0</v>
      </c>
      <c r="BH847" s="972">
        <v>0</v>
      </c>
      <c r="BI847" s="972">
        <v>0</v>
      </c>
      <c r="BJ847" s="972">
        <v>0</v>
      </c>
      <c r="BK847" s="972">
        <v>0</v>
      </c>
      <c r="BL847" s="972">
        <v>0</v>
      </c>
      <c r="BM847" s="972">
        <v>0</v>
      </c>
      <c r="BN847" s="972">
        <v>0</v>
      </c>
      <c r="BO847" s="972">
        <v>0</v>
      </c>
      <c r="BP847" s="972">
        <v>0</v>
      </c>
      <c r="BQ847" s="972">
        <v>0</v>
      </c>
      <c r="BR847" s="972">
        <v>0</v>
      </c>
      <c r="BS847" s="972">
        <v>0</v>
      </c>
      <c r="BT847" s="972">
        <v>0</v>
      </c>
      <c r="BU847" s="972">
        <v>0</v>
      </c>
      <c r="BV847" s="972">
        <v>0</v>
      </c>
      <c r="BW847" s="972">
        <v>0</v>
      </c>
      <c r="BX847" s="972">
        <v>0</v>
      </c>
      <c r="BY847" s="972">
        <v>0</v>
      </c>
      <c r="BZ847" s="972">
        <v>0</v>
      </c>
      <c r="CA847" s="972">
        <v>0</v>
      </c>
      <c r="CB847" s="972">
        <v>0</v>
      </c>
      <c r="CC847" s="972">
        <v>0</v>
      </c>
      <c r="CD847" s="972">
        <v>0</v>
      </c>
      <c r="CE847" s="972">
        <v>0</v>
      </c>
      <c r="CF847" s="972">
        <v>0</v>
      </c>
      <c r="CG847" s="972">
        <v>0</v>
      </c>
      <c r="CH847" s="972">
        <v>0</v>
      </c>
      <c r="CI847" s="972">
        <v>0</v>
      </c>
      <c r="CJ847" s="972">
        <v>0</v>
      </c>
      <c r="CK847" s="972">
        <v>0</v>
      </c>
      <c r="CL847" s="972">
        <v>0</v>
      </c>
      <c r="CM847" s="972">
        <v>0</v>
      </c>
      <c r="CN847" s="972">
        <v>0</v>
      </c>
      <c r="CO847" s="972">
        <v>0</v>
      </c>
      <c r="CP847" s="972"/>
      <c r="CQ847" s="972"/>
      <c r="CR847" s="972"/>
      <c r="CS847" s="972"/>
      <c r="CT847" s="972"/>
      <c r="CU847" s="972"/>
      <c r="CV847" s="972"/>
      <c r="CW847" s="972"/>
      <c r="CX847" s="972"/>
      <c r="CY847" s="972"/>
      <c r="CZ847" s="972"/>
      <c r="DA847" s="972"/>
      <c r="DC847" s="14">
        <f t="shared" si="828"/>
        <v>0</v>
      </c>
      <c r="DD847" s="14">
        <f t="shared" si="822"/>
        <v>0</v>
      </c>
      <c r="DE847" s="14">
        <f t="shared" si="823"/>
        <v>0</v>
      </c>
      <c r="DF847" s="14">
        <f t="shared" si="827"/>
        <v>0</v>
      </c>
      <c r="DG847" s="14">
        <f t="shared" si="824"/>
        <v>0</v>
      </c>
      <c r="DH847" s="14">
        <f t="shared" si="825"/>
        <v>0</v>
      </c>
    </row>
    <row r="848" spans="2:112" s="698" customFormat="1" hidden="1" outlineLevel="2">
      <c r="B848" s="126"/>
      <c r="G848" s="126" t="s">
        <v>827</v>
      </c>
      <c r="H848" s="609"/>
      <c r="I848" s="609" t="s">
        <v>736</v>
      </c>
      <c r="J848" s="703"/>
      <c r="K848" s="703"/>
      <c r="L848" s="703"/>
      <c r="M848" s="703"/>
      <c r="V848" s="708"/>
      <c r="W848" s="708"/>
      <c r="X848" s="705"/>
      <c r="Y848" s="705"/>
      <c r="Z848" s="975"/>
      <c r="AJ848" s="972"/>
      <c r="AK848" s="972"/>
      <c r="AL848" s="972"/>
      <c r="AM848" s="880"/>
      <c r="AN848" s="880"/>
      <c r="AO848" s="880"/>
      <c r="AP848" s="880"/>
      <c r="AQ848" s="880"/>
      <c r="AR848" s="880"/>
      <c r="AS848" s="880">
        <v>0</v>
      </c>
      <c r="AT848" s="880">
        <v>0</v>
      </c>
      <c r="AU848" s="880">
        <v>0</v>
      </c>
      <c r="AV848" s="880">
        <v>0</v>
      </c>
      <c r="AW848" s="880">
        <v>0</v>
      </c>
      <c r="AX848" s="880">
        <v>0</v>
      </c>
      <c r="AY848" s="880">
        <v>0</v>
      </c>
      <c r="AZ848" s="880">
        <v>0</v>
      </c>
      <c r="BA848" s="880">
        <v>0</v>
      </c>
      <c r="BB848" s="880">
        <v>0</v>
      </c>
      <c r="BC848" s="880">
        <v>0</v>
      </c>
      <c r="BD848" s="880">
        <v>0</v>
      </c>
      <c r="BE848" s="880">
        <v>0</v>
      </c>
      <c r="BF848" s="880">
        <v>0</v>
      </c>
      <c r="BG848" s="880">
        <v>0</v>
      </c>
      <c r="BH848" s="880">
        <v>0</v>
      </c>
      <c r="BI848" s="880">
        <v>0</v>
      </c>
      <c r="BJ848" s="880">
        <v>0</v>
      </c>
      <c r="BK848" s="880">
        <v>0</v>
      </c>
      <c r="BL848" s="880">
        <v>0</v>
      </c>
      <c r="BM848" s="880">
        <v>0</v>
      </c>
      <c r="BN848" s="880">
        <v>0</v>
      </c>
      <c r="BO848" s="880">
        <v>0</v>
      </c>
      <c r="BP848" s="880">
        <v>0</v>
      </c>
      <c r="BQ848" s="880">
        <v>0</v>
      </c>
      <c r="BR848" s="880">
        <v>0</v>
      </c>
      <c r="BS848" s="880">
        <v>0</v>
      </c>
      <c r="BT848" s="880">
        <v>0</v>
      </c>
      <c r="BU848" s="880">
        <v>0</v>
      </c>
      <c r="BV848" s="880">
        <v>0</v>
      </c>
      <c r="BW848" s="880">
        <v>0</v>
      </c>
      <c r="BX848" s="880">
        <v>0</v>
      </c>
      <c r="BY848" s="880">
        <v>0</v>
      </c>
      <c r="BZ848" s="880">
        <v>0</v>
      </c>
      <c r="CA848" s="880">
        <v>0</v>
      </c>
      <c r="CB848" s="880">
        <v>0</v>
      </c>
      <c r="CC848" s="880">
        <v>0</v>
      </c>
      <c r="CD848" s="880">
        <v>0</v>
      </c>
      <c r="CE848" s="880">
        <v>0</v>
      </c>
      <c r="CF848" s="880">
        <v>0</v>
      </c>
      <c r="CG848" s="880">
        <v>0</v>
      </c>
      <c r="CH848" s="880">
        <v>0</v>
      </c>
      <c r="CI848" s="880">
        <v>0</v>
      </c>
      <c r="CJ848" s="880">
        <v>0</v>
      </c>
      <c r="CK848" s="880">
        <v>0</v>
      </c>
      <c r="CL848" s="880">
        <v>0</v>
      </c>
      <c r="CM848" s="880">
        <v>0</v>
      </c>
      <c r="CN848" s="880">
        <v>0</v>
      </c>
      <c r="CO848" s="880">
        <v>0</v>
      </c>
      <c r="CP848" s="880"/>
      <c r="CQ848" s="880"/>
      <c r="CR848" s="880"/>
      <c r="CS848" s="880"/>
      <c r="CT848" s="880"/>
      <c r="CU848" s="880"/>
      <c r="CV848" s="880"/>
      <c r="CW848" s="880"/>
      <c r="CX848" s="880"/>
      <c r="CY848" s="880"/>
      <c r="CZ848" s="880"/>
      <c r="DA848" s="880"/>
      <c r="DC848" s="12">
        <f t="shared" si="828"/>
        <v>0</v>
      </c>
      <c r="DD848" s="12">
        <f t="shared" si="822"/>
        <v>0</v>
      </c>
      <c r="DE848" s="12">
        <f t="shared" si="823"/>
        <v>0</v>
      </c>
      <c r="DF848" s="12">
        <f t="shared" si="827"/>
        <v>0</v>
      </c>
      <c r="DG848" s="12">
        <f t="shared" si="824"/>
        <v>0</v>
      </c>
      <c r="DH848" s="12">
        <f t="shared" si="825"/>
        <v>0</v>
      </c>
    </row>
    <row r="849" spans="1:112" s="698" customFormat="1" hidden="1" outlineLevel="2">
      <c r="B849" s="126"/>
      <c r="G849" s="126" t="s">
        <v>828</v>
      </c>
      <c r="H849" s="609"/>
      <c r="I849" s="609" t="s">
        <v>736</v>
      </c>
      <c r="J849" s="703"/>
      <c r="K849" s="703"/>
      <c r="L849" s="703"/>
      <c r="M849" s="703"/>
      <c r="V849" s="708"/>
      <c r="W849" s="708"/>
      <c r="X849" s="705"/>
      <c r="Y849" s="705"/>
      <c r="Z849" s="975"/>
      <c r="AJ849" s="972"/>
      <c r="AK849" s="972"/>
      <c r="AL849" s="972"/>
      <c r="AM849" s="880"/>
      <c r="AN849" s="880"/>
      <c r="AO849" s="880"/>
      <c r="AP849" s="880"/>
      <c r="AQ849" s="880"/>
      <c r="AR849" s="880"/>
      <c r="AS849" s="880">
        <v>0</v>
      </c>
      <c r="AT849" s="880">
        <v>0</v>
      </c>
      <c r="AU849" s="880">
        <v>0</v>
      </c>
      <c r="AV849" s="880">
        <v>0</v>
      </c>
      <c r="AW849" s="880">
        <v>0</v>
      </c>
      <c r="AX849" s="880">
        <v>0</v>
      </c>
      <c r="AY849" s="880">
        <v>0</v>
      </c>
      <c r="AZ849" s="880">
        <v>0</v>
      </c>
      <c r="BA849" s="880">
        <v>0</v>
      </c>
      <c r="BB849" s="880">
        <v>0</v>
      </c>
      <c r="BC849" s="880">
        <v>0</v>
      </c>
      <c r="BD849" s="880">
        <v>0</v>
      </c>
      <c r="BE849" s="880">
        <v>0</v>
      </c>
      <c r="BF849" s="880">
        <v>0</v>
      </c>
      <c r="BG849" s="880">
        <v>0</v>
      </c>
      <c r="BH849" s="880">
        <v>0</v>
      </c>
      <c r="BI849" s="880">
        <v>0</v>
      </c>
      <c r="BJ849" s="880">
        <v>0</v>
      </c>
      <c r="BK849" s="880">
        <v>0</v>
      </c>
      <c r="BL849" s="880">
        <v>0</v>
      </c>
      <c r="BM849" s="880">
        <v>0</v>
      </c>
      <c r="BN849" s="880">
        <v>0</v>
      </c>
      <c r="BO849" s="880">
        <v>0</v>
      </c>
      <c r="BP849" s="880">
        <v>0</v>
      </c>
      <c r="BQ849" s="880">
        <v>0</v>
      </c>
      <c r="BR849" s="880">
        <v>0</v>
      </c>
      <c r="BS849" s="880">
        <v>0</v>
      </c>
      <c r="BT849" s="880">
        <v>0</v>
      </c>
      <c r="BU849" s="880">
        <v>0</v>
      </c>
      <c r="BV849" s="880">
        <v>0</v>
      </c>
      <c r="BW849" s="880">
        <v>0</v>
      </c>
      <c r="BX849" s="880">
        <v>0</v>
      </c>
      <c r="BY849" s="880">
        <v>0</v>
      </c>
      <c r="BZ849" s="880">
        <v>0</v>
      </c>
      <c r="CA849" s="880">
        <v>0</v>
      </c>
      <c r="CB849" s="880">
        <v>0</v>
      </c>
      <c r="CC849" s="880">
        <v>0</v>
      </c>
      <c r="CD849" s="880">
        <v>0</v>
      </c>
      <c r="CE849" s="880">
        <v>0</v>
      </c>
      <c r="CF849" s="880">
        <v>0</v>
      </c>
      <c r="CG849" s="880">
        <v>0</v>
      </c>
      <c r="CH849" s="880">
        <v>0</v>
      </c>
      <c r="CI849" s="880">
        <v>0</v>
      </c>
      <c r="CJ849" s="880">
        <v>0</v>
      </c>
      <c r="CK849" s="880">
        <v>0</v>
      </c>
      <c r="CL849" s="880">
        <v>0</v>
      </c>
      <c r="CM849" s="880">
        <v>0</v>
      </c>
      <c r="CN849" s="880">
        <v>0</v>
      </c>
      <c r="CO849" s="880">
        <v>0</v>
      </c>
      <c r="CP849" s="880"/>
      <c r="CQ849" s="880"/>
      <c r="CR849" s="880"/>
      <c r="CS849" s="880"/>
      <c r="CT849" s="880"/>
      <c r="CU849" s="880"/>
      <c r="CV849" s="880"/>
      <c r="CW849" s="880"/>
      <c r="CX849" s="880"/>
      <c r="CY849" s="880"/>
      <c r="CZ849" s="880"/>
      <c r="DA849" s="880"/>
      <c r="DC849" s="14">
        <f t="shared" si="828"/>
        <v>0</v>
      </c>
      <c r="DD849" s="12">
        <f t="shared" si="822"/>
        <v>0</v>
      </c>
      <c r="DE849" s="12">
        <f t="shared" si="823"/>
        <v>0</v>
      </c>
      <c r="DF849" s="12">
        <f t="shared" si="827"/>
        <v>0</v>
      </c>
      <c r="DG849" s="12">
        <f t="shared" si="824"/>
        <v>0</v>
      </c>
      <c r="DH849" s="12">
        <f t="shared" si="825"/>
        <v>0</v>
      </c>
    </row>
    <row r="850" spans="1:112" hidden="1" outlineLevel="2">
      <c r="A850" s="702"/>
      <c r="C850" s="702"/>
      <c r="D850" s="702"/>
      <c r="E850" s="705" t="s">
        <v>860</v>
      </c>
      <c r="F850" s="887"/>
      <c r="G850" s="887"/>
      <c r="H850" s="965"/>
      <c r="I850" s="609" t="s">
        <v>736</v>
      </c>
      <c r="U850" s="705"/>
      <c r="W850" s="698"/>
      <c r="X850" s="698"/>
      <c r="Z850" s="609"/>
      <c r="AJ850" s="978"/>
      <c r="AK850" s="978"/>
      <c r="AL850" s="978"/>
      <c r="AM850" s="978"/>
      <c r="AN850" s="978"/>
      <c r="AO850" s="978"/>
      <c r="AP850" s="978"/>
      <c r="AQ850" s="978"/>
      <c r="AR850" s="978"/>
      <c r="AS850" s="978">
        <f t="shared" ref="AS850:CO850" si="829">AS826+AS838+AS839</f>
        <v>0</v>
      </c>
      <c r="AT850" s="978">
        <f t="shared" si="829"/>
        <v>0</v>
      </c>
      <c r="AU850" s="978">
        <f t="shared" si="829"/>
        <v>0</v>
      </c>
      <c r="AV850" s="978">
        <f t="shared" si="829"/>
        <v>0</v>
      </c>
      <c r="AW850" s="978">
        <f t="shared" si="829"/>
        <v>0</v>
      </c>
      <c r="AX850" s="978">
        <f t="shared" si="829"/>
        <v>0</v>
      </c>
      <c r="AY850" s="978">
        <f t="shared" si="829"/>
        <v>0</v>
      </c>
      <c r="AZ850" s="978">
        <f t="shared" si="829"/>
        <v>0</v>
      </c>
      <c r="BA850" s="978">
        <f t="shared" si="829"/>
        <v>0</v>
      </c>
      <c r="BB850" s="978">
        <f t="shared" si="829"/>
        <v>0</v>
      </c>
      <c r="BC850" s="978">
        <f t="shared" si="829"/>
        <v>0</v>
      </c>
      <c r="BD850" s="978">
        <f t="shared" si="829"/>
        <v>0</v>
      </c>
      <c r="BE850" s="978">
        <f t="shared" si="829"/>
        <v>0</v>
      </c>
      <c r="BF850" s="978">
        <f t="shared" si="829"/>
        <v>0</v>
      </c>
      <c r="BG850" s="978">
        <f t="shared" si="829"/>
        <v>0</v>
      </c>
      <c r="BH850" s="978">
        <f t="shared" si="829"/>
        <v>0</v>
      </c>
      <c r="BI850" s="978">
        <f t="shared" si="829"/>
        <v>0</v>
      </c>
      <c r="BJ850" s="978">
        <f t="shared" si="829"/>
        <v>0</v>
      </c>
      <c r="BK850" s="978">
        <f t="shared" si="829"/>
        <v>0</v>
      </c>
      <c r="BL850" s="978">
        <f t="shared" si="829"/>
        <v>0</v>
      </c>
      <c r="BM850" s="978">
        <f t="shared" si="829"/>
        <v>0</v>
      </c>
      <c r="BN850" s="978">
        <f t="shared" si="829"/>
        <v>0</v>
      </c>
      <c r="BO850" s="978">
        <f t="shared" si="829"/>
        <v>0</v>
      </c>
      <c r="BP850" s="978">
        <f t="shared" si="829"/>
        <v>0</v>
      </c>
      <c r="BQ850" s="978">
        <f t="shared" si="829"/>
        <v>0</v>
      </c>
      <c r="BR850" s="978">
        <f t="shared" si="829"/>
        <v>0</v>
      </c>
      <c r="BS850" s="978">
        <f t="shared" si="829"/>
        <v>0</v>
      </c>
      <c r="BT850" s="978">
        <f t="shared" si="829"/>
        <v>0</v>
      </c>
      <c r="BU850" s="978">
        <f t="shared" si="829"/>
        <v>0</v>
      </c>
      <c r="BV850" s="978">
        <f t="shared" si="829"/>
        <v>0</v>
      </c>
      <c r="BW850" s="978">
        <f t="shared" si="829"/>
        <v>0</v>
      </c>
      <c r="BX850" s="978">
        <f t="shared" si="829"/>
        <v>0</v>
      </c>
      <c r="BY850" s="978">
        <f t="shared" si="829"/>
        <v>0</v>
      </c>
      <c r="BZ850" s="978">
        <f t="shared" si="829"/>
        <v>0</v>
      </c>
      <c r="CA850" s="978">
        <f t="shared" si="829"/>
        <v>0</v>
      </c>
      <c r="CB850" s="978">
        <f t="shared" si="829"/>
        <v>0</v>
      </c>
      <c r="CC850" s="978">
        <f t="shared" si="829"/>
        <v>0</v>
      </c>
      <c r="CD850" s="978">
        <f t="shared" si="829"/>
        <v>0</v>
      </c>
      <c r="CE850" s="978">
        <f t="shared" si="829"/>
        <v>0</v>
      </c>
      <c r="CF850" s="978">
        <f t="shared" si="829"/>
        <v>0</v>
      </c>
      <c r="CG850" s="978">
        <f t="shared" si="829"/>
        <v>0</v>
      </c>
      <c r="CH850" s="978">
        <f t="shared" si="829"/>
        <v>0</v>
      </c>
      <c r="CI850" s="978">
        <f t="shared" si="829"/>
        <v>0</v>
      </c>
      <c r="CJ850" s="978">
        <f t="shared" si="829"/>
        <v>0</v>
      </c>
      <c r="CK850" s="978">
        <f t="shared" si="829"/>
        <v>0</v>
      </c>
      <c r="CL850" s="978">
        <f t="shared" si="829"/>
        <v>0</v>
      </c>
      <c r="CM850" s="978">
        <f t="shared" si="829"/>
        <v>0</v>
      </c>
      <c r="CN850" s="978">
        <f t="shared" si="829"/>
        <v>0</v>
      </c>
      <c r="CO850" s="978">
        <f t="shared" si="829"/>
        <v>0</v>
      </c>
      <c r="CP850" s="978"/>
      <c r="CQ850" s="978"/>
      <c r="CR850" s="978"/>
      <c r="CS850" s="978"/>
      <c r="CT850" s="978"/>
      <c r="CU850" s="978"/>
      <c r="CV850" s="978"/>
      <c r="CW850" s="978"/>
      <c r="CX850" s="978"/>
      <c r="CY850" s="978"/>
      <c r="CZ850" s="978"/>
      <c r="DA850" s="978"/>
      <c r="DC850" s="14">
        <f t="shared" si="828"/>
        <v>0</v>
      </c>
      <c r="DD850" s="14">
        <f t="shared" si="822"/>
        <v>0</v>
      </c>
      <c r="DE850" s="14">
        <f t="shared" si="823"/>
        <v>0</v>
      </c>
      <c r="DF850" s="14">
        <f t="shared" si="827"/>
        <v>0</v>
      </c>
      <c r="DG850" s="14">
        <f t="shared" si="824"/>
        <v>0</v>
      </c>
      <c r="DH850" s="14">
        <f t="shared" si="825"/>
        <v>0</v>
      </c>
    </row>
    <row r="851" spans="1:112" hidden="1" outlineLevel="2">
      <c r="F851" s="698"/>
      <c r="Z851" s="609"/>
    </row>
    <row r="852" spans="1:112" hidden="1" outlineLevel="1">
      <c r="Z852" s="609"/>
    </row>
    <row r="853" spans="1:112" collapsed="1">
      <c r="Z853" s="609"/>
    </row>
    <row r="854" spans="1:112">
      <c r="Z854" s="609"/>
    </row>
    <row r="855" spans="1:112">
      <c r="Y855" s="887"/>
      <c r="Z855" s="965"/>
    </row>
    <row r="856" spans="1:112">
      <c r="Z856" s="609"/>
    </row>
    <row r="857" spans="1:112">
      <c r="Y857" s="887"/>
      <c r="Z857" s="965"/>
    </row>
    <row r="858" spans="1:112">
      <c r="Z858" s="609"/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6C48-C234-41FA-B179-B6F22619DC59}">
  <dimension ref="A1:DG502"/>
  <sheetViews>
    <sheetView zoomScale="85" zoomScaleNormal="85" workbookViewId="0">
      <pane xSplit="43" ySplit="2" topLeftCell="AT314" activePane="bottomRight" state="frozen"/>
      <selection pane="topRight" activeCell="AR1" sqref="AR1"/>
      <selection pane="bottomLeft" activeCell="A3" sqref="A3"/>
      <selection pane="bottomRight" activeCell="AR319" sqref="AR319:BC319"/>
    </sheetView>
  </sheetViews>
  <sheetFormatPr baseColWidth="10" defaultColWidth="8.83203125" defaultRowHeight="15"/>
  <cols>
    <col min="1" max="1" width="11.6640625" customWidth="1"/>
    <col min="2" max="2" width="15.83203125" customWidth="1"/>
    <col min="8" max="40" width="8.6640625" hidden="1" customWidth="1"/>
    <col min="41" max="43" width="11.6640625" hidden="1" customWidth="1"/>
    <col min="44" max="55" width="11.6640625" customWidth="1"/>
    <col min="56" max="103" width="11.6640625" hidden="1" customWidth="1"/>
  </cols>
  <sheetData>
    <row r="1" spans="1:103">
      <c r="A1" s="232"/>
      <c r="B1" s="232"/>
      <c r="C1" s="232"/>
      <c r="D1" s="232"/>
      <c r="E1" s="232"/>
      <c r="F1" s="230"/>
      <c r="G1" s="230"/>
      <c r="H1" s="230"/>
      <c r="I1" s="230"/>
      <c r="J1" s="230"/>
      <c r="K1" s="230"/>
      <c r="L1" s="230"/>
      <c r="M1" s="230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7"/>
      <c r="AP1" s="237"/>
      <c r="AQ1" s="237"/>
      <c r="AR1" s="237"/>
      <c r="AS1" s="237"/>
      <c r="AT1" s="237"/>
      <c r="AU1" s="237"/>
      <c r="AV1" s="237"/>
      <c r="AW1" s="237"/>
      <c r="AX1" s="237"/>
      <c r="AY1" s="237"/>
      <c r="AZ1" s="237"/>
      <c r="BA1" s="237"/>
      <c r="BB1" s="237"/>
      <c r="BC1" s="237"/>
      <c r="BD1" s="237"/>
      <c r="BE1" s="237"/>
      <c r="BF1" s="237"/>
      <c r="BG1" s="237"/>
      <c r="BH1" s="237"/>
      <c r="BI1" s="237"/>
      <c r="BJ1" s="237"/>
      <c r="BK1" s="237"/>
      <c r="BL1" s="237"/>
      <c r="BM1" s="237"/>
      <c r="BN1" s="237"/>
      <c r="BO1" s="237"/>
      <c r="BP1" s="237"/>
      <c r="BQ1" s="237"/>
      <c r="BR1" s="237"/>
      <c r="BS1" s="237"/>
      <c r="BT1" s="237"/>
      <c r="BU1" s="237"/>
      <c r="BV1" s="237"/>
      <c r="BW1" s="237"/>
      <c r="BX1" s="237"/>
      <c r="BY1" s="237"/>
      <c r="BZ1" s="237"/>
      <c r="CA1" s="237"/>
      <c r="CB1" s="237"/>
      <c r="CC1" s="237"/>
      <c r="CD1" s="237"/>
      <c r="CE1" s="237"/>
      <c r="CF1" s="237"/>
      <c r="CG1" s="237"/>
      <c r="CH1" s="237"/>
      <c r="CI1" s="237"/>
      <c r="CJ1" s="237"/>
      <c r="CK1" s="237"/>
      <c r="CL1" s="237"/>
      <c r="CM1" s="237"/>
      <c r="CN1" s="237"/>
      <c r="CO1" s="237"/>
      <c r="CP1" s="237"/>
      <c r="CQ1" s="237"/>
      <c r="CR1" s="237"/>
      <c r="CS1" s="237"/>
    </row>
    <row r="2" spans="1:103" ht="18">
      <c r="A2" s="675" t="s">
        <v>735</v>
      </c>
      <c r="B2" s="675"/>
      <c r="C2" s="675"/>
      <c r="D2" s="675"/>
      <c r="E2" s="585"/>
      <c r="F2" s="585"/>
      <c r="G2" s="585"/>
      <c r="H2" s="586"/>
      <c r="I2" s="586"/>
      <c r="J2" s="586"/>
      <c r="K2" s="586"/>
      <c r="L2" s="586"/>
      <c r="M2" s="586"/>
      <c r="N2" s="580">
        <v>44743</v>
      </c>
      <c r="O2" s="580">
        <v>44774</v>
      </c>
      <c r="P2" s="580">
        <v>44805</v>
      </c>
      <c r="Q2" s="580">
        <v>44835</v>
      </c>
      <c r="R2" s="580">
        <v>44866</v>
      </c>
      <c r="S2" s="580">
        <v>44896</v>
      </c>
      <c r="T2" s="581">
        <v>44927</v>
      </c>
      <c r="U2" s="581">
        <v>44958</v>
      </c>
      <c r="V2" s="581">
        <v>44986</v>
      </c>
      <c r="W2" s="581">
        <v>45017</v>
      </c>
      <c r="X2" s="581">
        <v>45047</v>
      </c>
      <c r="Y2" s="581">
        <v>45078</v>
      </c>
      <c r="Z2" s="581">
        <v>45108</v>
      </c>
      <c r="AA2" s="581">
        <v>45139</v>
      </c>
      <c r="AB2" s="581">
        <v>45170</v>
      </c>
      <c r="AC2" s="581">
        <v>45200</v>
      </c>
      <c r="AD2" s="581">
        <v>45231</v>
      </c>
      <c r="AE2" s="581">
        <v>45261</v>
      </c>
      <c r="AF2" s="582">
        <v>45292</v>
      </c>
      <c r="AG2" s="582">
        <v>45323</v>
      </c>
      <c r="AH2" s="582">
        <v>45352</v>
      </c>
      <c r="AI2" s="582">
        <v>45383</v>
      </c>
      <c r="AJ2" s="582">
        <v>45413</v>
      </c>
      <c r="AK2" s="582">
        <v>45444</v>
      </c>
      <c r="AL2" s="582">
        <v>45474</v>
      </c>
      <c r="AM2" s="582">
        <v>45505</v>
      </c>
      <c r="AN2" s="582">
        <v>45536</v>
      </c>
      <c r="AO2" s="582">
        <v>45566</v>
      </c>
      <c r="AP2" s="582">
        <v>45597</v>
      </c>
      <c r="AQ2" s="582">
        <v>45627</v>
      </c>
      <c r="AR2" s="583">
        <v>45658</v>
      </c>
      <c r="AS2" s="583">
        <v>45689</v>
      </c>
      <c r="AT2" s="583">
        <v>45717</v>
      </c>
      <c r="AU2" s="583">
        <v>45748</v>
      </c>
      <c r="AV2" s="583">
        <v>45778</v>
      </c>
      <c r="AW2" s="583">
        <v>45809</v>
      </c>
      <c r="AX2" s="583">
        <v>45839</v>
      </c>
      <c r="AY2" s="583">
        <v>45870</v>
      </c>
      <c r="AZ2" s="583">
        <v>45901</v>
      </c>
      <c r="BA2" s="583">
        <v>45931</v>
      </c>
      <c r="BB2" s="583">
        <v>45962</v>
      </c>
      <c r="BC2" s="583">
        <v>45992</v>
      </c>
      <c r="BD2" s="580">
        <v>46023</v>
      </c>
      <c r="BE2" s="580">
        <v>46054</v>
      </c>
      <c r="BF2" s="580">
        <v>46082</v>
      </c>
      <c r="BG2" s="580">
        <v>46113</v>
      </c>
      <c r="BH2" s="580">
        <v>46143</v>
      </c>
      <c r="BI2" s="580">
        <v>46174</v>
      </c>
      <c r="BJ2" s="580">
        <v>46204</v>
      </c>
      <c r="BK2" s="580">
        <v>46235</v>
      </c>
      <c r="BL2" s="580">
        <v>46266</v>
      </c>
      <c r="BM2" s="580">
        <v>46296</v>
      </c>
      <c r="BN2" s="580">
        <v>46327</v>
      </c>
      <c r="BO2" s="580">
        <v>46357</v>
      </c>
      <c r="BP2" s="580">
        <v>46388</v>
      </c>
      <c r="BQ2" s="580">
        <v>46419</v>
      </c>
      <c r="BR2" s="580">
        <v>46447</v>
      </c>
      <c r="BS2" s="580">
        <v>46478</v>
      </c>
      <c r="BT2" s="580">
        <v>46508</v>
      </c>
      <c r="BU2" s="580">
        <v>46539</v>
      </c>
      <c r="BV2" s="580">
        <v>46569</v>
      </c>
      <c r="BW2" s="580">
        <v>46600</v>
      </c>
      <c r="BX2" s="580">
        <v>46631</v>
      </c>
      <c r="BY2" s="580">
        <v>46661</v>
      </c>
      <c r="BZ2" s="580">
        <v>46692</v>
      </c>
      <c r="CA2" s="580">
        <v>46722</v>
      </c>
      <c r="CB2" s="580">
        <v>46753</v>
      </c>
      <c r="CC2" s="580">
        <v>46784</v>
      </c>
      <c r="CD2" s="580">
        <v>46813</v>
      </c>
      <c r="CE2" s="580">
        <v>46844</v>
      </c>
      <c r="CF2" s="580">
        <v>46874</v>
      </c>
      <c r="CG2" s="580">
        <v>46905</v>
      </c>
      <c r="CH2" s="580">
        <v>46935</v>
      </c>
      <c r="CI2" s="580">
        <v>46966</v>
      </c>
      <c r="CJ2" s="580">
        <v>46997</v>
      </c>
      <c r="CK2" s="580">
        <v>47027</v>
      </c>
      <c r="CL2" s="580">
        <v>47058</v>
      </c>
      <c r="CM2" s="580">
        <v>47088</v>
      </c>
      <c r="CN2" s="584">
        <v>47119</v>
      </c>
      <c r="CO2" s="584">
        <v>47150</v>
      </c>
      <c r="CP2" s="584">
        <v>47178</v>
      </c>
      <c r="CQ2" s="584">
        <v>47209</v>
      </c>
      <c r="CR2" s="584">
        <v>47239</v>
      </c>
      <c r="CS2" s="584">
        <v>47270</v>
      </c>
      <c r="CT2" s="584">
        <v>47300</v>
      </c>
      <c r="CU2" s="584">
        <v>47331</v>
      </c>
      <c r="CV2" s="584">
        <v>47362</v>
      </c>
      <c r="CW2" s="584">
        <v>47392</v>
      </c>
      <c r="CX2" s="584">
        <v>47423</v>
      </c>
      <c r="CY2" s="584">
        <v>47453</v>
      </c>
    </row>
    <row r="3" spans="1:103">
      <c r="A3" s="230"/>
      <c r="B3" s="230" t="s">
        <v>416</v>
      </c>
      <c r="C3" s="230"/>
      <c r="D3" s="230"/>
      <c r="E3" s="232"/>
      <c r="F3" s="232"/>
      <c r="G3" s="587" t="s">
        <v>743</v>
      </c>
      <c r="H3" s="232"/>
      <c r="I3" s="232"/>
      <c r="J3" s="232"/>
      <c r="K3" s="232"/>
      <c r="L3" s="230"/>
      <c r="M3" s="230"/>
      <c r="N3" s="588">
        <v>0</v>
      </c>
      <c r="O3" s="588">
        <v>8.3000000000000004E-2</v>
      </c>
      <c r="P3" s="588">
        <v>2.9540000000000002</v>
      </c>
      <c r="Q3" s="588">
        <v>5.9870000000000001</v>
      </c>
      <c r="R3" s="588">
        <v>12.273</v>
      </c>
      <c r="S3" s="588">
        <v>5.88</v>
      </c>
      <c r="T3" s="237">
        <f t="shared" ref="T3:AQ5" si="0">T59+T112</f>
        <v>5.133</v>
      </c>
      <c r="U3" s="237">
        <f t="shared" si="0"/>
        <v>3.7160000000000002</v>
      </c>
      <c r="V3" s="237">
        <f t="shared" si="0"/>
        <v>4.4140000000000006</v>
      </c>
      <c r="W3" s="237">
        <f t="shared" si="0"/>
        <v>2.6949999999999998</v>
      </c>
      <c r="X3" s="237">
        <f t="shared" si="0"/>
        <v>4.2080000000000002</v>
      </c>
      <c r="Y3" s="237">
        <f t="shared" si="0"/>
        <v>5.1230000000000002</v>
      </c>
      <c r="Z3" s="237">
        <f t="shared" si="0"/>
        <v>5.8540000000000099</v>
      </c>
      <c r="AA3" s="237">
        <f t="shared" si="0"/>
        <v>4.4149999999999894</v>
      </c>
      <c r="AB3" s="237">
        <f t="shared" si="0"/>
        <v>3.4020000000000001</v>
      </c>
      <c r="AC3" s="237">
        <f t="shared" si="0"/>
        <v>4.5440000000000005</v>
      </c>
      <c r="AD3" s="237">
        <f t="shared" si="0"/>
        <v>3.802</v>
      </c>
      <c r="AE3" s="237">
        <f t="shared" si="0"/>
        <v>3.7230000000000003</v>
      </c>
      <c r="AF3" s="237">
        <f t="shared" si="0"/>
        <v>5.7270000000000003</v>
      </c>
      <c r="AG3" s="237">
        <f t="shared" si="0"/>
        <v>5.0459999999999994</v>
      </c>
      <c r="AH3" s="237">
        <f t="shared" si="0"/>
        <v>5</v>
      </c>
      <c r="AI3" s="237">
        <f t="shared" si="0"/>
        <v>4.2080000000000002</v>
      </c>
      <c r="AJ3" s="237">
        <f t="shared" si="0"/>
        <v>5.1599999999999993</v>
      </c>
      <c r="AK3" s="237">
        <f t="shared" si="0"/>
        <v>5.4859999999999998</v>
      </c>
      <c r="AL3" s="237">
        <f t="shared" si="0"/>
        <v>5.9830000000000005</v>
      </c>
      <c r="AM3" s="237">
        <f t="shared" si="0"/>
        <v>6.8260000000000005</v>
      </c>
      <c r="AN3" s="237">
        <f t="shared" si="0"/>
        <v>7.2009999999999996</v>
      </c>
      <c r="AO3" s="237">
        <f t="shared" si="0"/>
        <v>5.3529999999999998</v>
      </c>
      <c r="AP3" s="237">
        <f t="shared" si="0"/>
        <v>5.8053333333333335</v>
      </c>
      <c r="AQ3" s="237">
        <f t="shared" si="0"/>
        <v>8.1999999999999993</v>
      </c>
      <c r="AR3" s="237">
        <v>5.2916666666666661</v>
      </c>
      <c r="AS3" s="237">
        <v>5.3833333333333329</v>
      </c>
      <c r="AT3" s="237">
        <v>5.4749999999999996</v>
      </c>
      <c r="AU3" s="237">
        <v>5.5666666666666664</v>
      </c>
      <c r="AV3" s="237">
        <v>5.6583333333333332</v>
      </c>
      <c r="AW3" s="237">
        <v>5.75</v>
      </c>
      <c r="AX3" s="237">
        <v>5.8416666666666668</v>
      </c>
      <c r="AY3" s="237">
        <v>5.9333333333333336</v>
      </c>
      <c r="AZ3" s="237">
        <v>6.0250000000000004</v>
      </c>
      <c r="BA3" s="237">
        <v>6.1166666666666671</v>
      </c>
      <c r="BB3" s="237">
        <v>6.2083333333333339</v>
      </c>
      <c r="BC3" s="237">
        <v>6.3</v>
      </c>
      <c r="BD3" s="237">
        <v>6.7249999999999996</v>
      </c>
      <c r="BE3" s="237">
        <v>7.1499999999999995</v>
      </c>
      <c r="BF3" s="237">
        <v>7.5749999999999993</v>
      </c>
      <c r="BG3" s="237">
        <v>7.9999999999999991</v>
      </c>
      <c r="BH3" s="237">
        <v>8.4249999999999989</v>
      </c>
      <c r="BI3" s="237">
        <v>8.8499999999999979</v>
      </c>
      <c r="BJ3" s="237">
        <v>9.2749999999999986</v>
      </c>
      <c r="BK3" s="237">
        <v>9.6999999999999993</v>
      </c>
      <c r="BL3" s="237">
        <v>10.124999999999998</v>
      </c>
      <c r="BM3" s="237">
        <v>10.549999999999997</v>
      </c>
      <c r="BN3" s="237">
        <v>10.974999999999998</v>
      </c>
      <c r="BO3" s="237">
        <v>11.4</v>
      </c>
      <c r="BP3" s="237">
        <v>11.533333333333333</v>
      </c>
      <c r="BQ3" s="237">
        <v>11.666666666666666</v>
      </c>
      <c r="BR3" s="237">
        <v>11.799999999999997</v>
      </c>
      <c r="BS3" s="237">
        <v>11.93333333333333</v>
      </c>
      <c r="BT3" s="237">
        <v>12.066666666666663</v>
      </c>
      <c r="BU3" s="237">
        <v>12.199999999999996</v>
      </c>
      <c r="BV3" s="237">
        <v>12.333333333333329</v>
      </c>
      <c r="BW3" s="237">
        <v>12.466666666666661</v>
      </c>
      <c r="BX3" s="237">
        <v>12.599999999999994</v>
      </c>
      <c r="BY3" s="237">
        <v>12.733333333333327</v>
      </c>
      <c r="BZ3" s="237">
        <v>12.86666666666666</v>
      </c>
      <c r="CA3" s="237">
        <v>13</v>
      </c>
      <c r="CB3" s="237">
        <v>13.133333333333333</v>
      </c>
      <c r="CC3" s="237">
        <v>13.266666666666666</v>
      </c>
      <c r="CD3" s="237">
        <v>13.399999999999997</v>
      </c>
      <c r="CE3" s="237">
        <v>13.53333333333333</v>
      </c>
      <c r="CF3" s="237">
        <v>13.666666666666663</v>
      </c>
      <c r="CG3" s="237">
        <v>13.799999999999994</v>
      </c>
      <c r="CH3" s="237">
        <v>13.933333333333326</v>
      </c>
      <c r="CI3" s="237">
        <v>14.066666666666659</v>
      </c>
      <c r="CJ3" s="237">
        <v>14.199999999999992</v>
      </c>
      <c r="CK3" s="237">
        <v>14.333333333333325</v>
      </c>
      <c r="CL3" s="237">
        <v>14.466666666666656</v>
      </c>
      <c r="CM3" s="237">
        <v>14.6</v>
      </c>
      <c r="CN3" s="237">
        <v>14.716666666666665</v>
      </c>
      <c r="CO3" s="237">
        <v>14.833333333333332</v>
      </c>
      <c r="CP3" s="237">
        <v>14.949999999999998</v>
      </c>
      <c r="CQ3" s="237">
        <v>15.066666666666663</v>
      </c>
      <c r="CR3" s="237">
        <v>15.18333333333333</v>
      </c>
      <c r="CS3" s="237">
        <v>15.299999999999995</v>
      </c>
      <c r="CT3" s="237">
        <v>15.416666666666661</v>
      </c>
      <c r="CU3" s="237">
        <v>15.533333333333326</v>
      </c>
      <c r="CV3" s="237">
        <v>15.649999999999991</v>
      </c>
      <c r="CW3" s="237">
        <v>15.766666666666659</v>
      </c>
      <c r="CX3" s="237">
        <v>15.883333333333324</v>
      </c>
      <c r="CY3" s="237">
        <v>16</v>
      </c>
    </row>
    <row r="4" spans="1:103">
      <c r="A4" s="230"/>
      <c r="B4" s="229" t="s">
        <v>862</v>
      </c>
      <c r="C4" s="230" t="s">
        <v>417</v>
      </c>
      <c r="D4" s="230"/>
      <c r="E4" s="232"/>
      <c r="F4" s="232"/>
      <c r="G4" s="587" t="s">
        <v>743</v>
      </c>
      <c r="H4" s="232"/>
      <c r="I4" s="232"/>
      <c r="J4" s="232"/>
      <c r="K4" s="232"/>
      <c r="L4" s="230"/>
      <c r="M4" s="230"/>
      <c r="N4" s="589">
        <f>N3</f>
        <v>0</v>
      </c>
      <c r="O4" s="589">
        <f>N4+O3</f>
        <v>8.3000000000000004E-2</v>
      </c>
      <c r="P4" s="589">
        <f>O4+P3</f>
        <v>3.0370000000000004</v>
      </c>
      <c r="Q4" s="589">
        <f>P4+Q3</f>
        <v>9.0240000000000009</v>
      </c>
      <c r="R4" s="589">
        <f>Q4+R3</f>
        <v>21.297000000000001</v>
      </c>
      <c r="S4" s="589">
        <f>R4+S3</f>
        <v>27.177</v>
      </c>
      <c r="T4" s="237">
        <f t="shared" si="0"/>
        <v>31.762999999999984</v>
      </c>
      <c r="U4" s="237">
        <f t="shared" si="0"/>
        <v>35.478999999999985</v>
      </c>
      <c r="V4" s="237">
        <f t="shared" si="0"/>
        <v>39.892999999999986</v>
      </c>
      <c r="W4" s="237">
        <f t="shared" si="0"/>
        <v>42.587999999999987</v>
      </c>
      <c r="X4" s="237">
        <f t="shared" si="0"/>
        <v>46.795999999999985</v>
      </c>
      <c r="Y4" s="237">
        <f t="shared" si="0"/>
        <v>51.918999999999983</v>
      </c>
      <c r="Z4" s="237">
        <f t="shared" si="0"/>
        <v>57.772999999999996</v>
      </c>
      <c r="AA4" s="237">
        <f t="shared" si="0"/>
        <v>62.187999999999988</v>
      </c>
      <c r="AB4" s="237">
        <f t="shared" si="0"/>
        <v>65.589999999999989</v>
      </c>
      <c r="AC4" s="237">
        <f t="shared" si="0"/>
        <v>70.133999999999986</v>
      </c>
      <c r="AD4" s="237">
        <f t="shared" si="0"/>
        <v>73.935999999999993</v>
      </c>
      <c r="AE4" s="237">
        <f t="shared" si="0"/>
        <v>81.292000000000002</v>
      </c>
      <c r="AF4" s="237">
        <f t="shared" si="0"/>
        <v>87.019000000000005</v>
      </c>
      <c r="AG4" s="237">
        <f t="shared" si="0"/>
        <v>92.065000000000012</v>
      </c>
      <c r="AH4" s="237">
        <f t="shared" si="0"/>
        <v>97.064999999999998</v>
      </c>
      <c r="AI4" s="237">
        <f t="shared" si="0"/>
        <v>101.27300000000001</v>
      </c>
      <c r="AJ4" s="237">
        <f t="shared" si="0"/>
        <v>106.43300000000001</v>
      </c>
      <c r="AK4" s="237">
        <f t="shared" si="0"/>
        <v>111.919</v>
      </c>
      <c r="AL4" s="237">
        <f t="shared" si="0"/>
        <v>117.902</v>
      </c>
      <c r="AM4" s="237">
        <f t="shared" si="0"/>
        <v>124.72799999999999</v>
      </c>
      <c r="AN4" s="237">
        <f t="shared" si="0"/>
        <v>131.929</v>
      </c>
      <c r="AO4" s="237">
        <f t="shared" si="0"/>
        <v>138.619</v>
      </c>
      <c r="AP4" s="237">
        <f t="shared" si="0"/>
        <v>144.42433333333332</v>
      </c>
      <c r="AQ4" s="237">
        <f t="shared" si="0"/>
        <v>152.62433333333334</v>
      </c>
      <c r="AR4" s="237">
        <v>157.916</v>
      </c>
      <c r="AS4" s="237">
        <v>163.29933333333332</v>
      </c>
      <c r="AT4" s="237">
        <v>168.77433333333335</v>
      </c>
      <c r="AU4" s="237">
        <v>174.34100000000001</v>
      </c>
      <c r="AV4" s="237">
        <v>179.99933333333334</v>
      </c>
      <c r="AW4" s="237">
        <v>185.74933333333334</v>
      </c>
      <c r="AX4" s="237">
        <v>191.59100000000001</v>
      </c>
      <c r="AY4" s="237">
        <v>197.52433333333335</v>
      </c>
      <c r="AZ4" s="237">
        <v>203.54933333333332</v>
      </c>
      <c r="BA4" s="237">
        <v>209.666</v>
      </c>
      <c r="BB4" s="237">
        <v>215.87433333333334</v>
      </c>
      <c r="BC4" s="237">
        <v>222.17433333333332</v>
      </c>
      <c r="BD4" s="237">
        <v>228.89933333333335</v>
      </c>
      <c r="BE4" s="237">
        <v>236.04933333333332</v>
      </c>
      <c r="BF4" s="237">
        <v>243.62433333333334</v>
      </c>
      <c r="BG4" s="237">
        <v>251.62433333333334</v>
      </c>
      <c r="BH4" s="237">
        <v>260.04933333333332</v>
      </c>
      <c r="BI4" s="237">
        <v>268.89933333333335</v>
      </c>
      <c r="BJ4" s="237">
        <v>278.17433333333338</v>
      </c>
      <c r="BK4" s="237">
        <v>287.87433333333331</v>
      </c>
      <c r="BL4" s="237">
        <v>297.99933333333331</v>
      </c>
      <c r="BM4" s="237">
        <v>308.54933333333332</v>
      </c>
      <c r="BN4" s="237">
        <v>319.52433333333335</v>
      </c>
      <c r="BO4" s="237">
        <v>330.92433333333332</v>
      </c>
      <c r="BP4" s="237">
        <v>342.45766666666668</v>
      </c>
      <c r="BQ4" s="237">
        <v>354.12433333333331</v>
      </c>
      <c r="BR4" s="237">
        <v>365.92433333333332</v>
      </c>
      <c r="BS4" s="237">
        <v>377.85766666666666</v>
      </c>
      <c r="BT4" s="237">
        <v>389.92433333333332</v>
      </c>
      <c r="BU4" s="237">
        <v>402.12433333333331</v>
      </c>
      <c r="BV4" s="237">
        <v>414.45766666666668</v>
      </c>
      <c r="BW4" s="237">
        <v>426.92433333333332</v>
      </c>
      <c r="BX4" s="237">
        <v>439.52433333333329</v>
      </c>
      <c r="BY4" s="237">
        <v>452.25766666666664</v>
      </c>
      <c r="BZ4" s="237">
        <v>465.12433333333331</v>
      </c>
      <c r="CA4" s="237">
        <v>478.12433333333331</v>
      </c>
      <c r="CB4" s="237">
        <v>491.25766666666664</v>
      </c>
      <c r="CC4" s="237">
        <v>504.52433333333329</v>
      </c>
      <c r="CD4" s="237">
        <v>517.92433333333338</v>
      </c>
      <c r="CE4" s="237">
        <v>531.45766666666668</v>
      </c>
      <c r="CF4" s="237">
        <v>545.12433333333331</v>
      </c>
      <c r="CG4" s="237">
        <v>558.92433333333338</v>
      </c>
      <c r="CH4" s="237">
        <v>572.85766666666666</v>
      </c>
      <c r="CI4" s="237">
        <v>586.92433333333327</v>
      </c>
      <c r="CJ4" s="237">
        <v>601.12433333333331</v>
      </c>
      <c r="CK4" s="237">
        <v>615.45766666666668</v>
      </c>
      <c r="CL4" s="237">
        <v>629.92433333333327</v>
      </c>
      <c r="CM4" s="237">
        <v>644.52433333333329</v>
      </c>
      <c r="CN4" s="237">
        <v>659.24099999999999</v>
      </c>
      <c r="CO4" s="237">
        <v>674.07433333333324</v>
      </c>
      <c r="CP4" s="237">
        <v>689.02433333333329</v>
      </c>
      <c r="CQ4" s="237">
        <v>704.09100000000001</v>
      </c>
      <c r="CR4" s="237">
        <v>719.27433333333329</v>
      </c>
      <c r="CS4" s="237">
        <v>734.57433333333324</v>
      </c>
      <c r="CT4" s="237">
        <v>749.99099999999999</v>
      </c>
      <c r="CU4" s="237">
        <v>765.52433333333329</v>
      </c>
      <c r="CV4" s="237">
        <v>781.17433333333327</v>
      </c>
      <c r="CW4" s="237">
        <v>796.94099999999992</v>
      </c>
      <c r="CX4" s="237">
        <v>812.82433333333324</v>
      </c>
      <c r="CY4" s="237">
        <v>828.82433333333324</v>
      </c>
    </row>
    <row r="5" spans="1:103">
      <c r="A5" s="230"/>
      <c r="B5" s="230" t="s">
        <v>863</v>
      </c>
      <c r="C5" s="230"/>
      <c r="D5" s="230"/>
      <c r="E5" s="232"/>
      <c r="F5" s="232"/>
      <c r="G5" s="587" t="s">
        <v>743</v>
      </c>
      <c r="H5" s="232"/>
      <c r="I5" s="232"/>
      <c r="J5" s="232"/>
      <c r="K5" s="232"/>
      <c r="L5" s="230"/>
      <c r="M5" s="230"/>
      <c r="N5" s="230"/>
      <c r="O5" s="230"/>
      <c r="P5" s="230"/>
      <c r="Q5" s="230"/>
      <c r="R5" s="230"/>
      <c r="S5" s="230"/>
      <c r="T5" s="237">
        <f t="shared" si="0"/>
        <v>23.031119653893683</v>
      </c>
      <c r="U5" s="237">
        <f t="shared" si="0"/>
        <v>24.790732831608643</v>
      </c>
      <c r="V5" s="237">
        <f t="shared" si="0"/>
        <v>26.933076786769043</v>
      </c>
      <c r="W5" s="237">
        <f t="shared" si="0"/>
        <v>28.128965707964596</v>
      </c>
      <c r="X5" s="237">
        <f t="shared" si="0"/>
        <v>29.636945777851974</v>
      </c>
      <c r="Y5" s="237">
        <f t="shared" si="0"/>
        <v>30.842912776710605</v>
      </c>
      <c r="Z5" s="237">
        <f t="shared" si="0"/>
        <v>33.850366941597933</v>
      </c>
      <c r="AA5" s="237">
        <f t="shared" si="0"/>
        <v>36.747628889505656</v>
      </c>
      <c r="AB5" s="237">
        <f t="shared" si="0"/>
        <v>38.231313234245114</v>
      </c>
      <c r="AC5" s="237">
        <f t="shared" si="0"/>
        <v>40.702665687714131</v>
      </c>
      <c r="AD5" s="237">
        <f t="shared" si="0"/>
        <v>42.889190598367733</v>
      </c>
      <c r="AE5" s="237">
        <f t="shared" si="0"/>
        <v>47.585999999999999</v>
      </c>
      <c r="AF5" s="237">
        <f t="shared" si="0"/>
        <v>50.401000000000003</v>
      </c>
      <c r="AG5" s="237">
        <f t="shared" si="0"/>
        <v>53.606999999999999</v>
      </c>
      <c r="AH5" s="237">
        <f t="shared" si="0"/>
        <v>57.003999999999998</v>
      </c>
      <c r="AI5" s="237">
        <f t="shared" si="0"/>
        <v>67.504000000000005</v>
      </c>
      <c r="AJ5" s="237">
        <f t="shared" si="0"/>
        <v>70.370999999999995</v>
      </c>
      <c r="AK5" s="237">
        <f t="shared" si="0"/>
        <v>66.710999999999999</v>
      </c>
      <c r="AL5" s="237">
        <f t="shared" si="0"/>
        <v>68.641999999999996</v>
      </c>
      <c r="AM5" s="237">
        <f t="shared" si="0"/>
        <v>68.259</v>
      </c>
      <c r="AN5" s="237">
        <f t="shared" si="0"/>
        <v>70.912000000000006</v>
      </c>
      <c r="AO5" s="237">
        <f t="shared" si="0"/>
        <v>68.816000000000003</v>
      </c>
      <c r="AP5" s="237">
        <f t="shared" si="0"/>
        <v>131.86207333333334</v>
      </c>
      <c r="AQ5" s="237">
        <f t="shared" si="0"/>
        <v>139.36727333333334</v>
      </c>
      <c r="AR5" s="237">
        <v>87.583841666666672</v>
      </c>
      <c r="AS5" s="237">
        <v>90.613841666666687</v>
      </c>
      <c r="AT5" s="237">
        <v>93.698841666666667</v>
      </c>
      <c r="AU5" s="237">
        <v>96.838841666666667</v>
      </c>
      <c r="AV5" s="237">
        <v>100.03384166666667</v>
      </c>
      <c r="AW5" s="237">
        <v>103.28384166666667</v>
      </c>
      <c r="AX5" s="237">
        <v>106.58884166666668</v>
      </c>
      <c r="AY5" s="237">
        <v>109.94884166666667</v>
      </c>
      <c r="AZ5" s="237">
        <v>113.36384166666667</v>
      </c>
      <c r="BA5" s="237">
        <v>116.83384166666667</v>
      </c>
      <c r="BB5" s="237">
        <v>120.35884166666668</v>
      </c>
      <c r="BC5" s="237">
        <v>123.93884166666668</v>
      </c>
      <c r="BD5" s="237">
        <v>127.75717500000002</v>
      </c>
      <c r="BE5" s="237">
        <v>131.81384166666669</v>
      </c>
      <c r="BF5" s="237">
        <v>136.10884166666668</v>
      </c>
      <c r="BG5" s="237">
        <v>140.64217500000001</v>
      </c>
      <c r="BH5" s="237">
        <v>145.41384166666668</v>
      </c>
      <c r="BI5" s="237">
        <v>150.42384166666668</v>
      </c>
      <c r="BJ5" s="237">
        <v>155.67217500000001</v>
      </c>
      <c r="BK5" s="237">
        <v>161.15884166666669</v>
      </c>
      <c r="BL5" s="237">
        <v>166.88384166666668</v>
      </c>
      <c r="BM5" s="237">
        <v>172.84717500000002</v>
      </c>
      <c r="BN5" s="237">
        <v>179.0488416666667</v>
      </c>
      <c r="BO5" s="237">
        <v>185.48884166666667</v>
      </c>
      <c r="BP5" s="237">
        <v>192.00675833333335</v>
      </c>
      <c r="BQ5" s="237">
        <v>198.60259166666668</v>
      </c>
      <c r="BR5" s="237">
        <v>205.27634166666667</v>
      </c>
      <c r="BS5" s="237">
        <v>212.02800833333333</v>
      </c>
      <c r="BT5" s="237">
        <v>218.85759166666668</v>
      </c>
      <c r="BU5" s="237">
        <v>225.76509166666665</v>
      </c>
      <c r="BV5" s="237">
        <v>232.75050833333333</v>
      </c>
      <c r="BW5" s="237">
        <v>239.81384166666669</v>
      </c>
      <c r="BX5" s="237">
        <v>246.95509166666665</v>
      </c>
      <c r="BY5" s="237">
        <v>254.17425833333334</v>
      </c>
      <c r="BZ5" s="237">
        <v>261.47134166666666</v>
      </c>
      <c r="CA5" s="237">
        <v>268.84634166666666</v>
      </c>
      <c r="CB5" s="237">
        <v>276.29925833333334</v>
      </c>
      <c r="CC5" s="237">
        <v>283.83009166666665</v>
      </c>
      <c r="CD5" s="237">
        <v>291.43884166666669</v>
      </c>
      <c r="CE5" s="237">
        <v>299.12550833333336</v>
      </c>
      <c r="CF5" s="237">
        <v>306.89009166666665</v>
      </c>
      <c r="CG5" s="237">
        <v>314.73259166666668</v>
      </c>
      <c r="CH5" s="237">
        <v>322.65300833333333</v>
      </c>
      <c r="CI5" s="237">
        <v>330.65134166666667</v>
      </c>
      <c r="CJ5" s="237">
        <v>338.72759166666663</v>
      </c>
      <c r="CK5" s="237">
        <v>346.88175833333332</v>
      </c>
      <c r="CL5" s="237">
        <v>355.11384166666664</v>
      </c>
      <c r="CM5" s="237">
        <v>363.4238416666667</v>
      </c>
      <c r="CN5" s="237">
        <v>371.80175833333334</v>
      </c>
      <c r="CO5" s="237">
        <v>380.24759166666666</v>
      </c>
      <c r="CP5" s="237">
        <v>388.76134166666662</v>
      </c>
      <c r="CQ5" s="237">
        <v>397.34300833333333</v>
      </c>
      <c r="CR5" s="237">
        <v>405.99259166666667</v>
      </c>
      <c r="CS5" s="237">
        <v>414.7100916666667</v>
      </c>
      <c r="CT5" s="237">
        <v>423.49550833333331</v>
      </c>
      <c r="CU5" s="237">
        <v>432.34884166666666</v>
      </c>
      <c r="CV5" s="237">
        <v>441.2700916666667</v>
      </c>
      <c r="CW5" s="237">
        <v>450.25925833333332</v>
      </c>
      <c r="CX5" s="237">
        <v>459.31634166666663</v>
      </c>
      <c r="CY5" s="237">
        <v>468.44134166666669</v>
      </c>
    </row>
    <row r="6" spans="1:103">
      <c r="A6" s="230"/>
      <c r="B6" s="230" t="s">
        <v>419</v>
      </c>
      <c r="C6" s="230"/>
      <c r="D6" s="230"/>
      <c r="E6" s="232"/>
      <c r="F6" s="232"/>
      <c r="G6" s="232" t="s">
        <v>812</v>
      </c>
      <c r="H6" s="232"/>
      <c r="I6" s="232"/>
      <c r="J6" s="232"/>
      <c r="K6" s="232"/>
      <c r="L6" s="230"/>
      <c r="M6" s="230"/>
      <c r="N6" s="230"/>
      <c r="O6" s="230"/>
      <c r="P6" s="230"/>
      <c r="Q6" s="230"/>
      <c r="R6" s="230"/>
      <c r="S6" s="230"/>
      <c r="T6" s="236">
        <f>T5/T4</f>
        <v>0.72509270704573547</v>
      </c>
      <c r="U6" s="236">
        <f t="shared" ref="U6:AQ6" si="1">U5/U4</f>
        <v>0.69874384372751919</v>
      </c>
      <c r="V6" s="236">
        <f t="shared" si="1"/>
        <v>0.67513290017720029</v>
      </c>
      <c r="W6" s="236">
        <f t="shared" si="1"/>
        <v>0.66049041297935107</v>
      </c>
      <c r="X6" s="236">
        <f t="shared" si="1"/>
        <v>0.63332220227908331</v>
      </c>
      <c r="Y6" s="236">
        <f t="shared" si="1"/>
        <v>0.59405829805486654</v>
      </c>
      <c r="Z6" s="236">
        <f t="shared" si="1"/>
        <v>0.58592018662001166</v>
      </c>
      <c r="AA6" s="236">
        <f t="shared" si="1"/>
        <v>0.59091189440898018</v>
      </c>
      <c r="AB6" s="236">
        <f t="shared" si="1"/>
        <v>0.5828832632145925</v>
      </c>
      <c r="AC6" s="236">
        <f t="shared" si="1"/>
        <v>0.58035568608255828</v>
      </c>
      <c r="AD6" s="236">
        <f t="shared" si="1"/>
        <v>0.58008535217441759</v>
      </c>
      <c r="AE6" s="236">
        <f t="shared" si="1"/>
        <v>0.58537125424395997</v>
      </c>
      <c r="AF6" s="236">
        <f t="shared" si="1"/>
        <v>0.57919534814235973</v>
      </c>
      <c r="AG6" s="236">
        <f>AG5/AG4</f>
        <v>0.58227339379786014</v>
      </c>
      <c r="AH6" s="236">
        <f t="shared" si="1"/>
        <v>0.58727656724875088</v>
      </c>
      <c r="AI6" s="236">
        <f t="shared" si="1"/>
        <v>0.66655475793153163</v>
      </c>
      <c r="AJ6" s="236">
        <f t="shared" si="1"/>
        <v>0.66117651480273965</v>
      </c>
      <c r="AK6" s="236">
        <f t="shared" si="1"/>
        <v>0.59606501130281719</v>
      </c>
      <c r="AL6" s="236">
        <f t="shared" si="1"/>
        <v>0.58219538260589299</v>
      </c>
      <c r="AM6" s="236">
        <f t="shared" si="1"/>
        <v>0.54726284394843183</v>
      </c>
      <c r="AN6" s="236">
        <f t="shared" si="1"/>
        <v>0.53750123172312381</v>
      </c>
      <c r="AO6" s="236">
        <f t="shared" si="1"/>
        <v>0.49643988197866096</v>
      </c>
      <c r="AP6" s="236">
        <f t="shared" si="1"/>
        <v>0.91301839717683786</v>
      </c>
      <c r="AQ6" s="236">
        <f t="shared" si="1"/>
        <v>0.91313927661163685</v>
      </c>
      <c r="AR6" s="236">
        <v>0.55462297466163446</v>
      </c>
      <c r="AS6" s="236">
        <v>0.55489413102319274</v>
      </c>
      <c r="AT6" s="236">
        <v>0.5551723405810125</v>
      </c>
      <c r="AU6" s="236">
        <v>0.55545650000095592</v>
      </c>
      <c r="AV6" s="236">
        <v>0.55574562313193754</v>
      </c>
      <c r="AW6" s="236">
        <v>0.55603882831342599</v>
      </c>
      <c r="AX6" s="236">
        <v>0.5563353271639413</v>
      </c>
      <c r="AY6" s="236">
        <v>0.55663441466283481</v>
      </c>
      <c r="AZ6" s="236">
        <v>0.55693546036341723</v>
      </c>
      <c r="BA6" s="236">
        <v>0.55723790059745826</v>
      </c>
      <c r="BB6" s="236">
        <v>0.55754123154983692</v>
      </c>
      <c r="BC6" s="236">
        <v>0.55784500309816776</v>
      </c>
      <c r="BD6" s="236">
        <v>0.55813694666359892</v>
      </c>
      <c r="BE6" s="236">
        <v>0.55841649626914158</v>
      </c>
      <c r="BF6" s="236">
        <v>0.55868328013211599</v>
      </c>
      <c r="BG6" s="236">
        <v>0.55893709935313629</v>
      </c>
      <c r="BH6" s="236">
        <v>0.55917790598706918</v>
      </c>
      <c r="BI6" s="236">
        <v>0.55940578134568331</v>
      </c>
      <c r="BJ6" s="236">
        <v>0.55962091518148682</v>
      </c>
      <c r="BK6" s="236">
        <v>0.55982358621759742</v>
      </c>
      <c r="BL6" s="236">
        <v>0.56001414432694485</v>
      </c>
      <c r="BM6" s="236">
        <v>0.56019299452923799</v>
      </c>
      <c r="BN6" s="236">
        <v>0.56036058286640678</v>
      </c>
      <c r="BO6" s="236">
        <v>0.56051738413514474</v>
      </c>
      <c r="BP6" s="236">
        <v>0.5606729736911521</v>
      </c>
      <c r="BQ6" s="236">
        <v>0.56082729418010446</v>
      </c>
      <c r="BR6" s="236">
        <v>0.56098029829482055</v>
      </c>
      <c r="BS6" s="236">
        <v>0.56113194739112526</v>
      </c>
      <c r="BT6" s="236">
        <v>0.56128221030917969</v>
      </c>
      <c r="BU6" s="236">
        <v>0.56143106236628304</v>
      </c>
      <c r="BV6" s="236">
        <v>0.5615784844933901</v>
      </c>
      <c r="BW6" s="236">
        <v>0.56172446249257291</v>
      </c>
      <c r="BX6" s="236">
        <v>0.56186898639665761</v>
      </c>
      <c r="BY6" s="236">
        <v>0.56201204991549802</v>
      </c>
      <c r="BZ6" s="236">
        <v>0.56215364995596162</v>
      </c>
      <c r="CA6" s="236">
        <v>0.56229378620484349</v>
      </c>
      <c r="CB6" s="236">
        <v>0.56243246076566744</v>
      </c>
      <c r="CC6" s="236">
        <v>0.56256967784176914</v>
      </c>
      <c r="CD6" s="236">
        <v>0.562705443459244</v>
      </c>
      <c r="CE6" s="236">
        <v>0.56283976522432333</v>
      </c>
      <c r="CF6" s="236">
        <v>0.56297265211055825</v>
      </c>
      <c r="CG6" s="236">
        <v>0.56310411427187812</v>
      </c>
      <c r="CH6" s="236">
        <v>0.56323416287815531</v>
      </c>
      <c r="CI6" s="236">
        <v>0.56336280997039379</v>
      </c>
      <c r="CJ6" s="236">
        <v>0.56349006833306248</v>
      </c>
      <c r="CK6" s="236">
        <v>0.56361595138143805</v>
      </c>
      <c r="CL6" s="236">
        <v>0.5637404730621085</v>
      </c>
      <c r="CM6" s="236">
        <v>0.56386364776504438</v>
      </c>
      <c r="CN6" s="236">
        <v>0.56398457974145011</v>
      </c>
      <c r="CO6" s="236">
        <v>0.56410335309211701</v>
      </c>
      <c r="CP6" s="236">
        <v>0.56422004689723104</v>
      </c>
      <c r="CQ6" s="236">
        <v>0.56433473561419378</v>
      </c>
      <c r="CR6" s="236">
        <v>0.56444748943727086</v>
      </c>
      <c r="CS6" s="236">
        <v>0.56455837462330805</v>
      </c>
      <c r="CT6" s="236">
        <v>0.56466745378722316</v>
      </c>
      <c r="CU6" s="236">
        <v>0.56477478617052457</v>
      </c>
      <c r="CV6" s="236">
        <v>0.56488042788570891</v>
      </c>
      <c r="CW6" s="236">
        <v>0.56498443213905847</v>
      </c>
      <c r="CX6" s="236">
        <v>0.56508684943405163</v>
      </c>
      <c r="CY6" s="236">
        <v>0.5651877277573496</v>
      </c>
    </row>
    <row r="7" spans="1:103">
      <c r="A7" s="230"/>
      <c r="B7" s="230" t="s">
        <v>864</v>
      </c>
      <c r="C7" s="230"/>
      <c r="D7" s="230"/>
      <c r="E7" s="232"/>
      <c r="F7" s="232"/>
      <c r="G7" s="232" t="s">
        <v>736</v>
      </c>
      <c r="H7" s="232"/>
      <c r="I7" s="232"/>
      <c r="J7" s="232"/>
      <c r="K7" s="232"/>
      <c r="L7" s="230"/>
      <c r="M7" s="230"/>
      <c r="N7" s="230"/>
      <c r="O7" s="230"/>
      <c r="P7" s="230"/>
      <c r="Q7" s="230"/>
      <c r="R7" s="230"/>
      <c r="S7" s="230"/>
      <c r="T7" s="237">
        <f t="shared" ref="T7:AQ9" si="2">T63+T116</f>
        <v>57.405949038000003</v>
      </c>
      <c r="U7" s="237">
        <f t="shared" si="2"/>
        <v>55.647552984999997</v>
      </c>
      <c r="V7" s="237">
        <f t="shared" si="2"/>
        <v>72.179493303000001</v>
      </c>
      <c r="W7" s="237">
        <f t="shared" si="2"/>
        <v>76.075885299999996</v>
      </c>
      <c r="X7" s="237">
        <f t="shared" si="2"/>
        <v>63.454999999999998</v>
      </c>
      <c r="Y7" s="237">
        <f t="shared" si="2"/>
        <v>70.975999999999999</v>
      </c>
      <c r="Z7" s="237">
        <f t="shared" si="2"/>
        <v>88.112866878999995</v>
      </c>
      <c r="AA7" s="237">
        <f t="shared" si="2"/>
        <v>98.611000000000004</v>
      </c>
      <c r="AB7" s="237">
        <f t="shared" si="2"/>
        <v>85.540999999999997</v>
      </c>
      <c r="AC7" s="237">
        <f t="shared" si="2"/>
        <v>102</v>
      </c>
      <c r="AD7" s="237">
        <f t="shared" si="2"/>
        <v>107</v>
      </c>
      <c r="AE7" s="237">
        <f t="shared" si="2"/>
        <v>143</v>
      </c>
      <c r="AF7" s="237">
        <f t="shared" si="2"/>
        <v>177.03265766600001</v>
      </c>
      <c r="AG7" s="237">
        <f t="shared" si="2"/>
        <v>174.91006843700001</v>
      </c>
      <c r="AH7" s="237">
        <f t="shared" si="2"/>
        <v>239.719645187</v>
      </c>
      <c r="AI7" s="237">
        <f t="shared" si="2"/>
        <v>236.26561767099997</v>
      </c>
      <c r="AJ7" s="237">
        <f t="shared" si="2"/>
        <v>285.56836602800001</v>
      </c>
      <c r="AK7" s="237">
        <f t="shared" si="2"/>
        <v>287.03531948600005</v>
      </c>
      <c r="AL7" s="237">
        <f t="shared" si="2"/>
        <v>332.88724912399994</v>
      </c>
      <c r="AM7" s="237">
        <f t="shared" si="2"/>
        <v>378.94680000000005</v>
      </c>
      <c r="AN7" s="237">
        <f t="shared" si="2"/>
        <v>339.86005999999998</v>
      </c>
      <c r="AO7" s="237">
        <f t="shared" si="2"/>
        <v>434.00869</v>
      </c>
      <c r="AP7" s="237">
        <f t="shared" si="2"/>
        <v>0</v>
      </c>
      <c r="AQ7" s="237">
        <f t="shared" si="2"/>
        <v>0</v>
      </c>
      <c r="AR7" s="237">
        <v>459.08530340277787</v>
      </c>
      <c r="AS7" s="237">
        <v>478.743130138889</v>
      </c>
      <c r="AT7" s="237">
        <v>498.94633187500011</v>
      </c>
      <c r="AU7" s="237">
        <v>519.7017836111113</v>
      </c>
      <c r="AV7" s="237">
        <v>541.01636034722242</v>
      </c>
      <c r="AW7" s="237">
        <v>562.89693708333357</v>
      </c>
      <c r="AX7" s="237">
        <v>585.35038881944479</v>
      </c>
      <c r="AY7" s="237">
        <v>608.38359055555588</v>
      </c>
      <c r="AZ7" s="237">
        <v>632.00341729166701</v>
      </c>
      <c r="BA7" s="237">
        <v>656.21674402777819</v>
      </c>
      <c r="BB7" s="237">
        <v>681.03044576388936</v>
      </c>
      <c r="BC7" s="237">
        <v>706.4513975000001</v>
      </c>
      <c r="BD7" s="237">
        <v>728.2158975000001</v>
      </c>
      <c r="BE7" s="237">
        <v>751.33889750000014</v>
      </c>
      <c r="BF7" s="237">
        <v>775.82039750000013</v>
      </c>
      <c r="BG7" s="237">
        <v>801.66039750000016</v>
      </c>
      <c r="BH7" s="237">
        <v>828.85889750000001</v>
      </c>
      <c r="BI7" s="237">
        <v>857.41589750000003</v>
      </c>
      <c r="BJ7" s="237">
        <v>887.33139750000009</v>
      </c>
      <c r="BK7" s="237">
        <v>918.60539749999998</v>
      </c>
      <c r="BL7" s="237">
        <v>951.23789750000014</v>
      </c>
      <c r="BM7" s="237">
        <v>985.22889750000013</v>
      </c>
      <c r="BN7" s="237">
        <v>1020.5783975000001</v>
      </c>
      <c r="BO7" s="237">
        <v>1057.2863975</v>
      </c>
      <c r="BP7" s="237">
        <v>1094.4385225000001</v>
      </c>
      <c r="BQ7" s="237">
        <v>1132.0347725000001</v>
      </c>
      <c r="BR7" s="237">
        <v>1170.0751475000002</v>
      </c>
      <c r="BS7" s="237">
        <v>1208.5596475000002</v>
      </c>
      <c r="BT7" s="237">
        <v>1247.4882725</v>
      </c>
      <c r="BU7" s="237">
        <v>1286.8610225</v>
      </c>
      <c r="BV7" s="237">
        <v>1326.6778975</v>
      </c>
      <c r="BW7" s="237">
        <v>1366.9388975000002</v>
      </c>
      <c r="BX7" s="237">
        <v>1407.6440224999999</v>
      </c>
      <c r="BY7" s="237">
        <v>1448.7932725000001</v>
      </c>
      <c r="BZ7" s="237">
        <v>1490.3866475</v>
      </c>
      <c r="CA7" s="237">
        <v>1532.4241475000001</v>
      </c>
      <c r="CB7" s="237">
        <v>1574.9057725</v>
      </c>
      <c r="CC7" s="237">
        <v>1617.8315224999997</v>
      </c>
      <c r="CD7" s="237">
        <v>1661.2013975</v>
      </c>
      <c r="CE7" s="237">
        <v>1705.0153975000003</v>
      </c>
      <c r="CF7" s="237">
        <v>1749.2735225000001</v>
      </c>
      <c r="CG7" s="237">
        <v>1793.9757725000002</v>
      </c>
      <c r="CH7" s="237">
        <v>1839.1221475</v>
      </c>
      <c r="CI7" s="237">
        <v>1884.7126475</v>
      </c>
      <c r="CJ7" s="237">
        <v>1930.7472724999998</v>
      </c>
      <c r="CK7" s="237">
        <v>1977.2260225</v>
      </c>
      <c r="CL7" s="237">
        <v>2024.1488975</v>
      </c>
      <c r="CM7" s="237">
        <v>2071.5158975000004</v>
      </c>
      <c r="CN7" s="237">
        <v>2119.2700224999999</v>
      </c>
      <c r="CO7" s="237">
        <v>2167.4112725</v>
      </c>
      <c r="CP7" s="237">
        <v>2215.9396474999994</v>
      </c>
      <c r="CQ7" s="237">
        <v>2264.8551475000004</v>
      </c>
      <c r="CR7" s="237">
        <v>2314.1577725000002</v>
      </c>
      <c r="CS7" s="237">
        <v>2363.8475225000002</v>
      </c>
      <c r="CT7" s="237">
        <v>2413.9243974999999</v>
      </c>
      <c r="CU7" s="237">
        <v>2464.3883974999999</v>
      </c>
      <c r="CV7" s="237">
        <v>2515.2395225</v>
      </c>
      <c r="CW7" s="237">
        <v>2566.4777724999999</v>
      </c>
      <c r="CX7" s="237">
        <v>2618.1031475</v>
      </c>
      <c r="CY7" s="237">
        <v>2670.1156475000003</v>
      </c>
    </row>
    <row r="8" spans="1:103">
      <c r="A8" s="230"/>
      <c r="B8" s="230" t="s">
        <v>243</v>
      </c>
      <c r="C8" s="230"/>
      <c r="D8" s="230"/>
      <c r="E8" s="232"/>
      <c r="F8" s="232"/>
      <c r="G8" s="232" t="s">
        <v>736</v>
      </c>
      <c r="H8" s="232"/>
      <c r="I8" s="232"/>
      <c r="J8" s="232"/>
      <c r="K8" s="232"/>
      <c r="L8" s="230"/>
      <c r="M8" s="230"/>
      <c r="N8" s="230"/>
      <c r="O8" s="230"/>
      <c r="P8" s="230"/>
      <c r="Q8" s="230"/>
      <c r="R8" s="230"/>
      <c r="S8" s="230"/>
      <c r="T8" s="237">
        <f t="shared" si="2"/>
        <v>140.183711824</v>
      </c>
      <c r="U8" s="237">
        <f t="shared" si="2"/>
        <v>160.44677578299999</v>
      </c>
      <c r="V8" s="237">
        <f t="shared" si="2"/>
        <v>166.726677013</v>
      </c>
      <c r="W8" s="237">
        <f t="shared" si="2"/>
        <v>186.77725496299999</v>
      </c>
      <c r="X8" s="237">
        <f t="shared" si="2"/>
        <v>188.38201409300001</v>
      </c>
      <c r="Y8" s="237">
        <f t="shared" si="2"/>
        <v>204.118976503</v>
      </c>
      <c r="Z8" s="237">
        <f t="shared" si="2"/>
        <v>222.28352097199999</v>
      </c>
      <c r="AA8" s="237">
        <f t="shared" si="2"/>
        <v>234.07719296100001</v>
      </c>
      <c r="AB8" s="237">
        <f t="shared" si="2"/>
        <v>253.27044091600001</v>
      </c>
      <c r="AC8" s="237">
        <f t="shared" si="2"/>
        <v>265.628187454</v>
      </c>
      <c r="AD8" s="237">
        <f t="shared" si="2"/>
        <v>282.67567910499997</v>
      </c>
      <c r="AE8" s="237">
        <f t="shared" si="2"/>
        <v>317.67828625200002</v>
      </c>
      <c r="AF8" s="237">
        <f t="shared" si="2"/>
        <v>338.71520285499997</v>
      </c>
      <c r="AG8" s="237">
        <f t="shared" si="2"/>
        <v>399.018909468</v>
      </c>
      <c r="AH8" s="237">
        <f t="shared" si="2"/>
        <v>456.418034261</v>
      </c>
      <c r="AI8" s="237">
        <f t="shared" si="2"/>
        <v>501.19347382999996</v>
      </c>
      <c r="AJ8" s="237">
        <f t="shared" si="2"/>
        <v>541.84731320499998</v>
      </c>
      <c r="AK8" s="237">
        <f t="shared" si="2"/>
        <v>519.06971827300003</v>
      </c>
      <c r="AL8" s="237">
        <f t="shared" si="2"/>
        <v>553.09918264700002</v>
      </c>
      <c r="AM8" s="237">
        <f t="shared" si="2"/>
        <v>607.87166858899991</v>
      </c>
      <c r="AN8" s="237">
        <f t="shared" si="2"/>
        <v>676.29887493600006</v>
      </c>
      <c r="AO8" s="237">
        <f t="shared" si="2"/>
        <v>700.78902973300001</v>
      </c>
      <c r="AP8" s="237">
        <f t="shared" si="2"/>
        <v>371.32918575849004</v>
      </c>
      <c r="AQ8" s="237">
        <f t="shared" si="2"/>
        <v>196.71746845199974</v>
      </c>
      <c r="AR8" s="237">
        <v>831.78415985954291</v>
      </c>
      <c r="AS8" s="237">
        <v>889.10559728038277</v>
      </c>
      <c r="AT8" s="237">
        <v>937.99420874236353</v>
      </c>
      <c r="AU8" s="237">
        <v>983.40638354430553</v>
      </c>
      <c r="AV8" s="237">
        <v>1027.1076662985088</v>
      </c>
      <c r="AW8" s="237">
        <v>1072.9852546307322</v>
      </c>
      <c r="AX8" s="237">
        <v>1119.0772952859752</v>
      </c>
      <c r="AY8" s="237">
        <v>1167.5411139380419</v>
      </c>
      <c r="AZ8" s="237">
        <v>1217.8639772503898</v>
      </c>
      <c r="BA8" s="237">
        <v>1269.8352299530795</v>
      </c>
      <c r="BB8" s="237">
        <v>1322.3899345161044</v>
      </c>
      <c r="BC8" s="237">
        <v>1376.0992908874225</v>
      </c>
      <c r="BD8" s="237">
        <v>1422.9162099291812</v>
      </c>
      <c r="BE8" s="237">
        <v>1467.3993242966028</v>
      </c>
      <c r="BF8" s="237">
        <v>1512.4692155161974</v>
      </c>
      <c r="BG8" s="237">
        <v>1558.4851759185592</v>
      </c>
      <c r="BH8" s="237">
        <v>1606.2391486772017</v>
      </c>
      <c r="BI8" s="237">
        <v>1656.1304426481715</v>
      </c>
      <c r="BJ8" s="237">
        <v>1708.355555521689</v>
      </c>
      <c r="BK8" s="237">
        <v>1763.2331986904519</v>
      </c>
      <c r="BL8" s="237">
        <v>1820.7343595508814</v>
      </c>
      <c r="BM8" s="237">
        <v>1880.8316494106102</v>
      </c>
      <c r="BN8" s="237">
        <v>1943.4665471503156</v>
      </c>
      <c r="BO8" s="237">
        <v>2008.5861447522564</v>
      </c>
      <c r="BP8" s="237">
        <v>2077.8332050979843</v>
      </c>
      <c r="BQ8" s="237">
        <v>2149.5604598431378</v>
      </c>
      <c r="BR8" s="237">
        <v>2222.942530218671</v>
      </c>
      <c r="BS8" s="237">
        <v>2297.5665033535811</v>
      </c>
      <c r="BT8" s="237">
        <v>2373.2280285656625</v>
      </c>
      <c r="BU8" s="237">
        <v>2449.8268209875255</v>
      </c>
      <c r="BV8" s="237">
        <v>2527.3144964151356</v>
      </c>
      <c r="BW8" s="237">
        <v>2605.6682876890159</v>
      </c>
      <c r="BX8" s="237">
        <v>2684.8557488138149</v>
      </c>
      <c r="BY8" s="237">
        <v>2764.8836649817499</v>
      </c>
      <c r="BZ8" s="237">
        <v>2845.7662837974176</v>
      </c>
      <c r="CA8" s="237">
        <v>2927.515822171923</v>
      </c>
      <c r="CB8" s="237">
        <v>3010.140659367341</v>
      </c>
      <c r="CC8" s="237">
        <v>3093.6458849570759</v>
      </c>
      <c r="CD8" s="237">
        <v>3178.0342907263598</v>
      </c>
      <c r="CE8" s="237">
        <v>3263.3072156681828</v>
      </c>
      <c r="CF8" s="237">
        <v>3349.4651383567743</v>
      </c>
      <c r="CG8" s="237">
        <v>3436.5079214498646</v>
      </c>
      <c r="CH8" s="237">
        <v>3524.4351789063298</v>
      </c>
      <c r="CI8" s="237">
        <v>3613.2464982927349</v>
      </c>
      <c r="CJ8" s="237">
        <v>3702.9415338394292</v>
      </c>
      <c r="CK8" s="237">
        <v>3793.5200261503928</v>
      </c>
      <c r="CL8" s="237">
        <v>3884.9817902951677</v>
      </c>
      <c r="CM8" s="237">
        <v>3977.3266951775036</v>
      </c>
      <c r="CN8" s="237">
        <v>4070.4976442216084</v>
      </c>
      <c r="CO8" s="237">
        <v>4164.4660605674653</v>
      </c>
      <c r="CP8" s="237">
        <v>4259.2176261827863</v>
      </c>
      <c r="CQ8" s="237">
        <v>4354.7451501550167</v>
      </c>
      <c r="CR8" s="237">
        <v>4451.0450028420009</v>
      </c>
      <c r="CS8" s="237">
        <v>4548.1153334396004</v>
      </c>
      <c r="CT8" s="237">
        <v>4645.9551793256687</v>
      </c>
      <c r="CU8" s="237">
        <v>4744.5640211922027</v>
      </c>
      <c r="CV8" s="237">
        <v>4843.9423972276727</v>
      </c>
      <c r="CW8" s="237">
        <v>4944.0909392478297</v>
      </c>
      <c r="CX8" s="237">
        <v>5045.0101123282238</v>
      </c>
      <c r="CY8" s="237">
        <v>5146.7001922196332</v>
      </c>
    </row>
    <row r="9" spans="1:103">
      <c r="A9" s="230"/>
      <c r="B9" s="230" t="s">
        <v>456</v>
      </c>
      <c r="C9" s="230"/>
      <c r="D9" s="230"/>
      <c r="E9" s="232"/>
      <c r="F9" s="232"/>
      <c r="G9" s="232" t="s">
        <v>736</v>
      </c>
      <c r="H9" s="232"/>
      <c r="I9" s="232"/>
      <c r="J9" s="232"/>
      <c r="K9" s="232"/>
      <c r="L9" s="230"/>
      <c r="M9" s="230"/>
      <c r="N9" s="230"/>
      <c r="O9" s="230"/>
      <c r="P9" s="230"/>
      <c r="Q9" s="230"/>
      <c r="R9" s="230"/>
      <c r="S9" s="230"/>
      <c r="T9" s="237">
        <f t="shared" si="2"/>
        <v>93.586313086000004</v>
      </c>
      <c r="U9" s="237">
        <f t="shared" si="2"/>
        <v>114.22001457</v>
      </c>
      <c r="V9" s="237">
        <f t="shared" si="2"/>
        <v>124.116324666</v>
      </c>
      <c r="W9" s="237">
        <f t="shared" si="2"/>
        <v>137.57796582</v>
      </c>
      <c r="X9" s="237">
        <f t="shared" si="2"/>
        <v>146.46535326200001</v>
      </c>
      <c r="Y9" s="237">
        <f t="shared" si="2"/>
        <v>156.59016147899999</v>
      </c>
      <c r="Z9" s="237">
        <f t="shared" si="2"/>
        <v>166.93398159700001</v>
      </c>
      <c r="AA9" s="237">
        <f t="shared" si="2"/>
        <v>181.11566981499999</v>
      </c>
      <c r="AB9" s="237">
        <f t="shared" si="2"/>
        <v>193.88940620899999</v>
      </c>
      <c r="AC9" s="237">
        <f t="shared" si="2"/>
        <v>203.502232531</v>
      </c>
      <c r="AD9" s="237">
        <f t="shared" si="2"/>
        <v>215.30690820199999</v>
      </c>
      <c r="AE9" s="237">
        <f t="shared" si="2"/>
        <v>227.161</v>
      </c>
      <c r="AF9" s="237">
        <f t="shared" si="2"/>
        <v>241.44300000000001</v>
      </c>
      <c r="AG9" s="237">
        <f t="shared" si="2"/>
        <v>263.44499999999999</v>
      </c>
      <c r="AH9" s="237">
        <f t="shared" si="2"/>
        <v>289.81700000000001</v>
      </c>
      <c r="AI9" s="237">
        <f t="shared" si="2"/>
        <v>327.18899999999996</v>
      </c>
      <c r="AJ9" s="237">
        <f t="shared" si="2"/>
        <v>352.36700000000002</v>
      </c>
      <c r="AK9" s="237">
        <f t="shared" si="2"/>
        <v>310.49853763500005</v>
      </c>
      <c r="AL9" s="237">
        <f t="shared" si="2"/>
        <v>330.93353763499999</v>
      </c>
      <c r="AM9" s="237">
        <f t="shared" si="2"/>
        <v>369.12900000000002</v>
      </c>
      <c r="AN9" s="237">
        <f t="shared" si="2"/>
        <v>391.64699999999999</v>
      </c>
      <c r="AO9" s="237">
        <f t="shared" si="2"/>
        <v>415.43700000000001</v>
      </c>
      <c r="AP9" s="237">
        <f t="shared" si="2"/>
        <v>316.42768042771769</v>
      </c>
      <c r="AQ9" s="237">
        <f t="shared" si="2"/>
        <v>167.66651746669044</v>
      </c>
      <c r="AR9" s="237">
        <v>461.8588019816645</v>
      </c>
      <c r="AS9" s="237">
        <v>459.97975113355795</v>
      </c>
      <c r="AT9" s="237">
        <v>492.99926108009419</v>
      </c>
      <c r="AU9" s="237">
        <v>521.48257188936259</v>
      </c>
      <c r="AV9" s="237">
        <v>548.15033670735943</v>
      </c>
      <c r="AW9" s="237">
        <v>573.97179476791678</v>
      </c>
      <c r="AX9" s="237">
        <v>601.1179652282882</v>
      </c>
      <c r="AY9" s="237">
        <v>628.48905774251705</v>
      </c>
      <c r="AZ9" s="237">
        <v>657.2990237218122</v>
      </c>
      <c r="BA9" s="237">
        <v>687.26668350144166</v>
      </c>
      <c r="BB9" s="237">
        <v>718.27882121503069</v>
      </c>
      <c r="BC9" s="237">
        <v>749.73211122544672</v>
      </c>
      <c r="BD9" s="237">
        <v>778.0885197413229</v>
      </c>
      <c r="BE9" s="237">
        <v>802.41709614987258</v>
      </c>
      <c r="BF9" s="237">
        <v>825.32153140515425</v>
      </c>
      <c r="BG9" s="237">
        <v>848.45025390323872</v>
      </c>
      <c r="BH9" s="237">
        <v>872.01595945758754</v>
      </c>
      <c r="BI9" s="237">
        <v>896.45634078943749</v>
      </c>
      <c r="BJ9" s="237">
        <v>921.9868386554067</v>
      </c>
      <c r="BK9" s="237">
        <v>948.70835180330425</v>
      </c>
      <c r="BL9" s="237">
        <v>976.78837816800046</v>
      </c>
      <c r="BM9" s="237">
        <v>1006.2011508301753</v>
      </c>
      <c r="BN9" s="237">
        <v>1036.9212840343855</v>
      </c>
      <c r="BO9" s="237">
        <v>1068.9066009326737</v>
      </c>
      <c r="BP9" s="237">
        <v>1104.7223796137409</v>
      </c>
      <c r="BQ9" s="237">
        <v>1142.8082628038915</v>
      </c>
      <c r="BR9" s="237">
        <v>1182.2582529137258</v>
      </c>
      <c r="BS9" s="237">
        <v>1222.618391620269</v>
      </c>
      <c r="BT9" s="237">
        <v>1263.6615768444699</v>
      </c>
      <c r="BU9" s="237">
        <v>1305.2754157111144</v>
      </c>
      <c r="BV9" s="237">
        <v>1347.4047515431391</v>
      </c>
      <c r="BW9" s="237">
        <v>1390.0229730283245</v>
      </c>
      <c r="BX9" s="237">
        <v>1433.1175582289588</v>
      </c>
      <c r="BY9" s="237">
        <v>1476.6706618475982</v>
      </c>
      <c r="BZ9" s="237">
        <v>1520.6860157399626</v>
      </c>
      <c r="CA9" s="237">
        <v>1565.1714560885796</v>
      </c>
      <c r="CB9" s="237">
        <v>1610.1337021945578</v>
      </c>
      <c r="CC9" s="237">
        <v>1655.5773626520377</v>
      </c>
      <c r="CD9" s="237">
        <v>1701.505236726392</v>
      </c>
      <c r="CE9" s="237">
        <v>1747.9188598994981</v>
      </c>
      <c r="CF9" s="237">
        <v>1794.8189686175006</v>
      </c>
      <c r="CG9" s="237">
        <v>1842.2058260962262</v>
      </c>
      <c r="CH9" s="237">
        <v>1890.0793567974258</v>
      </c>
      <c r="CI9" s="237">
        <v>1938.4393483984816</v>
      </c>
      <c r="CJ9" s="237">
        <v>1987.2855740610046</v>
      </c>
      <c r="CK9" s="237">
        <v>2036.6178436116861</v>
      </c>
      <c r="CL9" s="237">
        <v>2086.4360143827162</v>
      </c>
      <c r="CM9" s="237">
        <v>2136.7399846623425</v>
      </c>
      <c r="CN9" s="237">
        <v>2187.5296823476274</v>
      </c>
      <c r="CO9" s="237">
        <v>2238.7737043218849</v>
      </c>
      <c r="CP9" s="237">
        <v>2290.4563333121064</v>
      </c>
      <c r="CQ9" s="237">
        <v>2342.5696944005331</v>
      </c>
      <c r="CR9" s="237">
        <v>2395.1098325852595</v>
      </c>
      <c r="CS9" s="237">
        <v>2448.074751563101</v>
      </c>
      <c r="CT9" s="237">
        <v>2501.4634333917802</v>
      </c>
      <c r="CU9" s="237">
        <v>2555.2753486291176</v>
      </c>
      <c r="CV9" s="237">
        <v>2609.5102116557118</v>
      </c>
      <c r="CW9" s="237">
        <v>2664.1683184752201</v>
      </c>
      <c r="CX9" s="237">
        <v>2719.2500165863066</v>
      </c>
      <c r="CY9" s="237">
        <v>2774.7555617805237</v>
      </c>
    </row>
    <row r="10" spans="1:103">
      <c r="A10" s="230"/>
      <c r="B10" s="230" t="s">
        <v>215</v>
      </c>
      <c r="C10" s="230"/>
      <c r="D10" s="230"/>
      <c r="E10" s="232"/>
      <c r="F10" s="230"/>
      <c r="G10" s="232" t="s">
        <v>736</v>
      </c>
      <c r="H10" s="232"/>
      <c r="I10" s="232"/>
      <c r="J10" s="232"/>
      <c r="K10" s="232"/>
      <c r="L10" s="230"/>
      <c r="M10" s="230"/>
      <c r="N10" s="230"/>
      <c r="O10" s="230"/>
      <c r="P10" s="230"/>
      <c r="Q10" s="230"/>
      <c r="R10" s="230"/>
      <c r="S10" s="230"/>
      <c r="T10" s="590">
        <f t="shared" ref="T10:AQ10" si="3">T14+T17+T32</f>
        <v>4.5085804940000003</v>
      </c>
      <c r="U10" s="590">
        <f t="shared" si="3"/>
        <v>2.017898642</v>
      </c>
      <c r="V10" s="590">
        <f t="shared" si="3"/>
        <v>3.1744414939999999</v>
      </c>
      <c r="W10" s="590">
        <f t="shared" si="3"/>
        <v>3.736219534</v>
      </c>
      <c r="X10" s="590">
        <f t="shared" si="3"/>
        <v>3.9291160609999998</v>
      </c>
      <c r="Y10" s="590">
        <f t="shared" si="3"/>
        <v>3.6266023449999998</v>
      </c>
      <c r="Z10" s="590">
        <f t="shared" si="3"/>
        <v>4.1713977779999993</v>
      </c>
      <c r="AA10" s="590">
        <f t="shared" si="3"/>
        <v>5.9482512910000001</v>
      </c>
      <c r="AB10" s="590">
        <f t="shared" si="3"/>
        <v>3.7040071139999999</v>
      </c>
      <c r="AC10" s="590">
        <f t="shared" si="3"/>
        <v>5.2548610709999997</v>
      </c>
      <c r="AD10" s="590">
        <f t="shared" si="3"/>
        <v>6.4587754200000003</v>
      </c>
      <c r="AE10" s="591">
        <f t="shared" si="3"/>
        <v>8.9565104499999997</v>
      </c>
      <c r="AF10" s="591">
        <f t="shared" si="3"/>
        <v>7.6239247278395919</v>
      </c>
      <c r="AG10" s="591">
        <f>AG14+AG17+AG32</f>
        <v>10.147956150000001</v>
      </c>
      <c r="AH10" s="591">
        <f t="shared" si="3"/>
        <v>7.541440133</v>
      </c>
      <c r="AI10" s="591">
        <f t="shared" si="3"/>
        <v>11.671951828000001</v>
      </c>
      <c r="AJ10" s="591">
        <f t="shared" si="3"/>
        <v>13.543199795</v>
      </c>
      <c r="AK10" s="591">
        <f t="shared" si="3"/>
        <v>12.851233295</v>
      </c>
      <c r="AL10" s="591">
        <f t="shared" si="3"/>
        <v>13.102927551999999</v>
      </c>
      <c r="AM10" s="591">
        <f t="shared" si="3"/>
        <v>14.699241122999997</v>
      </c>
      <c r="AN10" s="591">
        <f t="shared" si="3"/>
        <v>16.661545451000002</v>
      </c>
      <c r="AO10" s="591">
        <f t="shared" si="3"/>
        <v>7.1080421910916201</v>
      </c>
      <c r="AP10" s="591">
        <f t="shared" si="3"/>
        <v>0.23042712203455668</v>
      </c>
      <c r="AQ10" s="591">
        <f t="shared" si="3"/>
        <v>0.31480434990521</v>
      </c>
      <c r="AR10" s="591">
        <v>24.491781744467801</v>
      </c>
      <c r="AS10" s="591">
        <v>24.660502545011553</v>
      </c>
      <c r="AT10" s="591">
        <v>25.711473740762766</v>
      </c>
      <c r="AU10" s="591">
        <v>26.474627286027314</v>
      </c>
      <c r="AV10" s="591">
        <v>28.400957761443255</v>
      </c>
      <c r="AW10" s="591">
        <v>29.979383379313738</v>
      </c>
      <c r="AX10" s="591">
        <v>31.526726413438148</v>
      </c>
      <c r="AY10" s="591">
        <v>32.796977734301834</v>
      </c>
      <c r="AZ10" s="591">
        <v>35.509475451894104</v>
      </c>
      <c r="BA10" s="591">
        <v>35.250597350513871</v>
      </c>
      <c r="BB10" s="591">
        <v>36.62752650234745</v>
      </c>
      <c r="BC10" s="591">
        <v>38.559833183690692</v>
      </c>
      <c r="BD10" s="591">
        <v>40.950052636645445</v>
      </c>
      <c r="BE10" s="591">
        <v>41.764319106965701</v>
      </c>
      <c r="BF10" s="591">
        <v>43.09097393437527</v>
      </c>
      <c r="BG10" s="591">
        <v>43.725628161627583</v>
      </c>
      <c r="BH10" s="591">
        <v>45.452317568856714</v>
      </c>
      <c r="BI10" s="591">
        <v>46.979372393200862</v>
      </c>
      <c r="BJ10" s="591">
        <v>48.519756473178504</v>
      </c>
      <c r="BK10" s="591">
        <v>49.858454137351679</v>
      </c>
      <c r="BL10" s="591">
        <v>51.249873175951194</v>
      </c>
      <c r="BM10" s="591">
        <v>52.61318219185177</v>
      </c>
      <c r="BN10" s="591">
        <v>54.171854392946386</v>
      </c>
      <c r="BO10" s="591">
        <v>56.299298013808439</v>
      </c>
      <c r="BP10" s="591">
        <v>58.715409279467693</v>
      </c>
      <c r="BQ10" s="591">
        <v>60.309339098364376</v>
      </c>
      <c r="BR10" s="591">
        <v>62.501806492963965</v>
      </c>
      <c r="BS10" s="591">
        <v>64.145674435144585</v>
      </c>
      <c r="BT10" s="591">
        <v>66.718558753737369</v>
      </c>
      <c r="BU10" s="591">
        <v>69.104235792402946</v>
      </c>
      <c r="BV10" s="591">
        <v>71.469793543954125</v>
      </c>
      <c r="BW10" s="591">
        <v>73.629749595534065</v>
      </c>
      <c r="BX10" s="591">
        <v>75.800136350835089</v>
      </c>
      <c r="BY10" s="591">
        <v>77.911825538877196</v>
      </c>
      <c r="BZ10" s="591">
        <v>80.157394193754996</v>
      </c>
      <c r="CA10" s="591">
        <v>82.85822891328263</v>
      </c>
      <c r="CB10" s="591">
        <v>84.902192523445606</v>
      </c>
      <c r="CC10" s="591">
        <v>87.151724403070432</v>
      </c>
      <c r="CD10" s="591">
        <v>89.547012418522058</v>
      </c>
      <c r="CE10" s="591">
        <v>91.823220483297604</v>
      </c>
      <c r="CF10" s="591">
        <v>94.406575633356056</v>
      </c>
      <c r="CG10" s="591">
        <v>96.930068851524766</v>
      </c>
      <c r="CH10" s="591">
        <v>99.465559078776948</v>
      </c>
      <c r="CI10" s="591">
        <v>102.14922773330005</v>
      </c>
      <c r="CJ10" s="591">
        <v>104.77758349509676</v>
      </c>
      <c r="CK10" s="591">
        <v>107.04375117474723</v>
      </c>
      <c r="CL10" s="591">
        <v>109.71190889166014</v>
      </c>
      <c r="CM10" s="591">
        <v>112.68038698420023</v>
      </c>
      <c r="CN10" s="591">
        <v>114.80194555347126</v>
      </c>
      <c r="CO10" s="591">
        <v>117.48091170675193</v>
      </c>
      <c r="CP10" s="591">
        <v>120.17346325413934</v>
      </c>
      <c r="CQ10" s="591">
        <v>122.88815194723099</v>
      </c>
      <c r="CR10" s="591">
        <v>125.624803289478</v>
      </c>
      <c r="CS10" s="591">
        <v>128.38335277827167</v>
      </c>
      <c r="CT10" s="591">
        <v>131.16379048216763</v>
      </c>
      <c r="CU10" s="591">
        <v>133.96613334557352</v>
      </c>
      <c r="CV10" s="591">
        <v>136.79039534000805</v>
      </c>
      <c r="CW10" s="591">
        <v>139.63658563946549</v>
      </c>
      <c r="CX10" s="591">
        <v>142.50471369170089</v>
      </c>
      <c r="CY10" s="591">
        <v>145.39478281697285</v>
      </c>
    </row>
    <row r="11" spans="1:103">
      <c r="A11" s="230"/>
      <c r="B11" s="230" t="s">
        <v>99</v>
      </c>
      <c r="C11" s="230"/>
      <c r="D11" s="230"/>
      <c r="E11" s="232"/>
      <c r="F11" s="230"/>
      <c r="G11" s="232" t="s">
        <v>736</v>
      </c>
      <c r="H11" s="232"/>
      <c r="I11" s="232"/>
      <c r="J11" s="232"/>
      <c r="K11" s="232"/>
      <c r="L11" s="230"/>
      <c r="M11" s="230"/>
      <c r="N11" s="230"/>
      <c r="O11" s="230"/>
      <c r="P11" s="230"/>
      <c r="Q11" s="230"/>
      <c r="R11" s="230"/>
      <c r="S11" s="230"/>
      <c r="T11" s="231">
        <f t="shared" ref="T11:AQ11" si="4">T15+T27</f>
        <v>-1.4564495701446469</v>
      </c>
      <c r="U11" s="231">
        <f t="shared" si="4"/>
        <v>-1.663329023</v>
      </c>
      <c r="V11" s="231">
        <f t="shared" si="4"/>
        <v>-1.694566681</v>
      </c>
      <c r="W11" s="231">
        <f t="shared" si="4"/>
        <v>-1.802359563</v>
      </c>
      <c r="X11" s="231">
        <f t="shared" si="4"/>
        <v>-1.9340780739999999</v>
      </c>
      <c r="Y11" s="231">
        <f t="shared" si="4"/>
        <v>-2.02568422215783</v>
      </c>
      <c r="Z11" s="231">
        <f t="shared" si="4"/>
        <v>-2.2793506485450199</v>
      </c>
      <c r="AA11" s="231">
        <f t="shared" si="4"/>
        <v>-2.5098309593953498</v>
      </c>
      <c r="AB11" s="231">
        <f t="shared" si="4"/>
        <v>-2.44759975109951</v>
      </c>
      <c r="AC11" s="231">
        <f t="shared" si="4"/>
        <v>-2.44542600169002</v>
      </c>
      <c r="AD11" s="231">
        <f t="shared" si="4"/>
        <v>-2.5430218716192701</v>
      </c>
      <c r="AE11" s="592">
        <f t="shared" si="4"/>
        <v>-3.0352350597595787</v>
      </c>
      <c r="AF11" s="592">
        <f t="shared" si="4"/>
        <v>-3.245998640569856</v>
      </c>
      <c r="AG11" s="592">
        <f>AG15+AG27</f>
        <v>-3.3408029238800063</v>
      </c>
      <c r="AH11" s="592">
        <f t="shared" si="4"/>
        <v>-3.4499501998900071</v>
      </c>
      <c r="AI11" s="592">
        <f t="shared" si="4"/>
        <v>-4.2887200290000091</v>
      </c>
      <c r="AJ11" s="592">
        <f t="shared" si="4"/>
        <v>-4.6785822016199141</v>
      </c>
      <c r="AK11" s="592">
        <f t="shared" si="4"/>
        <v>-5.4637793293153614</v>
      </c>
      <c r="AL11" s="592">
        <f t="shared" si="4"/>
        <v>-5.5514828078605829</v>
      </c>
      <c r="AM11" s="592">
        <f t="shared" si="4"/>
        <v>-6.2978298252079998</v>
      </c>
      <c r="AN11" s="592">
        <f t="shared" si="4"/>
        <v>-5.0385249032612096</v>
      </c>
      <c r="AO11" s="592">
        <f t="shared" si="4"/>
        <v>-6287.4894513191575</v>
      </c>
      <c r="AP11" s="592">
        <f t="shared" si="4"/>
        <v>-13357.80610133148</v>
      </c>
      <c r="AQ11" s="592">
        <f t="shared" si="4"/>
        <v>-7077.9145670390189</v>
      </c>
      <c r="AR11" s="592">
        <v>-6.3110570459593713</v>
      </c>
      <c r="AS11" s="592">
        <v>-6.5379638433039968</v>
      </c>
      <c r="AT11" s="592">
        <v>-6.8931954569729612</v>
      </c>
      <c r="AU11" s="592">
        <v>-7.2244834446402839</v>
      </c>
      <c r="AV11" s="592">
        <v>-7.5472681944356168</v>
      </c>
      <c r="AW11" s="592">
        <v>-7.8745398635711794</v>
      </c>
      <c r="AX11" s="592">
        <v>-8.2107466558132902</v>
      </c>
      <c r="AY11" s="592">
        <v>-8.5563724850383736</v>
      </c>
      <c r="AZ11" s="592">
        <v>-8.915222164935992</v>
      </c>
      <c r="BA11" s="592">
        <v>-9.7897542226815641</v>
      </c>
      <c r="BB11" s="592">
        <v>-10.183988159766189</v>
      </c>
      <c r="BC11" s="592">
        <v>-10.586008168591416</v>
      </c>
      <c r="BD11" s="592">
        <v>-10.957983918079719</v>
      </c>
      <c r="BE11" s="592">
        <v>-11.317393051309089</v>
      </c>
      <c r="BF11" s="592">
        <v>-11.681375434112669</v>
      </c>
      <c r="BG11" s="592">
        <v>-12.057447444079653</v>
      </c>
      <c r="BH11" s="592">
        <v>-12.448247329240285</v>
      </c>
      <c r="BI11" s="592">
        <v>-12.856505042162315</v>
      </c>
      <c r="BJ11" s="592">
        <v>-13.283585972847597</v>
      </c>
      <c r="BK11" s="592">
        <v>-13.730670808777823</v>
      </c>
      <c r="BL11" s="592">
        <v>-14.198423443011389</v>
      </c>
      <c r="BM11" s="592">
        <v>-14.686714622578421</v>
      </c>
      <c r="BN11" s="592">
        <v>-15.195347470827119</v>
      </c>
      <c r="BO11" s="592">
        <v>-15.724066629318395</v>
      </c>
      <c r="BP11" s="592">
        <v>-16.271022921698467</v>
      </c>
      <c r="BQ11" s="592">
        <v>-16.836206022948403</v>
      </c>
      <c r="BR11" s="592">
        <v>-17.413949450099977</v>
      </c>
      <c r="BS11" s="592">
        <v>-18.001415451478078</v>
      </c>
      <c r="BT11" s="592">
        <v>-18.597189464773265</v>
      </c>
      <c r="BU11" s="592">
        <v>-19.200573366851057</v>
      </c>
      <c r="BV11" s="592">
        <v>-19.811226457756099</v>
      </c>
      <c r="BW11" s="592">
        <v>-21.112455131030352</v>
      </c>
      <c r="BX11" s="592">
        <v>-21.751976021527319</v>
      </c>
      <c r="BY11" s="592">
        <v>-22.378960271989833</v>
      </c>
      <c r="BZ11" s="592">
        <v>-23.013010582577259</v>
      </c>
      <c r="CA11" s="592">
        <v>-23.654187601138069</v>
      </c>
      <c r="CB11" s="592">
        <v>-24.302538527235814</v>
      </c>
      <c r="CC11" s="592">
        <v>-24.958094226951786</v>
      </c>
      <c r="CD11" s="592">
        <v>-25.620872761732873</v>
      </c>
      <c r="CE11" s="592">
        <v>-26.290883597945829</v>
      </c>
      <c r="CF11" s="592">
        <v>-26.968130900848863</v>
      </c>
      <c r="CG11" s="592">
        <v>-27.652615452431881</v>
      </c>
      <c r="CH11" s="592">
        <v>-28.344336053274617</v>
      </c>
      <c r="CI11" s="592">
        <v>-29.043290873539526</v>
      </c>
      <c r="CJ11" s="592">
        <v>-29.749478175677879</v>
      </c>
      <c r="CK11" s="592">
        <v>-30.462896572851676</v>
      </c>
      <c r="CL11" s="592">
        <v>-31.183545046812743</v>
      </c>
      <c r="CM11" s="592">
        <v>-31.911422873333201</v>
      </c>
      <c r="CN11" s="592">
        <v>-32.645952295664628</v>
      </c>
      <c r="CO11" s="592">
        <v>-33.38693697884996</v>
      </c>
      <c r="CP11" s="592">
        <v>-34.134278622094328</v>
      </c>
      <c r="CQ11" s="592">
        <v>-34.887927934065807</v>
      </c>
      <c r="CR11" s="592">
        <v>-35.647860117659832</v>
      </c>
      <c r="CS11" s="592">
        <v>-36.414062613520336</v>
      </c>
      <c r="CT11" s="592">
        <v>-37.186528974212081</v>
      </c>
      <c r="CU11" s="592">
        <v>-37.965255803645121</v>
      </c>
      <c r="CV11" s="592">
        <v>-38.750243145087211</v>
      </c>
      <c r="CW11" s="592">
        <v>-39.541493679798023</v>
      </c>
      <c r="CX11" s="592">
        <v>-40.339009921486792</v>
      </c>
      <c r="CY11" s="592">
        <v>-41.142793567880503</v>
      </c>
    </row>
    <row r="12" spans="1:103">
      <c r="A12" s="229"/>
      <c r="B12" s="229" t="s">
        <v>217</v>
      </c>
      <c r="C12" s="229"/>
      <c r="D12" s="229"/>
      <c r="E12" s="203"/>
      <c r="F12" s="229"/>
      <c r="G12" s="232" t="s">
        <v>736</v>
      </c>
      <c r="H12" s="203"/>
      <c r="I12" s="203"/>
      <c r="J12" s="203"/>
      <c r="K12" s="203"/>
      <c r="L12" s="229"/>
      <c r="M12" s="229"/>
      <c r="N12" s="229">
        <f t="shared" ref="N12:S12" si="5">N13+N16</f>
        <v>0</v>
      </c>
      <c r="O12" s="229">
        <f t="shared" si="5"/>
        <v>0</v>
      </c>
      <c r="P12" s="229">
        <f t="shared" si="5"/>
        <v>-6.1010600000000002E-4</v>
      </c>
      <c r="Q12" s="229">
        <f t="shared" si="5"/>
        <v>0.22808797299999997</v>
      </c>
      <c r="R12" s="229">
        <f t="shared" si="5"/>
        <v>0.48460137544444454</v>
      </c>
      <c r="S12" s="229">
        <f t="shared" si="5"/>
        <v>1.2581743767777778</v>
      </c>
      <c r="T12" s="275">
        <f t="shared" ref="T12:AQ12" si="6">T13+T16+T32</f>
        <v>3.052130923855354</v>
      </c>
      <c r="U12" s="275">
        <f t="shared" si="6"/>
        <v>0.35456961900000006</v>
      </c>
      <c r="V12" s="275">
        <f t="shared" si="6"/>
        <v>1.4798748129999999</v>
      </c>
      <c r="W12" s="275">
        <f t="shared" si="6"/>
        <v>1.933859971</v>
      </c>
      <c r="X12" s="275">
        <f t="shared" si="6"/>
        <v>1.9950379869999999</v>
      </c>
      <c r="Y12" s="275">
        <f t="shared" si="6"/>
        <v>1.6009181228421698</v>
      </c>
      <c r="Z12" s="275">
        <f t="shared" si="6"/>
        <v>1.8920471294549799</v>
      </c>
      <c r="AA12" s="275">
        <f t="shared" si="6"/>
        <v>3.4384203316046502</v>
      </c>
      <c r="AB12" s="275">
        <f t="shared" si="6"/>
        <v>1.2564073629004899</v>
      </c>
      <c r="AC12" s="275">
        <f t="shared" si="6"/>
        <v>2.8094350693099797</v>
      </c>
      <c r="AD12" s="275">
        <f t="shared" si="6"/>
        <v>3.9157535483807298</v>
      </c>
      <c r="AE12" s="593">
        <f t="shared" si="6"/>
        <v>5.9212753902404209</v>
      </c>
      <c r="AF12" s="593">
        <f t="shared" si="6"/>
        <v>4.377926087269735</v>
      </c>
      <c r="AG12" s="593">
        <f>AG13+AG16+AG32</f>
        <v>6.8071532261199943</v>
      </c>
      <c r="AH12" s="593">
        <f t="shared" si="6"/>
        <v>4.091489933109993</v>
      </c>
      <c r="AI12" s="593">
        <f t="shared" si="6"/>
        <v>7.3832317989999918</v>
      </c>
      <c r="AJ12" s="593">
        <f t="shared" si="6"/>
        <v>8.8646175933800855</v>
      </c>
      <c r="AK12" s="593">
        <f t="shared" si="6"/>
        <v>7.3874539656846379</v>
      </c>
      <c r="AL12" s="593">
        <f t="shared" si="6"/>
        <v>7.551444744139415</v>
      </c>
      <c r="AM12" s="593">
        <f t="shared" si="6"/>
        <v>8.4014112977919968</v>
      </c>
      <c r="AN12" s="593">
        <f t="shared" si="6"/>
        <v>11.623020547738792</v>
      </c>
      <c r="AO12" s="593">
        <f t="shared" si="6"/>
        <v>-6280.3814091280656</v>
      </c>
      <c r="AP12" s="593">
        <f t="shared" si="6"/>
        <v>-13357.575674209445</v>
      </c>
      <c r="AQ12" s="593">
        <f t="shared" si="6"/>
        <v>-7077.599762689114</v>
      </c>
      <c r="AR12" s="593">
        <v>18.180724698508428</v>
      </c>
      <c r="AS12" s="593">
        <v>18.122538701707555</v>
      </c>
      <c r="AT12" s="593">
        <v>18.818278283789805</v>
      </c>
      <c r="AU12" s="593">
        <v>19.250143841387029</v>
      </c>
      <c r="AV12" s="593">
        <v>20.853689567007638</v>
      </c>
      <c r="AW12" s="593">
        <v>22.104843515742559</v>
      </c>
      <c r="AX12" s="593">
        <v>23.315979757624859</v>
      </c>
      <c r="AY12" s="593">
        <v>24.240605249263456</v>
      </c>
      <c r="AZ12" s="593">
        <v>26.594253286958111</v>
      </c>
      <c r="BA12" s="593">
        <v>25.460843127832302</v>
      </c>
      <c r="BB12" s="593">
        <v>26.443538342581267</v>
      </c>
      <c r="BC12" s="593">
        <v>27.973825015099276</v>
      </c>
      <c r="BD12" s="593">
        <v>29.992068718565726</v>
      </c>
      <c r="BE12" s="593">
        <v>30.446926055656615</v>
      </c>
      <c r="BF12" s="593">
        <v>31.409598500262604</v>
      </c>
      <c r="BG12" s="593">
        <v>31.668180717547934</v>
      </c>
      <c r="BH12" s="593">
        <v>33.004070239616425</v>
      </c>
      <c r="BI12" s="593">
        <v>34.122867351038551</v>
      </c>
      <c r="BJ12" s="593">
        <v>35.236170500330907</v>
      </c>
      <c r="BK12" s="593">
        <v>36.127783328573855</v>
      </c>
      <c r="BL12" s="593">
        <v>37.051449732939801</v>
      </c>
      <c r="BM12" s="593">
        <v>37.926467569273349</v>
      </c>
      <c r="BN12" s="593">
        <v>38.97650692211927</v>
      </c>
      <c r="BO12" s="593">
        <v>40.575231384490046</v>
      </c>
      <c r="BP12" s="593">
        <v>42.444386357769218</v>
      </c>
      <c r="BQ12" s="593">
        <v>43.473133075415973</v>
      </c>
      <c r="BR12" s="593">
        <v>45.087857042863988</v>
      </c>
      <c r="BS12" s="593">
        <v>46.144258983666511</v>
      </c>
      <c r="BT12" s="593">
        <v>48.121369288964104</v>
      </c>
      <c r="BU12" s="593">
        <v>49.903662425551886</v>
      </c>
      <c r="BV12" s="593">
        <v>51.658567086198026</v>
      </c>
      <c r="BW12" s="593">
        <v>52.517294464503713</v>
      </c>
      <c r="BX12" s="593">
        <v>54.048160329307777</v>
      </c>
      <c r="BY12" s="593">
        <v>55.532865266887356</v>
      </c>
      <c r="BZ12" s="593">
        <v>57.14438361117773</v>
      </c>
      <c r="CA12" s="593">
        <v>59.204041312144561</v>
      </c>
      <c r="CB12" s="593">
        <v>60.599653996209788</v>
      </c>
      <c r="CC12" s="593">
        <v>62.193630176118639</v>
      </c>
      <c r="CD12" s="593">
        <v>63.926139656789189</v>
      </c>
      <c r="CE12" s="593">
        <v>65.532336885351782</v>
      </c>
      <c r="CF12" s="593">
        <v>67.438444732507207</v>
      </c>
      <c r="CG12" s="593">
        <v>69.277453399092877</v>
      </c>
      <c r="CH12" s="593">
        <v>71.121223025502331</v>
      </c>
      <c r="CI12" s="593">
        <v>73.105936859760519</v>
      </c>
      <c r="CJ12" s="593">
        <v>75.028105319418884</v>
      </c>
      <c r="CK12" s="593">
        <v>76.580854601895567</v>
      </c>
      <c r="CL12" s="593">
        <v>78.528363844847405</v>
      </c>
      <c r="CM12" s="593">
        <v>80.768964110867017</v>
      </c>
      <c r="CN12" s="593">
        <v>82.155993257806628</v>
      </c>
      <c r="CO12" s="593">
        <v>84.093974727901966</v>
      </c>
      <c r="CP12" s="593">
        <v>86.039184632045021</v>
      </c>
      <c r="CQ12" s="593">
        <v>88.000224013165194</v>
      </c>
      <c r="CR12" s="593">
        <v>89.976943171818164</v>
      </c>
      <c r="CS12" s="593">
        <v>91.969290164751328</v>
      </c>
      <c r="CT12" s="593">
        <v>93.977261507955546</v>
      </c>
      <c r="CU12" s="593">
        <v>96.000877541928404</v>
      </c>
      <c r="CV12" s="593">
        <v>98.040152194920836</v>
      </c>
      <c r="CW12" s="593">
        <v>100.09509195966746</v>
      </c>
      <c r="CX12" s="593">
        <v>102.16570377021409</v>
      </c>
      <c r="CY12" s="593">
        <v>104.25198924909235</v>
      </c>
    </row>
    <row r="13" spans="1:103">
      <c r="A13" s="230"/>
      <c r="B13" s="230"/>
      <c r="C13" s="229" t="s">
        <v>218</v>
      </c>
      <c r="D13" s="230"/>
      <c r="E13" s="203"/>
      <c r="F13" s="230"/>
      <c r="G13" s="232" t="s">
        <v>736</v>
      </c>
      <c r="H13" s="232"/>
      <c r="I13" s="232"/>
      <c r="J13" s="232"/>
      <c r="K13" s="232"/>
      <c r="L13" s="230"/>
      <c r="M13" s="230"/>
      <c r="N13" s="229">
        <f t="shared" ref="N13:S13" si="7">SUM(N14:N15)</f>
        <v>0</v>
      </c>
      <c r="O13" s="229">
        <f t="shared" si="7"/>
        <v>0</v>
      </c>
      <c r="P13" s="229">
        <f t="shared" si="7"/>
        <v>-6.1010600000000002E-4</v>
      </c>
      <c r="Q13" s="229">
        <f t="shared" si="7"/>
        <v>-4.8912156000000005E-2</v>
      </c>
      <c r="R13" s="229">
        <f t="shared" si="7"/>
        <v>9.4033523999999979E-2</v>
      </c>
      <c r="S13" s="229">
        <f t="shared" si="7"/>
        <v>0.45393541177777774</v>
      </c>
      <c r="T13" s="275">
        <f>T14+T15</f>
        <v>2.2872394288553535</v>
      </c>
      <c r="U13" s="275">
        <f t="shared" ref="U13:AQ13" si="8">U14+U15</f>
        <v>0.1548024830000001</v>
      </c>
      <c r="V13" s="275">
        <f t="shared" si="8"/>
        <v>0.85321871100000002</v>
      </c>
      <c r="W13" s="275">
        <f t="shared" si="8"/>
        <v>1.2020776399999997</v>
      </c>
      <c r="X13" s="275">
        <f t="shared" si="8"/>
        <v>1.1982506759999998</v>
      </c>
      <c r="Y13" s="275">
        <f t="shared" si="8"/>
        <v>0.73564424684216978</v>
      </c>
      <c r="Z13" s="275">
        <f t="shared" si="8"/>
        <v>0.97196815445497986</v>
      </c>
      <c r="AA13" s="275">
        <f t="shared" si="8"/>
        <v>1.90914979060465</v>
      </c>
      <c r="AB13" s="275">
        <f t="shared" si="8"/>
        <v>1.2604553309004898</v>
      </c>
      <c r="AC13" s="275">
        <f t="shared" si="8"/>
        <v>2.0314254623099801</v>
      </c>
      <c r="AD13" s="275">
        <f t="shared" si="8"/>
        <v>2.3388588183807295</v>
      </c>
      <c r="AE13" s="593">
        <f t="shared" si="8"/>
        <v>3.7893751815765189</v>
      </c>
      <c r="AF13" s="593">
        <f t="shared" si="8"/>
        <v>3.0154409424301436</v>
      </c>
      <c r="AG13" s="593">
        <f>AG14+AG15</f>
        <v>4.3906573501199944</v>
      </c>
      <c r="AH13" s="593">
        <f t="shared" si="8"/>
        <v>2.5719427511099933</v>
      </c>
      <c r="AI13" s="593">
        <f t="shared" si="8"/>
        <v>5.3804518199999913</v>
      </c>
      <c r="AJ13" s="593">
        <f t="shared" si="8"/>
        <v>4.7754597803800856</v>
      </c>
      <c r="AK13" s="593">
        <f t="shared" si="8"/>
        <v>5.4079606456846374</v>
      </c>
      <c r="AL13" s="593">
        <f t="shared" si="8"/>
        <v>5.4967459980036768</v>
      </c>
      <c r="AM13" s="593">
        <f t="shared" si="8"/>
        <v>6.6774260287899967</v>
      </c>
      <c r="AN13" s="593">
        <f t="shared" si="8"/>
        <v>7.5610085508909375</v>
      </c>
      <c r="AO13" s="593">
        <f t="shared" si="8"/>
        <v>-2.6382944249999998</v>
      </c>
      <c r="AP13" s="593">
        <f t="shared" si="8"/>
        <v>-13356.80610133148</v>
      </c>
      <c r="AQ13" s="593">
        <f t="shared" si="8"/>
        <v>-7076.9145670390189</v>
      </c>
      <c r="AR13" s="593">
        <v>10.889701621618</v>
      </c>
      <c r="AS13" s="593">
        <v>11.056934398905572</v>
      </c>
      <c r="AT13" s="593">
        <v>11.331670258824058</v>
      </c>
      <c r="AU13" s="593">
        <v>12.167347821056779</v>
      </c>
      <c r="AV13" s="593">
        <v>12.94214549868013</v>
      </c>
      <c r="AW13" s="593">
        <v>13.653395645840245</v>
      </c>
      <c r="AX13" s="593">
        <v>14.383151270156493</v>
      </c>
      <c r="AY13" s="593">
        <v>15.128164375568627</v>
      </c>
      <c r="AZ13" s="593">
        <v>15.866783239510745</v>
      </c>
      <c r="BA13" s="593">
        <v>16.617724100686612</v>
      </c>
      <c r="BB13" s="593">
        <v>17.400601647761349</v>
      </c>
      <c r="BC13" s="593">
        <v>18.136049178169493</v>
      </c>
      <c r="BD13" s="593">
        <v>19.153242146294506</v>
      </c>
      <c r="BE13" s="593">
        <v>19.821446669138062</v>
      </c>
      <c r="BF13" s="593">
        <v>20.397395054673325</v>
      </c>
      <c r="BG13" s="593">
        <v>20.95909054849912</v>
      </c>
      <c r="BH13" s="593">
        <v>21.536165559080757</v>
      </c>
      <c r="BI13" s="593">
        <v>22.136831617849651</v>
      </c>
      <c r="BJ13" s="593">
        <v>22.770388024417066</v>
      </c>
      <c r="BK13" s="593">
        <v>23.435538339129248</v>
      </c>
      <c r="BL13" s="593">
        <v>24.134267426190604</v>
      </c>
      <c r="BM13" s="593">
        <v>24.867488689748672</v>
      </c>
      <c r="BN13" s="593">
        <v>25.633794540411873</v>
      </c>
      <c r="BO13" s="593">
        <v>26.431962290338447</v>
      </c>
      <c r="BP13" s="593">
        <v>27.304322529842612</v>
      </c>
      <c r="BQ13" s="593">
        <v>28.263826206019349</v>
      </c>
      <c r="BR13" s="593">
        <v>29.273568735471088</v>
      </c>
      <c r="BS13" s="593">
        <v>30.3133433694485</v>
      </c>
      <c r="BT13" s="593">
        <v>31.373323304739024</v>
      </c>
      <c r="BU13" s="593">
        <v>32.448882589280203</v>
      </c>
      <c r="BV13" s="593">
        <v>33.537988517018647</v>
      </c>
      <c r="BW13" s="593">
        <v>34.639887820432975</v>
      </c>
      <c r="BX13" s="593">
        <v>35.754989341168745</v>
      </c>
      <c r="BY13" s="593">
        <v>36.883303872432855</v>
      </c>
      <c r="BZ13" s="593">
        <v>38.024753430060642</v>
      </c>
      <c r="CA13" s="593">
        <v>39.179551004975465</v>
      </c>
      <c r="CB13" s="593">
        <v>40.347908638708503</v>
      </c>
      <c r="CC13" s="593">
        <v>41.529970249214948</v>
      </c>
      <c r="CD13" s="593">
        <v>42.7258146196898</v>
      </c>
      <c r="CE13" s="593">
        <v>43.935474751688119</v>
      </c>
      <c r="CF13" s="593">
        <v>45.158956163372139</v>
      </c>
      <c r="CG13" s="593">
        <v>46.396253344303361</v>
      </c>
      <c r="CH13" s="593">
        <v>47.647355410513192</v>
      </c>
      <c r="CI13" s="593">
        <v>48.912248451091529</v>
      </c>
      <c r="CJ13" s="593">
        <v>50.190918509435434</v>
      </c>
      <c r="CK13" s="593">
        <v>51.48335299415335</v>
      </c>
      <c r="CL13" s="593">
        <v>52.78954091648297</v>
      </c>
      <c r="CM13" s="593">
        <v>54.109472586209762</v>
      </c>
      <c r="CN13" s="593">
        <v>55.443152089081025</v>
      </c>
      <c r="CO13" s="593">
        <v>56.79020685671005</v>
      </c>
      <c r="CP13" s="593">
        <v>58.149939690650982</v>
      </c>
      <c r="CQ13" s="593">
        <v>59.522017089282691</v>
      </c>
      <c r="CR13" s="593">
        <v>60.906286923322909</v>
      </c>
      <c r="CS13" s="593">
        <v>62.302687478811571</v>
      </c>
      <c r="CT13" s="593">
        <v>63.711201987279125</v>
      </c>
      <c r="CU13" s="593">
        <v>65.131835901479889</v>
      </c>
      <c r="CV13" s="593">
        <v>66.564585519547151</v>
      </c>
      <c r="CW13" s="593">
        <v>68.009448547806585</v>
      </c>
      <c r="CX13" s="593">
        <v>69.466428342141825</v>
      </c>
      <c r="CY13" s="593">
        <v>70.935525853092287</v>
      </c>
    </row>
    <row r="14" spans="1:103">
      <c r="A14" s="230"/>
      <c r="B14" s="230"/>
      <c r="C14" s="230"/>
      <c r="D14" s="230" t="s">
        <v>737</v>
      </c>
      <c r="E14" s="232"/>
      <c r="F14" s="230"/>
      <c r="G14" s="232" t="s">
        <v>736</v>
      </c>
      <c r="H14" s="232"/>
      <c r="I14" s="232"/>
      <c r="J14" s="232"/>
      <c r="K14" s="232"/>
      <c r="L14" s="230"/>
      <c r="M14" s="230"/>
      <c r="N14" s="230"/>
      <c r="O14" s="230"/>
      <c r="P14" s="230"/>
      <c r="Q14" s="230"/>
      <c r="R14" s="594">
        <v>0.310071288</v>
      </c>
      <c r="S14" s="594">
        <v>1.0840356019999999</v>
      </c>
      <c r="T14" s="592">
        <f t="shared" ref="T14:AQ15" si="9">T70+T123</f>
        <v>3.2531356800000002</v>
      </c>
      <c r="U14" s="592">
        <f t="shared" si="9"/>
        <v>1.0975404870000001</v>
      </c>
      <c r="V14" s="592">
        <f t="shared" si="9"/>
        <v>1.928707419</v>
      </c>
      <c r="W14" s="592">
        <f t="shared" si="9"/>
        <v>2.3060538249999998</v>
      </c>
      <c r="X14" s="592">
        <f t="shared" si="9"/>
        <v>2.4181259919999998</v>
      </c>
      <c r="Y14" s="592">
        <f t="shared" si="9"/>
        <v>2.0482521409999999</v>
      </c>
      <c r="Z14" s="592">
        <f t="shared" si="9"/>
        <v>2.4084367659999999</v>
      </c>
      <c r="AA14" s="592">
        <f t="shared" si="9"/>
        <v>3.415521848</v>
      </c>
      <c r="AB14" s="592">
        <f t="shared" si="9"/>
        <v>2.6652940969999999</v>
      </c>
      <c r="AC14" s="592">
        <f t="shared" si="9"/>
        <v>3.374867461</v>
      </c>
      <c r="AD14" s="592">
        <f t="shared" si="9"/>
        <v>3.6053853509999998</v>
      </c>
      <c r="AE14" s="592">
        <f t="shared" si="9"/>
        <v>5.1761814729999998</v>
      </c>
      <c r="AF14" s="592">
        <f t="shared" si="9"/>
        <v>4.4865015650000002</v>
      </c>
      <c r="AG14" s="592">
        <f t="shared" si="9"/>
        <v>5.8919258340000003</v>
      </c>
      <c r="AH14" s="592">
        <f t="shared" si="9"/>
        <v>4.117740779</v>
      </c>
      <c r="AI14" s="592">
        <f t="shared" si="9"/>
        <v>7.191956555</v>
      </c>
      <c r="AJ14" s="592">
        <f t="shared" si="9"/>
        <v>6.8519729119999999</v>
      </c>
      <c r="AK14" s="592">
        <f t="shared" si="9"/>
        <v>7.8999677869999996</v>
      </c>
      <c r="AL14" s="592">
        <f t="shared" si="9"/>
        <v>7.7711046669999995</v>
      </c>
      <c r="AM14" s="592">
        <f t="shared" si="9"/>
        <v>8.9555780539999983</v>
      </c>
      <c r="AN14" s="592">
        <f t="shared" si="9"/>
        <v>9.9097107199999996</v>
      </c>
      <c r="AO14" s="592">
        <f t="shared" si="9"/>
        <v>0</v>
      </c>
      <c r="AP14" s="592">
        <f t="shared" si="9"/>
        <v>0</v>
      </c>
      <c r="AQ14" s="592">
        <f t="shared" si="9"/>
        <v>0</v>
      </c>
      <c r="AR14" s="592">
        <v>14.715021624781539</v>
      </c>
      <c r="AS14" s="592">
        <v>15.000640092351235</v>
      </c>
      <c r="AT14" s="592">
        <v>15.518773980959519</v>
      </c>
      <c r="AU14" s="592">
        <v>16.57055751171373</v>
      </c>
      <c r="AV14" s="592">
        <v>17.549573529569912</v>
      </c>
      <c r="AW14" s="592">
        <v>18.466108589636423</v>
      </c>
      <c r="AX14" s="592">
        <v>19.406627947048946</v>
      </c>
      <c r="AY14" s="592">
        <v>20.368331563373665</v>
      </c>
      <c r="AZ14" s="592">
        <v>21.333336573484235</v>
      </c>
      <c r="BA14" s="592">
        <v>22.318701450527897</v>
      </c>
      <c r="BB14" s="592">
        <v>23.341117649669894</v>
      </c>
      <c r="BC14" s="592">
        <v>24.32008698638591</v>
      </c>
      <c r="BD14" s="592">
        <v>25.567652668999223</v>
      </c>
      <c r="BE14" s="592">
        <v>26.445086435072149</v>
      </c>
      <c r="BF14" s="592">
        <v>27.226260458410991</v>
      </c>
      <c r="BG14" s="592">
        <v>27.996694362203769</v>
      </c>
      <c r="BH14" s="592">
        <v>28.788658802946042</v>
      </c>
      <c r="BI14" s="592">
        <v>29.613095264636964</v>
      </c>
      <c r="BJ14" s="592">
        <v>30.480668436889665</v>
      </c>
      <c r="BK14" s="592">
        <v>31.39126256753207</v>
      </c>
      <c r="BL14" s="592">
        <v>32.347526413826991</v>
      </c>
      <c r="BM14" s="592">
        <v>33.350244126952092</v>
      </c>
      <c r="BN14" s="592">
        <v>34.397811240863994</v>
      </c>
      <c r="BO14" s="592">
        <v>35.488749709281841</v>
      </c>
      <c r="BP14" s="592">
        <v>36.669033539916079</v>
      </c>
      <c r="BQ14" s="592">
        <v>37.951603354842753</v>
      </c>
      <c r="BR14" s="592">
        <v>39.293888087696068</v>
      </c>
      <c r="BS14" s="592">
        <v>40.672843238051577</v>
      </c>
      <c r="BT14" s="592">
        <v>42.07722744038729</v>
      </c>
      <c r="BU14" s="592">
        <v>43.501716619506261</v>
      </c>
      <c r="BV14" s="592">
        <v>44.943937369399748</v>
      </c>
      <c r="BW14" s="592">
        <v>46.402973367338319</v>
      </c>
      <c r="BX14" s="592">
        <v>47.879106924821066</v>
      </c>
      <c r="BY14" s="592">
        <v>49.37229002904769</v>
      </c>
      <c r="BZ14" s="592">
        <v>50.882492896012906</v>
      </c>
      <c r="CA14" s="592">
        <v>52.409989164488536</v>
      </c>
      <c r="CB14" s="592">
        <v>53.95503807556932</v>
      </c>
      <c r="CC14" s="592">
        <v>55.517814413291738</v>
      </c>
      <c r="CD14" s="592">
        <v>57.098415022297672</v>
      </c>
      <c r="CE14" s="592">
        <v>58.696882370508945</v>
      </c>
      <c r="CF14" s="592">
        <v>60.313226141346</v>
      </c>
      <c r="CG14" s="592">
        <v>61.947441606360243</v>
      </c>
      <c r="CH14" s="592">
        <v>63.599516682162808</v>
      </c>
      <c r="CI14" s="592">
        <v>65.26943562800605</v>
      </c>
      <c r="CJ14" s="592">
        <v>66.957182749738308</v>
      </c>
      <c r="CK14" s="592">
        <v>68.662744069130028</v>
      </c>
      <c r="CL14" s="592">
        <v>70.386107579170712</v>
      </c>
      <c r="CM14" s="592">
        <v>72.127262865417961</v>
      </c>
      <c r="CN14" s="592">
        <v>73.886082866870652</v>
      </c>
      <c r="CO14" s="592">
        <v>75.661998680185008</v>
      </c>
      <c r="CP14" s="592">
        <v>77.454214806120305</v>
      </c>
      <c r="CQ14" s="592">
        <v>79.262348451723497</v>
      </c>
      <c r="CR14" s="592">
        <v>81.086222690607741</v>
      </c>
      <c r="CS14" s="592">
        <v>82.925763249456907</v>
      </c>
      <c r="CT14" s="592">
        <v>84.780946912366204</v>
      </c>
      <c r="CU14" s="592">
        <v>86.651775736000019</v>
      </c>
      <c r="CV14" s="592">
        <v>88.538246061759367</v>
      </c>
      <c r="CW14" s="592">
        <v>90.44035827722962</v>
      </c>
      <c r="CX14" s="592">
        <v>92.358118252003621</v>
      </c>
      <c r="CY14" s="592">
        <v>94.291528634347799</v>
      </c>
    </row>
    <row r="15" spans="1:103">
      <c r="A15" s="230"/>
      <c r="B15" s="230"/>
      <c r="C15" s="230"/>
      <c r="D15" s="230" t="s">
        <v>798</v>
      </c>
      <c r="E15" s="232"/>
      <c r="F15" s="230"/>
      <c r="G15" s="232" t="s">
        <v>736</v>
      </c>
      <c r="H15" s="232"/>
      <c r="I15" s="232"/>
      <c r="J15" s="232"/>
      <c r="K15" s="232"/>
      <c r="L15" s="230"/>
      <c r="M15" s="230"/>
      <c r="N15" s="230"/>
      <c r="O15" s="230"/>
      <c r="P15" s="594">
        <v>-6.1010600000000002E-4</v>
      </c>
      <c r="Q15" s="594">
        <v>-4.8912156000000005E-2</v>
      </c>
      <c r="R15" s="594">
        <v>-0.21603776400000002</v>
      </c>
      <c r="S15" s="594">
        <v>-0.63010019022222219</v>
      </c>
      <c r="T15" s="592">
        <f t="shared" si="9"/>
        <v>-0.96589625114464694</v>
      </c>
      <c r="U15" s="592">
        <f t="shared" si="9"/>
        <v>-0.94273800399999996</v>
      </c>
      <c r="V15" s="592">
        <f t="shared" si="9"/>
        <v>-1.075488708</v>
      </c>
      <c r="W15" s="592">
        <f t="shared" si="9"/>
        <v>-1.1039761850000001</v>
      </c>
      <c r="X15" s="592">
        <f t="shared" si="9"/>
        <v>-1.219875316</v>
      </c>
      <c r="Y15" s="592">
        <f t="shared" si="9"/>
        <v>-1.3126078941578301</v>
      </c>
      <c r="Z15" s="592">
        <f t="shared" si="9"/>
        <v>-1.43646861154502</v>
      </c>
      <c r="AA15" s="592">
        <f t="shared" si="9"/>
        <v>-1.5063720573953501</v>
      </c>
      <c r="AB15" s="592">
        <f t="shared" si="9"/>
        <v>-1.4048387660995101</v>
      </c>
      <c r="AC15" s="592">
        <f t="shared" si="9"/>
        <v>-1.3434419986900199</v>
      </c>
      <c r="AD15" s="592">
        <f t="shared" si="9"/>
        <v>-1.2665265326192701</v>
      </c>
      <c r="AE15" s="592">
        <f t="shared" si="9"/>
        <v>-1.3868062914234811</v>
      </c>
      <c r="AF15" s="592">
        <f t="shared" si="9"/>
        <v>-1.4710606225698564</v>
      </c>
      <c r="AG15" s="592">
        <f t="shared" si="9"/>
        <v>-1.5012684838800063</v>
      </c>
      <c r="AH15" s="592">
        <f t="shared" si="9"/>
        <v>-1.5457980278900068</v>
      </c>
      <c r="AI15" s="592">
        <f t="shared" si="9"/>
        <v>-1.8115047350000089</v>
      </c>
      <c r="AJ15" s="592">
        <f t="shared" si="9"/>
        <v>-2.0765131316199139</v>
      </c>
      <c r="AK15" s="592">
        <f t="shared" si="9"/>
        <v>-2.4920071413153617</v>
      </c>
      <c r="AL15" s="592">
        <f t="shared" si="9"/>
        <v>-2.2743586689963222</v>
      </c>
      <c r="AM15" s="592">
        <f t="shared" si="9"/>
        <v>-2.2781520252100012</v>
      </c>
      <c r="AN15" s="592">
        <f t="shared" si="9"/>
        <v>-2.3487021691090626</v>
      </c>
      <c r="AO15" s="592">
        <f t="shared" si="9"/>
        <v>-2.6382944249999998</v>
      </c>
      <c r="AP15" s="592">
        <f t="shared" si="9"/>
        <v>-13356.80610133148</v>
      </c>
      <c r="AQ15" s="592">
        <f t="shared" si="9"/>
        <v>-7076.9145670390189</v>
      </c>
      <c r="AR15" s="592">
        <v>-3.8253200031635379</v>
      </c>
      <c r="AS15" s="592">
        <v>-3.9437056934456627</v>
      </c>
      <c r="AT15" s="592">
        <v>-4.1871037221354603</v>
      </c>
      <c r="AU15" s="592">
        <v>-4.4032096906569498</v>
      </c>
      <c r="AV15" s="592">
        <v>-4.6074280308897828</v>
      </c>
      <c r="AW15" s="592">
        <v>-4.8127129437961784</v>
      </c>
      <c r="AX15" s="592">
        <v>-5.0234766768924546</v>
      </c>
      <c r="AY15" s="592">
        <v>-5.2401671878050395</v>
      </c>
      <c r="AZ15" s="592">
        <v>-5.46655333397349</v>
      </c>
      <c r="BA15" s="592">
        <v>-5.7009773498412839</v>
      </c>
      <c r="BB15" s="592">
        <v>-5.9405160019085468</v>
      </c>
      <c r="BC15" s="592">
        <v>-6.1840378082164165</v>
      </c>
      <c r="BD15" s="592">
        <v>-6.414410522704717</v>
      </c>
      <c r="BE15" s="592">
        <v>-6.6236397659340884</v>
      </c>
      <c r="BF15" s="592">
        <v>-6.8288654037376677</v>
      </c>
      <c r="BG15" s="592">
        <v>-7.0376038137046502</v>
      </c>
      <c r="BH15" s="592">
        <v>-7.2524932438652847</v>
      </c>
      <c r="BI15" s="592">
        <v>-7.4762636467873147</v>
      </c>
      <c r="BJ15" s="592">
        <v>-7.7102804124725974</v>
      </c>
      <c r="BK15" s="592">
        <v>-7.955724228402822</v>
      </c>
      <c r="BL15" s="592">
        <v>-8.2132589876363884</v>
      </c>
      <c r="BM15" s="592">
        <v>-8.4827554372034193</v>
      </c>
      <c r="BN15" s="592">
        <v>-8.764016700452121</v>
      </c>
      <c r="BO15" s="592">
        <v>-9.0567874189433937</v>
      </c>
      <c r="BP15" s="592">
        <v>-9.3647110100734672</v>
      </c>
      <c r="BQ15" s="592">
        <v>-9.6877771488234039</v>
      </c>
      <c r="BR15" s="592">
        <v>-10.020319352224979</v>
      </c>
      <c r="BS15" s="592">
        <v>-10.359499868603077</v>
      </c>
      <c r="BT15" s="592">
        <v>-10.703904135648267</v>
      </c>
      <c r="BU15" s="592">
        <v>-11.052834030226055</v>
      </c>
      <c r="BV15" s="592">
        <v>-11.405948852381098</v>
      </c>
      <c r="BW15" s="592">
        <v>-11.763085546905348</v>
      </c>
      <c r="BX15" s="592">
        <v>-12.124117583652319</v>
      </c>
      <c r="BY15" s="592">
        <v>-12.488986156614835</v>
      </c>
      <c r="BZ15" s="592">
        <v>-12.85773946595226</v>
      </c>
      <c r="CA15" s="592">
        <v>-13.230438159513071</v>
      </c>
      <c r="CB15" s="592">
        <v>-13.607129436860815</v>
      </c>
      <c r="CC15" s="592">
        <v>-13.987844164076789</v>
      </c>
      <c r="CD15" s="592">
        <v>-14.372600402607873</v>
      </c>
      <c r="CE15" s="592">
        <v>-14.761407618820826</v>
      </c>
      <c r="CF15" s="592">
        <v>-15.154269977973861</v>
      </c>
      <c r="CG15" s="592">
        <v>-15.551188262056883</v>
      </c>
      <c r="CH15" s="592">
        <v>-15.952161271649615</v>
      </c>
      <c r="CI15" s="592">
        <v>-16.357187176914525</v>
      </c>
      <c r="CJ15" s="592">
        <v>-16.766264240302878</v>
      </c>
      <c r="CK15" s="592">
        <v>-17.179391074976675</v>
      </c>
      <c r="CL15" s="592">
        <v>-17.596566662687742</v>
      </c>
      <c r="CM15" s="592">
        <v>-18.017790279208203</v>
      </c>
      <c r="CN15" s="592">
        <v>-18.442930777789631</v>
      </c>
      <c r="CO15" s="592">
        <v>-18.871791823474958</v>
      </c>
      <c r="CP15" s="592">
        <v>-19.304275115469327</v>
      </c>
      <c r="CQ15" s="592">
        <v>-19.740331362440806</v>
      </c>
      <c r="CR15" s="592">
        <v>-20.179935767284832</v>
      </c>
      <c r="CS15" s="592">
        <v>-20.623075770645336</v>
      </c>
      <c r="CT15" s="592">
        <v>-21.069744925087075</v>
      </c>
      <c r="CU15" s="592">
        <v>-21.519939834520123</v>
      </c>
      <c r="CV15" s="592">
        <v>-21.973660542212215</v>
      </c>
      <c r="CW15" s="592">
        <v>-22.430909729423028</v>
      </c>
      <c r="CX15" s="592">
        <v>-22.891689909861789</v>
      </c>
      <c r="CY15" s="592">
        <v>-23.356002781255505</v>
      </c>
    </row>
    <row r="16" spans="1:103">
      <c r="A16" s="230"/>
      <c r="B16" s="230"/>
      <c r="C16" s="229" t="s">
        <v>220</v>
      </c>
      <c r="D16" s="229"/>
      <c r="E16" s="203"/>
      <c r="F16" s="229"/>
      <c r="G16" s="232" t="s">
        <v>736</v>
      </c>
      <c r="H16" s="232"/>
      <c r="I16" s="232"/>
      <c r="J16" s="232"/>
      <c r="K16" s="232"/>
      <c r="L16" s="230"/>
      <c r="M16" s="230"/>
      <c r="N16" s="275">
        <f t="shared" ref="N16:AQ16" si="10">N17+N27</f>
        <v>0</v>
      </c>
      <c r="O16" s="275">
        <f t="shared" si="10"/>
        <v>0</v>
      </c>
      <c r="P16" s="275">
        <f t="shared" si="10"/>
        <v>0</v>
      </c>
      <c r="Q16" s="275">
        <f t="shared" si="10"/>
        <v>0.27700012899999998</v>
      </c>
      <c r="R16" s="275">
        <f t="shared" si="10"/>
        <v>0.39056785144444456</v>
      </c>
      <c r="S16" s="275">
        <f t="shared" si="10"/>
        <v>0.80423896500000003</v>
      </c>
      <c r="T16" s="275">
        <f t="shared" si="10"/>
        <v>0.76489149500000031</v>
      </c>
      <c r="U16" s="275">
        <f t="shared" si="10"/>
        <v>0.19976713599999996</v>
      </c>
      <c r="V16" s="275">
        <f t="shared" si="10"/>
        <v>0.62665610199999988</v>
      </c>
      <c r="W16" s="275">
        <f t="shared" si="10"/>
        <v>0.73178233100000023</v>
      </c>
      <c r="X16" s="275">
        <f t="shared" si="10"/>
        <v>0.796787311</v>
      </c>
      <c r="Y16" s="275">
        <f t="shared" si="10"/>
        <v>0.86527387599999994</v>
      </c>
      <c r="Z16" s="275">
        <f t="shared" si="10"/>
        <v>0.92007897499999991</v>
      </c>
      <c r="AA16" s="275">
        <f t="shared" si="10"/>
        <v>1.529270541</v>
      </c>
      <c r="AB16" s="275">
        <f t="shared" si="10"/>
        <v>-4.0479679999998464E-3</v>
      </c>
      <c r="AC16" s="275">
        <f t="shared" si="10"/>
        <v>0.77800960699999977</v>
      </c>
      <c r="AD16" s="238">
        <f t="shared" si="10"/>
        <v>1.5768947300000005</v>
      </c>
      <c r="AE16" s="593">
        <f t="shared" si="10"/>
        <v>2.1319002086639021</v>
      </c>
      <c r="AF16" s="593">
        <f t="shared" si="10"/>
        <v>1.3624851448395918</v>
      </c>
      <c r="AG16" s="593">
        <f>AG17+AG27</f>
        <v>2.4164958759999999</v>
      </c>
      <c r="AH16" s="593">
        <f t="shared" si="10"/>
        <v>1.5195471819999999</v>
      </c>
      <c r="AI16" s="593">
        <f t="shared" si="10"/>
        <v>2.002779979</v>
      </c>
      <c r="AJ16" s="593">
        <f t="shared" si="10"/>
        <v>2.2714988020000009</v>
      </c>
      <c r="AK16" s="593">
        <f t="shared" si="10"/>
        <v>1.9794933200000004</v>
      </c>
      <c r="AL16" s="593">
        <f t="shared" si="10"/>
        <v>2.0546987461357387</v>
      </c>
      <c r="AM16" s="593">
        <f t="shared" si="10"/>
        <v>1.7239852690020001</v>
      </c>
      <c r="AN16" s="593">
        <f t="shared" si="10"/>
        <v>4.0620119968478541</v>
      </c>
      <c r="AO16" s="593">
        <f t="shared" si="10"/>
        <v>-6277.7431147030657</v>
      </c>
      <c r="AP16" s="593">
        <f t="shared" si="10"/>
        <v>-0.76957287796544338</v>
      </c>
      <c r="AQ16" s="593">
        <f t="shared" si="10"/>
        <v>-0.68519565009479</v>
      </c>
      <c r="AR16" s="593">
        <v>7.2910230768904283</v>
      </c>
      <c r="AS16" s="593">
        <v>7.0656043028019848</v>
      </c>
      <c r="AT16" s="593">
        <v>7.4866080249657463</v>
      </c>
      <c r="AU16" s="593">
        <v>7.0827960203302514</v>
      </c>
      <c r="AV16" s="593">
        <v>7.9115440683275091</v>
      </c>
      <c r="AW16" s="593">
        <v>8.4514478699023137</v>
      </c>
      <c r="AX16" s="593">
        <v>8.932828487468365</v>
      </c>
      <c r="AY16" s="593">
        <v>9.1124408736948297</v>
      </c>
      <c r="AZ16" s="593">
        <v>9.2844487595437108</v>
      </c>
      <c r="BA16" s="593">
        <v>8.8431190271456899</v>
      </c>
      <c r="BB16" s="593">
        <v>9.0429366948199181</v>
      </c>
      <c r="BC16" s="593">
        <v>9.837775836929783</v>
      </c>
      <c r="BD16" s="593">
        <v>10.83882657227122</v>
      </c>
      <c r="BE16" s="593">
        <v>10.625479386518553</v>
      </c>
      <c r="BF16" s="593">
        <v>11.012203445589281</v>
      </c>
      <c r="BG16" s="593">
        <v>10.709090169048814</v>
      </c>
      <c r="BH16" s="593">
        <v>11.467904680535671</v>
      </c>
      <c r="BI16" s="593">
        <v>11.986035733188897</v>
      </c>
      <c r="BJ16" s="593">
        <v>12.465782475913841</v>
      </c>
      <c r="BK16" s="593">
        <v>12.692244989444607</v>
      </c>
      <c r="BL16" s="593">
        <v>12.917182306749199</v>
      </c>
      <c r="BM16" s="593">
        <v>13.058978879524677</v>
      </c>
      <c r="BN16" s="593">
        <v>13.342712381707393</v>
      </c>
      <c r="BO16" s="593">
        <v>14.143269094151597</v>
      </c>
      <c r="BP16" s="593">
        <v>15.14006382792661</v>
      </c>
      <c r="BQ16" s="593">
        <v>15.209306869396622</v>
      </c>
      <c r="BR16" s="593">
        <v>15.814288307392896</v>
      </c>
      <c r="BS16" s="593">
        <v>15.830915614218011</v>
      </c>
      <c r="BT16" s="593">
        <v>16.748045984225083</v>
      </c>
      <c r="BU16" s="593">
        <v>17.45477983627168</v>
      </c>
      <c r="BV16" s="593">
        <v>18.120578569179379</v>
      </c>
      <c r="BW16" s="593">
        <v>17.877406644070739</v>
      </c>
      <c r="BX16" s="593">
        <v>18.293170988139032</v>
      </c>
      <c r="BY16" s="593">
        <v>18.649561394454501</v>
      </c>
      <c r="BZ16" s="593">
        <v>19.119630181117088</v>
      </c>
      <c r="CA16" s="593">
        <v>20.024490307169096</v>
      </c>
      <c r="CB16" s="593">
        <v>20.251745357501285</v>
      </c>
      <c r="CC16" s="593">
        <v>20.663659926903691</v>
      </c>
      <c r="CD16" s="593">
        <v>21.200325037099386</v>
      </c>
      <c r="CE16" s="593">
        <v>21.596862133663656</v>
      </c>
      <c r="CF16" s="593">
        <v>22.279488569135061</v>
      </c>
      <c r="CG16" s="593">
        <v>22.881200054789517</v>
      </c>
      <c r="CH16" s="593">
        <v>23.473867614989132</v>
      </c>
      <c r="CI16" s="593">
        <v>24.193688408668994</v>
      </c>
      <c r="CJ16" s="593">
        <v>24.83718680998345</v>
      </c>
      <c r="CK16" s="593">
        <v>25.09750160774221</v>
      </c>
      <c r="CL16" s="593">
        <v>25.738822928364431</v>
      </c>
      <c r="CM16" s="593">
        <v>26.659491524657259</v>
      </c>
      <c r="CN16" s="593">
        <v>26.712841168725603</v>
      </c>
      <c r="CO16" s="593">
        <v>27.303767871191916</v>
      </c>
      <c r="CP16" s="593">
        <v>27.889244941394036</v>
      </c>
      <c r="CQ16" s="593">
        <v>28.478206923882503</v>
      </c>
      <c r="CR16" s="593">
        <v>29.070656248495254</v>
      </c>
      <c r="CS16" s="593">
        <v>29.666602685939765</v>
      </c>
      <c r="CT16" s="593">
        <v>30.266059520676414</v>
      </c>
      <c r="CU16" s="593">
        <v>30.869041640448511</v>
      </c>
      <c r="CV16" s="593">
        <v>31.475566675373688</v>
      </c>
      <c r="CW16" s="593">
        <v>32.085643411860872</v>
      </c>
      <c r="CX16" s="593">
        <v>32.699275428072276</v>
      </c>
      <c r="CY16" s="593">
        <v>33.31646339600006</v>
      </c>
    </row>
    <row r="17" spans="1:103">
      <c r="A17" s="230"/>
      <c r="B17" s="230"/>
      <c r="C17" s="230"/>
      <c r="D17" s="229" t="s">
        <v>22</v>
      </c>
      <c r="E17" s="232"/>
      <c r="F17" s="230"/>
      <c r="G17" s="232" t="s">
        <v>736</v>
      </c>
      <c r="H17" s="232"/>
      <c r="I17" s="232"/>
      <c r="J17" s="232"/>
      <c r="K17" s="232"/>
      <c r="L17" s="230"/>
      <c r="M17" s="230"/>
      <c r="N17" s="275">
        <f t="shared" ref="N17:AQ17" si="11">SUM(N18:N26)</f>
        <v>0</v>
      </c>
      <c r="O17" s="275">
        <f t="shared" si="11"/>
        <v>0</v>
      </c>
      <c r="P17" s="275">
        <f t="shared" si="11"/>
        <v>0</v>
      </c>
      <c r="Q17" s="275">
        <f t="shared" si="11"/>
        <v>0.27700012899999998</v>
      </c>
      <c r="R17" s="275">
        <f t="shared" si="11"/>
        <v>0.71479020700000007</v>
      </c>
      <c r="S17" s="275">
        <f t="shared" si="11"/>
        <v>1.1571978510000001</v>
      </c>
      <c r="T17" s="275">
        <f t="shared" si="11"/>
        <v>1.2554448140000003</v>
      </c>
      <c r="U17" s="275">
        <f t="shared" si="11"/>
        <v>0.92035815499999996</v>
      </c>
      <c r="V17" s="275">
        <f t="shared" si="11"/>
        <v>1.2457340749999999</v>
      </c>
      <c r="W17" s="275">
        <f t="shared" si="11"/>
        <v>1.4301657090000002</v>
      </c>
      <c r="X17" s="275">
        <f t="shared" si="11"/>
        <v>1.510990069</v>
      </c>
      <c r="Y17" s="275">
        <f t="shared" si="11"/>
        <v>1.5783502039999999</v>
      </c>
      <c r="Z17" s="275">
        <f t="shared" si="11"/>
        <v>1.7629610119999999</v>
      </c>
      <c r="AA17" s="275">
        <f t="shared" si="11"/>
        <v>2.532729443</v>
      </c>
      <c r="AB17" s="275">
        <f t="shared" si="11"/>
        <v>1.0387130170000001</v>
      </c>
      <c r="AC17" s="275">
        <f t="shared" si="11"/>
        <v>1.8799936099999999</v>
      </c>
      <c r="AD17" s="245">
        <f t="shared" si="11"/>
        <v>2.8533900690000005</v>
      </c>
      <c r="AE17" s="593">
        <f t="shared" si="11"/>
        <v>3.7803289769999999</v>
      </c>
      <c r="AF17" s="593">
        <f t="shared" si="11"/>
        <v>3.1374231628395917</v>
      </c>
      <c r="AG17" s="593">
        <f>SUM(AG18:AG26)</f>
        <v>4.2560303160000004</v>
      </c>
      <c r="AH17" s="593">
        <f t="shared" si="11"/>
        <v>3.423699354</v>
      </c>
      <c r="AI17" s="593">
        <f t="shared" si="11"/>
        <v>4.4799952730000001</v>
      </c>
      <c r="AJ17" s="593">
        <f t="shared" si="11"/>
        <v>4.8735678720000006</v>
      </c>
      <c r="AK17" s="593">
        <f t="shared" si="11"/>
        <v>4.9512655080000005</v>
      </c>
      <c r="AL17" s="593">
        <f t="shared" si="11"/>
        <v>5.3318228849999993</v>
      </c>
      <c r="AM17" s="593">
        <f t="shared" si="11"/>
        <v>5.7436630689999992</v>
      </c>
      <c r="AN17" s="593">
        <f t="shared" si="11"/>
        <v>6.7518347310000006</v>
      </c>
      <c r="AO17" s="593">
        <f t="shared" si="11"/>
        <v>7.1080421910916201</v>
      </c>
      <c r="AP17" s="593">
        <f t="shared" si="11"/>
        <v>0.23042712203455668</v>
      </c>
      <c r="AQ17" s="593">
        <f t="shared" si="11"/>
        <v>0.31480434990521</v>
      </c>
      <c r="AR17" s="593">
        <v>9.7767601196862621</v>
      </c>
      <c r="AS17" s="593">
        <v>9.6598624526603185</v>
      </c>
      <c r="AT17" s="593">
        <v>10.192699759803247</v>
      </c>
      <c r="AU17" s="593">
        <v>9.9040697743135855</v>
      </c>
      <c r="AV17" s="593">
        <v>10.851384231873343</v>
      </c>
      <c r="AW17" s="593">
        <v>11.513274789677315</v>
      </c>
      <c r="AX17" s="593">
        <v>12.1200984663892</v>
      </c>
      <c r="AY17" s="593">
        <v>12.428646170928165</v>
      </c>
      <c r="AZ17" s="593">
        <v>12.733117590506213</v>
      </c>
      <c r="BA17" s="593">
        <v>12.931895899985971</v>
      </c>
      <c r="BB17" s="593">
        <v>13.28640885267756</v>
      </c>
      <c r="BC17" s="593">
        <v>14.239746197304784</v>
      </c>
      <c r="BD17" s="593">
        <v>15.382399967646222</v>
      </c>
      <c r="BE17" s="593">
        <v>15.319232671893554</v>
      </c>
      <c r="BF17" s="593">
        <v>15.864713475964281</v>
      </c>
      <c r="BG17" s="593">
        <v>15.728933799423816</v>
      </c>
      <c r="BH17" s="593">
        <v>16.663658765910672</v>
      </c>
      <c r="BI17" s="593">
        <v>17.366277128563897</v>
      </c>
      <c r="BJ17" s="593">
        <v>18.039088036288842</v>
      </c>
      <c r="BK17" s="593">
        <v>18.467191569819608</v>
      </c>
      <c r="BL17" s="593">
        <v>18.9023467621242</v>
      </c>
      <c r="BM17" s="593">
        <v>19.262938064899679</v>
      </c>
      <c r="BN17" s="593">
        <v>19.774043152082392</v>
      </c>
      <c r="BO17" s="593">
        <v>20.810548304526598</v>
      </c>
      <c r="BP17" s="593">
        <v>22.04637573955161</v>
      </c>
      <c r="BQ17" s="593">
        <v>22.357735743521623</v>
      </c>
      <c r="BR17" s="593">
        <v>23.207918405267897</v>
      </c>
      <c r="BS17" s="593">
        <v>23.472831197093011</v>
      </c>
      <c r="BT17" s="593">
        <v>24.641331313350083</v>
      </c>
      <c r="BU17" s="593">
        <v>25.602519172896681</v>
      </c>
      <c r="BV17" s="593">
        <v>26.525856174554381</v>
      </c>
      <c r="BW17" s="593">
        <v>27.226776228195739</v>
      </c>
      <c r="BX17" s="593">
        <v>27.92102942601403</v>
      </c>
      <c r="BY17" s="593">
        <v>28.539535509829502</v>
      </c>
      <c r="BZ17" s="593">
        <v>29.274901297742087</v>
      </c>
      <c r="CA17" s="593">
        <v>30.448239748794094</v>
      </c>
      <c r="CB17" s="593">
        <v>30.947154447876283</v>
      </c>
      <c r="CC17" s="593">
        <v>31.63390998977869</v>
      </c>
      <c r="CD17" s="593">
        <v>32.448597396224386</v>
      </c>
      <c r="CE17" s="593">
        <v>33.126338112788659</v>
      </c>
      <c r="CF17" s="593">
        <v>34.093349492010063</v>
      </c>
      <c r="CG17" s="593">
        <v>34.982627245164515</v>
      </c>
      <c r="CH17" s="593">
        <v>35.866042396614134</v>
      </c>
      <c r="CI17" s="593">
        <v>36.879792105293994</v>
      </c>
      <c r="CJ17" s="593">
        <v>37.820400745358448</v>
      </c>
      <c r="CK17" s="593">
        <v>38.381007105617208</v>
      </c>
      <c r="CL17" s="593">
        <v>39.325801312489432</v>
      </c>
      <c r="CM17" s="592">
        <v>40.553124118782257</v>
      </c>
      <c r="CN17" s="593">
        <v>40.915862686600605</v>
      </c>
      <c r="CO17" s="593">
        <v>41.818913026566918</v>
      </c>
      <c r="CP17" s="593">
        <v>42.719248448019037</v>
      </c>
      <c r="CQ17" s="593">
        <v>43.625803495507505</v>
      </c>
      <c r="CR17" s="593">
        <v>44.538580598870254</v>
      </c>
      <c r="CS17" s="593">
        <v>45.457589528814765</v>
      </c>
      <c r="CT17" s="593">
        <v>46.382843569801416</v>
      </c>
      <c r="CU17" s="593">
        <v>47.314357609573513</v>
      </c>
      <c r="CV17" s="593">
        <v>48.252149278248687</v>
      </c>
      <c r="CW17" s="593">
        <v>49.196227362235874</v>
      </c>
      <c r="CX17" s="593">
        <v>50.146595439697279</v>
      </c>
      <c r="CY17" s="592">
        <v>51.103254182625058</v>
      </c>
    </row>
    <row r="18" spans="1:103">
      <c r="A18" s="230"/>
      <c r="B18" s="230"/>
      <c r="C18" s="230"/>
      <c r="D18" s="230"/>
      <c r="E18" s="230" t="s">
        <v>865</v>
      </c>
      <c r="F18" s="230"/>
      <c r="G18" s="232" t="s">
        <v>736</v>
      </c>
      <c r="H18" s="232"/>
      <c r="I18" s="232"/>
      <c r="J18" s="232"/>
      <c r="K18" s="232"/>
      <c r="L18" s="230"/>
      <c r="M18" s="230"/>
      <c r="N18" s="230"/>
      <c r="O18" s="230"/>
      <c r="P18" s="230"/>
      <c r="Q18" s="230"/>
      <c r="R18" s="230"/>
      <c r="S18" s="230"/>
      <c r="T18" s="237">
        <f t="shared" ref="T18:AQ21" si="12">T74+T127</f>
        <v>0.17655230299999999</v>
      </c>
      <c r="U18" s="237">
        <f t="shared" si="12"/>
        <v>-2.3546866999999999E-2</v>
      </c>
      <c r="V18" s="237">
        <f t="shared" si="12"/>
        <v>0.14961176100000001</v>
      </c>
      <c r="W18" s="237">
        <f t="shared" si="12"/>
        <v>0.17410767399999999</v>
      </c>
      <c r="X18" s="237">
        <f t="shared" si="12"/>
        <v>0.133834384</v>
      </c>
      <c r="Y18" s="237">
        <f t="shared" si="12"/>
        <v>0.17054482500000001</v>
      </c>
      <c r="Z18" s="237">
        <f t="shared" si="12"/>
        <v>0.24151483700000001</v>
      </c>
      <c r="AA18" s="237">
        <f t="shared" si="12"/>
        <v>0.224681982</v>
      </c>
      <c r="AB18" s="237">
        <f t="shared" si="12"/>
        <v>0.19647969800000001</v>
      </c>
      <c r="AC18" s="237">
        <f t="shared" si="12"/>
        <v>0.29448490199999999</v>
      </c>
      <c r="AD18" s="240">
        <f t="shared" si="12"/>
        <v>0.31047565900000001</v>
      </c>
      <c r="AE18" s="592">
        <f t="shared" si="12"/>
        <v>0.37135688500000003</v>
      </c>
      <c r="AF18" s="592">
        <f t="shared" si="12"/>
        <v>0.38855645699999997</v>
      </c>
      <c r="AG18" s="592">
        <f t="shared" si="12"/>
        <v>0.400465077</v>
      </c>
      <c r="AH18" s="592">
        <f t="shared" si="12"/>
        <v>0.55251665000000005</v>
      </c>
      <c r="AI18" s="592">
        <f t="shared" si="12"/>
        <v>0.47885402700000002</v>
      </c>
      <c r="AJ18" s="592">
        <f t="shared" si="12"/>
        <v>0.460724154</v>
      </c>
      <c r="AK18" s="592">
        <f t="shared" si="12"/>
        <v>0.47595278299999999</v>
      </c>
      <c r="AL18" s="592">
        <f t="shared" si="12"/>
        <v>0.62137414400000002</v>
      </c>
      <c r="AM18" s="592">
        <f t="shared" si="12"/>
        <v>0.91849292800000004</v>
      </c>
      <c r="AN18" s="592">
        <f t="shared" si="12"/>
        <v>1.0046470599999999</v>
      </c>
      <c r="AO18" s="592">
        <f t="shared" si="12"/>
        <v>1.1329912790000001</v>
      </c>
      <c r="AP18" s="592">
        <f t="shared" si="12"/>
        <v>0</v>
      </c>
      <c r="AQ18" s="592">
        <f t="shared" si="12"/>
        <v>0</v>
      </c>
      <c r="AR18" s="592">
        <v>1.2977275631222225</v>
      </c>
      <c r="AS18" s="592">
        <v>1.3495874805111114</v>
      </c>
      <c r="AT18" s="592">
        <v>1.4025794684000001</v>
      </c>
      <c r="AU18" s="592">
        <v>1.4567147192888892</v>
      </c>
      <c r="AV18" s="592">
        <v>1.5120044256777785</v>
      </c>
      <c r="AW18" s="592">
        <v>1.5684597800666673</v>
      </c>
      <c r="AX18" s="592">
        <v>1.6260919749555565</v>
      </c>
      <c r="AY18" s="592">
        <v>1.6849122028444452</v>
      </c>
      <c r="AZ18" s="592">
        <v>1.7449316562333346</v>
      </c>
      <c r="BA18" s="592">
        <v>1.8061615276222234</v>
      </c>
      <c r="BB18" s="592">
        <v>1.8686130095111124</v>
      </c>
      <c r="BC18" s="592">
        <v>1.9322972944000003</v>
      </c>
      <c r="BD18" s="592">
        <v>2.1468379680000007</v>
      </c>
      <c r="BE18" s="592">
        <v>2.2086016480000006</v>
      </c>
      <c r="BF18" s="592">
        <v>2.2742610880000003</v>
      </c>
      <c r="BG18" s="592">
        <v>2.3438162880000006</v>
      </c>
      <c r="BH18" s="592">
        <v>2.4172672479999999</v>
      </c>
      <c r="BI18" s="592">
        <v>2.4946139680000003</v>
      </c>
      <c r="BJ18" s="592">
        <v>2.5758564480000006</v>
      </c>
      <c r="BK18" s="592">
        <v>2.6609946880000002</v>
      </c>
      <c r="BL18" s="592">
        <v>2.7500286880000004</v>
      </c>
      <c r="BM18" s="592">
        <v>2.8429584480000001</v>
      </c>
      <c r="BN18" s="592">
        <v>2.9397839680000004</v>
      </c>
      <c r="BO18" s="592">
        <v>3.0405052480000001</v>
      </c>
      <c r="BP18" s="592">
        <v>3.1421962880000005</v>
      </c>
      <c r="BQ18" s="592">
        <v>3.2448570880000003</v>
      </c>
      <c r="BR18" s="592">
        <v>3.3484876480000008</v>
      </c>
      <c r="BS18" s="592">
        <v>3.4530879680000011</v>
      </c>
      <c r="BT18" s="592">
        <v>3.5586580480000003</v>
      </c>
      <c r="BU18" s="592">
        <v>3.6651978879999998</v>
      </c>
      <c r="BV18" s="592">
        <v>3.772707488</v>
      </c>
      <c r="BW18" s="592">
        <v>3.8811868480000005</v>
      </c>
      <c r="BX18" s="592">
        <v>3.9906359679999999</v>
      </c>
      <c r="BY18" s="592">
        <v>4.1010548480000004</v>
      </c>
      <c r="BZ18" s="592">
        <v>4.2124434879999999</v>
      </c>
      <c r="CA18" s="592">
        <v>4.3248018880000005</v>
      </c>
      <c r="CB18" s="592">
        <v>4.4381300480000005</v>
      </c>
      <c r="CC18" s="592">
        <v>4.552427967999999</v>
      </c>
      <c r="CD18" s="592">
        <v>4.6676956480000005</v>
      </c>
      <c r="CE18" s="592">
        <v>4.7839330880000013</v>
      </c>
      <c r="CF18" s="592">
        <v>4.9011402880000006</v>
      </c>
      <c r="CG18" s="592">
        <v>5.019317248000001</v>
      </c>
      <c r="CH18" s="592">
        <v>5.1384639679999999</v>
      </c>
      <c r="CI18" s="592">
        <v>5.258580448</v>
      </c>
      <c r="CJ18" s="592">
        <v>5.3796666880000004</v>
      </c>
      <c r="CK18" s="592">
        <v>5.5017226880000001</v>
      </c>
      <c r="CL18" s="592">
        <v>5.6247484480000001</v>
      </c>
      <c r="CM18" s="592">
        <v>5.7487439680000012</v>
      </c>
      <c r="CN18" s="592">
        <v>5.8736089280000012</v>
      </c>
      <c r="CO18" s="592">
        <v>5.9993433280000001</v>
      </c>
      <c r="CP18" s="592">
        <v>6.1259471679999997</v>
      </c>
      <c r="CQ18" s="592">
        <v>6.253420448</v>
      </c>
      <c r="CR18" s="592">
        <v>6.3817631680000009</v>
      </c>
      <c r="CS18" s="592">
        <v>6.5109753280000007</v>
      </c>
      <c r="CT18" s="592">
        <v>6.6410569279999994</v>
      </c>
      <c r="CU18" s="592">
        <v>6.7720079680000005</v>
      </c>
      <c r="CV18" s="592">
        <v>6.9038284480000005</v>
      </c>
      <c r="CW18" s="592">
        <v>7.0365183679999994</v>
      </c>
      <c r="CX18" s="592">
        <v>7.1700777280000008</v>
      </c>
      <c r="CY18" s="592">
        <v>7.304506528000001</v>
      </c>
    </row>
    <row r="19" spans="1:103">
      <c r="A19" s="230"/>
      <c r="B19" s="230"/>
      <c r="C19" s="230"/>
      <c r="D19" s="230"/>
      <c r="E19" s="230" t="s">
        <v>866</v>
      </c>
      <c r="F19" s="230"/>
      <c r="G19" s="232" t="s">
        <v>736</v>
      </c>
      <c r="H19" s="232"/>
      <c r="I19" s="232"/>
      <c r="J19" s="232"/>
      <c r="K19" s="232"/>
      <c r="L19" s="230"/>
      <c r="M19" s="230"/>
      <c r="N19" s="230"/>
      <c r="O19" s="230"/>
      <c r="P19" s="230"/>
      <c r="Q19" s="230"/>
      <c r="R19" s="230"/>
      <c r="S19" s="230"/>
      <c r="T19" s="237">
        <f t="shared" si="12"/>
        <v>0.52170000000000005</v>
      </c>
      <c r="U19" s="237">
        <f t="shared" si="12"/>
        <v>0.36367835999999998</v>
      </c>
      <c r="V19" s="237">
        <f t="shared" si="12"/>
        <v>0.49462455999999999</v>
      </c>
      <c r="W19" s="237">
        <f t="shared" si="12"/>
        <v>0.61170235399999995</v>
      </c>
      <c r="X19" s="237">
        <f t="shared" si="12"/>
        <v>0.79655022600000003</v>
      </c>
      <c r="Y19" s="237">
        <f t="shared" si="12"/>
        <v>0.78911043800000003</v>
      </c>
      <c r="Z19" s="237">
        <f t="shared" si="12"/>
        <v>0.78235077200000003</v>
      </c>
      <c r="AA19" s="237">
        <f t="shared" si="12"/>
        <v>1.5268962479999999</v>
      </c>
      <c r="AB19" s="237">
        <f t="shared" si="12"/>
        <v>1.3142660370000001</v>
      </c>
      <c r="AC19" s="237">
        <f t="shared" si="12"/>
        <v>0.67975956599999998</v>
      </c>
      <c r="AD19" s="240">
        <f t="shared" si="12"/>
        <v>1.5784778850000001</v>
      </c>
      <c r="AE19" s="592">
        <f t="shared" si="12"/>
        <v>0.67819270200000004</v>
      </c>
      <c r="AF19" s="592">
        <f t="shared" si="12"/>
        <v>1.1585708030000001</v>
      </c>
      <c r="AG19" s="592">
        <f t="shared" si="12"/>
        <v>1.0930388090000001</v>
      </c>
      <c r="AH19" s="592">
        <f t="shared" si="12"/>
        <v>1.4578807680000001</v>
      </c>
      <c r="AI19" s="592">
        <f t="shared" si="12"/>
        <v>1.5414610039999999</v>
      </c>
      <c r="AJ19" s="592">
        <f t="shared" si="12"/>
        <v>1.8736179210000001</v>
      </c>
      <c r="AK19" s="592">
        <f t="shared" si="12"/>
        <v>2.2704860760000001</v>
      </c>
      <c r="AL19" s="592">
        <f t="shared" si="12"/>
        <v>1.461902834</v>
      </c>
      <c r="AM19" s="592">
        <f t="shared" si="12"/>
        <v>2.1582729119999997</v>
      </c>
      <c r="AN19" s="592">
        <f t="shared" si="12"/>
        <v>2.421964166</v>
      </c>
      <c r="AO19" s="592">
        <f t="shared" si="12"/>
        <v>1.8872747380000001</v>
      </c>
      <c r="AP19" s="592">
        <f t="shared" si="12"/>
        <v>5.3237473179146913E-2</v>
      </c>
      <c r="AQ19" s="592">
        <f t="shared" si="12"/>
        <v>2.8201808284947866E-2</v>
      </c>
      <c r="AR19" s="592">
        <v>2.8289993628916501</v>
      </c>
      <c r="AS19" s="592">
        <v>3.0210005083777074</v>
      </c>
      <c r="AT19" s="592">
        <v>3.1828490840153125</v>
      </c>
      <c r="AU19" s="592">
        <v>3.3317350498197413</v>
      </c>
      <c r="AV19" s="592">
        <v>3.4740269961199677</v>
      </c>
      <c r="AW19" s="592">
        <v>3.6232695806955926</v>
      </c>
      <c r="AX19" s="592">
        <v>3.7724341383572471</v>
      </c>
      <c r="AY19" s="592">
        <v>3.9289468552377227</v>
      </c>
      <c r="AZ19" s="592">
        <v>4.0911497039496183</v>
      </c>
      <c r="BA19" s="592">
        <v>4.2583759698374521</v>
      </c>
      <c r="BB19" s="592">
        <v>4.4268571983697154</v>
      </c>
      <c r="BC19" s="592">
        <v>4.5984614864862126</v>
      </c>
      <c r="BD19" s="592">
        <v>4.7460813661523265</v>
      </c>
      <c r="BE19" s="592">
        <v>4.8852918468763482</v>
      </c>
      <c r="BF19" s="592">
        <v>5.0255869414902357</v>
      </c>
      <c r="BG19" s="592">
        <v>5.1689940285718237</v>
      </c>
      <c r="BH19" s="592">
        <v>5.3180787733906394</v>
      </c>
      <c r="BI19" s="592">
        <v>5.4741375304898687</v>
      </c>
      <c r="BJ19" s="592">
        <v>5.6378083287604799</v>
      </c>
      <c r="BK19" s="592">
        <v>5.8101067743764769</v>
      </c>
      <c r="BL19" s="592">
        <v>5.9910118220342756</v>
      </c>
      <c r="BM19" s="592">
        <v>6.1804052386562063</v>
      </c>
      <c r="BN19" s="592">
        <v>6.3780726298718982</v>
      </c>
      <c r="BO19" s="592">
        <v>6.5838214812090516</v>
      </c>
      <c r="BP19" s="592">
        <v>6.80340091956616</v>
      </c>
      <c r="BQ19" s="592">
        <v>7.0310467652249882</v>
      </c>
      <c r="BR19" s="592">
        <v>7.2638715921087673</v>
      </c>
      <c r="BS19" s="592">
        <v>7.5004313035567911</v>
      </c>
      <c r="BT19" s="592">
        <v>7.7400108842919551</v>
      </c>
      <c r="BU19" s="592">
        <v>7.9822597061044567</v>
      </c>
      <c r="BV19" s="592">
        <v>8.2270087010268096</v>
      </c>
      <c r="BW19" s="592">
        <v>8.4741783436055442</v>
      </c>
      <c r="BX19" s="592">
        <v>8.7236551202081394</v>
      </c>
      <c r="BY19" s="592">
        <v>8.9754627671004528</v>
      </c>
      <c r="BZ19" s="592">
        <v>9.2296511192011987</v>
      </c>
      <c r="CA19" s="592">
        <v>9.4862629047102232</v>
      </c>
      <c r="CB19" s="592">
        <v>9.7453274286245666</v>
      </c>
      <c r="CC19" s="592">
        <v>10.006862487917893</v>
      </c>
      <c r="CD19" s="592">
        <v>10.270877843014786</v>
      </c>
      <c r="CE19" s="592">
        <v>10.537378174472</v>
      </c>
      <c r="CF19" s="592">
        <v>10.806365154997696</v>
      </c>
      <c r="CG19" s="592">
        <v>11.077838303730005</v>
      </c>
      <c r="CH19" s="592">
        <v>11.351796270324966</v>
      </c>
      <c r="CI19" s="592">
        <v>11.628237612302103</v>
      </c>
      <c r="CJ19" s="592">
        <v>11.907161120387132</v>
      </c>
      <c r="CK19" s="592">
        <v>12.188565887386112</v>
      </c>
      <c r="CL19" s="592">
        <v>12.47245126649733</v>
      </c>
      <c r="CM19" s="592">
        <v>12.758816799140041</v>
      </c>
      <c r="CN19" s="592">
        <v>13.04751964741244</v>
      </c>
      <c r="CO19" s="592">
        <v>13.338488292330274</v>
      </c>
      <c r="CP19" s="592">
        <v>13.631686870761875</v>
      </c>
      <c r="CQ19" s="592">
        <v>13.927097339478793</v>
      </c>
      <c r="CR19" s="592">
        <v>14.224710557198971</v>
      </c>
      <c r="CS19" s="592">
        <v>14.524521827330378</v>
      </c>
      <c r="CT19" s="592">
        <v>14.826528671301608</v>
      </c>
      <c r="CU19" s="592">
        <v>15.130729716835965</v>
      </c>
      <c r="CV19" s="592">
        <v>15.437126233951293</v>
      </c>
      <c r="CW19" s="592">
        <v>15.745719725762331</v>
      </c>
      <c r="CX19" s="592">
        <v>16.05651127791586</v>
      </c>
      <c r="CY19" s="592">
        <v>16.36950150236116</v>
      </c>
    </row>
    <row r="20" spans="1:103">
      <c r="A20" s="230"/>
      <c r="B20" s="230"/>
      <c r="C20" s="230"/>
      <c r="D20" s="230"/>
      <c r="E20" s="230" t="s">
        <v>425</v>
      </c>
      <c r="F20" s="230"/>
      <c r="G20" s="232" t="s">
        <v>736</v>
      </c>
      <c r="H20" s="232"/>
      <c r="I20" s="232"/>
      <c r="J20" s="232"/>
      <c r="K20" s="232"/>
      <c r="L20" s="230"/>
      <c r="M20" s="230"/>
      <c r="N20" s="230"/>
      <c r="O20" s="230"/>
      <c r="P20" s="230"/>
      <c r="Q20" s="230"/>
      <c r="R20" s="230"/>
      <c r="S20" s="230"/>
      <c r="T20" s="237">
        <f t="shared" si="12"/>
        <v>0</v>
      </c>
      <c r="U20" s="237">
        <f t="shared" si="12"/>
        <v>0</v>
      </c>
      <c r="V20" s="237">
        <f t="shared" si="12"/>
        <v>0</v>
      </c>
      <c r="W20" s="237">
        <f t="shared" si="12"/>
        <v>0</v>
      </c>
      <c r="X20" s="237">
        <f t="shared" si="12"/>
        <v>0</v>
      </c>
      <c r="Y20" s="237">
        <f t="shared" si="12"/>
        <v>0</v>
      </c>
      <c r="Z20" s="237">
        <f t="shared" si="12"/>
        <v>0</v>
      </c>
      <c r="AA20" s="237">
        <f t="shared" si="12"/>
        <v>0</v>
      </c>
      <c r="AB20" s="237">
        <f t="shared" si="12"/>
        <v>0</v>
      </c>
      <c r="AC20" s="237">
        <f t="shared" si="12"/>
        <v>0</v>
      </c>
      <c r="AD20" s="240">
        <f t="shared" si="12"/>
        <v>0.51704614500000001</v>
      </c>
      <c r="AE20" s="592">
        <f t="shared" si="12"/>
        <v>0.61952253800000001</v>
      </c>
      <c r="AF20" s="592">
        <f t="shared" si="12"/>
        <v>0.40677141999999999</v>
      </c>
      <c r="AG20" s="592">
        <f t="shared" si="12"/>
        <v>0.62702548800000002</v>
      </c>
      <c r="AH20" s="592">
        <f t="shared" si="12"/>
        <v>0.70954900799999998</v>
      </c>
      <c r="AI20" s="592">
        <f t="shared" si="12"/>
        <v>0.59964791799999995</v>
      </c>
      <c r="AJ20" s="592">
        <f t="shared" si="12"/>
        <v>0.55974088099999997</v>
      </c>
      <c r="AK20" s="592">
        <f t="shared" si="12"/>
        <v>0.59422234200000001</v>
      </c>
      <c r="AL20" s="592">
        <f t="shared" si="12"/>
        <v>0.71526650599999997</v>
      </c>
      <c r="AM20" s="592">
        <f t="shared" si="12"/>
        <v>0.66286860000000003</v>
      </c>
      <c r="AN20" s="592">
        <f t="shared" si="12"/>
        <v>0.75366678199999992</v>
      </c>
      <c r="AO20" s="592">
        <f t="shared" si="12"/>
        <v>0.98128612599999998</v>
      </c>
      <c r="AP20" s="592">
        <f t="shared" si="12"/>
        <v>1.610695646551144E-7</v>
      </c>
      <c r="AQ20" s="592">
        <f t="shared" si="12"/>
        <v>1.6436551734584768E-7</v>
      </c>
      <c r="AR20" s="592">
        <v>2.7267002513234679</v>
      </c>
      <c r="AS20" s="592">
        <v>2.1932550831351114</v>
      </c>
      <c r="AT20" s="592">
        <v>2.35758979420936</v>
      </c>
      <c r="AU20" s="592">
        <v>1.7246041479317638</v>
      </c>
      <c r="AV20" s="592">
        <v>2.3031716468480687</v>
      </c>
      <c r="AW20" s="592">
        <v>2.6118191623278042</v>
      </c>
      <c r="AX20" s="592">
        <v>2.8526763850862746</v>
      </c>
      <c r="AY20" s="592">
        <v>2.7793425871734079</v>
      </c>
      <c r="AZ20" s="592">
        <v>2.6811772104289351</v>
      </c>
      <c r="BA20" s="592">
        <v>2.4690208452060949</v>
      </c>
      <c r="BB20" s="592">
        <v>2.4053825232676478</v>
      </c>
      <c r="BC20" s="592">
        <v>2.9350891492214233</v>
      </c>
      <c r="BD20" s="592">
        <v>3.583909233214702</v>
      </c>
      <c r="BE20" s="592">
        <v>3.1385233771255159</v>
      </c>
      <c r="BF20" s="592">
        <v>3.2895191738652301</v>
      </c>
      <c r="BG20" s="592">
        <v>2.7590576132301146</v>
      </c>
      <c r="BH20" s="592">
        <v>3.2640917564613252</v>
      </c>
      <c r="BI20" s="592">
        <v>3.538429471438449</v>
      </c>
      <c r="BJ20" s="592">
        <v>3.7548278734311018</v>
      </c>
      <c r="BK20" s="592">
        <v>3.7026920774901777</v>
      </c>
      <c r="BL20" s="592">
        <v>3.6293331158116664</v>
      </c>
      <c r="BM20" s="592">
        <v>3.458547822224344</v>
      </c>
      <c r="BN20" s="592">
        <v>3.4146985993968459</v>
      </c>
      <c r="BO20" s="592">
        <v>3.8779721114575936</v>
      </c>
      <c r="BP20" s="592">
        <v>4.5351252128552941</v>
      </c>
      <c r="BQ20" s="592">
        <v>4.2570774486573928</v>
      </c>
      <c r="BR20" s="592">
        <v>4.4887478440126101</v>
      </c>
      <c r="BS20" s="592">
        <v>4.1379871931285788</v>
      </c>
      <c r="BT20" s="592">
        <v>4.6722486784827488</v>
      </c>
      <c r="BU20" s="592">
        <v>5.0093375005476162</v>
      </c>
      <c r="BV20" s="592">
        <v>5.2969064893980811</v>
      </c>
      <c r="BW20" s="592">
        <v>5.3549634593953375</v>
      </c>
      <c r="BX20" s="592">
        <v>5.3948813184250763</v>
      </c>
      <c r="BY20" s="592">
        <v>5.3515304008970332</v>
      </c>
      <c r="BZ20" s="592">
        <v>5.4166697765590879</v>
      </c>
      <c r="CA20" s="592">
        <v>5.9152390974058244</v>
      </c>
      <c r="CB20" s="592">
        <v>5.7423624662809036</v>
      </c>
      <c r="CC20" s="592">
        <v>5.7356310041852216</v>
      </c>
      <c r="CD20" s="592">
        <v>5.8528042282050388</v>
      </c>
      <c r="CE20" s="592">
        <v>5.8284399214458409</v>
      </c>
      <c r="CF20" s="592">
        <v>6.084104941516423</v>
      </c>
      <c r="CG20" s="592">
        <v>6.2593926283047931</v>
      </c>
      <c r="CH20" s="592">
        <v>6.4194774307856868</v>
      </c>
      <c r="CI20" s="592">
        <v>6.7032522003664718</v>
      </c>
      <c r="CJ20" s="592">
        <v>6.9087328577473865</v>
      </c>
      <c r="CK20" s="592">
        <v>6.7254055947870821</v>
      </c>
      <c r="CL20" s="592">
        <v>6.9124982490668909</v>
      </c>
      <c r="CM20" s="592">
        <v>7.3819485539836451</v>
      </c>
      <c r="CN20" s="592">
        <v>6.9870158197897396</v>
      </c>
      <c r="CO20" s="592">
        <v>7.10945458082562</v>
      </c>
      <c r="CP20" s="592">
        <v>7.2318933418615003</v>
      </c>
      <c r="CQ20" s="592">
        <v>7.3543321028973816</v>
      </c>
      <c r="CR20" s="592">
        <v>7.4767708639332611</v>
      </c>
      <c r="CS20" s="592">
        <v>7.5992096249691432</v>
      </c>
      <c r="CT20" s="592">
        <v>7.7216483860050236</v>
      </c>
      <c r="CU20" s="592">
        <v>7.8440871470409039</v>
      </c>
      <c r="CV20" s="592">
        <v>7.9665259080767843</v>
      </c>
      <c r="CW20" s="592">
        <v>8.0889646691126629</v>
      </c>
      <c r="CX20" s="592">
        <v>8.211403430148545</v>
      </c>
      <c r="CY20" s="592">
        <v>8.3338421911844307</v>
      </c>
    </row>
    <row r="21" spans="1:103">
      <c r="A21" s="230"/>
      <c r="B21" s="230"/>
      <c r="C21" s="230"/>
      <c r="D21" s="230"/>
      <c r="E21" s="230" t="s">
        <v>392</v>
      </c>
      <c r="F21" s="230"/>
      <c r="G21" s="232" t="s">
        <v>736</v>
      </c>
      <c r="H21" s="232"/>
      <c r="I21" s="232"/>
      <c r="J21" s="232"/>
      <c r="K21" s="232"/>
      <c r="L21" s="230"/>
      <c r="M21" s="230"/>
      <c r="N21" s="230"/>
      <c r="O21" s="230"/>
      <c r="P21" s="230"/>
      <c r="Q21" s="594">
        <v>0.13579833899999999</v>
      </c>
      <c r="R21" s="594">
        <v>0.39477499700000002</v>
      </c>
      <c r="S21" s="594">
        <v>0.649600179</v>
      </c>
      <c r="T21" s="237">
        <f t="shared" si="12"/>
        <v>0.54940926400000001</v>
      </c>
      <c r="U21" s="237">
        <f t="shared" si="12"/>
        <v>0.57102161399999996</v>
      </c>
      <c r="V21" s="237">
        <f t="shared" si="12"/>
        <v>0.58633052299999999</v>
      </c>
      <c r="W21" s="237">
        <f t="shared" si="12"/>
        <v>0.623539014</v>
      </c>
      <c r="X21" s="237">
        <f t="shared" si="12"/>
        <v>0.56837315300000002</v>
      </c>
      <c r="Y21" s="237">
        <f t="shared" si="12"/>
        <v>0.57610338699999997</v>
      </c>
      <c r="Z21" s="237">
        <f t="shared" si="12"/>
        <v>0.67545523600000001</v>
      </c>
      <c r="AA21" s="237">
        <f t="shared" si="12"/>
        <v>0.72113184600000002</v>
      </c>
      <c r="AB21" s="237">
        <f t="shared" si="12"/>
        <v>0.64205164599999998</v>
      </c>
      <c r="AC21" s="237">
        <f t="shared" si="12"/>
        <v>0.83013263000000004</v>
      </c>
      <c r="AD21" s="240">
        <f t="shared" si="12"/>
        <v>0.78058229899999998</v>
      </c>
      <c r="AE21" s="592">
        <f t="shared" si="12"/>
        <v>1.0435076779999999</v>
      </c>
      <c r="AF21" s="592">
        <f t="shared" si="12"/>
        <v>1.1794821308395915</v>
      </c>
      <c r="AG21" s="592">
        <f t="shared" si="12"/>
        <v>1.032636916</v>
      </c>
      <c r="AH21" s="592">
        <f t="shared" si="12"/>
        <v>1.883604576</v>
      </c>
      <c r="AI21" s="592">
        <f t="shared" si="12"/>
        <v>1.5788342089999996</v>
      </c>
      <c r="AJ21" s="592">
        <f t="shared" si="12"/>
        <v>2.0757896090000001</v>
      </c>
      <c r="AK21" s="592">
        <f t="shared" si="12"/>
        <v>1.8235785470000001</v>
      </c>
      <c r="AL21" s="592">
        <f t="shared" si="12"/>
        <v>2.2108034209999996</v>
      </c>
      <c r="AM21" s="592">
        <f t="shared" si="12"/>
        <v>2.1376988009999982</v>
      </c>
      <c r="AN21" s="592">
        <f t="shared" si="12"/>
        <v>2.3804384129999998</v>
      </c>
      <c r="AO21" s="592">
        <f t="shared" si="12"/>
        <v>2.6829946839999996</v>
      </c>
      <c r="AP21" s="592">
        <f t="shared" si="12"/>
        <v>0</v>
      </c>
      <c r="AQ21" s="592">
        <f t="shared" si="12"/>
        <v>0</v>
      </c>
      <c r="AR21" s="592">
        <v>3.066265011050695</v>
      </c>
      <c r="AS21" s="592">
        <v>3.2061634467347235</v>
      </c>
      <c r="AT21" s="592">
        <v>3.3506546299187514</v>
      </c>
      <c r="AU21" s="592">
        <v>3.4998035981027793</v>
      </c>
      <c r="AV21" s="592">
        <v>3.653675388786807</v>
      </c>
      <c r="AW21" s="592">
        <v>3.8123350394708355</v>
      </c>
      <c r="AX21" s="592">
        <v>3.9758475876548633</v>
      </c>
      <c r="AY21" s="592">
        <v>4.1442780708388911</v>
      </c>
      <c r="AZ21" s="592">
        <v>4.3176915265229194</v>
      </c>
      <c r="BA21" s="592">
        <v>4.4961529922069472</v>
      </c>
      <c r="BB21" s="592">
        <v>4.6797275053909759</v>
      </c>
      <c r="BC21" s="592">
        <v>4.8684801035750009</v>
      </c>
      <c r="BD21" s="592">
        <v>5.0323946235750006</v>
      </c>
      <c r="BE21" s="592">
        <v>5.2059315035750009</v>
      </c>
      <c r="BF21" s="592">
        <v>5.3890907435750002</v>
      </c>
      <c r="BG21" s="592">
        <v>5.5818723435750011</v>
      </c>
      <c r="BH21" s="592">
        <v>5.7842763035750009</v>
      </c>
      <c r="BI21" s="592">
        <v>5.9963026235750005</v>
      </c>
      <c r="BJ21" s="592">
        <v>6.2179513035750009</v>
      </c>
      <c r="BK21" s="592">
        <v>6.4492223435750002</v>
      </c>
      <c r="BL21" s="592">
        <v>6.6901157435750003</v>
      </c>
      <c r="BM21" s="592">
        <v>6.9406315035750001</v>
      </c>
      <c r="BN21" s="592">
        <v>7.2007696235750007</v>
      </c>
      <c r="BO21" s="592">
        <v>7.4705301035750002</v>
      </c>
      <c r="BP21" s="592">
        <v>7.7440883748250009</v>
      </c>
      <c r="BQ21" s="592">
        <v>8.0214444373250018</v>
      </c>
      <c r="BR21" s="592">
        <v>8.3025982910750002</v>
      </c>
      <c r="BS21" s="592">
        <v>8.5875499360750016</v>
      </c>
      <c r="BT21" s="592">
        <v>8.8762993723250005</v>
      </c>
      <c r="BU21" s="592">
        <v>9.1688465998250006</v>
      </c>
      <c r="BV21" s="592">
        <v>9.465191618575</v>
      </c>
      <c r="BW21" s="592">
        <v>9.7653344285750006</v>
      </c>
      <c r="BX21" s="592">
        <v>10.069275029824999</v>
      </c>
      <c r="BY21" s="592">
        <v>10.377013422325</v>
      </c>
      <c r="BZ21" s="592">
        <v>10.688549606075</v>
      </c>
      <c r="CA21" s="592">
        <v>11.003883581075</v>
      </c>
      <c r="CB21" s="592">
        <v>11.323015347325001</v>
      </c>
      <c r="CC21" s="592">
        <v>11.645944904824999</v>
      </c>
      <c r="CD21" s="592">
        <v>11.972672253575</v>
      </c>
      <c r="CE21" s="592">
        <v>12.303197393575003</v>
      </c>
      <c r="CF21" s="592">
        <v>12.637520324825001</v>
      </c>
      <c r="CG21" s="592">
        <v>12.975641047325002</v>
      </c>
      <c r="CH21" s="592">
        <v>13.317559561075001</v>
      </c>
      <c r="CI21" s="592">
        <v>13.663275866075001</v>
      </c>
      <c r="CJ21" s="592">
        <v>14.012789962324998</v>
      </c>
      <c r="CK21" s="592">
        <v>14.366101849825</v>
      </c>
      <c r="CL21" s="592">
        <v>14.723211528575</v>
      </c>
      <c r="CM21" s="592">
        <v>15.084118998575001</v>
      </c>
      <c r="CN21" s="592">
        <v>15.448285039825</v>
      </c>
      <c r="CO21" s="592">
        <v>15.815709652325001</v>
      </c>
      <c r="CP21" s="592">
        <v>16.186392836074997</v>
      </c>
      <c r="CQ21" s="592">
        <v>16.560334591075001</v>
      </c>
      <c r="CR21" s="592">
        <v>16.937534917325003</v>
      </c>
      <c r="CS21" s="592">
        <v>17.317993814825002</v>
      </c>
      <c r="CT21" s="592">
        <v>17.701711283575001</v>
      </c>
      <c r="CU21" s="592">
        <v>18.088687323575002</v>
      </c>
      <c r="CV21" s="592">
        <v>18.478921934824999</v>
      </c>
      <c r="CW21" s="592">
        <v>18.872415117324998</v>
      </c>
      <c r="CX21" s="592">
        <v>19.269166871075001</v>
      </c>
      <c r="CY21" s="592">
        <v>19.669177196075001</v>
      </c>
    </row>
    <row r="22" spans="1:103">
      <c r="A22" s="230"/>
      <c r="B22" s="230"/>
      <c r="C22" s="230"/>
      <c r="D22" s="230"/>
      <c r="E22" s="230" t="s">
        <v>867</v>
      </c>
      <c r="F22" s="230"/>
      <c r="G22" s="232" t="s">
        <v>736</v>
      </c>
      <c r="H22" s="232"/>
      <c r="I22" s="232"/>
      <c r="J22" s="232"/>
      <c r="K22" s="232"/>
      <c r="L22" s="230"/>
      <c r="M22" s="230"/>
      <c r="N22" s="230"/>
      <c r="O22" s="230"/>
      <c r="P22" s="230"/>
      <c r="Q22" s="594">
        <v>0.14120178999999999</v>
      </c>
      <c r="R22" s="594">
        <v>0.32001520999999999</v>
      </c>
      <c r="S22" s="594">
        <v>0.50759767200000006</v>
      </c>
      <c r="T22" s="237">
        <f t="shared" ref="T22:AQ25" si="13">T78+T131</f>
        <v>7.7832470000000001E-3</v>
      </c>
      <c r="U22" s="237">
        <f t="shared" si="13"/>
        <v>9.2050480000000004E-3</v>
      </c>
      <c r="V22" s="237">
        <f t="shared" si="13"/>
        <v>1.5167231E-2</v>
      </c>
      <c r="W22" s="237">
        <f t="shared" si="13"/>
        <v>2.0816667000000001E-2</v>
      </c>
      <c r="X22" s="237">
        <f t="shared" si="13"/>
        <v>1.2232306E-2</v>
      </c>
      <c r="Y22" s="237">
        <f t="shared" si="13"/>
        <v>4.2591553999999997E-2</v>
      </c>
      <c r="Z22" s="237">
        <f t="shared" si="13"/>
        <v>6.3640166999999997E-2</v>
      </c>
      <c r="AA22" s="237">
        <f t="shared" si="13"/>
        <v>6.0019366999999997E-2</v>
      </c>
      <c r="AB22" s="237">
        <f t="shared" si="13"/>
        <v>5.6317274000000001E-2</v>
      </c>
      <c r="AC22" s="237">
        <f t="shared" si="13"/>
        <v>6.9023110999999998E-2</v>
      </c>
      <c r="AD22" s="240">
        <f t="shared" si="13"/>
        <v>0.101203768</v>
      </c>
      <c r="AE22" s="592">
        <f t="shared" si="13"/>
        <v>0.11498863199999999</v>
      </c>
      <c r="AF22" s="592">
        <f t="shared" si="13"/>
        <v>0.12420154100000001</v>
      </c>
      <c r="AG22" s="592">
        <f t="shared" si="13"/>
        <v>0.120192111</v>
      </c>
      <c r="AH22" s="592">
        <f t="shared" si="13"/>
        <v>0.16176381300000001</v>
      </c>
      <c r="AI22" s="592">
        <f t="shared" si="13"/>
        <v>0.12393356799999999</v>
      </c>
      <c r="AJ22" s="592">
        <f t="shared" si="13"/>
        <v>0.105782406</v>
      </c>
      <c r="AK22" s="592">
        <f t="shared" si="13"/>
        <v>0.10545779299999999</v>
      </c>
      <c r="AL22" s="592">
        <f t="shared" si="13"/>
        <v>0.11014454500000001</v>
      </c>
      <c r="AM22" s="592">
        <f t="shared" si="13"/>
        <v>0.124571311</v>
      </c>
      <c r="AN22" s="592">
        <f t="shared" si="13"/>
        <v>0.124748939</v>
      </c>
      <c r="AO22" s="592">
        <f t="shared" si="13"/>
        <v>0.14878185100000002</v>
      </c>
      <c r="AP22" s="592">
        <f t="shared" si="13"/>
        <v>0</v>
      </c>
      <c r="AQ22" s="592">
        <f t="shared" si="13"/>
        <v>0</v>
      </c>
      <c r="AR22" s="592">
        <v>0.16986156225902782</v>
      </c>
      <c r="AS22" s="592">
        <v>0.17713495815138894</v>
      </c>
      <c r="AT22" s="592">
        <v>0.18461014279375004</v>
      </c>
      <c r="AU22" s="592">
        <v>0.19228965993611116</v>
      </c>
      <c r="AV22" s="592">
        <v>0.20017605332847233</v>
      </c>
      <c r="AW22" s="592">
        <v>0.20827186672083342</v>
      </c>
      <c r="AX22" s="592">
        <v>0.21657964386319456</v>
      </c>
      <c r="AY22" s="592">
        <v>0.22510192850555566</v>
      </c>
      <c r="AZ22" s="592">
        <v>0.2338412643979168</v>
      </c>
      <c r="BA22" s="592">
        <v>0.24280019529027791</v>
      </c>
      <c r="BB22" s="592">
        <v>0.25198126493263906</v>
      </c>
      <c r="BC22" s="592">
        <v>0.26138701707500001</v>
      </c>
      <c r="BD22" s="592">
        <v>0.29128635900000005</v>
      </c>
      <c r="BE22" s="592">
        <v>0.30053555900000006</v>
      </c>
      <c r="BF22" s="592">
        <v>0.31032815900000005</v>
      </c>
      <c r="BG22" s="592">
        <v>0.32066415900000012</v>
      </c>
      <c r="BH22" s="592">
        <v>0.33154355899999999</v>
      </c>
      <c r="BI22" s="592">
        <v>0.34296635900000005</v>
      </c>
      <c r="BJ22" s="592">
        <v>0.35493255900000009</v>
      </c>
      <c r="BK22" s="592">
        <v>0.36744215900000005</v>
      </c>
      <c r="BL22" s="592">
        <v>0.38049515900000008</v>
      </c>
      <c r="BM22" s="592">
        <v>0.39409155900000004</v>
      </c>
      <c r="BN22" s="592">
        <v>0.40823135900000007</v>
      </c>
      <c r="BO22" s="592">
        <v>0.42291455900000008</v>
      </c>
      <c r="BP22" s="592">
        <v>0.43777540900000006</v>
      </c>
      <c r="BQ22" s="592">
        <v>0.45281390900000007</v>
      </c>
      <c r="BR22" s="592">
        <v>0.46803005900000005</v>
      </c>
      <c r="BS22" s="592">
        <v>0.48342385900000012</v>
      </c>
      <c r="BT22" s="592">
        <v>0.49899530900000005</v>
      </c>
      <c r="BU22" s="592">
        <v>0.51474440899999996</v>
      </c>
      <c r="BV22" s="592">
        <v>0.53067115900000006</v>
      </c>
      <c r="BW22" s="592">
        <v>0.54677555900000008</v>
      </c>
      <c r="BX22" s="592">
        <v>0.56305760900000001</v>
      </c>
      <c r="BY22" s="592">
        <v>0.57951730900000009</v>
      </c>
      <c r="BZ22" s="592">
        <v>0.59615465899999998</v>
      </c>
      <c r="CA22" s="592">
        <v>0.612969659</v>
      </c>
      <c r="CB22" s="592">
        <v>0.62996230900000005</v>
      </c>
      <c r="CC22" s="592">
        <v>0.64713260899999991</v>
      </c>
      <c r="CD22" s="592">
        <v>0.66448055900000003</v>
      </c>
      <c r="CE22" s="592">
        <v>0.68200615900000017</v>
      </c>
      <c r="CF22" s="592">
        <v>0.699709409</v>
      </c>
      <c r="CG22" s="592">
        <v>0.71759030900000009</v>
      </c>
      <c r="CH22" s="592">
        <v>0.73564885899999999</v>
      </c>
      <c r="CI22" s="592">
        <v>0.75388505899999991</v>
      </c>
      <c r="CJ22" s="592">
        <v>0.77229890899999998</v>
      </c>
      <c r="CK22" s="592">
        <v>0.79089040899999996</v>
      </c>
      <c r="CL22" s="592">
        <v>0.80965955900000008</v>
      </c>
      <c r="CM22" s="592">
        <v>0.82860635900000013</v>
      </c>
      <c r="CN22" s="592">
        <v>0.8477080090000001</v>
      </c>
      <c r="CO22" s="592">
        <v>0.86696450899999999</v>
      </c>
      <c r="CP22" s="592">
        <v>0.88637585899999993</v>
      </c>
      <c r="CQ22" s="592">
        <v>0.90594205900000002</v>
      </c>
      <c r="CR22" s="592">
        <v>0.92566310900000004</v>
      </c>
      <c r="CS22" s="592">
        <v>0.94553900899999999</v>
      </c>
      <c r="CT22" s="592">
        <v>0.96556975899999997</v>
      </c>
      <c r="CU22" s="592">
        <v>0.985755359</v>
      </c>
      <c r="CV22" s="592">
        <v>1.0060958090000001</v>
      </c>
      <c r="CW22" s="592">
        <v>1.0265911089999999</v>
      </c>
      <c r="CX22" s="592">
        <v>1.0472412590000002</v>
      </c>
      <c r="CY22" s="592">
        <v>1.0680462590000002</v>
      </c>
    </row>
    <row r="23" spans="1:103">
      <c r="A23" s="230"/>
      <c r="B23" s="230"/>
      <c r="C23" s="230"/>
      <c r="D23" s="230"/>
      <c r="E23" s="230" t="s">
        <v>868</v>
      </c>
      <c r="F23" s="93"/>
      <c r="G23" s="232" t="s">
        <v>736</v>
      </c>
      <c r="H23" s="232"/>
      <c r="I23" s="232"/>
      <c r="J23" s="232"/>
      <c r="K23" s="232"/>
      <c r="L23" s="230"/>
      <c r="M23" s="230"/>
      <c r="N23" s="230"/>
      <c r="O23" s="230"/>
      <c r="P23" s="230"/>
      <c r="Q23" s="230"/>
      <c r="R23" s="230"/>
      <c r="S23" s="230"/>
      <c r="T23" s="237">
        <f t="shared" si="13"/>
        <v>0</v>
      </c>
      <c r="U23" s="237">
        <f t="shared" si="13"/>
        <v>0</v>
      </c>
      <c r="V23" s="237">
        <f t="shared" si="13"/>
        <v>0</v>
      </c>
      <c r="W23" s="237">
        <f t="shared" si="13"/>
        <v>0</v>
      </c>
      <c r="X23" s="237">
        <f t="shared" si="13"/>
        <v>0</v>
      </c>
      <c r="Y23" s="237">
        <f t="shared" si="13"/>
        <v>0</v>
      </c>
      <c r="Z23" s="237">
        <f t="shared" si="13"/>
        <v>0</v>
      </c>
      <c r="AA23" s="237">
        <f t="shared" si="13"/>
        <v>0</v>
      </c>
      <c r="AB23" s="237">
        <f t="shared" si="13"/>
        <v>0</v>
      </c>
      <c r="AC23" s="237">
        <f t="shared" si="13"/>
        <v>0</v>
      </c>
      <c r="AD23" s="237">
        <f t="shared" si="13"/>
        <v>0</v>
      </c>
      <c r="AE23" s="592">
        <f t="shared" si="13"/>
        <v>0</v>
      </c>
      <c r="AF23" s="592">
        <f t="shared" si="13"/>
        <v>0</v>
      </c>
      <c r="AG23" s="592">
        <f t="shared" si="13"/>
        <v>0</v>
      </c>
      <c r="AH23" s="592">
        <f t="shared" si="13"/>
        <v>0</v>
      </c>
      <c r="AI23" s="592">
        <f t="shared" si="13"/>
        <v>5.9999999999999995E-4</v>
      </c>
      <c r="AJ23" s="592">
        <f t="shared" si="13"/>
        <v>1.6799999999999999E-2</v>
      </c>
      <c r="AK23" s="592">
        <f t="shared" si="13"/>
        <v>6.3134999999999997E-2</v>
      </c>
      <c r="AL23" s="592">
        <f t="shared" si="13"/>
        <v>7.1449666999999994E-2</v>
      </c>
      <c r="AM23" s="592">
        <f t="shared" si="13"/>
        <v>7.1183630999999997E-2</v>
      </c>
      <c r="AN23" s="592">
        <f t="shared" si="13"/>
        <v>6.2971315E-2</v>
      </c>
      <c r="AO23" s="592">
        <f t="shared" si="13"/>
        <v>5.9151197000000003E-2</v>
      </c>
      <c r="AP23" s="592">
        <f t="shared" si="13"/>
        <v>0</v>
      </c>
      <c r="AQ23" s="592">
        <f t="shared" si="13"/>
        <v>0</v>
      </c>
      <c r="AR23" s="592">
        <v>0</v>
      </c>
      <c r="AS23" s="592">
        <v>0</v>
      </c>
      <c r="AT23" s="592">
        <v>0</v>
      </c>
      <c r="AU23" s="592">
        <v>0</v>
      </c>
      <c r="AV23" s="592">
        <v>0</v>
      </c>
      <c r="AW23" s="592">
        <v>0</v>
      </c>
      <c r="AX23" s="592">
        <v>0</v>
      </c>
      <c r="AY23" s="592">
        <v>0</v>
      </c>
      <c r="AZ23" s="592">
        <v>0</v>
      </c>
      <c r="BA23" s="592">
        <v>0</v>
      </c>
      <c r="BB23" s="592">
        <v>0</v>
      </c>
      <c r="BC23" s="592">
        <v>0</v>
      </c>
      <c r="BD23" s="592">
        <v>0</v>
      </c>
      <c r="BE23" s="592">
        <v>0</v>
      </c>
      <c r="BF23" s="592">
        <v>0</v>
      </c>
      <c r="BG23" s="592">
        <v>0</v>
      </c>
      <c r="BH23" s="592">
        <v>0</v>
      </c>
      <c r="BI23" s="592">
        <v>0</v>
      </c>
      <c r="BJ23" s="592">
        <v>0</v>
      </c>
      <c r="BK23" s="592">
        <v>0</v>
      </c>
      <c r="BL23" s="592">
        <v>0</v>
      </c>
      <c r="BM23" s="592">
        <v>0</v>
      </c>
      <c r="BN23" s="592">
        <v>0</v>
      </c>
      <c r="BO23" s="592">
        <v>0</v>
      </c>
      <c r="BP23" s="592">
        <v>0</v>
      </c>
      <c r="BQ23" s="592">
        <v>0</v>
      </c>
      <c r="BR23" s="592">
        <v>0</v>
      </c>
      <c r="BS23" s="592">
        <v>0</v>
      </c>
      <c r="BT23" s="592">
        <v>0</v>
      </c>
      <c r="BU23" s="592">
        <v>0</v>
      </c>
      <c r="BV23" s="592">
        <v>0</v>
      </c>
      <c r="BW23" s="592">
        <v>0</v>
      </c>
      <c r="BX23" s="592">
        <v>0</v>
      </c>
      <c r="BY23" s="592">
        <v>0</v>
      </c>
      <c r="BZ23" s="592">
        <v>0</v>
      </c>
      <c r="CA23" s="592">
        <v>0</v>
      </c>
      <c r="CB23" s="592">
        <v>0</v>
      </c>
      <c r="CC23" s="592">
        <v>0</v>
      </c>
      <c r="CD23" s="592">
        <v>0</v>
      </c>
      <c r="CE23" s="592">
        <v>0</v>
      </c>
      <c r="CF23" s="592">
        <v>0</v>
      </c>
      <c r="CG23" s="592">
        <v>0</v>
      </c>
      <c r="CH23" s="592">
        <v>0</v>
      </c>
      <c r="CI23" s="592">
        <v>0</v>
      </c>
      <c r="CJ23" s="592">
        <v>0</v>
      </c>
      <c r="CK23" s="592">
        <v>0</v>
      </c>
      <c r="CL23" s="592">
        <v>0</v>
      </c>
      <c r="CM23" s="592">
        <v>0</v>
      </c>
      <c r="CN23" s="592">
        <v>0</v>
      </c>
      <c r="CO23" s="592">
        <v>0</v>
      </c>
      <c r="CP23" s="592">
        <v>0</v>
      </c>
      <c r="CQ23" s="592">
        <v>0</v>
      </c>
      <c r="CR23" s="592">
        <v>0</v>
      </c>
      <c r="CS23" s="592">
        <v>0</v>
      </c>
      <c r="CT23" s="592">
        <v>0</v>
      </c>
      <c r="CU23" s="592">
        <v>0</v>
      </c>
      <c r="CV23" s="592">
        <v>0</v>
      </c>
      <c r="CW23" s="592">
        <v>0</v>
      </c>
      <c r="CX23" s="592">
        <v>0</v>
      </c>
      <c r="CY23" s="592">
        <v>0</v>
      </c>
    </row>
    <row r="24" spans="1:103">
      <c r="A24" s="230"/>
      <c r="B24" s="230"/>
      <c r="C24" s="230"/>
      <c r="D24" s="230"/>
      <c r="E24" s="230" t="s">
        <v>801</v>
      </c>
      <c r="F24" s="93"/>
      <c r="G24" s="232" t="s">
        <v>736</v>
      </c>
      <c r="H24" s="232"/>
      <c r="I24" s="232"/>
      <c r="J24" s="232"/>
      <c r="K24" s="232"/>
      <c r="L24" s="230"/>
      <c r="M24" s="230"/>
      <c r="N24" s="230"/>
      <c r="O24" s="230"/>
      <c r="P24" s="230"/>
      <c r="Q24" s="230"/>
      <c r="R24" s="230"/>
      <c r="S24" s="230"/>
      <c r="T24" s="237">
        <f t="shared" si="13"/>
        <v>0</v>
      </c>
      <c r="U24" s="237">
        <f t="shared" si="13"/>
        <v>0</v>
      </c>
      <c r="V24" s="237">
        <f t="shared" si="13"/>
        <v>0</v>
      </c>
      <c r="W24" s="237">
        <f t="shared" si="13"/>
        <v>0</v>
      </c>
      <c r="X24" s="237">
        <f t="shared" si="13"/>
        <v>0</v>
      </c>
      <c r="Y24" s="237">
        <f t="shared" si="13"/>
        <v>0</v>
      </c>
      <c r="Z24" s="237">
        <f t="shared" si="13"/>
        <v>0</v>
      </c>
      <c r="AA24" s="237">
        <f t="shared" si="13"/>
        <v>0</v>
      </c>
      <c r="AB24" s="237">
        <f t="shared" si="13"/>
        <v>0</v>
      </c>
      <c r="AC24" s="237">
        <f t="shared" si="13"/>
        <v>0</v>
      </c>
      <c r="AD24" s="237">
        <f t="shared" si="13"/>
        <v>0</v>
      </c>
      <c r="AE24" s="592">
        <f t="shared" si="13"/>
        <v>0</v>
      </c>
      <c r="AF24" s="592">
        <f t="shared" si="13"/>
        <v>0</v>
      </c>
      <c r="AG24" s="592">
        <f t="shared" si="13"/>
        <v>0</v>
      </c>
      <c r="AH24" s="592">
        <f t="shared" si="13"/>
        <v>0</v>
      </c>
      <c r="AI24" s="592">
        <f t="shared" si="13"/>
        <v>0</v>
      </c>
      <c r="AJ24" s="592">
        <f t="shared" si="13"/>
        <v>0</v>
      </c>
      <c r="AK24" s="592">
        <f t="shared" si="13"/>
        <v>0</v>
      </c>
      <c r="AL24" s="592">
        <f t="shared" si="13"/>
        <v>0.113781863</v>
      </c>
      <c r="AM24" s="592">
        <f t="shared" si="13"/>
        <v>9.0309009999999995E-2</v>
      </c>
      <c r="AN24" s="592">
        <f t="shared" si="13"/>
        <v>0.20823024100000001</v>
      </c>
      <c r="AO24" s="592">
        <f t="shared" si="13"/>
        <v>0.28739917399999998</v>
      </c>
      <c r="AP24" s="592">
        <f t="shared" si="13"/>
        <v>0.28739317399999997</v>
      </c>
      <c r="AQ24" s="592">
        <f t="shared" si="13"/>
        <v>0.28739317399999997</v>
      </c>
      <c r="AR24" s="592">
        <v>0</v>
      </c>
      <c r="AS24" s="592">
        <v>0</v>
      </c>
      <c r="AT24" s="592">
        <v>0</v>
      </c>
      <c r="AU24" s="592">
        <v>0</v>
      </c>
      <c r="AV24" s="592">
        <v>0</v>
      </c>
      <c r="AW24" s="592">
        <v>0</v>
      </c>
      <c r="AX24" s="592">
        <v>0</v>
      </c>
      <c r="AY24" s="592">
        <v>0</v>
      </c>
      <c r="AZ24" s="592">
        <v>0</v>
      </c>
      <c r="BA24" s="592">
        <v>0</v>
      </c>
      <c r="BB24" s="592">
        <v>0</v>
      </c>
      <c r="BC24" s="592">
        <v>0</v>
      </c>
      <c r="BD24" s="592">
        <v>0</v>
      </c>
      <c r="BE24" s="592">
        <v>0</v>
      </c>
      <c r="BF24" s="592">
        <v>0</v>
      </c>
      <c r="BG24" s="592">
        <v>0</v>
      </c>
      <c r="BH24" s="592">
        <v>0</v>
      </c>
      <c r="BI24" s="592">
        <v>0</v>
      </c>
      <c r="BJ24" s="592">
        <v>0</v>
      </c>
      <c r="BK24" s="592">
        <v>0</v>
      </c>
      <c r="BL24" s="592">
        <v>0</v>
      </c>
      <c r="BM24" s="592">
        <v>0</v>
      </c>
      <c r="BN24" s="592">
        <v>0</v>
      </c>
      <c r="BO24" s="592">
        <v>0</v>
      </c>
      <c r="BP24" s="592">
        <v>0</v>
      </c>
      <c r="BQ24" s="592">
        <v>0</v>
      </c>
      <c r="BR24" s="592">
        <v>0</v>
      </c>
      <c r="BS24" s="592">
        <v>0</v>
      </c>
      <c r="BT24" s="592">
        <v>0</v>
      </c>
      <c r="BU24" s="592">
        <v>0</v>
      </c>
      <c r="BV24" s="592">
        <v>0</v>
      </c>
      <c r="BW24" s="592">
        <v>0</v>
      </c>
      <c r="BX24" s="592">
        <v>0</v>
      </c>
      <c r="BY24" s="592">
        <v>0</v>
      </c>
      <c r="BZ24" s="592">
        <v>0</v>
      </c>
      <c r="CA24" s="592">
        <v>0</v>
      </c>
      <c r="CB24" s="592">
        <v>0</v>
      </c>
      <c r="CC24" s="592">
        <v>0</v>
      </c>
      <c r="CD24" s="592">
        <v>0</v>
      </c>
      <c r="CE24" s="592">
        <v>0</v>
      </c>
      <c r="CF24" s="592">
        <v>0</v>
      </c>
      <c r="CG24" s="592">
        <v>0</v>
      </c>
      <c r="CH24" s="592">
        <v>0</v>
      </c>
      <c r="CI24" s="592">
        <v>0</v>
      </c>
      <c r="CJ24" s="592">
        <v>0</v>
      </c>
      <c r="CK24" s="592">
        <v>0</v>
      </c>
      <c r="CL24" s="592">
        <v>0</v>
      </c>
      <c r="CM24" s="592">
        <v>0</v>
      </c>
      <c r="CN24" s="592">
        <v>0</v>
      </c>
      <c r="CO24" s="592">
        <v>0</v>
      </c>
      <c r="CP24" s="592">
        <v>0</v>
      </c>
      <c r="CQ24" s="592">
        <v>0</v>
      </c>
      <c r="CR24" s="592">
        <v>0</v>
      </c>
      <c r="CS24" s="592">
        <v>0</v>
      </c>
      <c r="CT24" s="592">
        <v>0</v>
      </c>
      <c r="CU24" s="592">
        <v>0</v>
      </c>
      <c r="CV24" s="592">
        <v>0</v>
      </c>
      <c r="CW24" s="592">
        <v>0</v>
      </c>
      <c r="CX24" s="592">
        <v>0</v>
      </c>
      <c r="CY24" s="592">
        <v>0</v>
      </c>
    </row>
    <row r="25" spans="1:103">
      <c r="A25" s="230"/>
      <c r="B25" s="230"/>
      <c r="C25" s="230"/>
      <c r="D25" s="230"/>
      <c r="E25" s="230" t="s">
        <v>804</v>
      </c>
      <c r="F25" s="230"/>
      <c r="G25" s="232" t="s">
        <v>736</v>
      </c>
      <c r="H25" s="232"/>
      <c r="I25" s="232"/>
      <c r="J25" s="232"/>
      <c r="K25" s="232"/>
      <c r="L25" s="230"/>
      <c r="M25" s="230"/>
      <c r="N25" s="230"/>
      <c r="O25" s="230"/>
      <c r="P25" s="230"/>
      <c r="Q25" s="230"/>
      <c r="R25" s="230"/>
      <c r="S25" s="230"/>
      <c r="T25" s="237">
        <f t="shared" si="13"/>
        <v>0</v>
      </c>
      <c r="U25" s="237">
        <f t="shared" si="13"/>
        <v>0</v>
      </c>
      <c r="V25" s="237">
        <f t="shared" si="13"/>
        <v>0</v>
      </c>
      <c r="W25" s="237">
        <f t="shared" si="13"/>
        <v>0</v>
      </c>
      <c r="X25" s="237">
        <f t="shared" si="13"/>
        <v>0</v>
      </c>
      <c r="Y25" s="237">
        <f t="shared" si="13"/>
        <v>0</v>
      </c>
      <c r="Z25" s="237">
        <f t="shared" si="13"/>
        <v>0</v>
      </c>
      <c r="AA25" s="237">
        <f t="shared" si="13"/>
        <v>0</v>
      </c>
      <c r="AB25" s="237">
        <f t="shared" si="13"/>
        <v>-1.170401638</v>
      </c>
      <c r="AC25" s="237">
        <f t="shared" si="13"/>
        <v>6.1944010000000004E-3</v>
      </c>
      <c r="AD25" s="237">
        <f t="shared" si="13"/>
        <v>-0.43454568700000001</v>
      </c>
      <c r="AE25" s="592">
        <f t="shared" si="13"/>
        <v>0.95276054199999993</v>
      </c>
      <c r="AF25" s="592">
        <f t="shared" si="13"/>
        <v>-0.120159189</v>
      </c>
      <c r="AG25" s="592">
        <f t="shared" si="13"/>
        <v>0.98267191500000006</v>
      </c>
      <c r="AH25" s="592">
        <f t="shared" si="13"/>
        <v>-1.341615461</v>
      </c>
      <c r="AI25" s="592">
        <f t="shared" si="13"/>
        <v>0.15666454700000002</v>
      </c>
      <c r="AJ25" s="592">
        <f t="shared" si="13"/>
        <v>-0.218887099</v>
      </c>
      <c r="AK25" s="592">
        <f t="shared" si="13"/>
        <v>-0.381567033</v>
      </c>
      <c r="AL25" s="592">
        <f t="shared" si="13"/>
        <v>2.7099904999999997E-2</v>
      </c>
      <c r="AM25" s="592">
        <f t="shared" si="13"/>
        <v>-0.41973412399999999</v>
      </c>
      <c r="AN25" s="592">
        <f t="shared" si="13"/>
        <v>-0.204832185</v>
      </c>
      <c r="AO25" s="592">
        <f t="shared" si="13"/>
        <v>-7.1836857908378932E-2</v>
      </c>
      <c r="AP25" s="592">
        <f t="shared" si="13"/>
        <v>-0.11020368621415487</v>
      </c>
      <c r="AQ25" s="592">
        <f t="shared" si="13"/>
        <v>-7.9079674525516549E-4</v>
      </c>
      <c r="AR25" s="592">
        <v>-0.31279363096080076</v>
      </c>
      <c r="AS25" s="592">
        <v>-0.28727902424972435</v>
      </c>
      <c r="AT25" s="592">
        <v>-0.285583359533926</v>
      </c>
      <c r="AU25" s="592">
        <v>-0.30107740076570089</v>
      </c>
      <c r="AV25" s="592">
        <v>-0.29167027888775271</v>
      </c>
      <c r="AW25" s="592">
        <v>-0.31088063960441831</v>
      </c>
      <c r="AX25" s="592">
        <v>-0.32353126352793615</v>
      </c>
      <c r="AY25" s="592">
        <v>-0.33393547367185694</v>
      </c>
      <c r="AZ25" s="592">
        <v>-0.33567377102651164</v>
      </c>
      <c r="BA25" s="592">
        <v>-0.34061563017702445</v>
      </c>
      <c r="BB25" s="592">
        <v>-0.34615264879452906</v>
      </c>
      <c r="BC25" s="592">
        <v>-0.35596885345285251</v>
      </c>
      <c r="BD25" s="592">
        <v>-0.41810958229580863</v>
      </c>
      <c r="BE25" s="592">
        <v>-0.41965126268331188</v>
      </c>
      <c r="BF25" s="592">
        <v>-0.42407262996618433</v>
      </c>
      <c r="BG25" s="592">
        <v>-0.44547063295312261</v>
      </c>
      <c r="BH25" s="592">
        <v>-0.45159887451629144</v>
      </c>
      <c r="BI25" s="592">
        <v>-0.48017282393942284</v>
      </c>
      <c r="BJ25" s="592">
        <v>-0.502288476477743</v>
      </c>
      <c r="BK25" s="592">
        <v>-0.52326647262204296</v>
      </c>
      <c r="BL25" s="592">
        <v>-0.53863776629674287</v>
      </c>
      <c r="BM25" s="592">
        <v>-0.55369650655586944</v>
      </c>
      <c r="BN25" s="592">
        <v>-0.56751302776135182</v>
      </c>
      <c r="BO25" s="592">
        <v>-0.58519519871504666</v>
      </c>
      <c r="BP25" s="592">
        <v>-0.61621046469484586</v>
      </c>
      <c r="BQ25" s="592">
        <v>-0.64950390468575769</v>
      </c>
      <c r="BR25" s="592">
        <v>-0.66381702892848082</v>
      </c>
      <c r="BS25" s="592">
        <v>-0.68964906266736126</v>
      </c>
      <c r="BT25" s="592">
        <v>-0.70488097874962552</v>
      </c>
      <c r="BU25" s="592">
        <v>-0.73786693058038966</v>
      </c>
      <c r="BV25" s="592">
        <v>-0.76662928144550602</v>
      </c>
      <c r="BW25" s="592">
        <v>-0.79566241038014285</v>
      </c>
      <c r="BX25" s="592">
        <v>-0.82047561944418468</v>
      </c>
      <c r="BY25" s="592">
        <v>-0.84504323749298305</v>
      </c>
      <c r="BZ25" s="592">
        <v>-0.86856735109320116</v>
      </c>
      <c r="CA25" s="592">
        <v>-0.89491738139695132</v>
      </c>
      <c r="CB25" s="592">
        <v>-0.93164315135418774</v>
      </c>
      <c r="CC25" s="592">
        <v>-0.95408898414942667</v>
      </c>
      <c r="CD25" s="592">
        <v>-0.97993313557043638</v>
      </c>
      <c r="CE25" s="592">
        <v>-1.0086166237041834</v>
      </c>
      <c r="CF25" s="592">
        <v>-1.0354906263290549</v>
      </c>
      <c r="CG25" s="592">
        <v>-1.0671522911952938</v>
      </c>
      <c r="CH25" s="592">
        <v>-1.0969036925715203</v>
      </c>
      <c r="CI25" s="592">
        <v>-1.1274390804495864</v>
      </c>
      <c r="CJ25" s="592">
        <v>-1.1602487921010636</v>
      </c>
      <c r="CK25" s="592">
        <v>-1.1916793233809875</v>
      </c>
      <c r="CL25" s="592">
        <v>-1.2167677386497922</v>
      </c>
      <c r="CM25" s="592">
        <v>-1.2491105599164283</v>
      </c>
      <c r="CN25" s="592">
        <v>-1.2882747574265796</v>
      </c>
      <c r="CO25" s="592">
        <v>-1.3110473359139796</v>
      </c>
      <c r="CP25" s="592">
        <v>-1.3430476276793359</v>
      </c>
      <c r="CQ25" s="592">
        <v>-1.3753230449436653</v>
      </c>
      <c r="CR25" s="592">
        <v>-1.4078620165869824</v>
      </c>
      <c r="CS25" s="592">
        <v>-1.4406500753097604</v>
      </c>
      <c r="CT25" s="592">
        <v>-1.4736714580802097</v>
      </c>
      <c r="CU25" s="592">
        <v>-1.5069099048783656</v>
      </c>
      <c r="CV25" s="592">
        <v>-1.5403490556043891</v>
      </c>
      <c r="CW25" s="592">
        <v>-1.5739816269641209</v>
      </c>
      <c r="CX25" s="592">
        <v>-1.6078051264421278</v>
      </c>
      <c r="CY25" s="592">
        <v>-1.641819493995532</v>
      </c>
    </row>
    <row r="26" spans="1:103">
      <c r="A26" s="230"/>
      <c r="B26" s="230"/>
      <c r="C26" s="230"/>
      <c r="D26" s="230"/>
      <c r="E26" s="230" t="s">
        <v>226</v>
      </c>
      <c r="F26" s="230"/>
      <c r="G26" s="232" t="s">
        <v>736</v>
      </c>
      <c r="H26" s="232"/>
      <c r="I26" s="232"/>
      <c r="J26" s="232"/>
      <c r="K26" s="232"/>
      <c r="L26" s="230"/>
      <c r="M26" s="230"/>
      <c r="N26" s="230"/>
      <c r="O26" s="230"/>
      <c r="P26" s="230"/>
      <c r="Q26" s="230"/>
      <c r="R26" s="230"/>
      <c r="S26" s="230"/>
      <c r="T26" s="237">
        <f t="shared" ref="T26:AQ26" si="14">T82+T135</f>
        <v>0</v>
      </c>
      <c r="U26" s="237">
        <f t="shared" si="14"/>
        <v>0</v>
      </c>
      <c r="V26" s="237">
        <f t="shared" si="14"/>
        <v>0</v>
      </c>
      <c r="W26" s="237">
        <f t="shared" si="14"/>
        <v>0</v>
      </c>
      <c r="X26" s="237">
        <f t="shared" si="14"/>
        <v>0</v>
      </c>
      <c r="Y26" s="237">
        <f t="shared" si="14"/>
        <v>0</v>
      </c>
      <c r="Z26" s="237">
        <f t="shared" si="14"/>
        <v>0</v>
      </c>
      <c r="AA26" s="237">
        <f t="shared" si="14"/>
        <v>0</v>
      </c>
      <c r="AB26" s="237">
        <f t="shared" si="14"/>
        <v>0</v>
      </c>
      <c r="AC26" s="237">
        <f t="shared" si="14"/>
        <v>3.9899999999999999E-4</v>
      </c>
      <c r="AD26" s="237">
        <f t="shared" si="14"/>
        <v>1.4999999999999999E-4</v>
      </c>
      <c r="AE26" s="592">
        <f t="shared" si="14"/>
        <v>0</v>
      </c>
      <c r="AF26" s="592">
        <f t="shared" si="14"/>
        <v>0</v>
      </c>
      <c r="AG26" s="592">
        <f t="shared" si="14"/>
        <v>0</v>
      </c>
      <c r="AH26" s="592">
        <f t="shared" si="14"/>
        <v>0</v>
      </c>
      <c r="AI26" s="592">
        <f t="shared" si="14"/>
        <v>0</v>
      </c>
      <c r="AJ26" s="592">
        <f t="shared" si="14"/>
        <v>0</v>
      </c>
      <c r="AK26" s="592">
        <f t="shared" si="14"/>
        <v>0</v>
      </c>
      <c r="AL26" s="592">
        <f t="shared" si="14"/>
        <v>0</v>
      </c>
      <c r="AM26" s="592">
        <f t="shared" si="14"/>
        <v>0</v>
      </c>
      <c r="AN26" s="592">
        <f t="shared" si="14"/>
        <v>0</v>
      </c>
      <c r="AO26" s="592">
        <f t="shared" si="14"/>
        <v>0</v>
      </c>
      <c r="AP26" s="592">
        <f t="shared" si="14"/>
        <v>0</v>
      </c>
      <c r="AQ26" s="592">
        <f t="shared" si="14"/>
        <v>0</v>
      </c>
      <c r="AR26" s="592">
        <v>0</v>
      </c>
      <c r="AS26" s="592">
        <v>0</v>
      </c>
      <c r="AT26" s="592">
        <v>0</v>
      </c>
      <c r="AU26" s="592">
        <v>0</v>
      </c>
      <c r="AV26" s="592">
        <v>0</v>
      </c>
      <c r="AW26" s="592">
        <v>0</v>
      </c>
      <c r="AX26" s="592">
        <v>0</v>
      </c>
      <c r="AY26" s="592">
        <v>0</v>
      </c>
      <c r="AZ26" s="592">
        <v>0</v>
      </c>
      <c r="BA26" s="592">
        <v>0</v>
      </c>
      <c r="BB26" s="592">
        <v>0</v>
      </c>
      <c r="BC26" s="592">
        <v>0</v>
      </c>
      <c r="BD26" s="592">
        <v>0</v>
      </c>
      <c r="BE26" s="592">
        <v>0</v>
      </c>
      <c r="BF26" s="592">
        <v>0</v>
      </c>
      <c r="BG26" s="592">
        <v>0</v>
      </c>
      <c r="BH26" s="592">
        <v>0</v>
      </c>
      <c r="BI26" s="592">
        <v>0</v>
      </c>
      <c r="BJ26" s="592">
        <v>0</v>
      </c>
      <c r="BK26" s="592">
        <v>0</v>
      </c>
      <c r="BL26" s="592">
        <v>0</v>
      </c>
      <c r="BM26" s="592">
        <v>0</v>
      </c>
      <c r="BN26" s="592">
        <v>0</v>
      </c>
      <c r="BO26" s="592">
        <v>0</v>
      </c>
      <c r="BP26" s="592">
        <v>0</v>
      </c>
      <c r="BQ26" s="592">
        <v>0</v>
      </c>
      <c r="BR26" s="592">
        <v>0</v>
      </c>
      <c r="BS26" s="592">
        <v>0</v>
      </c>
      <c r="BT26" s="592">
        <v>0</v>
      </c>
      <c r="BU26" s="592">
        <v>0</v>
      </c>
      <c r="BV26" s="592">
        <v>0</v>
      </c>
      <c r="BW26" s="592">
        <v>0</v>
      </c>
      <c r="BX26" s="592">
        <v>0</v>
      </c>
      <c r="BY26" s="592">
        <v>0</v>
      </c>
      <c r="BZ26" s="592">
        <v>0</v>
      </c>
      <c r="CA26" s="592">
        <v>0</v>
      </c>
      <c r="CB26" s="592">
        <v>0</v>
      </c>
      <c r="CC26" s="592">
        <v>0</v>
      </c>
      <c r="CD26" s="592">
        <v>0</v>
      </c>
      <c r="CE26" s="592">
        <v>0</v>
      </c>
      <c r="CF26" s="592">
        <v>0</v>
      </c>
      <c r="CG26" s="592">
        <v>0</v>
      </c>
      <c r="CH26" s="592">
        <v>0</v>
      </c>
      <c r="CI26" s="592">
        <v>0</v>
      </c>
      <c r="CJ26" s="592">
        <v>0</v>
      </c>
      <c r="CK26" s="592">
        <v>0</v>
      </c>
      <c r="CL26" s="592">
        <v>0</v>
      </c>
      <c r="CM26" s="592">
        <v>0</v>
      </c>
      <c r="CN26" s="592">
        <v>0</v>
      </c>
      <c r="CO26" s="592">
        <v>0</v>
      </c>
      <c r="CP26" s="592">
        <v>0</v>
      </c>
      <c r="CQ26" s="592">
        <v>0</v>
      </c>
      <c r="CR26" s="592">
        <v>0</v>
      </c>
      <c r="CS26" s="592">
        <v>0</v>
      </c>
      <c r="CT26" s="592">
        <v>0</v>
      </c>
      <c r="CU26" s="592">
        <v>0</v>
      </c>
      <c r="CV26" s="592">
        <v>0</v>
      </c>
      <c r="CW26" s="592">
        <v>0</v>
      </c>
      <c r="CX26" s="592">
        <v>0</v>
      </c>
      <c r="CY26" s="592">
        <v>0</v>
      </c>
    </row>
    <row r="27" spans="1:103">
      <c r="A27" s="230"/>
      <c r="B27" s="93"/>
      <c r="C27" s="230"/>
      <c r="D27" s="95" t="s">
        <v>786</v>
      </c>
      <c r="E27" s="94"/>
      <c r="F27" s="230"/>
      <c r="G27" s="232" t="s">
        <v>736</v>
      </c>
      <c r="H27" s="232"/>
      <c r="I27" s="232"/>
      <c r="J27" s="232"/>
      <c r="K27" s="232"/>
      <c r="L27" s="230"/>
      <c r="M27" s="230"/>
      <c r="N27" s="230"/>
      <c r="O27" s="230"/>
      <c r="P27" s="275">
        <f>SUM(P28:P31)</f>
        <v>0</v>
      </c>
      <c r="Q27" s="275">
        <f>SUM(Q28:Q31)</f>
        <v>0</v>
      </c>
      <c r="R27" s="275">
        <f>SUM(R28:R31)</f>
        <v>-0.32422235555555551</v>
      </c>
      <c r="S27" s="275">
        <f>SUM(S28:S31)</f>
        <v>-0.35295888600000003</v>
      </c>
      <c r="T27" s="275">
        <f>SUM(T28:T31)</f>
        <v>-0.49055331899999999</v>
      </c>
      <c r="U27" s="275">
        <f t="shared" ref="U27:AQ27" si="15">SUM(U28:U31)</f>
        <v>-0.720591019</v>
      </c>
      <c r="V27" s="275">
        <f t="shared" si="15"/>
        <v>-0.619077973</v>
      </c>
      <c r="W27" s="275">
        <f t="shared" si="15"/>
        <v>-0.69838337799999994</v>
      </c>
      <c r="X27" s="275">
        <f t="shared" si="15"/>
        <v>-0.71420275799999999</v>
      </c>
      <c r="Y27" s="275">
        <f t="shared" si="15"/>
        <v>-0.71307632799999998</v>
      </c>
      <c r="Z27" s="275">
        <f t="shared" si="15"/>
        <v>-0.84288203699999997</v>
      </c>
      <c r="AA27" s="275">
        <f t="shared" si="15"/>
        <v>-1.003458902</v>
      </c>
      <c r="AB27" s="275">
        <f t="shared" si="15"/>
        <v>-1.0427609849999999</v>
      </c>
      <c r="AC27" s="275">
        <f t="shared" si="15"/>
        <v>-1.1019840030000001</v>
      </c>
      <c r="AD27" s="245">
        <f>SUM(AD28:AD31)</f>
        <v>-1.276495339</v>
      </c>
      <c r="AE27" s="593">
        <f t="shared" si="15"/>
        <v>-1.6484287683360979</v>
      </c>
      <c r="AF27" s="593">
        <f t="shared" si="15"/>
        <v>-1.7749380179999998</v>
      </c>
      <c r="AG27" s="593">
        <f>SUM(AG28:AG31)</f>
        <v>-1.8395344400000002</v>
      </c>
      <c r="AH27" s="593">
        <f t="shared" si="15"/>
        <v>-1.9041521720000001</v>
      </c>
      <c r="AI27" s="593">
        <f t="shared" si="15"/>
        <v>-2.4772152940000001</v>
      </c>
      <c r="AJ27" s="593">
        <f t="shared" si="15"/>
        <v>-2.6020690699999998</v>
      </c>
      <c r="AK27" s="593">
        <f t="shared" si="15"/>
        <v>-2.9717721880000001</v>
      </c>
      <c r="AL27" s="593">
        <f t="shared" si="15"/>
        <v>-3.2771241388642607</v>
      </c>
      <c r="AM27" s="593">
        <f t="shared" si="15"/>
        <v>-4.0196777999979991</v>
      </c>
      <c r="AN27" s="593">
        <f t="shared" si="15"/>
        <v>-2.689822734152147</v>
      </c>
      <c r="AO27" s="593">
        <f t="shared" si="15"/>
        <v>-6284.8511568941576</v>
      </c>
      <c r="AP27" s="593">
        <f t="shared" si="15"/>
        <v>-1</v>
      </c>
      <c r="AQ27" s="593">
        <f t="shared" si="15"/>
        <v>-1</v>
      </c>
      <c r="AR27" s="593">
        <v>-2.4857370427958339</v>
      </c>
      <c r="AS27" s="593">
        <v>-2.5942581498583337</v>
      </c>
      <c r="AT27" s="593">
        <v>-2.7060917348375009</v>
      </c>
      <c r="AU27" s="593">
        <v>-2.8212737539833341</v>
      </c>
      <c r="AV27" s="593">
        <v>-2.939840163545834</v>
      </c>
      <c r="AW27" s="593">
        <v>-3.0618269197750014</v>
      </c>
      <c r="AX27" s="593">
        <v>-3.1872699789208352</v>
      </c>
      <c r="AY27" s="593">
        <v>-3.3162052972333349</v>
      </c>
      <c r="AZ27" s="593">
        <v>-3.4486688309625015</v>
      </c>
      <c r="BA27" s="593">
        <v>-4.0887768728402802</v>
      </c>
      <c r="BB27" s="593">
        <v>-4.2434721578576422</v>
      </c>
      <c r="BC27" s="593">
        <v>-4.4019703603750004</v>
      </c>
      <c r="BD27" s="593">
        <v>-4.5435733953750015</v>
      </c>
      <c r="BE27" s="593">
        <v>-4.693753285375001</v>
      </c>
      <c r="BF27" s="593">
        <v>-4.8525100303750008</v>
      </c>
      <c r="BG27" s="593">
        <v>-5.0198436303750018</v>
      </c>
      <c r="BH27" s="593">
        <v>-5.1957540853750004</v>
      </c>
      <c r="BI27" s="593">
        <v>-5.3802413953750001</v>
      </c>
      <c r="BJ27" s="593">
        <v>-5.5733055603750001</v>
      </c>
      <c r="BK27" s="593">
        <v>-5.7749465803750004</v>
      </c>
      <c r="BL27" s="593">
        <v>-5.985164455375001</v>
      </c>
      <c r="BM27" s="593">
        <v>-6.2039591853750018</v>
      </c>
      <c r="BN27" s="593">
        <v>-6.4313307703749993</v>
      </c>
      <c r="BO27" s="593">
        <v>-6.6672792103750016</v>
      </c>
      <c r="BP27" s="593">
        <v>-6.9063119116250009</v>
      </c>
      <c r="BQ27" s="593">
        <v>-7.1484288741250008</v>
      </c>
      <c r="BR27" s="593">
        <v>-7.3936300978750005</v>
      </c>
      <c r="BS27" s="593">
        <v>-7.6419155828750007</v>
      </c>
      <c r="BT27" s="593">
        <v>-7.8932853291249998</v>
      </c>
      <c r="BU27" s="593">
        <v>-8.1477393366250013</v>
      </c>
      <c r="BV27" s="593">
        <v>-8.4052776053750016</v>
      </c>
      <c r="BW27" s="593">
        <v>-9.349369584125002</v>
      </c>
      <c r="BX27" s="593">
        <v>-9.6278584378749983</v>
      </c>
      <c r="BY27" s="593">
        <v>-9.8899741153749989</v>
      </c>
      <c r="BZ27" s="593">
        <v>-10.155271116624998</v>
      </c>
      <c r="CA27" s="593">
        <v>-10.423749441625001</v>
      </c>
      <c r="CB27" s="593">
        <v>-10.695409090375</v>
      </c>
      <c r="CC27" s="593">
        <v>-10.970250062874999</v>
      </c>
      <c r="CD27" s="593">
        <v>-11.248272359125</v>
      </c>
      <c r="CE27" s="593">
        <v>-11.529475979125003</v>
      </c>
      <c r="CF27" s="593">
        <v>-11.813860922875001</v>
      </c>
      <c r="CG27" s="593">
        <v>-12.101427190375</v>
      </c>
      <c r="CH27" s="593">
        <v>-12.392174781625</v>
      </c>
      <c r="CI27" s="593">
        <v>-12.686103696625</v>
      </c>
      <c r="CJ27" s="593">
        <v>-12.983213935375</v>
      </c>
      <c r="CK27" s="593">
        <v>-13.283505497875</v>
      </c>
      <c r="CL27" s="593">
        <v>-13.586978384125</v>
      </c>
      <c r="CM27" s="593">
        <v>-13.893632594124998</v>
      </c>
      <c r="CN27" s="593">
        <v>-14.203021517875001</v>
      </c>
      <c r="CO27" s="593">
        <v>-14.515145155375002</v>
      </c>
      <c r="CP27" s="593">
        <v>-14.830003506625001</v>
      </c>
      <c r="CQ27" s="593">
        <v>-15.147596571625</v>
      </c>
      <c r="CR27" s="593">
        <v>-15.467924350375</v>
      </c>
      <c r="CS27" s="593">
        <v>-15.790986842875</v>
      </c>
      <c r="CT27" s="593">
        <v>-16.116784049125002</v>
      </c>
      <c r="CU27" s="593">
        <v>-16.445315969125001</v>
      </c>
      <c r="CV27" s="593">
        <v>-16.776582602874999</v>
      </c>
      <c r="CW27" s="593">
        <v>-17.110583950374998</v>
      </c>
      <c r="CX27" s="593">
        <v>-17.447320011625003</v>
      </c>
      <c r="CY27" s="593">
        <v>-17.786790786625001</v>
      </c>
    </row>
    <row r="28" spans="1:103">
      <c r="A28" s="230"/>
      <c r="B28" s="230"/>
      <c r="C28" s="230"/>
      <c r="D28" s="230"/>
      <c r="E28" s="230" t="s">
        <v>332</v>
      </c>
      <c r="F28" s="230"/>
      <c r="G28" s="232" t="s">
        <v>736</v>
      </c>
      <c r="H28" s="232"/>
      <c r="I28" s="232"/>
      <c r="J28" s="232"/>
      <c r="K28" s="232"/>
      <c r="L28" s="230"/>
      <c r="M28" s="230"/>
      <c r="N28" s="230"/>
      <c r="O28" s="230"/>
      <c r="P28" s="230"/>
      <c r="Q28" s="230"/>
      <c r="R28" s="594">
        <v>-0.32422235555555551</v>
      </c>
      <c r="S28" s="594">
        <v>-0.35295888600000003</v>
      </c>
      <c r="T28" s="261">
        <f t="shared" ref="T28:AQ31" si="16">T84+T137</f>
        <v>-0.33218019399999998</v>
      </c>
      <c r="U28" s="261">
        <f t="shared" si="16"/>
        <v>-0.25833284299999998</v>
      </c>
      <c r="V28" s="261">
        <f t="shared" si="16"/>
        <v>-0.33688183799999999</v>
      </c>
      <c r="W28" s="261">
        <f t="shared" si="16"/>
        <v>-0.41640639800000001</v>
      </c>
      <c r="X28" s="261">
        <f t="shared" si="16"/>
        <v>-0.41712936900000003</v>
      </c>
      <c r="Y28" s="261">
        <f t="shared" si="16"/>
        <v>-0.45737246399999998</v>
      </c>
      <c r="Z28" s="261">
        <f t="shared" si="16"/>
        <v>-0.61089895999999999</v>
      </c>
      <c r="AA28" s="261">
        <f t="shared" si="16"/>
        <v>-0.57337471500000003</v>
      </c>
      <c r="AB28" s="261">
        <f t="shared" si="16"/>
        <v>-0.65997818399999997</v>
      </c>
      <c r="AC28" s="261">
        <f t="shared" si="16"/>
        <v>-0.69625129399999997</v>
      </c>
      <c r="AD28" s="261">
        <f t="shared" si="16"/>
        <v>-0.83323794299999998</v>
      </c>
      <c r="AE28" s="262">
        <f t="shared" si="16"/>
        <v>-1.1128792680000001</v>
      </c>
      <c r="AF28" s="592">
        <f t="shared" si="16"/>
        <v>-1.244734443</v>
      </c>
      <c r="AG28" s="592">
        <f t="shared" si="16"/>
        <v>-1.3151129560000001</v>
      </c>
      <c r="AH28" s="592">
        <f t="shared" si="16"/>
        <v>-1.3527219840000002</v>
      </c>
      <c r="AI28" s="592">
        <f t="shared" si="16"/>
        <v>-1.862690135</v>
      </c>
      <c r="AJ28" s="592">
        <f t="shared" si="16"/>
        <v>-1.9472667319999999</v>
      </c>
      <c r="AK28" s="592">
        <f t="shared" si="16"/>
        <v>-2.336821161</v>
      </c>
      <c r="AL28" s="592">
        <f t="shared" si="16"/>
        <v>-2.5298791779999998</v>
      </c>
      <c r="AM28" s="592">
        <f t="shared" si="16"/>
        <v>-3.1854367599979989</v>
      </c>
      <c r="AN28" s="592">
        <f t="shared" si="16"/>
        <v>-2.0230169977491239</v>
      </c>
      <c r="AO28" s="592">
        <f t="shared" si="16"/>
        <v>-0.18626907117599981</v>
      </c>
      <c r="AP28" s="592">
        <f t="shared" si="16"/>
        <v>0</v>
      </c>
      <c r="AQ28" s="592">
        <f t="shared" si="16"/>
        <v>0</v>
      </c>
      <c r="AR28" s="592">
        <v>-1.7211228910944449</v>
      </c>
      <c r="AS28" s="592">
        <v>-1.7978550847888894</v>
      </c>
      <c r="AT28" s="592">
        <v>-1.8769670689000004</v>
      </c>
      <c r="AU28" s="592">
        <v>-1.9584913621777784</v>
      </c>
      <c r="AV28" s="592">
        <v>-2.0424604833722229</v>
      </c>
      <c r="AW28" s="592">
        <v>-2.1289069512333345</v>
      </c>
      <c r="AX28" s="592">
        <v>-2.2178632845111124</v>
      </c>
      <c r="AY28" s="592">
        <v>-2.3093620019555572</v>
      </c>
      <c r="AZ28" s="592">
        <v>-2.403435622316668</v>
      </c>
      <c r="BA28" s="592">
        <v>-3.004197000826391</v>
      </c>
      <c r="BB28" s="592">
        <v>-3.1185854349756972</v>
      </c>
      <c r="BC28" s="592">
        <v>-3.2358131616250003</v>
      </c>
      <c r="BD28" s="592">
        <v>-3.3363139466250011</v>
      </c>
      <c r="BE28" s="592">
        <v>-3.443052336625001</v>
      </c>
      <c r="BF28" s="592">
        <v>-3.5560283316250003</v>
      </c>
      <c r="BG28" s="592">
        <v>-3.6752419316250009</v>
      </c>
      <c r="BH28" s="592">
        <v>-3.8006931366250001</v>
      </c>
      <c r="BI28" s="592">
        <v>-3.9323819466250005</v>
      </c>
      <c r="BJ28" s="592">
        <v>-4.070308361625</v>
      </c>
      <c r="BK28" s="592">
        <v>-4.2144723816250007</v>
      </c>
      <c r="BL28" s="592">
        <v>-4.3648740066250005</v>
      </c>
      <c r="BM28" s="592">
        <v>-4.521513236625001</v>
      </c>
      <c r="BN28" s="592">
        <v>-4.6843900716249998</v>
      </c>
      <c r="BO28" s="592">
        <v>-4.8535045116250011</v>
      </c>
      <c r="BP28" s="592">
        <v>-5.0246961503750009</v>
      </c>
      <c r="BQ28" s="592">
        <v>-5.1979649878750003</v>
      </c>
      <c r="BR28" s="592">
        <v>-5.3733110241250008</v>
      </c>
      <c r="BS28" s="592">
        <v>-5.5507342591250008</v>
      </c>
      <c r="BT28" s="592">
        <v>-5.7302346928750003</v>
      </c>
      <c r="BU28" s="592">
        <v>-5.9118123253750001</v>
      </c>
      <c r="BV28" s="592">
        <v>-6.0954671566250003</v>
      </c>
      <c r="BW28" s="592">
        <v>-6.2811991866250008</v>
      </c>
      <c r="BX28" s="592">
        <v>-6.4690084153749989</v>
      </c>
      <c r="BY28" s="592">
        <v>-6.6588948428750001</v>
      </c>
      <c r="BZ28" s="592">
        <v>-6.850858469124999</v>
      </c>
      <c r="CA28" s="592">
        <v>-7.0448992941249999</v>
      </c>
      <c r="CB28" s="592">
        <v>-7.2410173178750004</v>
      </c>
      <c r="CC28" s="592">
        <v>-7.4392125403749993</v>
      </c>
      <c r="CD28" s="592">
        <v>-7.6394849616250013</v>
      </c>
      <c r="CE28" s="592">
        <v>-7.8418345816250019</v>
      </c>
      <c r="CF28" s="592">
        <v>-8.0462614003750002</v>
      </c>
      <c r="CG28" s="592">
        <v>-8.2527654178750005</v>
      </c>
      <c r="CH28" s="592">
        <v>-8.4613466341250003</v>
      </c>
      <c r="CI28" s="592">
        <v>-8.6720050491249996</v>
      </c>
      <c r="CJ28" s="592">
        <v>-8.8847406628750001</v>
      </c>
      <c r="CK28" s="592">
        <v>-9.099553475375</v>
      </c>
      <c r="CL28" s="592">
        <v>-9.3164434866250012</v>
      </c>
      <c r="CM28" s="592">
        <v>-9.5354106966250001</v>
      </c>
      <c r="CN28" s="592">
        <v>-9.756185495375</v>
      </c>
      <c r="CO28" s="592">
        <v>-9.978767882875001</v>
      </c>
      <c r="CP28" s="592">
        <v>-10.203157859125</v>
      </c>
      <c r="CQ28" s="592">
        <v>-10.429355424124999</v>
      </c>
      <c r="CR28" s="592">
        <v>-10.657360577875</v>
      </c>
      <c r="CS28" s="592">
        <v>-10.887173320375</v>
      </c>
      <c r="CT28" s="592">
        <v>-11.118793651625001</v>
      </c>
      <c r="CU28" s="592">
        <v>-11.352221571625002</v>
      </c>
      <c r="CV28" s="592">
        <v>-11.587457080375</v>
      </c>
      <c r="CW28" s="592">
        <v>-11.824500177874999</v>
      </c>
      <c r="CX28" s="592">
        <v>-12.063350864125002</v>
      </c>
      <c r="CY28" s="592">
        <v>-12.304009139125</v>
      </c>
    </row>
    <row r="29" spans="1:103">
      <c r="A29" s="230"/>
      <c r="B29" s="230"/>
      <c r="C29" s="230"/>
      <c r="D29" s="230"/>
      <c r="E29" s="230" t="s">
        <v>869</v>
      </c>
      <c r="F29" s="95"/>
      <c r="G29" s="232" t="s">
        <v>736</v>
      </c>
      <c r="H29" s="232"/>
      <c r="I29" s="232"/>
      <c r="J29" s="232"/>
      <c r="K29" s="232"/>
      <c r="L29" s="230"/>
      <c r="M29" s="230"/>
      <c r="N29" s="230"/>
      <c r="O29" s="230"/>
      <c r="P29" s="230"/>
      <c r="Q29" s="230"/>
      <c r="R29" s="230"/>
      <c r="S29" s="230"/>
      <c r="T29" s="261">
        <f t="shared" si="16"/>
        <v>-0.14817775</v>
      </c>
      <c r="U29" s="261">
        <f t="shared" si="16"/>
        <v>-0.15478025000000001</v>
      </c>
      <c r="V29" s="261">
        <f t="shared" si="16"/>
        <v>-0.18167225000000001</v>
      </c>
      <c r="W29" s="261">
        <f t="shared" si="16"/>
        <v>-0.18486025</v>
      </c>
      <c r="X29" s="261">
        <f t="shared" si="16"/>
        <v>-0.196825</v>
      </c>
      <c r="Y29" s="261">
        <f t="shared" si="16"/>
        <v>-0.21038475000000001</v>
      </c>
      <c r="Z29" s="261">
        <f t="shared" si="16"/>
        <v>-0.12</v>
      </c>
      <c r="AA29" s="261">
        <f t="shared" si="16"/>
        <v>-0.25774449999999999</v>
      </c>
      <c r="AB29" s="261">
        <f t="shared" si="16"/>
        <v>-0.27</v>
      </c>
      <c r="AC29" s="261">
        <f t="shared" si="16"/>
        <v>-0.293124</v>
      </c>
      <c r="AD29" s="262">
        <f t="shared" si="16"/>
        <v>-0.3</v>
      </c>
      <c r="AE29" s="262">
        <f t="shared" si="16"/>
        <v>-0.32499999999999996</v>
      </c>
      <c r="AF29" s="592">
        <f t="shared" si="16"/>
        <v>-0.37999999999999995</v>
      </c>
      <c r="AG29" s="592">
        <f t="shared" si="16"/>
        <v>-0.37499999999999994</v>
      </c>
      <c r="AH29" s="592">
        <f t="shared" si="16"/>
        <v>-0.36999999999999994</v>
      </c>
      <c r="AI29" s="592">
        <f t="shared" si="16"/>
        <v>-0.44999999999999996</v>
      </c>
      <c r="AJ29" s="592">
        <f t="shared" si="16"/>
        <v>-0.47499999999999998</v>
      </c>
      <c r="AK29" s="592">
        <f t="shared" si="16"/>
        <v>-0.43999999999999995</v>
      </c>
      <c r="AL29" s="592">
        <f t="shared" si="16"/>
        <v>-0.52245870686426099</v>
      </c>
      <c r="AM29" s="592">
        <f t="shared" si="16"/>
        <v>-0.53350000000000009</v>
      </c>
      <c r="AN29" s="592">
        <f t="shared" si="16"/>
        <v>-0.54739105140302269</v>
      </c>
      <c r="AO29" s="592">
        <f t="shared" si="16"/>
        <v>-1.0593077998135503</v>
      </c>
      <c r="AP29" s="592">
        <f t="shared" si="16"/>
        <v>-1</v>
      </c>
      <c r="AQ29" s="592">
        <f t="shared" si="16"/>
        <v>-1</v>
      </c>
      <c r="AR29" s="592">
        <v>-0.53507150000000003</v>
      </c>
      <c r="AS29" s="592">
        <v>-0.55703150000000001</v>
      </c>
      <c r="AT29" s="592">
        <v>-0.5796515000000001</v>
      </c>
      <c r="AU29" s="592">
        <v>-0.60293150000000006</v>
      </c>
      <c r="AV29" s="592">
        <v>-0.62687150000000003</v>
      </c>
      <c r="AW29" s="592">
        <v>-0.65147149999999998</v>
      </c>
      <c r="AX29" s="592">
        <v>-0.67673150000000004</v>
      </c>
      <c r="AY29" s="592">
        <v>-0.70265149999999998</v>
      </c>
      <c r="AZ29" s="592">
        <v>-0.72923150000000003</v>
      </c>
      <c r="BA29" s="592">
        <v>-0.75647150000000007</v>
      </c>
      <c r="BB29" s="592">
        <v>-0.78437150000000011</v>
      </c>
      <c r="BC29" s="592">
        <v>-0.81293149999999992</v>
      </c>
      <c r="BD29" s="592">
        <v>-0.84315150000000005</v>
      </c>
      <c r="BE29" s="592">
        <v>-0.87503149999999996</v>
      </c>
      <c r="BF29" s="592">
        <v>-0.90857149999999998</v>
      </c>
      <c r="BG29" s="592">
        <v>-0.94377149999999999</v>
      </c>
      <c r="BH29" s="592">
        <v>-0.9806315000000001</v>
      </c>
      <c r="BI29" s="592">
        <v>-1.0191515</v>
      </c>
      <c r="BJ29" s="592">
        <v>-1.0593315000000001</v>
      </c>
      <c r="BK29" s="592">
        <v>-1.1011715</v>
      </c>
      <c r="BL29" s="592">
        <v>-1.1446715000000001</v>
      </c>
      <c r="BM29" s="592">
        <v>-1.1898314999999999</v>
      </c>
      <c r="BN29" s="592">
        <v>-1.2366515</v>
      </c>
      <c r="BO29" s="592">
        <v>-1.2851314999999999</v>
      </c>
      <c r="BP29" s="592">
        <v>-1.3343965</v>
      </c>
      <c r="BQ29" s="592">
        <v>-1.3844464999999999</v>
      </c>
      <c r="BR29" s="592">
        <v>-1.4352814999999999</v>
      </c>
      <c r="BS29" s="592">
        <v>-1.4869015000000001</v>
      </c>
      <c r="BT29" s="592">
        <v>-1.5393064999999999</v>
      </c>
      <c r="BU29" s="592">
        <v>-1.5924965</v>
      </c>
      <c r="BV29" s="592">
        <v>-1.6464715000000001</v>
      </c>
      <c r="BW29" s="592">
        <v>-1.7012315</v>
      </c>
      <c r="BX29" s="592">
        <v>-1.751206</v>
      </c>
      <c r="BY29" s="592">
        <v>-1.782286</v>
      </c>
      <c r="BZ29" s="592">
        <v>-1.8140260000000001</v>
      </c>
      <c r="CA29" s="592">
        <v>-1.8464259999999999</v>
      </c>
      <c r="CB29" s="592">
        <v>-1.879486</v>
      </c>
      <c r="CC29" s="592">
        <v>-1.913206</v>
      </c>
      <c r="CD29" s="592">
        <v>-1.947586</v>
      </c>
      <c r="CE29" s="592">
        <v>-1.9826260000000002</v>
      </c>
      <c r="CF29" s="592">
        <v>-2.0183260000000001</v>
      </c>
      <c r="CG29" s="592">
        <v>-2.0546860000000002</v>
      </c>
      <c r="CH29" s="592">
        <v>-2.0917060000000003</v>
      </c>
      <c r="CI29" s="592">
        <v>-2.1293860000000002</v>
      </c>
      <c r="CJ29" s="592">
        <v>-2.167726</v>
      </c>
      <c r="CK29" s="592">
        <v>-2.2067259999999997</v>
      </c>
      <c r="CL29" s="592">
        <v>-2.2463859999999998</v>
      </c>
      <c r="CM29" s="592">
        <v>-2.2867059999999997</v>
      </c>
      <c r="CN29" s="592">
        <v>-2.327566</v>
      </c>
      <c r="CO29" s="592">
        <v>-2.3689659999999999</v>
      </c>
      <c r="CP29" s="592">
        <v>-2.4109060000000002</v>
      </c>
      <c r="CQ29" s="592">
        <v>-2.4533860000000001</v>
      </c>
      <c r="CR29" s="592">
        <v>-2.4964059999999999</v>
      </c>
      <c r="CS29" s="592">
        <v>-2.5399659999999997</v>
      </c>
      <c r="CT29" s="592">
        <v>-2.584066</v>
      </c>
      <c r="CU29" s="592">
        <v>-2.6287059999999998</v>
      </c>
      <c r="CV29" s="592">
        <v>-2.673886</v>
      </c>
      <c r="CW29" s="592">
        <v>-2.7196059999999997</v>
      </c>
      <c r="CX29" s="592">
        <v>-2.7658659999999999</v>
      </c>
      <c r="CY29" s="592">
        <v>-2.8126660000000001</v>
      </c>
    </row>
    <row r="30" spans="1:103">
      <c r="A30" s="230"/>
      <c r="B30" s="230"/>
      <c r="C30" s="230"/>
      <c r="D30" s="230"/>
      <c r="E30" s="230" t="s">
        <v>870</v>
      </c>
      <c r="F30" s="232"/>
      <c r="G30" s="232" t="s">
        <v>736</v>
      </c>
      <c r="H30" s="232"/>
      <c r="I30" s="232"/>
      <c r="J30" s="232"/>
      <c r="K30" s="232"/>
      <c r="L30" s="230"/>
      <c r="M30" s="230"/>
      <c r="N30" s="267"/>
      <c r="O30" s="267"/>
      <c r="P30" s="267"/>
      <c r="Q30" s="267"/>
      <c r="R30" s="267"/>
      <c r="S30" s="267"/>
      <c r="T30" s="261">
        <f t="shared" si="16"/>
        <v>-1.0195375E-2</v>
      </c>
      <c r="U30" s="261">
        <f t="shared" si="16"/>
        <v>-0.30747792600000001</v>
      </c>
      <c r="V30" s="261">
        <f t="shared" si="16"/>
        <v>-0.10052388499999999</v>
      </c>
      <c r="W30" s="261">
        <f t="shared" si="16"/>
        <v>-9.7116729999999998E-2</v>
      </c>
      <c r="X30" s="261">
        <f t="shared" si="16"/>
        <v>-0.10024838899999999</v>
      </c>
      <c r="Y30" s="261">
        <f t="shared" si="16"/>
        <v>-4.5319114000000001E-2</v>
      </c>
      <c r="Z30" s="261">
        <f t="shared" si="16"/>
        <v>-0.111983077</v>
      </c>
      <c r="AA30" s="261">
        <f t="shared" si="16"/>
        <v>-0.17233968699999999</v>
      </c>
      <c r="AB30" s="261">
        <f t="shared" si="16"/>
        <v>-0.112782801</v>
      </c>
      <c r="AC30" s="261">
        <f t="shared" si="16"/>
        <v>-0.112608709</v>
      </c>
      <c r="AD30" s="262">
        <f t="shared" si="16"/>
        <v>-0.14325739600000001</v>
      </c>
      <c r="AE30" s="262">
        <f t="shared" si="16"/>
        <v>-0.21054950033609779</v>
      </c>
      <c r="AF30" s="592">
        <f t="shared" si="16"/>
        <v>-0.15020357500000001</v>
      </c>
      <c r="AG30" s="592">
        <f t="shared" si="16"/>
        <v>-0.14942148400000002</v>
      </c>
      <c r="AH30" s="592">
        <f t="shared" si="16"/>
        <v>-0.18143018800000002</v>
      </c>
      <c r="AI30" s="592">
        <f t="shared" si="16"/>
        <v>-0.164525159</v>
      </c>
      <c r="AJ30" s="592">
        <f t="shared" si="16"/>
        <v>-0.17980233800000001</v>
      </c>
      <c r="AK30" s="592">
        <f t="shared" si="16"/>
        <v>-0.19495102699999997</v>
      </c>
      <c r="AL30" s="592">
        <f t="shared" si="16"/>
        <v>-0.22478625399999999</v>
      </c>
      <c r="AM30" s="592">
        <f t="shared" si="16"/>
        <v>-0.30074104000000024</v>
      </c>
      <c r="AN30" s="592">
        <f t="shared" si="16"/>
        <v>-0.11941468500000001</v>
      </c>
      <c r="AO30" s="592">
        <f t="shared" si="16"/>
        <v>-6283.6055800231679</v>
      </c>
      <c r="AP30" s="592">
        <f t="shared" si="16"/>
        <v>0</v>
      </c>
      <c r="AQ30" s="592">
        <f t="shared" si="16"/>
        <v>0</v>
      </c>
      <c r="AR30" s="592">
        <v>-0.22954265170138893</v>
      </c>
      <c r="AS30" s="592">
        <v>-0.23937156506944451</v>
      </c>
      <c r="AT30" s="592">
        <v>-0.24947316593750005</v>
      </c>
      <c r="AU30" s="592">
        <v>-0.25985089180555565</v>
      </c>
      <c r="AV30" s="592">
        <v>-0.27050818017361122</v>
      </c>
      <c r="AW30" s="592">
        <v>-0.28144846854166683</v>
      </c>
      <c r="AX30" s="592">
        <v>-0.29267519440972239</v>
      </c>
      <c r="AY30" s="592">
        <v>-0.30419179527777795</v>
      </c>
      <c r="AZ30" s="592">
        <v>-0.31600170864583355</v>
      </c>
      <c r="BA30" s="592">
        <v>-0.32810837201388909</v>
      </c>
      <c r="BB30" s="592">
        <v>-0.34051522288194469</v>
      </c>
      <c r="BC30" s="592">
        <v>-0.35322569875000009</v>
      </c>
      <c r="BD30" s="592">
        <v>-0.36410794875000008</v>
      </c>
      <c r="BE30" s="592">
        <v>-0.37566944875000008</v>
      </c>
      <c r="BF30" s="592">
        <v>-0.38791019875000005</v>
      </c>
      <c r="BG30" s="592">
        <v>-0.40083019875000003</v>
      </c>
      <c r="BH30" s="592">
        <v>-0.41442944875000004</v>
      </c>
      <c r="BI30" s="592">
        <v>-0.42870794875000007</v>
      </c>
      <c r="BJ30" s="592">
        <v>-0.44366569875000006</v>
      </c>
      <c r="BK30" s="592">
        <v>-0.45930269875000007</v>
      </c>
      <c r="BL30" s="592">
        <v>-0.47561894875000005</v>
      </c>
      <c r="BM30" s="592">
        <v>-0.4926144487500001</v>
      </c>
      <c r="BN30" s="592">
        <v>-0.51028919875000001</v>
      </c>
      <c r="BO30" s="592">
        <v>-0.52864319874999999</v>
      </c>
      <c r="BP30" s="592">
        <v>-0.54721926125000009</v>
      </c>
      <c r="BQ30" s="592">
        <v>-0.56601738624999998</v>
      </c>
      <c r="BR30" s="592">
        <v>-0.58503757375000009</v>
      </c>
      <c r="BS30" s="592">
        <v>-0.60427982375000011</v>
      </c>
      <c r="BT30" s="592">
        <v>-0.62374413625000003</v>
      </c>
      <c r="BU30" s="592">
        <v>-0.64343051125000006</v>
      </c>
      <c r="BV30" s="592">
        <v>-0.66333894874999999</v>
      </c>
      <c r="BW30" s="592">
        <v>-1.3669388975000003</v>
      </c>
      <c r="BX30" s="592">
        <v>-1.4076440225</v>
      </c>
      <c r="BY30" s="592">
        <v>-1.4487932725000001</v>
      </c>
      <c r="BZ30" s="592">
        <v>-1.4903866474999998</v>
      </c>
      <c r="CA30" s="592">
        <v>-1.5324241475000002</v>
      </c>
      <c r="CB30" s="592">
        <v>-1.5749057725</v>
      </c>
      <c r="CC30" s="592">
        <v>-1.6178315225</v>
      </c>
      <c r="CD30" s="592">
        <v>-1.6612013975000002</v>
      </c>
      <c r="CE30" s="592">
        <v>-1.7050153975000004</v>
      </c>
      <c r="CF30" s="592">
        <v>-1.7492735225000002</v>
      </c>
      <c r="CG30" s="592">
        <v>-1.7939757725000001</v>
      </c>
      <c r="CH30" s="592">
        <v>-1.8391221475000001</v>
      </c>
      <c r="CI30" s="592">
        <v>-1.8847126475000002</v>
      </c>
      <c r="CJ30" s="592">
        <v>-1.9307472724999999</v>
      </c>
      <c r="CK30" s="592">
        <v>-1.9772260225</v>
      </c>
      <c r="CL30" s="592">
        <v>-2.0241488974999999</v>
      </c>
      <c r="CM30" s="592">
        <v>-2.0715158975000003</v>
      </c>
      <c r="CN30" s="592">
        <v>-2.1192700225000003</v>
      </c>
      <c r="CO30" s="592">
        <v>-2.1674112724999999</v>
      </c>
      <c r="CP30" s="592">
        <v>-2.2159396474999999</v>
      </c>
      <c r="CQ30" s="592">
        <v>-2.2648551475000001</v>
      </c>
      <c r="CR30" s="592">
        <v>-2.3141577725000002</v>
      </c>
      <c r="CS30" s="592">
        <v>-2.3638475225000004</v>
      </c>
      <c r="CT30" s="592">
        <v>-2.4139243974999998</v>
      </c>
      <c r="CU30" s="592">
        <v>-2.4643883975</v>
      </c>
      <c r="CV30" s="592">
        <v>-2.5152395224999999</v>
      </c>
      <c r="CW30" s="592">
        <v>-2.5664777724999999</v>
      </c>
      <c r="CX30" s="592">
        <v>-2.6181031475000003</v>
      </c>
      <c r="CY30" s="592">
        <v>-2.6701156475000003</v>
      </c>
    </row>
    <row r="31" spans="1:103">
      <c r="A31" s="230"/>
      <c r="B31" s="230"/>
      <c r="C31" s="230"/>
      <c r="D31" s="230"/>
      <c r="E31" s="230" t="s">
        <v>373</v>
      </c>
      <c r="F31" s="232"/>
      <c r="G31" s="232" t="s">
        <v>736</v>
      </c>
      <c r="H31" s="232"/>
      <c r="I31" s="232"/>
      <c r="J31" s="232"/>
      <c r="K31" s="232"/>
      <c r="L31" s="267"/>
      <c r="M31" s="267"/>
      <c r="N31" s="267"/>
      <c r="O31" s="267"/>
      <c r="P31" s="267"/>
      <c r="Q31" s="267"/>
      <c r="R31" s="267"/>
      <c r="S31" s="267"/>
      <c r="T31" s="237">
        <f t="shared" si="16"/>
        <v>0</v>
      </c>
      <c r="U31" s="237">
        <f t="shared" si="16"/>
        <v>0</v>
      </c>
      <c r="V31" s="237">
        <f t="shared" si="16"/>
        <v>0</v>
      </c>
      <c r="W31" s="237">
        <f t="shared" si="16"/>
        <v>0</v>
      </c>
      <c r="X31" s="237">
        <f t="shared" si="16"/>
        <v>0</v>
      </c>
      <c r="Y31" s="237">
        <f t="shared" si="16"/>
        <v>0</v>
      </c>
      <c r="Z31" s="237">
        <f t="shared" si="16"/>
        <v>0</v>
      </c>
      <c r="AA31" s="237">
        <f t="shared" si="16"/>
        <v>0</v>
      </c>
      <c r="AB31" s="237">
        <f t="shared" si="16"/>
        <v>0</v>
      </c>
      <c r="AC31" s="237">
        <f t="shared" si="16"/>
        <v>0</v>
      </c>
      <c r="AD31" s="237">
        <f t="shared" si="16"/>
        <v>0</v>
      </c>
      <c r="AE31" s="592">
        <f t="shared" si="16"/>
        <v>0</v>
      </c>
      <c r="AF31" s="592">
        <f t="shared" si="16"/>
        <v>0</v>
      </c>
      <c r="AG31" s="592">
        <f t="shared" si="16"/>
        <v>0</v>
      </c>
      <c r="AH31" s="592">
        <f t="shared" si="16"/>
        <v>0</v>
      </c>
      <c r="AI31" s="592">
        <f t="shared" si="16"/>
        <v>0</v>
      </c>
      <c r="AJ31" s="592">
        <f t="shared" si="16"/>
        <v>0</v>
      </c>
      <c r="AK31" s="592">
        <f t="shared" si="16"/>
        <v>0</v>
      </c>
      <c r="AL31" s="592">
        <f t="shared" si="16"/>
        <v>0</v>
      </c>
      <c r="AM31" s="592">
        <f t="shared" si="16"/>
        <v>0</v>
      </c>
      <c r="AN31" s="592">
        <f t="shared" si="16"/>
        <v>0</v>
      </c>
      <c r="AO31" s="592">
        <f t="shared" si="16"/>
        <v>0</v>
      </c>
      <c r="AP31" s="592">
        <f t="shared" si="16"/>
        <v>0</v>
      </c>
      <c r="AQ31" s="592">
        <f t="shared" si="16"/>
        <v>0</v>
      </c>
      <c r="AR31" s="592">
        <v>0</v>
      </c>
      <c r="AS31" s="592">
        <v>0</v>
      </c>
      <c r="AT31" s="592">
        <v>0</v>
      </c>
      <c r="AU31" s="592">
        <v>0</v>
      </c>
      <c r="AV31" s="592">
        <v>0</v>
      </c>
      <c r="AW31" s="592">
        <v>0</v>
      </c>
      <c r="AX31" s="592">
        <v>0</v>
      </c>
      <c r="AY31" s="592">
        <v>0</v>
      </c>
      <c r="AZ31" s="592"/>
      <c r="BA31" s="592">
        <v>0</v>
      </c>
      <c r="BB31" s="592">
        <v>0</v>
      </c>
      <c r="BC31" s="592">
        <v>0</v>
      </c>
      <c r="BD31" s="592">
        <v>0</v>
      </c>
      <c r="BE31" s="592">
        <v>0</v>
      </c>
      <c r="BF31" s="592">
        <v>0</v>
      </c>
      <c r="BG31" s="592">
        <v>0</v>
      </c>
      <c r="BH31" s="592">
        <v>0</v>
      </c>
      <c r="BI31" s="592">
        <v>0</v>
      </c>
      <c r="BJ31" s="592">
        <v>0</v>
      </c>
      <c r="BK31" s="592">
        <v>0</v>
      </c>
      <c r="BL31" s="592">
        <v>0</v>
      </c>
      <c r="BM31" s="592">
        <v>0</v>
      </c>
      <c r="BN31" s="592">
        <v>0</v>
      </c>
      <c r="BO31" s="592">
        <v>0</v>
      </c>
      <c r="BP31" s="592">
        <v>0</v>
      </c>
      <c r="BQ31" s="592">
        <v>0</v>
      </c>
      <c r="BR31" s="592">
        <v>0</v>
      </c>
      <c r="BS31" s="592">
        <v>0</v>
      </c>
      <c r="BT31" s="592">
        <v>0</v>
      </c>
      <c r="BU31" s="592">
        <v>0</v>
      </c>
      <c r="BV31" s="592">
        <v>0</v>
      </c>
      <c r="BW31" s="592">
        <v>0</v>
      </c>
      <c r="BX31" s="592">
        <v>0</v>
      </c>
      <c r="BY31" s="592">
        <v>0</v>
      </c>
      <c r="BZ31" s="592">
        <v>0</v>
      </c>
      <c r="CA31" s="592">
        <v>0</v>
      </c>
      <c r="CB31" s="592">
        <v>0</v>
      </c>
      <c r="CC31" s="592">
        <v>0</v>
      </c>
      <c r="CD31" s="592">
        <v>0</v>
      </c>
      <c r="CE31" s="592">
        <v>0</v>
      </c>
      <c r="CF31" s="592">
        <v>0</v>
      </c>
      <c r="CG31" s="592">
        <v>0</v>
      </c>
      <c r="CH31" s="592">
        <v>0</v>
      </c>
      <c r="CI31" s="592">
        <v>0</v>
      </c>
      <c r="CJ31" s="592">
        <v>0</v>
      </c>
      <c r="CK31" s="592">
        <v>0</v>
      </c>
      <c r="CL31" s="592">
        <v>0</v>
      </c>
      <c r="CM31" s="592">
        <v>0</v>
      </c>
      <c r="CN31" s="592">
        <v>0</v>
      </c>
      <c r="CO31" s="592">
        <v>0</v>
      </c>
      <c r="CP31" s="592">
        <v>0</v>
      </c>
      <c r="CQ31" s="592">
        <v>0</v>
      </c>
      <c r="CR31" s="592">
        <v>0</v>
      </c>
      <c r="CS31" s="592">
        <v>0</v>
      </c>
      <c r="CT31" s="592">
        <v>0</v>
      </c>
      <c r="CU31" s="592">
        <v>0</v>
      </c>
      <c r="CV31" s="592">
        <v>0</v>
      </c>
      <c r="CW31" s="592">
        <v>0</v>
      </c>
      <c r="CX31" s="592">
        <v>0</v>
      </c>
      <c r="CY31" s="592">
        <v>0</v>
      </c>
    </row>
    <row r="32" spans="1:103">
      <c r="A32" s="230"/>
      <c r="B32" s="230"/>
      <c r="C32" s="229" t="s">
        <v>89</v>
      </c>
      <c r="D32" s="230"/>
      <c r="E32" s="230"/>
      <c r="F32" s="232"/>
      <c r="G32" s="232" t="s">
        <v>736</v>
      </c>
      <c r="H32" s="232"/>
      <c r="I32" s="232"/>
      <c r="J32" s="232"/>
      <c r="K32" s="232"/>
      <c r="L32" s="267"/>
      <c r="M32" s="267"/>
      <c r="N32" s="267"/>
      <c r="O32" s="267"/>
      <c r="P32" s="267"/>
      <c r="Q32" s="267"/>
      <c r="R32" s="267"/>
      <c r="S32" s="267"/>
      <c r="T32" s="275"/>
      <c r="U32" s="275"/>
      <c r="V32" s="275"/>
      <c r="W32" s="275"/>
      <c r="X32" s="275"/>
      <c r="Y32" s="275"/>
      <c r="Z32" s="275"/>
      <c r="AA32" s="275"/>
      <c r="AB32" s="275"/>
      <c r="AC32" s="275"/>
      <c r="AD32" s="275"/>
      <c r="AE32" s="593"/>
      <c r="AF32" s="593"/>
      <c r="AG32" s="593"/>
      <c r="AH32" s="593"/>
      <c r="AI32" s="593"/>
      <c r="AJ32" s="595">
        <v>1.8176590109999999</v>
      </c>
      <c r="AK32" s="593"/>
      <c r="AL32" s="593"/>
      <c r="AM32" s="593"/>
      <c r="AN32" s="593"/>
      <c r="AO32" s="593"/>
      <c r="AP32" s="593"/>
      <c r="AQ32" s="593"/>
      <c r="AR32" s="593"/>
      <c r="AS32" s="593"/>
      <c r="AT32" s="593"/>
      <c r="AU32" s="593"/>
      <c r="AV32" s="593"/>
      <c r="AW32" s="593"/>
      <c r="AX32" s="593"/>
      <c r="AY32" s="593"/>
      <c r="AZ32" s="593">
        <v>1.4430212879036559</v>
      </c>
      <c r="BA32" s="593"/>
      <c r="BB32" s="593"/>
      <c r="BC32" s="593"/>
      <c r="BD32" s="593"/>
      <c r="BE32" s="593"/>
      <c r="BF32" s="593"/>
      <c r="BG32" s="593"/>
      <c r="BH32" s="593"/>
      <c r="BI32" s="593"/>
      <c r="BJ32" s="593"/>
      <c r="BK32" s="593"/>
      <c r="BL32" s="593"/>
      <c r="BM32" s="593"/>
      <c r="BN32" s="593"/>
      <c r="BO32" s="593"/>
      <c r="BP32" s="593"/>
      <c r="BQ32" s="593"/>
      <c r="BR32" s="593"/>
      <c r="BS32" s="593"/>
      <c r="BT32" s="593"/>
      <c r="BU32" s="593"/>
      <c r="BV32" s="593"/>
      <c r="BW32" s="593"/>
      <c r="BX32" s="593"/>
      <c r="BY32" s="593"/>
      <c r="BZ32" s="593"/>
      <c r="CA32" s="593"/>
      <c r="CB32" s="593"/>
      <c r="CC32" s="593"/>
      <c r="CD32" s="593"/>
      <c r="CE32" s="593"/>
      <c r="CF32" s="593"/>
      <c r="CG32" s="593"/>
      <c r="CH32" s="593"/>
      <c r="CI32" s="593"/>
      <c r="CJ32" s="593"/>
      <c r="CK32" s="593"/>
      <c r="CL32" s="593"/>
      <c r="CM32" s="593"/>
      <c r="CN32" s="593"/>
      <c r="CO32" s="593"/>
      <c r="CP32" s="593"/>
      <c r="CQ32" s="593"/>
      <c r="CR32" s="593"/>
      <c r="CS32" s="593"/>
      <c r="CT32" s="593"/>
      <c r="CU32" s="593"/>
      <c r="CV32" s="593"/>
      <c r="CW32" s="593"/>
      <c r="CX32" s="593"/>
      <c r="CY32" s="593"/>
    </row>
    <row r="33" spans="1:103">
      <c r="A33" s="230"/>
      <c r="B33" s="229" t="s">
        <v>621</v>
      </c>
      <c r="C33" s="230"/>
      <c r="D33" s="230"/>
      <c r="E33" s="232"/>
      <c r="F33" s="232"/>
      <c r="G33" s="232" t="s">
        <v>736</v>
      </c>
      <c r="H33" s="232"/>
      <c r="I33" s="232"/>
      <c r="J33" s="232"/>
      <c r="K33" s="232"/>
      <c r="L33" s="230"/>
      <c r="M33" s="247"/>
      <c r="N33" s="247"/>
      <c r="O33" s="247"/>
      <c r="P33" s="247"/>
      <c r="Q33" s="247"/>
      <c r="R33" s="247"/>
      <c r="S33" s="247"/>
      <c r="T33" s="275">
        <f t="shared" ref="T33:AQ33" si="17">T88+T141</f>
        <v>-0.51654388900000003</v>
      </c>
      <c r="U33" s="275">
        <f t="shared" si="17"/>
        <v>-0.31448864300000001</v>
      </c>
      <c r="V33" s="275">
        <f t="shared" si="17"/>
        <v>-1.2</v>
      </c>
      <c r="W33" s="275">
        <f t="shared" si="17"/>
        <v>-2.141056802</v>
      </c>
      <c r="X33" s="275">
        <f t="shared" si="17"/>
        <v>-3.9</v>
      </c>
      <c r="Y33" s="275">
        <f t="shared" si="17"/>
        <v>-4</v>
      </c>
      <c r="Z33" s="275">
        <f t="shared" si="17"/>
        <v>-3.3</v>
      </c>
      <c r="AA33" s="275">
        <f t="shared" si="17"/>
        <v>-7</v>
      </c>
      <c r="AB33" s="275">
        <f t="shared" si="17"/>
        <v>-4</v>
      </c>
      <c r="AC33" s="275">
        <f t="shared" si="17"/>
        <v>-3.6024612149900914</v>
      </c>
      <c r="AD33" s="275">
        <f t="shared" si="17"/>
        <v>-3.6</v>
      </c>
      <c r="AE33" s="275">
        <f t="shared" si="17"/>
        <v>-5.5503427839999997</v>
      </c>
      <c r="AF33" s="277">
        <f t="shared" si="17"/>
        <v>-5.5139673149999995</v>
      </c>
      <c r="AG33" s="277">
        <f t="shared" si="17"/>
        <v>-8.8570792459999996</v>
      </c>
      <c r="AH33" s="277">
        <f t="shared" si="17"/>
        <v>-10.836386428999999</v>
      </c>
      <c r="AI33" s="277">
        <f t="shared" si="17"/>
        <v>-6.5146334100000001</v>
      </c>
      <c r="AJ33" s="277">
        <f t="shared" si="17"/>
        <v>-6.3443005250000004</v>
      </c>
      <c r="AK33" s="277">
        <f t="shared" si="17"/>
        <v>-9.9942444150000007</v>
      </c>
      <c r="AL33" s="277">
        <f t="shared" si="17"/>
        <v>-8.6051140369999999</v>
      </c>
      <c r="AM33" s="234">
        <f t="shared" si="17"/>
        <v>-7.6151194230000003</v>
      </c>
      <c r="AN33" s="256">
        <f t="shared" si="17"/>
        <v>-8.4055703739999998</v>
      </c>
      <c r="AO33" s="275">
        <f t="shared" si="17"/>
        <v>-45573.966035281701</v>
      </c>
      <c r="AP33" s="275">
        <f t="shared" si="17"/>
        <v>-45606.451769979176</v>
      </c>
      <c r="AQ33" s="275">
        <f t="shared" si="17"/>
        <v>-45637.852196701351</v>
      </c>
      <c r="AR33" s="275">
        <v>-29.784176520391636</v>
      </c>
      <c r="AS33" s="275">
        <v>-11.352377304496905</v>
      </c>
      <c r="AT33" s="275">
        <v>-12.829219500556029</v>
      </c>
      <c r="AU33" s="275">
        <v>-14.192689469692773</v>
      </c>
      <c r="AV33" s="275">
        <v>-15.194651311616596</v>
      </c>
      <c r="AW33" s="275">
        <v>-15.401797255521544</v>
      </c>
      <c r="AX33" s="275">
        <v>-16.130751238301293</v>
      </c>
      <c r="AY33" s="275">
        <v>-15.920511454847906</v>
      </c>
      <c r="AZ33" s="275">
        <v>-15.805560935903271</v>
      </c>
      <c r="BA33" s="275">
        <v>-16.026841832562809</v>
      </c>
      <c r="BB33" s="275">
        <v>-16.661630558045239</v>
      </c>
      <c r="BC33" s="275">
        <v>-17.35638993995639</v>
      </c>
      <c r="BD33" s="275">
        <v>-18.019387636914345</v>
      </c>
      <c r="BE33" s="275">
        <v>-18.533733993347163</v>
      </c>
      <c r="BF33" s="275">
        <v>-18.981136540199451</v>
      </c>
      <c r="BG33" s="275">
        <v>-19.74749894195978</v>
      </c>
      <c r="BH33" s="275">
        <v>-20.524430281990622</v>
      </c>
      <c r="BI33" s="275">
        <v>-21.308390825696421</v>
      </c>
      <c r="BJ33" s="275">
        <v>-22.024422176954456</v>
      </c>
      <c r="BK33" s="275">
        <v>-22.607270432467732</v>
      </c>
      <c r="BL33" s="275">
        <v>-23.160611186782624</v>
      </c>
      <c r="BM33" s="275">
        <v>-23.698736750535588</v>
      </c>
      <c r="BN33" s="275">
        <v>-24.246104668320044</v>
      </c>
      <c r="BO33" s="275">
        <v>-24.814278126481721</v>
      </c>
      <c r="BP33" s="275">
        <v>-25.425296042465547</v>
      </c>
      <c r="BQ33" s="275">
        <v>-26.055858370832361</v>
      </c>
      <c r="BR33" s="275">
        <v>-26.710951794790514</v>
      </c>
      <c r="BS33" s="275">
        <v>-27.392961261058538</v>
      </c>
      <c r="BT33" s="275">
        <v>-28.105431578233393</v>
      </c>
      <c r="BU33" s="275">
        <v>-28.843509256375409</v>
      </c>
      <c r="BV33" s="275">
        <v>-29.604313444668122</v>
      </c>
      <c r="BW33" s="275">
        <v>-30.393666446675649</v>
      </c>
      <c r="BX33" s="275">
        <v>-31.215291682079332</v>
      </c>
      <c r="BY33" s="275">
        <v>-32.052418811981056</v>
      </c>
      <c r="BZ33" s="275">
        <v>-32.897101889940927</v>
      </c>
      <c r="CA33" s="275">
        <v>-33.74563892548759</v>
      </c>
      <c r="CB33" s="275">
        <v>-34.596422778438161</v>
      </c>
      <c r="CC33" s="275">
        <v>-35.448892340131607</v>
      </c>
      <c r="CD33" s="275">
        <v>-36.302962541064012</v>
      </c>
      <c r="CE33" s="275">
        <v>-37.158758744098044</v>
      </c>
      <c r="CF33" s="275">
        <v>-38.016538538537361</v>
      </c>
      <c r="CG33" s="275">
        <v>-38.876638859574456</v>
      </c>
      <c r="CH33" s="275">
        <v>-39.739326701986464</v>
      </c>
      <c r="CI33" s="275">
        <v>-40.604784493262443</v>
      </c>
      <c r="CJ33" s="275">
        <v>-41.47313015389804</v>
      </c>
      <c r="CK33" s="275">
        <v>-42.344440213411346</v>
      </c>
      <c r="CL33" s="275">
        <v>-43.218767657947517</v>
      </c>
      <c r="CM33" s="275">
        <v>-44.096153573433341</v>
      </c>
      <c r="CN33" s="275">
        <v>-44.976142454521309</v>
      </c>
      <c r="CO33" s="275">
        <v>-45.858949819348318</v>
      </c>
      <c r="CP33" s="275">
        <v>-46.744718293540373</v>
      </c>
      <c r="CQ33" s="275">
        <v>-47.633543021537733</v>
      </c>
      <c r="CR33" s="275">
        <v>-48.52534992238504</v>
      </c>
      <c r="CS33" s="275">
        <v>-49.420127457703792</v>
      </c>
      <c r="CT33" s="275">
        <v>-50.317894921987914</v>
      </c>
      <c r="CU33" s="275">
        <v>-51.218398474005966</v>
      </c>
      <c r="CV33" s="275">
        <v>-52.121068334059828</v>
      </c>
      <c r="CW33" s="275">
        <v>-53.025654875697903</v>
      </c>
      <c r="CX33" s="275">
        <v>-53.932067360998083</v>
      </c>
      <c r="CY33" s="275">
        <v>-54.840294711632964</v>
      </c>
    </row>
    <row r="34" spans="1:103">
      <c r="A34" s="230"/>
      <c r="B34" s="95" t="s">
        <v>701</v>
      </c>
      <c r="C34" s="95"/>
      <c r="D34" s="95"/>
      <c r="E34" s="214"/>
      <c r="F34" s="232"/>
      <c r="G34" s="232" t="s">
        <v>736</v>
      </c>
      <c r="H34" s="232"/>
      <c r="I34" s="232"/>
      <c r="J34" s="232"/>
      <c r="K34" s="232"/>
      <c r="L34" s="230"/>
      <c r="M34" s="230"/>
      <c r="N34" s="267"/>
      <c r="O34" s="267"/>
      <c r="P34" s="234">
        <f>SUM(P35:P44)</f>
        <v>0</v>
      </c>
      <c r="Q34" s="234">
        <f>SUM(Q35:Q44)</f>
        <v>0</v>
      </c>
      <c r="R34" s="234">
        <f>SUM(R35:R44)</f>
        <v>0</v>
      </c>
      <c r="S34" s="234">
        <f>SUM(S35:S44)</f>
        <v>0</v>
      </c>
      <c r="T34" s="234">
        <f>SUM(T35:T44)</f>
        <v>-1.599481507867289</v>
      </c>
      <c r="U34" s="234">
        <f t="shared" ref="U34:AQ34" si="18">SUM(U35:U44)</f>
        <v>-1.899654404820212</v>
      </c>
      <c r="V34" s="234">
        <f t="shared" si="18"/>
        <v>-2.6576974809463287</v>
      </c>
      <c r="W34" s="234">
        <f t="shared" si="18"/>
        <v>-2.4154880874154521</v>
      </c>
      <c r="X34" s="234">
        <f t="shared" si="18"/>
        <v>-3.1882006504246929</v>
      </c>
      <c r="Y34" s="234">
        <f t="shared" si="18"/>
        <v>-2.984337848</v>
      </c>
      <c r="Z34" s="234">
        <f t="shared" si="18"/>
        <v>-2.5710612587916231</v>
      </c>
      <c r="AA34" s="234">
        <f t="shared" si="18"/>
        <v>-1.946832740173519</v>
      </c>
      <c r="AB34" s="234">
        <f t="shared" si="18"/>
        <v>-1.934417734867613</v>
      </c>
      <c r="AC34" s="234">
        <f t="shared" si="18"/>
        <v>-5.2897845490608706</v>
      </c>
      <c r="AD34" s="234">
        <f t="shared" si="18"/>
        <v>-2.8405514281639599</v>
      </c>
      <c r="AE34" s="234">
        <f t="shared" si="18"/>
        <v>-2.6818772394473442</v>
      </c>
      <c r="AF34" s="234">
        <f t="shared" si="18"/>
        <v>-2.3445230208529471</v>
      </c>
      <c r="AG34" s="234">
        <f t="shared" si="18"/>
        <v>-2.015162898909244</v>
      </c>
      <c r="AH34" s="234">
        <f t="shared" si="18"/>
        <v>-2.2251377431104356</v>
      </c>
      <c r="AI34" s="234">
        <f t="shared" si="18"/>
        <v>-1.9083178677048571</v>
      </c>
      <c r="AJ34" s="234">
        <f t="shared" si="18"/>
        <v>-2.4930893968291503</v>
      </c>
      <c r="AK34" s="234">
        <f t="shared" si="18"/>
        <v>-3.3467351474310982</v>
      </c>
      <c r="AL34" s="234">
        <f t="shared" si="18"/>
        <v>-4.0530846175400539</v>
      </c>
      <c r="AM34" s="234">
        <f t="shared" si="18"/>
        <v>-4.9910011942942401</v>
      </c>
      <c r="AN34" s="234">
        <f t="shared" si="18"/>
        <v>-3.1329834854929568</v>
      </c>
      <c r="AO34" s="234">
        <f t="shared" si="18"/>
        <v>-898.52760295352073</v>
      </c>
      <c r="AP34" s="234">
        <f t="shared" si="18"/>
        <v>-1717.6070837068842</v>
      </c>
      <c r="AQ34" s="234">
        <f t="shared" si="18"/>
        <v>-1817.1698083223766</v>
      </c>
      <c r="AR34" s="234">
        <v>-2.9009569376197617</v>
      </c>
      <c r="AS34" s="234">
        <v>-2.9659116610227914</v>
      </c>
      <c r="AT34" s="234">
        <v>-3.0454582532998318</v>
      </c>
      <c r="AU34" s="234">
        <v>-3.1312299428287051</v>
      </c>
      <c r="AV34" s="234">
        <v>-3.1868225073459651</v>
      </c>
      <c r="AW34" s="234">
        <v>-3.2491548169245634</v>
      </c>
      <c r="AX34" s="234">
        <v>-3.2909804379502172</v>
      </c>
      <c r="AY34" s="234">
        <v>-3.4453923906629025</v>
      </c>
      <c r="AZ34" s="234">
        <v>-3.5571642122263079</v>
      </c>
      <c r="BA34" s="234">
        <v>-3.674818479051317</v>
      </c>
      <c r="BB34" s="234">
        <v>-3.9997921675994794</v>
      </c>
      <c r="BC34" s="234">
        <v>-4.1326144270006333</v>
      </c>
      <c r="BD34" s="234">
        <v>-4.2979785478342158</v>
      </c>
      <c r="BE34" s="234">
        <v>-4.5472844766403187</v>
      </c>
      <c r="BF34" s="234">
        <v>-4.793639968718888</v>
      </c>
      <c r="BG34" s="234">
        <v>-5.0392093089658099</v>
      </c>
      <c r="BH34" s="234">
        <v>-5.2837009309264129</v>
      </c>
      <c r="BI34" s="234">
        <v>-5.5200479917861021</v>
      </c>
      <c r="BJ34" s="234">
        <v>-5.7834177518165584</v>
      </c>
      <c r="BK34" s="234">
        <v>-6.0225971046257847</v>
      </c>
      <c r="BL34" s="234">
        <v>-6.2628826218375098</v>
      </c>
      <c r="BM34" s="234">
        <v>-6.5104585879185404</v>
      </c>
      <c r="BN34" s="234">
        <v>-6.7748167240065866</v>
      </c>
      <c r="BO34" s="234">
        <v>-7.0697808456496887</v>
      </c>
      <c r="BP34" s="234">
        <v>-7.2607414255751515</v>
      </c>
      <c r="BQ34" s="234">
        <v>-7.4440179060596137</v>
      </c>
      <c r="BR34" s="234">
        <v>-7.6226913441752195</v>
      </c>
      <c r="BS34" s="234">
        <v>-7.8076634748990861</v>
      </c>
      <c r="BT34" s="234">
        <v>-8.005983863232963</v>
      </c>
      <c r="BU34" s="234">
        <v>-8.1967356175375503</v>
      </c>
      <c r="BV34" s="234">
        <v>-8.4068322053724422</v>
      </c>
      <c r="BW34" s="234">
        <v>-8.5238057731536117</v>
      </c>
      <c r="BX34" s="234">
        <v>-8.7080988058336963</v>
      </c>
      <c r="BY34" s="234">
        <v>-8.896295862882404</v>
      </c>
      <c r="BZ34" s="234">
        <v>-9.0969444100032959</v>
      </c>
      <c r="CA34" s="234">
        <v>-9.3218748132740021</v>
      </c>
      <c r="CB34" s="234">
        <v>-9.5385392636178405</v>
      </c>
      <c r="CC34" s="234">
        <v>-9.7488102149077616</v>
      </c>
      <c r="CD34" s="234">
        <v>-9.9554016446218014</v>
      </c>
      <c r="CE34" s="234">
        <v>-10.16765424962022</v>
      </c>
      <c r="CF34" s="234">
        <v>-10.391584461487177</v>
      </c>
      <c r="CG34" s="234">
        <v>-10.609328990620709</v>
      </c>
      <c r="CH34" s="234">
        <v>-10.843891500926985</v>
      </c>
      <c r="CI34" s="234">
        <v>-11.05743481415333</v>
      </c>
      <c r="CJ34" s="234">
        <v>-11.272905226155768</v>
      </c>
      <c r="CK34" s="234">
        <v>-11.49204018484525</v>
      </c>
      <c r="CL34" s="234">
        <v>-11.722142625749189</v>
      </c>
      <c r="CM34" s="234">
        <v>-11.969886071108027</v>
      </c>
      <c r="CN34" s="234">
        <v>-12.201927277041321</v>
      </c>
      <c r="CO34" s="234">
        <v>-12.435852521850107</v>
      </c>
      <c r="CP34" s="234">
        <v>-12.671423314119144</v>
      </c>
      <c r="CQ34" s="234">
        <v>-12.90852515342706</v>
      </c>
      <c r="CR34" s="234">
        <v>-13.147149324343911</v>
      </c>
      <c r="CS34" s="234">
        <v>-13.387295944473102</v>
      </c>
      <c r="CT34" s="234">
        <v>-13.628969692757153</v>
      </c>
      <c r="CU34" s="234">
        <v>-13.87226406669514</v>
      </c>
      <c r="CV34" s="234">
        <v>-14.117364729071468</v>
      </c>
      <c r="CW34" s="234">
        <v>-14.364361797781722</v>
      </c>
      <c r="CX34" s="234">
        <v>-14.613299468325224</v>
      </c>
      <c r="CY34" s="234">
        <v>-14.864197351759506</v>
      </c>
    </row>
    <row r="35" spans="1:103">
      <c r="A35" s="230"/>
      <c r="B35" s="229"/>
      <c r="C35" s="230"/>
      <c r="D35" s="230" t="s">
        <v>100</v>
      </c>
      <c r="E35" s="230"/>
      <c r="F35" s="232"/>
      <c r="G35" s="232" t="s">
        <v>736</v>
      </c>
      <c r="H35" s="232"/>
      <c r="I35" s="232"/>
      <c r="J35" s="232"/>
      <c r="K35" s="232"/>
      <c r="L35" s="267"/>
      <c r="M35" s="267"/>
      <c r="N35" s="267"/>
      <c r="O35" s="267"/>
      <c r="P35" s="267"/>
      <c r="Q35" s="267"/>
      <c r="R35" s="267"/>
      <c r="S35" s="267"/>
      <c r="T35" s="596">
        <v>-0.66735915623652298</v>
      </c>
      <c r="U35" s="596">
        <v>-0.57503626459665202</v>
      </c>
      <c r="V35" s="596">
        <v>-0.868592669862428</v>
      </c>
      <c r="W35" s="596">
        <v>-0.57619130955518705</v>
      </c>
      <c r="X35" s="596">
        <v>-0.74259506879049397</v>
      </c>
      <c r="Y35" s="596">
        <v>-0.55251262000000001</v>
      </c>
      <c r="Z35" s="596">
        <v>-0.66951608425620901</v>
      </c>
      <c r="AA35" s="596">
        <v>-0.495369132950914</v>
      </c>
      <c r="AB35" s="596">
        <v>-0.45085578500000001</v>
      </c>
      <c r="AC35" s="596">
        <v>-0.52941018699999998</v>
      </c>
      <c r="AD35" s="596">
        <v>-0.41005628500000002</v>
      </c>
      <c r="AE35" s="597">
        <v>-0.35320221899999998</v>
      </c>
      <c r="AF35" s="598">
        <f t="shared" ref="AF35:AQ38" si="19">AF90+AF143</f>
        <v>-0.53012852600000004</v>
      </c>
      <c r="AG35" s="598">
        <f t="shared" si="19"/>
        <v>-0.43979229799999997</v>
      </c>
      <c r="AH35" s="598">
        <f t="shared" si="19"/>
        <v>-0.53702145900000009</v>
      </c>
      <c r="AI35" s="598">
        <f t="shared" si="19"/>
        <v>-0.44537499199999997</v>
      </c>
      <c r="AJ35" s="598">
        <f t="shared" si="19"/>
        <v>-0.524058095</v>
      </c>
      <c r="AK35" s="598">
        <f t="shared" si="19"/>
        <v>-0.57121258199999991</v>
      </c>
      <c r="AL35" s="599">
        <f t="shared" si="19"/>
        <v>-0.58050771899999998</v>
      </c>
      <c r="AM35" s="598">
        <f t="shared" si="19"/>
        <v>-0.65151745800000005</v>
      </c>
      <c r="AN35" s="598">
        <f t="shared" si="19"/>
        <v>-0.80229536099999998</v>
      </c>
      <c r="AO35" s="598">
        <f t="shared" si="19"/>
        <v>-2.4068919926170467E-3</v>
      </c>
      <c r="AP35" s="598">
        <f t="shared" si="19"/>
        <v>-2.6158396662565027E-3</v>
      </c>
      <c r="AQ35" s="598">
        <f t="shared" si="19"/>
        <v>-3.6305955762304925E-3</v>
      </c>
      <c r="AR35" s="598">
        <v>-0.45667346354166671</v>
      </c>
      <c r="AS35" s="598">
        <v>-0.46334036458333339</v>
      </c>
      <c r="AT35" s="598">
        <v>-0.47000726562500006</v>
      </c>
      <c r="AU35" s="598">
        <v>-0.47667416666666668</v>
      </c>
      <c r="AV35" s="598">
        <v>-0.48334106770833335</v>
      </c>
      <c r="AW35" s="598">
        <v>-0.49000796875000002</v>
      </c>
      <c r="AX35" s="598">
        <v>-0.4966748697916667</v>
      </c>
      <c r="AY35" s="598">
        <v>-0.50334177083333331</v>
      </c>
      <c r="AZ35" s="598">
        <v>-0.51000867187499999</v>
      </c>
      <c r="BA35" s="598">
        <v>-0.51667557291666666</v>
      </c>
      <c r="BB35" s="598">
        <v>-0.52334247395833333</v>
      </c>
      <c r="BC35" s="598">
        <v>-0.530009375</v>
      </c>
      <c r="BD35" s="598">
        <v>-0.56834309895833335</v>
      </c>
      <c r="BE35" s="598">
        <v>-0.60667682291666658</v>
      </c>
      <c r="BF35" s="598">
        <v>-0.64501054687499992</v>
      </c>
      <c r="BG35" s="598">
        <v>-0.68334427083333327</v>
      </c>
      <c r="BH35" s="598">
        <v>-0.7216779947916665</v>
      </c>
      <c r="BI35" s="598">
        <v>-0.76001171874999995</v>
      </c>
      <c r="BJ35" s="598">
        <v>-0.7983454427083333</v>
      </c>
      <c r="BK35" s="598">
        <v>-0.83667916666666664</v>
      </c>
      <c r="BL35" s="598">
        <v>-0.87501289062499987</v>
      </c>
      <c r="BM35" s="598">
        <v>-0.91334661458333311</v>
      </c>
      <c r="BN35" s="598">
        <v>-0.95168033854166645</v>
      </c>
      <c r="BO35" s="598">
        <v>-0.99001406250000001</v>
      </c>
      <c r="BP35" s="598">
        <v>-0.99918111979166668</v>
      </c>
      <c r="BQ35" s="598">
        <v>-1.0083481770833331</v>
      </c>
      <c r="BR35" s="598">
        <v>-1.0175152343749998</v>
      </c>
      <c r="BS35" s="598">
        <v>-1.0266822916666665</v>
      </c>
      <c r="BT35" s="598">
        <v>-1.0358493489583331</v>
      </c>
      <c r="BU35" s="598">
        <v>-1.0450164062499996</v>
      </c>
      <c r="BV35" s="598">
        <v>-1.0541834635416663</v>
      </c>
      <c r="BW35" s="598">
        <v>-1.0633505208333329</v>
      </c>
      <c r="BX35" s="598">
        <v>-1.0725175781249994</v>
      </c>
      <c r="BY35" s="598">
        <v>-1.081684635416666</v>
      </c>
      <c r="BZ35" s="598">
        <v>-1.0908516927083325</v>
      </c>
      <c r="CA35" s="598">
        <v>-1.10001875</v>
      </c>
      <c r="CB35" s="598">
        <v>-1.1091858072916667</v>
      </c>
      <c r="CC35" s="598">
        <v>-1.1183528645833332</v>
      </c>
      <c r="CD35" s="598">
        <v>-1.1275199218749998</v>
      </c>
      <c r="CE35" s="598">
        <v>-1.1366869791666665</v>
      </c>
      <c r="CF35" s="598">
        <v>-1.1458540364583329</v>
      </c>
      <c r="CG35" s="598">
        <v>-1.1550210937499996</v>
      </c>
      <c r="CH35" s="598">
        <v>-1.1641881510416661</v>
      </c>
      <c r="CI35" s="598">
        <v>-1.173355208333333</v>
      </c>
      <c r="CJ35" s="598">
        <v>-1.1825222656249994</v>
      </c>
      <c r="CK35" s="598">
        <v>-1.1916893229166661</v>
      </c>
      <c r="CL35" s="598">
        <v>-1.2008563802083327</v>
      </c>
      <c r="CM35" s="598">
        <v>-1.2100234375000001</v>
      </c>
      <c r="CN35" s="598">
        <v>-1.217523828125</v>
      </c>
      <c r="CO35" s="598">
        <v>-1.22502421875</v>
      </c>
      <c r="CP35" s="598">
        <v>-1.2325246093749997</v>
      </c>
      <c r="CQ35" s="598">
        <v>-1.2400249999999997</v>
      </c>
      <c r="CR35" s="598">
        <v>-1.2475253906249997</v>
      </c>
      <c r="CS35" s="598">
        <v>-1.2550257812499996</v>
      </c>
      <c r="CT35" s="598">
        <v>-1.2625261718749994</v>
      </c>
      <c r="CU35" s="598">
        <v>-1.2700265624999996</v>
      </c>
      <c r="CV35" s="598">
        <v>-1.2775269531249993</v>
      </c>
      <c r="CW35" s="598">
        <v>-1.2850273437499995</v>
      </c>
      <c r="CX35" s="598">
        <v>-1.2925277343749992</v>
      </c>
      <c r="CY35" s="598">
        <v>-1.3000281250000001</v>
      </c>
    </row>
    <row r="36" spans="1:103">
      <c r="A36" s="230"/>
      <c r="B36" s="229"/>
      <c r="C36" s="230"/>
      <c r="D36" s="230" t="s">
        <v>806</v>
      </c>
      <c r="E36" s="230"/>
      <c r="F36" s="232"/>
      <c r="G36" s="232" t="s">
        <v>736</v>
      </c>
      <c r="H36" s="232"/>
      <c r="I36" s="232"/>
      <c r="J36" s="232"/>
      <c r="K36" s="232"/>
      <c r="L36" s="230"/>
      <c r="M36" s="230"/>
      <c r="N36" s="267"/>
      <c r="O36" s="267"/>
      <c r="P36" s="267"/>
      <c r="Q36" s="267"/>
      <c r="R36" s="267"/>
      <c r="S36" s="267"/>
      <c r="T36" s="594">
        <v>-4.3291009999999998E-2</v>
      </c>
      <c r="U36" s="594">
        <v>-3.1645670000000001E-2</v>
      </c>
      <c r="V36" s="594">
        <v>-3.744335E-2</v>
      </c>
      <c r="W36" s="594">
        <v>-2.317406E-2</v>
      </c>
      <c r="X36" s="594">
        <v>-3.7734900000000002E-2</v>
      </c>
      <c r="Y36" s="594">
        <v>-4.7922489999999998E-2</v>
      </c>
      <c r="Z36" s="594">
        <v>-5.3761820000000002E-2</v>
      </c>
      <c r="AA36" s="594">
        <v>-4.0700380000000001E-2</v>
      </c>
      <c r="AB36" s="594">
        <v>-3.2686920000000001E-2</v>
      </c>
      <c r="AC36" s="594">
        <v>-4.1899899999999997E-2</v>
      </c>
      <c r="AD36" s="594">
        <v>-3.4511189999999997E-2</v>
      </c>
      <c r="AE36" s="594">
        <v>-3.0487799999999999E-2</v>
      </c>
      <c r="AF36" s="598">
        <f t="shared" si="19"/>
        <v>-4.6964540000000006E-2</v>
      </c>
      <c r="AG36" s="598">
        <f t="shared" si="19"/>
        <v>-4.2083160000000008E-2</v>
      </c>
      <c r="AH36" s="598">
        <f t="shared" si="19"/>
        <v>-7.1026488036000007E-2</v>
      </c>
      <c r="AI36" s="598">
        <f t="shared" si="19"/>
        <v>-3.9098521000000004E-2</v>
      </c>
      <c r="AJ36" s="598">
        <f t="shared" si="19"/>
        <v>-4.1758290000000003E-2</v>
      </c>
      <c r="AK36" s="598">
        <f t="shared" si="19"/>
        <v>-4.7189450000000008E-2</v>
      </c>
      <c r="AL36" s="599">
        <f t="shared" si="19"/>
        <v>-5.8199871E-2</v>
      </c>
      <c r="AM36" s="598">
        <f t="shared" si="19"/>
        <v>-5.0394680000000001E-3</v>
      </c>
      <c r="AN36" s="598">
        <f t="shared" si="19"/>
        <v>-5.5087800000000004E-3</v>
      </c>
      <c r="AO36" s="598">
        <f t="shared" si="19"/>
        <v>0</v>
      </c>
      <c r="AP36" s="598">
        <f t="shared" si="19"/>
        <v>0</v>
      </c>
      <c r="AQ36" s="598">
        <f t="shared" si="19"/>
        <v>0</v>
      </c>
      <c r="AR36" s="598">
        <v>-4.4079583333333339E-2</v>
      </c>
      <c r="AS36" s="598">
        <v>-4.484316666666667E-2</v>
      </c>
      <c r="AT36" s="598">
        <v>-4.5606750000000001E-2</v>
      </c>
      <c r="AU36" s="598">
        <v>-4.6370333333333333E-2</v>
      </c>
      <c r="AV36" s="598">
        <v>-4.7133916666666671E-2</v>
      </c>
      <c r="AW36" s="598">
        <v>-4.7897500000000003E-2</v>
      </c>
      <c r="AX36" s="598">
        <v>-4.8661083333333341E-2</v>
      </c>
      <c r="AY36" s="598">
        <v>-4.9424666666666672E-2</v>
      </c>
      <c r="AZ36" s="598">
        <v>-5.0188250000000004E-2</v>
      </c>
      <c r="BA36" s="598">
        <v>-5.0951833333333335E-2</v>
      </c>
      <c r="BB36" s="598">
        <v>-5.1715416666666666E-2</v>
      </c>
      <c r="BC36" s="598">
        <v>-5.2479000000000005E-2</v>
      </c>
      <c r="BD36" s="598">
        <v>-5.601925E-2</v>
      </c>
      <c r="BE36" s="598">
        <v>-5.9559500000000001E-2</v>
      </c>
      <c r="BF36" s="598">
        <v>-6.3099749999999996E-2</v>
      </c>
      <c r="BG36" s="598">
        <v>-6.6639999999999991E-2</v>
      </c>
      <c r="BH36" s="598">
        <v>-7.018025E-2</v>
      </c>
      <c r="BI36" s="598">
        <v>-7.3720499999999994E-2</v>
      </c>
      <c r="BJ36" s="598">
        <v>-7.7260749999999989E-2</v>
      </c>
      <c r="BK36" s="598">
        <v>-8.0800999999999984E-2</v>
      </c>
      <c r="BL36" s="598">
        <v>-8.4341249999999993E-2</v>
      </c>
      <c r="BM36" s="598">
        <v>-8.7881499999999987E-2</v>
      </c>
      <c r="BN36" s="598">
        <v>-9.1421749999999996E-2</v>
      </c>
      <c r="BO36" s="598">
        <v>-9.4962000000000005E-2</v>
      </c>
      <c r="BP36" s="598">
        <v>-9.6072666666666667E-2</v>
      </c>
      <c r="BQ36" s="598">
        <v>-9.7183333333333344E-2</v>
      </c>
      <c r="BR36" s="598">
        <v>-9.8294000000000006E-2</v>
      </c>
      <c r="BS36" s="598">
        <v>-9.9404666666666641E-2</v>
      </c>
      <c r="BT36" s="598">
        <v>-0.10051533333333329</v>
      </c>
      <c r="BU36" s="598">
        <v>-0.10162599999999997</v>
      </c>
      <c r="BV36" s="598">
        <v>-0.10273666666666663</v>
      </c>
      <c r="BW36" s="598">
        <v>-0.10384733333333329</v>
      </c>
      <c r="BX36" s="598">
        <v>-0.10495799999999995</v>
      </c>
      <c r="BY36" s="598">
        <v>-0.10606866666666662</v>
      </c>
      <c r="BZ36" s="598">
        <v>-0.10717933333333328</v>
      </c>
      <c r="CA36" s="598">
        <v>-0.10829000000000001</v>
      </c>
      <c r="CB36" s="598">
        <v>-0.10940066666666666</v>
      </c>
      <c r="CC36" s="598">
        <v>-0.11051133333333332</v>
      </c>
      <c r="CD36" s="598">
        <v>-0.11162199999999999</v>
      </c>
      <c r="CE36" s="598">
        <v>-0.11273266666666665</v>
      </c>
      <c r="CF36" s="598">
        <v>-0.11384333333333331</v>
      </c>
      <c r="CG36" s="598">
        <v>-0.11495399999999996</v>
      </c>
      <c r="CH36" s="598">
        <v>-0.11606466666666662</v>
      </c>
      <c r="CI36" s="598">
        <v>-0.11717533333333327</v>
      </c>
      <c r="CJ36" s="598">
        <v>-0.11828599999999992</v>
      </c>
      <c r="CK36" s="598">
        <v>-0.11939666666666658</v>
      </c>
      <c r="CL36" s="598">
        <v>-0.12050733333333324</v>
      </c>
      <c r="CM36" s="598">
        <v>-0.121618</v>
      </c>
      <c r="CN36" s="598">
        <v>-0.12258983333333333</v>
      </c>
      <c r="CO36" s="598">
        <v>-0.12356166666666665</v>
      </c>
      <c r="CP36" s="598">
        <v>-0.12453349999999999</v>
      </c>
      <c r="CQ36" s="598">
        <v>-0.1255053333333333</v>
      </c>
      <c r="CR36" s="598">
        <v>-0.12647716666666664</v>
      </c>
      <c r="CS36" s="598">
        <v>-0.12744899999999995</v>
      </c>
      <c r="CT36" s="598">
        <v>-0.12842083333333329</v>
      </c>
      <c r="CU36" s="598">
        <v>-0.1293926666666666</v>
      </c>
      <c r="CV36" s="598">
        <v>-0.13036449999999994</v>
      </c>
      <c r="CW36" s="598">
        <v>-0.13133633333333328</v>
      </c>
      <c r="CX36" s="598">
        <v>-0.13230816666666662</v>
      </c>
      <c r="CY36" s="598">
        <v>-0.13328000000000001</v>
      </c>
    </row>
    <row r="37" spans="1:103">
      <c r="A37" s="230"/>
      <c r="B37" s="230"/>
      <c r="C37" s="230"/>
      <c r="D37" s="230" t="s">
        <v>871</v>
      </c>
      <c r="E37" s="230"/>
      <c r="F37" s="232"/>
      <c r="G37" s="232" t="s">
        <v>736</v>
      </c>
      <c r="H37" s="232"/>
      <c r="I37" s="232"/>
      <c r="J37" s="232"/>
      <c r="K37" s="232"/>
      <c r="L37" s="230"/>
      <c r="M37" s="230"/>
      <c r="N37" s="267"/>
      <c r="O37" s="267"/>
      <c r="P37" s="267"/>
      <c r="Q37" s="267"/>
      <c r="R37" s="267"/>
      <c r="S37" s="267"/>
      <c r="T37" s="600">
        <v>-0.14472960600000001</v>
      </c>
      <c r="U37" s="600">
        <v>-9.5942735000000001E-2</v>
      </c>
      <c r="V37" s="600">
        <v>-0.119137539</v>
      </c>
      <c r="W37" s="600">
        <v>-7.3549077000000004E-2</v>
      </c>
      <c r="X37" s="600">
        <v>-0.114943248</v>
      </c>
      <c r="Y37" s="600">
        <v>-1.0219073160000001</v>
      </c>
      <c r="Z37" s="600">
        <v>-0.16532047999999999</v>
      </c>
      <c r="AA37" s="600">
        <v>-0.31259600599999998</v>
      </c>
      <c r="AB37" s="600">
        <v>-0.30548592800000002</v>
      </c>
      <c r="AC37" s="600">
        <v>-0.28905498499999999</v>
      </c>
      <c r="AD37" s="600">
        <v>-0.24654962999999999</v>
      </c>
      <c r="AE37" s="597">
        <v>-0.426847951005</v>
      </c>
      <c r="AF37" s="598">
        <f t="shared" si="19"/>
        <v>-0.34993100000000005</v>
      </c>
      <c r="AG37" s="598">
        <f t="shared" si="19"/>
        <v>-0.34018052799999998</v>
      </c>
      <c r="AH37" s="598">
        <f t="shared" si="19"/>
        <v>-0.52856384039999993</v>
      </c>
      <c r="AI37" s="598">
        <f t="shared" si="19"/>
        <v>-0.270953</v>
      </c>
      <c r="AJ37" s="598">
        <f t="shared" si="19"/>
        <v>-0.32425700000000002</v>
      </c>
      <c r="AK37" s="598">
        <f t="shared" si="19"/>
        <v>-0.36352146200000002</v>
      </c>
      <c r="AL37" s="599">
        <f t="shared" si="19"/>
        <v>-0.421302132</v>
      </c>
      <c r="AM37" s="598">
        <f t="shared" si="19"/>
        <v>-0.45771400000000018</v>
      </c>
      <c r="AN37" s="598">
        <f t="shared" si="19"/>
        <v>-0.49288150000000008</v>
      </c>
      <c r="AO37" s="598">
        <f t="shared" si="19"/>
        <v>-3.1427999999999998E-3</v>
      </c>
      <c r="AP37" s="598">
        <f t="shared" si="19"/>
        <v>-3.3820333333333327E-3</v>
      </c>
      <c r="AQ37" s="598">
        <f t="shared" si="19"/>
        <v>-4.6700000000000005E-3</v>
      </c>
      <c r="AR37" s="598">
        <v>-0.34395833333333337</v>
      </c>
      <c r="AS37" s="598">
        <v>-0.34991666666666665</v>
      </c>
      <c r="AT37" s="598">
        <v>-0.355875</v>
      </c>
      <c r="AU37" s="598">
        <v>-0.36183333333333334</v>
      </c>
      <c r="AV37" s="598">
        <v>-0.36779166666666668</v>
      </c>
      <c r="AW37" s="598">
        <v>-0.37375000000000003</v>
      </c>
      <c r="AX37" s="598">
        <v>-0.37970833333333331</v>
      </c>
      <c r="AY37" s="598">
        <v>-0.38566666666666666</v>
      </c>
      <c r="AZ37" s="598">
        <v>-0.391625</v>
      </c>
      <c r="BA37" s="598">
        <v>-0.39758333333333334</v>
      </c>
      <c r="BB37" s="598">
        <v>-0.40354166666666669</v>
      </c>
      <c r="BC37" s="598">
        <v>-0.40950000000000003</v>
      </c>
      <c r="BD37" s="598">
        <v>-0.43712499999999999</v>
      </c>
      <c r="BE37" s="598">
        <v>-0.46475</v>
      </c>
      <c r="BF37" s="598">
        <v>-0.49237500000000001</v>
      </c>
      <c r="BG37" s="598">
        <v>-0.52</v>
      </c>
      <c r="BH37" s="598">
        <v>-0.54762500000000003</v>
      </c>
      <c r="BI37" s="598">
        <v>-0.57524999999999993</v>
      </c>
      <c r="BJ37" s="598">
        <v>-0.60287499999999994</v>
      </c>
      <c r="BK37" s="598">
        <v>-0.63049999999999995</v>
      </c>
      <c r="BL37" s="598">
        <v>-0.65812499999999985</v>
      </c>
      <c r="BM37" s="598">
        <v>-0.68574999999999986</v>
      </c>
      <c r="BN37" s="598">
        <v>-0.71337499999999987</v>
      </c>
      <c r="BO37" s="598">
        <v>-0.74099999999999999</v>
      </c>
      <c r="BP37" s="598">
        <v>-0.74966666666666659</v>
      </c>
      <c r="BQ37" s="598">
        <v>-0.7583333333333333</v>
      </c>
      <c r="BR37" s="598">
        <v>-0.7669999999999999</v>
      </c>
      <c r="BS37" s="598">
        <v>-0.7756666666666665</v>
      </c>
      <c r="BT37" s="598">
        <v>-0.78433333333333333</v>
      </c>
      <c r="BU37" s="598">
        <v>-0.79299999999999971</v>
      </c>
      <c r="BV37" s="598">
        <v>-0.80166666666666642</v>
      </c>
      <c r="BW37" s="598">
        <v>-0.81033333333333302</v>
      </c>
      <c r="BX37" s="598">
        <v>-0.81899999999999973</v>
      </c>
      <c r="BY37" s="598">
        <v>-0.82766666666666622</v>
      </c>
      <c r="BZ37" s="598">
        <v>-0.83633333333333293</v>
      </c>
      <c r="CA37" s="598">
        <v>-0.84499999999999997</v>
      </c>
      <c r="CB37" s="598">
        <v>-0.85366666666666657</v>
      </c>
      <c r="CC37" s="598">
        <v>-0.86233333333333329</v>
      </c>
      <c r="CD37" s="598">
        <v>-0.87099999999999989</v>
      </c>
      <c r="CE37" s="598">
        <v>-0.87966666666666637</v>
      </c>
      <c r="CF37" s="598">
        <v>-0.88833333333333309</v>
      </c>
      <c r="CG37" s="598">
        <v>-0.89699999999999958</v>
      </c>
      <c r="CH37" s="598">
        <v>-0.90566666666666618</v>
      </c>
      <c r="CI37" s="598">
        <v>-0.91433333333333289</v>
      </c>
      <c r="CJ37" s="598">
        <v>-0.92299999999999949</v>
      </c>
      <c r="CK37" s="598">
        <v>-0.93166666666666598</v>
      </c>
      <c r="CL37" s="598">
        <v>-0.9403333333333328</v>
      </c>
      <c r="CM37" s="598">
        <v>-0.94899999999999995</v>
      </c>
      <c r="CN37" s="598">
        <v>-0.95658333333333323</v>
      </c>
      <c r="CO37" s="598">
        <v>-0.96416666666666662</v>
      </c>
      <c r="CP37" s="598">
        <v>-0.97174999999999989</v>
      </c>
      <c r="CQ37" s="598">
        <v>-0.97933333333333306</v>
      </c>
      <c r="CR37" s="598">
        <v>-0.98691666666666644</v>
      </c>
      <c r="CS37" s="598">
        <v>-0.99449999999999972</v>
      </c>
      <c r="CT37" s="598">
        <v>-1.002083333333333</v>
      </c>
      <c r="CU37" s="598">
        <v>-1.0096666666666665</v>
      </c>
      <c r="CV37" s="598">
        <v>-1.0172499999999995</v>
      </c>
      <c r="CW37" s="598">
        <v>-1.0248333333333328</v>
      </c>
      <c r="CX37" s="598">
        <v>-1.0324166666666661</v>
      </c>
      <c r="CY37" s="598">
        <v>-1.04</v>
      </c>
    </row>
    <row r="38" spans="1:103">
      <c r="A38" s="230"/>
      <c r="B38" s="230"/>
      <c r="C38" s="230"/>
      <c r="D38" s="230" t="s">
        <v>107</v>
      </c>
      <c r="E38" s="230"/>
      <c r="F38" s="232"/>
      <c r="G38" s="232" t="s">
        <v>736</v>
      </c>
      <c r="H38" s="232"/>
      <c r="I38" s="232"/>
      <c r="J38" s="232"/>
      <c r="K38" s="232"/>
      <c r="L38" s="267"/>
      <c r="M38" s="267"/>
      <c r="N38" s="267"/>
      <c r="O38" s="267"/>
      <c r="P38" s="267"/>
      <c r="Q38" s="267"/>
      <c r="R38" s="267"/>
      <c r="S38" s="267"/>
      <c r="T38" s="597">
        <v>-0.125217107030766</v>
      </c>
      <c r="U38" s="597">
        <v>-0.17928528522355999</v>
      </c>
      <c r="V38" s="597">
        <v>-0.35631911908390101</v>
      </c>
      <c r="W38" s="597">
        <v>-0.45828484186026502</v>
      </c>
      <c r="X38" s="597">
        <v>-0.312201724834199</v>
      </c>
      <c r="Y38" s="597">
        <v>-0.270824393</v>
      </c>
      <c r="Z38" s="597">
        <v>-0.29560601877454401</v>
      </c>
      <c r="AA38" s="597">
        <v>-0.26142420534608302</v>
      </c>
      <c r="AB38" s="597">
        <v>-0.223662051367613</v>
      </c>
      <c r="AC38" s="597">
        <v>-0.213079701556701</v>
      </c>
      <c r="AD38" s="597">
        <v>-0.24898693014577999</v>
      </c>
      <c r="AE38" s="597">
        <v>-0.32846238344234402</v>
      </c>
      <c r="AF38" s="598">
        <f t="shared" si="19"/>
        <v>-0.26941029858345289</v>
      </c>
      <c r="AG38" s="598">
        <f t="shared" si="19"/>
        <v>-0.28896322137999997</v>
      </c>
      <c r="AH38" s="598">
        <f t="shared" si="19"/>
        <v>-0.23010820612352906</v>
      </c>
      <c r="AI38" s="598">
        <f t="shared" si="19"/>
        <v>-0.30794342327448521</v>
      </c>
      <c r="AJ38" s="598">
        <f t="shared" si="19"/>
        <v>-0.38291371465999996</v>
      </c>
      <c r="AK38" s="598">
        <f t="shared" si="19"/>
        <v>-0.33616864094039162</v>
      </c>
      <c r="AL38" s="599">
        <f t="shared" si="19"/>
        <v>-0.37949773733290054</v>
      </c>
      <c r="AM38" s="598">
        <f t="shared" si="19"/>
        <v>-0.30789105621439578</v>
      </c>
      <c r="AN38" s="598">
        <f t="shared" si="19"/>
        <v>-0.49157147852179728</v>
      </c>
      <c r="AO38" s="598">
        <f t="shared" si="19"/>
        <v>-894.60800000000006</v>
      </c>
      <c r="AP38" s="598">
        <f t="shared" si="19"/>
        <v>-1714.2069533333336</v>
      </c>
      <c r="AQ38" s="598">
        <f t="shared" si="19"/>
        <v>-1811.7745533333332</v>
      </c>
      <c r="AR38" s="598">
        <v>-0.56053658666666673</v>
      </c>
      <c r="AS38" s="598">
        <v>-0.5799285866666668</v>
      </c>
      <c r="AT38" s="598">
        <v>-0.59967258666666667</v>
      </c>
      <c r="AU38" s="598">
        <v>-0.61976858666666679</v>
      </c>
      <c r="AV38" s="598">
        <v>-0.6402165866666667</v>
      </c>
      <c r="AW38" s="598">
        <v>-0.66101658666666674</v>
      </c>
      <c r="AX38" s="598">
        <v>-0.6821685866666668</v>
      </c>
      <c r="AY38" s="598">
        <v>-0.70367258666666677</v>
      </c>
      <c r="AZ38" s="598">
        <v>-0.72552858666666675</v>
      </c>
      <c r="BA38" s="598">
        <v>-0.74773658666666676</v>
      </c>
      <c r="BB38" s="598">
        <v>-0.77029658666666689</v>
      </c>
      <c r="BC38" s="598">
        <v>-0.79320858666666672</v>
      </c>
      <c r="BD38" s="598">
        <v>-0.81764592000000025</v>
      </c>
      <c r="BE38" s="598">
        <v>-0.84360858666666683</v>
      </c>
      <c r="BF38" s="598">
        <v>-0.87109658666666689</v>
      </c>
      <c r="BG38" s="598">
        <v>-0.90010992000000023</v>
      </c>
      <c r="BH38" s="598">
        <v>-0.93064858666666672</v>
      </c>
      <c r="BI38" s="598">
        <v>-0.96271258666666681</v>
      </c>
      <c r="BJ38" s="598">
        <v>-0.99630192000000006</v>
      </c>
      <c r="BK38" s="598">
        <v>-1.0314165866666669</v>
      </c>
      <c r="BL38" s="598">
        <v>-1.0680565866666669</v>
      </c>
      <c r="BM38" s="598">
        <v>-1.1062219200000003</v>
      </c>
      <c r="BN38" s="598">
        <v>-1.1459125866666668</v>
      </c>
      <c r="BO38" s="598">
        <v>-1.1871285866666668</v>
      </c>
      <c r="BP38" s="598">
        <v>-1.2288432533333336</v>
      </c>
      <c r="BQ38" s="598">
        <v>-1.271056586666667</v>
      </c>
      <c r="BR38" s="598">
        <v>-1.3137685866666668</v>
      </c>
      <c r="BS38" s="598">
        <v>-1.3569792533333334</v>
      </c>
      <c r="BT38" s="598">
        <v>-1.4006885866666667</v>
      </c>
      <c r="BU38" s="598">
        <v>-1.4448965866666668</v>
      </c>
      <c r="BV38" s="598">
        <v>-1.4896032533333337</v>
      </c>
      <c r="BW38" s="598">
        <v>-1.5348085866666668</v>
      </c>
      <c r="BX38" s="598">
        <v>-1.5805125866666669</v>
      </c>
      <c r="BY38" s="598">
        <v>-1.6267152533333338</v>
      </c>
      <c r="BZ38" s="598">
        <v>-1.6734165866666668</v>
      </c>
      <c r="CA38" s="598">
        <v>-1.7206165866666669</v>
      </c>
      <c r="CB38" s="598">
        <v>-1.7683152533333335</v>
      </c>
      <c r="CC38" s="598">
        <v>-1.8165125866666667</v>
      </c>
      <c r="CD38" s="598">
        <v>-1.8652085866666668</v>
      </c>
      <c r="CE38" s="598">
        <v>-1.9144032533333335</v>
      </c>
      <c r="CF38" s="598">
        <v>-1.9640965866666671</v>
      </c>
      <c r="CG38" s="598">
        <v>-2.0142885866666669</v>
      </c>
      <c r="CH38" s="598">
        <v>-2.0649792533333335</v>
      </c>
      <c r="CI38" s="598">
        <v>-2.1161685866666669</v>
      </c>
      <c r="CJ38" s="598">
        <v>-2.1678565866666668</v>
      </c>
      <c r="CK38" s="598">
        <v>-2.2200432533333334</v>
      </c>
      <c r="CL38" s="598">
        <v>-2.2727285866666667</v>
      </c>
      <c r="CM38" s="598">
        <v>-2.325912586666667</v>
      </c>
      <c r="CN38" s="598">
        <v>-2.3795312533333335</v>
      </c>
      <c r="CO38" s="598">
        <v>-2.433584586666667</v>
      </c>
      <c r="CP38" s="598">
        <v>-2.4880725866666666</v>
      </c>
      <c r="CQ38" s="598">
        <v>-2.5429952533333333</v>
      </c>
      <c r="CR38" s="598">
        <v>-2.5983525866666666</v>
      </c>
      <c r="CS38" s="598">
        <v>-2.6541445866666669</v>
      </c>
      <c r="CT38" s="598">
        <v>-2.7103712533333333</v>
      </c>
      <c r="CU38" s="598">
        <v>-2.7670325866666667</v>
      </c>
      <c r="CV38" s="598">
        <v>-2.8241285866666668</v>
      </c>
      <c r="CW38" s="598">
        <v>-2.8816592533333334</v>
      </c>
      <c r="CX38" s="598">
        <v>-2.9396245866666666</v>
      </c>
      <c r="CY38" s="598">
        <v>-2.9980245866666668</v>
      </c>
    </row>
    <row r="39" spans="1:103">
      <c r="A39" s="230"/>
      <c r="B39" s="229"/>
      <c r="C39" s="230"/>
      <c r="D39" s="230" t="s">
        <v>594</v>
      </c>
      <c r="E39" s="230"/>
      <c r="F39" s="232"/>
      <c r="G39" s="232" t="s">
        <v>736</v>
      </c>
      <c r="H39" s="232"/>
      <c r="I39" s="232"/>
      <c r="J39" s="232"/>
      <c r="K39" s="232"/>
      <c r="L39" s="267"/>
      <c r="M39" s="267"/>
      <c r="N39" s="267"/>
      <c r="O39" s="267"/>
      <c r="P39" s="267"/>
      <c r="Q39" s="267"/>
      <c r="R39" s="267"/>
      <c r="S39" s="267"/>
      <c r="T39" s="597">
        <v>-0.54263022559999996</v>
      </c>
      <c r="U39" s="597">
        <v>-1.0177444499999999</v>
      </c>
      <c r="V39" s="597">
        <v>-1.2762048029999999</v>
      </c>
      <c r="W39" s="597">
        <v>-1.284288799</v>
      </c>
      <c r="X39" s="597">
        <v>-1.8808257088</v>
      </c>
      <c r="Y39" s="597">
        <v>-1.0856558000000001</v>
      </c>
      <c r="Z39" s="597">
        <v>-1.1671604076608699</v>
      </c>
      <c r="AA39" s="597">
        <v>-0.74696681755652194</v>
      </c>
      <c r="AB39" s="597">
        <v>-0.55081401350000003</v>
      </c>
      <c r="AC39" s="597">
        <v>-3.7429322755041698</v>
      </c>
      <c r="AD39" s="597">
        <v>-1.51346711001818</v>
      </c>
      <c r="AE39" s="597">
        <v>-1.1349104270000001</v>
      </c>
      <c r="AF39" s="598">
        <f t="shared" ref="AF39:AQ41" si="20">AF94+AF147</f>
        <v>-0.70094354543333337</v>
      </c>
      <c r="AG39" s="598">
        <f t="shared" si="20"/>
        <v>-0.65889104143333344</v>
      </c>
      <c r="AH39" s="598">
        <f t="shared" si="20"/>
        <v>-0.68079279683333338</v>
      </c>
      <c r="AI39" s="598">
        <f t="shared" si="20"/>
        <v>-0.53456623999999997</v>
      </c>
      <c r="AJ39" s="598">
        <f t="shared" si="20"/>
        <v>-0.60893645200000002</v>
      </c>
      <c r="AK39" s="598">
        <f t="shared" si="20"/>
        <v>-0.72667913799999995</v>
      </c>
      <c r="AL39" s="599">
        <f t="shared" si="20"/>
        <v>-1.1981968270000001</v>
      </c>
      <c r="AM39" s="598">
        <f t="shared" si="20"/>
        <v>-0.87129193400000005</v>
      </c>
      <c r="AN39" s="598">
        <f t="shared" si="20"/>
        <v>-0.80487636900000004</v>
      </c>
      <c r="AO39" s="598">
        <f t="shared" si="20"/>
        <v>-3.7470999999999997</v>
      </c>
      <c r="AP39" s="598">
        <f t="shared" si="20"/>
        <v>-4.0637333333333334</v>
      </c>
      <c r="AQ39" s="598">
        <f t="shared" si="20"/>
        <v>-5.74</v>
      </c>
      <c r="AR39" s="598">
        <v>-0.6</v>
      </c>
      <c r="AS39" s="598">
        <v>-0.6</v>
      </c>
      <c r="AT39" s="598">
        <v>-0.6</v>
      </c>
      <c r="AU39" s="598">
        <v>-0.6</v>
      </c>
      <c r="AV39" s="598">
        <v>-0.6</v>
      </c>
      <c r="AW39" s="598">
        <v>-0.6</v>
      </c>
      <c r="AX39" s="598">
        <v>-0.6</v>
      </c>
      <c r="AY39" s="598">
        <v>-0.6</v>
      </c>
      <c r="AZ39" s="598">
        <v>-0.6</v>
      </c>
      <c r="BA39" s="598">
        <v>-0.6</v>
      </c>
      <c r="BB39" s="598">
        <v>-0.6</v>
      </c>
      <c r="BC39" s="598">
        <v>-0.6</v>
      </c>
      <c r="BD39" s="598">
        <v>-0.65</v>
      </c>
      <c r="BE39" s="598">
        <v>-0.7</v>
      </c>
      <c r="BF39" s="598">
        <v>-0.74999999999999989</v>
      </c>
      <c r="BG39" s="598">
        <v>-0.79999999999999982</v>
      </c>
      <c r="BH39" s="598">
        <v>-0.84999999999999976</v>
      </c>
      <c r="BI39" s="598">
        <v>-0.8999999999999998</v>
      </c>
      <c r="BJ39" s="598">
        <v>-0.94999999999999973</v>
      </c>
      <c r="BK39" s="598">
        <v>-0.99999999999999967</v>
      </c>
      <c r="BL39" s="598">
        <v>-1.0499999999999996</v>
      </c>
      <c r="BM39" s="598">
        <v>-1.0999999999999996</v>
      </c>
      <c r="BN39" s="598">
        <v>-1.1499999999999995</v>
      </c>
      <c r="BO39" s="598">
        <v>-1.2</v>
      </c>
      <c r="BP39" s="598">
        <v>-1.20625</v>
      </c>
      <c r="BQ39" s="598">
        <v>-1.2124999999999997</v>
      </c>
      <c r="BR39" s="598">
        <v>-1.2187499999999998</v>
      </c>
      <c r="BS39" s="598">
        <v>-1.2249999999999996</v>
      </c>
      <c r="BT39" s="598">
        <v>-1.2312499999999995</v>
      </c>
      <c r="BU39" s="598">
        <v>-1.2374999999999996</v>
      </c>
      <c r="BV39" s="598">
        <v>-1.2437499999999992</v>
      </c>
      <c r="BW39" s="598">
        <v>-1.2499999999999993</v>
      </c>
      <c r="BX39" s="598">
        <v>-1.2562499999999992</v>
      </c>
      <c r="BY39" s="598">
        <v>-1.2624999999999991</v>
      </c>
      <c r="BZ39" s="598">
        <v>-1.2687499999999992</v>
      </c>
      <c r="CA39" s="598">
        <v>-1.2750000000000001</v>
      </c>
      <c r="CB39" s="598">
        <v>-1.28125</v>
      </c>
      <c r="CC39" s="598">
        <v>-1.2874999999999999</v>
      </c>
      <c r="CD39" s="598">
        <v>-1.2937499999999997</v>
      </c>
      <c r="CE39" s="598">
        <v>-1.2999999999999996</v>
      </c>
      <c r="CF39" s="598">
        <v>-1.3062499999999995</v>
      </c>
      <c r="CG39" s="598">
        <v>-1.3124999999999996</v>
      </c>
      <c r="CH39" s="598">
        <v>-1.3187499999999994</v>
      </c>
      <c r="CI39" s="598">
        <v>-1.3249999999999993</v>
      </c>
      <c r="CJ39" s="598">
        <v>-1.3312499999999992</v>
      </c>
      <c r="CK39" s="598">
        <v>-1.337499999999999</v>
      </c>
      <c r="CL39" s="598">
        <v>-1.3437499999999991</v>
      </c>
      <c r="CM39" s="598">
        <v>-1.35</v>
      </c>
      <c r="CN39" s="598">
        <v>-1.35625</v>
      </c>
      <c r="CO39" s="598">
        <v>-1.3624999999999998</v>
      </c>
      <c r="CP39" s="598">
        <v>-1.3687499999999999</v>
      </c>
      <c r="CQ39" s="598">
        <v>-1.3749999999999996</v>
      </c>
      <c r="CR39" s="598">
        <v>-1.3812499999999996</v>
      </c>
      <c r="CS39" s="598">
        <v>-1.3874999999999995</v>
      </c>
      <c r="CT39" s="598">
        <v>-1.3937499999999994</v>
      </c>
      <c r="CU39" s="598">
        <v>-1.3999999999999992</v>
      </c>
      <c r="CV39" s="598">
        <v>-1.4062499999999991</v>
      </c>
      <c r="CW39" s="598">
        <v>-1.4124999999999992</v>
      </c>
      <c r="CX39" s="598">
        <v>-1.4187499999999991</v>
      </c>
      <c r="CY39" s="598">
        <v>-1.425</v>
      </c>
    </row>
    <row r="40" spans="1:103">
      <c r="A40" s="230"/>
      <c r="B40" s="229"/>
      <c r="C40" s="230"/>
      <c r="D40" s="230" t="s">
        <v>872</v>
      </c>
      <c r="E40" s="230"/>
      <c r="F40" s="203"/>
      <c r="G40" s="232" t="s">
        <v>736</v>
      </c>
      <c r="H40" s="203"/>
      <c r="I40" s="203"/>
      <c r="J40" s="203"/>
      <c r="K40" s="203"/>
      <c r="L40" s="275"/>
      <c r="M40" s="275"/>
      <c r="N40" s="275"/>
      <c r="O40" s="275"/>
      <c r="P40" s="275"/>
      <c r="Q40" s="275"/>
      <c r="R40" s="275"/>
      <c r="S40" s="275"/>
      <c r="T40" s="597">
        <v>-7.6254402999999998E-2</v>
      </c>
      <c r="U40" s="597">
        <v>0</v>
      </c>
      <c r="V40" s="597">
        <v>0</v>
      </c>
      <c r="W40" s="597">
        <v>0</v>
      </c>
      <c r="X40" s="597">
        <v>-9.9900000000000003E-2</v>
      </c>
      <c r="Y40" s="597">
        <v>-5.515229E-3</v>
      </c>
      <c r="Z40" s="597">
        <v>-9.9816450000000001E-2</v>
      </c>
      <c r="AA40" s="597">
        <v>-1.25E-3</v>
      </c>
      <c r="AB40" s="597">
        <v>-0.29624041699999998</v>
      </c>
      <c r="AC40" s="597">
        <v>-0.38242359999999997</v>
      </c>
      <c r="AD40" s="597">
        <v>-0.31878274299999998</v>
      </c>
      <c r="AE40" s="597">
        <v>-0.27400000000000002</v>
      </c>
      <c r="AF40" s="598">
        <f t="shared" si="20"/>
        <v>-0.24791256325</v>
      </c>
      <c r="AG40" s="598">
        <f t="shared" si="20"/>
        <v>-9.2660023250000001E-2</v>
      </c>
      <c r="AH40" s="598">
        <f t="shared" si="20"/>
        <v>-7.7602023250000013E-2</v>
      </c>
      <c r="AI40" s="598">
        <f t="shared" si="20"/>
        <v>-0.23079445525000003</v>
      </c>
      <c r="AJ40" s="598">
        <f t="shared" si="20"/>
        <v>-0.41577839950000001</v>
      </c>
      <c r="AK40" s="598">
        <f t="shared" si="20"/>
        <v>-0.47104285349999997</v>
      </c>
      <c r="AL40" s="599">
        <f t="shared" si="20"/>
        <v>-9.2393646499999996E-2</v>
      </c>
      <c r="AM40" s="598">
        <f t="shared" si="20"/>
        <v>-0.91999999999999993</v>
      </c>
      <c r="AN40" s="598">
        <f t="shared" si="20"/>
        <v>-0.11062916687032427</v>
      </c>
      <c r="AO40" s="598">
        <f t="shared" si="20"/>
        <v>0</v>
      </c>
      <c r="AP40" s="598">
        <f t="shared" si="20"/>
        <v>0</v>
      </c>
      <c r="AQ40" s="598">
        <f t="shared" si="20"/>
        <v>0</v>
      </c>
      <c r="AR40" s="598">
        <v>-0.47443892361111117</v>
      </c>
      <c r="AS40" s="598">
        <v>-0.49743892361111114</v>
      </c>
      <c r="AT40" s="598">
        <v>-0.52135559027777778</v>
      </c>
      <c r="AU40" s="598">
        <v>-0.54618892361111115</v>
      </c>
      <c r="AV40" s="598">
        <v>-0.57193892361111121</v>
      </c>
      <c r="AW40" s="598">
        <v>-0.59860559027777782</v>
      </c>
      <c r="AX40" s="598">
        <v>-0.62618892361111111</v>
      </c>
      <c r="AY40" s="598">
        <v>-0.6546889236111112</v>
      </c>
      <c r="AZ40" s="598">
        <v>-0.68410559027777773</v>
      </c>
      <c r="BA40" s="598">
        <v>-0.71443892361111117</v>
      </c>
      <c r="BB40" s="598">
        <v>-0.74568892361111117</v>
      </c>
      <c r="BC40" s="598">
        <v>-0.77785559027777773</v>
      </c>
      <c r="BD40" s="598">
        <v>-0.71857572916666679</v>
      </c>
      <c r="BE40" s="598">
        <v>-0.74789517361111124</v>
      </c>
      <c r="BF40" s="598">
        <v>-0.77866600694444454</v>
      </c>
      <c r="BG40" s="598">
        <v>-0.81088822916666681</v>
      </c>
      <c r="BH40" s="598">
        <v>-0.84456184027777781</v>
      </c>
      <c r="BI40" s="598">
        <v>-0.87968684027777777</v>
      </c>
      <c r="BJ40" s="598">
        <v>-0.91626322916666669</v>
      </c>
      <c r="BK40" s="598">
        <v>-0.95429100694444458</v>
      </c>
      <c r="BL40" s="598">
        <v>-0.9937701736111112</v>
      </c>
      <c r="BM40" s="598">
        <v>-1.0347007291666668</v>
      </c>
      <c r="BN40" s="598">
        <v>-1.0770826736111112</v>
      </c>
      <c r="BO40" s="598">
        <v>-1.1209160069444444</v>
      </c>
      <c r="BP40" s="598">
        <v>-1.165532326388889</v>
      </c>
      <c r="BQ40" s="598">
        <v>-1.2109316319444445</v>
      </c>
      <c r="BR40" s="598">
        <v>-1.2571139236111111</v>
      </c>
      <c r="BS40" s="598">
        <v>-1.3040792013888889</v>
      </c>
      <c r="BT40" s="598">
        <v>-1.3518274652777778</v>
      </c>
      <c r="BU40" s="598">
        <v>-1.4003587152777777</v>
      </c>
      <c r="BV40" s="598">
        <v>-1.4496729513888886</v>
      </c>
      <c r="BW40" s="598">
        <v>-1.4997701736111111</v>
      </c>
      <c r="BX40" s="598">
        <v>-1.5506503819444444</v>
      </c>
      <c r="BY40" s="598">
        <v>-1.6023135763888892</v>
      </c>
      <c r="BZ40" s="598">
        <v>-1.6547597569444443</v>
      </c>
      <c r="CA40" s="598">
        <v>-1.707988923611111</v>
      </c>
      <c r="CB40" s="598">
        <v>-1.7620010763888887</v>
      </c>
      <c r="CC40" s="598">
        <v>-1.8167962152777779</v>
      </c>
      <c r="CD40" s="598">
        <v>-1.8723743402777777</v>
      </c>
      <c r="CE40" s="598">
        <v>-1.928735451388889</v>
      </c>
      <c r="CF40" s="598">
        <v>-1.9858795486111114</v>
      </c>
      <c r="CG40" s="598">
        <v>-2.0438066319444443</v>
      </c>
      <c r="CH40" s="598">
        <v>-2.1025167013888888</v>
      </c>
      <c r="CI40" s="598">
        <v>-2.1620097569444443</v>
      </c>
      <c r="CJ40" s="598">
        <v>-2.2222857986111109</v>
      </c>
      <c r="CK40" s="598">
        <v>-2.2833448263888885</v>
      </c>
      <c r="CL40" s="598">
        <v>-2.345186840277778</v>
      </c>
      <c r="CM40" s="598">
        <v>-2.4078118402777777</v>
      </c>
      <c r="CN40" s="598">
        <v>-2.4710948263888888</v>
      </c>
      <c r="CO40" s="598">
        <v>-2.5350357986111112</v>
      </c>
      <c r="CP40" s="598">
        <v>-2.599634756944444</v>
      </c>
      <c r="CQ40" s="598">
        <v>-2.6648917013888891</v>
      </c>
      <c r="CR40" s="598">
        <v>-2.7308066319444446</v>
      </c>
      <c r="CS40" s="598">
        <v>-2.797379548611111</v>
      </c>
      <c r="CT40" s="598">
        <v>-2.8646104513888888</v>
      </c>
      <c r="CU40" s="598">
        <v>-2.9324993402777779</v>
      </c>
      <c r="CV40" s="598">
        <v>-3.0010462152777779</v>
      </c>
      <c r="CW40" s="598">
        <v>-3.0702510763888888</v>
      </c>
      <c r="CX40" s="598">
        <v>-3.1401139236111111</v>
      </c>
      <c r="CY40" s="598">
        <v>-3.2106347569444447</v>
      </c>
    </row>
    <row r="41" spans="1:103">
      <c r="A41" s="230"/>
      <c r="B41" s="229"/>
      <c r="C41" s="230"/>
      <c r="D41" s="230" t="s">
        <v>703</v>
      </c>
      <c r="E41" s="230"/>
      <c r="F41" s="203"/>
      <c r="G41" s="232" t="s">
        <v>736</v>
      </c>
      <c r="H41" s="203"/>
      <c r="I41" s="203"/>
      <c r="J41" s="203"/>
      <c r="K41" s="203"/>
      <c r="L41" s="275"/>
      <c r="M41" s="275"/>
      <c r="N41" s="275"/>
      <c r="O41" s="275"/>
      <c r="P41" s="275"/>
      <c r="Q41" s="275"/>
      <c r="R41" s="275"/>
      <c r="S41" s="275"/>
      <c r="T41" s="597"/>
      <c r="U41" s="597"/>
      <c r="V41" s="597"/>
      <c r="W41" s="597"/>
      <c r="X41" s="597"/>
      <c r="Y41" s="597"/>
      <c r="Z41" s="594">
        <v>-6.6617978100000003E-2</v>
      </c>
      <c r="AA41" s="594">
        <v>-4.8217328320000002E-2</v>
      </c>
      <c r="AB41" s="594">
        <v>-4.2693750000000003E-2</v>
      </c>
      <c r="AC41" s="594">
        <v>-5.0541750000000003E-2</v>
      </c>
      <c r="AD41" s="594">
        <v>-3.4769250000000002E-2</v>
      </c>
      <c r="AE41" s="594">
        <v>-2.160345E-2</v>
      </c>
      <c r="AF41" s="598">
        <f t="shared" si="20"/>
        <v>-4.1466150000000007E-2</v>
      </c>
      <c r="AG41" s="598">
        <f t="shared" si="20"/>
        <v>-2.3830949999999997E-2</v>
      </c>
      <c r="AH41" s="598">
        <f t="shared" si="20"/>
        <v>-3.0570150000000004E-2</v>
      </c>
      <c r="AI41" s="598">
        <f t="shared" si="20"/>
        <v>-2.4727949999999999E-2</v>
      </c>
      <c r="AJ41" s="598">
        <f t="shared" si="20"/>
        <v>-2.4972749999999998E-2</v>
      </c>
      <c r="AK41" s="598">
        <f t="shared" si="20"/>
        <v>-2.80380578889904E-2</v>
      </c>
      <c r="AL41" s="599">
        <f t="shared" si="20"/>
        <v>0</v>
      </c>
      <c r="AM41" s="598">
        <f t="shared" si="20"/>
        <v>0</v>
      </c>
      <c r="AN41" s="598">
        <f t="shared" si="20"/>
        <v>0</v>
      </c>
      <c r="AO41" s="598">
        <f t="shared" si="20"/>
        <v>0</v>
      </c>
      <c r="AP41" s="598">
        <f t="shared" si="20"/>
        <v>0</v>
      </c>
      <c r="AQ41" s="598">
        <f t="shared" si="20"/>
        <v>0</v>
      </c>
      <c r="AR41" s="598">
        <v>0</v>
      </c>
      <c r="AS41" s="598">
        <v>0</v>
      </c>
      <c r="AT41" s="598">
        <v>0</v>
      </c>
      <c r="AU41" s="598">
        <v>0</v>
      </c>
      <c r="AV41" s="598">
        <v>0</v>
      </c>
      <c r="AW41" s="598">
        <v>0</v>
      </c>
      <c r="AX41" s="598">
        <v>0</v>
      </c>
      <c r="AY41" s="598">
        <v>0</v>
      </c>
      <c r="AZ41" s="598">
        <v>0</v>
      </c>
      <c r="BA41" s="598">
        <v>0</v>
      </c>
      <c r="BB41" s="598">
        <v>0</v>
      </c>
      <c r="BC41" s="598">
        <v>0</v>
      </c>
      <c r="BD41" s="598">
        <v>0</v>
      </c>
      <c r="BE41" s="598">
        <v>0</v>
      </c>
      <c r="BF41" s="598">
        <v>0</v>
      </c>
      <c r="BG41" s="598">
        <v>0</v>
      </c>
      <c r="BH41" s="598">
        <v>0</v>
      </c>
      <c r="BI41" s="598">
        <v>0</v>
      </c>
      <c r="BJ41" s="598">
        <v>0</v>
      </c>
      <c r="BK41" s="598">
        <v>0</v>
      </c>
      <c r="BL41" s="598">
        <v>0</v>
      </c>
      <c r="BM41" s="598">
        <v>0</v>
      </c>
      <c r="BN41" s="598">
        <v>0</v>
      </c>
      <c r="BO41" s="598">
        <v>0</v>
      </c>
      <c r="BP41" s="598">
        <v>0</v>
      </c>
      <c r="BQ41" s="598">
        <v>0</v>
      </c>
      <c r="BR41" s="598">
        <v>0</v>
      </c>
      <c r="BS41" s="598">
        <v>0</v>
      </c>
      <c r="BT41" s="598">
        <v>0</v>
      </c>
      <c r="BU41" s="598">
        <v>0</v>
      </c>
      <c r="BV41" s="598">
        <v>0</v>
      </c>
      <c r="BW41" s="598">
        <v>0</v>
      </c>
      <c r="BX41" s="598">
        <v>0</v>
      </c>
      <c r="BY41" s="598">
        <v>0</v>
      </c>
      <c r="BZ41" s="598">
        <v>0</v>
      </c>
      <c r="CA41" s="598">
        <v>0</v>
      </c>
      <c r="CB41" s="598">
        <v>0</v>
      </c>
      <c r="CC41" s="598">
        <v>0</v>
      </c>
      <c r="CD41" s="598">
        <v>0</v>
      </c>
      <c r="CE41" s="598">
        <v>0</v>
      </c>
      <c r="CF41" s="598">
        <v>0</v>
      </c>
      <c r="CG41" s="598">
        <v>0</v>
      </c>
      <c r="CH41" s="598">
        <v>0</v>
      </c>
      <c r="CI41" s="598">
        <v>0</v>
      </c>
      <c r="CJ41" s="598">
        <v>0</v>
      </c>
      <c r="CK41" s="598">
        <v>0</v>
      </c>
      <c r="CL41" s="598">
        <v>0</v>
      </c>
      <c r="CM41" s="598">
        <v>0</v>
      </c>
      <c r="CN41" s="598">
        <v>0</v>
      </c>
      <c r="CO41" s="598">
        <v>0</v>
      </c>
      <c r="CP41" s="598">
        <v>0</v>
      </c>
      <c r="CQ41" s="598">
        <v>0</v>
      </c>
      <c r="CR41" s="598">
        <v>0</v>
      </c>
      <c r="CS41" s="598">
        <v>0</v>
      </c>
      <c r="CT41" s="598">
        <v>0</v>
      </c>
      <c r="CU41" s="598">
        <v>0</v>
      </c>
      <c r="CV41" s="598">
        <v>0</v>
      </c>
      <c r="CW41" s="598">
        <v>0</v>
      </c>
      <c r="CX41" s="598">
        <v>0</v>
      </c>
      <c r="CY41" s="598">
        <v>0</v>
      </c>
    </row>
    <row r="42" spans="1:103">
      <c r="A42" s="230"/>
      <c r="B42" s="229"/>
      <c r="C42" s="230"/>
      <c r="D42" s="230" t="s">
        <v>163</v>
      </c>
      <c r="E42" s="230"/>
      <c r="F42" s="232"/>
      <c r="G42" s="232" t="s">
        <v>736</v>
      </c>
      <c r="H42" s="232"/>
      <c r="I42" s="232"/>
      <c r="J42" s="232"/>
      <c r="K42" s="232"/>
      <c r="L42" s="230"/>
      <c r="M42" s="230"/>
      <c r="N42" s="230"/>
      <c r="O42" s="230"/>
      <c r="P42" s="230"/>
      <c r="Q42" s="230"/>
      <c r="R42" s="230"/>
      <c r="S42" s="230"/>
      <c r="T42" s="253"/>
      <c r="U42" s="253"/>
      <c r="V42" s="253"/>
      <c r="W42" s="253"/>
      <c r="X42" s="253"/>
      <c r="Y42" s="253"/>
      <c r="Z42" s="601">
        <v>-5.326202E-2</v>
      </c>
      <c r="AA42" s="601">
        <v>-4.0308869999999997E-2</v>
      </c>
      <c r="AB42" s="601">
        <v>-3.197887E-2</v>
      </c>
      <c r="AC42" s="601">
        <v>-4.0442150000000003E-2</v>
      </c>
      <c r="AD42" s="601">
        <v>-3.3428289999999999E-2</v>
      </c>
      <c r="AE42" s="594">
        <v>-0.112363009</v>
      </c>
      <c r="AF42" s="598">
        <f t="shared" ref="AF42:AQ42" si="21">AF97+AF151</f>
        <v>-0.15776639758616059</v>
      </c>
      <c r="AG42" s="598">
        <f t="shared" si="21"/>
        <v>-0.12876167684591058</v>
      </c>
      <c r="AH42" s="598">
        <f t="shared" si="21"/>
        <v>-6.9452779467573125E-2</v>
      </c>
      <c r="AI42" s="598">
        <f t="shared" si="21"/>
        <v>-5.4859286180371857E-2</v>
      </c>
      <c r="AJ42" s="598">
        <f t="shared" si="21"/>
        <v>-0.17041469566915021</v>
      </c>
      <c r="AK42" s="598">
        <f t="shared" si="21"/>
        <v>-0.22572465802470079</v>
      </c>
      <c r="AL42" s="599">
        <f t="shared" si="21"/>
        <v>-0.20653145251545135</v>
      </c>
      <c r="AM42" s="598">
        <f t="shared" si="21"/>
        <v>-0.18657770261603127</v>
      </c>
      <c r="AN42" s="598">
        <f t="shared" si="21"/>
        <v>-0.26334824049045191</v>
      </c>
      <c r="AO42" s="598">
        <f t="shared" si="21"/>
        <v>0</v>
      </c>
      <c r="AP42" s="598">
        <f t="shared" si="21"/>
        <v>0</v>
      </c>
      <c r="AQ42" s="598">
        <f t="shared" si="21"/>
        <v>0</v>
      </c>
      <c r="AR42" s="598">
        <v>-0.24523475666666669</v>
      </c>
      <c r="AS42" s="598">
        <v>-0.25371875666666671</v>
      </c>
      <c r="AT42" s="598">
        <v>-0.26235675666666669</v>
      </c>
      <c r="AU42" s="598">
        <v>-0.27114875666666666</v>
      </c>
      <c r="AV42" s="598">
        <v>-0.28009475666666667</v>
      </c>
      <c r="AW42" s="598">
        <v>-0.28919475666666666</v>
      </c>
      <c r="AX42" s="598">
        <v>-0.2984487566666667</v>
      </c>
      <c r="AY42" s="598">
        <v>-0.30785675666666668</v>
      </c>
      <c r="AZ42" s="598">
        <v>-0.31741875666666669</v>
      </c>
      <c r="BA42" s="598">
        <v>-0.32713475666666669</v>
      </c>
      <c r="BB42" s="598">
        <v>-0.33700475666666668</v>
      </c>
      <c r="BC42" s="598">
        <v>-0.34702875666666666</v>
      </c>
      <c r="BD42" s="598">
        <v>-0.35772009000000005</v>
      </c>
      <c r="BE42" s="598">
        <v>-0.36907875666666667</v>
      </c>
      <c r="BF42" s="598">
        <v>-0.38110475666666666</v>
      </c>
      <c r="BG42" s="598">
        <v>-0.39379809000000005</v>
      </c>
      <c r="BH42" s="598">
        <v>-0.40715875666666668</v>
      </c>
      <c r="BI42" s="598">
        <v>-0.42118675666666666</v>
      </c>
      <c r="BJ42" s="598">
        <v>-0.43588209000000006</v>
      </c>
      <c r="BK42" s="598">
        <v>-0.45124475666666664</v>
      </c>
      <c r="BL42" s="598">
        <v>-0.46727475666666674</v>
      </c>
      <c r="BM42" s="598">
        <v>-0.48397209000000002</v>
      </c>
      <c r="BN42" s="598">
        <v>-0.50133675666666677</v>
      </c>
      <c r="BO42" s="598">
        <v>-0.51936875666666671</v>
      </c>
      <c r="BP42" s="598">
        <v>-0.53761892333333339</v>
      </c>
      <c r="BQ42" s="598">
        <v>-0.55608725666666659</v>
      </c>
      <c r="BR42" s="598">
        <v>-0.57477375666666664</v>
      </c>
      <c r="BS42" s="598">
        <v>-0.59367842333333343</v>
      </c>
      <c r="BT42" s="598">
        <v>-0.61280125666666663</v>
      </c>
      <c r="BU42" s="598">
        <v>-0.63214225666666668</v>
      </c>
      <c r="BV42" s="598">
        <v>-0.65170142333333325</v>
      </c>
      <c r="BW42" s="598">
        <v>-0.67147875666666668</v>
      </c>
      <c r="BX42" s="598">
        <v>-0.69147425666666673</v>
      </c>
      <c r="BY42" s="598">
        <v>-0.71168792333333342</v>
      </c>
      <c r="BZ42" s="598">
        <v>-0.73211975666666662</v>
      </c>
      <c r="CA42" s="598">
        <v>-0.75276975666666668</v>
      </c>
      <c r="CB42" s="598">
        <v>-0.77363792333333326</v>
      </c>
      <c r="CC42" s="598">
        <v>-0.79472425666666668</v>
      </c>
      <c r="CD42" s="598">
        <v>-0.81602875666666663</v>
      </c>
      <c r="CE42" s="598">
        <v>-0.83755142333333343</v>
      </c>
      <c r="CF42" s="598">
        <v>-0.85929225666666664</v>
      </c>
      <c r="CG42" s="598">
        <v>-0.88125125666666659</v>
      </c>
      <c r="CH42" s="598">
        <v>-0.9034284233333334</v>
      </c>
      <c r="CI42" s="598">
        <v>-0.92582375666666661</v>
      </c>
      <c r="CJ42" s="598">
        <v>-0.94843725666666667</v>
      </c>
      <c r="CK42" s="598">
        <v>-0.97126892333333337</v>
      </c>
      <c r="CL42" s="598">
        <v>-0.99431875666666658</v>
      </c>
      <c r="CM42" s="598">
        <v>-1.0175867566666665</v>
      </c>
      <c r="CN42" s="598">
        <v>-1.0410449233333332</v>
      </c>
      <c r="CO42" s="598">
        <v>-1.0646932566666667</v>
      </c>
      <c r="CP42" s="598">
        <v>-1.0885317566666664</v>
      </c>
      <c r="CQ42" s="598">
        <v>-1.1125604233333333</v>
      </c>
      <c r="CR42" s="598">
        <v>-1.1367792566666666</v>
      </c>
      <c r="CS42" s="598">
        <v>-1.1611882566666667</v>
      </c>
      <c r="CT42" s="598">
        <v>-1.1857874233333332</v>
      </c>
      <c r="CU42" s="598">
        <v>-1.2105767566666668</v>
      </c>
      <c r="CV42" s="598">
        <v>-1.2355562566666667</v>
      </c>
      <c r="CW42" s="598">
        <v>-1.2607259233333332</v>
      </c>
      <c r="CX42" s="598">
        <v>-1.2860857566666666</v>
      </c>
      <c r="CY42" s="598">
        <v>-1.3116357566666665</v>
      </c>
    </row>
    <row r="43" spans="1:103">
      <c r="A43" s="230"/>
      <c r="B43" s="229"/>
      <c r="C43" s="230"/>
      <c r="D43" s="230" t="s">
        <v>152</v>
      </c>
      <c r="E43" s="230"/>
      <c r="F43" s="232"/>
      <c r="G43" s="232" t="s">
        <v>736</v>
      </c>
      <c r="H43" s="232"/>
      <c r="I43" s="232"/>
      <c r="J43" s="232"/>
      <c r="K43" s="232"/>
      <c r="L43" s="230"/>
      <c r="M43" s="230"/>
      <c r="N43" s="230"/>
      <c r="O43" s="230"/>
      <c r="P43" s="230"/>
      <c r="Q43" s="230"/>
      <c r="R43" s="230"/>
      <c r="S43" s="230"/>
      <c r="T43" s="253"/>
      <c r="U43" s="253"/>
      <c r="V43" s="253"/>
      <c r="W43" s="253"/>
      <c r="X43" s="253"/>
      <c r="Y43" s="253"/>
      <c r="Z43" s="601"/>
      <c r="AA43" s="601"/>
      <c r="AB43" s="601"/>
      <c r="AC43" s="601"/>
      <c r="AD43" s="601"/>
      <c r="AE43" s="594"/>
      <c r="AF43" s="598"/>
      <c r="AG43" s="598"/>
      <c r="AH43" s="598"/>
      <c r="AI43" s="598"/>
      <c r="AJ43" s="598"/>
      <c r="AK43" s="598"/>
      <c r="AL43" s="599"/>
      <c r="AM43" s="598"/>
      <c r="AN43" s="598"/>
      <c r="AO43" s="598"/>
      <c r="AP43" s="598"/>
      <c r="AQ43" s="598"/>
      <c r="AR43" s="602">
        <v>-0.1368</v>
      </c>
      <c r="AS43" s="602">
        <v>-0.1368</v>
      </c>
      <c r="AT43" s="602">
        <v>-0.1368</v>
      </c>
      <c r="AU43" s="602">
        <v>-0.1368</v>
      </c>
      <c r="AV43" s="602">
        <v>-0.1368</v>
      </c>
      <c r="AW43" s="602">
        <v>-0.1368</v>
      </c>
      <c r="AX43" s="602">
        <v>-4.0800000000000003E-2</v>
      </c>
      <c r="AY43" s="602">
        <v>-4.0800000000000003E-2</v>
      </c>
      <c r="AZ43" s="602">
        <v>-4.0800000000000003E-2</v>
      </c>
      <c r="BA43" s="602">
        <v>-4.0800000000000003E-2</v>
      </c>
      <c r="BB43" s="602">
        <v>-4.0800000000000003E-2</v>
      </c>
      <c r="BC43" s="602">
        <v>-4.0800000000000003E-2</v>
      </c>
      <c r="BD43" s="602">
        <v>-4.0800000000000003E-2</v>
      </c>
      <c r="BE43" s="602">
        <v>-4.0800000000000003E-2</v>
      </c>
      <c r="BF43" s="602">
        <v>-4.0800000000000003E-2</v>
      </c>
      <c r="BG43" s="602">
        <v>-4.0800000000000003E-2</v>
      </c>
      <c r="BH43" s="602">
        <v>-4.0800000000000003E-2</v>
      </c>
      <c r="BI43" s="602">
        <v>-4.0800000000000003E-2</v>
      </c>
      <c r="BJ43" s="602">
        <v>-4.0800000000000003E-2</v>
      </c>
      <c r="BK43" s="602">
        <v>-4.0800000000000003E-2</v>
      </c>
      <c r="BL43" s="602">
        <v>-4.0800000000000003E-2</v>
      </c>
      <c r="BM43" s="602">
        <v>-4.0800000000000003E-2</v>
      </c>
      <c r="BN43" s="602">
        <v>-4.0800000000000003E-2</v>
      </c>
      <c r="BO43" s="602">
        <v>-4.0800000000000003E-2</v>
      </c>
      <c r="BP43" s="602">
        <v>-4.0800000000000003E-2</v>
      </c>
      <c r="BQ43" s="602">
        <v>-4.0800000000000003E-2</v>
      </c>
      <c r="BR43" s="602">
        <v>-4.0800000000000003E-2</v>
      </c>
      <c r="BS43" s="602">
        <v>-4.0800000000000003E-2</v>
      </c>
      <c r="BT43" s="602">
        <v>-4.0800000000000003E-2</v>
      </c>
      <c r="BU43" s="602">
        <v>-4.0800000000000003E-2</v>
      </c>
      <c r="BV43" s="602">
        <v>-4.0800000000000003E-2</v>
      </c>
      <c r="BW43" s="602">
        <v>-4.0800000000000003E-2</v>
      </c>
      <c r="BX43" s="602">
        <v>-4.0800000000000003E-2</v>
      </c>
      <c r="BY43" s="602">
        <v>-4.0800000000000003E-2</v>
      </c>
      <c r="BZ43" s="602">
        <v>-4.0800000000000003E-2</v>
      </c>
      <c r="CA43" s="602">
        <v>-4.0800000000000003E-2</v>
      </c>
      <c r="CB43" s="602">
        <v>-4.0800000000000003E-2</v>
      </c>
      <c r="CC43" s="602">
        <v>-4.0800000000000003E-2</v>
      </c>
      <c r="CD43" s="602">
        <v>-4.0800000000000003E-2</v>
      </c>
      <c r="CE43" s="602">
        <v>-4.0800000000000003E-2</v>
      </c>
      <c r="CF43" s="602">
        <v>-4.0800000000000003E-2</v>
      </c>
      <c r="CG43" s="602">
        <v>-4.0800000000000003E-2</v>
      </c>
      <c r="CH43" s="602">
        <v>-4.0800000000000003E-2</v>
      </c>
      <c r="CI43" s="602">
        <v>-4.0800000000000003E-2</v>
      </c>
      <c r="CJ43" s="602">
        <v>-4.0800000000000003E-2</v>
      </c>
      <c r="CK43" s="602">
        <v>-4.0800000000000003E-2</v>
      </c>
      <c r="CL43" s="602">
        <v>-4.0800000000000003E-2</v>
      </c>
      <c r="CM43" s="602">
        <v>-4.0800000000000003E-2</v>
      </c>
      <c r="CN43" s="602">
        <v>-4.0800000000000003E-2</v>
      </c>
      <c r="CO43" s="602">
        <v>-4.0800000000000003E-2</v>
      </c>
      <c r="CP43" s="602">
        <v>-4.0800000000000003E-2</v>
      </c>
      <c r="CQ43" s="602">
        <v>-4.0800000000000003E-2</v>
      </c>
      <c r="CR43" s="602">
        <v>-4.0800000000000003E-2</v>
      </c>
      <c r="CS43" s="602">
        <v>-4.0800000000000003E-2</v>
      </c>
      <c r="CT43" s="602">
        <v>-4.0800000000000003E-2</v>
      </c>
      <c r="CU43" s="602">
        <v>-4.0800000000000003E-2</v>
      </c>
      <c r="CV43" s="602">
        <v>-4.0800000000000003E-2</v>
      </c>
      <c r="CW43" s="602">
        <v>-4.0800000000000003E-2</v>
      </c>
      <c r="CX43" s="602">
        <v>-4.0800000000000003E-2</v>
      </c>
      <c r="CY43" s="602">
        <v>-4.0800000000000003E-2</v>
      </c>
    </row>
    <row r="44" spans="1:103">
      <c r="A44" s="229"/>
      <c r="B44" s="229"/>
      <c r="C44" s="229"/>
      <c r="D44" s="230" t="s">
        <v>670</v>
      </c>
      <c r="E44" s="230"/>
      <c r="F44" s="203"/>
      <c r="G44" s="232" t="s">
        <v>736</v>
      </c>
      <c r="H44" s="203"/>
      <c r="I44" s="203"/>
      <c r="J44" s="203"/>
      <c r="K44" s="203"/>
      <c r="L44" s="229"/>
      <c r="M44" s="229"/>
      <c r="N44" s="229"/>
      <c r="O44" s="229"/>
      <c r="P44" s="229"/>
      <c r="Q44" s="229"/>
      <c r="R44" s="229"/>
      <c r="S44" s="229"/>
      <c r="T44" s="237">
        <f t="shared" ref="T44:AQ44" si="22">T99+T152</f>
        <v>0</v>
      </c>
      <c r="U44" s="237">
        <f t="shared" si="22"/>
        <v>0</v>
      </c>
      <c r="V44" s="237">
        <f t="shared" si="22"/>
        <v>0</v>
      </c>
      <c r="W44" s="237">
        <f t="shared" si="22"/>
        <v>0</v>
      </c>
      <c r="X44" s="237">
        <f t="shared" si="22"/>
        <v>0</v>
      </c>
      <c r="Y44" s="237">
        <f t="shared" si="22"/>
        <v>0</v>
      </c>
      <c r="Z44" s="237">
        <f t="shared" si="22"/>
        <v>0</v>
      </c>
      <c r="AA44" s="237">
        <f t="shared" si="22"/>
        <v>0</v>
      </c>
      <c r="AB44" s="237">
        <f t="shared" si="22"/>
        <v>0</v>
      </c>
      <c r="AC44" s="237">
        <f t="shared" si="22"/>
        <v>0</v>
      </c>
      <c r="AD44" s="237">
        <f t="shared" si="22"/>
        <v>0</v>
      </c>
      <c r="AE44" s="237">
        <f t="shared" si="22"/>
        <v>0</v>
      </c>
      <c r="AF44" s="237">
        <f t="shared" si="22"/>
        <v>0</v>
      </c>
      <c r="AG44" s="237">
        <f t="shared" si="22"/>
        <v>0</v>
      </c>
      <c r="AH44" s="237">
        <f t="shared" si="22"/>
        <v>0</v>
      </c>
      <c r="AI44" s="237">
        <f t="shared" si="22"/>
        <v>0</v>
      </c>
      <c r="AJ44" s="237">
        <f t="shared" si="22"/>
        <v>0</v>
      </c>
      <c r="AK44" s="237">
        <f t="shared" si="22"/>
        <v>-0.57715830507701538</v>
      </c>
      <c r="AL44" s="237">
        <f t="shared" si="22"/>
        <v>-1.1164552321917014</v>
      </c>
      <c r="AM44" s="237">
        <f t="shared" si="22"/>
        <v>-1.5909695754638129</v>
      </c>
      <c r="AN44" s="237">
        <f t="shared" si="22"/>
        <v>-0.16187258961038292</v>
      </c>
      <c r="AO44" s="237">
        <f t="shared" si="22"/>
        <v>-0.16695326152799828</v>
      </c>
      <c r="AP44" s="237">
        <f t="shared" si="22"/>
        <v>0.66960083278247118</v>
      </c>
      <c r="AQ44" s="237">
        <f t="shared" si="22"/>
        <v>0.35304560653271189</v>
      </c>
      <c r="AR44" s="262">
        <v>-3.9235290466983673E-2</v>
      </c>
      <c r="AS44" s="262">
        <v>-3.9925196161680214E-2</v>
      </c>
      <c r="AT44" s="262">
        <v>-5.3784304063720083E-2</v>
      </c>
      <c r="AU44" s="262">
        <v>-7.2445842550927092E-2</v>
      </c>
      <c r="AV44" s="262">
        <v>-5.9505589359854158E-2</v>
      </c>
      <c r="AW44" s="262">
        <v>-5.1882414563451981E-2</v>
      </c>
      <c r="AX44" s="262">
        <v>-0.11832988454743934</v>
      </c>
      <c r="AY44" s="262">
        <v>-0.19994101955179072</v>
      </c>
      <c r="AZ44" s="262">
        <v>-0.23748935674019686</v>
      </c>
      <c r="BA44" s="262">
        <v>-0.27949747252353901</v>
      </c>
      <c r="BB44" s="262">
        <v>-0.52740234336336855</v>
      </c>
      <c r="BC44" s="262">
        <v>-0.58173311838952213</v>
      </c>
      <c r="BD44" s="237">
        <v>-0.65174945970921494</v>
      </c>
      <c r="BE44" s="237">
        <v>-0.71491563677920822</v>
      </c>
      <c r="BF44" s="237">
        <v>-0.77148732156611011</v>
      </c>
      <c r="BG44" s="237">
        <v>-0.82362879896580932</v>
      </c>
      <c r="BH44" s="237">
        <v>-0.87104850252363497</v>
      </c>
      <c r="BI44" s="237">
        <v>-0.90667958942499083</v>
      </c>
      <c r="BJ44" s="237">
        <v>-0.96568931994155893</v>
      </c>
      <c r="BK44" s="237">
        <v>-0.99686458768134112</v>
      </c>
      <c r="BL44" s="237">
        <v>-1.0255019642680656</v>
      </c>
      <c r="BM44" s="237">
        <v>-1.057785734168541</v>
      </c>
      <c r="BN44" s="237">
        <v>-1.1032076185204758</v>
      </c>
      <c r="BO44" s="237">
        <v>-1.175591432871911</v>
      </c>
      <c r="BP44" s="237">
        <v>-1.2367764693945964</v>
      </c>
      <c r="BQ44" s="237">
        <v>-1.2887775870318361</v>
      </c>
      <c r="BR44" s="237">
        <v>-1.3346758428557757</v>
      </c>
      <c r="BS44" s="237">
        <v>-1.3853729718435304</v>
      </c>
      <c r="BT44" s="237">
        <v>-1.447918538996853</v>
      </c>
      <c r="BU44" s="237">
        <v>-1.50139565267644</v>
      </c>
      <c r="BV44" s="237">
        <v>-1.572717780441887</v>
      </c>
      <c r="BW44" s="237">
        <v>-1.5494170687091688</v>
      </c>
      <c r="BX44" s="237">
        <v>-1.5919360024309208</v>
      </c>
      <c r="BY44" s="237">
        <v>-1.6368591410768487</v>
      </c>
      <c r="BZ44" s="237">
        <v>-1.6927339503505205</v>
      </c>
      <c r="CA44" s="237">
        <v>-1.7713907963295579</v>
      </c>
      <c r="CB44" s="237">
        <v>-1.8402818699372847</v>
      </c>
      <c r="CC44" s="237">
        <v>-1.9012796250466502</v>
      </c>
      <c r="CD44" s="237">
        <v>-1.9570980391356914</v>
      </c>
      <c r="CE44" s="237">
        <v>-2.0170778090646628</v>
      </c>
      <c r="CF44" s="237">
        <v>-2.0872353664177337</v>
      </c>
      <c r="CG44" s="237">
        <v>-2.1497074215929302</v>
      </c>
      <c r="CH44" s="237">
        <v>-2.2274976384964282</v>
      </c>
      <c r="CI44" s="237">
        <v>-2.2827688388755529</v>
      </c>
      <c r="CJ44" s="237">
        <v>-2.3384673185863245</v>
      </c>
      <c r="CK44" s="237">
        <v>-2.3963305255396938</v>
      </c>
      <c r="CL44" s="237">
        <v>-2.4636613952630797</v>
      </c>
      <c r="CM44" s="237">
        <v>-2.5471334499969149</v>
      </c>
      <c r="CN44" s="237">
        <v>-2.6165092791941</v>
      </c>
      <c r="CO44" s="237">
        <v>-2.6864863278223279</v>
      </c>
      <c r="CP44" s="237">
        <v>-2.7568261044663664</v>
      </c>
      <c r="CQ44" s="237">
        <v>-2.8274141087048381</v>
      </c>
      <c r="CR44" s="237">
        <v>-2.8982416251077989</v>
      </c>
      <c r="CS44" s="237">
        <v>-2.9693087712786577</v>
      </c>
      <c r="CT44" s="237">
        <v>-3.0406202261599296</v>
      </c>
      <c r="CU44" s="237">
        <v>-3.1122694872506944</v>
      </c>
      <c r="CV44" s="237">
        <v>-3.1844422173353575</v>
      </c>
      <c r="CW44" s="237">
        <v>-3.2572285343095007</v>
      </c>
      <c r="CX44" s="237">
        <v>-3.3306726336724486</v>
      </c>
      <c r="CY44" s="237">
        <v>-3.4047941264817272</v>
      </c>
    </row>
    <row r="45" spans="1:103">
      <c r="A45" s="229"/>
      <c r="B45" s="95" t="s">
        <v>739</v>
      </c>
      <c r="C45" s="229"/>
      <c r="D45" s="230"/>
      <c r="E45" s="230"/>
      <c r="F45" s="203"/>
      <c r="G45" s="232"/>
      <c r="H45" s="203"/>
      <c r="I45" s="203"/>
      <c r="J45" s="203"/>
      <c r="K45" s="203"/>
      <c r="L45" s="229"/>
      <c r="M45" s="229"/>
      <c r="N45" s="229"/>
      <c r="O45" s="229"/>
      <c r="P45" s="229"/>
      <c r="Q45" s="229"/>
      <c r="R45" s="229"/>
      <c r="S45" s="229"/>
      <c r="T45" s="275">
        <f t="shared" ref="T45:AQ45" si="23">SUM(T46:T49)</f>
        <v>0</v>
      </c>
      <c r="U45" s="275">
        <f t="shared" si="23"/>
        <v>0</v>
      </c>
      <c r="V45" s="275">
        <f t="shared" si="23"/>
        <v>0</v>
      </c>
      <c r="W45" s="275">
        <f t="shared" si="23"/>
        <v>0</v>
      </c>
      <c r="X45" s="275">
        <f t="shared" si="23"/>
        <v>0</v>
      </c>
      <c r="Y45" s="275">
        <f t="shared" si="23"/>
        <v>0</v>
      </c>
      <c r="Z45" s="275">
        <f t="shared" si="23"/>
        <v>0</v>
      </c>
      <c r="AA45" s="275">
        <f t="shared" si="23"/>
        <v>0</v>
      </c>
      <c r="AB45" s="275">
        <f t="shared" si="23"/>
        <v>0</v>
      </c>
      <c r="AC45" s="275">
        <f t="shared" si="23"/>
        <v>0</v>
      </c>
      <c r="AD45" s="275">
        <f t="shared" si="23"/>
        <v>-3.5031915764161385</v>
      </c>
      <c r="AE45" s="275">
        <f t="shared" si="23"/>
        <v>-7.2584279300209857</v>
      </c>
      <c r="AF45" s="275">
        <f t="shared" si="23"/>
        <v>-3.1201689826874128</v>
      </c>
      <c r="AG45" s="275">
        <f t="shared" si="23"/>
        <v>-3.0012532431732373</v>
      </c>
      <c r="AH45" s="275">
        <f t="shared" si="23"/>
        <v>-3.3335056666442702</v>
      </c>
      <c r="AI45" s="275">
        <f t="shared" si="23"/>
        <v>-3.4009935243146261</v>
      </c>
      <c r="AJ45" s="275">
        <f t="shared" si="23"/>
        <v>-2.9589013256682875</v>
      </c>
      <c r="AK45" s="275">
        <f t="shared" si="23"/>
        <v>-3.0194439291911115</v>
      </c>
      <c r="AL45" s="275">
        <f t="shared" si="23"/>
        <v>-3.1012713913511116</v>
      </c>
      <c r="AM45" s="275">
        <f t="shared" si="23"/>
        <v>-3.3879384909066665</v>
      </c>
      <c r="AN45" s="275">
        <f t="shared" si="23"/>
        <v>-3.2062956047999998</v>
      </c>
      <c r="AO45" s="275" t="e">
        <f t="shared" si="23"/>
        <v>#VALUE!</v>
      </c>
      <c r="AP45" s="275" t="e">
        <f t="shared" si="23"/>
        <v>#VALUE!</v>
      </c>
      <c r="AQ45" s="275" t="e">
        <f t="shared" si="23"/>
        <v>#VALUE!</v>
      </c>
      <c r="AR45" s="275">
        <f t="shared" ref="AR45:BC45" si="24">SUM(AR46:AR49)</f>
        <v>-5.7094445608917255</v>
      </c>
      <c r="AS45" s="275">
        <f t="shared" si="24"/>
        <v>-5.7094445608917255</v>
      </c>
      <c r="AT45" s="275">
        <f t="shared" si="24"/>
        <v>-5.7094445608917255</v>
      </c>
      <c r="AU45" s="275">
        <f t="shared" si="24"/>
        <v>-5.7094445608917255</v>
      </c>
      <c r="AV45" s="275">
        <f t="shared" si="24"/>
        <v>-5.7094445608917255</v>
      </c>
      <c r="AW45" s="275">
        <f t="shared" si="24"/>
        <v>-5.7094445608917255</v>
      </c>
      <c r="AX45" s="275">
        <f t="shared" si="24"/>
        <v>-5.7094445608917255</v>
      </c>
      <c r="AY45" s="275">
        <f t="shared" si="24"/>
        <v>-5.7094445608917255</v>
      </c>
      <c r="AZ45" s="275">
        <f t="shared" si="24"/>
        <v>-5.7094445608917255</v>
      </c>
      <c r="BA45" s="275">
        <f t="shared" si="24"/>
        <v>-5.7094445608917255</v>
      </c>
      <c r="BB45" s="275">
        <f t="shared" si="24"/>
        <v>-5.7094445608917255</v>
      </c>
      <c r="BC45" s="275">
        <f t="shared" si="24"/>
        <v>-5.7094445608917255</v>
      </c>
      <c r="BD45" s="275">
        <v>-6.3181316820281772</v>
      </c>
      <c r="BE45" s="275">
        <v>-6.3181316820281772</v>
      </c>
      <c r="BF45" s="275">
        <v>-6.3181316820281772</v>
      </c>
      <c r="BG45" s="275">
        <v>-6.3181316820281772</v>
      </c>
      <c r="BH45" s="275">
        <v>-6.3181316820281772</v>
      </c>
      <c r="BI45" s="275">
        <v>-6.3181316820281772</v>
      </c>
      <c r="BJ45" s="275">
        <v>-6.3181316820281772</v>
      </c>
      <c r="BK45" s="275">
        <v>-6.3181316820281772</v>
      </c>
      <c r="BL45" s="275">
        <v>-6.3181316820281772</v>
      </c>
      <c r="BM45" s="275">
        <v>-6.3181316820281772</v>
      </c>
      <c r="BN45" s="275">
        <v>-6.3181316820281772</v>
      </c>
      <c r="BO45" s="275">
        <v>-6.3181316820281772</v>
      </c>
      <c r="BP45" s="275">
        <v>-7.4339380165421085</v>
      </c>
      <c r="BQ45" s="275">
        <v>-7.4339380165421085</v>
      </c>
      <c r="BR45" s="275">
        <v>-7.4339380165421085</v>
      </c>
      <c r="BS45" s="275">
        <v>-7.4339380165421085</v>
      </c>
      <c r="BT45" s="275">
        <v>-7.4339380165421085</v>
      </c>
      <c r="BU45" s="275">
        <v>-7.4339380165421085</v>
      </c>
      <c r="BV45" s="275">
        <v>-7.4339380165421085</v>
      </c>
      <c r="BW45" s="275">
        <v>-7.4339380165421085</v>
      </c>
      <c r="BX45" s="275">
        <v>-7.4339380165421085</v>
      </c>
      <c r="BY45" s="275">
        <v>-7.4339380165421085</v>
      </c>
      <c r="BZ45" s="275">
        <v>-7.4339380165421085</v>
      </c>
      <c r="CA45" s="275">
        <v>-7.4339380165421085</v>
      </c>
      <c r="CB45" s="275">
        <v>-8.8689096511371943</v>
      </c>
      <c r="CC45" s="275">
        <v>-8.8689096511371943</v>
      </c>
      <c r="CD45" s="275">
        <v>-8.8689096511371943</v>
      </c>
      <c r="CE45" s="275">
        <v>-8.8689096511371943</v>
      </c>
      <c r="CF45" s="275">
        <v>-8.8689096511371943</v>
      </c>
      <c r="CG45" s="275">
        <v>-8.8689096511371943</v>
      </c>
      <c r="CH45" s="275">
        <v>-8.8689096511371943</v>
      </c>
      <c r="CI45" s="275">
        <v>-8.8689096511371943</v>
      </c>
      <c r="CJ45" s="275">
        <v>-8.8689096511371943</v>
      </c>
      <c r="CK45" s="275">
        <v>-8.8689096511371943</v>
      </c>
      <c r="CL45" s="275">
        <v>-8.8689096511371943</v>
      </c>
      <c r="CM45" s="275">
        <v>-8.8689096511371943</v>
      </c>
      <c r="CN45" s="275">
        <v>-8.8689096511371943</v>
      </c>
      <c r="CO45" s="275">
        <v>-8.8689096511371943</v>
      </c>
      <c r="CP45" s="275">
        <v>-8.8689096511371943</v>
      </c>
      <c r="CQ45" s="275">
        <v>-8.8689096511371943</v>
      </c>
      <c r="CR45" s="275">
        <v>-8.8689096511371943</v>
      </c>
      <c r="CS45" s="275">
        <v>-8.8689096511371943</v>
      </c>
      <c r="CT45" s="275">
        <v>-8.8689096511371943</v>
      </c>
      <c r="CU45" s="275">
        <v>-8.8689096511371943</v>
      </c>
      <c r="CV45" s="275">
        <v>-8.8689096511371943</v>
      </c>
      <c r="CW45" s="275">
        <v>-8.8689096511371943</v>
      </c>
      <c r="CX45" s="275">
        <v>-8.8689096511371943</v>
      </c>
      <c r="CY45" s="275">
        <v>-8.8689096511371943</v>
      </c>
    </row>
    <row r="46" spans="1:103">
      <c r="A46" s="230"/>
      <c r="B46" s="230"/>
      <c r="C46" s="230"/>
      <c r="D46" s="230" t="s">
        <v>301</v>
      </c>
      <c r="E46" s="203"/>
      <c r="F46" s="232"/>
      <c r="G46" s="232" t="s">
        <v>736</v>
      </c>
      <c r="H46" s="232"/>
      <c r="I46" s="232"/>
      <c r="J46" s="232"/>
      <c r="K46" s="232"/>
      <c r="L46" s="230"/>
      <c r="M46" s="230"/>
      <c r="N46" s="230"/>
      <c r="O46" s="230"/>
      <c r="P46" s="230"/>
      <c r="Q46" s="230"/>
      <c r="R46" s="230"/>
      <c r="S46" s="230"/>
      <c r="T46" s="275"/>
      <c r="U46" s="275"/>
      <c r="V46" s="275"/>
      <c r="W46" s="275"/>
      <c r="X46" s="275"/>
      <c r="Y46" s="275"/>
      <c r="Z46" s="275"/>
      <c r="AA46" s="275"/>
      <c r="AB46" s="275"/>
      <c r="AC46" s="275"/>
      <c r="AD46" s="589">
        <v>-1.9655739361816216</v>
      </c>
      <c r="AE46" s="589">
        <v>-5.3794011746034185</v>
      </c>
      <c r="AF46" s="603">
        <v>-2.0001643048000002</v>
      </c>
      <c r="AG46" s="603">
        <v>-2.0840702719999999</v>
      </c>
      <c r="AH46" s="603">
        <v>-2.0535608928000002</v>
      </c>
      <c r="AI46" s="603">
        <v>-2.1530207648000004</v>
      </c>
      <c r="AJ46" s="603">
        <v>-1.8045509280000001</v>
      </c>
      <c r="AK46" s="603">
        <v>-1.7473088296000001</v>
      </c>
      <c r="AL46" s="603">
        <v>-1.7874422248000001</v>
      </c>
      <c r="AM46" s="604">
        <v>-2.1063550704000003</v>
      </c>
      <c r="AN46" s="594">
        <v>-1.907238752</v>
      </c>
      <c r="AO46" s="605">
        <v>7.5416193040965841E-3</v>
      </c>
      <c r="AP46" s="605">
        <v>7.5416193040965841E-3</v>
      </c>
      <c r="AQ46" s="605">
        <v>7.5416193040965841E-3</v>
      </c>
      <c r="AR46" s="832">
        <v>-3.5875054886460718</v>
      </c>
      <c r="AS46" s="605">
        <v>-3.5875054886460718</v>
      </c>
      <c r="AT46" s="605">
        <v>-3.5875054886460718</v>
      </c>
      <c r="AU46" s="605">
        <v>-3.5875054886460718</v>
      </c>
      <c r="AV46" s="605">
        <v>-3.5875054886460718</v>
      </c>
      <c r="AW46" s="605">
        <v>-3.5875054886460718</v>
      </c>
      <c r="AX46" s="605">
        <v>-3.5875054886460718</v>
      </c>
      <c r="AY46" s="605">
        <v>-3.5875054886460718</v>
      </c>
      <c r="AZ46" s="605">
        <v>-3.5875054886460718</v>
      </c>
      <c r="BA46" s="605">
        <v>-3.5875054886460718</v>
      </c>
      <c r="BB46" s="605">
        <v>-3.5875054886460718</v>
      </c>
      <c r="BC46" s="605">
        <v>-3.5875054886460718</v>
      </c>
      <c r="BD46" s="605">
        <v>-4.0878457039515963</v>
      </c>
      <c r="BE46" s="605">
        <v>-4.0878457039515963</v>
      </c>
      <c r="BF46" s="605">
        <v>-4.0878457039515963</v>
      </c>
      <c r="BG46" s="605">
        <v>-4.0878457039515963</v>
      </c>
      <c r="BH46" s="605">
        <v>-4.0878457039515963</v>
      </c>
      <c r="BI46" s="605">
        <v>-4.0878457039515963</v>
      </c>
      <c r="BJ46" s="605">
        <v>-4.0878457039515963</v>
      </c>
      <c r="BK46" s="605">
        <v>-4.0878457039515963</v>
      </c>
      <c r="BL46" s="605">
        <v>-4.0878457039515963</v>
      </c>
      <c r="BM46" s="605">
        <v>-4.0878457039515963</v>
      </c>
      <c r="BN46" s="605">
        <v>-4.0878457039515963</v>
      </c>
      <c r="BO46" s="605">
        <v>-4.0878457039515963</v>
      </c>
      <c r="BP46" s="605">
        <v>-4.905414844741915</v>
      </c>
      <c r="BQ46" s="605">
        <v>-4.905414844741915</v>
      </c>
      <c r="BR46" s="605">
        <v>-4.905414844741915</v>
      </c>
      <c r="BS46" s="605">
        <v>-4.905414844741915</v>
      </c>
      <c r="BT46" s="605">
        <v>-4.905414844741915</v>
      </c>
      <c r="BU46" s="605">
        <v>-4.905414844741915</v>
      </c>
      <c r="BV46" s="605">
        <v>-4.905414844741915</v>
      </c>
      <c r="BW46" s="605">
        <v>-4.905414844741915</v>
      </c>
      <c r="BX46" s="605">
        <v>-4.905414844741915</v>
      </c>
      <c r="BY46" s="605">
        <v>-4.905414844741915</v>
      </c>
      <c r="BZ46" s="605">
        <v>-4.905414844741915</v>
      </c>
      <c r="CA46" s="605">
        <v>-4.905414844741915</v>
      </c>
      <c r="CB46" s="605">
        <v>-5.8864978136902986</v>
      </c>
      <c r="CC46" s="605">
        <v>-5.8864978136902986</v>
      </c>
      <c r="CD46" s="605">
        <v>-5.8864978136902986</v>
      </c>
      <c r="CE46" s="605">
        <v>-5.8864978136902986</v>
      </c>
      <c r="CF46" s="605">
        <v>-5.8864978136902986</v>
      </c>
      <c r="CG46" s="605">
        <v>-5.8864978136902986</v>
      </c>
      <c r="CH46" s="605">
        <v>-5.8864978136902986</v>
      </c>
      <c r="CI46" s="605">
        <v>-5.8864978136902986</v>
      </c>
      <c r="CJ46" s="605">
        <v>-5.8864978136902986</v>
      </c>
      <c r="CK46" s="605">
        <v>-5.8864978136902986</v>
      </c>
      <c r="CL46" s="605">
        <v>-5.8864978136902986</v>
      </c>
      <c r="CM46" s="605">
        <v>-5.8864978136902986</v>
      </c>
      <c r="CN46" s="605">
        <v>-5.8864978136902986</v>
      </c>
      <c r="CO46" s="605">
        <v>-5.8864978136902986</v>
      </c>
      <c r="CP46" s="605">
        <v>-5.8864978136902986</v>
      </c>
      <c r="CQ46" s="605">
        <v>-5.8864978136902986</v>
      </c>
      <c r="CR46" s="605">
        <v>-5.8864978136902986</v>
      </c>
      <c r="CS46" s="605">
        <v>-5.8864978136902986</v>
      </c>
      <c r="CT46" s="605">
        <v>-5.8864978136902986</v>
      </c>
      <c r="CU46" s="605">
        <v>-5.8864978136902986</v>
      </c>
      <c r="CV46" s="605">
        <v>-5.8864978136902986</v>
      </c>
      <c r="CW46" s="605">
        <v>-5.8864978136902986</v>
      </c>
      <c r="CX46" s="605">
        <v>-5.8864978136902986</v>
      </c>
      <c r="CY46" s="605">
        <v>-5.8864978136902986</v>
      </c>
    </row>
    <row r="47" spans="1:103">
      <c r="A47" s="230"/>
      <c r="B47" s="230"/>
      <c r="C47" s="230"/>
      <c r="D47" s="230" t="s">
        <v>303</v>
      </c>
      <c r="E47" s="203"/>
      <c r="F47" s="232"/>
      <c r="G47" s="232" t="s">
        <v>736</v>
      </c>
      <c r="H47" s="232"/>
      <c r="I47" s="232"/>
      <c r="J47" s="232"/>
      <c r="K47" s="232"/>
      <c r="L47" s="230"/>
      <c r="M47" s="230"/>
      <c r="N47" s="230"/>
      <c r="O47" s="230"/>
      <c r="P47" s="230"/>
      <c r="Q47" s="230"/>
      <c r="R47" s="230"/>
      <c r="S47" s="230"/>
      <c r="T47" s="275"/>
      <c r="U47" s="275"/>
      <c r="V47" s="275"/>
      <c r="W47" s="275"/>
      <c r="X47" s="275"/>
      <c r="Y47" s="275"/>
      <c r="Z47" s="275"/>
      <c r="AA47" s="275"/>
      <c r="AB47" s="275"/>
      <c r="AC47" s="275"/>
      <c r="AD47" s="589">
        <v>-0.51810697536785011</v>
      </c>
      <c r="AE47" s="589">
        <v>-0.79724225715090136</v>
      </c>
      <c r="AF47" s="603">
        <v>-0.34899804400000001</v>
      </c>
      <c r="AG47" s="603">
        <v>-0.36193516079999999</v>
      </c>
      <c r="AH47" s="603">
        <v>-0.37847796480000001</v>
      </c>
      <c r="AI47" s="603">
        <v>-0.37440990080000003</v>
      </c>
      <c r="AJ47" s="603">
        <v>-0.32130552880000002</v>
      </c>
      <c r="AK47" s="603">
        <v>-0.32148091600000001</v>
      </c>
      <c r="AL47" s="603">
        <v>-0.32205566720000006</v>
      </c>
      <c r="AM47" s="604">
        <v>-0.34364819840000005</v>
      </c>
      <c r="AN47" s="594">
        <v>-0.33801685279999999</v>
      </c>
      <c r="AO47" s="605">
        <v>-1.434053059748786E-2</v>
      </c>
      <c r="AP47" s="605">
        <v>-1.434053059748786E-2</v>
      </c>
      <c r="AQ47" s="605">
        <v>-1.434053059748786E-2</v>
      </c>
      <c r="AR47" s="832">
        <v>-0.56362979040625694</v>
      </c>
      <c r="AS47" s="605">
        <v>-0.56362979040625694</v>
      </c>
      <c r="AT47" s="605">
        <v>-0.56362979040625694</v>
      </c>
      <c r="AU47" s="605">
        <v>-0.56362979040625694</v>
      </c>
      <c r="AV47" s="605">
        <v>-0.56362979040625694</v>
      </c>
      <c r="AW47" s="605">
        <v>-0.56362979040625694</v>
      </c>
      <c r="AX47" s="605">
        <v>-0.56362979040625694</v>
      </c>
      <c r="AY47" s="605">
        <v>-0.56362979040625694</v>
      </c>
      <c r="AZ47" s="605">
        <v>-0.56362979040625694</v>
      </c>
      <c r="BA47" s="605">
        <v>-0.56362979040625694</v>
      </c>
      <c r="BB47" s="605">
        <v>-0.56362979040625694</v>
      </c>
      <c r="BC47" s="605">
        <v>-0.56362979040625694</v>
      </c>
      <c r="BD47" s="605">
        <v>-0.64223779576735929</v>
      </c>
      <c r="BE47" s="605">
        <v>-0.64223779576735929</v>
      </c>
      <c r="BF47" s="605">
        <v>-0.64223779576735929</v>
      </c>
      <c r="BG47" s="605">
        <v>-0.64223779576735929</v>
      </c>
      <c r="BH47" s="605">
        <v>-0.64223779576735929</v>
      </c>
      <c r="BI47" s="605">
        <v>-0.64223779576735929</v>
      </c>
      <c r="BJ47" s="605">
        <v>-0.64223779576735929</v>
      </c>
      <c r="BK47" s="605">
        <v>-0.64223779576735929</v>
      </c>
      <c r="BL47" s="605">
        <v>-0.64223779576735929</v>
      </c>
      <c r="BM47" s="605">
        <v>-0.64223779576735929</v>
      </c>
      <c r="BN47" s="605">
        <v>-0.64223779576735929</v>
      </c>
      <c r="BO47" s="605">
        <v>-0.64223779576735929</v>
      </c>
      <c r="BP47" s="605">
        <v>-0.77068535492083112</v>
      </c>
      <c r="BQ47" s="605">
        <v>-0.77068535492083112</v>
      </c>
      <c r="BR47" s="605">
        <v>-0.77068535492083112</v>
      </c>
      <c r="BS47" s="605">
        <v>-0.77068535492083112</v>
      </c>
      <c r="BT47" s="605">
        <v>-0.77068535492083112</v>
      </c>
      <c r="BU47" s="605">
        <v>-0.77068535492083112</v>
      </c>
      <c r="BV47" s="605">
        <v>-0.77068535492083112</v>
      </c>
      <c r="BW47" s="605">
        <v>-0.77068535492083112</v>
      </c>
      <c r="BX47" s="605">
        <v>-0.77068535492083112</v>
      </c>
      <c r="BY47" s="605">
        <v>-0.77068535492083112</v>
      </c>
      <c r="BZ47" s="605">
        <v>-0.77068535492083112</v>
      </c>
      <c r="CA47" s="605">
        <v>-0.77068535492083112</v>
      </c>
      <c r="CB47" s="605">
        <v>-0.9248224259049973</v>
      </c>
      <c r="CC47" s="605">
        <v>-0.9248224259049973</v>
      </c>
      <c r="CD47" s="605">
        <v>-0.9248224259049973</v>
      </c>
      <c r="CE47" s="605">
        <v>-0.9248224259049973</v>
      </c>
      <c r="CF47" s="605">
        <v>-0.9248224259049973</v>
      </c>
      <c r="CG47" s="605">
        <v>-0.9248224259049973</v>
      </c>
      <c r="CH47" s="605">
        <v>-0.9248224259049973</v>
      </c>
      <c r="CI47" s="605">
        <v>-0.9248224259049973</v>
      </c>
      <c r="CJ47" s="605">
        <v>-0.9248224259049973</v>
      </c>
      <c r="CK47" s="605">
        <v>-0.9248224259049973</v>
      </c>
      <c r="CL47" s="605">
        <v>-0.9248224259049973</v>
      </c>
      <c r="CM47" s="605">
        <v>-0.9248224259049973</v>
      </c>
      <c r="CN47" s="605">
        <v>-0.9248224259049973</v>
      </c>
      <c r="CO47" s="605">
        <v>-0.9248224259049973</v>
      </c>
      <c r="CP47" s="605">
        <v>-0.9248224259049973</v>
      </c>
      <c r="CQ47" s="605">
        <v>-0.9248224259049973</v>
      </c>
      <c r="CR47" s="605">
        <v>-0.9248224259049973</v>
      </c>
      <c r="CS47" s="605">
        <v>-0.9248224259049973</v>
      </c>
      <c r="CT47" s="605">
        <v>-0.9248224259049973</v>
      </c>
      <c r="CU47" s="605">
        <v>-0.9248224259049973</v>
      </c>
      <c r="CV47" s="605">
        <v>-0.9248224259049973</v>
      </c>
      <c r="CW47" s="605">
        <v>-0.9248224259049973</v>
      </c>
      <c r="CX47" s="605">
        <v>-0.9248224259049973</v>
      </c>
      <c r="CY47" s="605">
        <v>-0.9248224259049973</v>
      </c>
    </row>
    <row r="48" spans="1:103">
      <c r="A48" s="230"/>
      <c r="B48" s="230"/>
      <c r="C48" s="230"/>
      <c r="D48" s="230" t="s">
        <v>305</v>
      </c>
      <c r="E48" s="203"/>
      <c r="F48" s="232"/>
      <c r="G48" s="232" t="s">
        <v>736</v>
      </c>
      <c r="H48" s="232"/>
      <c r="I48" s="232"/>
      <c r="J48" s="232"/>
      <c r="K48" s="232"/>
      <c r="L48" s="230"/>
      <c r="M48" s="230"/>
      <c r="N48" s="230"/>
      <c r="O48" s="230"/>
      <c r="P48" s="230"/>
      <c r="Q48" s="230"/>
      <c r="R48" s="230"/>
      <c r="S48" s="230"/>
      <c r="T48" s="275"/>
      <c r="U48" s="275"/>
      <c r="V48" s="275"/>
      <c r="W48" s="275"/>
      <c r="X48" s="275"/>
      <c r="Y48" s="275"/>
      <c r="Z48" s="275"/>
      <c r="AA48" s="275"/>
      <c r="AB48" s="275"/>
      <c r="AC48" s="275"/>
      <c r="AD48" s="589">
        <v>-0.50174628311555591</v>
      </c>
      <c r="AE48" s="589">
        <v>-0.56024938206222219</v>
      </c>
      <c r="AF48" s="603">
        <v>-0.4328511536036736</v>
      </c>
      <c r="AG48" s="603">
        <v>-0.23987006061651039</v>
      </c>
      <c r="AH48" s="603">
        <v>-0.44578695571815519</v>
      </c>
      <c r="AI48" s="603">
        <v>-0.48441389852130007</v>
      </c>
      <c r="AJ48" s="603">
        <v>-0.44544</v>
      </c>
      <c r="AK48" s="603">
        <v>-0.49008827458666643</v>
      </c>
      <c r="AL48" s="603">
        <v>-0.49343999999999999</v>
      </c>
      <c r="AM48" s="604">
        <v>-0.53955074459555519</v>
      </c>
      <c r="AN48" s="594">
        <v>-0.51576</v>
      </c>
      <c r="AO48" s="605">
        <v>0</v>
      </c>
      <c r="AP48" s="605">
        <v>0</v>
      </c>
      <c r="AQ48" s="605">
        <v>0</v>
      </c>
      <c r="AR48" s="832">
        <v>-0.69336065101855759</v>
      </c>
      <c r="AS48" s="605">
        <v>-0.69336065101855759</v>
      </c>
      <c r="AT48" s="605">
        <v>-0.69336065101855759</v>
      </c>
      <c r="AU48" s="605">
        <v>-0.69336065101855759</v>
      </c>
      <c r="AV48" s="605">
        <v>-0.69336065101855759</v>
      </c>
      <c r="AW48" s="605">
        <v>-0.69336065101855759</v>
      </c>
      <c r="AX48" s="605">
        <v>-0.69336065101855759</v>
      </c>
      <c r="AY48" s="605">
        <v>-0.69336065101855759</v>
      </c>
      <c r="AZ48" s="605">
        <v>-0.69336065101855759</v>
      </c>
      <c r="BA48" s="605">
        <v>-0.69336065101855759</v>
      </c>
      <c r="BB48" s="605">
        <v>-0.69336065101855759</v>
      </c>
      <c r="BC48" s="605">
        <v>-0.69336065101855759</v>
      </c>
      <c r="BD48" s="605">
        <v>-0.75639343747478993</v>
      </c>
      <c r="BE48" s="605">
        <v>-0.75639343747478993</v>
      </c>
      <c r="BF48" s="605">
        <v>-0.75639343747478993</v>
      </c>
      <c r="BG48" s="605">
        <v>-0.75639343747478993</v>
      </c>
      <c r="BH48" s="605">
        <v>-0.75639343747478993</v>
      </c>
      <c r="BI48" s="605">
        <v>-0.75639343747478993</v>
      </c>
      <c r="BJ48" s="605">
        <v>-0.75639343747478993</v>
      </c>
      <c r="BK48" s="605">
        <v>-0.75639343747478993</v>
      </c>
      <c r="BL48" s="605">
        <v>-0.75639343747478993</v>
      </c>
      <c r="BM48" s="605">
        <v>-0.75639343747478993</v>
      </c>
      <c r="BN48" s="605">
        <v>-0.75639343747478993</v>
      </c>
      <c r="BO48" s="605">
        <v>-0.75639343747478993</v>
      </c>
      <c r="BP48" s="605">
        <v>-0.98331146871722697</v>
      </c>
      <c r="BQ48" s="605">
        <v>-0.98331146871722697</v>
      </c>
      <c r="BR48" s="605">
        <v>-0.98331146871722697</v>
      </c>
      <c r="BS48" s="605">
        <v>-0.98331146871722697</v>
      </c>
      <c r="BT48" s="605">
        <v>-0.98331146871722697</v>
      </c>
      <c r="BU48" s="605">
        <v>-0.98331146871722697</v>
      </c>
      <c r="BV48" s="605">
        <v>-0.98331146871722697</v>
      </c>
      <c r="BW48" s="605">
        <v>-0.98331146871722697</v>
      </c>
      <c r="BX48" s="605">
        <v>-0.98331146871722697</v>
      </c>
      <c r="BY48" s="605">
        <v>-0.98331146871722697</v>
      </c>
      <c r="BZ48" s="605">
        <v>-0.98331146871722697</v>
      </c>
      <c r="CA48" s="605">
        <v>-0.98331146871722697</v>
      </c>
      <c r="CB48" s="605">
        <v>-1.1799737624606723</v>
      </c>
      <c r="CC48" s="605">
        <v>-1.1799737624606723</v>
      </c>
      <c r="CD48" s="605">
        <v>-1.1799737624606723</v>
      </c>
      <c r="CE48" s="605">
        <v>-1.1799737624606723</v>
      </c>
      <c r="CF48" s="605">
        <v>-1.1799737624606723</v>
      </c>
      <c r="CG48" s="605">
        <v>-1.1799737624606723</v>
      </c>
      <c r="CH48" s="605">
        <v>-1.1799737624606723</v>
      </c>
      <c r="CI48" s="605">
        <v>-1.1799737624606723</v>
      </c>
      <c r="CJ48" s="605">
        <v>-1.1799737624606723</v>
      </c>
      <c r="CK48" s="605">
        <v>-1.1799737624606723</v>
      </c>
      <c r="CL48" s="605">
        <v>-1.1799737624606723</v>
      </c>
      <c r="CM48" s="605">
        <v>-1.1799737624606723</v>
      </c>
      <c r="CN48" s="605">
        <v>-1.1799737624606723</v>
      </c>
      <c r="CO48" s="605">
        <v>-1.1799737624606723</v>
      </c>
      <c r="CP48" s="605">
        <v>-1.1799737624606723</v>
      </c>
      <c r="CQ48" s="605">
        <v>-1.1799737624606723</v>
      </c>
      <c r="CR48" s="605">
        <v>-1.1799737624606723</v>
      </c>
      <c r="CS48" s="605">
        <v>-1.1799737624606723</v>
      </c>
      <c r="CT48" s="605">
        <v>-1.1799737624606723</v>
      </c>
      <c r="CU48" s="605">
        <v>-1.1799737624606723</v>
      </c>
      <c r="CV48" s="605">
        <v>-1.1799737624606723</v>
      </c>
      <c r="CW48" s="605">
        <v>-1.1799737624606723</v>
      </c>
      <c r="CX48" s="605">
        <v>-1.1799737624606723</v>
      </c>
      <c r="CY48" s="605">
        <v>-1.1799737624606723</v>
      </c>
    </row>
    <row r="49" spans="1:103">
      <c r="A49" s="230"/>
      <c r="B49" s="230"/>
      <c r="C49" s="230"/>
      <c r="D49" s="230" t="s">
        <v>307</v>
      </c>
      <c r="E49" s="203"/>
      <c r="F49" s="232"/>
      <c r="G49" s="232" t="s">
        <v>736</v>
      </c>
      <c r="H49" s="232"/>
      <c r="I49" s="232"/>
      <c r="J49" s="232"/>
      <c r="K49" s="232"/>
      <c r="L49" s="230"/>
      <c r="M49" s="230"/>
      <c r="N49" s="230"/>
      <c r="O49" s="230"/>
      <c r="P49" s="230"/>
      <c r="Q49" s="230"/>
      <c r="R49" s="230"/>
      <c r="S49" s="230"/>
      <c r="T49" s="230"/>
      <c r="U49" s="230"/>
      <c r="V49" s="230"/>
      <c r="W49" s="230"/>
      <c r="X49" s="230"/>
      <c r="Y49" s="230"/>
      <c r="Z49" s="230"/>
      <c r="AA49" s="230"/>
      <c r="AB49" s="230"/>
      <c r="AC49" s="230"/>
      <c r="AD49" s="589">
        <v>-0.51776438175111095</v>
      </c>
      <c r="AE49" s="589">
        <v>-0.52153511620444337</v>
      </c>
      <c r="AF49" s="603">
        <v>-0.33815548028373921</v>
      </c>
      <c r="AG49" s="603">
        <v>-0.31537774975672722</v>
      </c>
      <c r="AH49" s="603">
        <v>-0.45567985332611449</v>
      </c>
      <c r="AI49" s="603">
        <v>-0.38914896019332562</v>
      </c>
      <c r="AJ49" s="603">
        <v>-0.38760486886828727</v>
      </c>
      <c r="AK49" s="603">
        <v>-0.46056590900444483</v>
      </c>
      <c r="AL49" s="603">
        <v>-0.49833349935111121</v>
      </c>
      <c r="AM49" s="604">
        <v>-0.39838447751111128</v>
      </c>
      <c r="AN49" s="594">
        <v>-0.44528000000000001</v>
      </c>
      <c r="AO49" s="605" t="e">
        <v>#VALUE!</v>
      </c>
      <c r="AP49" s="605" t="e">
        <v>#VALUE!</v>
      </c>
      <c r="AQ49" s="605" t="e">
        <v>#VALUE!</v>
      </c>
      <c r="AR49" s="832">
        <v>-0.86494863082083884</v>
      </c>
      <c r="AS49" s="605">
        <v>-0.86494863082083884</v>
      </c>
      <c r="AT49" s="605">
        <v>-0.86494863082083884</v>
      </c>
      <c r="AU49" s="605">
        <v>-0.86494863082083884</v>
      </c>
      <c r="AV49" s="605">
        <v>-0.86494863082083884</v>
      </c>
      <c r="AW49" s="605">
        <v>-0.86494863082083884</v>
      </c>
      <c r="AX49" s="605">
        <v>-0.86494863082083884</v>
      </c>
      <c r="AY49" s="605">
        <v>-0.86494863082083884</v>
      </c>
      <c r="AZ49" s="605">
        <v>-0.86494863082083884</v>
      </c>
      <c r="BA49" s="605">
        <v>-0.86494863082083884</v>
      </c>
      <c r="BB49" s="605">
        <v>-0.86494863082083884</v>
      </c>
      <c r="BC49" s="605">
        <v>-0.86494863082083884</v>
      </c>
      <c r="BD49" s="605">
        <v>-0.83165474483443147</v>
      </c>
      <c r="BE49" s="605">
        <v>-0.83165474483443147</v>
      </c>
      <c r="BF49" s="605">
        <v>-0.83165474483443147</v>
      </c>
      <c r="BG49" s="605">
        <v>-0.83165474483443147</v>
      </c>
      <c r="BH49" s="605">
        <v>-0.83165474483443147</v>
      </c>
      <c r="BI49" s="605">
        <v>-0.83165474483443147</v>
      </c>
      <c r="BJ49" s="605">
        <v>-0.83165474483443147</v>
      </c>
      <c r="BK49" s="605">
        <v>-0.83165474483443147</v>
      </c>
      <c r="BL49" s="605">
        <v>-0.83165474483443147</v>
      </c>
      <c r="BM49" s="605">
        <v>-0.83165474483443147</v>
      </c>
      <c r="BN49" s="605">
        <v>-0.83165474483443147</v>
      </c>
      <c r="BO49" s="605">
        <v>-0.83165474483443147</v>
      </c>
      <c r="BP49" s="605">
        <v>-0.7745263481621355</v>
      </c>
      <c r="BQ49" s="605">
        <v>-0.7745263481621355</v>
      </c>
      <c r="BR49" s="605">
        <v>-0.7745263481621355</v>
      </c>
      <c r="BS49" s="605">
        <v>-0.7745263481621355</v>
      </c>
      <c r="BT49" s="605">
        <v>-0.7745263481621355</v>
      </c>
      <c r="BU49" s="605">
        <v>-0.7745263481621355</v>
      </c>
      <c r="BV49" s="605">
        <v>-0.7745263481621355</v>
      </c>
      <c r="BW49" s="605">
        <v>-0.7745263481621355</v>
      </c>
      <c r="BX49" s="605">
        <v>-0.7745263481621355</v>
      </c>
      <c r="BY49" s="605">
        <v>-0.7745263481621355</v>
      </c>
      <c r="BZ49" s="605">
        <v>-0.7745263481621355</v>
      </c>
      <c r="CA49" s="605">
        <v>-0.7745263481621355</v>
      </c>
      <c r="CB49" s="605">
        <v>-0.87761564908122713</v>
      </c>
      <c r="CC49" s="605">
        <v>-0.87761564908122713</v>
      </c>
      <c r="CD49" s="605">
        <v>-0.87761564908122713</v>
      </c>
      <c r="CE49" s="605">
        <v>-0.87761564908122713</v>
      </c>
      <c r="CF49" s="605">
        <v>-0.87761564908122713</v>
      </c>
      <c r="CG49" s="605">
        <v>-0.87761564908122713</v>
      </c>
      <c r="CH49" s="605">
        <v>-0.87761564908122713</v>
      </c>
      <c r="CI49" s="605">
        <v>-0.87761564908122713</v>
      </c>
      <c r="CJ49" s="605">
        <v>-0.87761564908122713</v>
      </c>
      <c r="CK49" s="605">
        <v>-0.87761564908122713</v>
      </c>
      <c r="CL49" s="605">
        <v>-0.87761564908122713</v>
      </c>
      <c r="CM49" s="605">
        <v>-0.87761564908122713</v>
      </c>
      <c r="CN49" s="605">
        <v>-0.87761564908122713</v>
      </c>
      <c r="CO49" s="605">
        <v>-0.87761564908122713</v>
      </c>
      <c r="CP49" s="605">
        <v>-0.87761564908122713</v>
      </c>
      <c r="CQ49" s="605">
        <v>-0.87761564908122713</v>
      </c>
      <c r="CR49" s="605">
        <v>-0.87761564908122713</v>
      </c>
      <c r="CS49" s="605">
        <v>-0.87761564908122713</v>
      </c>
      <c r="CT49" s="605">
        <v>-0.87761564908122713</v>
      </c>
      <c r="CU49" s="605">
        <v>-0.87761564908122713</v>
      </c>
      <c r="CV49" s="605">
        <v>-0.87761564908122713</v>
      </c>
      <c r="CW49" s="605">
        <v>-0.87761564908122713</v>
      </c>
      <c r="CX49" s="605">
        <v>-0.87761564908122713</v>
      </c>
      <c r="CY49" s="605">
        <v>-0.87761564908122713</v>
      </c>
    </row>
    <row r="50" spans="1:103">
      <c r="A50" s="230"/>
      <c r="B50" s="229" t="s">
        <v>543</v>
      </c>
      <c r="C50" s="230"/>
      <c r="D50" s="230"/>
      <c r="E50" s="203"/>
      <c r="F50" s="232"/>
      <c r="G50" s="232" t="s">
        <v>736</v>
      </c>
      <c r="H50" s="232"/>
      <c r="I50" s="232"/>
      <c r="J50" s="232"/>
      <c r="K50" s="232"/>
      <c r="L50" s="230"/>
      <c r="M50" s="230"/>
      <c r="N50" s="230"/>
      <c r="O50" s="230"/>
      <c r="P50" s="230"/>
      <c r="Q50" s="230"/>
      <c r="R50" s="230"/>
      <c r="S50" s="230"/>
      <c r="T50" s="275">
        <f t="shared" ref="T50:AQ50" si="25">T12+T33+T34+T45</f>
        <v>0.93610552698806471</v>
      </c>
      <c r="U50" s="275">
        <f t="shared" si="25"/>
        <v>-1.8595734288202119</v>
      </c>
      <c r="V50" s="275">
        <f t="shared" si="25"/>
        <v>-2.3778226679463286</v>
      </c>
      <c r="W50" s="275">
        <f t="shared" si="25"/>
        <v>-2.6226849184154521</v>
      </c>
      <c r="X50" s="275">
        <f t="shared" si="25"/>
        <v>-5.0931626634246925</v>
      </c>
      <c r="Y50" s="275">
        <f t="shared" si="25"/>
        <v>-5.3834197251578306</v>
      </c>
      <c r="Z50" s="275">
        <f t="shared" si="25"/>
        <v>-3.979014129336643</v>
      </c>
      <c r="AA50" s="275">
        <f t="shared" si="25"/>
        <v>-5.5084124085688693</v>
      </c>
      <c r="AB50" s="275">
        <f t="shared" si="25"/>
        <v>-4.6780103719671233</v>
      </c>
      <c r="AC50" s="275">
        <f t="shared" si="25"/>
        <v>-6.0828106947409823</v>
      </c>
      <c r="AD50" s="275">
        <f t="shared" si="25"/>
        <v>-6.0279894561993688</v>
      </c>
      <c r="AE50" s="275">
        <f t="shared" si="25"/>
        <v>-9.5693725632279083</v>
      </c>
      <c r="AF50" s="275">
        <f t="shared" si="25"/>
        <v>-6.6007332312706239</v>
      </c>
      <c r="AG50" s="275">
        <f t="shared" si="25"/>
        <v>-7.0663421619624867</v>
      </c>
      <c r="AH50" s="275">
        <f t="shared" si="25"/>
        <v>-12.303539905644712</v>
      </c>
      <c r="AI50" s="275">
        <f t="shared" si="25"/>
        <v>-4.440713003019491</v>
      </c>
      <c r="AJ50" s="275">
        <f t="shared" si="25"/>
        <v>-2.9316736541173527</v>
      </c>
      <c r="AK50" s="275">
        <f t="shared" si="25"/>
        <v>-8.9729695259375717</v>
      </c>
      <c r="AL50" s="275">
        <f t="shared" si="25"/>
        <v>-8.2080253017517499</v>
      </c>
      <c r="AM50" s="275">
        <f t="shared" si="25"/>
        <v>-7.5926478104089101</v>
      </c>
      <c r="AN50" s="275">
        <f t="shared" si="25"/>
        <v>-3.1218289165541648</v>
      </c>
      <c r="AO50" s="275" t="e">
        <f t="shared" si="25"/>
        <v>#VALUE!</v>
      </c>
      <c r="AP50" s="275" t="e">
        <f t="shared" si="25"/>
        <v>#VALUE!</v>
      </c>
      <c r="AQ50" s="275" t="e">
        <f t="shared" si="25"/>
        <v>#VALUE!</v>
      </c>
      <c r="AR50" s="275">
        <f t="shared" ref="AR50:BC50" si="26">AR12+AR33+AR34+AR45</f>
        <v>-20.213853320394698</v>
      </c>
      <c r="AS50" s="275">
        <f t="shared" si="26"/>
        <v>-1.9051948247038668</v>
      </c>
      <c r="AT50" s="275">
        <f t="shared" si="26"/>
        <v>-2.7658440309577808</v>
      </c>
      <c r="AU50" s="275">
        <f t="shared" si="26"/>
        <v>-3.7832201320261749</v>
      </c>
      <c r="AV50" s="275">
        <f t="shared" si="26"/>
        <v>-3.2372288128466482</v>
      </c>
      <c r="AW50" s="275">
        <f t="shared" si="26"/>
        <v>-2.2555531175952739</v>
      </c>
      <c r="AX50" s="275">
        <f t="shared" si="26"/>
        <v>-1.8151964795183768</v>
      </c>
      <c r="AY50" s="275">
        <f t="shared" si="26"/>
        <v>-0.83474315713907821</v>
      </c>
      <c r="AZ50" s="275">
        <f t="shared" si="26"/>
        <v>1.5220835779368063</v>
      </c>
      <c r="BA50" s="275">
        <f t="shared" si="26"/>
        <v>4.9738255326450265E-2</v>
      </c>
      <c r="BB50" s="275">
        <f t="shared" si="26"/>
        <v>7.2671056044822713E-2</v>
      </c>
      <c r="BC50" s="275">
        <f t="shared" si="26"/>
        <v>0.77537608725052731</v>
      </c>
      <c r="BD50" s="275">
        <v>1.3565708517889874</v>
      </c>
      <c r="BE50" s="275">
        <v>1.0477759036409564</v>
      </c>
      <c r="BF50" s="275">
        <v>1.3166903093160878</v>
      </c>
      <c r="BG50" s="275">
        <v>0.5633407845941667</v>
      </c>
      <c r="BH50" s="275">
        <v>0.87780734467121313</v>
      </c>
      <c r="BI50" s="275">
        <v>0.97629685152785051</v>
      </c>
      <c r="BJ50" s="275">
        <v>1.1101988895317154</v>
      </c>
      <c r="BK50" s="275">
        <v>1.1797841094521608</v>
      </c>
      <c r="BL50" s="275">
        <v>1.3098242422914899</v>
      </c>
      <c r="BM50" s="275">
        <v>1.3991405487910438</v>
      </c>
      <c r="BN50" s="275">
        <v>1.6374538477644629</v>
      </c>
      <c r="BO50" s="275">
        <v>2.3730407303304588</v>
      </c>
      <c r="BP50" s="275">
        <v>2.3244108731864115</v>
      </c>
      <c r="BQ50" s="275">
        <v>2.5393187819818897</v>
      </c>
      <c r="BR50" s="275">
        <v>3.3202758873561455</v>
      </c>
      <c r="BS50" s="275">
        <v>3.5096962311667772</v>
      </c>
      <c r="BT50" s="275">
        <v>4.5760158309556394</v>
      </c>
      <c r="BU50" s="275">
        <v>5.4294795350968181</v>
      </c>
      <c r="BV50" s="275">
        <v>6.2134834196153532</v>
      </c>
      <c r="BW50" s="275">
        <v>6.1658842281323443</v>
      </c>
      <c r="BX50" s="275">
        <v>6.6908318248526397</v>
      </c>
      <c r="BY50" s="275">
        <v>7.1502125754817873</v>
      </c>
      <c r="BZ50" s="275">
        <v>7.7163992946913984</v>
      </c>
      <c r="CA50" s="275">
        <v>8.7025895568408629</v>
      </c>
      <c r="CB50" s="275">
        <v>7.5957823030165912</v>
      </c>
      <c r="CC50" s="275">
        <v>8.1270179699420737</v>
      </c>
      <c r="CD50" s="275">
        <v>8.7988658199661813</v>
      </c>
      <c r="CE50" s="275">
        <v>9.3370142404963232</v>
      </c>
      <c r="CF50" s="275">
        <v>10.161412081345475</v>
      </c>
      <c r="CG50" s="275">
        <v>10.922575897760517</v>
      </c>
      <c r="CH50" s="275">
        <v>11.669095171451687</v>
      </c>
      <c r="CI50" s="275">
        <v>12.574807901207549</v>
      </c>
      <c r="CJ50" s="275">
        <v>13.413160288227882</v>
      </c>
      <c r="CK50" s="275">
        <v>13.875464552501775</v>
      </c>
      <c r="CL50" s="275">
        <v>14.718543910013505</v>
      </c>
      <c r="CM50" s="275">
        <v>15.834014815188453</v>
      </c>
      <c r="CN50" s="275">
        <v>16.109013875106804</v>
      </c>
      <c r="CO50" s="275">
        <v>16.930262735566345</v>
      </c>
      <c r="CP50" s="275">
        <v>17.754133373248308</v>
      </c>
      <c r="CQ50" s="275">
        <v>18.589246187063207</v>
      </c>
      <c r="CR50" s="275">
        <v>19.435534273952019</v>
      </c>
      <c r="CS50" s="275">
        <v>20.292957111437239</v>
      </c>
      <c r="CT50" s="275">
        <v>21.161487242073285</v>
      </c>
      <c r="CU50" s="275">
        <v>22.041305350090106</v>
      </c>
      <c r="CV50" s="275">
        <v>22.932809480652345</v>
      </c>
      <c r="CW50" s="275">
        <v>23.836165635050641</v>
      </c>
      <c r="CX50" s="275">
        <v>24.751427289753593</v>
      </c>
      <c r="CY50" s="275">
        <v>25.678587534562681</v>
      </c>
    </row>
    <row r="51" spans="1:103">
      <c r="A51" s="230"/>
      <c r="B51" s="230"/>
      <c r="C51" s="230" t="s">
        <v>423</v>
      </c>
      <c r="D51" s="229"/>
      <c r="E51" s="203"/>
      <c r="F51" s="232"/>
      <c r="G51" s="232" t="s">
        <v>736</v>
      </c>
      <c r="H51" s="232"/>
      <c r="I51" s="232"/>
      <c r="J51" s="232"/>
      <c r="K51" s="232"/>
      <c r="L51" s="230"/>
      <c r="M51" s="230"/>
      <c r="N51" s="230"/>
      <c r="O51" s="230"/>
      <c r="P51" s="230"/>
      <c r="Q51" s="230"/>
      <c r="R51" s="230"/>
      <c r="S51" s="230"/>
      <c r="T51" s="275"/>
      <c r="U51" s="275"/>
      <c r="V51" s="275"/>
      <c r="W51" s="275"/>
      <c r="X51" s="275"/>
      <c r="Y51" s="275"/>
      <c r="Z51" s="275"/>
      <c r="AA51" s="275"/>
      <c r="AB51" s="275"/>
      <c r="AC51" s="275"/>
      <c r="AD51" s="275"/>
      <c r="AE51" s="275"/>
      <c r="AF51" s="603">
        <v>77.071473706000006</v>
      </c>
      <c r="AG51" s="603">
        <v>82.098068663000006</v>
      </c>
      <c r="AH51" s="603">
        <v>87.786001701000004</v>
      </c>
      <c r="AI51" s="603">
        <v>92.827885007999996</v>
      </c>
      <c r="AJ51" s="603">
        <v>98.855191719000004</v>
      </c>
      <c r="AK51" s="603">
        <v>42.790637271999998</v>
      </c>
      <c r="AL51" s="603">
        <v>51.092961533</v>
      </c>
      <c r="AM51" s="603">
        <v>60.032636895000003</v>
      </c>
      <c r="AN51" s="253" t="e">
        <f t="shared" ref="AN51:AQ52" si="27">AN103+AN156</f>
        <v>#N/A</v>
      </c>
      <c r="AO51" s="253" t="e">
        <f t="shared" si="27"/>
        <v>#N/A</v>
      </c>
      <c r="AP51" s="253" t="e">
        <f t="shared" si="27"/>
        <v>#N/A</v>
      </c>
      <c r="AQ51" s="253" t="e">
        <f t="shared" si="27"/>
        <v>#N/A</v>
      </c>
      <c r="AR51" s="253">
        <v>41.407565368713193</v>
      </c>
      <c r="AS51" s="253">
        <v>45.901497225496357</v>
      </c>
      <c r="AT51" s="253">
        <v>50.15807429720202</v>
      </c>
      <c r="AU51" s="253">
        <v>52.653867900666057</v>
      </c>
      <c r="AV51" s="253">
        <v>52.822794014099358</v>
      </c>
      <c r="AW51" s="253">
        <v>53.045295811471277</v>
      </c>
      <c r="AX51" s="253">
        <v>52.736527189886957</v>
      </c>
      <c r="AY51" s="253">
        <v>53.328684882579154</v>
      </c>
      <c r="AZ51" s="253">
        <v>54.855460281576654</v>
      </c>
      <c r="BA51" s="253">
        <v>57.316324133463418</v>
      </c>
      <c r="BB51" s="253">
        <v>59.196497344358363</v>
      </c>
      <c r="BC51" s="253">
        <v>61.238874572666518</v>
      </c>
      <c r="BD51" s="253">
        <v>63.37218944540119</v>
      </c>
      <c r="BE51" s="253">
        <v>65.596270620277807</v>
      </c>
      <c r="BF51" s="253">
        <v>68.454758019996035</v>
      </c>
      <c r="BG51" s="253">
        <v>71.119024950083713</v>
      </c>
      <c r="BH51" s="253">
        <v>73.540279587234451</v>
      </c>
      <c r="BI51" s="253">
        <v>75.674172978109425</v>
      </c>
      <c r="BJ51" s="253">
        <v>77.511551975200589</v>
      </c>
      <c r="BK51" s="253">
        <v>79.284389696105876</v>
      </c>
      <c r="BL51" s="253">
        <v>81.054783556030827</v>
      </c>
      <c r="BM51" s="253">
        <v>82.886486859767587</v>
      </c>
      <c r="BN51" s="253">
        <v>84.810469810267961</v>
      </c>
      <c r="BO51" s="253">
        <v>86.844257256875522</v>
      </c>
      <c r="BP51" s="253">
        <v>88.992466590873477</v>
      </c>
      <c r="BQ51" s="253">
        <v>91.253047918654303</v>
      </c>
      <c r="BR51" s="253">
        <v>93.620451577470277</v>
      </c>
      <c r="BS51" s="253">
        <v>96.087483560294402</v>
      </c>
      <c r="BT51" s="253">
        <v>98.670345716287812</v>
      </c>
      <c r="BU51" s="253">
        <v>101.36367705243103</v>
      </c>
      <c r="BV51" s="253">
        <v>104.1531424569045</v>
      </c>
      <c r="BW51" s="253">
        <v>107.02079674552257</v>
      </c>
      <c r="BX51" s="253">
        <v>109.92538993709211</v>
      </c>
      <c r="BY51" s="253">
        <v>112.8477941288715</v>
      </c>
      <c r="BZ51" s="253">
        <v>115.7794959955296</v>
      </c>
      <c r="CA51" s="253">
        <v>118.71713526913743</v>
      </c>
      <c r="CB51" s="253">
        <v>121.65981475255262</v>
      </c>
      <c r="CC51" s="253">
        <v>124.60791569289002</v>
      </c>
      <c r="CD51" s="253">
        <v>127.56238310826383</v>
      </c>
      <c r="CE51" s="253">
        <v>130.52432354304733</v>
      </c>
      <c r="CF51" s="253">
        <v>133.49479136799479</v>
      </c>
      <c r="CG51" s="253">
        <v>136.47455030159784</v>
      </c>
      <c r="CH51" s="253">
        <v>139.46410161010925</v>
      </c>
      <c r="CI51" s="253">
        <v>142.46376561104989</v>
      </c>
      <c r="CJ51" s="253">
        <v>145.47375402030787</v>
      </c>
      <c r="CK51" s="253">
        <v>148.49422059006059</v>
      </c>
      <c r="CL51" s="253">
        <v>151.52529345272842</v>
      </c>
      <c r="CM51" s="253">
        <v>154.56709402922974</v>
      </c>
      <c r="CN51" s="253">
        <v>157.61974692174041</v>
      </c>
      <c r="CO51" s="253">
        <v>160.6833841614588</v>
      </c>
      <c r="CP51" s="253">
        <v>163.75814540982313</v>
      </c>
      <c r="CQ51" s="253">
        <v>166.84417643660376</v>
      </c>
      <c r="CR51" s="253">
        <v>169.94079098778059</v>
      </c>
      <c r="CS51" s="253">
        <v>173.04690410726141</v>
      </c>
      <c r="CT51" s="253">
        <v>176.16124445253593</v>
      </c>
      <c r="CU51" s="253">
        <v>179.28245947193335</v>
      </c>
      <c r="CV51" s="253">
        <v>182.41000394796959</v>
      </c>
      <c r="CW51" s="253">
        <v>185.54373108839582</v>
      </c>
      <c r="CX51" s="253">
        <v>188.68369194369703</v>
      </c>
      <c r="CY51" s="253">
        <v>191.83003580700131</v>
      </c>
    </row>
    <row r="52" spans="1:103">
      <c r="A52" s="230"/>
      <c r="B52" s="230"/>
      <c r="C52" s="230" t="s">
        <v>810</v>
      </c>
      <c r="D52" s="229"/>
      <c r="E52" s="203"/>
      <c r="F52" s="232"/>
      <c r="G52" s="232" t="s">
        <v>736</v>
      </c>
      <c r="H52" s="232"/>
      <c r="I52" s="232"/>
      <c r="J52" s="232"/>
      <c r="K52" s="232"/>
      <c r="L52" s="230"/>
      <c r="M52" s="230"/>
      <c r="N52" s="230"/>
      <c r="O52" s="230"/>
      <c r="P52" s="230"/>
      <c r="Q52" s="230"/>
      <c r="R52" s="230"/>
      <c r="S52" s="230"/>
      <c r="T52" s="275"/>
      <c r="U52" s="275"/>
      <c r="V52" s="275"/>
      <c r="W52" s="275"/>
      <c r="X52" s="275"/>
      <c r="Y52" s="275"/>
      <c r="Z52" s="275"/>
      <c r="AA52" s="275"/>
      <c r="AB52" s="275"/>
      <c r="AC52" s="275"/>
      <c r="AD52" s="275"/>
      <c r="AE52" s="275"/>
      <c r="AF52" s="603">
        <v>94.728724468999999</v>
      </c>
      <c r="AG52" s="603">
        <v>102.660204318</v>
      </c>
      <c r="AH52" s="603">
        <v>108.27792666800001</v>
      </c>
      <c r="AI52" s="603">
        <v>117.32543262599999</v>
      </c>
      <c r="AJ52" s="603">
        <v>126.78232063900001</v>
      </c>
      <c r="AK52" s="603">
        <v>71.903654935000006</v>
      </c>
      <c r="AL52" s="603">
        <v>81.514557624999995</v>
      </c>
      <c r="AM52" s="603">
        <v>92.067841970000003</v>
      </c>
      <c r="AN52" s="253" t="e">
        <f t="shared" si="27"/>
        <v>#N/A</v>
      </c>
      <c r="AO52" s="253" t="e">
        <f t="shared" si="27"/>
        <v>#N/A</v>
      </c>
      <c r="AP52" s="253" t="e">
        <f t="shared" si="27"/>
        <v>#N/A</v>
      </c>
      <c r="AQ52" s="253" t="e">
        <f t="shared" si="27"/>
        <v>#N/A</v>
      </c>
      <c r="AR52" s="253">
        <v>87.349862145998117</v>
      </c>
      <c r="AS52" s="253">
        <v>93.332809656895165</v>
      </c>
      <c r="AT52" s="253">
        <v>98.131617605454167</v>
      </c>
      <c r="AU52" s="253">
        <v>101.03386191653506</v>
      </c>
      <c r="AV52" s="253">
        <v>102.61617104496052</v>
      </c>
      <c r="AW52" s="253">
        <v>105.08028011767745</v>
      </c>
      <c r="AX52" s="253">
        <v>106.97642203102531</v>
      </c>
      <c r="AY52" s="253">
        <v>109.15301350207316</v>
      </c>
      <c r="AZ52" s="253">
        <v>112.51387322428137</v>
      </c>
      <c r="BA52" s="253">
        <v>116.92787002612926</v>
      </c>
      <c r="BB52" s="253">
        <v>121.3973124894234</v>
      </c>
      <c r="BC52" s="253">
        <v>126.05848499644179</v>
      </c>
      <c r="BD52" s="253">
        <v>130.58610518735182</v>
      </c>
      <c r="BE52" s="253">
        <v>134.79869604744778</v>
      </c>
      <c r="BF52" s="253">
        <v>139.31892391261354</v>
      </c>
      <c r="BG52" s="253">
        <v>143.56159043906848</v>
      </c>
      <c r="BH52" s="253">
        <v>147.54202218680976</v>
      </c>
      <c r="BI52" s="253">
        <v>151.2826720191153</v>
      </c>
      <c r="BJ52" s="253">
        <v>154.80734122230379</v>
      </c>
      <c r="BK52" s="253">
        <v>158.36674533860179</v>
      </c>
      <c r="BL52" s="253">
        <v>162.02995545228333</v>
      </c>
      <c r="BM52" s="253">
        <v>165.8593508801568</v>
      </c>
      <c r="BN52" s="253">
        <v>169.88066817673825</v>
      </c>
      <c r="BO52" s="253">
        <v>174.1043220763836</v>
      </c>
      <c r="BP52" s="253">
        <v>178.52874850148001</v>
      </c>
      <c r="BQ52" s="253">
        <v>183.1833831780113</v>
      </c>
      <c r="BR52" s="253">
        <v>188.04583735344627</v>
      </c>
      <c r="BS52" s="253">
        <v>193.08776846668843</v>
      </c>
      <c r="BT52" s="253">
        <v>198.28183429332987</v>
      </c>
      <c r="BU52" s="253">
        <v>203.60237875254305</v>
      </c>
      <c r="BV52" s="253">
        <v>209.02594613755033</v>
      </c>
      <c r="BW52" s="253">
        <v>214.53090055717686</v>
      </c>
      <c r="BX52" s="253">
        <v>220.0749027823083</v>
      </c>
      <c r="BY52" s="253">
        <v>225.63894931197532</v>
      </c>
      <c r="BZ52" s="253">
        <v>231.21541194993432</v>
      </c>
      <c r="CA52" s="253">
        <v>236.80205385121158</v>
      </c>
      <c r="CB52" s="253">
        <v>242.39906528728724</v>
      </c>
      <c r="CC52" s="253">
        <v>248.00761742296962</v>
      </c>
      <c r="CD52" s="253">
        <v>253.62917189034397</v>
      </c>
      <c r="CE52" s="253">
        <v>259.26516175690205</v>
      </c>
      <c r="CF52" s="253">
        <v>264.91685279975934</v>
      </c>
      <c r="CG52" s="253">
        <v>270.58515785143624</v>
      </c>
      <c r="CH52" s="253">
        <v>276.27069813635194</v>
      </c>
      <c r="CI52" s="253">
        <v>281.97390523813294</v>
      </c>
      <c r="CJ52" s="253">
        <v>287.69510452872623</v>
      </c>
      <c r="CK52" s="253">
        <v>293.43457071190988</v>
      </c>
      <c r="CL52" s="253">
        <v>299.19256063866391</v>
      </c>
      <c r="CM52" s="253">
        <v>304.96933075688605</v>
      </c>
      <c r="CN52" s="253">
        <v>310.76514514046795</v>
      </c>
      <c r="CO52" s="253">
        <v>316.57913813699366</v>
      </c>
      <c r="CP52" s="253">
        <v>322.41015701446037</v>
      </c>
      <c r="CQ52" s="253">
        <v>328.256964668796</v>
      </c>
      <c r="CR52" s="253">
        <v>334.11830301166276</v>
      </c>
      <c r="CS52" s="253">
        <v>339.9929154844657</v>
      </c>
      <c r="CT52" s="253">
        <v>345.87955795432305</v>
      </c>
      <c r="CU52" s="253">
        <v>351.7770038864071</v>
      </c>
      <c r="CV52" s="253">
        <v>357.68488303041727</v>
      </c>
      <c r="CW52" s="253">
        <v>363.60324759393677</v>
      </c>
      <c r="CX52" s="253">
        <v>369.53235084200264</v>
      </c>
      <c r="CY52" s="253">
        <v>375.47253507918009</v>
      </c>
    </row>
    <row r="53" spans="1:103">
      <c r="A53" s="251"/>
      <c r="B53" s="229" t="s">
        <v>811</v>
      </c>
      <c r="C53" s="229"/>
      <c r="D53" s="229"/>
      <c r="E53" s="203"/>
      <c r="F53" s="232"/>
      <c r="G53" s="232" t="s">
        <v>812</v>
      </c>
      <c r="H53" s="606"/>
      <c r="I53" s="606"/>
      <c r="J53" s="606"/>
      <c r="K53" s="606"/>
      <c r="L53" s="251"/>
      <c r="M53" s="251"/>
      <c r="N53" s="251"/>
      <c r="O53" s="251"/>
      <c r="P53" s="251"/>
      <c r="Q53" s="251">
        <f>SUM('BG 2025 CC_PL'!AR279:AR280)</f>
        <v>0.4469903999999999</v>
      </c>
      <c r="R53" s="251"/>
      <c r="S53" s="251"/>
      <c r="T53" s="235"/>
      <c r="U53" s="235"/>
      <c r="V53" s="235"/>
      <c r="W53" s="235"/>
      <c r="X53" s="235"/>
      <c r="Y53" s="235"/>
      <c r="Z53" s="235"/>
      <c r="AA53" s="235"/>
      <c r="AB53" s="235"/>
      <c r="AC53" s="235"/>
      <c r="AD53" s="235"/>
      <c r="AE53" s="607"/>
      <c r="AF53" s="607">
        <f t="shared" ref="AF53:AQ54" si="28">AF51/AF$3</f>
        <v>13.457564816832548</v>
      </c>
      <c r="AG53" s="607">
        <f t="shared" si="28"/>
        <v>16.269930373166869</v>
      </c>
      <c r="AH53" s="607">
        <f t="shared" si="28"/>
        <v>17.557200340200001</v>
      </c>
      <c r="AI53" s="607">
        <f t="shared" si="28"/>
        <v>22.059858604562734</v>
      </c>
      <c r="AJ53" s="607">
        <f t="shared" si="28"/>
        <v>19.157982891279072</v>
      </c>
      <c r="AK53" s="607">
        <f t="shared" si="28"/>
        <v>7.7999703375865836</v>
      </c>
      <c r="AL53" s="607">
        <f t="shared" si="28"/>
        <v>8.5396893753969572</v>
      </c>
      <c r="AM53" s="607">
        <f t="shared" si="28"/>
        <v>8.7947021527981253</v>
      </c>
      <c r="AN53" s="608" t="e">
        <f>AN51/AN$3</f>
        <v>#N/A</v>
      </c>
      <c r="AO53" s="608" t="e">
        <f t="shared" ref="AO53:AQ53" si="29">AO51/AO$3</f>
        <v>#N/A</v>
      </c>
      <c r="AP53" s="608" t="e">
        <f t="shared" si="29"/>
        <v>#N/A</v>
      </c>
      <c r="AQ53" s="608" t="e">
        <f t="shared" si="29"/>
        <v>#N/A</v>
      </c>
      <c r="AR53" s="608">
        <v>4.9781622886044589E-2</v>
      </c>
      <c r="AS53" s="608">
        <v>5.1626597972052976E-2</v>
      </c>
      <c r="AT53" s="608">
        <v>5.3473756905655707E-2</v>
      </c>
      <c r="AU53" s="608">
        <v>5.3542328768393474E-2</v>
      </c>
      <c r="AV53" s="608">
        <v>5.1428682452018079E-2</v>
      </c>
      <c r="AW53" s="608">
        <v>4.9437115358800347E-2</v>
      </c>
      <c r="AX53" s="608">
        <v>4.7125008622760388E-2</v>
      </c>
      <c r="AY53" s="608">
        <v>4.567606591831691E-2</v>
      </c>
      <c r="AZ53" s="608">
        <v>4.5042353913304481E-2</v>
      </c>
      <c r="BA53" s="608">
        <v>4.5136819944412203E-2</v>
      </c>
      <c r="BB53" s="608">
        <v>4.4764782156346224E-2</v>
      </c>
      <c r="BC53" s="608">
        <v>4.4501784848079262E-2</v>
      </c>
      <c r="BD53" s="608">
        <v>4.4536838503340434E-2</v>
      </c>
      <c r="BE53" s="608">
        <v>4.4702399363391661E-2</v>
      </c>
      <c r="BF53" s="608">
        <v>4.5260265344728226E-2</v>
      </c>
      <c r="BG53" s="608">
        <v>4.5633430493278004E-2</v>
      </c>
      <c r="BH53" s="608">
        <v>4.5784140952981778E-2</v>
      </c>
      <c r="BI53" s="608">
        <v>4.5693365105411353E-2</v>
      </c>
      <c r="BJ53" s="608">
        <v>4.5372025586049913E-2</v>
      </c>
      <c r="BK53" s="608">
        <v>4.4965345341155191E-2</v>
      </c>
      <c r="BL53" s="608">
        <v>4.4517632751229302E-2</v>
      </c>
      <c r="BM53" s="608">
        <v>4.4069062154362112E-2</v>
      </c>
      <c r="BN53" s="608">
        <v>4.3638759789626766E-2</v>
      </c>
      <c r="BO53" s="608">
        <v>4.3236511156750555E-2</v>
      </c>
      <c r="BP53" s="608">
        <v>4.2829456364702222E-2</v>
      </c>
      <c r="BQ53" s="608">
        <v>4.2451956864387713E-2</v>
      </c>
      <c r="BR53" s="608">
        <v>4.2115551933886851E-2</v>
      </c>
      <c r="BS53" s="608">
        <v>4.1821415580372924E-2</v>
      </c>
      <c r="BT53" s="608">
        <v>4.1576428614793687E-2</v>
      </c>
      <c r="BU53" s="608">
        <v>4.1375854074277511E-2</v>
      </c>
      <c r="BV53" s="608">
        <v>4.1210993964004211E-2</v>
      </c>
      <c r="BW53" s="608">
        <v>4.1072302737521521E-2</v>
      </c>
      <c r="BX53" s="608">
        <v>4.0942754554190774E-2</v>
      </c>
      <c r="BY53" s="608">
        <v>4.081466267754031E-2</v>
      </c>
      <c r="BZ53" s="608">
        <v>4.0684822451769416E-2</v>
      </c>
      <c r="CA53" s="608">
        <v>4.055217545538703E-2</v>
      </c>
      <c r="CB53" s="608">
        <v>4.0416654409140662E-2</v>
      </c>
      <c r="CC53" s="608">
        <v>4.0278661594334006E-2</v>
      </c>
      <c r="CD53" s="608">
        <v>4.0138768634591621E-2</v>
      </c>
      <c r="CE53" s="608">
        <v>3.9997559198949539E-2</v>
      </c>
      <c r="CF53" s="608">
        <v>3.9855554798664504E-2</v>
      </c>
      <c r="CG53" s="608">
        <v>3.9713148760623006E-2</v>
      </c>
      <c r="CH53" s="608">
        <v>3.9570624662016475E-2</v>
      </c>
      <c r="CI53" s="608">
        <v>3.9428188937113549E-2</v>
      </c>
      <c r="CJ53" s="608">
        <v>3.9285998088517494E-2</v>
      </c>
      <c r="CK53" s="608">
        <v>3.9144177325129426E-2</v>
      </c>
      <c r="CL53" s="608">
        <v>3.9002832350783306E-2</v>
      </c>
      <c r="CM53" s="608">
        <v>3.886205631954797E-2</v>
      </c>
      <c r="CN53" s="608">
        <v>3.8722475898123672E-2</v>
      </c>
      <c r="CO53" s="608">
        <v>3.8584390369497575E-2</v>
      </c>
      <c r="CP53" s="608">
        <v>3.8447940392420644E-2</v>
      </c>
      <c r="CQ53" s="608">
        <v>3.831318956303667E-2</v>
      </c>
      <c r="CR53" s="608">
        <v>3.8179975911111448E-2</v>
      </c>
      <c r="CS53" s="608">
        <v>3.8048046590848289E-2</v>
      </c>
      <c r="CT53" s="608">
        <v>3.7917120947797138E-2</v>
      </c>
      <c r="CU53" s="608">
        <v>3.7786919656083315E-2</v>
      </c>
      <c r="CV53" s="608">
        <v>3.7657343748011551E-2</v>
      </c>
      <c r="CW53" s="608">
        <v>3.7528381530260356E-2</v>
      </c>
      <c r="CX53" s="608">
        <v>3.7400062188700213E-2</v>
      </c>
      <c r="CY53" s="608">
        <v>3.7272432557271258E-2</v>
      </c>
    </row>
    <row r="54" spans="1:103">
      <c r="A54" s="251"/>
      <c r="B54" s="229" t="s">
        <v>813</v>
      </c>
      <c r="C54" s="229"/>
      <c r="D54" s="229"/>
      <c r="E54" s="229"/>
      <c r="F54" s="203"/>
      <c r="G54" s="232" t="s">
        <v>812</v>
      </c>
      <c r="H54" s="606"/>
      <c r="I54" s="606"/>
      <c r="J54" s="606"/>
      <c r="K54" s="606"/>
      <c r="L54" s="251"/>
      <c r="M54" s="251"/>
      <c r="N54" s="251"/>
      <c r="O54" s="251"/>
      <c r="P54" s="251"/>
      <c r="Q54" s="251"/>
      <c r="R54" s="251"/>
      <c r="S54" s="251"/>
      <c r="T54" s="251"/>
      <c r="U54" s="251"/>
      <c r="V54" s="251"/>
      <c r="W54" s="251"/>
      <c r="X54" s="251"/>
      <c r="Y54" s="251"/>
      <c r="Z54" s="251"/>
      <c r="AA54" s="251"/>
      <c r="AB54" s="251"/>
      <c r="AC54" s="251"/>
      <c r="AD54" s="251"/>
      <c r="AE54" s="607"/>
      <c r="AF54" s="607">
        <f t="shared" si="28"/>
        <v>16.54072367190501</v>
      </c>
      <c r="AG54" s="607">
        <f t="shared" si="28"/>
        <v>20.344868077288943</v>
      </c>
      <c r="AH54" s="607">
        <f t="shared" si="28"/>
        <v>21.655585333600001</v>
      </c>
      <c r="AI54" s="607">
        <f t="shared" si="28"/>
        <v>27.881519160171099</v>
      </c>
      <c r="AJ54" s="607">
        <f t="shared" si="28"/>
        <v>24.57021717810078</v>
      </c>
      <c r="AK54" s="607">
        <f t="shared" si="28"/>
        <v>13.106754454064895</v>
      </c>
      <c r="AL54" s="607">
        <f t="shared" si="28"/>
        <v>13.624361963062007</v>
      </c>
      <c r="AM54" s="607">
        <f t="shared" si="28"/>
        <v>13.487817458247875</v>
      </c>
      <c r="AN54" s="608" t="e">
        <f t="shared" si="28"/>
        <v>#N/A</v>
      </c>
      <c r="AO54" s="608" t="e">
        <f t="shared" si="28"/>
        <v>#N/A</v>
      </c>
      <c r="AP54" s="608" t="e">
        <f t="shared" si="28"/>
        <v>#N/A</v>
      </c>
      <c r="AQ54" s="608" t="e">
        <f t="shared" si="28"/>
        <v>#N/A</v>
      </c>
      <c r="AR54" s="608">
        <v>0.10501505842663345</v>
      </c>
      <c r="AS54" s="608">
        <v>0.10497381856821481</v>
      </c>
      <c r="AT54" s="608">
        <v>0.104618575137075</v>
      </c>
      <c r="AU54" s="608">
        <v>0.10273866796796441</v>
      </c>
      <c r="AV54" s="608">
        <v>9.99079010039607E-2</v>
      </c>
      <c r="AW54" s="608">
        <v>9.7932641351945529E-2</v>
      </c>
      <c r="AX54" s="608">
        <v>9.559341654205214E-2</v>
      </c>
      <c r="AY54" s="608">
        <v>9.3489652911585272E-2</v>
      </c>
      <c r="AZ54" s="608">
        <v>9.2386239617914895E-2</v>
      </c>
      <c r="BA54" s="608">
        <v>9.2081135621390614E-2</v>
      </c>
      <c r="BB54" s="608">
        <v>9.1801449270593333E-2</v>
      </c>
      <c r="BC54" s="608">
        <v>9.160566089322586E-2</v>
      </c>
      <c r="BD54" s="608">
        <v>9.1773573367226677E-2</v>
      </c>
      <c r="BE54" s="608">
        <v>9.1862313015622699E-2</v>
      </c>
      <c r="BF54" s="608">
        <v>9.2113560053561E-2</v>
      </c>
      <c r="BG54" s="608">
        <v>9.2116109063696661E-2</v>
      </c>
      <c r="BH54" s="608">
        <v>9.185557599459343E-2</v>
      </c>
      <c r="BI54" s="608">
        <v>9.1347075159860333E-2</v>
      </c>
      <c r="BJ54" s="608">
        <v>9.0617752681484101E-2</v>
      </c>
      <c r="BK54" s="608">
        <v>8.9816109097889216E-2</v>
      </c>
      <c r="BL54" s="608">
        <v>8.8991540475048259E-2</v>
      </c>
      <c r="BM54" s="608">
        <v>8.8184049291243891E-2</v>
      </c>
      <c r="BN54" s="608">
        <v>8.7411161476297336E-2</v>
      </c>
      <c r="BO54" s="608">
        <v>8.6680037364221696E-2</v>
      </c>
      <c r="BP54" s="608">
        <v>8.5920635045901639E-2</v>
      </c>
      <c r="BQ54" s="608">
        <v>8.5218995511007367E-2</v>
      </c>
      <c r="BR54" s="608">
        <v>8.459320688553662E-2</v>
      </c>
      <c r="BS54" s="608">
        <v>8.4040121661267717E-2</v>
      </c>
      <c r="BT54" s="608">
        <v>8.3549423783422921E-2</v>
      </c>
      <c r="BU54" s="608">
        <v>8.3108886313225563E-2</v>
      </c>
      <c r="BV54" s="608">
        <v>8.2706741259959055E-2</v>
      </c>
      <c r="BW54" s="608">
        <v>8.2332391107022188E-2</v>
      </c>
      <c r="BX54" s="608">
        <v>8.1968985812194445E-2</v>
      </c>
      <c r="BY54" s="608">
        <v>8.1608840245169845E-2</v>
      </c>
      <c r="BZ54" s="608">
        <v>8.1248911151409905E-2</v>
      </c>
      <c r="CA54" s="608">
        <v>8.0888394200215874E-2</v>
      </c>
      <c r="CB54" s="608">
        <v>8.052748782119494E-2</v>
      </c>
      <c r="CC54" s="608">
        <v>8.0166776239294982E-2</v>
      </c>
      <c r="CD54" s="608">
        <v>7.9806933685531573E-2</v>
      </c>
      <c r="CE54" s="608">
        <v>7.9448591451055234E-2</v>
      </c>
      <c r="CF54" s="608">
        <v>7.9092285441646912E-2</v>
      </c>
      <c r="CG54" s="608">
        <v>7.8738406555826063E-2</v>
      </c>
      <c r="CH54" s="608">
        <v>7.8387226353268238E-2</v>
      </c>
      <c r="CI54" s="608">
        <v>7.8038934064245571E-2</v>
      </c>
      <c r="CJ54" s="608">
        <v>7.769366648099002E-2</v>
      </c>
      <c r="CK54" s="608">
        <v>7.7351528050237525E-2</v>
      </c>
      <c r="CL54" s="608">
        <v>7.7012603092775953E-2</v>
      </c>
      <c r="CM54" s="608">
        <v>7.6676962726411294E-2</v>
      </c>
      <c r="CN54" s="608">
        <v>7.6345737622922724E-2</v>
      </c>
      <c r="CO54" s="608">
        <v>7.6019142318056357E-2</v>
      </c>
      <c r="CP54" s="608">
        <v>7.5697037651351981E-2</v>
      </c>
      <c r="CQ54" s="608">
        <v>7.5379144668686518E-2</v>
      </c>
      <c r="CR54" s="608">
        <v>7.5065137018009834E-2</v>
      </c>
      <c r="CS54" s="608">
        <v>7.4754682007445811E-2</v>
      </c>
      <c r="CT54" s="608">
        <v>7.4447459048566478E-2</v>
      </c>
      <c r="CU54" s="608">
        <v>7.4143167278415897E-2</v>
      </c>
      <c r="CV54" s="608">
        <v>7.3841687967869024E-2</v>
      </c>
      <c r="CW54" s="608">
        <v>7.3542993456599648E-2</v>
      </c>
      <c r="CX54" s="608">
        <v>7.3247098145352782E-2</v>
      </c>
      <c r="CY54" s="608">
        <v>7.2954032886312137E-2</v>
      </c>
    </row>
    <row r="55" spans="1:103">
      <c r="A55" s="251"/>
      <c r="B55" s="230" t="s">
        <v>814</v>
      </c>
      <c r="C55" s="229"/>
      <c r="D55" s="126"/>
      <c r="E55" s="609"/>
      <c r="F55" s="251"/>
      <c r="G55" s="609" t="s">
        <v>736</v>
      </c>
      <c r="H55" s="606"/>
      <c r="I55" s="606"/>
      <c r="J55" s="606"/>
      <c r="K55" s="606"/>
      <c r="L55" s="251"/>
      <c r="M55" s="251"/>
      <c r="N55" s="251"/>
      <c r="O55" s="251"/>
      <c r="P55" s="251"/>
      <c r="Q55" s="251"/>
      <c r="R55" s="251"/>
      <c r="S55" s="251"/>
      <c r="T55" s="251"/>
      <c r="U55" s="251"/>
      <c r="V55" s="251"/>
      <c r="W55" s="251"/>
      <c r="X55" s="251"/>
      <c r="Y55" s="251"/>
      <c r="Z55" s="251"/>
      <c r="AA55" s="251"/>
      <c r="AB55" s="251"/>
      <c r="AC55" s="251"/>
      <c r="AD55" s="251"/>
      <c r="AE55" s="607"/>
      <c r="AF55" s="610">
        <f>AF33</f>
        <v>-5.5139673149999995</v>
      </c>
      <c r="AG55" s="610">
        <f t="shared" ref="AG55:AQ55" si="30">AF55+AG33</f>
        <v>-14.371046561</v>
      </c>
      <c r="AH55" s="610">
        <f t="shared" si="30"/>
        <v>-25.207432990000001</v>
      </c>
      <c r="AI55" s="610">
        <f t="shared" si="30"/>
        <v>-31.722066400000003</v>
      </c>
      <c r="AJ55" s="610">
        <f t="shared" si="30"/>
        <v>-38.066366925000004</v>
      </c>
      <c r="AK55" s="610">
        <f t="shared" si="30"/>
        <v>-48.060611340000008</v>
      </c>
      <c r="AL55" s="610">
        <f t="shared" si="30"/>
        <v>-56.665725377000008</v>
      </c>
      <c r="AM55" s="610">
        <f t="shared" si="30"/>
        <v>-64.280844800000011</v>
      </c>
      <c r="AN55" s="610">
        <f t="shared" si="30"/>
        <v>-72.686415174000018</v>
      </c>
      <c r="AO55" s="267">
        <f t="shared" si="30"/>
        <v>-45646.652450455702</v>
      </c>
      <c r="AP55" s="267">
        <f t="shared" si="30"/>
        <v>-91253.104220434878</v>
      </c>
      <c r="AQ55" s="267">
        <f t="shared" si="30"/>
        <v>-136890.95641713624</v>
      </c>
      <c r="AR55" s="267">
        <v>-29.784176520391636</v>
      </c>
      <c r="AS55" s="267">
        <v>-41.136553824888537</v>
      </c>
      <c r="AT55" s="267">
        <v>-53.965773325444566</v>
      </c>
      <c r="AU55" s="267">
        <v>-68.158462795137339</v>
      </c>
      <c r="AV55" s="267">
        <v>-83.353114106753935</v>
      </c>
      <c r="AW55" s="267">
        <v>-98.754911362275479</v>
      </c>
      <c r="AX55" s="267">
        <v>-114.88566260057678</v>
      </c>
      <c r="AY55" s="267">
        <v>-130.80617405542469</v>
      </c>
      <c r="AZ55" s="267">
        <v>-146.61173499132795</v>
      </c>
      <c r="BA55" s="267">
        <v>-162.63857682389076</v>
      </c>
      <c r="BB55" s="267">
        <v>-179.30020738193599</v>
      </c>
      <c r="BC55" s="267">
        <v>-196.65659732189238</v>
      </c>
      <c r="BD55" s="267">
        <v>-18.019387636914345</v>
      </c>
      <c r="BE55" s="267">
        <v>-36.553121630261508</v>
      </c>
      <c r="BF55" s="267">
        <v>-55.534258170460959</v>
      </c>
      <c r="BG55" s="267">
        <v>-75.281757112420735</v>
      </c>
      <c r="BH55" s="267">
        <v>-95.806187394411353</v>
      </c>
      <c r="BI55" s="267">
        <v>-117.11457822010777</v>
      </c>
      <c r="BJ55" s="267">
        <v>-139.13900039706223</v>
      </c>
      <c r="BK55" s="267">
        <v>-161.74627082952998</v>
      </c>
      <c r="BL55" s="267">
        <v>-184.90688201631261</v>
      </c>
      <c r="BM55" s="267">
        <v>-208.60561876684818</v>
      </c>
      <c r="BN55" s="267">
        <v>-232.85172343516822</v>
      </c>
      <c r="BO55" s="267">
        <v>-257.66600156164992</v>
      </c>
      <c r="BP55" s="267">
        <v>-25.425296042465547</v>
      </c>
      <c r="BQ55" s="267">
        <v>-51.481154413297908</v>
      </c>
      <c r="BR55" s="267">
        <v>-78.192106208088418</v>
      </c>
      <c r="BS55" s="267">
        <v>-105.58506746914696</v>
      </c>
      <c r="BT55" s="267">
        <v>-133.69049904738034</v>
      </c>
      <c r="BU55" s="267">
        <v>-162.53400830375574</v>
      </c>
      <c r="BV55" s="267">
        <v>-192.13832174842386</v>
      </c>
      <c r="BW55" s="267">
        <v>-222.5319881950995</v>
      </c>
      <c r="BX55" s="267">
        <v>-253.74727987717884</v>
      </c>
      <c r="BY55" s="267">
        <v>-285.79969868915987</v>
      </c>
      <c r="BZ55" s="267">
        <v>-318.6968005791008</v>
      </c>
      <c r="CA55" s="267">
        <v>-33.74563892548759</v>
      </c>
      <c r="CB55" s="267">
        <v>-68.342061703925751</v>
      </c>
      <c r="CC55" s="267">
        <v>-103.79095404405736</v>
      </c>
      <c r="CD55" s="267">
        <v>-140.09391658512138</v>
      </c>
      <c r="CE55" s="267">
        <v>-177.25267532921941</v>
      </c>
      <c r="CF55" s="267">
        <v>-215.26921386775678</v>
      </c>
      <c r="CG55" s="267">
        <v>-254.14585272733123</v>
      </c>
      <c r="CH55" s="267">
        <v>-293.8851794293177</v>
      </c>
      <c r="CI55" s="267">
        <v>-334.48996392258016</v>
      </c>
      <c r="CJ55" s="267">
        <v>-375.96309407647823</v>
      </c>
      <c r="CK55" s="267">
        <v>-418.30753428988959</v>
      </c>
      <c r="CL55" s="267">
        <v>-461.52630194783711</v>
      </c>
      <c r="CM55" s="267">
        <v>-505.62245552127047</v>
      </c>
      <c r="CN55" s="267">
        <v>-550.59859797579179</v>
      </c>
      <c r="CO55" s="267">
        <v>-596.45754779514016</v>
      </c>
      <c r="CP55" s="267">
        <v>-643.20226608868052</v>
      </c>
      <c r="CQ55" s="267">
        <v>-690.83580911021829</v>
      </c>
      <c r="CR55" s="267">
        <v>-739.36115903260338</v>
      </c>
      <c r="CS55" s="267">
        <v>-788.78128649030714</v>
      </c>
      <c r="CT55" s="267">
        <v>-839.09918141229502</v>
      </c>
      <c r="CU55" s="267">
        <v>-890.31757988630102</v>
      </c>
      <c r="CV55" s="267">
        <v>-942.43864822036085</v>
      </c>
      <c r="CW55" s="267">
        <v>-995.46430309605876</v>
      </c>
      <c r="CX55" s="267">
        <v>-1049.3963704570569</v>
      </c>
      <c r="CY55" s="267">
        <v>-1104.2366651686898</v>
      </c>
    </row>
    <row r="56" spans="1:103">
      <c r="A56" s="251"/>
      <c r="B56" s="230" t="s">
        <v>815</v>
      </c>
      <c r="C56" s="229"/>
      <c r="D56" s="126"/>
      <c r="E56" s="609"/>
      <c r="F56" s="251"/>
      <c r="G56" s="609" t="s">
        <v>812</v>
      </c>
      <c r="H56" s="606"/>
      <c r="I56" s="606"/>
      <c r="J56" s="606"/>
      <c r="K56" s="606"/>
      <c r="L56" s="251"/>
      <c r="M56" s="251"/>
      <c r="N56" s="251"/>
      <c r="O56" s="251"/>
      <c r="P56" s="251"/>
      <c r="Q56" s="251"/>
      <c r="R56" s="251"/>
      <c r="S56" s="251"/>
      <c r="T56" s="251"/>
      <c r="U56" s="251"/>
      <c r="V56" s="251"/>
      <c r="W56" s="251"/>
      <c r="X56" s="251"/>
      <c r="Y56" s="251"/>
      <c r="Z56" s="251"/>
      <c r="AA56" s="251"/>
      <c r="AB56" s="251"/>
      <c r="AC56" s="251"/>
      <c r="AD56" s="251"/>
      <c r="AE56" s="607"/>
      <c r="AF56" s="607">
        <f>AF55/AVERAGE($AE8:AF8)</f>
        <v>-1.6800798321450615E-2</v>
      </c>
      <c r="AG56" s="607">
        <f>AG55/AVERAGE($AE8:AG8)</f>
        <v>-4.0849567184553293E-2</v>
      </c>
      <c r="AH56" s="607">
        <f>AH55/AVERAGE($AE8:AH8)</f>
        <v>-6.6693810211808188E-2</v>
      </c>
      <c r="AI56" s="607">
        <f>AI55/AVERAGE($AE8:AI8)</f>
        <v>-7.8792075680160598E-2</v>
      </c>
      <c r="AJ56" s="607">
        <f>AJ55/AVERAGE($AE8:AJ8)</f>
        <v>-8.9397148386027955E-2</v>
      </c>
      <c r="AK56" s="607">
        <f>AK55/AVERAGE($AE8:AK8)</f>
        <v>-0.10944396335185544</v>
      </c>
      <c r="AL56" s="607">
        <f>AL55/AVERAGE($AE8:AL8)</f>
        <v>-0.12498505335450684</v>
      </c>
      <c r="AM56" s="607">
        <f>AM55/AVERAGE($AE8:AM8)</f>
        <v>-0.13660912717256335</v>
      </c>
      <c r="AN56" s="607">
        <f>AN55/AVERAGE($AE8:AN8)</f>
        <v>-0.14800101266705343</v>
      </c>
      <c r="AO56" s="611">
        <f>AO55/AVERAGE($AE8:AO8)</f>
        <v>-89.47134788468658</v>
      </c>
      <c r="AP56" s="611">
        <f>AP55/AVERAGE($AE8:AP8)</f>
        <v>-183.01471850239506</v>
      </c>
      <c r="AQ56" s="611">
        <f>AQ55/AVERAGE($AE8:AQ8)</f>
        <v>-287.95616297019552</v>
      </c>
      <c r="AR56" s="611">
        <v>-3.5686114871148193E-2</v>
      </c>
      <c r="AS56" s="611">
        <v>-4.8238251161220276E-2</v>
      </c>
      <c r="AT56" s="611">
        <v>-6.1739901987620062E-2</v>
      </c>
      <c r="AU56" s="611">
        <v>-7.6074183379221907E-2</v>
      </c>
      <c r="AV56" s="611">
        <v>-9.0817653100070367E-2</v>
      </c>
      <c r="AW56" s="611">
        <v>-0.10506113615961084</v>
      </c>
      <c r="AX56" s="611">
        <v>-0.11937867368200474</v>
      </c>
      <c r="AY56" s="611">
        <v>-0.13277645768202148</v>
      </c>
      <c r="AZ56" s="611">
        <v>-0.14538595627986778</v>
      </c>
      <c r="BA56" s="611">
        <v>-0.15756571602673458</v>
      </c>
      <c r="BB56" s="611">
        <v>-0.16973109085174515</v>
      </c>
      <c r="BC56" s="611">
        <v>-0.18192570236460601</v>
      </c>
      <c r="BD56" s="611">
        <v>-1.2875518289668096E-2</v>
      </c>
      <c r="BE56" s="611">
        <v>-2.5702930771124628E-2</v>
      </c>
      <c r="BF56" s="611">
        <v>-3.8439434174500221E-2</v>
      </c>
      <c r="BG56" s="611">
        <v>-5.1300237790022782E-2</v>
      </c>
      <c r="BH56" s="611">
        <v>-6.4273512534556959E-2</v>
      </c>
      <c r="BI56" s="611">
        <v>-7.7341721565046206E-2</v>
      </c>
      <c r="BJ56" s="611">
        <v>-9.0437395937339932E-2</v>
      </c>
      <c r="BK56" s="611">
        <v>-0.10345267218340708</v>
      </c>
      <c r="BL56" s="611">
        <v>-0.11635172511162307</v>
      </c>
      <c r="BM56" s="611">
        <v>-0.12911019791248068</v>
      </c>
      <c r="BN56" s="611">
        <v>-0.14172091930107741</v>
      </c>
      <c r="BO56" s="611">
        <v>-0.15418487022976299</v>
      </c>
      <c r="BP56" s="611">
        <v>-1.24438017079169E-2</v>
      </c>
      <c r="BQ56" s="611">
        <v>-2.4766511110222413E-2</v>
      </c>
      <c r="BR56" s="611">
        <v>-3.6974972965126626E-2</v>
      </c>
      <c r="BS56" s="611">
        <v>-4.9079708540417981E-2</v>
      </c>
      <c r="BT56" s="611">
        <v>-6.1093700809741955E-2</v>
      </c>
      <c r="BU56" s="611">
        <v>-7.302768813766447E-2</v>
      </c>
      <c r="BV56" s="611">
        <v>-8.4890849529120946E-2</v>
      </c>
      <c r="BW56" s="611">
        <v>-9.6694524252621622E-2</v>
      </c>
      <c r="BX56" s="611">
        <v>-0.10845114099903898</v>
      </c>
      <c r="BY56" s="611">
        <v>-0.12016530596824448</v>
      </c>
      <c r="BZ56" s="611">
        <v>-0.13183802279111428</v>
      </c>
      <c r="CA56" s="611">
        <v>-1.3736833514703955E-2</v>
      </c>
      <c r="CB56" s="611">
        <v>-2.301987725844622E-2</v>
      </c>
      <c r="CC56" s="611">
        <v>-3.4477072020894811E-2</v>
      </c>
      <c r="CD56" s="611">
        <v>-4.5897306469060546E-2</v>
      </c>
      <c r="CE56" s="611">
        <v>-5.7279375388384034E-2</v>
      </c>
      <c r="CF56" s="611">
        <v>-6.862224007069033E-2</v>
      </c>
      <c r="CG56" s="611">
        <v>-7.9925045409176679E-2</v>
      </c>
      <c r="CH56" s="611">
        <v>-9.1187087752749793E-2</v>
      </c>
      <c r="CI56" s="611">
        <v>-0.10240777981108594</v>
      </c>
      <c r="CJ56" s="611">
        <v>-0.11358662387530026</v>
      </c>
      <c r="CK56" s="611">
        <v>-0.12472319381905853</v>
      </c>
      <c r="CL56" s="611">
        <v>-0.1358171236843391</v>
      </c>
      <c r="CM56" s="611">
        <v>-0.14686810051378255</v>
      </c>
      <c r="CN56" s="611">
        <v>-0.15787590305383278</v>
      </c>
      <c r="CO56" s="611">
        <v>-0.16884049355017394</v>
      </c>
      <c r="CP56" s="611">
        <v>-0.17976194028526252</v>
      </c>
      <c r="CQ56" s="611">
        <v>-0.19064037533367725</v>
      </c>
      <c r="CR56" s="611">
        <v>-0.20147593332038907</v>
      </c>
      <c r="CS56" s="611">
        <v>-0.212268762535641</v>
      </c>
      <c r="CT56" s="611">
        <v>-0.22301902949837821</v>
      </c>
      <c r="CU56" s="611">
        <v>-0.23372684470333802</v>
      </c>
      <c r="CV56" s="611">
        <v>-0.24439218093095536</v>
      </c>
      <c r="CW56" s="611">
        <v>-0.25501496327871342</v>
      </c>
      <c r="CX56" s="611">
        <v>-0.2655951127459994</v>
      </c>
      <c r="CY56" s="611">
        <v>-0.27613256698321903</v>
      </c>
    </row>
    <row r="57" spans="1:103">
      <c r="A57" s="230"/>
      <c r="B57" s="229"/>
      <c r="C57" s="229"/>
      <c r="D57" s="229"/>
      <c r="E57" s="203"/>
      <c r="F57" s="232"/>
      <c r="G57" s="232"/>
      <c r="H57" s="232"/>
      <c r="I57" s="232"/>
      <c r="J57" s="232"/>
      <c r="K57" s="232"/>
      <c r="L57" s="230"/>
      <c r="M57" s="230"/>
      <c r="N57" s="230"/>
      <c r="O57" s="230"/>
      <c r="P57" s="230"/>
      <c r="Q57" s="230"/>
      <c r="R57" s="230"/>
      <c r="S57" s="230"/>
      <c r="T57" s="612"/>
      <c r="U57" s="612"/>
      <c r="V57" s="612"/>
      <c r="W57" s="612"/>
      <c r="X57" s="612"/>
      <c r="Y57" s="612"/>
      <c r="Z57" s="612"/>
      <c r="AA57" s="612"/>
      <c r="AB57" s="612"/>
      <c r="AC57" s="612"/>
      <c r="AD57" s="612"/>
      <c r="AE57" s="612"/>
      <c r="AF57" s="612"/>
      <c r="AG57" s="612"/>
      <c r="AH57" s="612"/>
      <c r="AI57" s="612"/>
      <c r="AJ57" s="612"/>
      <c r="AK57" s="612"/>
      <c r="AL57" s="612"/>
      <c r="AM57" s="612"/>
      <c r="AN57" s="612"/>
      <c r="AO57" s="230"/>
      <c r="AP57" s="230"/>
      <c r="AQ57" s="268"/>
      <c r="AR57" s="230"/>
      <c r="AS57" s="230"/>
      <c r="AT57" s="230"/>
      <c r="AU57" s="230"/>
      <c r="AV57" s="230"/>
      <c r="AW57" s="230"/>
      <c r="AX57" s="230"/>
      <c r="AY57" s="230"/>
      <c r="AZ57" s="230"/>
      <c r="BA57" s="230"/>
      <c r="BB57" s="230"/>
      <c r="BC57" s="230"/>
      <c r="BD57" s="230"/>
      <c r="BE57" s="230"/>
      <c r="BF57" s="230"/>
      <c r="BG57" s="230"/>
      <c r="BH57" s="230"/>
      <c r="BI57" s="230"/>
      <c r="BJ57" s="230"/>
      <c r="BK57" s="230"/>
      <c r="BL57" s="230"/>
      <c r="BM57" s="230"/>
      <c r="BN57" s="230"/>
      <c r="BO57" s="230"/>
      <c r="BP57" s="230"/>
      <c r="BQ57" s="230"/>
      <c r="BR57" s="230"/>
      <c r="BS57" s="230"/>
      <c r="BT57" s="230"/>
      <c r="BU57" s="230"/>
      <c r="BV57" s="230"/>
      <c r="BW57" s="230"/>
      <c r="BX57" s="230"/>
      <c r="BY57" s="230"/>
      <c r="BZ57" s="230"/>
      <c r="CA57" s="230"/>
      <c r="CB57" s="230"/>
      <c r="CC57" s="230"/>
      <c r="CD57" s="230"/>
      <c r="CE57" s="230"/>
      <c r="CF57" s="230"/>
      <c r="CG57" s="230"/>
      <c r="CH57" s="230"/>
      <c r="CI57" s="230"/>
      <c r="CJ57" s="230"/>
      <c r="CK57" s="230"/>
      <c r="CL57" s="230"/>
      <c r="CM57" s="230"/>
      <c r="CN57" s="230"/>
      <c r="CO57" s="230"/>
      <c r="CP57" s="230"/>
      <c r="CQ57" s="230"/>
      <c r="CR57" s="230"/>
      <c r="CS57" s="230"/>
      <c r="CT57" s="230"/>
      <c r="CU57" s="230"/>
      <c r="CV57" s="230"/>
      <c r="CW57" s="230"/>
      <c r="CX57" s="230"/>
      <c r="CY57" s="230"/>
    </row>
    <row r="58" spans="1:103" ht="18">
      <c r="A58" s="676" t="s">
        <v>873</v>
      </c>
      <c r="B58" s="613"/>
      <c r="C58" s="613"/>
      <c r="D58" s="613"/>
      <c r="E58" s="613"/>
      <c r="F58" s="614"/>
      <c r="G58" s="614"/>
      <c r="H58" s="232"/>
      <c r="I58" s="232"/>
      <c r="J58" s="232"/>
      <c r="K58" s="232"/>
      <c r="L58" s="230"/>
      <c r="M58" s="230"/>
      <c r="N58" s="231"/>
      <c r="O58" s="231"/>
      <c r="P58" s="231"/>
      <c r="Q58" s="231"/>
      <c r="R58" s="231"/>
      <c r="S58" s="231"/>
      <c r="T58" s="612"/>
      <c r="U58" s="612"/>
      <c r="V58" s="612"/>
      <c r="W58" s="612"/>
      <c r="X58" s="612"/>
      <c r="Y58" s="612"/>
      <c r="Z58" s="612"/>
      <c r="AA58" s="612"/>
      <c r="AB58" s="612"/>
      <c r="AC58" s="612"/>
      <c r="AD58" s="612"/>
      <c r="AE58" s="612"/>
      <c r="AF58" s="612"/>
      <c r="AG58" s="612"/>
      <c r="AH58" s="612"/>
      <c r="AI58" s="612"/>
      <c r="AJ58" s="612"/>
      <c r="AK58" s="612"/>
      <c r="AL58" s="612"/>
      <c r="AM58" s="612"/>
      <c r="AN58" s="612"/>
      <c r="AO58" s="231"/>
      <c r="AP58" s="231"/>
      <c r="AQ58" s="231"/>
      <c r="AR58" s="231"/>
      <c r="AS58" s="231"/>
      <c r="AT58" s="231"/>
      <c r="AU58" s="231"/>
      <c r="AV58" s="231"/>
      <c r="AW58" s="231"/>
      <c r="AX58" s="231"/>
      <c r="AY58" s="231"/>
      <c r="AZ58" s="231"/>
      <c r="BA58" s="231"/>
      <c r="BB58" s="231"/>
      <c r="BC58" s="231"/>
      <c r="BD58" s="231"/>
      <c r="BE58" s="231"/>
      <c r="BF58" s="231"/>
      <c r="BG58" s="231"/>
      <c r="BH58" s="231"/>
      <c r="BI58" s="231"/>
      <c r="BJ58" s="231"/>
      <c r="BK58" s="231"/>
      <c r="BL58" s="231"/>
      <c r="BM58" s="231"/>
      <c r="BN58" s="231"/>
      <c r="BO58" s="231"/>
      <c r="BP58" s="231"/>
      <c r="BQ58" s="231"/>
      <c r="BR58" s="231"/>
      <c r="BS58" s="231"/>
      <c r="BT58" s="231"/>
      <c r="BU58" s="231"/>
      <c r="BV58" s="231"/>
      <c r="BW58" s="231"/>
      <c r="BX58" s="231"/>
      <c r="BY58" s="231"/>
      <c r="BZ58" s="231"/>
      <c r="CA58" s="231"/>
      <c r="CB58" s="231"/>
      <c r="CC58" s="231"/>
      <c r="CD58" s="231"/>
      <c r="CE58" s="231"/>
      <c r="CF58" s="231"/>
      <c r="CG58" s="231"/>
      <c r="CH58" s="231"/>
      <c r="CI58" s="231"/>
      <c r="CJ58" s="231"/>
      <c r="CK58" s="231"/>
      <c r="CL58" s="231"/>
      <c r="CM58" s="231"/>
      <c r="CN58" s="231"/>
      <c r="CO58" s="231"/>
      <c r="CP58" s="231"/>
      <c r="CQ58" s="231"/>
      <c r="CR58" s="231"/>
      <c r="CS58" s="231"/>
      <c r="CT58" s="231"/>
      <c r="CU58" s="231"/>
      <c r="CV58" s="231"/>
      <c r="CW58" s="231"/>
      <c r="CX58" s="231"/>
      <c r="CY58" s="231"/>
    </row>
    <row r="59" spans="1:103">
      <c r="A59" s="230"/>
      <c r="B59" s="230" t="s">
        <v>416</v>
      </c>
      <c r="C59" s="230"/>
      <c r="D59" s="230"/>
      <c r="E59" s="232"/>
      <c r="F59" s="232"/>
      <c r="G59" s="587" t="s">
        <v>743</v>
      </c>
      <c r="H59" s="232"/>
      <c r="I59" s="232"/>
      <c r="J59" s="232"/>
      <c r="K59" s="232"/>
      <c r="L59" s="230"/>
      <c r="M59" s="230"/>
      <c r="N59" s="615"/>
      <c r="O59" s="615"/>
      <c r="P59" s="615"/>
      <c r="Q59" s="615"/>
      <c r="R59" s="615"/>
      <c r="S59" s="615"/>
      <c r="T59" s="594">
        <v>5.133</v>
      </c>
      <c r="U59" s="594">
        <v>3.7160000000000002</v>
      </c>
      <c r="V59" s="594">
        <v>4.4140000000000006</v>
      </c>
      <c r="W59" s="594">
        <v>2.6949999999999998</v>
      </c>
      <c r="X59" s="594">
        <v>4.2080000000000002</v>
      </c>
      <c r="Y59" s="594">
        <v>5.1230000000000002</v>
      </c>
      <c r="Z59" s="594">
        <v>5.8540000000000099</v>
      </c>
      <c r="AA59" s="594">
        <v>4.4149999999999894</v>
      </c>
      <c r="AB59" s="594">
        <v>3.4020000000000001</v>
      </c>
      <c r="AC59" s="594">
        <v>4.5440000000000005</v>
      </c>
      <c r="AD59" s="594">
        <v>3.802</v>
      </c>
      <c r="AE59" s="594">
        <v>3.6110000000000002</v>
      </c>
      <c r="AF59" s="594">
        <v>5.3109999999999999</v>
      </c>
      <c r="AG59" s="594">
        <v>4.5629999999999997</v>
      </c>
      <c r="AH59" s="594">
        <v>4.593</v>
      </c>
      <c r="AI59" s="594">
        <v>3.7490000000000001</v>
      </c>
      <c r="AJ59" s="594">
        <v>4.4429999999999996</v>
      </c>
      <c r="AK59" s="600">
        <v>4.7850000000000001</v>
      </c>
      <c r="AL59" s="600">
        <v>4.8540000000000001</v>
      </c>
      <c r="AM59" s="600">
        <v>5.9050000000000002</v>
      </c>
      <c r="AN59" s="616">
        <v>6.5119999999999996</v>
      </c>
      <c r="AO59" s="600">
        <v>4.8419999999999996</v>
      </c>
      <c r="AP59" s="617">
        <f>AO59+($AQ59-$AK59)/6</f>
        <v>5.2111666666666663</v>
      </c>
      <c r="AQ59" s="618">
        <v>7</v>
      </c>
      <c r="AR59" s="617">
        <v>4</v>
      </c>
      <c r="AS59" s="617">
        <v>4</v>
      </c>
      <c r="AT59" s="617">
        <v>4</v>
      </c>
      <c r="AU59" s="617">
        <v>4</v>
      </c>
      <c r="AV59" s="617">
        <v>4</v>
      </c>
      <c r="AW59" s="617">
        <v>4</v>
      </c>
      <c r="AX59" s="617">
        <v>4</v>
      </c>
      <c r="AY59" s="617">
        <v>4</v>
      </c>
      <c r="AZ59" s="617">
        <v>4</v>
      </c>
      <c r="BA59" s="617">
        <v>4</v>
      </c>
      <c r="BB59" s="617">
        <v>4</v>
      </c>
      <c r="BC59" s="618">
        <v>4</v>
      </c>
      <c r="BD59" s="617">
        <v>4.333333333333333</v>
      </c>
      <c r="BE59" s="617">
        <v>4.6666666666666661</v>
      </c>
      <c r="BF59" s="617">
        <v>4.9999999999999991</v>
      </c>
      <c r="BG59" s="617">
        <v>5.3333333333333321</v>
      </c>
      <c r="BH59" s="617">
        <v>5.6666666666666652</v>
      </c>
      <c r="BI59" s="617">
        <v>5.9999999999999982</v>
      </c>
      <c r="BJ59" s="617">
        <v>6.3333333333333313</v>
      </c>
      <c r="BK59" s="617">
        <v>6.6666666666666643</v>
      </c>
      <c r="BL59" s="617">
        <v>6.9999999999999973</v>
      </c>
      <c r="BM59" s="617">
        <v>7.3333333333333304</v>
      </c>
      <c r="BN59" s="617">
        <v>7.6666666666666634</v>
      </c>
      <c r="BO59" s="618">
        <v>8</v>
      </c>
      <c r="BP59" s="617">
        <v>8.0416666666666661</v>
      </c>
      <c r="BQ59" s="617">
        <v>8.0833333333333321</v>
      </c>
      <c r="BR59" s="617">
        <v>8.1249999999999982</v>
      </c>
      <c r="BS59" s="617">
        <v>8.1666666666666643</v>
      </c>
      <c r="BT59" s="617">
        <v>8.2083333333333304</v>
      </c>
      <c r="BU59" s="617">
        <v>8.2499999999999964</v>
      </c>
      <c r="BV59" s="617">
        <v>8.2916666666666625</v>
      </c>
      <c r="BW59" s="617">
        <v>8.3333333333333286</v>
      </c>
      <c r="BX59" s="617">
        <v>8.3749999999999947</v>
      </c>
      <c r="BY59" s="617">
        <v>8.4166666666666607</v>
      </c>
      <c r="BZ59" s="617">
        <v>8.4583333333333268</v>
      </c>
      <c r="CA59" s="618">
        <v>8.5</v>
      </c>
      <c r="CB59" s="617">
        <v>8.5416666666666661</v>
      </c>
      <c r="CC59" s="617">
        <v>8.5833333333333321</v>
      </c>
      <c r="CD59" s="617">
        <v>8.6249999999999982</v>
      </c>
      <c r="CE59" s="617">
        <v>8.6666666666666643</v>
      </c>
      <c r="CF59" s="617">
        <v>8.7083333333333304</v>
      </c>
      <c r="CG59" s="617">
        <v>8.7499999999999964</v>
      </c>
      <c r="CH59" s="617">
        <v>8.7916666666666625</v>
      </c>
      <c r="CI59" s="617">
        <v>8.8333333333333286</v>
      </c>
      <c r="CJ59" s="617">
        <v>8.8749999999999947</v>
      </c>
      <c r="CK59" s="617">
        <v>8.9166666666666607</v>
      </c>
      <c r="CL59" s="617">
        <v>8.9583333333333268</v>
      </c>
      <c r="CM59" s="618">
        <v>9</v>
      </c>
      <c r="CN59" s="617">
        <v>9.0416666666666661</v>
      </c>
      <c r="CO59" s="617">
        <v>9.0833333333333321</v>
      </c>
      <c r="CP59" s="617">
        <v>9.1249999999999982</v>
      </c>
      <c r="CQ59" s="617">
        <v>9.1666666666666643</v>
      </c>
      <c r="CR59" s="617">
        <v>9.2083333333333304</v>
      </c>
      <c r="CS59" s="617">
        <v>9.2499999999999964</v>
      </c>
      <c r="CT59" s="617">
        <v>9.2916666666666625</v>
      </c>
      <c r="CU59" s="617">
        <v>9.3333333333333286</v>
      </c>
      <c r="CV59" s="617">
        <v>9.3749999999999947</v>
      </c>
      <c r="CW59" s="617">
        <v>9.4166666666666607</v>
      </c>
      <c r="CX59" s="617">
        <v>9.4583333333333268</v>
      </c>
      <c r="CY59" s="618">
        <v>9.5</v>
      </c>
    </row>
    <row r="60" spans="1:103">
      <c r="A60" s="230"/>
      <c r="B60" s="229" t="s">
        <v>862</v>
      </c>
      <c r="C60" s="230" t="s">
        <v>417</v>
      </c>
      <c r="D60" s="230"/>
      <c r="E60" s="232"/>
      <c r="F60" s="232"/>
      <c r="G60" s="587" t="s">
        <v>743</v>
      </c>
      <c r="H60" s="232"/>
      <c r="I60" s="232"/>
      <c r="J60" s="232"/>
      <c r="K60" s="232"/>
      <c r="L60" s="230"/>
      <c r="M60" s="230"/>
      <c r="N60" s="615"/>
      <c r="O60" s="615"/>
      <c r="P60" s="615"/>
      <c r="Q60" s="615"/>
      <c r="R60" s="615"/>
      <c r="S60" s="615"/>
      <c r="T60" s="615">
        <f t="shared" ref="T60:AD60" si="31">U60-U59</f>
        <v>31.762999999999984</v>
      </c>
      <c r="U60" s="615">
        <f t="shared" si="31"/>
        <v>35.478999999999985</v>
      </c>
      <c r="V60" s="615">
        <f t="shared" si="31"/>
        <v>39.892999999999986</v>
      </c>
      <c r="W60" s="615">
        <f t="shared" si="31"/>
        <v>42.587999999999987</v>
      </c>
      <c r="X60" s="615">
        <f t="shared" si="31"/>
        <v>46.795999999999985</v>
      </c>
      <c r="Y60" s="615">
        <f t="shared" si="31"/>
        <v>51.918999999999983</v>
      </c>
      <c r="Z60" s="615">
        <f t="shared" si="31"/>
        <v>57.772999999999996</v>
      </c>
      <c r="AA60" s="615">
        <f t="shared" si="31"/>
        <v>62.187999999999988</v>
      </c>
      <c r="AB60" s="615">
        <f t="shared" si="31"/>
        <v>65.589999999999989</v>
      </c>
      <c r="AC60" s="615">
        <f t="shared" si="31"/>
        <v>70.133999999999986</v>
      </c>
      <c r="AD60" s="615">
        <f t="shared" si="31"/>
        <v>73.935999999999993</v>
      </c>
      <c r="AE60" s="619">
        <v>77.546999999999997</v>
      </c>
      <c r="AF60" s="619">
        <v>82.858000000000004</v>
      </c>
      <c r="AG60" s="619">
        <v>87.421000000000006</v>
      </c>
      <c r="AH60" s="619">
        <v>92.013999999999996</v>
      </c>
      <c r="AI60" s="619">
        <v>95.763000000000005</v>
      </c>
      <c r="AJ60" s="619">
        <v>100.206</v>
      </c>
      <c r="AK60" s="619">
        <v>104.991</v>
      </c>
      <c r="AL60" s="600">
        <v>109.845</v>
      </c>
      <c r="AM60" s="619">
        <v>115.75</v>
      </c>
      <c r="AN60" s="601">
        <v>122.262</v>
      </c>
      <c r="AO60" s="619">
        <v>127.104</v>
      </c>
      <c r="AP60" s="620">
        <f t="shared" ref="AP60:AQ60" si="32">AO60+AP59</f>
        <v>132.31516666666667</v>
      </c>
      <c r="AQ60" s="620">
        <f t="shared" si="32"/>
        <v>139.31516666666667</v>
      </c>
      <c r="AR60" s="620">
        <v>143.31516666666667</v>
      </c>
      <c r="AS60" s="620">
        <v>147.31516666666667</v>
      </c>
      <c r="AT60" s="620">
        <v>151.31516666666667</v>
      </c>
      <c r="AU60" s="620">
        <v>155.31516666666667</v>
      </c>
      <c r="AV60" s="620">
        <v>159.31516666666667</v>
      </c>
      <c r="AW60" s="620">
        <v>163.31516666666667</v>
      </c>
      <c r="AX60" s="620">
        <v>167.31516666666667</v>
      </c>
      <c r="AY60" s="620">
        <v>171.31516666666667</v>
      </c>
      <c r="AZ60" s="620">
        <v>175.31516666666667</v>
      </c>
      <c r="BA60" s="620">
        <v>179.31516666666667</v>
      </c>
      <c r="BB60" s="620">
        <v>183.31516666666667</v>
      </c>
      <c r="BC60" s="620">
        <v>187.31516666666667</v>
      </c>
      <c r="BD60" s="620">
        <v>191.64850000000001</v>
      </c>
      <c r="BE60" s="620">
        <v>196.31516666666667</v>
      </c>
      <c r="BF60" s="620">
        <v>201.31516666666667</v>
      </c>
      <c r="BG60" s="620">
        <v>206.64850000000001</v>
      </c>
      <c r="BH60" s="620">
        <v>212.31516666666667</v>
      </c>
      <c r="BI60" s="620">
        <v>218.31516666666667</v>
      </c>
      <c r="BJ60" s="620">
        <v>224.64850000000001</v>
      </c>
      <c r="BK60" s="620">
        <v>231.31516666666667</v>
      </c>
      <c r="BL60" s="620">
        <v>238.31516666666667</v>
      </c>
      <c r="BM60" s="620">
        <v>245.64850000000001</v>
      </c>
      <c r="BN60" s="620">
        <v>253.31516666666667</v>
      </c>
      <c r="BO60" s="620">
        <v>261.31516666666664</v>
      </c>
      <c r="BP60" s="620">
        <v>269.35683333333333</v>
      </c>
      <c r="BQ60" s="620">
        <v>277.44016666666664</v>
      </c>
      <c r="BR60" s="620">
        <v>285.56516666666664</v>
      </c>
      <c r="BS60" s="620">
        <v>293.73183333333333</v>
      </c>
      <c r="BT60" s="620">
        <v>301.94016666666664</v>
      </c>
      <c r="BU60" s="620">
        <v>310.19016666666664</v>
      </c>
      <c r="BV60" s="620">
        <v>318.48183333333333</v>
      </c>
      <c r="BW60" s="620">
        <v>326.81516666666664</v>
      </c>
      <c r="BX60" s="620">
        <v>335.19016666666664</v>
      </c>
      <c r="BY60" s="620">
        <v>343.60683333333333</v>
      </c>
      <c r="BZ60" s="620">
        <v>352.06516666666664</v>
      </c>
      <c r="CA60" s="620">
        <v>360.56516666666664</v>
      </c>
      <c r="CB60" s="620">
        <v>369.10683333333333</v>
      </c>
      <c r="CC60" s="620">
        <v>377.69016666666664</v>
      </c>
      <c r="CD60" s="620">
        <v>386.31516666666664</v>
      </c>
      <c r="CE60" s="620">
        <v>394.98183333333333</v>
      </c>
      <c r="CF60" s="620">
        <v>403.69016666666664</v>
      </c>
      <c r="CG60" s="620">
        <v>412.44016666666664</v>
      </c>
      <c r="CH60" s="620">
        <v>421.23183333333333</v>
      </c>
      <c r="CI60" s="620">
        <v>430.06516666666664</v>
      </c>
      <c r="CJ60" s="620">
        <v>438.94016666666664</v>
      </c>
      <c r="CK60" s="620">
        <v>447.85683333333333</v>
      </c>
      <c r="CL60" s="620">
        <v>456.81516666666664</v>
      </c>
      <c r="CM60" s="620">
        <v>465.81516666666664</v>
      </c>
      <c r="CN60" s="620">
        <v>474.85683333333333</v>
      </c>
      <c r="CO60" s="620">
        <v>483.94016666666664</v>
      </c>
      <c r="CP60" s="620">
        <v>493.06516666666664</v>
      </c>
      <c r="CQ60" s="620">
        <v>502.23183333333333</v>
      </c>
      <c r="CR60" s="620">
        <v>511.44016666666664</v>
      </c>
      <c r="CS60" s="620">
        <v>520.69016666666664</v>
      </c>
      <c r="CT60" s="620">
        <v>529.98183333333327</v>
      </c>
      <c r="CU60" s="620">
        <v>539.31516666666664</v>
      </c>
      <c r="CV60" s="620">
        <v>548.69016666666664</v>
      </c>
      <c r="CW60" s="620">
        <v>558.10683333333327</v>
      </c>
      <c r="CX60" s="620">
        <v>567.56516666666664</v>
      </c>
      <c r="CY60" s="620">
        <v>577.06516666666664</v>
      </c>
    </row>
    <row r="61" spans="1:103">
      <c r="A61" s="230"/>
      <c r="B61" s="230" t="s">
        <v>863</v>
      </c>
      <c r="C61" s="230"/>
      <c r="D61" s="230"/>
      <c r="E61" s="232"/>
      <c r="F61" s="232"/>
      <c r="G61" s="587" t="s">
        <v>743</v>
      </c>
      <c r="H61" s="232"/>
      <c r="I61" s="232"/>
      <c r="J61" s="232"/>
      <c r="K61" s="232"/>
      <c r="L61" s="230"/>
      <c r="M61" s="230"/>
      <c r="N61" s="231"/>
      <c r="O61" s="231"/>
      <c r="P61" s="231"/>
      <c r="Q61" s="231"/>
      <c r="R61" s="231"/>
      <c r="S61" s="231"/>
      <c r="T61" s="231">
        <f t="shared" ref="T61:AD61" si="33">T62*T60</f>
        <v>23.031119653893683</v>
      </c>
      <c r="U61" s="231">
        <f t="shared" si="33"/>
        <v>24.790732831608643</v>
      </c>
      <c r="V61" s="231">
        <f t="shared" si="33"/>
        <v>26.933076786769043</v>
      </c>
      <c r="W61" s="231">
        <f t="shared" si="33"/>
        <v>28.128965707964596</v>
      </c>
      <c r="X61" s="231">
        <f t="shared" si="33"/>
        <v>29.636945777851974</v>
      </c>
      <c r="Y61" s="231">
        <f t="shared" si="33"/>
        <v>30.842912776710605</v>
      </c>
      <c r="Z61" s="231">
        <f t="shared" si="33"/>
        <v>33.850366941597933</v>
      </c>
      <c r="AA61" s="231">
        <f t="shared" si="33"/>
        <v>36.747628889505656</v>
      </c>
      <c r="AB61" s="231">
        <f t="shared" si="33"/>
        <v>38.231313234245114</v>
      </c>
      <c r="AC61" s="231">
        <f t="shared" si="33"/>
        <v>40.702665687714131</v>
      </c>
      <c r="AD61" s="231">
        <f t="shared" si="33"/>
        <v>42.889190598367733</v>
      </c>
      <c r="AE61" s="610">
        <v>45.482999999999997</v>
      </c>
      <c r="AF61" s="610">
        <v>47.78</v>
      </c>
      <c r="AG61" s="610">
        <v>50.62</v>
      </c>
      <c r="AH61" s="610">
        <v>53.741</v>
      </c>
      <c r="AI61" s="610">
        <v>63.75</v>
      </c>
      <c r="AJ61" s="610">
        <v>66.156999999999996</v>
      </c>
      <c r="AK61" s="610">
        <v>62.58</v>
      </c>
      <c r="AL61" s="610">
        <v>63.871000000000002</v>
      </c>
      <c r="AM61" s="621">
        <v>62.92</v>
      </c>
      <c r="AN61" s="610">
        <v>65.209000000000003</v>
      </c>
      <c r="AO61" s="610">
        <v>62.576000000000001</v>
      </c>
      <c r="AP61" s="267">
        <f t="shared" ref="AP61:AQ61" si="34">AP60*AP62</f>
        <v>120.40680166666668</v>
      </c>
      <c r="AQ61" s="267">
        <f t="shared" si="34"/>
        <v>126.77680166666667</v>
      </c>
      <c r="AR61" s="267">
        <v>78.823341666666678</v>
      </c>
      <c r="AS61" s="267">
        <v>81.023341666666681</v>
      </c>
      <c r="AT61" s="267">
        <v>83.22334166666667</v>
      </c>
      <c r="AU61" s="267">
        <v>85.423341666666673</v>
      </c>
      <c r="AV61" s="267">
        <v>87.623341666666676</v>
      </c>
      <c r="AW61" s="267">
        <v>89.823341666666678</v>
      </c>
      <c r="AX61" s="267">
        <v>92.023341666666681</v>
      </c>
      <c r="AY61" s="267">
        <v>94.22334166666667</v>
      </c>
      <c r="AZ61" s="267">
        <v>96.423341666666673</v>
      </c>
      <c r="BA61" s="267">
        <v>98.623341666666676</v>
      </c>
      <c r="BB61" s="267">
        <v>100.82334166666668</v>
      </c>
      <c r="BC61" s="267">
        <v>103.02334166666668</v>
      </c>
      <c r="BD61" s="267">
        <v>105.40667500000002</v>
      </c>
      <c r="BE61" s="267">
        <v>107.97334166666668</v>
      </c>
      <c r="BF61" s="267">
        <v>110.72334166666668</v>
      </c>
      <c r="BG61" s="267">
        <v>113.65667500000002</v>
      </c>
      <c r="BH61" s="267">
        <v>116.77334166666668</v>
      </c>
      <c r="BI61" s="267">
        <v>120.07334166666668</v>
      </c>
      <c r="BJ61" s="267">
        <v>123.55667500000001</v>
      </c>
      <c r="BK61" s="267">
        <v>127.22334166666668</v>
      </c>
      <c r="BL61" s="267">
        <v>131.07334166666669</v>
      </c>
      <c r="BM61" s="267">
        <v>135.10667500000002</v>
      </c>
      <c r="BN61" s="267">
        <v>139.32334166666669</v>
      </c>
      <c r="BO61" s="267">
        <v>143.72334166666667</v>
      </c>
      <c r="BP61" s="267">
        <v>148.14625833333335</v>
      </c>
      <c r="BQ61" s="267">
        <v>152.59209166666668</v>
      </c>
      <c r="BR61" s="267">
        <v>157.06084166666668</v>
      </c>
      <c r="BS61" s="267">
        <v>161.55250833333335</v>
      </c>
      <c r="BT61" s="267">
        <v>166.06709166666667</v>
      </c>
      <c r="BU61" s="267">
        <v>170.60459166666666</v>
      </c>
      <c r="BV61" s="267">
        <v>175.16500833333333</v>
      </c>
      <c r="BW61" s="267">
        <v>179.74834166666668</v>
      </c>
      <c r="BX61" s="267">
        <v>184.35459166666666</v>
      </c>
      <c r="BY61" s="267">
        <v>188.98375833333336</v>
      </c>
      <c r="BZ61" s="267">
        <v>193.63584166666666</v>
      </c>
      <c r="CA61" s="267">
        <v>198.31084166666668</v>
      </c>
      <c r="CB61" s="267">
        <v>203.00875833333333</v>
      </c>
      <c r="CC61" s="267">
        <v>207.72959166666666</v>
      </c>
      <c r="CD61" s="267">
        <v>212.47334166666667</v>
      </c>
      <c r="CE61" s="267">
        <v>217.24000833333335</v>
      </c>
      <c r="CF61" s="267">
        <v>222.02959166666668</v>
      </c>
      <c r="CG61" s="267">
        <v>226.84209166666668</v>
      </c>
      <c r="CH61" s="267">
        <v>231.67750833333335</v>
      </c>
      <c r="CI61" s="267">
        <v>236.53584166666667</v>
      </c>
      <c r="CJ61" s="267">
        <v>241.41709166666666</v>
      </c>
      <c r="CK61" s="267">
        <v>246.32125833333336</v>
      </c>
      <c r="CL61" s="267">
        <v>251.24834166666668</v>
      </c>
      <c r="CM61" s="267">
        <v>256.19834166666669</v>
      </c>
      <c r="CN61" s="267">
        <v>261.17125833333336</v>
      </c>
      <c r="CO61" s="267">
        <v>266.16709166666669</v>
      </c>
      <c r="CP61" s="267">
        <v>271.18584166666665</v>
      </c>
      <c r="CQ61" s="267">
        <v>276.22750833333333</v>
      </c>
      <c r="CR61" s="267">
        <v>281.29209166666669</v>
      </c>
      <c r="CS61" s="267">
        <v>286.37959166666667</v>
      </c>
      <c r="CT61" s="267">
        <v>291.49000833333332</v>
      </c>
      <c r="CU61" s="267">
        <v>296.6233416666667</v>
      </c>
      <c r="CV61" s="267">
        <v>301.7795916666667</v>
      </c>
      <c r="CW61" s="267">
        <v>306.95875833333332</v>
      </c>
      <c r="CX61" s="267">
        <v>312.16084166666667</v>
      </c>
      <c r="CY61" s="267">
        <v>317.38584166666669</v>
      </c>
    </row>
    <row r="62" spans="1:103">
      <c r="A62" s="230"/>
      <c r="B62" s="230" t="s">
        <v>419</v>
      </c>
      <c r="C62" s="230"/>
      <c r="D62" s="230"/>
      <c r="E62" s="232"/>
      <c r="F62" s="232"/>
      <c r="G62" s="232" t="s">
        <v>812</v>
      </c>
      <c r="H62" s="232"/>
      <c r="I62" s="232"/>
      <c r="J62" s="232"/>
      <c r="K62" s="232"/>
      <c r="L62" s="230"/>
      <c r="M62" s="230"/>
      <c r="N62" s="231"/>
      <c r="O62" s="231"/>
      <c r="P62" s="231"/>
      <c r="Q62" s="231"/>
      <c r="R62" s="231"/>
      <c r="S62" s="231"/>
      <c r="T62" s="622">
        <v>0.72509270704573547</v>
      </c>
      <c r="U62" s="622">
        <v>0.69874384372751919</v>
      </c>
      <c r="V62" s="622">
        <v>0.67513290017720029</v>
      </c>
      <c r="W62" s="622">
        <v>0.66049041297935107</v>
      </c>
      <c r="X62" s="622">
        <v>0.63332220227908331</v>
      </c>
      <c r="Y62" s="622">
        <v>0.59405829805486654</v>
      </c>
      <c r="Z62" s="622">
        <v>0.58592018662001166</v>
      </c>
      <c r="AA62" s="622">
        <v>0.59091189440898018</v>
      </c>
      <c r="AB62" s="622">
        <v>0.5828832632145925</v>
      </c>
      <c r="AC62" s="622">
        <v>0.58035568608255828</v>
      </c>
      <c r="AD62" s="622">
        <v>0.58008535217441759</v>
      </c>
      <c r="AE62" s="622">
        <v>0.58537125424396008</v>
      </c>
      <c r="AF62" s="622">
        <f t="shared" ref="AF62:AL62" si="35">AF61/AF60</f>
        <v>0.57664920707716816</v>
      </c>
      <c r="AG62" s="622">
        <f t="shared" si="35"/>
        <v>0.57903707347204902</v>
      </c>
      <c r="AH62" s="622">
        <f t="shared" si="35"/>
        <v>0.58405242680461666</v>
      </c>
      <c r="AI62" s="622">
        <f t="shared" si="35"/>
        <v>0.66570596159268192</v>
      </c>
      <c r="AJ62" s="622">
        <f t="shared" si="35"/>
        <v>0.66020996746701788</v>
      </c>
      <c r="AK62" s="622">
        <f t="shared" si="35"/>
        <v>0.5960510900934366</v>
      </c>
      <c r="AL62" s="622">
        <f t="shared" si="35"/>
        <v>0.58146479129682738</v>
      </c>
      <c r="AM62" s="622">
        <f>AM61/AM60</f>
        <v>0.54358531317494607</v>
      </c>
      <c r="AN62" s="622">
        <f>AN61/AN60</f>
        <v>0.53335459913955274</v>
      </c>
      <c r="AO62" s="622">
        <f>AO61/AO60</f>
        <v>0.49232124874118832</v>
      </c>
      <c r="AP62" s="623">
        <v>0.91</v>
      </c>
      <c r="AQ62" s="623">
        <v>0.91</v>
      </c>
      <c r="AR62" s="623">
        <v>0.55000000000000004</v>
      </c>
      <c r="AS62" s="623">
        <v>0.55000000000000004</v>
      </c>
      <c r="AT62" s="623">
        <v>0.55000000000000004</v>
      </c>
      <c r="AU62" s="623">
        <v>0.55000000000000004</v>
      </c>
      <c r="AV62" s="623">
        <v>0.55000000000000004</v>
      </c>
      <c r="AW62" s="623">
        <v>0.55000000000000004</v>
      </c>
      <c r="AX62" s="623">
        <v>0.55000000000000004</v>
      </c>
      <c r="AY62" s="623">
        <v>0.55000000000000004</v>
      </c>
      <c r="AZ62" s="623">
        <v>0.55000000000000004</v>
      </c>
      <c r="BA62" s="623">
        <v>0.55000000000000004</v>
      </c>
      <c r="BB62" s="623">
        <v>0.55000000000000004</v>
      </c>
      <c r="BC62" s="623">
        <v>0.55000000000000004</v>
      </c>
      <c r="BD62" s="623">
        <v>0.55000000000000004</v>
      </c>
      <c r="BE62" s="623">
        <v>0.55000000000000004</v>
      </c>
      <c r="BF62" s="623">
        <v>0.55000000000000004</v>
      </c>
      <c r="BG62" s="623">
        <v>0.55000000000000004</v>
      </c>
      <c r="BH62" s="623">
        <v>0.55000000000000004</v>
      </c>
      <c r="BI62" s="623">
        <v>0.55000000000000004</v>
      </c>
      <c r="BJ62" s="623">
        <v>0.55000000000000004</v>
      </c>
      <c r="BK62" s="623">
        <v>0.55000000000000004</v>
      </c>
      <c r="BL62" s="623">
        <v>0.55000000000000004</v>
      </c>
      <c r="BM62" s="623">
        <v>0.55000000000000004</v>
      </c>
      <c r="BN62" s="623">
        <v>0.55000000000000004</v>
      </c>
      <c r="BO62" s="623">
        <v>0.55000000000000004</v>
      </c>
      <c r="BP62" s="623">
        <v>0.55000000000000004</v>
      </c>
      <c r="BQ62" s="623">
        <v>0.55000000000000004</v>
      </c>
      <c r="BR62" s="623">
        <v>0.55000000000000004</v>
      </c>
      <c r="BS62" s="623">
        <v>0.55000000000000004</v>
      </c>
      <c r="BT62" s="623">
        <v>0.55000000000000004</v>
      </c>
      <c r="BU62" s="623">
        <v>0.55000000000000004</v>
      </c>
      <c r="BV62" s="623">
        <v>0.55000000000000004</v>
      </c>
      <c r="BW62" s="623">
        <v>0.55000000000000004</v>
      </c>
      <c r="BX62" s="623">
        <v>0.55000000000000004</v>
      </c>
      <c r="BY62" s="623">
        <v>0.55000000000000004</v>
      </c>
      <c r="BZ62" s="623">
        <v>0.55000000000000004</v>
      </c>
      <c r="CA62" s="623">
        <v>0.55000000000000004</v>
      </c>
      <c r="CB62" s="623">
        <v>0.55000000000000004</v>
      </c>
      <c r="CC62" s="623">
        <v>0.55000000000000004</v>
      </c>
      <c r="CD62" s="623">
        <v>0.55000000000000004</v>
      </c>
      <c r="CE62" s="623">
        <v>0.55000000000000004</v>
      </c>
      <c r="CF62" s="623">
        <v>0.55000000000000004</v>
      </c>
      <c r="CG62" s="623">
        <v>0.55000000000000004</v>
      </c>
      <c r="CH62" s="623">
        <v>0.55000000000000004</v>
      </c>
      <c r="CI62" s="623">
        <v>0.55000000000000004</v>
      </c>
      <c r="CJ62" s="623">
        <v>0.55000000000000004</v>
      </c>
      <c r="CK62" s="623">
        <v>0.55000000000000004</v>
      </c>
      <c r="CL62" s="623">
        <v>0.55000000000000004</v>
      </c>
      <c r="CM62" s="623">
        <v>0.55000000000000004</v>
      </c>
      <c r="CN62" s="623">
        <v>0.55000000000000004</v>
      </c>
      <c r="CO62" s="623">
        <v>0.55000000000000004</v>
      </c>
      <c r="CP62" s="623">
        <v>0.55000000000000004</v>
      </c>
      <c r="CQ62" s="623">
        <v>0.55000000000000004</v>
      </c>
      <c r="CR62" s="623">
        <v>0.55000000000000004</v>
      </c>
      <c r="CS62" s="623">
        <v>0.55000000000000004</v>
      </c>
      <c r="CT62" s="623">
        <v>0.55000000000000004</v>
      </c>
      <c r="CU62" s="623">
        <v>0.55000000000000004</v>
      </c>
      <c r="CV62" s="623">
        <v>0.55000000000000004</v>
      </c>
      <c r="CW62" s="623">
        <v>0.55000000000000004</v>
      </c>
      <c r="CX62" s="623">
        <v>0.55000000000000004</v>
      </c>
      <c r="CY62" s="623">
        <v>0.55000000000000004</v>
      </c>
    </row>
    <row r="63" spans="1:103">
      <c r="A63" s="230"/>
      <c r="B63" s="230" t="s">
        <v>864</v>
      </c>
      <c r="C63" s="230"/>
      <c r="D63" s="230"/>
      <c r="E63" s="232"/>
      <c r="F63" s="232"/>
      <c r="G63" s="232" t="s">
        <v>736</v>
      </c>
      <c r="H63" s="232"/>
      <c r="I63" s="232"/>
      <c r="J63" s="232"/>
      <c r="K63" s="232"/>
      <c r="L63" s="230"/>
      <c r="M63" s="230"/>
      <c r="N63" s="231"/>
      <c r="O63" s="231"/>
      <c r="P63" s="231"/>
      <c r="Q63" s="231"/>
      <c r="R63" s="231"/>
      <c r="S63" s="231"/>
      <c r="T63" s="610">
        <v>57.405949038000003</v>
      </c>
      <c r="U63" s="610">
        <v>55.647552984999997</v>
      </c>
      <c r="V63" s="610">
        <v>72.179493303000001</v>
      </c>
      <c r="W63" s="610">
        <v>76.075885299999996</v>
      </c>
      <c r="X63" s="610">
        <v>63.454999999999998</v>
      </c>
      <c r="Y63" s="610">
        <v>70.975999999999999</v>
      </c>
      <c r="Z63" s="610">
        <v>88.112866878999995</v>
      </c>
      <c r="AA63" s="610">
        <v>98.611000000000004</v>
      </c>
      <c r="AB63" s="610">
        <v>85.540999999999997</v>
      </c>
      <c r="AC63" s="610">
        <v>102</v>
      </c>
      <c r="AD63" s="610">
        <v>107</v>
      </c>
      <c r="AE63" s="610">
        <v>134.96612048099999</v>
      </c>
      <c r="AF63" s="610">
        <v>169.28890088599999</v>
      </c>
      <c r="AG63" s="610">
        <v>164.800907155</v>
      </c>
      <c r="AH63" s="610">
        <v>226.339404492</v>
      </c>
      <c r="AI63" s="610">
        <v>222.91384948499999</v>
      </c>
      <c r="AJ63" s="610">
        <v>266.36578235000002</v>
      </c>
      <c r="AK63" s="610">
        <v>267.83545633300002</v>
      </c>
      <c r="AL63" s="610">
        <v>304.87159501599996</v>
      </c>
      <c r="AM63" s="610">
        <v>347.74587000000002</v>
      </c>
      <c r="AN63" s="610">
        <v>311.40622999999999</v>
      </c>
      <c r="AO63" s="610">
        <v>392.72357</v>
      </c>
      <c r="AP63" s="267">
        <v>0</v>
      </c>
      <c r="AQ63" s="267">
        <v>0</v>
      </c>
      <c r="AR63" s="267">
        <v>413.16568256944453</v>
      </c>
      <c r="AS63" s="267">
        <v>428.07332180555568</v>
      </c>
      <c r="AT63" s="267">
        <v>443.16429437500011</v>
      </c>
      <c r="AU63" s="267">
        <v>458.43860027777794</v>
      </c>
      <c r="AV63" s="267">
        <v>473.8962395138891</v>
      </c>
      <c r="AW63" s="267">
        <v>489.5372120833336</v>
      </c>
      <c r="AX63" s="267">
        <v>505.36151798611138</v>
      </c>
      <c r="AY63" s="267">
        <v>521.3691572222225</v>
      </c>
      <c r="AZ63" s="267">
        <v>537.56012979166701</v>
      </c>
      <c r="BA63" s="267">
        <v>553.9344356944448</v>
      </c>
      <c r="BB63" s="267">
        <v>570.49207493055599</v>
      </c>
      <c r="BC63" s="267">
        <v>587.23304750000011</v>
      </c>
      <c r="BD63" s="267">
        <v>600.81804750000015</v>
      </c>
      <c r="BE63" s="267">
        <v>615.44804750000014</v>
      </c>
      <c r="BF63" s="267">
        <v>631.1230475000001</v>
      </c>
      <c r="BG63" s="267">
        <v>647.84304750000013</v>
      </c>
      <c r="BH63" s="267">
        <v>665.60804750000011</v>
      </c>
      <c r="BI63" s="267">
        <v>684.41804750000006</v>
      </c>
      <c r="BJ63" s="267">
        <v>704.27304750000008</v>
      </c>
      <c r="BK63" s="267">
        <v>725.17304750000005</v>
      </c>
      <c r="BL63" s="267">
        <v>747.1180475000001</v>
      </c>
      <c r="BM63" s="267">
        <v>770.10804750000011</v>
      </c>
      <c r="BN63" s="267">
        <v>794.14304750000008</v>
      </c>
      <c r="BO63" s="267">
        <v>819.22304750000001</v>
      </c>
      <c r="BP63" s="267">
        <v>844.43367250000006</v>
      </c>
      <c r="BQ63" s="267">
        <v>869.77492250000012</v>
      </c>
      <c r="BR63" s="267">
        <v>895.24679750000007</v>
      </c>
      <c r="BS63" s="267">
        <v>920.84929750000015</v>
      </c>
      <c r="BT63" s="267">
        <v>946.58242250000001</v>
      </c>
      <c r="BU63" s="267">
        <v>972.44617249999999</v>
      </c>
      <c r="BV63" s="267">
        <v>998.44054749999998</v>
      </c>
      <c r="BW63" s="267">
        <v>1024.5655475000001</v>
      </c>
      <c r="BX63" s="267">
        <v>1050.8211724999999</v>
      </c>
      <c r="BY63" s="267">
        <v>1077.2074225000001</v>
      </c>
      <c r="BZ63" s="267">
        <v>1103.7242974999999</v>
      </c>
      <c r="CA63" s="267">
        <v>1130.3717975000002</v>
      </c>
      <c r="CB63" s="267">
        <v>1157.1499225</v>
      </c>
      <c r="CC63" s="267">
        <v>1184.0586724999998</v>
      </c>
      <c r="CD63" s="267">
        <v>1211.0980475000001</v>
      </c>
      <c r="CE63" s="267">
        <v>1238.2680475000002</v>
      </c>
      <c r="CF63" s="267">
        <v>1265.5686725</v>
      </c>
      <c r="CG63" s="267">
        <v>1292.9999225000001</v>
      </c>
      <c r="CH63" s="267">
        <v>1320.5617975</v>
      </c>
      <c r="CI63" s="267">
        <v>1348.2542975000001</v>
      </c>
      <c r="CJ63" s="267">
        <v>1376.0774224999998</v>
      </c>
      <c r="CK63" s="267">
        <v>1404.0311725000001</v>
      </c>
      <c r="CL63" s="267">
        <v>1432.1155475</v>
      </c>
      <c r="CM63" s="267">
        <v>1460.3305475000002</v>
      </c>
      <c r="CN63" s="267">
        <v>1488.6761725000001</v>
      </c>
      <c r="CO63" s="267">
        <v>1517.1524225000001</v>
      </c>
      <c r="CP63" s="267">
        <v>1545.7592974999998</v>
      </c>
      <c r="CQ63" s="267">
        <v>1574.4967975000002</v>
      </c>
      <c r="CR63" s="267">
        <v>1603.3649225000001</v>
      </c>
      <c r="CS63" s="267">
        <v>1632.3636725000001</v>
      </c>
      <c r="CT63" s="267">
        <v>1661.4930474999999</v>
      </c>
      <c r="CU63" s="267">
        <v>1690.7530475000001</v>
      </c>
      <c r="CV63" s="267">
        <v>1720.1436725000001</v>
      </c>
      <c r="CW63" s="267">
        <v>1749.6649224999999</v>
      </c>
      <c r="CX63" s="267">
        <v>1779.3167975000001</v>
      </c>
      <c r="CY63" s="267">
        <v>1809.0992975000001</v>
      </c>
    </row>
    <row r="64" spans="1:103">
      <c r="A64" s="230"/>
      <c r="B64" s="230" t="s">
        <v>874</v>
      </c>
      <c r="C64" s="230"/>
      <c r="D64" s="230"/>
      <c r="E64" s="232"/>
      <c r="F64" s="232"/>
      <c r="G64" s="232" t="s">
        <v>736</v>
      </c>
      <c r="H64" s="232"/>
      <c r="I64" s="232"/>
      <c r="J64" s="232"/>
      <c r="K64" s="232"/>
      <c r="L64" s="620"/>
      <c r="M64" s="620"/>
      <c r="N64" s="620"/>
      <c r="O64" s="620"/>
      <c r="P64" s="620"/>
      <c r="Q64" s="620"/>
      <c r="R64" s="620"/>
      <c r="S64" s="619"/>
      <c r="T64" s="619">
        <v>140.183711824</v>
      </c>
      <c r="U64" s="619">
        <v>160.44677578299999</v>
      </c>
      <c r="V64" s="619">
        <v>166.726677013</v>
      </c>
      <c r="W64" s="619">
        <v>186.77725496299999</v>
      </c>
      <c r="X64" s="619">
        <v>188.38201409300001</v>
      </c>
      <c r="Y64" s="619">
        <v>204.118976503</v>
      </c>
      <c r="Z64" s="619">
        <v>222.28352097199999</v>
      </c>
      <c r="AA64" s="619">
        <v>234.07719296100001</v>
      </c>
      <c r="AB64" s="619">
        <v>253.27044091600001</v>
      </c>
      <c r="AC64" s="619">
        <v>265.628187454</v>
      </c>
      <c r="AD64" s="619">
        <v>282.67567910499997</v>
      </c>
      <c r="AE64" s="619">
        <v>306.02992423900002</v>
      </c>
      <c r="AF64" s="619">
        <v>325.67043185099999</v>
      </c>
      <c r="AG64" s="619">
        <v>383.559856099</v>
      </c>
      <c r="AH64" s="619">
        <v>435.506978898</v>
      </c>
      <c r="AI64" s="619">
        <v>476.01213288999998</v>
      </c>
      <c r="AJ64" s="619">
        <v>514.02629040900001</v>
      </c>
      <c r="AK64" s="619">
        <v>486.693196564</v>
      </c>
      <c r="AL64" s="619">
        <v>513.99735620900003</v>
      </c>
      <c r="AM64" s="619">
        <v>557.89871806199994</v>
      </c>
      <c r="AN64" s="619">
        <v>620.39997782600005</v>
      </c>
      <c r="AO64" s="619">
        <v>633.225974587</v>
      </c>
      <c r="AP64" s="267">
        <v>335.57526653111006</v>
      </c>
      <c r="AQ64" s="267">
        <v>177.82139126148834</v>
      </c>
      <c r="AR64" s="620">
        <v>749.53896324279219</v>
      </c>
      <c r="AS64" s="620">
        <v>798.23651517674978</v>
      </c>
      <c r="AT64" s="620">
        <v>837.8635621594035</v>
      </c>
      <c r="AU64" s="620">
        <v>873.21909095897752</v>
      </c>
      <c r="AV64" s="620">
        <v>906.25783037369467</v>
      </c>
      <c r="AW64" s="620">
        <v>940.80644411876131</v>
      </c>
      <c r="AX64" s="620">
        <v>974.74090014230865</v>
      </c>
      <c r="AY64" s="620">
        <v>1010.0940703926176</v>
      </c>
      <c r="AZ64" s="620">
        <v>1046.4897608236436</v>
      </c>
      <c r="BA64" s="620">
        <v>1083.7878949547528</v>
      </c>
      <c r="BB64" s="624">
        <v>1120.8823620794533</v>
      </c>
      <c r="BC64" s="624">
        <v>1158.2132592676555</v>
      </c>
      <c r="BD64" s="620">
        <v>1188.7908413293731</v>
      </c>
      <c r="BE64" s="620">
        <v>1216.7935361348409</v>
      </c>
      <c r="BF64" s="620">
        <v>1244.4139026997402</v>
      </c>
      <c r="BG64" s="620">
        <v>1272.7810887754242</v>
      </c>
      <c r="BH64" s="620">
        <v>1302.4809016976344</v>
      </c>
      <c r="BI64" s="620">
        <v>1333.8114238694384</v>
      </c>
      <c r="BJ64" s="620">
        <v>1366.9194399562564</v>
      </c>
      <c r="BK64" s="620">
        <v>1402.0237776503468</v>
      </c>
      <c r="BL64" s="620">
        <v>1439.1759231570711</v>
      </c>
      <c r="BM64" s="620">
        <v>1478.3261151296795</v>
      </c>
      <c r="BN64" s="620">
        <v>1519.4062619961087</v>
      </c>
      <c r="BO64" s="620">
        <v>1562.3561193284099</v>
      </c>
      <c r="BP64" s="620">
        <v>1608.8179068211989</v>
      </c>
      <c r="BQ64" s="620">
        <v>1657.145615617143</v>
      </c>
      <c r="BR64" s="620">
        <v>1706.515266562089</v>
      </c>
      <c r="BS64" s="620">
        <v>1756.5150451728371</v>
      </c>
      <c r="BT64" s="620">
        <v>1806.9408128777975</v>
      </c>
      <c r="BU64" s="620">
        <v>1857.6926536356418</v>
      </c>
      <c r="BV64" s="620">
        <v>1908.7224599889694</v>
      </c>
      <c r="BW64" s="620">
        <v>1960.0076243830035</v>
      </c>
      <c r="BX64" s="620">
        <v>2011.5157481736005</v>
      </c>
      <c r="BY64" s="620">
        <v>2063.2536046460768</v>
      </c>
      <c r="BZ64" s="620">
        <v>2115.235409707655</v>
      </c>
      <c r="CA64" s="620">
        <v>2167.4733492804148</v>
      </c>
      <c r="CB64" s="620">
        <v>2219.9757802062122</v>
      </c>
      <c r="CC64" s="620">
        <v>2272.7477755252007</v>
      </c>
      <c r="CD64" s="620">
        <v>2325.7921161988838</v>
      </c>
      <c r="CE64" s="620">
        <v>2379.110135301542</v>
      </c>
      <c r="CF64" s="620">
        <v>2432.7023091057576</v>
      </c>
      <c r="CG64" s="620">
        <v>2486.5685001053398</v>
      </c>
      <c r="CH64" s="620">
        <v>2540.7083230591402</v>
      </c>
      <c r="CI64" s="620">
        <v>2595.1213665702626</v>
      </c>
      <c r="CJ64" s="620">
        <v>2649.8072857885572</v>
      </c>
      <c r="CK64" s="620">
        <v>2704.7658220101289</v>
      </c>
      <c r="CL64" s="620">
        <v>2759.9967907594105</v>
      </c>
      <c r="CM64" s="620">
        <v>2815.5000611962801</v>
      </c>
      <c r="CN64" s="620">
        <v>2871.275536858418</v>
      </c>
      <c r="CO64" s="620">
        <v>2927.3231409116061</v>
      </c>
      <c r="CP64" s="620">
        <v>2983.6428053049062</v>
      </c>
      <c r="CQ64" s="620">
        <v>3040.2344640912479</v>
      </c>
      <c r="CR64" s="620">
        <v>3097.0980500939681</v>
      </c>
      <c r="CS64" s="620">
        <v>3154.2334937313767</v>
      </c>
      <c r="CT64" s="620">
        <v>3211.6407229874349</v>
      </c>
      <c r="CU64" s="620">
        <v>3269.3196638554559</v>
      </c>
      <c r="CV64" s="620">
        <v>3327.2702408821083</v>
      </c>
      <c r="CW64" s="620">
        <v>3385.4923776427536</v>
      </c>
      <c r="CX64" s="620">
        <v>3443.9859970952966</v>
      </c>
      <c r="CY64" s="620">
        <v>3502.7510218120769</v>
      </c>
    </row>
    <row r="65" spans="1:103">
      <c r="A65" s="230"/>
      <c r="B65" s="230" t="s">
        <v>875</v>
      </c>
      <c r="C65" s="230"/>
      <c r="D65" s="230"/>
      <c r="E65" s="232"/>
      <c r="F65" s="232"/>
      <c r="G65" s="232" t="s">
        <v>736</v>
      </c>
      <c r="H65" s="232"/>
      <c r="I65" s="232"/>
      <c r="J65" s="232"/>
      <c r="K65" s="232"/>
      <c r="L65" s="620"/>
      <c r="M65" s="620"/>
      <c r="N65" s="620"/>
      <c r="O65" s="620"/>
      <c r="P65" s="620"/>
      <c r="Q65" s="620"/>
      <c r="R65" s="620"/>
      <c r="S65" s="619"/>
      <c r="T65" s="619">
        <v>93.586313086000004</v>
      </c>
      <c r="U65" s="619">
        <v>114.22001457</v>
      </c>
      <c r="V65" s="619">
        <v>124.116324666</v>
      </c>
      <c r="W65" s="619">
        <v>137.57796582</v>
      </c>
      <c r="X65" s="619">
        <v>146.46535326200001</v>
      </c>
      <c r="Y65" s="619">
        <v>156.59016147899999</v>
      </c>
      <c r="Z65" s="619">
        <v>166.93398159700001</v>
      </c>
      <c r="AA65" s="619">
        <v>181.11566981499999</v>
      </c>
      <c r="AB65" s="619">
        <v>193.88940620899999</v>
      </c>
      <c r="AC65" s="619">
        <v>203.502232531</v>
      </c>
      <c r="AD65" s="619">
        <v>215.30690820199999</v>
      </c>
      <c r="AE65" s="619">
        <v>220.304</v>
      </c>
      <c r="AF65" s="619">
        <v>233.47800000000001</v>
      </c>
      <c r="AG65" s="619">
        <v>253.63</v>
      </c>
      <c r="AH65" s="619">
        <v>277.13299999999998</v>
      </c>
      <c r="AI65" s="619">
        <v>312.10899999999998</v>
      </c>
      <c r="AJ65" s="619">
        <v>336.245</v>
      </c>
      <c r="AK65" s="619">
        <v>291.75780961100003</v>
      </c>
      <c r="AL65" s="619">
        <v>308.55380961100002</v>
      </c>
      <c r="AM65" s="625">
        <v>340.21899999999999</v>
      </c>
      <c r="AN65" s="619">
        <v>356.315</v>
      </c>
      <c r="AO65" s="619">
        <v>373.64100000000002</v>
      </c>
      <c r="AP65" s="267">
        <v>285.96485012348921</v>
      </c>
      <c r="AQ65" s="267">
        <v>151.54579036544934</v>
      </c>
      <c r="AR65" s="620">
        <v>418.14870704924118</v>
      </c>
      <c r="AS65" s="620">
        <v>414.74489299434504</v>
      </c>
      <c r="AT65" s="620">
        <v>443.02126592309605</v>
      </c>
      <c r="AU65" s="620">
        <v>466.41071626873457</v>
      </c>
      <c r="AV65" s="620">
        <v>487.54732578542911</v>
      </c>
      <c r="AW65" s="620">
        <v>507.50438500926896</v>
      </c>
      <c r="AX65" s="620">
        <v>528.41961944670413</v>
      </c>
      <c r="AY65" s="620">
        <v>549.10404041350046</v>
      </c>
      <c r="AZ65" s="620">
        <v>570.70314977182886</v>
      </c>
      <c r="BA65" s="620">
        <v>593.01086446673128</v>
      </c>
      <c r="BB65" s="624">
        <v>615.95278696595096</v>
      </c>
      <c r="BC65" s="624">
        <v>638.90294638528849</v>
      </c>
      <c r="BD65" s="620">
        <v>658.25120235045097</v>
      </c>
      <c r="BE65" s="620">
        <v>673.64814341997817</v>
      </c>
      <c r="BF65" s="620">
        <v>687.48834791618526</v>
      </c>
      <c r="BG65" s="620">
        <v>701.01983185418715</v>
      </c>
      <c r="BH65" s="620">
        <v>714.87871152886339</v>
      </c>
      <c r="BI65" s="620">
        <v>729.38930495067552</v>
      </c>
      <c r="BJ65" s="620">
        <v>744.71137832710338</v>
      </c>
      <c r="BK65" s="620">
        <v>760.91848824231636</v>
      </c>
      <c r="BL65" s="620">
        <v>778.12319659594266</v>
      </c>
      <c r="BM65" s="620">
        <v>796.34401081357964</v>
      </c>
      <c r="BN65" s="620">
        <v>815.54324017987358</v>
      </c>
      <c r="BO65" s="620">
        <v>835.67344409785983</v>
      </c>
      <c r="BP65" s="620">
        <v>859.29586563062549</v>
      </c>
      <c r="BQ65" s="620">
        <v>884.84984875165947</v>
      </c>
      <c r="BR65" s="620">
        <v>911.43008858942869</v>
      </c>
      <c r="BS65" s="620">
        <v>938.58339660914896</v>
      </c>
      <c r="BT65" s="620">
        <v>966.08327484506049</v>
      </c>
      <c r="BU65" s="620">
        <v>993.8174470827887</v>
      </c>
      <c r="BV65" s="620">
        <v>1021.730959499603</v>
      </c>
      <c r="BW65" s="620">
        <v>1049.7973529939331</v>
      </c>
      <c r="BX65" s="620">
        <v>1078.0041934106521</v>
      </c>
      <c r="BY65" s="620">
        <v>1106.3336614954803</v>
      </c>
      <c r="BZ65" s="620">
        <v>1134.7894825553424</v>
      </c>
      <c r="CA65" s="620">
        <v>1163.3794753392103</v>
      </c>
      <c r="CB65" s="620">
        <v>1192.1103421042283</v>
      </c>
      <c r="CC65" s="620">
        <v>1220.9866791134168</v>
      </c>
      <c r="CD65" s="620">
        <v>1250.0112765388606</v>
      </c>
      <c r="CE65" s="620">
        <v>1279.1856639093862</v>
      </c>
      <c r="CF65" s="620">
        <v>1308.5105744158482</v>
      </c>
      <c r="CG65" s="620">
        <v>1337.9862700081669</v>
      </c>
      <c r="CH65" s="620">
        <v>1367.6126750579369</v>
      </c>
      <c r="CI65" s="620">
        <v>1397.3895776825273</v>
      </c>
      <c r="CJ65" s="620">
        <v>1427.3167516136446</v>
      </c>
      <c r="CK65" s="620">
        <v>1457.3940071837067</v>
      </c>
      <c r="CL65" s="620">
        <v>1487.621202105571</v>
      </c>
      <c r="CM65" s="620">
        <v>1517.998234917676</v>
      </c>
      <c r="CN65" s="620">
        <v>1548.5250336579541</v>
      </c>
      <c r="CO65" s="620">
        <v>1579.20154527213</v>
      </c>
      <c r="CP65" s="620">
        <v>1610.0277275013834</v>
      </c>
      <c r="CQ65" s="620">
        <v>1641.0035429176985</v>
      </c>
      <c r="CR65" s="620">
        <v>1672.1289552501864</v>
      </c>
      <c r="CS65" s="620">
        <v>1703.4039275516827</v>
      </c>
      <c r="CT65" s="620">
        <v>1734.8284215522574</v>
      </c>
      <c r="CU65" s="620">
        <v>1766.4023976430892</v>
      </c>
      <c r="CV65" s="620">
        <v>1798.1258151205009</v>
      </c>
      <c r="CW65" s="620">
        <v>1829.9986324851598</v>
      </c>
      <c r="CX65" s="620">
        <v>1862.0208077035147</v>
      </c>
      <c r="CY65" s="620">
        <v>1894.1922984024134</v>
      </c>
    </row>
    <row r="66" spans="1:103">
      <c r="A66" s="230"/>
      <c r="B66" s="230" t="s">
        <v>215</v>
      </c>
      <c r="C66" s="230"/>
      <c r="D66" s="230"/>
      <c r="E66" s="232"/>
      <c r="F66" s="230"/>
      <c r="G66" s="232" t="s">
        <v>736</v>
      </c>
      <c r="H66" s="232"/>
      <c r="I66" s="232"/>
      <c r="J66" s="232"/>
      <c r="K66" s="232"/>
      <c r="L66" s="267"/>
      <c r="M66" s="267"/>
      <c r="N66" s="267"/>
      <c r="O66" s="267"/>
      <c r="P66" s="267"/>
      <c r="Q66" s="267"/>
      <c r="R66" s="267"/>
      <c r="S66" s="267"/>
      <c r="T66" s="590">
        <f t="shared" ref="T66:AQ66" si="36">T70+T73</f>
        <v>4.5085804940000003</v>
      </c>
      <c r="U66" s="590">
        <f t="shared" si="36"/>
        <v>2.017898642</v>
      </c>
      <c r="V66" s="590">
        <f t="shared" si="36"/>
        <v>3.1744414939999999</v>
      </c>
      <c r="W66" s="590">
        <f t="shared" si="36"/>
        <v>3.736219534</v>
      </c>
      <c r="X66" s="590">
        <f t="shared" si="36"/>
        <v>3.9291160609999998</v>
      </c>
      <c r="Y66" s="590">
        <f t="shared" si="36"/>
        <v>3.6266023449999998</v>
      </c>
      <c r="Z66" s="590">
        <f t="shared" si="36"/>
        <v>4.1713977779999993</v>
      </c>
      <c r="AA66" s="590">
        <f t="shared" si="36"/>
        <v>5.9482512910000001</v>
      </c>
      <c r="AB66" s="590">
        <f t="shared" si="36"/>
        <v>3.7040071139999999</v>
      </c>
      <c r="AC66" s="590">
        <f t="shared" si="36"/>
        <v>5.2548610709999997</v>
      </c>
      <c r="AD66" s="590">
        <f t="shared" si="36"/>
        <v>6.4587754200000003</v>
      </c>
      <c r="AE66" s="590">
        <f t="shared" si="36"/>
        <v>8.6789869698899942</v>
      </c>
      <c r="AF66" s="590">
        <f t="shared" si="36"/>
        <v>7.292164685905961</v>
      </c>
      <c r="AG66" s="590">
        <f t="shared" si="36"/>
        <v>9.6753176971992865</v>
      </c>
      <c r="AH66" s="590">
        <f t="shared" si="36"/>
        <v>7.1122240598748494</v>
      </c>
      <c r="AI66" s="590">
        <f t="shared" si="36"/>
        <v>11.034155324851849</v>
      </c>
      <c r="AJ66" s="590">
        <f t="shared" si="36"/>
        <v>10.971201420653063</v>
      </c>
      <c r="AK66" s="590">
        <f t="shared" si="36"/>
        <v>12.006365741251759</v>
      </c>
      <c r="AL66" s="590">
        <f t="shared" si="36"/>
        <v>12.137338209793246</v>
      </c>
      <c r="AM66" s="590">
        <f t="shared" si="36"/>
        <v>13.474445267767788</v>
      </c>
      <c r="AN66" s="590">
        <f t="shared" si="36"/>
        <v>15.174914900378493</v>
      </c>
      <c r="AO66" s="590">
        <f t="shared" si="36"/>
        <v>6.3055649128507136</v>
      </c>
      <c r="AP66" s="590">
        <f t="shared" si="36"/>
        <v>0.24924885371131705</v>
      </c>
      <c r="AQ66" s="590">
        <f t="shared" si="36"/>
        <v>0.3116305919771919</v>
      </c>
      <c r="AR66" s="590">
        <v>22.384869409445042</v>
      </c>
      <c r="AS66" s="590">
        <v>22.407325011138091</v>
      </c>
      <c r="AT66" s="590">
        <v>23.280581444017265</v>
      </c>
      <c r="AU66" s="590">
        <v>23.786993486870696</v>
      </c>
      <c r="AV66" s="590">
        <v>25.411363713424436</v>
      </c>
      <c r="AW66" s="590">
        <v>26.696172429653551</v>
      </c>
      <c r="AX66" s="590">
        <v>27.875383238075329</v>
      </c>
      <c r="AY66" s="590">
        <v>28.818601223881991</v>
      </c>
      <c r="AZ66" s="590">
        <v>29.739768619302922</v>
      </c>
      <c r="BA66" s="590">
        <v>30.548064640581419</v>
      </c>
      <c r="BB66" s="590">
        <v>31.498794101159294</v>
      </c>
      <c r="BC66" s="590">
        <v>32.98279195597042</v>
      </c>
      <c r="BD66" s="590">
        <v>34.882017288790109</v>
      </c>
      <c r="BE66" s="590">
        <v>35.225570255402843</v>
      </c>
      <c r="BF66" s="590">
        <v>36.108512828763871</v>
      </c>
      <c r="BG66" s="590">
        <v>36.275670734825667</v>
      </c>
      <c r="BH66" s="590">
        <v>37.500412887587402</v>
      </c>
      <c r="BI66" s="590">
        <v>38.541694427335841</v>
      </c>
      <c r="BJ66" s="590">
        <v>39.537741445066573</v>
      </c>
      <c r="BK66" s="590">
        <v>40.382435890847177</v>
      </c>
      <c r="BL66" s="590">
        <v>41.265029779659599</v>
      </c>
      <c r="BM66" s="590">
        <v>42.097558577849256</v>
      </c>
      <c r="BN66" s="590">
        <v>43.084408059268327</v>
      </c>
      <c r="BO66" s="590">
        <v>44.564283695452218</v>
      </c>
      <c r="BP66" s="590">
        <v>46.354410638333505</v>
      </c>
      <c r="BQ66" s="590">
        <v>47.323677827334123</v>
      </c>
      <c r="BR66" s="590">
        <v>48.887060698872205</v>
      </c>
      <c r="BS66" s="590">
        <v>49.875165036807743</v>
      </c>
      <c r="BT66" s="590">
        <v>51.759835990766447</v>
      </c>
      <c r="BU66" s="590">
        <v>53.463995062981127</v>
      </c>
      <c r="BV66" s="590">
        <v>55.093639957686072</v>
      </c>
      <c r="BW66" s="590">
        <v>56.556750509154426</v>
      </c>
      <c r="BX66" s="590">
        <v>58.015219155357585</v>
      </c>
      <c r="BY66" s="590">
        <v>59.394263696561097</v>
      </c>
      <c r="BZ66" s="590">
        <v>60.869688220043308</v>
      </c>
      <c r="CA66" s="590">
        <v>62.733384151984993</v>
      </c>
      <c r="CB66" s="590">
        <v>63.956553058555087</v>
      </c>
      <c r="CC66" s="590">
        <v>65.384068277470462</v>
      </c>
      <c r="CD66" s="590">
        <v>66.951312034804829</v>
      </c>
      <c r="CE66" s="590">
        <v>68.374417327288626</v>
      </c>
      <c r="CF66" s="590">
        <v>70.074670482100913</v>
      </c>
      <c r="CG66" s="590">
        <v>71.718441901940551</v>
      </c>
      <c r="CH66" s="590">
        <v>73.32537170041283</v>
      </c>
      <c r="CI66" s="590">
        <v>75.111602894166083</v>
      </c>
      <c r="CJ66" s="590">
        <v>76.827306053106355</v>
      </c>
      <c r="CK66" s="590">
        <v>78.160782579869334</v>
      </c>
      <c r="CL66" s="590">
        <v>79.861896677028469</v>
      </c>
      <c r="CM66" s="590">
        <v>81.810652032827264</v>
      </c>
      <c r="CN66" s="590">
        <v>82.9367373573413</v>
      </c>
      <c r="CO66" s="590">
        <v>84.603477597054905</v>
      </c>
      <c r="CP66" s="590">
        <v>86.270263811532672</v>
      </c>
      <c r="CQ66" s="590">
        <v>87.946033757213087</v>
      </c>
      <c r="CR66" s="590">
        <v>89.630777829572338</v>
      </c>
      <c r="CS66" s="590">
        <v>91.324486324108179</v>
      </c>
      <c r="CT66" s="590">
        <v>93.027149427340476</v>
      </c>
      <c r="CU66" s="590">
        <v>94.738757228789297</v>
      </c>
      <c r="CV66" s="590">
        <v>96.459299739705813</v>
      </c>
      <c r="CW66" s="590">
        <v>98.188766911107933</v>
      </c>
      <c r="CX66" s="590">
        <v>99.927148648210505</v>
      </c>
      <c r="CY66" s="590">
        <v>101.67443482090627</v>
      </c>
    </row>
    <row r="67" spans="1:103">
      <c r="A67" s="230"/>
      <c r="B67" s="230" t="s">
        <v>99</v>
      </c>
      <c r="C67" s="230"/>
      <c r="D67" s="230"/>
      <c r="E67" s="232"/>
      <c r="F67" s="230"/>
      <c r="G67" s="232" t="s">
        <v>736</v>
      </c>
      <c r="H67" s="232"/>
      <c r="I67" s="232"/>
      <c r="J67" s="232"/>
      <c r="K67" s="232"/>
      <c r="L67" s="230"/>
      <c r="M67" s="230"/>
      <c r="N67" s="230"/>
      <c r="O67" s="230"/>
      <c r="P67" s="230"/>
      <c r="Q67" s="230"/>
      <c r="R67" s="230"/>
      <c r="S67" s="230"/>
      <c r="T67" s="231">
        <f t="shared" ref="T67:AQ67" si="37">T71+T83</f>
        <v>-1.4564495701446469</v>
      </c>
      <c r="U67" s="231">
        <f t="shared" si="37"/>
        <v>-1.663329023</v>
      </c>
      <c r="V67" s="231">
        <f t="shared" si="37"/>
        <v>-1.694566681</v>
      </c>
      <c r="W67" s="231">
        <f t="shared" si="37"/>
        <v>-1.802359563</v>
      </c>
      <c r="X67" s="231">
        <f t="shared" si="37"/>
        <v>-1.9340780739999999</v>
      </c>
      <c r="Y67" s="231">
        <f t="shared" si="37"/>
        <v>-2.02568422215783</v>
      </c>
      <c r="Z67" s="231">
        <f t="shared" si="37"/>
        <v>-2.2793506485450199</v>
      </c>
      <c r="AA67" s="231">
        <f t="shared" si="37"/>
        <v>-2.5098309593953498</v>
      </c>
      <c r="AB67" s="231">
        <f t="shared" si="37"/>
        <v>-2.44759975109951</v>
      </c>
      <c r="AC67" s="231">
        <f t="shared" si="37"/>
        <v>-2.44542600169002</v>
      </c>
      <c r="AD67" s="231">
        <f t="shared" si="37"/>
        <v>-2.5430218716192701</v>
      </c>
      <c r="AE67" s="231">
        <f t="shared" si="37"/>
        <v>-2.8436414736547517</v>
      </c>
      <c r="AF67" s="231">
        <f t="shared" si="37"/>
        <v>-3.0453881542981325</v>
      </c>
      <c r="AG67" s="231">
        <f t="shared" si="37"/>
        <v>-3.1534854017404133</v>
      </c>
      <c r="AH67" s="231">
        <f t="shared" si="37"/>
        <v>-3.2572399930620937</v>
      </c>
      <c r="AI67" s="231">
        <f t="shared" si="37"/>
        <v>-4.0320599391645047</v>
      </c>
      <c r="AJ67" s="231">
        <f t="shared" si="37"/>
        <v>-4.3796049059175282</v>
      </c>
      <c r="AK67" s="261">
        <f t="shared" si="37"/>
        <v>-5.1156642242108976</v>
      </c>
      <c r="AL67" s="261">
        <f t="shared" si="37"/>
        <v>-5.1606687341610398</v>
      </c>
      <c r="AM67" s="261">
        <f t="shared" si="37"/>
        <v>-5.8371632465840859</v>
      </c>
      <c r="AN67" s="261">
        <f t="shared" si="37"/>
        <v>-4.6194198169256087</v>
      </c>
      <c r="AO67" s="261">
        <f t="shared" si="37"/>
        <v>-6286.9610565167495</v>
      </c>
      <c r="AP67" s="261">
        <f t="shared" si="37"/>
        <v>-12070.648795596455</v>
      </c>
      <c r="AQ67" s="261">
        <f t="shared" si="37"/>
        <v>-6397.0666949994547</v>
      </c>
      <c r="AR67" s="261">
        <v>-5.5951674578692208</v>
      </c>
      <c r="AS67" s="261">
        <v>-5.7611545236531176</v>
      </c>
      <c r="AT67" s="261">
        <v>-6.038041689274519</v>
      </c>
      <c r="AU67" s="261">
        <v>-6.2851123852129565</v>
      </c>
      <c r="AV67" s="261">
        <v>-6.5178438763082083</v>
      </c>
      <c r="AW67" s="261">
        <v>-6.7494851870702135</v>
      </c>
      <c r="AX67" s="261">
        <v>-6.9839381817274528</v>
      </c>
      <c r="AY67" s="261">
        <v>-7.2209939517092074</v>
      </c>
      <c r="AZ67" s="261">
        <v>-7.4644490505414343</v>
      </c>
      <c r="BA67" s="261">
        <v>-8.2172006947491045</v>
      </c>
      <c r="BB67" s="261">
        <v>-8.4832998174360306</v>
      </c>
      <c r="BC67" s="261">
        <v>-8.7503998554621241</v>
      </c>
      <c r="BD67" s="261">
        <v>-8.9876277037431915</v>
      </c>
      <c r="BE67" s="261">
        <v>-9.2097556715638262</v>
      </c>
      <c r="BF67" s="261">
        <v>-9.4313839372042487</v>
      </c>
      <c r="BG67" s="261">
        <v>-9.6601247453389192</v>
      </c>
      <c r="BH67" s="261">
        <v>-9.8999082013757587</v>
      </c>
      <c r="BI67" s="261">
        <v>-10.15275988596621</v>
      </c>
      <c r="BJ67" s="261">
        <v>-10.419699286142219</v>
      </c>
      <c r="BK67" s="261">
        <v>-10.701564263556799</v>
      </c>
      <c r="BL67" s="261">
        <v>-10.998974287558667</v>
      </c>
      <c r="BM67" s="261">
        <v>-11.311933310948806</v>
      </c>
      <c r="BN67" s="261">
        <v>-11.640171254121597</v>
      </c>
      <c r="BO67" s="261">
        <v>-11.983394013743688</v>
      </c>
      <c r="BP67" s="261">
        <v>-12.339734356051189</v>
      </c>
      <c r="BQ67" s="261">
        <v>-12.7091835975462</v>
      </c>
      <c r="BR67" s="261">
        <v>-13.086081349035741</v>
      </c>
      <c r="BS67" s="261">
        <v>-13.467595583434207</v>
      </c>
      <c r="BT67" s="261">
        <v>-13.852314741657704</v>
      </c>
      <c r="BU67" s="261">
        <v>-14.239542031884964</v>
      </c>
      <c r="BV67" s="261">
        <v>-14.628938233598067</v>
      </c>
      <c r="BW67" s="261">
        <v>-15.532624065310774</v>
      </c>
      <c r="BX67" s="261">
        <v>-15.93346523615055</v>
      </c>
      <c r="BY67" s="261">
        <v>-16.316514295086762</v>
      </c>
      <c r="BZ67" s="261">
        <v>-16.701373842352304</v>
      </c>
      <c r="CA67" s="261">
        <v>-17.088104382139328</v>
      </c>
      <c r="CB67" s="261">
        <v>-17.476752991615186</v>
      </c>
      <c r="CC67" s="261">
        <v>-17.86735044759282</v>
      </c>
      <c r="CD67" s="261">
        <v>-18.259914748826027</v>
      </c>
      <c r="CE67" s="261">
        <v>-18.654455323313478</v>
      </c>
      <c r="CF67" s="261">
        <v>-19.050976317475062</v>
      </c>
      <c r="CG67" s="261">
        <v>-19.449478507650433</v>
      </c>
      <c r="CH67" s="261">
        <v>-19.849960695876938</v>
      </c>
      <c r="CI67" s="261">
        <v>-20.252421056525719</v>
      </c>
      <c r="CJ67" s="261">
        <v>-20.656857856530628</v>
      </c>
      <c r="CK67" s="261">
        <v>-21.06326971274699</v>
      </c>
      <c r="CL67" s="261">
        <v>-21.471655609555192</v>
      </c>
      <c r="CM67" s="261">
        <v>-21.882014824356791</v>
      </c>
      <c r="CN67" s="261">
        <v>-22.294346836250348</v>
      </c>
      <c r="CO67" s="261">
        <v>-22.708651248097972</v>
      </c>
      <c r="CP67" s="261">
        <v>-23.124927727871174</v>
      </c>
      <c r="CQ67" s="261">
        <v>-23.543175968491191</v>
      </c>
      <c r="CR67" s="261">
        <v>-23.963395664882789</v>
      </c>
      <c r="CS67" s="261">
        <v>-24.385586503641417</v>
      </c>
      <c r="CT67" s="261">
        <v>-24.809748160272278</v>
      </c>
      <c r="CU67" s="261">
        <v>-25.235880300139961</v>
      </c>
      <c r="CV67" s="261">
        <v>-25.663982580731918</v>
      </c>
      <c r="CW67" s="261">
        <v>-26.094054653994473</v>
      </c>
      <c r="CX67" s="261">
        <v>-26.526096168233032</v>
      </c>
      <c r="CY67" s="261">
        <v>-26.960106769454399</v>
      </c>
    </row>
    <row r="68" spans="1:103">
      <c r="A68" s="230"/>
      <c r="B68" s="229" t="s">
        <v>217</v>
      </c>
      <c r="C68" s="229"/>
      <c r="D68" s="229"/>
      <c r="E68" s="203"/>
      <c r="F68" s="229"/>
      <c r="G68" s="232" t="s">
        <v>736</v>
      </c>
      <c r="H68" s="203"/>
      <c r="I68" s="203"/>
      <c r="J68" s="203"/>
      <c r="K68" s="203"/>
      <c r="L68" s="275"/>
      <c r="M68" s="275"/>
      <c r="N68" s="275"/>
      <c r="O68" s="275"/>
      <c r="P68" s="275"/>
      <c r="Q68" s="275"/>
      <c r="R68" s="275"/>
      <c r="S68" s="275"/>
      <c r="T68" s="234">
        <f>T69+T72</f>
        <v>3.052130923855354</v>
      </c>
      <c r="U68" s="234">
        <f t="shared" ref="U68:AQ68" si="38">U69+U72</f>
        <v>0.35456961900000006</v>
      </c>
      <c r="V68" s="245">
        <f t="shared" si="38"/>
        <v>1.4798748129999999</v>
      </c>
      <c r="W68" s="245">
        <f t="shared" si="38"/>
        <v>1.933859971</v>
      </c>
      <c r="X68" s="234">
        <f t="shared" si="38"/>
        <v>1.9950379869999999</v>
      </c>
      <c r="Y68" s="234">
        <f t="shared" si="38"/>
        <v>1.6009181228421698</v>
      </c>
      <c r="Z68" s="234">
        <f t="shared" si="38"/>
        <v>1.8920471294549799</v>
      </c>
      <c r="AA68" s="234">
        <f t="shared" si="38"/>
        <v>3.4384203316046502</v>
      </c>
      <c r="AB68" s="234">
        <f t="shared" si="38"/>
        <v>1.2564073629004899</v>
      </c>
      <c r="AC68" s="234">
        <f t="shared" si="38"/>
        <v>2.8094350693099797</v>
      </c>
      <c r="AD68" s="234">
        <f t="shared" si="38"/>
        <v>3.9157535483807298</v>
      </c>
      <c r="AE68" s="234">
        <f t="shared" si="38"/>
        <v>5.8353454962352433</v>
      </c>
      <c r="AF68" s="234">
        <f t="shared" si="38"/>
        <v>4.2467765316078285</v>
      </c>
      <c r="AG68" s="234">
        <f t="shared" si="38"/>
        <v>6.5218322954588723</v>
      </c>
      <c r="AH68" s="234">
        <f t="shared" si="38"/>
        <v>3.8549840668127553</v>
      </c>
      <c r="AI68" s="234">
        <f t="shared" si="38"/>
        <v>7.002095385687344</v>
      </c>
      <c r="AJ68" s="234">
        <f t="shared" si="38"/>
        <v>6.5915965147355351</v>
      </c>
      <c r="AK68" s="234">
        <f t="shared" si="38"/>
        <v>6.8907015170408616</v>
      </c>
      <c r="AL68" s="256">
        <f t="shared" si="38"/>
        <v>6.976669475632205</v>
      </c>
      <c r="AM68" s="234">
        <f t="shared" si="38"/>
        <v>7.6372820211837009</v>
      </c>
      <c r="AN68" s="234">
        <f t="shared" si="38"/>
        <v>10.555495083452884</v>
      </c>
      <c r="AO68" s="234">
        <f t="shared" si="38"/>
        <v>-6280.6554916038986</v>
      </c>
      <c r="AP68" s="234">
        <f t="shared" si="38"/>
        <v>-12070.399546742743</v>
      </c>
      <c r="AQ68" s="234">
        <f t="shared" si="38"/>
        <v>-6396.7550644074772</v>
      </c>
      <c r="AR68" s="234">
        <v>16.789701951575822</v>
      </c>
      <c r="AS68" s="234">
        <v>16.646170487484973</v>
      </c>
      <c r="AT68" s="234">
        <v>17.242539754742751</v>
      </c>
      <c r="AU68" s="234">
        <v>17.501881101657737</v>
      </c>
      <c r="AV68" s="234">
        <v>18.89351983711623</v>
      </c>
      <c r="AW68" s="234">
        <v>19.946687242583337</v>
      </c>
      <c r="AX68" s="234">
        <v>20.891445056347877</v>
      </c>
      <c r="AY68" s="234">
        <v>21.59760727217278</v>
      </c>
      <c r="AZ68" s="234">
        <v>22.275319568761489</v>
      </c>
      <c r="BA68" s="234">
        <v>22.330863945832313</v>
      </c>
      <c r="BB68" s="234">
        <v>23.015494283723264</v>
      </c>
      <c r="BC68" s="234">
        <v>24.232392100508292</v>
      </c>
      <c r="BD68" s="234">
        <v>25.89438958504692</v>
      </c>
      <c r="BE68" s="234">
        <v>26.015814583839017</v>
      </c>
      <c r="BF68" s="234">
        <v>26.677128891559619</v>
      </c>
      <c r="BG68" s="234">
        <v>26.615545989486748</v>
      </c>
      <c r="BH68" s="234">
        <v>27.600504686211643</v>
      </c>
      <c r="BI68" s="234">
        <v>28.388934541369633</v>
      </c>
      <c r="BJ68" s="234">
        <v>29.118042158924354</v>
      </c>
      <c r="BK68" s="234">
        <v>29.680871627290376</v>
      </c>
      <c r="BL68" s="234">
        <v>30.266055492100932</v>
      </c>
      <c r="BM68" s="234">
        <v>30.785625266900446</v>
      </c>
      <c r="BN68" s="234">
        <v>31.44423680514673</v>
      </c>
      <c r="BO68" s="234">
        <v>32.580889681708534</v>
      </c>
      <c r="BP68" s="234">
        <v>34.014676282282316</v>
      </c>
      <c r="BQ68" s="234">
        <v>34.614494229787923</v>
      </c>
      <c r="BR68" s="234">
        <v>35.800979349836467</v>
      </c>
      <c r="BS68" s="234">
        <v>36.40756945337354</v>
      </c>
      <c r="BT68" s="234">
        <v>37.90752124910874</v>
      </c>
      <c r="BU68" s="234">
        <v>39.224453031096161</v>
      </c>
      <c r="BV68" s="234">
        <v>40.464701724088002</v>
      </c>
      <c r="BW68" s="234">
        <v>41.024126443843649</v>
      </c>
      <c r="BX68" s="234">
        <v>42.081753919207038</v>
      </c>
      <c r="BY68" s="234">
        <v>43.077749401474335</v>
      </c>
      <c r="BZ68" s="234">
        <v>44.168314377691004</v>
      </c>
      <c r="CA68" s="234">
        <v>45.645279769845665</v>
      </c>
      <c r="CB68" s="234">
        <v>46.479800066939902</v>
      </c>
      <c r="CC68" s="234">
        <v>47.516717829877642</v>
      </c>
      <c r="CD68" s="234">
        <v>48.691397285978795</v>
      </c>
      <c r="CE68" s="234">
        <v>49.719962003975141</v>
      </c>
      <c r="CF68" s="234">
        <v>51.023694164625837</v>
      </c>
      <c r="CG68" s="234">
        <v>52.268963394290125</v>
      </c>
      <c r="CH68" s="234">
        <v>53.475411004535886</v>
      </c>
      <c r="CI68" s="234">
        <v>54.859181837640364</v>
      </c>
      <c r="CJ68" s="234">
        <v>56.170448196575734</v>
      </c>
      <c r="CK68" s="234">
        <v>57.09751286712234</v>
      </c>
      <c r="CL68" s="234">
        <v>58.390241067473269</v>
      </c>
      <c r="CM68" s="234">
        <v>59.928637208470469</v>
      </c>
      <c r="CN68" s="234">
        <v>60.642390521090952</v>
      </c>
      <c r="CO68" s="234">
        <v>61.89482634895694</v>
      </c>
      <c r="CP68" s="234">
        <v>63.145336083661498</v>
      </c>
      <c r="CQ68" s="234">
        <v>64.402857788721889</v>
      </c>
      <c r="CR68" s="234">
        <v>65.667382164689542</v>
      </c>
      <c r="CS68" s="234">
        <v>66.938899820466759</v>
      </c>
      <c r="CT68" s="234">
        <v>68.217401267068198</v>
      </c>
      <c r="CU68" s="234">
        <v>69.502876928649329</v>
      </c>
      <c r="CV68" s="234">
        <v>70.795317158973901</v>
      </c>
      <c r="CW68" s="234">
        <v>72.094712257113457</v>
      </c>
      <c r="CX68" s="234">
        <v>73.401052479977466</v>
      </c>
      <c r="CY68" s="234">
        <v>74.714328051451872</v>
      </c>
    </row>
    <row r="69" spans="1:103">
      <c r="A69" s="230"/>
      <c r="B69" s="230"/>
      <c r="C69" s="229" t="s">
        <v>218</v>
      </c>
      <c r="D69" s="230"/>
      <c r="E69" s="203"/>
      <c r="F69" s="230"/>
      <c r="G69" s="232" t="s">
        <v>736</v>
      </c>
      <c r="H69" s="203"/>
      <c r="I69" s="203"/>
      <c r="J69" s="203"/>
      <c r="K69" s="203"/>
      <c r="L69" s="275"/>
      <c r="M69" s="275"/>
      <c r="N69" s="275"/>
      <c r="O69" s="275"/>
      <c r="P69" s="275"/>
      <c r="Q69" s="275"/>
      <c r="R69" s="275"/>
      <c r="S69" s="275"/>
      <c r="T69" s="234">
        <f>T70+T71</f>
        <v>2.2872394288553535</v>
      </c>
      <c r="U69" s="234">
        <f t="shared" ref="U69:AQ69" si="39">U70+U71</f>
        <v>0.1548024830000001</v>
      </c>
      <c r="V69" s="234">
        <f t="shared" si="39"/>
        <v>0.85321871100000002</v>
      </c>
      <c r="W69" s="234">
        <f t="shared" si="39"/>
        <v>1.2020776399999997</v>
      </c>
      <c r="X69" s="234">
        <f t="shared" si="39"/>
        <v>1.1982506759999998</v>
      </c>
      <c r="Y69" s="234">
        <f t="shared" si="39"/>
        <v>0.73564424684216978</v>
      </c>
      <c r="Z69" s="234">
        <f t="shared" si="39"/>
        <v>0.97196815445497986</v>
      </c>
      <c r="AA69" s="234">
        <f t="shared" si="39"/>
        <v>1.90914979060465</v>
      </c>
      <c r="AB69" s="234">
        <f t="shared" si="39"/>
        <v>1.2604553309004898</v>
      </c>
      <c r="AC69" s="234">
        <f t="shared" si="39"/>
        <v>2.0314254623099801</v>
      </c>
      <c r="AD69" s="234">
        <f t="shared" si="39"/>
        <v>2.3388588183807295</v>
      </c>
      <c r="AE69" s="234">
        <f t="shared" si="39"/>
        <v>3.666296502137488</v>
      </c>
      <c r="AF69" s="626">
        <f t="shared" si="39"/>
        <v>2.8617352795525952</v>
      </c>
      <c r="AG69" s="626">
        <f t="shared" si="39"/>
        <v>4.1572061938353775</v>
      </c>
      <c r="AH69" s="626">
        <f t="shared" si="39"/>
        <v>2.3651294029954109</v>
      </c>
      <c r="AI69" s="626">
        <f t="shared" si="39"/>
        <v>5.0435935028865231</v>
      </c>
      <c r="AJ69" s="626">
        <f t="shared" si="39"/>
        <v>4.425679295023353</v>
      </c>
      <c r="AK69" s="626">
        <f t="shared" si="39"/>
        <v>4.9695004083466898</v>
      </c>
      <c r="AL69" s="626">
        <f t="shared" si="39"/>
        <v>5.0642475194173722</v>
      </c>
      <c r="AM69" s="626">
        <f t="shared" si="39"/>
        <v>6.0685730314906987</v>
      </c>
      <c r="AN69" s="626">
        <f t="shared" si="39"/>
        <v>6.7802300361916465</v>
      </c>
      <c r="AO69" s="234">
        <f t="shared" si="39"/>
        <v>-2.3839365167496767</v>
      </c>
      <c r="AP69" s="234">
        <f t="shared" si="39"/>
        <v>-12069.648795596455</v>
      </c>
      <c r="AQ69" s="234">
        <f t="shared" si="39"/>
        <v>-6396.0666949994547</v>
      </c>
      <c r="AR69" s="234">
        <v>9.8945039803224475</v>
      </c>
      <c r="AS69" s="234">
        <v>10.02568445702866</v>
      </c>
      <c r="AT69" s="234">
        <v>10.232575815032074</v>
      </c>
      <c r="AU69" s="234">
        <v>10.946017881264259</v>
      </c>
      <c r="AV69" s="234">
        <v>11.584739833469676</v>
      </c>
      <c r="AW69" s="234">
        <v>12.145389458341111</v>
      </c>
      <c r="AX69" s="234">
        <v>12.714006592065211</v>
      </c>
      <c r="AY69" s="234">
        <v>13.274485933634686</v>
      </c>
      <c r="AZ69" s="234">
        <v>13.820301403461357</v>
      </c>
      <c r="BA69" s="234">
        <v>14.365998762425313</v>
      </c>
      <c r="BB69" s="234">
        <v>14.932640027161597</v>
      </c>
      <c r="BC69" s="234">
        <v>15.510434265147905</v>
      </c>
      <c r="BD69" s="234">
        <v>16.263741175338893</v>
      </c>
      <c r="BE69" s="234">
        <v>16.692989458079275</v>
      </c>
      <c r="BF69" s="234">
        <v>17.044356120633466</v>
      </c>
      <c r="BG69" s="234">
        <v>17.373399893261034</v>
      </c>
      <c r="BH69" s="234">
        <v>17.708346246163909</v>
      </c>
      <c r="BI69" s="234">
        <v>18.063121493354799</v>
      </c>
      <c r="BJ69" s="234">
        <v>18.444336742632675</v>
      </c>
      <c r="BK69" s="234">
        <v>18.85109931787516</v>
      </c>
      <c r="BL69" s="234">
        <v>19.282879542161698</v>
      </c>
      <c r="BM69" s="234">
        <v>19.740336204908132</v>
      </c>
      <c r="BN69" s="234">
        <v>20.222732030141842</v>
      </c>
      <c r="BO69" s="234">
        <v>20.728705388941194</v>
      </c>
      <c r="BP69" s="234">
        <v>21.300509134022104</v>
      </c>
      <c r="BQ69" s="234">
        <v>21.951048213823583</v>
      </c>
      <c r="BR69" s="234">
        <v>22.643429391968507</v>
      </c>
      <c r="BS69" s="234">
        <v>23.357465473717497</v>
      </c>
      <c r="BT69" s="234">
        <v>24.083356304026921</v>
      </c>
      <c r="BU69" s="234">
        <v>24.816487389228207</v>
      </c>
      <c r="BV69" s="234">
        <v>25.554828150344456</v>
      </c>
      <c r="BW69" s="234">
        <v>26.297627769971655</v>
      </c>
      <c r="BX69" s="234">
        <v>27.045296659246361</v>
      </c>
      <c r="BY69" s="234">
        <v>27.797846179408232</v>
      </c>
      <c r="BZ69" s="234">
        <v>28.555198090431912</v>
      </c>
      <c r="CA69" s="234">
        <v>29.317564812601013</v>
      </c>
      <c r="CB69" s="234">
        <v>30.085157810587077</v>
      </c>
      <c r="CC69" s="234">
        <v>30.858120622138195</v>
      </c>
      <c r="CD69" s="234">
        <v>31.636531832948705</v>
      </c>
      <c r="CE69" s="234">
        <v>32.420424353258639</v>
      </c>
      <c r="CF69" s="234">
        <v>33.20980368012043</v>
      </c>
      <c r="CG69" s="234">
        <v>34.004664327427299</v>
      </c>
      <c r="CH69" s="234">
        <v>34.804995461102664</v>
      </c>
      <c r="CI69" s="234">
        <v>35.610783229693126</v>
      </c>
      <c r="CJ69" s="234">
        <v>36.422013735386102</v>
      </c>
      <c r="CK69" s="234">
        <v>37.238674439840196</v>
      </c>
      <c r="CL69" s="234">
        <v>38.060754400584976</v>
      </c>
      <c r="CM69" s="234">
        <v>38.888243967820038</v>
      </c>
      <c r="CN69" s="234">
        <v>39.721134346823263</v>
      </c>
      <c r="CO69" s="234">
        <v>40.559417213714518</v>
      </c>
      <c r="CP69" s="234">
        <v>41.403084459560809</v>
      </c>
      <c r="CQ69" s="234">
        <v>42.252128033571374</v>
      </c>
      <c r="CR69" s="234">
        <v>43.106539850657427</v>
      </c>
      <c r="CS69" s="234">
        <v>43.966311748652316</v>
      </c>
      <c r="CT69" s="234">
        <v>44.831435477971965</v>
      </c>
      <c r="CU69" s="234">
        <v>45.701902708220366</v>
      </c>
      <c r="CV69" s="234">
        <v>46.577705041028175</v>
      </c>
      <c r="CW69" s="234">
        <v>47.458834023185993</v>
      </c>
      <c r="CX69" s="234">
        <v>48.345281157555668</v>
      </c>
      <c r="CY69" s="234">
        <v>49.237037911311688</v>
      </c>
    </row>
    <row r="70" spans="1:103">
      <c r="A70" s="230"/>
      <c r="B70" s="230"/>
      <c r="C70" s="230"/>
      <c r="D70" s="230" t="s">
        <v>737</v>
      </c>
      <c r="E70" s="232"/>
      <c r="F70" s="230"/>
      <c r="G70" s="232" t="s">
        <v>736</v>
      </c>
      <c r="H70" s="232"/>
      <c r="I70" s="232"/>
      <c r="J70" s="232"/>
      <c r="K70" s="232"/>
      <c r="L70" s="267"/>
      <c r="M70" s="267"/>
      <c r="N70" s="267"/>
      <c r="O70" s="267"/>
      <c r="P70" s="267"/>
      <c r="Q70" s="267"/>
      <c r="R70" s="267"/>
      <c r="S70" s="267"/>
      <c r="T70" s="600">
        <v>3.2531356800000002</v>
      </c>
      <c r="U70" s="600">
        <v>1.0975404870000001</v>
      </c>
      <c r="V70" s="600">
        <v>1.928707419</v>
      </c>
      <c r="W70" s="600">
        <v>2.3060538249999998</v>
      </c>
      <c r="X70" s="600">
        <v>2.4181259919999998</v>
      </c>
      <c r="Y70" s="600">
        <v>2.0482521409999999</v>
      </c>
      <c r="Z70" s="600">
        <v>2.4084367659999999</v>
      </c>
      <c r="AA70" s="600">
        <v>3.415521848</v>
      </c>
      <c r="AB70" s="600">
        <v>2.6652940969999999</v>
      </c>
      <c r="AC70" s="600">
        <f>3374867461/10^9</f>
        <v>3.374867461</v>
      </c>
      <c r="AD70" s="600">
        <f>3605385351/10^9</f>
        <v>3.6053853509999998</v>
      </c>
      <c r="AE70" s="597">
        <v>5.0022525389999997</v>
      </c>
      <c r="AF70" s="597">
        <v>4.2761401540000001</v>
      </c>
      <c r="AG70" s="597">
        <v>5.6064016639999998</v>
      </c>
      <c r="AH70" s="597">
        <v>3.8500050360000002</v>
      </c>
      <c r="AI70" s="597">
        <v>6.7770397200000003</v>
      </c>
      <c r="AJ70" s="597">
        <v>6.4076106509999997</v>
      </c>
      <c r="AK70" s="597">
        <v>7.3383621349999997</v>
      </c>
      <c r="AL70" s="597">
        <v>7.1779624379999998</v>
      </c>
      <c r="AM70" s="597">
        <v>8.1660120289999991</v>
      </c>
      <c r="AN70" s="597">
        <v>8.934802264</v>
      </c>
      <c r="AO70" s="246">
        <v>0</v>
      </c>
      <c r="AP70" s="246">
        <v>0</v>
      </c>
      <c r="AQ70" s="246">
        <v>0</v>
      </c>
      <c r="AR70" s="246">
        <v>13.349220012354168</v>
      </c>
      <c r="AS70" s="246">
        <v>13.572669928406777</v>
      </c>
      <c r="AT70" s="246">
        <v>13.981971825594092</v>
      </c>
      <c r="AU70" s="246">
        <v>14.867248961327215</v>
      </c>
      <c r="AV70" s="246">
        <v>15.662707778190383</v>
      </c>
      <c r="AW70" s="246">
        <v>16.378245087386322</v>
      </c>
      <c r="AX70" s="246">
        <v>17.103802589330162</v>
      </c>
      <c r="AY70" s="246">
        <v>17.823066074443894</v>
      </c>
      <c r="AZ70" s="246">
        <v>18.533306016665289</v>
      </c>
      <c r="BA70" s="246">
        <v>19.247885056917472</v>
      </c>
      <c r="BB70" s="246">
        <v>19.985009366198319</v>
      </c>
      <c r="BC70" s="246">
        <v>20.73336173073503</v>
      </c>
      <c r="BD70" s="246">
        <v>21.642292239207084</v>
      </c>
      <c r="BE70" s="246">
        <v>22.2057869897681</v>
      </c>
      <c r="BF70" s="246">
        <v>22.684623167962716</v>
      </c>
      <c r="BG70" s="246">
        <v>23.141971748724952</v>
      </c>
      <c r="BH70" s="246">
        <v>23.609988307664668</v>
      </c>
      <c r="BI70" s="246">
        <v>24.10462473944601</v>
      </c>
      <c r="BJ70" s="246">
        <v>24.633511638899893</v>
      </c>
      <c r="BK70" s="246">
        <v>25.196594191556958</v>
      </c>
      <c r="BL70" s="246">
        <v>25.793962189845363</v>
      </c>
      <c r="BM70" s="246">
        <v>26.426278375981937</v>
      </c>
      <c r="BN70" s="246">
        <v>27.092535394388438</v>
      </c>
      <c r="BO70" s="246">
        <v>27.791077512809881</v>
      </c>
      <c r="BP70" s="246">
        <v>28.567782943948291</v>
      </c>
      <c r="BQ70" s="246">
        <v>29.435547952744784</v>
      </c>
      <c r="BR70" s="246">
        <v>30.351818913629248</v>
      </c>
      <c r="BS70" s="246">
        <v>31.293576604776703</v>
      </c>
      <c r="BT70" s="246">
        <v>32.249609312059626</v>
      </c>
      <c r="BU70" s="246">
        <v>33.214605749988173</v>
      </c>
      <c r="BV70" s="246">
        <v>34.186196119067525</v>
      </c>
      <c r="BW70" s="246">
        <v>35.163467546657429</v>
      </c>
      <c r="BX70" s="246">
        <v>36.146704388021909</v>
      </c>
      <c r="BY70" s="246">
        <v>37.135859279619993</v>
      </c>
      <c r="BZ70" s="246">
        <v>38.130902081659215</v>
      </c>
      <c r="CA70" s="246">
        <v>39.132105718615342</v>
      </c>
      <c r="CB70" s="246">
        <v>40.139728732327264</v>
      </c>
      <c r="CC70" s="246">
        <v>41.153945437356015</v>
      </c>
      <c r="CD70" s="246">
        <v>42.174852418149733</v>
      </c>
      <c r="CE70" s="246">
        <v>43.202492012947111</v>
      </c>
      <c r="CF70" s="246">
        <v>44.236873865220495</v>
      </c>
      <c r="CG70" s="246">
        <v>45.277993265202731</v>
      </c>
      <c r="CH70" s="246">
        <v>46.325838180854596</v>
      </c>
      <c r="CI70" s="246">
        <v>47.380392935093845</v>
      </c>
      <c r="CJ70" s="246">
        <v>48.441641897041734</v>
      </c>
      <c r="CK70" s="246">
        <v>49.509571145212185</v>
      </c>
      <c r="CL70" s="246">
        <v>50.584168721515169</v>
      </c>
      <c r="CM70" s="246">
        <v>51.665424253551826</v>
      </c>
      <c r="CN70" s="246">
        <v>52.753328425698612</v>
      </c>
      <c r="CO70" s="246">
        <v>53.847872516937485</v>
      </c>
      <c r="CP70" s="246">
        <v>54.949048086306981</v>
      </c>
      <c r="CQ70" s="246">
        <v>56.056846775937565</v>
      </c>
      <c r="CR70" s="246">
        <v>57.171260195665212</v>
      </c>
      <c r="CS70" s="246">
        <v>58.29227986991873</v>
      </c>
      <c r="CT70" s="246">
        <v>59.419897224619241</v>
      </c>
      <c r="CU70" s="246">
        <v>60.554103594735324</v>
      </c>
      <c r="CV70" s="246">
        <v>61.694890239385096</v>
      </c>
      <c r="CW70" s="246">
        <v>62.842248357305465</v>
      </c>
      <c r="CX70" s="246">
        <v>63.996169099663696</v>
      </c>
      <c r="CY70" s="246">
        <v>65.156643579641084</v>
      </c>
    </row>
    <row r="71" spans="1:103">
      <c r="A71" s="230"/>
      <c r="B71" s="230"/>
      <c r="C71" s="230"/>
      <c r="D71" s="230" t="s">
        <v>798</v>
      </c>
      <c r="E71" s="232"/>
      <c r="F71" s="230"/>
      <c r="G71" s="232" t="s">
        <v>736</v>
      </c>
      <c r="H71" s="232"/>
      <c r="I71" s="232"/>
      <c r="J71" s="232"/>
      <c r="K71" s="232"/>
      <c r="L71" s="267"/>
      <c r="M71" s="267"/>
      <c r="N71" s="267"/>
      <c r="O71" s="267"/>
      <c r="P71" s="267"/>
      <c r="Q71" s="267"/>
      <c r="R71" s="267"/>
      <c r="S71" s="267"/>
      <c r="T71" s="600">
        <v>-0.96589625114464694</v>
      </c>
      <c r="U71" s="600">
        <v>-0.94273800399999996</v>
      </c>
      <c r="V71" s="600">
        <v>-1.075488708</v>
      </c>
      <c r="W71" s="600">
        <v>-1.1039761850000001</v>
      </c>
      <c r="X71" s="600">
        <v>-1.219875316</v>
      </c>
      <c r="Y71" s="600">
        <v>-1.3126078941578301</v>
      </c>
      <c r="Z71" s="600">
        <v>-1.43646861154502</v>
      </c>
      <c r="AA71" s="600">
        <v>-1.5063720573953501</v>
      </c>
      <c r="AB71" s="600">
        <v>-1.4048387660995101</v>
      </c>
      <c r="AC71" s="600">
        <v>-1.3434419986900199</v>
      </c>
      <c r="AD71" s="600">
        <v>-1.2665265326192701</v>
      </c>
      <c r="AE71" s="600">
        <v>-1.3359560368625119</v>
      </c>
      <c r="AF71" s="600">
        <v>-1.4144048744474049</v>
      </c>
      <c r="AG71" s="600">
        <v>-1.4491954701646221</v>
      </c>
      <c r="AH71" s="600">
        <v>-1.4848756330045891</v>
      </c>
      <c r="AI71" s="600">
        <v>-1.7334462171134768</v>
      </c>
      <c r="AJ71" s="600">
        <v>-1.9819313559766465</v>
      </c>
      <c r="AK71" s="597">
        <v>-2.3688617266533099</v>
      </c>
      <c r="AL71" s="597">
        <v>-2.1137149185826276</v>
      </c>
      <c r="AM71" s="597">
        <v>-2.0974389975093</v>
      </c>
      <c r="AN71" s="597">
        <v>-2.1545722278083534</v>
      </c>
      <c r="AO71" s="597">
        <v>-2.3839365167496767</v>
      </c>
      <c r="AP71" s="246">
        <v>-12069.648795596455</v>
      </c>
      <c r="AQ71" s="246">
        <v>-6396.0666949994547</v>
      </c>
      <c r="AR71" s="246">
        <v>-3.4547160320317203</v>
      </c>
      <c r="AS71" s="246">
        <v>-3.5469854713781168</v>
      </c>
      <c r="AT71" s="246">
        <v>-3.7493960105620183</v>
      </c>
      <c r="AU71" s="246">
        <v>-3.9212310800629564</v>
      </c>
      <c r="AV71" s="246">
        <v>-4.0779679447207071</v>
      </c>
      <c r="AW71" s="246">
        <v>-4.2328556290452122</v>
      </c>
      <c r="AX71" s="246">
        <v>-4.3897959972649518</v>
      </c>
      <c r="AY71" s="246">
        <v>-4.5485801408092064</v>
      </c>
      <c r="AZ71" s="246">
        <v>-4.7130046132039327</v>
      </c>
      <c r="BA71" s="246">
        <v>-4.8818862944921584</v>
      </c>
      <c r="BB71" s="246">
        <v>-5.0523693390367219</v>
      </c>
      <c r="BC71" s="246">
        <v>-5.2229274655871247</v>
      </c>
      <c r="BD71" s="246">
        <v>-5.3785510638681906</v>
      </c>
      <c r="BE71" s="246">
        <v>-5.5127975316888245</v>
      </c>
      <c r="BF71" s="246">
        <v>-5.6402670473292487</v>
      </c>
      <c r="BG71" s="246">
        <v>-5.768571855463918</v>
      </c>
      <c r="BH71" s="246">
        <v>-5.901642061500759</v>
      </c>
      <c r="BI71" s="246">
        <v>-6.0415032460912093</v>
      </c>
      <c r="BJ71" s="246">
        <v>-6.1891748962672173</v>
      </c>
      <c r="BK71" s="246">
        <v>-6.3454948736817984</v>
      </c>
      <c r="BL71" s="246">
        <v>-6.5110826476836658</v>
      </c>
      <c r="BM71" s="246">
        <v>-6.6859421710738038</v>
      </c>
      <c r="BN71" s="246">
        <v>-6.8698033642465974</v>
      </c>
      <c r="BO71" s="246">
        <v>-7.0623721238686885</v>
      </c>
      <c r="BP71" s="246">
        <v>-7.2672738099261869</v>
      </c>
      <c r="BQ71" s="246">
        <v>-7.4844997389212002</v>
      </c>
      <c r="BR71" s="246">
        <v>-7.7083895216607408</v>
      </c>
      <c r="BS71" s="246">
        <v>-7.9361111310592056</v>
      </c>
      <c r="BT71" s="246">
        <v>-8.1662530080327045</v>
      </c>
      <c r="BU71" s="246">
        <v>-8.3981183607599643</v>
      </c>
      <c r="BV71" s="246">
        <v>-8.6313679687230671</v>
      </c>
      <c r="BW71" s="246">
        <v>-8.8658397766857728</v>
      </c>
      <c r="BX71" s="246">
        <v>-9.1014077287755502</v>
      </c>
      <c r="BY71" s="246">
        <v>-9.3380131002117608</v>
      </c>
      <c r="BZ71" s="246">
        <v>-9.5757039912273036</v>
      </c>
      <c r="CA71" s="246">
        <v>-9.8145409060143276</v>
      </c>
      <c r="CB71" s="246">
        <v>-10.054570921740188</v>
      </c>
      <c r="CC71" s="246">
        <v>-10.29582481521782</v>
      </c>
      <c r="CD71" s="246">
        <v>-10.538320585201026</v>
      </c>
      <c r="CE71" s="246">
        <v>-10.782067659688474</v>
      </c>
      <c r="CF71" s="246">
        <v>-11.027070185100063</v>
      </c>
      <c r="CG71" s="246">
        <v>-11.273328937775432</v>
      </c>
      <c r="CH71" s="246">
        <v>-11.520842719751935</v>
      </c>
      <c r="CI71" s="246">
        <v>-11.769609705400716</v>
      </c>
      <c r="CJ71" s="246">
        <v>-12.01962816165563</v>
      </c>
      <c r="CK71" s="246">
        <v>-12.270896705371989</v>
      </c>
      <c r="CL71" s="246">
        <v>-12.523414320930193</v>
      </c>
      <c r="CM71" s="246">
        <v>-12.77718028573179</v>
      </c>
      <c r="CN71" s="246">
        <v>-13.032194078875349</v>
      </c>
      <c r="CO71" s="246">
        <v>-13.288455303222969</v>
      </c>
      <c r="CP71" s="246">
        <v>-13.545963626746174</v>
      </c>
      <c r="CQ71" s="246">
        <v>-13.804718742366189</v>
      </c>
      <c r="CR71" s="246">
        <v>-14.064720345007787</v>
      </c>
      <c r="CS71" s="246">
        <v>-14.325968121266415</v>
      </c>
      <c r="CT71" s="246">
        <v>-14.588461746647278</v>
      </c>
      <c r="CU71" s="246">
        <v>-14.852200886514959</v>
      </c>
      <c r="CV71" s="246">
        <v>-15.117185198356919</v>
      </c>
      <c r="CW71" s="246">
        <v>-15.383414334119474</v>
      </c>
      <c r="CX71" s="246">
        <v>-15.65088794210803</v>
      </c>
      <c r="CY71" s="246">
        <v>-15.919605668329398</v>
      </c>
    </row>
    <row r="72" spans="1:103">
      <c r="A72" s="230"/>
      <c r="B72" s="230"/>
      <c r="C72" s="229" t="s">
        <v>220</v>
      </c>
      <c r="D72" s="229"/>
      <c r="E72" s="203"/>
      <c r="F72" s="229"/>
      <c r="G72" s="232" t="s">
        <v>736</v>
      </c>
      <c r="H72" s="203"/>
      <c r="I72" s="203"/>
      <c r="J72" s="203"/>
      <c r="K72" s="203"/>
      <c r="L72" s="275"/>
      <c r="M72" s="275"/>
      <c r="N72" s="275"/>
      <c r="O72" s="275"/>
      <c r="P72" s="275"/>
      <c r="Q72" s="275"/>
      <c r="R72" s="275"/>
      <c r="S72" s="275"/>
      <c r="T72" s="234">
        <f t="shared" ref="T72:AQ72" si="40">T73+T83</f>
        <v>0.76489149500000031</v>
      </c>
      <c r="U72" s="234">
        <f t="shared" si="40"/>
        <v>0.19976713599999996</v>
      </c>
      <c r="V72" s="234">
        <f t="shared" si="40"/>
        <v>0.62665610199999988</v>
      </c>
      <c r="W72" s="234">
        <f t="shared" si="40"/>
        <v>0.73178233100000023</v>
      </c>
      <c r="X72" s="234">
        <f t="shared" si="40"/>
        <v>0.796787311</v>
      </c>
      <c r="Y72" s="234">
        <f t="shared" si="40"/>
        <v>0.86527387599999994</v>
      </c>
      <c r="Z72" s="234">
        <f t="shared" si="40"/>
        <v>0.92007897499999991</v>
      </c>
      <c r="AA72" s="234">
        <f t="shared" si="40"/>
        <v>1.529270541</v>
      </c>
      <c r="AB72" s="234">
        <f t="shared" si="40"/>
        <v>-4.0479679999998464E-3</v>
      </c>
      <c r="AC72" s="234">
        <f t="shared" si="40"/>
        <v>0.77800960699999977</v>
      </c>
      <c r="AD72" s="234">
        <f t="shared" si="40"/>
        <v>1.5768947300000005</v>
      </c>
      <c r="AE72" s="234">
        <f t="shared" si="40"/>
        <v>2.1690489940977553</v>
      </c>
      <c r="AF72" s="626">
        <f t="shared" si="40"/>
        <v>1.3850412520552331</v>
      </c>
      <c r="AG72" s="626">
        <f t="shared" si="40"/>
        <v>2.3646261016234948</v>
      </c>
      <c r="AH72" s="626">
        <f t="shared" si="40"/>
        <v>1.4898546638173442</v>
      </c>
      <c r="AI72" s="626">
        <f t="shared" si="40"/>
        <v>1.9585018828008209</v>
      </c>
      <c r="AJ72" s="626">
        <f t="shared" si="40"/>
        <v>2.1659172197121825</v>
      </c>
      <c r="AK72" s="626">
        <f t="shared" si="40"/>
        <v>1.9212011086941718</v>
      </c>
      <c r="AL72" s="626">
        <f t="shared" si="40"/>
        <v>1.9124219562148328</v>
      </c>
      <c r="AM72" s="626">
        <f t="shared" si="40"/>
        <v>1.5687089896930027</v>
      </c>
      <c r="AN72" s="626">
        <f t="shared" si="40"/>
        <v>3.7752650472612377</v>
      </c>
      <c r="AO72" s="234">
        <f t="shared" si="40"/>
        <v>-6278.271555087149</v>
      </c>
      <c r="AP72" s="234">
        <f t="shared" si="40"/>
        <v>-0.75075114628868289</v>
      </c>
      <c r="AQ72" s="234">
        <f t="shared" si="40"/>
        <v>-0.6883694080228081</v>
      </c>
      <c r="AR72" s="234">
        <v>6.8951979712533724</v>
      </c>
      <c r="AS72" s="234">
        <v>6.6204860304563127</v>
      </c>
      <c r="AT72" s="234">
        <v>7.0099639397106746</v>
      </c>
      <c r="AU72" s="234">
        <v>6.5558632203934799</v>
      </c>
      <c r="AV72" s="234">
        <v>7.308780003646552</v>
      </c>
      <c r="AW72" s="234">
        <v>7.8012977842422258</v>
      </c>
      <c r="AX72" s="234">
        <v>8.1774384642826679</v>
      </c>
      <c r="AY72" s="234">
        <v>8.3231213385380958</v>
      </c>
      <c r="AZ72" s="234">
        <v>8.4550181653001317</v>
      </c>
      <c r="BA72" s="234">
        <v>7.9648651834070012</v>
      </c>
      <c r="BB72" s="234">
        <v>8.0828542565616672</v>
      </c>
      <c r="BC72" s="234">
        <v>8.7219578353603886</v>
      </c>
      <c r="BD72" s="234">
        <v>9.6306484097080265</v>
      </c>
      <c r="BE72" s="234">
        <v>9.3228251257597421</v>
      </c>
      <c r="BF72" s="234">
        <v>9.6327727709261541</v>
      </c>
      <c r="BG72" s="234">
        <v>9.2421460962257154</v>
      </c>
      <c r="BH72" s="234">
        <v>9.8921584400477336</v>
      </c>
      <c r="BI72" s="234">
        <v>10.325813048014833</v>
      </c>
      <c r="BJ72" s="234">
        <v>10.67370541629168</v>
      </c>
      <c r="BK72" s="234">
        <v>10.829772309415215</v>
      </c>
      <c r="BL72" s="234">
        <v>10.983175949939234</v>
      </c>
      <c r="BM72" s="234">
        <v>11.045289061992314</v>
      </c>
      <c r="BN72" s="234">
        <v>11.22150477500489</v>
      </c>
      <c r="BO72" s="234">
        <v>11.85218429276734</v>
      </c>
      <c r="BP72" s="234">
        <v>12.714167148260213</v>
      </c>
      <c r="BQ72" s="234">
        <v>12.663446015964343</v>
      </c>
      <c r="BR72" s="234">
        <v>13.157549957867959</v>
      </c>
      <c r="BS72" s="234">
        <v>13.05010397965604</v>
      </c>
      <c r="BT72" s="234">
        <v>13.824164945081819</v>
      </c>
      <c r="BU72" s="234">
        <v>14.40796564186795</v>
      </c>
      <c r="BV72" s="234">
        <v>14.909873573743548</v>
      </c>
      <c r="BW72" s="234">
        <v>14.726498673871996</v>
      </c>
      <c r="BX72" s="234">
        <v>15.036457259960676</v>
      </c>
      <c r="BY72" s="234">
        <v>15.279903222066103</v>
      </c>
      <c r="BZ72" s="234">
        <v>15.613116287259093</v>
      </c>
      <c r="CA72" s="234">
        <v>16.327714957244652</v>
      </c>
      <c r="CB72" s="234">
        <v>16.394642256352824</v>
      </c>
      <c r="CC72" s="234">
        <v>16.658597207739447</v>
      </c>
      <c r="CD72" s="234">
        <v>17.054865453030089</v>
      </c>
      <c r="CE72" s="234">
        <v>17.299537650716506</v>
      </c>
      <c r="CF72" s="234">
        <v>17.813890484505411</v>
      </c>
      <c r="CG72" s="234">
        <v>18.264299066862822</v>
      </c>
      <c r="CH72" s="234">
        <v>18.670415543433226</v>
      </c>
      <c r="CI72" s="234">
        <v>19.248398607947237</v>
      </c>
      <c r="CJ72" s="234">
        <v>19.748434461189628</v>
      </c>
      <c r="CK72" s="234">
        <v>19.858838427282144</v>
      </c>
      <c r="CL72" s="234">
        <v>20.329486666888293</v>
      </c>
      <c r="CM72" s="234">
        <v>21.040393240650431</v>
      </c>
      <c r="CN72" s="234">
        <v>20.92125617426769</v>
      </c>
      <c r="CO72" s="234">
        <v>21.335409135242426</v>
      </c>
      <c r="CP72" s="234">
        <v>21.742251624100689</v>
      </c>
      <c r="CQ72" s="234">
        <v>22.150729755150522</v>
      </c>
      <c r="CR72" s="234">
        <v>22.560842314032122</v>
      </c>
      <c r="CS72" s="234">
        <v>22.97258807181445</v>
      </c>
      <c r="CT72" s="234">
        <v>23.385965789096225</v>
      </c>
      <c r="CU72" s="234">
        <v>23.800974220428966</v>
      </c>
      <c r="CV72" s="234">
        <v>24.217612117945723</v>
      </c>
      <c r="CW72" s="234">
        <v>24.635878233927464</v>
      </c>
      <c r="CX72" s="234">
        <v>25.055771322421798</v>
      </c>
      <c r="CY72" s="234">
        <v>25.477290140140177</v>
      </c>
    </row>
    <row r="73" spans="1:103">
      <c r="A73" s="230"/>
      <c r="B73" s="230"/>
      <c r="C73" s="230"/>
      <c r="D73" s="229" t="s">
        <v>22</v>
      </c>
      <c r="E73" s="232"/>
      <c r="F73" s="230"/>
      <c r="G73" s="232" t="s">
        <v>736</v>
      </c>
      <c r="H73" s="232"/>
      <c r="I73" s="232"/>
      <c r="J73" s="232"/>
      <c r="K73" s="232"/>
      <c r="L73" s="237"/>
      <c r="M73" s="237"/>
      <c r="N73" s="237"/>
      <c r="O73" s="237"/>
      <c r="P73" s="237"/>
      <c r="Q73" s="237"/>
      <c r="R73" s="237"/>
      <c r="S73" s="237"/>
      <c r="T73" s="193">
        <f t="shared" ref="T73:AQ73" si="41">SUM(T74:T82)</f>
        <v>1.2554448140000003</v>
      </c>
      <c r="U73" s="193">
        <f t="shared" si="41"/>
        <v>0.92035815499999996</v>
      </c>
      <c r="V73" s="193">
        <f t="shared" si="41"/>
        <v>1.2457340749999999</v>
      </c>
      <c r="W73" s="193">
        <f t="shared" si="41"/>
        <v>1.4301657090000002</v>
      </c>
      <c r="X73" s="193">
        <f t="shared" si="41"/>
        <v>1.510990069</v>
      </c>
      <c r="Y73" s="193">
        <f t="shared" si="41"/>
        <v>1.5783502039999999</v>
      </c>
      <c r="Z73" s="193">
        <f t="shared" si="41"/>
        <v>1.7629610119999999</v>
      </c>
      <c r="AA73" s="193">
        <f t="shared" si="41"/>
        <v>2.532729443</v>
      </c>
      <c r="AB73" s="193">
        <f t="shared" si="41"/>
        <v>1.0387130170000001</v>
      </c>
      <c r="AC73" s="193">
        <f t="shared" si="41"/>
        <v>1.8799936099999999</v>
      </c>
      <c r="AD73" s="193">
        <f t="shared" si="41"/>
        <v>2.8533900690000005</v>
      </c>
      <c r="AE73" s="193">
        <f t="shared" si="41"/>
        <v>3.6767344308899954</v>
      </c>
      <c r="AF73" s="627">
        <f t="shared" si="41"/>
        <v>3.0160245319059604</v>
      </c>
      <c r="AG73" s="627">
        <f t="shared" si="41"/>
        <v>4.0689160331992857</v>
      </c>
      <c r="AH73" s="627">
        <f t="shared" si="41"/>
        <v>3.2622190238748487</v>
      </c>
      <c r="AI73" s="627">
        <f t="shared" si="41"/>
        <v>4.2571156048518484</v>
      </c>
      <c r="AJ73" s="627">
        <f t="shared" si="41"/>
        <v>4.5635907696530644</v>
      </c>
      <c r="AK73" s="627">
        <f t="shared" si="41"/>
        <v>4.6680036062517596</v>
      </c>
      <c r="AL73" s="627">
        <f t="shared" si="41"/>
        <v>4.959375771793245</v>
      </c>
      <c r="AM73" s="627">
        <f t="shared" si="41"/>
        <v>5.3084332387677886</v>
      </c>
      <c r="AN73" s="627">
        <f>SUM(AN74:AN82)</f>
        <v>6.2401126363784929</v>
      </c>
      <c r="AO73" s="193">
        <f t="shared" si="41"/>
        <v>6.3055649128507136</v>
      </c>
      <c r="AP73" s="193">
        <f t="shared" si="41"/>
        <v>0.24924885371131705</v>
      </c>
      <c r="AQ73" s="193">
        <f t="shared" si="41"/>
        <v>0.3116305919771919</v>
      </c>
      <c r="AR73" s="193">
        <v>9.0356493970908733</v>
      </c>
      <c r="AS73" s="193">
        <v>8.8346550827313131</v>
      </c>
      <c r="AT73" s="193">
        <v>9.2986096184231748</v>
      </c>
      <c r="AU73" s="193">
        <v>8.9197445255434804</v>
      </c>
      <c r="AV73" s="193">
        <v>9.7486559352340532</v>
      </c>
      <c r="AW73" s="193">
        <v>10.317927342267227</v>
      </c>
      <c r="AX73" s="193">
        <v>10.77158064874517</v>
      </c>
      <c r="AY73" s="193">
        <v>10.995535149438098</v>
      </c>
      <c r="AZ73" s="193">
        <v>11.206462602637632</v>
      </c>
      <c r="BA73" s="193">
        <v>11.300179583663947</v>
      </c>
      <c r="BB73" s="193">
        <v>11.513784734960975</v>
      </c>
      <c r="BC73" s="193">
        <v>12.24943022523539</v>
      </c>
      <c r="BD73" s="193">
        <v>13.239725049583027</v>
      </c>
      <c r="BE73" s="193">
        <v>13.019783265634743</v>
      </c>
      <c r="BF73" s="193">
        <v>13.423889660801155</v>
      </c>
      <c r="BG73" s="193">
        <v>13.133698986100717</v>
      </c>
      <c r="BH73" s="193">
        <v>13.890424579922735</v>
      </c>
      <c r="BI73" s="193">
        <v>14.437069687889835</v>
      </c>
      <c r="BJ73" s="193">
        <v>14.904229806166681</v>
      </c>
      <c r="BK73" s="193">
        <v>15.185841699290217</v>
      </c>
      <c r="BL73" s="193">
        <v>15.471067589814234</v>
      </c>
      <c r="BM73" s="193">
        <v>15.671280201867315</v>
      </c>
      <c r="BN73" s="193">
        <v>15.991872664879891</v>
      </c>
      <c r="BO73" s="193">
        <v>16.77320618264234</v>
      </c>
      <c r="BP73" s="193">
        <v>17.786627694385214</v>
      </c>
      <c r="BQ73" s="193">
        <v>17.888129874589342</v>
      </c>
      <c r="BR73" s="193">
        <v>18.53524178524296</v>
      </c>
      <c r="BS73" s="193">
        <v>18.58158843203104</v>
      </c>
      <c r="BT73" s="193">
        <v>19.510226678706818</v>
      </c>
      <c r="BU73" s="193">
        <v>20.24938931299295</v>
      </c>
      <c r="BV73" s="193">
        <v>20.907443838618548</v>
      </c>
      <c r="BW73" s="193">
        <v>21.393282962496997</v>
      </c>
      <c r="BX73" s="193">
        <v>21.868514767335675</v>
      </c>
      <c r="BY73" s="193">
        <v>22.258404416941104</v>
      </c>
      <c r="BZ73" s="193">
        <v>22.738786138384093</v>
      </c>
      <c r="CA73" s="193">
        <v>23.601278433369654</v>
      </c>
      <c r="CB73" s="193">
        <v>23.816824326227824</v>
      </c>
      <c r="CC73" s="193">
        <v>24.230122840114447</v>
      </c>
      <c r="CD73" s="193">
        <v>24.776459616655092</v>
      </c>
      <c r="CE73" s="193">
        <v>25.171925314341507</v>
      </c>
      <c r="CF73" s="193">
        <v>25.837796616880411</v>
      </c>
      <c r="CG73" s="193">
        <v>26.440448636737823</v>
      </c>
      <c r="CH73" s="193">
        <v>26.999533519558227</v>
      </c>
      <c r="CI73" s="193">
        <v>27.731209959072238</v>
      </c>
      <c r="CJ73" s="193">
        <v>28.385664156064628</v>
      </c>
      <c r="CK73" s="193">
        <v>28.651211434657146</v>
      </c>
      <c r="CL73" s="193">
        <v>29.277727955513296</v>
      </c>
      <c r="CM73" s="193">
        <v>30.145227779275434</v>
      </c>
      <c r="CN73" s="193">
        <v>30.183408931642692</v>
      </c>
      <c r="CO73" s="193">
        <v>30.755605080117427</v>
      </c>
      <c r="CP73" s="193">
        <v>31.321215725225692</v>
      </c>
      <c r="CQ73" s="193">
        <v>31.889186981275522</v>
      </c>
      <c r="CR73" s="193">
        <v>32.459517633907126</v>
      </c>
      <c r="CS73" s="193">
        <v>33.032206454189449</v>
      </c>
      <c r="CT73" s="193">
        <v>33.607252202721227</v>
      </c>
      <c r="CU73" s="193">
        <v>34.184653634053966</v>
      </c>
      <c r="CV73" s="193">
        <v>34.764409500320724</v>
      </c>
      <c r="CW73" s="193">
        <v>35.346518553802461</v>
      </c>
      <c r="CX73" s="193">
        <v>35.930979548546802</v>
      </c>
      <c r="CY73" s="193">
        <v>36.517791241265179</v>
      </c>
    </row>
    <row r="74" spans="1:103">
      <c r="A74" s="230"/>
      <c r="B74" s="230"/>
      <c r="C74" s="230"/>
      <c r="D74" s="230"/>
      <c r="E74" s="230" t="s">
        <v>865</v>
      </c>
      <c r="F74" s="230"/>
      <c r="G74" s="232" t="s">
        <v>736</v>
      </c>
      <c r="H74" s="232"/>
      <c r="I74" s="232"/>
      <c r="J74" s="232"/>
      <c r="K74" s="232"/>
      <c r="L74" s="267"/>
      <c r="M74" s="267"/>
      <c r="N74" s="267"/>
      <c r="O74" s="267"/>
      <c r="P74" s="267"/>
      <c r="Q74" s="267"/>
      <c r="R74" s="267"/>
      <c r="S74" s="267"/>
      <c r="T74" s="597">
        <v>0.17655230299999999</v>
      </c>
      <c r="U74" s="597">
        <v>-2.3546866999999999E-2</v>
      </c>
      <c r="V74" s="597">
        <v>0.14961176100000001</v>
      </c>
      <c r="W74" s="597">
        <v>0.17410767399999999</v>
      </c>
      <c r="X74" s="597">
        <v>0.133834384</v>
      </c>
      <c r="Y74" s="597">
        <v>0.17054482500000001</v>
      </c>
      <c r="Z74" s="597">
        <v>0.24151483700000001</v>
      </c>
      <c r="AA74" s="597">
        <v>0.224681982</v>
      </c>
      <c r="AB74" s="597">
        <v>0.19647969800000001</v>
      </c>
      <c r="AC74" s="597">
        <v>0.29448490199999999</v>
      </c>
      <c r="AD74" s="597">
        <v>0.31047565900000001</v>
      </c>
      <c r="AE74" s="628">
        <v>0.360603909</v>
      </c>
      <c r="AF74" s="628">
        <v>0.36967243799999999</v>
      </c>
      <c r="AG74" s="628">
        <v>0.36988531899999999</v>
      </c>
      <c r="AH74" s="628">
        <v>0.52026391900000002</v>
      </c>
      <c r="AI74" s="628">
        <v>0.446048536</v>
      </c>
      <c r="AJ74" s="628">
        <v>0.425866307</v>
      </c>
      <c r="AK74" s="597">
        <v>0.43505969</v>
      </c>
      <c r="AL74" s="629">
        <v>0.54155192200000002</v>
      </c>
      <c r="AM74" s="629">
        <v>0.790748691</v>
      </c>
      <c r="AN74" s="629">
        <v>0.89269281199999995</v>
      </c>
      <c r="AO74" s="629">
        <v>0.95334946399999998</v>
      </c>
      <c r="AP74" s="246">
        <v>0</v>
      </c>
      <c r="AQ74" s="246">
        <v>0</v>
      </c>
      <c r="AR74" s="246">
        <v>1.2229704204055558</v>
      </c>
      <c r="AS74" s="246">
        <v>1.2670970325444448</v>
      </c>
      <c r="AT74" s="246">
        <v>1.3117663113500002</v>
      </c>
      <c r="AU74" s="246">
        <v>1.3569782568222226</v>
      </c>
      <c r="AV74" s="246">
        <v>1.4027328689611118</v>
      </c>
      <c r="AW74" s="246">
        <v>1.4490301477666674</v>
      </c>
      <c r="AX74" s="246">
        <v>1.4958700932388898</v>
      </c>
      <c r="AY74" s="246">
        <v>1.5432527053777785</v>
      </c>
      <c r="AZ74" s="246">
        <v>1.5911779841833344</v>
      </c>
      <c r="BA74" s="246">
        <v>1.6396459296555566</v>
      </c>
      <c r="BB74" s="246">
        <v>1.6886565417944457</v>
      </c>
      <c r="BC74" s="246">
        <v>1.7382098206000003</v>
      </c>
      <c r="BD74" s="246">
        <v>1.9226177520000005</v>
      </c>
      <c r="BE74" s="246">
        <v>1.9694337520000005</v>
      </c>
      <c r="BF74" s="246">
        <v>2.0195937520000005</v>
      </c>
      <c r="BG74" s="246">
        <v>2.0730977520000007</v>
      </c>
      <c r="BH74" s="246">
        <v>2.1299457520000002</v>
      </c>
      <c r="BI74" s="246">
        <v>2.1901377520000005</v>
      </c>
      <c r="BJ74" s="246">
        <v>2.2536737520000005</v>
      </c>
      <c r="BK74" s="246">
        <v>2.3205537520000004</v>
      </c>
      <c r="BL74" s="246">
        <v>2.3907777520000004</v>
      </c>
      <c r="BM74" s="246">
        <v>2.4643457520000003</v>
      </c>
      <c r="BN74" s="246">
        <v>2.5412577520000004</v>
      </c>
      <c r="BO74" s="246">
        <v>2.6215137520000003</v>
      </c>
      <c r="BP74" s="246">
        <v>2.7021877520000004</v>
      </c>
      <c r="BQ74" s="246">
        <v>2.7832797520000003</v>
      </c>
      <c r="BR74" s="246">
        <v>2.8647897520000005</v>
      </c>
      <c r="BS74" s="246">
        <v>2.946717752000001</v>
      </c>
      <c r="BT74" s="246">
        <v>3.0290637520000003</v>
      </c>
      <c r="BU74" s="246">
        <v>3.1118277519999999</v>
      </c>
      <c r="BV74" s="246">
        <v>3.1950097520000003</v>
      </c>
      <c r="BW74" s="246">
        <v>3.2786097520000004</v>
      </c>
      <c r="BX74" s="246">
        <v>3.3626277519999999</v>
      </c>
      <c r="BY74" s="246">
        <v>3.4470637520000005</v>
      </c>
      <c r="BZ74" s="246">
        <v>3.531917752</v>
      </c>
      <c r="CA74" s="246">
        <v>3.6171897520000007</v>
      </c>
      <c r="CB74" s="246">
        <v>3.7028797520000003</v>
      </c>
      <c r="CC74" s="246">
        <v>3.7889877519999993</v>
      </c>
      <c r="CD74" s="246">
        <v>3.8755137520000007</v>
      </c>
      <c r="CE74" s="246">
        <v>3.9624577520000011</v>
      </c>
      <c r="CF74" s="246">
        <v>4.0498197520000003</v>
      </c>
      <c r="CG74" s="246">
        <v>4.1375997520000007</v>
      </c>
      <c r="CH74" s="246">
        <v>4.2257977520000001</v>
      </c>
      <c r="CI74" s="246">
        <v>4.3144137520000001</v>
      </c>
      <c r="CJ74" s="246">
        <v>4.4034477519999999</v>
      </c>
      <c r="CK74" s="246">
        <v>4.4928997520000005</v>
      </c>
      <c r="CL74" s="246">
        <v>4.5827697520000008</v>
      </c>
      <c r="CM74" s="246">
        <v>4.673057752000001</v>
      </c>
      <c r="CN74" s="246">
        <v>4.7637637520000009</v>
      </c>
      <c r="CO74" s="246">
        <v>4.8548877520000007</v>
      </c>
      <c r="CP74" s="246">
        <v>4.9464297519999993</v>
      </c>
      <c r="CQ74" s="246">
        <v>5.0383897520000005</v>
      </c>
      <c r="CR74" s="246">
        <v>5.1307677520000006</v>
      </c>
      <c r="CS74" s="246">
        <v>5.2235637520000004</v>
      </c>
      <c r="CT74" s="246">
        <v>5.3167777519999992</v>
      </c>
      <c r="CU74" s="246">
        <v>5.4104097520000005</v>
      </c>
      <c r="CV74" s="246">
        <v>5.5044597520000007</v>
      </c>
      <c r="CW74" s="246">
        <v>5.5989277519999998</v>
      </c>
      <c r="CX74" s="246">
        <v>5.6938137520000014</v>
      </c>
      <c r="CY74" s="246">
        <v>5.789117752000001</v>
      </c>
    </row>
    <row r="75" spans="1:103">
      <c r="A75" s="230"/>
      <c r="B75" s="230"/>
      <c r="C75" s="230"/>
      <c r="D75" s="230"/>
      <c r="E75" s="230" t="s">
        <v>866</v>
      </c>
      <c r="F75" s="230"/>
      <c r="G75" s="232" t="s">
        <v>736</v>
      </c>
      <c r="H75" s="232"/>
      <c r="I75" s="232"/>
      <c r="J75" s="232"/>
      <c r="K75" s="232"/>
      <c r="L75" s="267"/>
      <c r="M75" s="267"/>
      <c r="N75" s="267"/>
      <c r="O75" s="267"/>
      <c r="P75" s="267"/>
      <c r="Q75" s="267"/>
      <c r="R75" s="267"/>
      <c r="S75" s="267"/>
      <c r="T75" s="610">
        <v>0.52170000000000005</v>
      </c>
      <c r="U75" s="610">
        <v>0.36367835999999998</v>
      </c>
      <c r="V75" s="597">
        <v>0.49462455999999999</v>
      </c>
      <c r="W75" s="597">
        <v>0.61170235399999995</v>
      </c>
      <c r="X75" s="597">
        <v>0.79655022600000003</v>
      </c>
      <c r="Y75" s="597">
        <v>0.78911043800000003</v>
      </c>
      <c r="Z75" s="597">
        <v>0.78235077200000003</v>
      </c>
      <c r="AA75" s="597">
        <v>1.5268962479999999</v>
      </c>
      <c r="AB75" s="597">
        <v>1.3142660370000001</v>
      </c>
      <c r="AC75" s="597">
        <v>0.67975956599999998</v>
      </c>
      <c r="AD75" s="597">
        <v>1.5784778850000001</v>
      </c>
      <c r="AE75" s="628">
        <v>0.65333812700000005</v>
      </c>
      <c r="AF75" s="628">
        <v>1.112440088</v>
      </c>
      <c r="AG75" s="628">
        <v>1.0361642470000001</v>
      </c>
      <c r="AH75" s="628">
        <v>1.3800257970000001</v>
      </c>
      <c r="AI75" s="628">
        <v>1.4535343979999999</v>
      </c>
      <c r="AJ75" s="628">
        <v>1.784971987</v>
      </c>
      <c r="AK75" s="597">
        <v>2.1436092000000002</v>
      </c>
      <c r="AL75" s="629">
        <v>1.3789390960000001</v>
      </c>
      <c r="AM75" s="629">
        <v>2.0176021359999998</v>
      </c>
      <c r="AN75" s="629">
        <v>2.237557899</v>
      </c>
      <c r="AO75" s="629">
        <v>1.7402407470000001</v>
      </c>
      <c r="AP75" s="246">
        <v>4.6980537314355413E-2</v>
      </c>
      <c r="AQ75" s="246">
        <v>2.4894994776608372E-2</v>
      </c>
      <c r="AR75" s="246">
        <v>2.6233863713497731</v>
      </c>
      <c r="AS75" s="246">
        <v>2.7938278031186248</v>
      </c>
      <c r="AT75" s="246">
        <v>2.9325224675579125</v>
      </c>
      <c r="AU75" s="246">
        <v>3.0562668183564217</v>
      </c>
      <c r="AV75" s="246">
        <v>3.171902406307932</v>
      </c>
      <c r="AW75" s="246">
        <v>3.2928225544156651</v>
      </c>
      <c r="AX75" s="246">
        <v>3.4115931504980805</v>
      </c>
      <c r="AY75" s="246">
        <v>3.5353292463741619</v>
      </c>
      <c r="AZ75" s="246">
        <v>3.6627141628827529</v>
      </c>
      <c r="BA75" s="246">
        <v>3.7932576323416352</v>
      </c>
      <c r="BB75" s="246">
        <v>3.9230882672780871</v>
      </c>
      <c r="BC75" s="246">
        <v>4.0537464074367948</v>
      </c>
      <c r="BD75" s="246">
        <v>4.1607679446528065</v>
      </c>
      <c r="BE75" s="246">
        <v>4.2587773764719437</v>
      </c>
      <c r="BF75" s="246">
        <v>4.3554486594490918</v>
      </c>
      <c r="BG75" s="246">
        <v>4.4547338107139858</v>
      </c>
      <c r="BH75" s="246">
        <v>4.5586831559417211</v>
      </c>
      <c r="BI75" s="246">
        <v>4.668339983543035</v>
      </c>
      <c r="BJ75" s="246">
        <v>4.7842180398468983</v>
      </c>
      <c r="BK75" s="246">
        <v>4.9070832217762144</v>
      </c>
      <c r="BL75" s="246">
        <v>5.0371157310497496</v>
      </c>
      <c r="BM75" s="246">
        <v>5.1741414029538788</v>
      </c>
      <c r="BN75" s="246">
        <v>5.3179219169863812</v>
      </c>
      <c r="BO75" s="246">
        <v>5.4682464176494356</v>
      </c>
      <c r="BP75" s="246">
        <v>5.6308626738741969</v>
      </c>
      <c r="BQ75" s="246">
        <v>5.8000096546600011</v>
      </c>
      <c r="BR75" s="246">
        <v>5.9728034329673125</v>
      </c>
      <c r="BS75" s="246">
        <v>6.147802658104931</v>
      </c>
      <c r="BT75" s="246">
        <v>6.3242928450722919</v>
      </c>
      <c r="BU75" s="246">
        <v>6.501924287724747</v>
      </c>
      <c r="BV75" s="246">
        <v>6.6805286099613941</v>
      </c>
      <c r="BW75" s="246">
        <v>6.8600266853405136</v>
      </c>
      <c r="BX75" s="246">
        <v>7.0403051186076029</v>
      </c>
      <c r="BY75" s="246">
        <v>7.2213876162612696</v>
      </c>
      <c r="BZ75" s="246">
        <v>7.4033239339767931</v>
      </c>
      <c r="CA75" s="246">
        <v>7.5861567224814532</v>
      </c>
      <c r="CB75" s="246">
        <v>7.7699152307217441</v>
      </c>
      <c r="CC75" s="246">
        <v>7.9546172143382039</v>
      </c>
      <c r="CD75" s="246">
        <v>8.140272406696095</v>
      </c>
      <c r="CE75" s="246">
        <v>8.3268854735553983</v>
      </c>
      <c r="CF75" s="246">
        <v>8.5144580818701527</v>
      </c>
      <c r="CG75" s="246">
        <v>8.7029897503686904</v>
      </c>
      <c r="CH75" s="246">
        <v>8.8924791307069917</v>
      </c>
      <c r="CI75" s="246">
        <v>9.0829247829959208</v>
      </c>
      <c r="CJ75" s="246">
        <v>9.2743255002599518</v>
      </c>
      <c r="CK75" s="246">
        <v>9.466680377035452</v>
      </c>
      <c r="CL75" s="246">
        <v>9.6599887676579375</v>
      </c>
      <c r="CM75" s="246">
        <v>9.8542502141869814</v>
      </c>
      <c r="CN75" s="246">
        <v>10.049464379004464</v>
      </c>
      <c r="CO75" s="246">
        <v>10.245630993190623</v>
      </c>
      <c r="CP75" s="246">
        <v>10.442749818567174</v>
      </c>
      <c r="CQ75" s="246">
        <v>10.640820624319369</v>
      </c>
      <c r="CR75" s="246">
        <v>10.839843175328889</v>
      </c>
      <c r="CS75" s="246">
        <v>11.039817228059819</v>
      </c>
      <c r="CT75" s="246">
        <v>11.240742530456023</v>
      </c>
      <c r="CU75" s="246">
        <v>11.442618823494097</v>
      </c>
      <c r="CV75" s="246">
        <v>11.64544584308738</v>
      </c>
      <c r="CW75" s="246">
        <v>11.849223321749639</v>
      </c>
      <c r="CX75" s="246">
        <v>12.05395098983354</v>
      </c>
      <c r="CY75" s="246">
        <v>12.259628576342271</v>
      </c>
    </row>
    <row r="76" spans="1:103">
      <c r="A76" s="230"/>
      <c r="B76" s="230"/>
      <c r="C76" s="230"/>
      <c r="D76" s="230"/>
      <c r="E76" s="230" t="s">
        <v>425</v>
      </c>
      <c r="F76" s="230"/>
      <c r="G76" s="232" t="s">
        <v>736</v>
      </c>
      <c r="H76" s="232"/>
      <c r="I76" s="232"/>
      <c r="J76" s="232"/>
      <c r="K76" s="232"/>
      <c r="L76" s="267"/>
      <c r="M76" s="267"/>
      <c r="N76" s="267"/>
      <c r="O76" s="267"/>
      <c r="P76" s="267"/>
      <c r="Q76" s="267"/>
      <c r="R76" s="267"/>
      <c r="S76" s="267"/>
      <c r="T76" s="267"/>
      <c r="U76" s="267"/>
      <c r="V76" s="267"/>
      <c r="W76" s="267"/>
      <c r="X76" s="267"/>
      <c r="Y76" s="267"/>
      <c r="Z76" s="267"/>
      <c r="AA76" s="267"/>
      <c r="AB76" s="610"/>
      <c r="AC76" s="610"/>
      <c r="AD76" s="597">
        <v>0.51704614500000001</v>
      </c>
      <c r="AE76" s="628">
        <v>0.61952253800000001</v>
      </c>
      <c r="AF76" s="628">
        <v>0.40597341999999997</v>
      </c>
      <c r="AG76" s="628">
        <v>0.62662648799999998</v>
      </c>
      <c r="AH76" s="628">
        <v>0.70755400800000001</v>
      </c>
      <c r="AI76" s="628">
        <v>0.59406191799999997</v>
      </c>
      <c r="AJ76" s="628">
        <v>0.52953658100000001</v>
      </c>
      <c r="AK76" s="597">
        <v>0.57761995200000005</v>
      </c>
      <c r="AL76" s="629">
        <v>0.70049858499999995</v>
      </c>
      <c r="AM76" s="629">
        <v>0.65007980700000001</v>
      </c>
      <c r="AN76" s="629">
        <v>0.73300118199999997</v>
      </c>
      <c r="AO76" s="629">
        <v>0.77149689799999999</v>
      </c>
      <c r="AP76" s="246">
        <v>1.610695646551144E-7</v>
      </c>
      <c r="AQ76" s="246">
        <v>1.5297795843493375E-7</v>
      </c>
      <c r="AR76" s="246">
        <v>2.6788611662917559</v>
      </c>
      <c r="AS76" s="246">
        <v>2.1377111454660804</v>
      </c>
      <c r="AT76" s="246">
        <v>2.3107856893826608</v>
      </c>
      <c r="AU76" s="246">
        <v>1.6718201574761007</v>
      </c>
      <c r="AV76" s="246">
        <v>2.2207182238486998</v>
      </c>
      <c r="AW76" s="246">
        <v>2.531205704137347</v>
      </c>
      <c r="AX76" s="246">
        <v>2.7228438682574216</v>
      </c>
      <c r="AY76" s="246">
        <v>2.6734296128604109</v>
      </c>
      <c r="AZ76" s="246">
        <v>2.6019437258451621</v>
      </c>
      <c r="BA76" s="246">
        <v>2.4102569691214679</v>
      </c>
      <c r="BB76" s="246">
        <v>2.3370546634366969</v>
      </c>
      <c r="BC76" s="246">
        <v>2.7860836626303915</v>
      </c>
      <c r="BD76" s="246">
        <v>3.3944830826397538</v>
      </c>
      <c r="BE76" s="246">
        <v>2.9319705433136494</v>
      </c>
      <c r="BF76" s="246">
        <v>3.0798946747355194</v>
      </c>
      <c r="BG76" s="246">
        <v>2.5337807334424096</v>
      </c>
      <c r="BH76" s="246">
        <v>3.0029154072650703</v>
      </c>
      <c r="BI76" s="246">
        <v>3.2682842466086548</v>
      </c>
      <c r="BJ76" s="246">
        <v>3.4320744166316199</v>
      </c>
      <c r="BK76" s="246">
        <v>3.3898408180673827</v>
      </c>
      <c r="BL76" s="246">
        <v>3.3287429378918363</v>
      </c>
      <c r="BM76" s="246">
        <v>3.1649112365233525</v>
      </c>
      <c r="BN76" s="246">
        <v>3.1023463599016514</v>
      </c>
      <c r="BO76" s="246">
        <v>3.4861244891739354</v>
      </c>
      <c r="BP76" s="246">
        <v>4.0981892102087683</v>
      </c>
      <c r="BQ76" s="246">
        <v>3.7949620701230788</v>
      </c>
      <c r="BR76" s="246">
        <v>4.0134656956661878</v>
      </c>
      <c r="BS76" s="246">
        <v>3.6387857324687398</v>
      </c>
      <c r="BT76" s="246">
        <v>4.1318230324214502</v>
      </c>
      <c r="BU76" s="246">
        <v>4.4507048303767212</v>
      </c>
      <c r="BV76" s="246">
        <v>4.6827689133161758</v>
      </c>
      <c r="BW76" s="246">
        <v>4.7387476729557978</v>
      </c>
      <c r="BX76" s="246">
        <v>4.7786034233468984</v>
      </c>
      <c r="BY76" s="246">
        <v>4.7306541683124772</v>
      </c>
      <c r="BZ76" s="246">
        <v>4.7692560995676976</v>
      </c>
      <c r="CA76" s="246">
        <v>5.1893404832332379</v>
      </c>
      <c r="CB76" s="246">
        <v>4.9673860468684277</v>
      </c>
      <c r="CC76" s="246">
        <v>4.9285926972282379</v>
      </c>
      <c r="CD76" s="246">
        <v>5.0239710220176379</v>
      </c>
      <c r="CE76" s="246">
        <v>4.9686217845300948</v>
      </c>
      <c r="CF76" s="246">
        <v>5.1785116669303557</v>
      </c>
      <c r="CG76" s="246">
        <v>5.3276966272236548</v>
      </c>
      <c r="CH76" s="246">
        <v>5.4298007814510427</v>
      </c>
      <c r="CI76" s="246">
        <v>5.701257871783648</v>
      </c>
      <c r="CJ76" s="246">
        <v>5.8961439808222442</v>
      </c>
      <c r="CK76" s="246">
        <v>5.6983451249814339</v>
      </c>
      <c r="CL76" s="246">
        <v>5.8522151715926469</v>
      </c>
      <c r="CM76" s="246">
        <v>6.2509169068909358</v>
      </c>
      <c r="CN76" s="246">
        <v>5.822151289499276</v>
      </c>
      <c r="CO76" s="246">
        <v>5.910757167337402</v>
      </c>
      <c r="CP76" s="246">
        <v>5.999363045175528</v>
      </c>
      <c r="CQ76" s="246">
        <v>6.0879689230136549</v>
      </c>
      <c r="CR76" s="246">
        <v>6.17657480085178</v>
      </c>
      <c r="CS76" s="246">
        <v>6.2651806786899078</v>
      </c>
      <c r="CT76" s="246">
        <v>6.3537865565280329</v>
      </c>
      <c r="CU76" s="246">
        <v>6.4423924343661589</v>
      </c>
      <c r="CV76" s="246">
        <v>6.530998312204285</v>
      </c>
      <c r="CW76" s="246">
        <v>6.6196041900424101</v>
      </c>
      <c r="CX76" s="246">
        <v>6.7082100678805379</v>
      </c>
      <c r="CY76" s="246">
        <v>6.7968159457186674</v>
      </c>
    </row>
    <row r="77" spans="1:103">
      <c r="A77" s="230"/>
      <c r="B77" s="230"/>
      <c r="C77" s="230"/>
      <c r="D77" s="230"/>
      <c r="E77" s="230" t="s">
        <v>392</v>
      </c>
      <c r="F77" s="230"/>
      <c r="G77" s="232" t="s">
        <v>736</v>
      </c>
      <c r="H77" s="232"/>
      <c r="I77" s="232"/>
      <c r="J77" s="232"/>
      <c r="K77" s="232"/>
      <c r="L77" s="267"/>
      <c r="M77" s="267"/>
      <c r="N77" s="267"/>
      <c r="O77" s="267"/>
      <c r="P77" s="267"/>
      <c r="Q77" s="267"/>
      <c r="R77" s="267"/>
      <c r="S77" s="267"/>
      <c r="T77" s="597">
        <v>0.54940926400000001</v>
      </c>
      <c r="U77" s="597">
        <v>0.57102161399999996</v>
      </c>
      <c r="V77" s="597">
        <v>0.58633052299999999</v>
      </c>
      <c r="W77" s="597">
        <v>0.623539014</v>
      </c>
      <c r="X77" s="597">
        <v>0.56837315300000002</v>
      </c>
      <c r="Y77" s="597">
        <v>0.57610338699999997</v>
      </c>
      <c r="Z77" s="597">
        <v>0.67545523600000001</v>
      </c>
      <c r="AA77" s="597">
        <v>0.72113184600000002</v>
      </c>
      <c r="AB77" s="597">
        <v>0.64205164599999998</v>
      </c>
      <c r="AC77" s="597">
        <v>0.83013263000000004</v>
      </c>
      <c r="AD77" s="597">
        <v>0.78058229899999998</v>
      </c>
      <c r="AE77" s="628">
        <v>0.98560950788999535</v>
      </c>
      <c r="AF77" s="628">
        <v>1.1163004989059604</v>
      </c>
      <c r="AG77" s="628">
        <v>0.97488863419928573</v>
      </c>
      <c r="AH77" s="628">
        <v>1.7794386108748481</v>
      </c>
      <c r="AI77" s="628">
        <v>1.4882598828518478</v>
      </c>
      <c r="AJ77" s="628">
        <v>1.9334265566530646</v>
      </c>
      <c r="AK77" s="597">
        <v>1.7015989292517588</v>
      </c>
      <c r="AL77" s="629">
        <v>2.0345372067932459</v>
      </c>
      <c r="AM77" s="629">
        <v>1.9616894227677899</v>
      </c>
      <c r="AN77" s="629">
        <v>2.1811428913784932</v>
      </c>
      <c r="AO77" s="629">
        <v>2.4277745466144971</v>
      </c>
      <c r="AP77" s="246">
        <v>0</v>
      </c>
      <c r="AQ77" s="246">
        <v>0</v>
      </c>
      <c r="AR77" s="246">
        <v>2.6318653979673616</v>
      </c>
      <c r="AS77" s="246">
        <v>2.7268270599013902</v>
      </c>
      <c r="AT77" s="246">
        <v>2.822956555168751</v>
      </c>
      <c r="AU77" s="246">
        <v>2.9202538837694458</v>
      </c>
      <c r="AV77" s="246">
        <v>3.0187190457034738</v>
      </c>
      <c r="AW77" s="246">
        <v>3.1183520409708354</v>
      </c>
      <c r="AX77" s="246">
        <v>3.2191528695715297</v>
      </c>
      <c r="AY77" s="246">
        <v>3.3211215315055576</v>
      </c>
      <c r="AZ77" s="246">
        <v>3.424258026772919</v>
      </c>
      <c r="BA77" s="246">
        <v>3.5285623553736136</v>
      </c>
      <c r="BB77" s="246">
        <v>3.6340345173076423</v>
      </c>
      <c r="BC77" s="246">
        <v>3.7406745125750009</v>
      </c>
      <c r="BD77" s="246">
        <v>3.8272109625750006</v>
      </c>
      <c r="BE77" s="246">
        <v>3.9204040625750012</v>
      </c>
      <c r="BF77" s="246">
        <v>4.0202538125750005</v>
      </c>
      <c r="BG77" s="246">
        <v>4.1267602125750011</v>
      </c>
      <c r="BH77" s="246">
        <v>4.239923262575001</v>
      </c>
      <c r="BI77" s="246">
        <v>4.3597429625750008</v>
      </c>
      <c r="BJ77" s="246">
        <v>4.4862193125750007</v>
      </c>
      <c r="BK77" s="246">
        <v>4.6193523125750007</v>
      </c>
      <c r="BL77" s="246">
        <v>4.7591419625750007</v>
      </c>
      <c r="BM77" s="246">
        <v>4.9055882625750007</v>
      </c>
      <c r="BN77" s="246">
        <v>5.0586912125750008</v>
      </c>
      <c r="BO77" s="246">
        <v>5.218450812575</v>
      </c>
      <c r="BP77" s="246">
        <v>5.3790424938250005</v>
      </c>
      <c r="BQ77" s="246">
        <v>5.5404662563250007</v>
      </c>
      <c r="BR77" s="246">
        <v>5.7027221000750004</v>
      </c>
      <c r="BS77" s="246">
        <v>5.8658100250750014</v>
      </c>
      <c r="BT77" s="246">
        <v>6.0297300313250002</v>
      </c>
      <c r="BU77" s="246">
        <v>6.1944821188250003</v>
      </c>
      <c r="BV77" s="246">
        <v>6.3600662875750009</v>
      </c>
      <c r="BW77" s="246">
        <v>6.5264825375750011</v>
      </c>
      <c r="BX77" s="246">
        <v>6.693730868824999</v>
      </c>
      <c r="BY77" s="246">
        <v>6.861811281325001</v>
      </c>
      <c r="BZ77" s="246">
        <v>7.0307237750749998</v>
      </c>
      <c r="CA77" s="246">
        <v>7.2004683500750009</v>
      </c>
      <c r="CB77" s="246">
        <v>7.3710450063250006</v>
      </c>
      <c r="CC77" s="246">
        <v>7.542453743824999</v>
      </c>
      <c r="CD77" s="246">
        <v>7.7146945625750005</v>
      </c>
      <c r="CE77" s="246">
        <v>7.8877674625750025</v>
      </c>
      <c r="CF77" s="246">
        <v>8.0616724438250014</v>
      </c>
      <c r="CG77" s="246">
        <v>8.2364095063250016</v>
      </c>
      <c r="CH77" s="246">
        <v>8.4119786500750013</v>
      </c>
      <c r="CI77" s="246">
        <v>8.5883798750750024</v>
      </c>
      <c r="CJ77" s="246">
        <v>8.7656131813249978</v>
      </c>
      <c r="CK77" s="246">
        <v>8.9436785688250016</v>
      </c>
      <c r="CL77" s="246">
        <v>9.1225760375750014</v>
      </c>
      <c r="CM77" s="246">
        <v>9.3023055875750025</v>
      </c>
      <c r="CN77" s="246">
        <v>9.4828672188250014</v>
      </c>
      <c r="CO77" s="246">
        <v>9.6642609313250016</v>
      </c>
      <c r="CP77" s="246">
        <v>9.8464867250749979</v>
      </c>
      <c r="CQ77" s="246">
        <v>10.029544600075001</v>
      </c>
      <c r="CR77" s="246">
        <v>10.213434556325002</v>
      </c>
      <c r="CS77" s="246">
        <v>10.398156593825002</v>
      </c>
      <c r="CT77" s="246">
        <v>10.583710712575</v>
      </c>
      <c r="CU77" s="246">
        <v>10.770096912575001</v>
      </c>
      <c r="CV77" s="246">
        <v>10.957315193825002</v>
      </c>
      <c r="CW77" s="246">
        <v>11.145365556324998</v>
      </c>
      <c r="CX77" s="246">
        <v>11.334248000075002</v>
      </c>
      <c r="CY77" s="246">
        <v>11.523962525075001</v>
      </c>
    </row>
    <row r="78" spans="1:103">
      <c r="A78" s="230"/>
      <c r="B78" s="230"/>
      <c r="C78" s="230"/>
      <c r="D78" s="230"/>
      <c r="E78" s="230" t="s">
        <v>867</v>
      </c>
      <c r="F78" s="230"/>
      <c r="G78" s="232" t="s">
        <v>736</v>
      </c>
      <c r="H78" s="232"/>
      <c r="I78" s="232"/>
      <c r="J78" s="232"/>
      <c r="K78" s="232"/>
      <c r="L78" s="267"/>
      <c r="M78" s="267"/>
      <c r="N78" s="267"/>
      <c r="O78" s="267"/>
      <c r="P78" s="267"/>
      <c r="Q78" s="267"/>
      <c r="R78" s="267"/>
      <c r="S78" s="267"/>
      <c r="T78" s="610">
        <v>7.7832470000000001E-3</v>
      </c>
      <c r="U78" s="597">
        <v>9.2050480000000004E-3</v>
      </c>
      <c r="V78" s="597">
        <v>1.5167231E-2</v>
      </c>
      <c r="W78" s="597">
        <v>2.0816667000000001E-2</v>
      </c>
      <c r="X78" s="597">
        <v>1.2232306E-2</v>
      </c>
      <c r="Y78" s="597">
        <v>4.2591553999999997E-2</v>
      </c>
      <c r="Z78" s="597">
        <v>6.3640166999999997E-2</v>
      </c>
      <c r="AA78" s="597">
        <v>6.0019366999999997E-2</v>
      </c>
      <c r="AB78" s="597">
        <v>5.6317274000000001E-2</v>
      </c>
      <c r="AC78" s="597">
        <v>6.9023110999999998E-2</v>
      </c>
      <c r="AD78" s="597">
        <v>0.101203768</v>
      </c>
      <c r="AE78" s="597">
        <v>0.108235314</v>
      </c>
      <c r="AF78" s="597">
        <v>0.11660670300000001</v>
      </c>
      <c r="AG78" s="597">
        <v>0.112331127</v>
      </c>
      <c r="AH78" s="597">
        <v>0.15233703900000001</v>
      </c>
      <c r="AI78" s="597">
        <v>0.11587249299999999</v>
      </c>
      <c r="AJ78" s="597">
        <v>9.8981628000000002E-2</v>
      </c>
      <c r="AK78" s="597">
        <v>9.9846139E-2</v>
      </c>
      <c r="AL78" s="629">
        <v>0.102583348</v>
      </c>
      <c r="AM78" s="629">
        <v>0.11811975600000001</v>
      </c>
      <c r="AN78" s="629">
        <v>0.117044621</v>
      </c>
      <c r="AO78" s="629">
        <v>0.13634892900000001</v>
      </c>
      <c r="AP78" s="246">
        <v>0</v>
      </c>
      <c r="AQ78" s="246">
        <v>0</v>
      </c>
      <c r="AR78" s="246">
        <v>0.15287130255069448</v>
      </c>
      <c r="AS78" s="246">
        <v>0.1583871290680556</v>
      </c>
      <c r="AT78" s="246">
        <v>0.16397078891875003</v>
      </c>
      <c r="AU78" s="246">
        <v>0.16962228210277783</v>
      </c>
      <c r="AV78" s="246">
        <v>0.17534160862013898</v>
      </c>
      <c r="AW78" s="246">
        <v>0.18112876847083342</v>
      </c>
      <c r="AX78" s="246">
        <v>0.18698376165486122</v>
      </c>
      <c r="AY78" s="246">
        <v>0.19290658817222231</v>
      </c>
      <c r="AZ78" s="246">
        <v>0.19889724802291681</v>
      </c>
      <c r="BA78" s="246">
        <v>0.20495574120694457</v>
      </c>
      <c r="BB78" s="246">
        <v>0.21108206772430571</v>
      </c>
      <c r="BC78" s="246">
        <v>0.21727622757500004</v>
      </c>
      <c r="BD78" s="246">
        <v>0.24032721900000006</v>
      </c>
      <c r="BE78" s="246">
        <v>0.24617921900000006</v>
      </c>
      <c r="BF78" s="246">
        <v>0.25244921900000006</v>
      </c>
      <c r="BG78" s="246">
        <v>0.25913721900000009</v>
      </c>
      <c r="BH78" s="246">
        <v>0.26624321900000003</v>
      </c>
      <c r="BI78" s="246">
        <v>0.27376721900000006</v>
      </c>
      <c r="BJ78" s="246">
        <v>0.28170921900000007</v>
      </c>
      <c r="BK78" s="246">
        <v>0.29006921900000004</v>
      </c>
      <c r="BL78" s="246">
        <v>0.29884721900000005</v>
      </c>
      <c r="BM78" s="246">
        <v>0.30804321900000003</v>
      </c>
      <c r="BN78" s="246">
        <v>0.31765721900000005</v>
      </c>
      <c r="BO78" s="246">
        <v>0.32768921900000003</v>
      </c>
      <c r="BP78" s="246">
        <v>0.33777346900000005</v>
      </c>
      <c r="BQ78" s="246">
        <v>0.34790996900000004</v>
      </c>
      <c r="BR78" s="246">
        <v>0.35809871900000007</v>
      </c>
      <c r="BS78" s="246">
        <v>0.36833971900000012</v>
      </c>
      <c r="BT78" s="246">
        <v>0.37863296900000004</v>
      </c>
      <c r="BU78" s="246">
        <v>0.38897846899999999</v>
      </c>
      <c r="BV78" s="246">
        <v>0.39937621900000003</v>
      </c>
      <c r="BW78" s="246">
        <v>0.40982621900000005</v>
      </c>
      <c r="BX78" s="246">
        <v>0.42032846899999998</v>
      </c>
      <c r="BY78" s="246">
        <v>0.43088296900000006</v>
      </c>
      <c r="BZ78" s="246">
        <v>0.441489719</v>
      </c>
      <c r="CA78" s="246">
        <v>0.45214871900000009</v>
      </c>
      <c r="CB78" s="246">
        <v>0.46285996900000004</v>
      </c>
      <c r="CC78" s="246">
        <v>0.47362346899999991</v>
      </c>
      <c r="CD78" s="246">
        <v>0.48443921900000009</v>
      </c>
      <c r="CE78" s="246">
        <v>0.49530721900000013</v>
      </c>
      <c r="CF78" s="246">
        <v>0.50622746900000004</v>
      </c>
      <c r="CG78" s="246">
        <v>0.51719996900000009</v>
      </c>
      <c r="CH78" s="246">
        <v>0.52822471900000001</v>
      </c>
      <c r="CI78" s="246">
        <v>0.53930171900000001</v>
      </c>
      <c r="CJ78" s="246">
        <v>0.55043096899999999</v>
      </c>
      <c r="CK78" s="246">
        <v>0.56161246900000006</v>
      </c>
      <c r="CL78" s="246">
        <v>0.5728462190000001</v>
      </c>
      <c r="CM78" s="246">
        <v>0.58413221900000012</v>
      </c>
      <c r="CN78" s="246">
        <v>0.59547046900000011</v>
      </c>
      <c r="CO78" s="246">
        <v>0.60686096900000008</v>
      </c>
      <c r="CP78" s="246">
        <v>0.61830371899999992</v>
      </c>
      <c r="CQ78" s="246">
        <v>0.62979871900000006</v>
      </c>
      <c r="CR78" s="246">
        <v>0.64134596900000007</v>
      </c>
      <c r="CS78" s="246">
        <v>0.65294546900000006</v>
      </c>
      <c r="CT78" s="246">
        <v>0.66459721899999991</v>
      </c>
      <c r="CU78" s="246">
        <v>0.67630121900000006</v>
      </c>
      <c r="CV78" s="246">
        <v>0.68805746900000009</v>
      </c>
      <c r="CW78" s="246">
        <v>0.69986596899999998</v>
      </c>
      <c r="CX78" s="246">
        <v>0.71172671900000017</v>
      </c>
      <c r="CY78" s="246">
        <v>0.72363971900000013</v>
      </c>
    </row>
    <row r="79" spans="1:103">
      <c r="A79" s="230"/>
      <c r="B79" s="230"/>
      <c r="C79" s="230"/>
      <c r="D79" s="230"/>
      <c r="E79" s="230" t="s">
        <v>868</v>
      </c>
      <c r="F79" s="93"/>
      <c r="G79" s="232" t="s">
        <v>736</v>
      </c>
      <c r="H79" s="232"/>
      <c r="I79" s="232"/>
      <c r="J79" s="232"/>
      <c r="K79" s="232"/>
      <c r="L79" s="267"/>
      <c r="M79" s="267"/>
      <c r="N79" s="267"/>
      <c r="O79" s="267"/>
      <c r="P79" s="267"/>
      <c r="Q79" s="267"/>
      <c r="R79" s="267"/>
      <c r="S79" s="267"/>
      <c r="T79" s="610"/>
      <c r="U79" s="597"/>
      <c r="V79" s="597"/>
      <c r="W79" s="597"/>
      <c r="X79" s="597"/>
      <c r="Y79" s="597"/>
      <c r="Z79" s="597"/>
      <c r="AA79" s="597"/>
      <c r="AB79" s="597"/>
      <c r="AC79" s="597"/>
      <c r="AD79" s="597"/>
      <c r="AE79" s="630"/>
      <c r="AF79" s="630"/>
      <c r="AG79" s="630"/>
      <c r="AH79" s="630"/>
      <c r="AI79" s="597">
        <v>5.9999999999999995E-4</v>
      </c>
      <c r="AJ79" s="597">
        <v>1.6049999999999998E-2</v>
      </c>
      <c r="AK79" s="597">
        <v>5.7884999999999999E-2</v>
      </c>
      <c r="AL79" s="629">
        <v>6.5944666999999998E-2</v>
      </c>
      <c r="AM79" s="629">
        <f>64554691/10^9</f>
        <v>6.4554690999999997E-2</v>
      </c>
      <c r="AN79" s="629">
        <v>5.7234370999999999E-2</v>
      </c>
      <c r="AO79" s="629">
        <v>5.1147892E-2</v>
      </c>
      <c r="AP79" s="246"/>
      <c r="AQ79" s="631"/>
      <c r="AR79" s="246"/>
      <c r="AS79" s="246"/>
      <c r="AT79" s="246"/>
      <c r="AU79" s="246"/>
      <c r="AV79" s="246"/>
      <c r="AW79" s="246"/>
      <c r="AX79" s="246"/>
      <c r="AY79" s="246"/>
      <c r="AZ79" s="246"/>
      <c r="BA79" s="246"/>
      <c r="BB79" s="246"/>
      <c r="BC79" s="246"/>
      <c r="BD79" s="246"/>
      <c r="BE79" s="246"/>
      <c r="BF79" s="246"/>
      <c r="BG79" s="246"/>
      <c r="BH79" s="246"/>
      <c r="BI79" s="246"/>
      <c r="BJ79" s="246"/>
      <c r="BK79" s="246"/>
      <c r="BL79" s="246"/>
      <c r="BM79" s="246"/>
      <c r="BN79" s="246"/>
      <c r="BO79" s="246"/>
      <c r="BP79" s="246"/>
      <c r="BQ79" s="246"/>
      <c r="BR79" s="246"/>
      <c r="BS79" s="246"/>
      <c r="BT79" s="246"/>
      <c r="BU79" s="246"/>
      <c r="BV79" s="246"/>
      <c r="BW79" s="246"/>
      <c r="BX79" s="246"/>
      <c r="BY79" s="246"/>
      <c r="BZ79" s="246"/>
      <c r="CA79" s="246"/>
      <c r="CB79" s="246"/>
      <c r="CC79" s="246"/>
      <c r="CD79" s="246"/>
      <c r="CE79" s="246"/>
      <c r="CF79" s="246"/>
      <c r="CG79" s="246"/>
      <c r="CH79" s="246"/>
      <c r="CI79" s="246"/>
      <c r="CJ79" s="246"/>
      <c r="CK79" s="246"/>
      <c r="CL79" s="246"/>
      <c r="CM79" s="246"/>
      <c r="CN79" s="246"/>
      <c r="CO79" s="246"/>
      <c r="CP79" s="246"/>
      <c r="CQ79" s="246"/>
      <c r="CR79" s="246"/>
      <c r="CS79" s="246"/>
      <c r="CT79" s="246"/>
      <c r="CU79" s="246"/>
      <c r="CV79" s="246"/>
      <c r="CW79" s="246"/>
      <c r="CX79" s="246"/>
      <c r="CY79" s="246"/>
    </row>
    <row r="80" spans="1:103">
      <c r="A80" s="230"/>
      <c r="B80" s="230"/>
      <c r="C80" s="230"/>
      <c r="D80" s="230"/>
      <c r="E80" s="230" t="s">
        <v>801</v>
      </c>
      <c r="F80" s="93"/>
      <c r="G80" s="232" t="s">
        <v>736</v>
      </c>
      <c r="H80" s="232"/>
      <c r="I80" s="232"/>
      <c r="J80" s="232"/>
      <c r="K80" s="232"/>
      <c r="L80" s="267"/>
      <c r="M80" s="267"/>
      <c r="N80" s="267"/>
      <c r="O80" s="267"/>
      <c r="P80" s="267"/>
      <c r="Q80" s="267"/>
      <c r="R80" s="267"/>
      <c r="S80" s="267"/>
      <c r="T80" s="610"/>
      <c r="U80" s="597"/>
      <c r="V80" s="597"/>
      <c r="W80" s="597"/>
      <c r="X80" s="597"/>
      <c r="Y80" s="597"/>
      <c r="Z80" s="597"/>
      <c r="AA80" s="597"/>
      <c r="AB80" s="597"/>
      <c r="AC80" s="597"/>
      <c r="AD80" s="597"/>
      <c r="AE80" s="630"/>
      <c r="AF80" s="630"/>
      <c r="AG80" s="630"/>
      <c r="AH80" s="630"/>
      <c r="AI80" s="597"/>
      <c r="AJ80" s="597"/>
      <c r="AK80" s="597"/>
      <c r="AL80" s="629">
        <v>0.113768863</v>
      </c>
      <c r="AM80" s="629">
        <f>90230009/10^9</f>
        <v>9.0230009E-2</v>
      </c>
      <c r="AN80" s="629">
        <v>0.208220241</v>
      </c>
      <c r="AO80" s="629">
        <v>0.28739317399999997</v>
      </c>
      <c r="AP80" s="246">
        <f>AO80</f>
        <v>0.28739317399999997</v>
      </c>
      <c r="AQ80" s="246">
        <f>AP80</f>
        <v>0.28739317399999997</v>
      </c>
      <c r="AR80" s="246">
        <v>0</v>
      </c>
      <c r="AS80" s="246">
        <v>0</v>
      </c>
      <c r="AT80" s="246">
        <v>0</v>
      </c>
      <c r="AU80" s="246">
        <v>0</v>
      </c>
      <c r="AV80" s="246">
        <v>0</v>
      </c>
      <c r="AW80" s="246">
        <v>0</v>
      </c>
      <c r="AX80" s="246">
        <v>0</v>
      </c>
      <c r="AY80" s="246">
        <v>0</v>
      </c>
      <c r="AZ80" s="246">
        <v>0</v>
      </c>
      <c r="BA80" s="246">
        <v>0</v>
      </c>
      <c r="BB80" s="246">
        <v>0</v>
      </c>
      <c r="BC80" s="246">
        <v>0</v>
      </c>
      <c r="BD80" s="246">
        <v>0</v>
      </c>
      <c r="BE80" s="246">
        <v>0</v>
      </c>
      <c r="BF80" s="246">
        <v>0</v>
      </c>
      <c r="BG80" s="246">
        <v>0</v>
      </c>
      <c r="BH80" s="246">
        <v>0</v>
      </c>
      <c r="BI80" s="246">
        <v>0</v>
      </c>
      <c r="BJ80" s="246">
        <v>0</v>
      </c>
      <c r="BK80" s="246">
        <v>0</v>
      </c>
      <c r="BL80" s="246">
        <v>0</v>
      </c>
      <c r="BM80" s="246">
        <v>0</v>
      </c>
      <c r="BN80" s="246">
        <v>0</v>
      </c>
      <c r="BO80" s="246">
        <v>0</v>
      </c>
      <c r="BP80" s="246">
        <v>0</v>
      </c>
      <c r="BQ80" s="246">
        <v>0</v>
      </c>
      <c r="BR80" s="246">
        <v>0</v>
      </c>
      <c r="BS80" s="246">
        <v>0</v>
      </c>
      <c r="BT80" s="246">
        <v>0</v>
      </c>
      <c r="BU80" s="246">
        <v>0</v>
      </c>
      <c r="BV80" s="246">
        <v>0</v>
      </c>
      <c r="BW80" s="246">
        <v>0</v>
      </c>
      <c r="BX80" s="246">
        <v>0</v>
      </c>
      <c r="BY80" s="246">
        <v>0</v>
      </c>
      <c r="BZ80" s="246">
        <v>0</v>
      </c>
      <c r="CA80" s="246">
        <v>0</v>
      </c>
      <c r="CB80" s="246">
        <v>0</v>
      </c>
      <c r="CC80" s="246">
        <v>0</v>
      </c>
      <c r="CD80" s="246">
        <v>0</v>
      </c>
      <c r="CE80" s="246">
        <v>0</v>
      </c>
      <c r="CF80" s="246">
        <v>0</v>
      </c>
      <c r="CG80" s="246">
        <v>0</v>
      </c>
      <c r="CH80" s="246">
        <v>0</v>
      </c>
      <c r="CI80" s="246">
        <v>0</v>
      </c>
      <c r="CJ80" s="246">
        <v>0</v>
      </c>
      <c r="CK80" s="246">
        <v>0</v>
      </c>
      <c r="CL80" s="246">
        <v>0</v>
      </c>
      <c r="CM80" s="246">
        <v>0</v>
      </c>
      <c r="CN80" s="246">
        <v>0</v>
      </c>
      <c r="CO80" s="246">
        <v>0</v>
      </c>
      <c r="CP80" s="246">
        <v>0</v>
      </c>
      <c r="CQ80" s="246">
        <v>0</v>
      </c>
      <c r="CR80" s="246">
        <v>0</v>
      </c>
      <c r="CS80" s="246">
        <v>0</v>
      </c>
      <c r="CT80" s="246">
        <v>0</v>
      </c>
      <c r="CU80" s="246">
        <v>0</v>
      </c>
      <c r="CV80" s="246">
        <v>0</v>
      </c>
      <c r="CW80" s="246">
        <v>0</v>
      </c>
      <c r="CX80" s="246">
        <v>0</v>
      </c>
      <c r="CY80" s="246">
        <v>0</v>
      </c>
    </row>
    <row r="81" spans="1:103">
      <c r="A81" s="230"/>
      <c r="B81" s="230"/>
      <c r="C81" s="230"/>
      <c r="D81" s="230"/>
      <c r="E81" s="230" t="s">
        <v>804</v>
      </c>
      <c r="F81" s="230"/>
      <c r="G81" s="232" t="s">
        <v>736</v>
      </c>
      <c r="H81" s="232"/>
      <c r="I81" s="232"/>
      <c r="J81" s="232"/>
      <c r="K81" s="232"/>
      <c r="L81" s="267"/>
      <c r="M81" s="267"/>
      <c r="N81" s="267"/>
      <c r="O81" s="267"/>
      <c r="P81" s="267"/>
      <c r="Q81" s="267"/>
      <c r="R81" s="267"/>
      <c r="S81" s="267"/>
      <c r="T81" s="610"/>
      <c r="U81" s="597"/>
      <c r="V81" s="597"/>
      <c r="W81" s="597"/>
      <c r="X81" s="597"/>
      <c r="Y81" s="597"/>
      <c r="Z81" s="597"/>
      <c r="AA81" s="597"/>
      <c r="AB81" s="597">
        <v>-1.170401638</v>
      </c>
      <c r="AC81" s="597">
        <v>6.1944010000000004E-3</v>
      </c>
      <c r="AD81" s="597">
        <v>-0.43454568700000001</v>
      </c>
      <c r="AE81" s="597">
        <v>0.94942503499999997</v>
      </c>
      <c r="AF81" s="597">
        <v>-0.104968616</v>
      </c>
      <c r="AG81" s="597">
        <v>0.94902021800000003</v>
      </c>
      <c r="AH81" s="597">
        <v>-1.27740035</v>
      </c>
      <c r="AI81" s="597">
        <v>0.15873837700000001</v>
      </c>
      <c r="AJ81" s="597">
        <v>-0.22524229000000001</v>
      </c>
      <c r="AK81" s="597">
        <v>-0.34761530400000001</v>
      </c>
      <c r="AL81" s="629">
        <v>2.1552083999999999E-2</v>
      </c>
      <c r="AM81" s="629">
        <f>-384591274/10^9</f>
        <v>-0.38459127399999998</v>
      </c>
      <c r="AN81" s="629">
        <v>-0.186781381</v>
      </c>
      <c r="AO81" s="632">
        <v>-6.2186737763784937E-2</v>
      </c>
      <c r="AP81" s="632">
        <v>-8.5125018672602984E-2</v>
      </c>
      <c r="AQ81" s="632">
        <v>-6.5772977737488106E-4</v>
      </c>
      <c r="AR81" s="632">
        <v>-0.27430526147426837</v>
      </c>
      <c r="AS81" s="632">
        <v>-0.24919508736728163</v>
      </c>
      <c r="AT81" s="632">
        <v>-0.24339219395489961</v>
      </c>
      <c r="AU81" s="632">
        <v>-0.25519687298348787</v>
      </c>
      <c r="AV81" s="632">
        <v>-0.24075821820730176</v>
      </c>
      <c r="AW81" s="632">
        <v>-0.25461187349411996</v>
      </c>
      <c r="AX81" s="632">
        <v>-0.26486309447561351</v>
      </c>
      <c r="AY81" s="632">
        <v>-0.27050453485203352</v>
      </c>
      <c r="AZ81" s="632">
        <v>-0.27252854506945268</v>
      </c>
      <c r="BA81" s="632">
        <v>-0.27649904403527092</v>
      </c>
      <c r="BB81" s="632">
        <v>-0.28013132258020329</v>
      </c>
      <c r="BC81" s="632">
        <v>-0.28656040558179852</v>
      </c>
      <c r="BD81" s="632">
        <v>-0.30568191128453132</v>
      </c>
      <c r="BE81" s="632">
        <v>-0.30698168772585255</v>
      </c>
      <c r="BF81" s="632">
        <v>-0.30375045695845559</v>
      </c>
      <c r="BG81" s="632">
        <v>-0.31381074163068029</v>
      </c>
      <c r="BH81" s="632">
        <v>-0.30728621685905727</v>
      </c>
      <c r="BI81" s="632">
        <v>-0.32320247583685396</v>
      </c>
      <c r="BJ81" s="632">
        <v>-0.33366493388683804</v>
      </c>
      <c r="BK81" s="632">
        <v>-0.34105762412837975</v>
      </c>
      <c r="BL81" s="632">
        <v>-0.34355801270235281</v>
      </c>
      <c r="BM81" s="632">
        <v>-0.34574967118491901</v>
      </c>
      <c r="BN81" s="632">
        <v>-0.34600179558314642</v>
      </c>
      <c r="BO81" s="632">
        <v>-0.34881850775602774</v>
      </c>
      <c r="BP81" s="632">
        <v>-0.36142790452275381</v>
      </c>
      <c r="BQ81" s="632">
        <v>-0.37849782751874039</v>
      </c>
      <c r="BR81" s="632">
        <v>-0.37663791446554407</v>
      </c>
      <c r="BS81" s="632">
        <v>-0.38586745461763411</v>
      </c>
      <c r="BT81" s="632">
        <v>-0.38331595111192829</v>
      </c>
      <c r="BU81" s="632">
        <v>-0.3985281449335204</v>
      </c>
      <c r="BV81" s="632">
        <v>-0.41030594323402553</v>
      </c>
      <c r="BW81" s="632">
        <v>-0.42040990437431186</v>
      </c>
      <c r="BX81" s="632">
        <v>-0.4270808644438252</v>
      </c>
      <c r="BY81" s="632">
        <v>-0.43339536995764166</v>
      </c>
      <c r="BZ81" s="632">
        <v>-0.43792514123539616</v>
      </c>
      <c r="CA81" s="632">
        <v>-0.44402559342003894</v>
      </c>
      <c r="CB81" s="632">
        <v>-0.45726167868734757</v>
      </c>
      <c r="CC81" s="632">
        <v>-0.45815203627699413</v>
      </c>
      <c r="CD81" s="632">
        <v>-0.46243134563363791</v>
      </c>
      <c r="CE81" s="632">
        <v>-0.46911437731898797</v>
      </c>
      <c r="CF81" s="632">
        <v>-0.4728927967450981</v>
      </c>
      <c r="CG81" s="632">
        <v>-0.48144696817952581</v>
      </c>
      <c r="CH81" s="632">
        <v>-0.48874751367480895</v>
      </c>
      <c r="CI81" s="632">
        <v>-0.49506804178233443</v>
      </c>
      <c r="CJ81" s="632">
        <v>-0.50429722734256632</v>
      </c>
      <c r="CK81" s="632">
        <v>-0.51200485718474364</v>
      </c>
      <c r="CL81" s="632">
        <v>-0.5126679923122911</v>
      </c>
      <c r="CM81" s="632">
        <v>-0.51943490037748619</v>
      </c>
      <c r="CN81" s="632">
        <v>-0.53030817668604568</v>
      </c>
      <c r="CO81" s="632">
        <v>-0.5267927327355959</v>
      </c>
      <c r="CP81" s="632">
        <v>-0.53211733459200528</v>
      </c>
      <c r="CQ81" s="632">
        <v>-0.53733563713249888</v>
      </c>
      <c r="CR81" s="632">
        <v>-0.54244861959854185</v>
      </c>
      <c r="CS81" s="632">
        <v>-0.54745726738528655</v>
      </c>
      <c r="CT81" s="632">
        <v>-0.55236256783782633</v>
      </c>
      <c r="CU81" s="632">
        <v>-0.55716550738129089</v>
      </c>
      <c r="CV81" s="632">
        <v>-0.56186706979594647</v>
      </c>
      <c r="CW81" s="632">
        <v>-0.56646823531458668</v>
      </c>
      <c r="CX81" s="632">
        <v>-0.5709699802422773</v>
      </c>
      <c r="CY81" s="632">
        <v>-0.57537327687075412</v>
      </c>
    </row>
    <row r="82" spans="1:103">
      <c r="A82" s="230"/>
      <c r="B82" s="230"/>
      <c r="C82" s="230"/>
      <c r="D82" s="230"/>
      <c r="E82" s="230" t="s">
        <v>226</v>
      </c>
      <c r="F82" s="230"/>
      <c r="G82" s="232" t="s">
        <v>736</v>
      </c>
      <c r="H82" s="232"/>
      <c r="I82" s="232"/>
      <c r="J82" s="232"/>
      <c r="K82" s="232"/>
      <c r="L82" s="267"/>
      <c r="M82" s="267"/>
      <c r="N82" s="267"/>
      <c r="O82" s="267"/>
      <c r="P82" s="267"/>
      <c r="Q82" s="267"/>
      <c r="R82" s="267"/>
      <c r="S82" s="267"/>
      <c r="T82" s="610"/>
      <c r="U82" s="597"/>
      <c r="V82" s="597"/>
      <c r="W82" s="597"/>
      <c r="X82" s="597"/>
      <c r="Y82" s="597"/>
      <c r="Z82" s="597"/>
      <c r="AA82" s="597"/>
      <c r="AB82" s="597"/>
      <c r="AC82" s="597">
        <v>3.9899999999999999E-4</v>
      </c>
      <c r="AD82" s="597">
        <v>1.4999999999999999E-4</v>
      </c>
      <c r="AE82" s="597"/>
      <c r="AF82" s="597"/>
      <c r="AG82" s="597"/>
      <c r="AH82" s="597"/>
      <c r="AI82" s="597"/>
      <c r="AJ82" s="597"/>
      <c r="AK82" s="597"/>
      <c r="AL82" s="246"/>
      <c r="AM82" s="246"/>
      <c r="AN82" s="246"/>
      <c r="AO82" s="246"/>
      <c r="AP82" s="246"/>
      <c r="AQ82" s="234"/>
      <c r="AR82" s="246"/>
      <c r="AS82" s="246"/>
      <c r="AT82" s="246"/>
      <c r="AU82" s="246"/>
      <c r="AV82" s="246"/>
      <c r="AW82" s="246"/>
      <c r="AX82" s="246"/>
      <c r="AY82" s="246"/>
      <c r="AZ82" s="246"/>
      <c r="BA82" s="246"/>
      <c r="BB82" s="246"/>
      <c r="BC82" s="246"/>
      <c r="BD82" s="246"/>
      <c r="BE82" s="246"/>
      <c r="BF82" s="246"/>
      <c r="BG82" s="246"/>
      <c r="BH82" s="246"/>
      <c r="BI82" s="246"/>
      <c r="BJ82" s="246"/>
      <c r="BK82" s="246"/>
      <c r="BL82" s="246"/>
      <c r="BM82" s="246"/>
      <c r="BN82" s="246"/>
      <c r="BO82" s="246"/>
      <c r="BP82" s="246"/>
      <c r="BQ82" s="246"/>
      <c r="BR82" s="246"/>
      <c r="BS82" s="246"/>
      <c r="BT82" s="246"/>
      <c r="BU82" s="246"/>
      <c r="BV82" s="246"/>
      <c r="BW82" s="246"/>
      <c r="BX82" s="246"/>
      <c r="BY82" s="246"/>
      <c r="BZ82" s="246"/>
      <c r="CA82" s="246"/>
      <c r="CB82" s="246"/>
      <c r="CC82" s="246"/>
      <c r="CD82" s="246"/>
      <c r="CE82" s="246"/>
      <c r="CF82" s="246"/>
      <c r="CG82" s="246"/>
      <c r="CH82" s="246"/>
      <c r="CI82" s="246"/>
      <c r="CJ82" s="246"/>
      <c r="CK82" s="246"/>
      <c r="CL82" s="246"/>
      <c r="CM82" s="246"/>
      <c r="CN82" s="246"/>
      <c r="CO82" s="246"/>
      <c r="CP82" s="246"/>
      <c r="CQ82" s="246"/>
      <c r="CR82" s="246"/>
      <c r="CS82" s="246"/>
      <c r="CT82" s="246"/>
      <c r="CU82" s="246"/>
      <c r="CV82" s="246"/>
      <c r="CW82" s="246"/>
      <c r="CX82" s="246"/>
      <c r="CY82" s="246"/>
    </row>
    <row r="83" spans="1:103">
      <c r="A83" s="93"/>
      <c r="B83" s="93"/>
      <c r="C83" s="230"/>
      <c r="D83" s="95" t="s">
        <v>786</v>
      </c>
      <c r="E83" s="94"/>
      <c r="F83" s="230"/>
      <c r="G83" s="232" t="s">
        <v>736</v>
      </c>
      <c r="H83" s="94"/>
      <c r="I83" s="94"/>
      <c r="J83" s="94"/>
      <c r="K83" s="94"/>
      <c r="L83" s="590"/>
      <c r="M83" s="590"/>
      <c r="N83" s="590"/>
      <c r="O83" s="590"/>
      <c r="P83" s="590"/>
      <c r="Q83" s="590"/>
      <c r="R83" s="590"/>
      <c r="S83" s="590"/>
      <c r="T83" s="247">
        <f t="shared" ref="T83:AA83" si="42">SUM(T84:T86)</f>
        <v>-0.49055331899999999</v>
      </c>
      <c r="U83" s="247">
        <f t="shared" si="42"/>
        <v>-0.720591019</v>
      </c>
      <c r="V83" s="247">
        <f t="shared" si="42"/>
        <v>-0.619077973</v>
      </c>
      <c r="W83" s="247">
        <f t="shared" si="42"/>
        <v>-0.69838337799999994</v>
      </c>
      <c r="X83" s="247">
        <f t="shared" si="42"/>
        <v>-0.71420275799999999</v>
      </c>
      <c r="Y83" s="247">
        <f t="shared" si="42"/>
        <v>-0.71307632799999998</v>
      </c>
      <c r="Z83" s="247">
        <f t="shared" si="42"/>
        <v>-0.84288203699999997</v>
      </c>
      <c r="AA83" s="247">
        <f t="shared" si="42"/>
        <v>-1.003458902</v>
      </c>
      <c r="AB83" s="247">
        <f t="shared" ref="AB83:AQ83" si="43">SUM(AB84:AB87)</f>
        <v>-1.0427609849999999</v>
      </c>
      <c r="AC83" s="247">
        <f t="shared" si="43"/>
        <v>-1.1019840030000001</v>
      </c>
      <c r="AD83" s="247">
        <f t="shared" si="43"/>
        <v>-1.276495339</v>
      </c>
      <c r="AE83" s="247">
        <f t="shared" si="43"/>
        <v>-1.5076854367922401</v>
      </c>
      <c r="AF83" s="247">
        <f t="shared" si="43"/>
        <v>-1.6309832798507273</v>
      </c>
      <c r="AG83" s="247">
        <f t="shared" si="43"/>
        <v>-1.7042899315757909</v>
      </c>
      <c r="AH83" s="247">
        <f t="shared" si="43"/>
        <v>-1.7723643600575045</v>
      </c>
      <c r="AI83" s="247">
        <f t="shared" si="43"/>
        <v>-2.2986137220510274</v>
      </c>
      <c r="AJ83" s="247">
        <f t="shared" si="43"/>
        <v>-2.3976735499408819</v>
      </c>
      <c r="AK83" s="247">
        <f t="shared" si="43"/>
        <v>-2.7468024975575878</v>
      </c>
      <c r="AL83" s="247">
        <f t="shared" si="43"/>
        <v>-3.0469538155784122</v>
      </c>
      <c r="AM83" s="633">
        <f t="shared" si="43"/>
        <v>-3.739724249074786</v>
      </c>
      <c r="AN83" s="247">
        <f t="shared" si="43"/>
        <v>-2.4648475891172552</v>
      </c>
      <c r="AO83" s="247">
        <f t="shared" si="43"/>
        <v>-6284.5771199999999</v>
      </c>
      <c r="AP83" s="247">
        <f t="shared" si="43"/>
        <v>-1</v>
      </c>
      <c r="AQ83" s="247">
        <f t="shared" si="43"/>
        <v>-1</v>
      </c>
      <c r="AR83" s="247">
        <v>-2.1404514258375005</v>
      </c>
      <c r="AS83" s="247">
        <v>-2.2141690522750008</v>
      </c>
      <c r="AT83" s="247">
        <v>-2.2886456787125007</v>
      </c>
      <c r="AU83" s="247">
        <v>-2.3638813051500005</v>
      </c>
      <c r="AV83" s="247">
        <v>-2.4398759315875012</v>
      </c>
      <c r="AW83" s="247">
        <v>-2.5166295580250013</v>
      </c>
      <c r="AX83" s="247">
        <v>-2.5941421844625014</v>
      </c>
      <c r="AY83" s="247">
        <v>-2.6724138109000015</v>
      </c>
      <c r="AZ83" s="247">
        <v>-2.7514444373375015</v>
      </c>
      <c r="BA83" s="247">
        <v>-3.3353144002569466</v>
      </c>
      <c r="BB83" s="247">
        <v>-3.4309304783993082</v>
      </c>
      <c r="BC83" s="247">
        <v>-3.5274723898750002</v>
      </c>
      <c r="BD83" s="247">
        <v>-3.6090766398750009</v>
      </c>
      <c r="BE83" s="247">
        <v>-3.6969581398750009</v>
      </c>
      <c r="BF83" s="247">
        <v>-3.7911168898750005</v>
      </c>
      <c r="BG83" s="247">
        <v>-3.8915528898750011</v>
      </c>
      <c r="BH83" s="247">
        <v>-3.9982661398750006</v>
      </c>
      <c r="BI83" s="247">
        <v>-4.111256639875001</v>
      </c>
      <c r="BJ83" s="247">
        <v>-4.2305243898750007</v>
      </c>
      <c r="BK83" s="247">
        <v>-4.3560693898750005</v>
      </c>
      <c r="BL83" s="247">
        <v>-4.4878916398750013</v>
      </c>
      <c r="BM83" s="247">
        <v>-4.6259911398750013</v>
      </c>
      <c r="BN83" s="247">
        <v>-4.7703678898750006</v>
      </c>
      <c r="BO83" s="247">
        <v>-4.921021889875</v>
      </c>
      <c r="BP83" s="247">
        <v>-5.0724605461250007</v>
      </c>
      <c r="BQ83" s="247">
        <v>-5.2246838586250002</v>
      </c>
      <c r="BR83" s="247">
        <v>-5.377691827375001</v>
      </c>
      <c r="BS83" s="247">
        <v>-5.5314844523750013</v>
      </c>
      <c r="BT83" s="247">
        <v>-5.6860617336250003</v>
      </c>
      <c r="BU83" s="247">
        <v>-5.8414236711249998</v>
      </c>
      <c r="BV83" s="247">
        <v>-5.9975702648749998</v>
      </c>
      <c r="BW83" s="247">
        <v>-6.6667842886250011</v>
      </c>
      <c r="BX83" s="247">
        <v>-6.8320575073749996</v>
      </c>
      <c r="BY83" s="247">
        <v>-6.9785011948750002</v>
      </c>
      <c r="BZ83" s="247">
        <v>-7.1256698511250001</v>
      </c>
      <c r="CA83" s="247">
        <v>-7.273563476125001</v>
      </c>
      <c r="CB83" s="247">
        <v>-7.4221820698749994</v>
      </c>
      <c r="CC83" s="247">
        <v>-7.5715256323749989</v>
      </c>
      <c r="CD83" s="247">
        <v>-7.7215941636250012</v>
      </c>
      <c r="CE83" s="247">
        <v>-7.8723876636250019</v>
      </c>
      <c r="CF83" s="247">
        <v>-8.0239061323750001</v>
      </c>
      <c r="CG83" s="247">
        <v>-8.1761495698750011</v>
      </c>
      <c r="CH83" s="247">
        <v>-8.3291179761250014</v>
      </c>
      <c r="CI83" s="247">
        <v>-8.482811351125001</v>
      </c>
      <c r="CJ83" s="247">
        <v>-8.6372296948749998</v>
      </c>
      <c r="CK83" s="247">
        <v>-8.7923730073750015</v>
      </c>
      <c r="CL83" s="247">
        <v>-8.9482412886250007</v>
      </c>
      <c r="CM83" s="247">
        <v>-9.1048345386250009</v>
      </c>
      <c r="CN83" s="247">
        <v>-9.2621527573750004</v>
      </c>
      <c r="CO83" s="247">
        <v>-9.420195944875001</v>
      </c>
      <c r="CP83" s="247">
        <v>-9.5789641011250009</v>
      </c>
      <c r="CQ83" s="247">
        <v>-9.738457226125</v>
      </c>
      <c r="CR83" s="247">
        <v>-9.8986753198750019</v>
      </c>
      <c r="CS83" s="247">
        <v>-10.059618382375001</v>
      </c>
      <c r="CT83" s="247">
        <v>-10.221286413625</v>
      </c>
      <c r="CU83" s="247">
        <v>-10.383679413625</v>
      </c>
      <c r="CV83" s="247">
        <v>-10.546797382375001</v>
      </c>
      <c r="CW83" s="247">
        <v>-10.710640319874999</v>
      </c>
      <c r="CX83" s="247">
        <v>-10.875208226125002</v>
      </c>
      <c r="CY83" s="247">
        <v>-11.040501101125001</v>
      </c>
    </row>
    <row r="84" spans="1:103">
      <c r="A84" s="230"/>
      <c r="B84" s="230"/>
      <c r="C84" s="230"/>
      <c r="D84" s="230"/>
      <c r="E84" s="230" t="s">
        <v>332</v>
      </c>
      <c r="F84" s="230"/>
      <c r="G84" s="232" t="s">
        <v>736</v>
      </c>
      <c r="H84" s="232"/>
      <c r="I84" s="232"/>
      <c r="J84" s="232"/>
      <c r="K84" s="232"/>
      <c r="L84" s="267"/>
      <c r="M84" s="267"/>
      <c r="N84" s="267"/>
      <c r="O84" s="267"/>
      <c r="P84" s="267"/>
      <c r="Q84" s="267"/>
      <c r="R84" s="267"/>
      <c r="S84" s="267"/>
      <c r="T84" s="597">
        <v>-0.33218019399999998</v>
      </c>
      <c r="U84" s="597">
        <v>-0.25833284299999998</v>
      </c>
      <c r="V84" s="597">
        <v>-0.33688183799999999</v>
      </c>
      <c r="W84" s="597">
        <v>-0.41640639800000001</v>
      </c>
      <c r="X84" s="597">
        <v>-0.41712936900000003</v>
      </c>
      <c r="Y84" s="597">
        <v>-0.45737246399999998</v>
      </c>
      <c r="Z84" s="597">
        <v>-0.61089895999999999</v>
      </c>
      <c r="AA84" s="597">
        <v>-0.57337471500000003</v>
      </c>
      <c r="AB84" s="597">
        <v>-0.65997818399999997</v>
      </c>
      <c r="AC84" s="597">
        <v>-0.69625129399999997</v>
      </c>
      <c r="AD84" s="597">
        <v>-0.83323794299999998</v>
      </c>
      <c r="AE84" s="597">
        <v>-1.00123636</v>
      </c>
      <c r="AF84" s="597">
        <v>-1.129182181</v>
      </c>
      <c r="AG84" s="597">
        <v>-1.209195735</v>
      </c>
      <c r="AH84" s="597">
        <v>-1.2514290320000001</v>
      </c>
      <c r="AI84" s="597">
        <v>-1.719342551</v>
      </c>
      <c r="AJ84" s="597">
        <v>-1.78777926</v>
      </c>
      <c r="AK84" s="629">
        <v>-2.1543235009999999</v>
      </c>
      <c r="AL84" s="629">
        <v>-2.3590732779719903</v>
      </c>
      <c r="AM84" s="629">
        <v>-2.9741712050999989</v>
      </c>
      <c r="AN84" s="594">
        <v>-1.8538682905380002</v>
      </c>
      <c r="AO84" s="246">
        <v>0</v>
      </c>
      <c r="AP84" s="246">
        <v>0</v>
      </c>
      <c r="AQ84" s="246">
        <v>0</v>
      </c>
      <c r="AR84" s="246">
        <v>-1.5039230845527782</v>
      </c>
      <c r="AS84" s="246">
        <v>-1.5581868913722228</v>
      </c>
      <c r="AT84" s="246">
        <v>-1.6131180315250004</v>
      </c>
      <c r="AU84" s="246">
        <v>-1.6687165050111117</v>
      </c>
      <c r="AV84" s="246">
        <v>-1.7249823118305563</v>
      </c>
      <c r="AW84" s="246">
        <v>-1.7819154519833345</v>
      </c>
      <c r="AX84" s="246">
        <v>-1.8395159254694455</v>
      </c>
      <c r="AY84" s="246">
        <v>-1.8977837322888902</v>
      </c>
      <c r="AZ84" s="246">
        <v>-1.956718872441668</v>
      </c>
      <c r="BA84" s="246">
        <v>-2.520401682409724</v>
      </c>
      <c r="BB84" s="246">
        <v>-2.5957389409340301</v>
      </c>
      <c r="BC84" s="246">
        <v>-2.6719103661250005</v>
      </c>
      <c r="BD84" s="246">
        <v>-2.7337221161250009</v>
      </c>
      <c r="BE84" s="246">
        <v>-2.8002886161250009</v>
      </c>
      <c r="BF84" s="246">
        <v>-2.8716098661250005</v>
      </c>
      <c r="BG84" s="246">
        <v>-2.9476858661250009</v>
      </c>
      <c r="BH84" s="246">
        <v>-3.0285166161250006</v>
      </c>
      <c r="BI84" s="246">
        <v>-3.1141021161250007</v>
      </c>
      <c r="BJ84" s="246">
        <v>-3.2044423661250003</v>
      </c>
      <c r="BK84" s="246">
        <v>-3.2995373661250005</v>
      </c>
      <c r="BL84" s="246">
        <v>-3.3993871161250007</v>
      </c>
      <c r="BM84" s="246">
        <v>-3.5039916161250009</v>
      </c>
      <c r="BN84" s="246">
        <v>-3.6133508661250002</v>
      </c>
      <c r="BO84" s="246">
        <v>-3.7274648661250005</v>
      </c>
      <c r="BP84" s="246">
        <v>-3.8421732098750008</v>
      </c>
      <c r="BQ84" s="246">
        <v>-3.9574758973750006</v>
      </c>
      <c r="BR84" s="246">
        <v>-4.0733729286250009</v>
      </c>
      <c r="BS84" s="246">
        <v>-4.1898643036250007</v>
      </c>
      <c r="BT84" s="246">
        <v>-4.3069500223750001</v>
      </c>
      <c r="BU84" s="246">
        <v>-4.424630084875</v>
      </c>
      <c r="BV84" s="246">
        <v>-4.5429044911250003</v>
      </c>
      <c r="BW84" s="246">
        <v>-4.661773241125001</v>
      </c>
      <c r="BX84" s="246">
        <v>-4.7812363348749995</v>
      </c>
      <c r="BY84" s="246">
        <v>-4.9012937723750003</v>
      </c>
      <c r="BZ84" s="246">
        <v>-5.0219455536249997</v>
      </c>
      <c r="CA84" s="246">
        <v>-5.1431916786250005</v>
      </c>
      <c r="CB84" s="246">
        <v>-5.2650321473749999</v>
      </c>
      <c r="CC84" s="246">
        <v>-5.3874669598749989</v>
      </c>
      <c r="CD84" s="246">
        <v>-5.510496116125001</v>
      </c>
      <c r="CE84" s="246">
        <v>-5.6341196161250018</v>
      </c>
      <c r="CF84" s="246">
        <v>-5.7583374598750003</v>
      </c>
      <c r="CG84" s="246">
        <v>-5.8831496473750011</v>
      </c>
      <c r="CH84" s="246">
        <v>-6.0085561786250006</v>
      </c>
      <c r="CI84" s="246">
        <v>-6.1345570536250005</v>
      </c>
      <c r="CJ84" s="246">
        <v>-6.2611522723749999</v>
      </c>
      <c r="CK84" s="246">
        <v>-6.3883418348750016</v>
      </c>
      <c r="CL84" s="246">
        <v>-6.5161257411250011</v>
      </c>
      <c r="CM84" s="246">
        <v>-6.644503991125001</v>
      </c>
      <c r="CN84" s="246">
        <v>-6.7734765848750005</v>
      </c>
      <c r="CO84" s="246">
        <v>-6.9030435223750004</v>
      </c>
      <c r="CP84" s="246">
        <v>-7.0332048036249999</v>
      </c>
      <c r="CQ84" s="246">
        <v>-7.1639604286250007</v>
      </c>
      <c r="CR84" s="246">
        <v>-7.2953103973750011</v>
      </c>
      <c r="CS84" s="246">
        <v>-7.4272547098750001</v>
      </c>
      <c r="CT84" s="246">
        <v>-7.5597933661249996</v>
      </c>
      <c r="CU84" s="246">
        <v>-7.6929263661250014</v>
      </c>
      <c r="CV84" s="246">
        <v>-7.8266537098750009</v>
      </c>
      <c r="CW84" s="246">
        <v>-7.9609753973749999</v>
      </c>
      <c r="CX84" s="246">
        <v>-8.0958914286250021</v>
      </c>
      <c r="CY84" s="246">
        <v>-8.2314018036250012</v>
      </c>
    </row>
    <row r="85" spans="1:103">
      <c r="A85" s="230"/>
      <c r="B85" s="230"/>
      <c r="C85" s="230"/>
      <c r="D85" s="230"/>
      <c r="E85" s="230" t="s">
        <v>869</v>
      </c>
      <c r="F85" s="95"/>
      <c r="G85" s="232" t="s">
        <v>736</v>
      </c>
      <c r="H85" s="232"/>
      <c r="I85" s="232"/>
      <c r="J85" s="232"/>
      <c r="K85" s="232"/>
      <c r="L85" s="230"/>
      <c r="M85" s="230"/>
      <c r="N85" s="267"/>
      <c r="O85" s="267"/>
      <c r="P85" s="267"/>
      <c r="Q85" s="267"/>
      <c r="R85" s="267"/>
      <c r="S85" s="267"/>
      <c r="T85" s="597">
        <v>-0.14817775</v>
      </c>
      <c r="U85" s="597">
        <v>-0.15478025000000001</v>
      </c>
      <c r="V85" s="597">
        <v>-0.18167225000000001</v>
      </c>
      <c r="W85" s="597">
        <v>-0.18486025</v>
      </c>
      <c r="X85" s="597">
        <v>-0.196825</v>
      </c>
      <c r="Y85" s="597">
        <v>-0.21038475000000001</v>
      </c>
      <c r="Z85" s="597">
        <v>-0.12</v>
      </c>
      <c r="AA85" s="597">
        <v>-0.25774449999999999</v>
      </c>
      <c r="AB85" s="597">
        <v>-0.27</v>
      </c>
      <c r="AC85" s="597">
        <v>-0.293124</v>
      </c>
      <c r="AD85" s="597">
        <v>-0.3</v>
      </c>
      <c r="AE85" s="597">
        <v>-0.30696764079224004</v>
      </c>
      <c r="AF85" s="597">
        <v>-0.35964377939789699</v>
      </c>
      <c r="AG85" s="597">
        <v>-0.35402882868147634</v>
      </c>
      <c r="AH85" s="597">
        <v>-0.34953848297706286</v>
      </c>
      <c r="AI85" s="597">
        <v>-0.42418446690961686</v>
      </c>
      <c r="AJ85" s="597">
        <v>-0.44242326410557037</v>
      </c>
      <c r="AK85" s="597">
        <v>-0.4105682917264401</v>
      </c>
      <c r="AL85" s="597">
        <v>-0.48101637546765802</v>
      </c>
      <c r="AM85" s="597">
        <v>-0.48957379147943725</v>
      </c>
      <c r="AN85" s="597">
        <v>-0.50156227275261267</v>
      </c>
      <c r="AO85" s="246">
        <v>-1</v>
      </c>
      <c r="AP85" s="246">
        <v>-1</v>
      </c>
      <c r="AQ85" s="246">
        <v>-1</v>
      </c>
      <c r="AR85" s="246">
        <v>-0.42994550000000004</v>
      </c>
      <c r="AS85" s="246">
        <v>-0.44194550000000005</v>
      </c>
      <c r="AT85" s="246">
        <v>-0.45394550000000006</v>
      </c>
      <c r="AU85" s="246">
        <v>-0.46594550000000001</v>
      </c>
      <c r="AV85" s="246">
        <v>-0.47794550000000002</v>
      </c>
      <c r="AW85" s="246">
        <v>-0.48994550000000003</v>
      </c>
      <c r="AX85" s="246">
        <v>-0.50194550000000004</v>
      </c>
      <c r="AY85" s="246">
        <v>-0.51394550000000006</v>
      </c>
      <c r="AZ85" s="246">
        <v>-0.52594550000000007</v>
      </c>
      <c r="BA85" s="246">
        <v>-0.53794550000000008</v>
      </c>
      <c r="BB85" s="246">
        <v>-0.54994550000000009</v>
      </c>
      <c r="BC85" s="246">
        <v>-0.56194549999999999</v>
      </c>
      <c r="BD85" s="246">
        <v>-0.5749455</v>
      </c>
      <c r="BE85" s="246">
        <v>-0.58894550000000001</v>
      </c>
      <c r="BF85" s="246">
        <v>-0.60394550000000002</v>
      </c>
      <c r="BG85" s="246">
        <v>-0.61994550000000004</v>
      </c>
      <c r="BH85" s="246">
        <v>-0.63694550000000005</v>
      </c>
      <c r="BI85" s="246">
        <v>-0.65494550000000007</v>
      </c>
      <c r="BJ85" s="246">
        <v>-0.67394550000000009</v>
      </c>
      <c r="BK85" s="246">
        <v>-0.69394549999999999</v>
      </c>
      <c r="BL85" s="246">
        <v>-0.71494550000000001</v>
      </c>
      <c r="BM85" s="246">
        <v>-0.73694550000000003</v>
      </c>
      <c r="BN85" s="246">
        <v>-0.75994550000000005</v>
      </c>
      <c r="BO85" s="246">
        <v>-0.78394549999999996</v>
      </c>
      <c r="BP85" s="246">
        <v>-0.80807050000000002</v>
      </c>
      <c r="BQ85" s="246">
        <v>-0.83232049999999991</v>
      </c>
      <c r="BR85" s="246">
        <v>-0.85669549999999994</v>
      </c>
      <c r="BS85" s="246">
        <v>-0.88119550000000002</v>
      </c>
      <c r="BT85" s="246">
        <v>-0.90582049999999992</v>
      </c>
      <c r="BU85" s="246">
        <v>-0.93057049999999997</v>
      </c>
      <c r="BV85" s="246">
        <v>-0.95544550000000006</v>
      </c>
      <c r="BW85" s="246">
        <v>-0.98044549999999997</v>
      </c>
      <c r="BX85" s="246">
        <v>-1</v>
      </c>
      <c r="BY85" s="246">
        <v>-1</v>
      </c>
      <c r="BZ85" s="246">
        <v>-1</v>
      </c>
      <c r="CA85" s="246">
        <v>-1</v>
      </c>
      <c r="CB85" s="246">
        <v>-1</v>
      </c>
      <c r="CC85" s="246">
        <v>-1</v>
      </c>
      <c r="CD85" s="246">
        <v>-1</v>
      </c>
      <c r="CE85" s="246">
        <v>-1</v>
      </c>
      <c r="CF85" s="246">
        <v>-1</v>
      </c>
      <c r="CG85" s="246">
        <v>-1</v>
      </c>
      <c r="CH85" s="246">
        <v>-1</v>
      </c>
      <c r="CI85" s="246">
        <v>-1</v>
      </c>
      <c r="CJ85" s="246">
        <v>-1</v>
      </c>
      <c r="CK85" s="246">
        <v>-1</v>
      </c>
      <c r="CL85" s="246">
        <v>-1</v>
      </c>
      <c r="CM85" s="246">
        <v>-1</v>
      </c>
      <c r="CN85" s="246">
        <v>-1</v>
      </c>
      <c r="CO85" s="246">
        <v>-1</v>
      </c>
      <c r="CP85" s="246">
        <v>-1</v>
      </c>
      <c r="CQ85" s="246">
        <v>-1</v>
      </c>
      <c r="CR85" s="246">
        <v>-1</v>
      </c>
      <c r="CS85" s="246">
        <v>-1</v>
      </c>
      <c r="CT85" s="246">
        <v>-1</v>
      </c>
      <c r="CU85" s="246">
        <v>-1</v>
      </c>
      <c r="CV85" s="246">
        <v>-1</v>
      </c>
      <c r="CW85" s="246">
        <v>-1</v>
      </c>
      <c r="CX85" s="246">
        <v>-1</v>
      </c>
      <c r="CY85" s="246">
        <v>-1</v>
      </c>
    </row>
    <row r="86" spans="1:103">
      <c r="A86" s="230"/>
      <c r="B86" s="230"/>
      <c r="C86" s="230"/>
      <c r="D86" s="230"/>
      <c r="E86" s="230" t="s">
        <v>870</v>
      </c>
      <c r="F86" s="232"/>
      <c r="G86" s="232" t="s">
        <v>736</v>
      </c>
      <c r="H86" s="232"/>
      <c r="I86" s="232"/>
      <c r="J86" s="232"/>
      <c r="K86" s="232"/>
      <c r="L86" s="230"/>
      <c r="M86" s="230"/>
      <c r="N86" s="267"/>
      <c r="O86" s="267"/>
      <c r="P86" s="267"/>
      <c r="Q86" s="267"/>
      <c r="R86" s="267"/>
      <c r="S86" s="267"/>
      <c r="T86" s="597">
        <v>-1.0195375E-2</v>
      </c>
      <c r="U86" s="597">
        <v>-0.30747792600000001</v>
      </c>
      <c r="V86" s="597">
        <v>-0.10052388499999999</v>
      </c>
      <c r="W86" s="597">
        <v>-9.7116729999999998E-2</v>
      </c>
      <c r="X86" s="597">
        <v>-0.10024838899999999</v>
      </c>
      <c r="Y86" s="597">
        <v>-4.5319114000000001E-2</v>
      </c>
      <c r="Z86" s="597">
        <v>-0.111983077</v>
      </c>
      <c r="AA86" s="597">
        <v>-0.17233968699999999</v>
      </c>
      <c r="AB86" s="597">
        <v>-0.112782801</v>
      </c>
      <c r="AC86" s="597">
        <v>-0.112608709</v>
      </c>
      <c r="AD86" s="597">
        <v>-0.14325739600000001</v>
      </c>
      <c r="AE86" s="597">
        <v>-0.19948143600000001</v>
      </c>
      <c r="AF86" s="597">
        <v>-0.14215731945283022</v>
      </c>
      <c r="AG86" s="597">
        <v>-0.14106536789431459</v>
      </c>
      <c r="AH86" s="597">
        <v>-0.17139684508044142</v>
      </c>
      <c r="AI86" s="597">
        <v>-0.15508670414141101</v>
      </c>
      <c r="AJ86" s="597">
        <v>-0.16747102583531165</v>
      </c>
      <c r="AK86" s="629">
        <v>-0.18191070483114796</v>
      </c>
      <c r="AL86" s="629">
        <v>-0.20686416213876355</v>
      </c>
      <c r="AM86" s="629">
        <f>-275979252.49535/10^9</f>
        <v>-0.27597925249534999</v>
      </c>
      <c r="AN86" s="597">
        <v>-0.10941702582664213</v>
      </c>
      <c r="AO86" s="246">
        <v>-6283.5771199999999</v>
      </c>
      <c r="AP86" s="246">
        <v>0</v>
      </c>
      <c r="AQ86" s="246">
        <v>0</v>
      </c>
      <c r="AR86" s="246">
        <v>-0.20658284128472226</v>
      </c>
      <c r="AS86" s="246">
        <v>-0.21403666090277784</v>
      </c>
      <c r="AT86" s="246">
        <v>-0.22158214718750005</v>
      </c>
      <c r="AU86" s="246">
        <v>-0.22921930013888897</v>
      </c>
      <c r="AV86" s="246">
        <v>-0.23694811975694455</v>
      </c>
      <c r="AW86" s="246">
        <v>-0.24476860604166681</v>
      </c>
      <c r="AX86" s="246">
        <v>-0.2526807589930557</v>
      </c>
      <c r="AY86" s="246">
        <v>-0.26068457861111127</v>
      </c>
      <c r="AZ86" s="246">
        <v>-0.2687800648958335</v>
      </c>
      <c r="BA86" s="246">
        <v>-0.27696721784722239</v>
      </c>
      <c r="BB86" s="246">
        <v>-0.28524603746527799</v>
      </c>
      <c r="BC86" s="246">
        <v>-0.29361652375000008</v>
      </c>
      <c r="BD86" s="246">
        <v>-0.30040902375000006</v>
      </c>
      <c r="BE86" s="246">
        <v>-0.30772402375000008</v>
      </c>
      <c r="BF86" s="246">
        <v>-0.31556152375000007</v>
      </c>
      <c r="BG86" s="246">
        <v>-0.32392152375000005</v>
      </c>
      <c r="BH86" s="246">
        <v>-0.33280402375000007</v>
      </c>
      <c r="BI86" s="246">
        <v>-0.34220902375000006</v>
      </c>
      <c r="BJ86" s="246">
        <v>-0.35213652375000004</v>
      </c>
      <c r="BK86" s="246">
        <v>-0.36258652375000006</v>
      </c>
      <c r="BL86" s="246">
        <v>-0.37355902375000005</v>
      </c>
      <c r="BM86" s="246">
        <v>-0.38505402375000009</v>
      </c>
      <c r="BN86" s="246">
        <v>-0.39707152375000004</v>
      </c>
      <c r="BO86" s="246">
        <v>-0.40961152375000004</v>
      </c>
      <c r="BP86" s="246">
        <v>-0.42221683625000006</v>
      </c>
      <c r="BQ86" s="246">
        <v>-0.43488746125000005</v>
      </c>
      <c r="BR86" s="246">
        <v>-0.44762339875000007</v>
      </c>
      <c r="BS86" s="246">
        <v>-0.46042464875000011</v>
      </c>
      <c r="BT86" s="246">
        <v>-0.47329121125000001</v>
      </c>
      <c r="BU86" s="246">
        <v>-0.48622308624999999</v>
      </c>
      <c r="BV86" s="246">
        <v>-0.49922027375</v>
      </c>
      <c r="BW86" s="246">
        <v>-1.0245655475000002</v>
      </c>
      <c r="BX86" s="246">
        <v>-1.0508211724999998</v>
      </c>
      <c r="BY86" s="246">
        <v>-1.0772074225000001</v>
      </c>
      <c r="BZ86" s="246">
        <v>-1.1037242974999999</v>
      </c>
      <c r="CA86" s="246">
        <v>-1.1303717975000003</v>
      </c>
      <c r="CB86" s="246">
        <v>-1.1571499224999999</v>
      </c>
      <c r="CC86" s="246">
        <v>-1.1840586725</v>
      </c>
      <c r="CD86" s="246">
        <v>-1.2110980475000002</v>
      </c>
      <c r="CE86" s="246">
        <v>-1.2382680475000003</v>
      </c>
      <c r="CF86" s="246">
        <v>-1.2655686725000002</v>
      </c>
      <c r="CG86" s="246">
        <v>-1.2929999225000002</v>
      </c>
      <c r="CH86" s="246">
        <v>-1.3205617975000001</v>
      </c>
      <c r="CI86" s="246">
        <v>-1.3482542975000003</v>
      </c>
      <c r="CJ86" s="246">
        <v>-1.3760774224999999</v>
      </c>
      <c r="CK86" s="246">
        <v>-1.4040311725000001</v>
      </c>
      <c r="CL86" s="246">
        <v>-1.4321155475</v>
      </c>
      <c r="CM86" s="246">
        <v>-1.4603305475000001</v>
      </c>
      <c r="CN86" s="246">
        <v>-1.4886761725000002</v>
      </c>
      <c r="CO86" s="246">
        <v>-1.5171524225000002</v>
      </c>
      <c r="CP86" s="246">
        <v>-1.5457592974999999</v>
      </c>
      <c r="CQ86" s="246">
        <v>-1.5744967975000002</v>
      </c>
      <c r="CR86" s="246">
        <v>-1.6033649225000002</v>
      </c>
      <c r="CS86" s="246">
        <v>-1.6323636725000001</v>
      </c>
      <c r="CT86" s="246">
        <v>-1.6614930474999998</v>
      </c>
      <c r="CU86" s="246">
        <v>-1.6907530475000001</v>
      </c>
      <c r="CV86" s="246">
        <v>-1.7201436725000001</v>
      </c>
      <c r="CW86" s="246">
        <v>-1.7496649224999998</v>
      </c>
      <c r="CX86" s="246">
        <v>-1.7793167975000002</v>
      </c>
      <c r="CY86" s="246">
        <v>-1.8090992975000002</v>
      </c>
    </row>
    <row r="87" spans="1:103">
      <c r="A87" s="230"/>
      <c r="B87" s="230"/>
      <c r="C87" s="230"/>
      <c r="D87" s="230"/>
      <c r="E87" s="230" t="s">
        <v>373</v>
      </c>
      <c r="F87" s="232"/>
      <c r="G87" s="232" t="s">
        <v>736</v>
      </c>
      <c r="H87" s="232"/>
      <c r="I87" s="232"/>
      <c r="J87" s="232"/>
      <c r="K87" s="232"/>
      <c r="L87" s="230"/>
      <c r="M87" s="230"/>
      <c r="N87" s="267"/>
      <c r="O87" s="267"/>
      <c r="P87" s="267"/>
      <c r="Q87" s="267"/>
      <c r="R87" s="267"/>
      <c r="S87" s="267"/>
      <c r="T87" s="610"/>
      <c r="U87" s="610"/>
      <c r="V87" s="610"/>
      <c r="W87" s="610"/>
      <c r="X87" s="610"/>
      <c r="Y87" s="610"/>
      <c r="Z87" s="597"/>
      <c r="AA87" s="597"/>
      <c r="AB87" s="597"/>
      <c r="AC87" s="600"/>
      <c r="AD87" s="600"/>
      <c r="AE87" s="634"/>
      <c r="AF87" s="634"/>
      <c r="AG87" s="634"/>
      <c r="AH87" s="246"/>
      <c r="AI87" s="246"/>
      <c r="AJ87" s="246"/>
      <c r="AK87" s="246"/>
      <c r="AL87" s="246"/>
      <c r="AM87" s="632"/>
      <c r="AN87" s="246"/>
      <c r="AO87" s="246"/>
      <c r="AP87" s="246"/>
      <c r="AQ87" s="234"/>
      <c r="AR87" s="246"/>
      <c r="AS87" s="246"/>
      <c r="AT87" s="246"/>
      <c r="AU87" s="246"/>
      <c r="AV87" s="246"/>
      <c r="AW87" s="246"/>
      <c r="AX87" s="246"/>
      <c r="AY87" s="246"/>
      <c r="AZ87" s="246"/>
      <c r="BA87" s="246"/>
      <c r="BB87" s="246"/>
      <c r="BC87" s="246"/>
      <c r="BD87" s="246"/>
      <c r="BE87" s="246"/>
      <c r="BF87" s="246"/>
      <c r="BG87" s="246"/>
      <c r="BH87" s="246"/>
      <c r="BI87" s="246"/>
      <c r="BJ87" s="246"/>
      <c r="BK87" s="246"/>
      <c r="BL87" s="246"/>
      <c r="BM87" s="246"/>
      <c r="BN87" s="246"/>
      <c r="BO87" s="246"/>
      <c r="BP87" s="246"/>
      <c r="BQ87" s="246"/>
      <c r="BR87" s="246"/>
      <c r="BS87" s="246"/>
      <c r="BT87" s="246"/>
      <c r="BU87" s="246"/>
      <c r="BV87" s="246"/>
      <c r="BW87" s="246"/>
      <c r="BX87" s="246"/>
      <c r="BY87" s="246"/>
      <c r="BZ87" s="246"/>
      <c r="CA87" s="246"/>
      <c r="CB87" s="246"/>
      <c r="CC87" s="246"/>
      <c r="CD87" s="246"/>
      <c r="CE87" s="246"/>
      <c r="CF87" s="246"/>
      <c r="CG87" s="246"/>
      <c r="CH87" s="246"/>
      <c r="CI87" s="246"/>
      <c r="CJ87" s="246"/>
      <c r="CK87" s="246"/>
      <c r="CL87" s="246"/>
      <c r="CM87" s="246"/>
      <c r="CN87" s="246"/>
      <c r="CO87" s="246"/>
      <c r="CP87" s="246"/>
      <c r="CQ87" s="246"/>
      <c r="CR87" s="246"/>
      <c r="CS87" s="246"/>
      <c r="CT87" s="246"/>
      <c r="CU87" s="246"/>
      <c r="CV87" s="246"/>
      <c r="CW87" s="246"/>
      <c r="CX87" s="246"/>
      <c r="CY87" s="246"/>
    </row>
    <row r="88" spans="1:103">
      <c r="A88" s="230"/>
      <c r="B88" s="229" t="s">
        <v>621</v>
      </c>
      <c r="C88" s="230"/>
      <c r="D88" s="230"/>
      <c r="E88" s="232"/>
      <c r="F88" s="232"/>
      <c r="G88" s="232" t="s">
        <v>736</v>
      </c>
      <c r="H88" s="232"/>
      <c r="I88" s="232"/>
      <c r="J88" s="232"/>
      <c r="K88" s="232"/>
      <c r="L88" s="267"/>
      <c r="M88" s="267"/>
      <c r="N88" s="267"/>
      <c r="O88" s="267"/>
      <c r="P88" s="267"/>
      <c r="Q88" s="267"/>
      <c r="R88" s="267"/>
      <c r="S88" s="267"/>
      <c r="T88" s="635">
        <v>-0.51654388900000003</v>
      </c>
      <c r="U88" s="635">
        <v>-0.31448864300000001</v>
      </c>
      <c r="V88" s="635">
        <v>-1.2</v>
      </c>
      <c r="W88" s="635">
        <v>-2.141056802</v>
      </c>
      <c r="X88" s="635">
        <v>-3.9</v>
      </c>
      <c r="Y88" s="635">
        <v>-4</v>
      </c>
      <c r="Z88" s="635">
        <v>-3.3</v>
      </c>
      <c r="AA88" s="635">
        <v>-7</v>
      </c>
      <c r="AB88" s="635">
        <v>-4</v>
      </c>
      <c r="AC88" s="635">
        <v>-3.6024612149900914</v>
      </c>
      <c r="AD88" s="635">
        <v>-3.6</v>
      </c>
      <c r="AE88" s="635">
        <v>-5.595407797</v>
      </c>
      <c r="AF88" s="635">
        <v>-5.2770752019999998</v>
      </c>
      <c r="AG88" s="635">
        <v>-8.8886798670000005</v>
      </c>
      <c r="AH88" s="635">
        <v>-10.563661615999999</v>
      </c>
      <c r="AI88" s="635">
        <v>-6.3602366679999998</v>
      </c>
      <c r="AJ88" s="635">
        <v>-6.1545315110000001</v>
      </c>
      <c r="AK88" s="636">
        <v>-9.6745760240000003</v>
      </c>
      <c r="AL88" s="636">
        <v>-8.2177001040000004</v>
      </c>
      <c r="AM88" s="635">
        <v>-7.2455551900000001</v>
      </c>
      <c r="AN88" s="635">
        <v>-7.8931880440000004</v>
      </c>
      <c r="AO88" s="248">
        <v>-45566</v>
      </c>
      <c r="AP88" s="248">
        <v>-45597</v>
      </c>
      <c r="AQ88" s="248">
        <v>-45627</v>
      </c>
      <c r="AR88" s="248">
        <v>-27.144852398278175</v>
      </c>
      <c r="AS88" s="248">
        <v>-9.9914291479267945</v>
      </c>
      <c r="AT88" s="248">
        <v>-11.318028577219245</v>
      </c>
      <c r="AU88" s="248">
        <v>-12.559145134787064</v>
      </c>
      <c r="AV88" s="248">
        <v>-13.326662422492729</v>
      </c>
      <c r="AW88" s="248">
        <v>-13.318191744013266</v>
      </c>
      <c r="AX88" s="248">
        <v>-13.933150621896502</v>
      </c>
      <c r="AY88" s="248">
        <v>-13.726404134205174</v>
      </c>
      <c r="AZ88" s="248">
        <v>-13.483983920522791</v>
      </c>
      <c r="BA88" s="248">
        <v>-13.542161234548608</v>
      </c>
      <c r="BB88" s="248">
        <v>-14.139787824749396</v>
      </c>
      <c r="BC88" s="248">
        <v>-14.716881365350899</v>
      </c>
      <c r="BD88" s="248">
        <v>-15.212167601744135</v>
      </c>
      <c r="BE88" s="248">
        <v>-15.741925237024786</v>
      </c>
      <c r="BF88" s="248">
        <v>-16.292964211600211</v>
      </c>
      <c r="BG88" s="248">
        <v>-16.833592762813527</v>
      </c>
      <c r="BH88" s="248">
        <v>-17.363839432845218</v>
      </c>
      <c r="BI88" s="248">
        <v>-17.890181854732944</v>
      </c>
      <c r="BJ88" s="248">
        <v>-18.363120980145634</v>
      </c>
      <c r="BK88" s="248">
        <v>-18.715522997808687</v>
      </c>
      <c r="BL88" s="248">
        <v>-18.998669996682779</v>
      </c>
      <c r="BM88" s="248">
        <v>-19.261189653726746</v>
      </c>
      <c r="BN88" s="248">
        <v>-19.527443416827182</v>
      </c>
      <c r="BO88" s="248">
        <v>-19.809330280296511</v>
      </c>
      <c r="BP88" s="248">
        <v>-20.126681327304826</v>
      </c>
      <c r="BQ88" s="248">
        <v>-20.45502410016999</v>
      </c>
      <c r="BR88" s="248">
        <v>-20.798752724850132</v>
      </c>
      <c r="BS88" s="248">
        <v>-21.160134314995119</v>
      </c>
      <c r="BT88" s="248">
        <v>-21.542815415040437</v>
      </c>
      <c r="BU88" s="248">
        <v>-21.941767258829032</v>
      </c>
      <c r="BV88" s="248">
        <v>-22.354052462112392</v>
      </c>
      <c r="BW88" s="248">
        <v>-22.785493996086114</v>
      </c>
      <c r="BX88" s="248">
        <v>-23.239846417638454</v>
      </c>
      <c r="BY88" s="248">
        <v>-23.700369065404711</v>
      </c>
      <c r="BZ88" s="248">
        <v>-24.159136220477606</v>
      </c>
      <c r="CA88" s="248">
        <v>-24.61245703059593</v>
      </c>
      <c r="CB88" s="248">
        <v>-25.058730103505862</v>
      </c>
      <c r="CC88" s="248">
        <v>-25.497398136883945</v>
      </c>
      <c r="CD88" s="248">
        <v>-25.928377594696592</v>
      </c>
      <c r="CE88" s="248">
        <v>-26.35179383390695</v>
      </c>
      <c r="CF88" s="248">
        <v>-26.767903687712003</v>
      </c>
      <c r="CG88" s="248">
        <v>-27.177043200026638</v>
      </c>
      <c r="CH88" s="248">
        <v>-27.57947863076943</v>
      </c>
      <c r="CI88" s="248">
        <v>-27.975391901991905</v>
      </c>
      <c r="CJ88" s="248">
        <v>-28.364900626147133</v>
      </c>
      <c r="CK88" s="248">
        <v>-28.748081165771904</v>
      </c>
      <c r="CL88" s="248">
        <v>-29.124986438348881</v>
      </c>
      <c r="CM88" s="248">
        <v>-29.495657521133925</v>
      </c>
      <c r="CN88" s="248">
        <v>-29.860130554595056</v>
      </c>
      <c r="CO88" s="248">
        <v>-30.218440824000265</v>
      </c>
      <c r="CP88" s="248">
        <v>-30.570625118975112</v>
      </c>
      <c r="CQ88" s="248">
        <v>-30.916722408471614</v>
      </c>
      <c r="CR88" s="248">
        <v>-31.25677364092412</v>
      </c>
      <c r="CS88" s="248">
        <v>-31.590821253555394</v>
      </c>
      <c r="CT88" s="248">
        <v>-31.918908683968333</v>
      </c>
      <c r="CU88" s="248">
        <v>-32.241079990707746</v>
      </c>
      <c r="CV88" s="248">
        <v>-32.55737959576507</v>
      </c>
      <c r="CW88" s="248">
        <v>-32.867852126642262</v>
      </c>
      <c r="CX88" s="248">
        <v>-33.17254232990318</v>
      </c>
      <c r="CY88" s="248">
        <v>-33.471495032149591</v>
      </c>
    </row>
    <row r="89" spans="1:103">
      <c r="A89" s="95"/>
      <c r="B89" s="95" t="s">
        <v>701</v>
      </c>
      <c r="C89" s="95"/>
      <c r="D89" s="95"/>
      <c r="E89" s="214"/>
      <c r="F89" s="232"/>
      <c r="G89" s="232" t="s">
        <v>736</v>
      </c>
      <c r="H89" s="214"/>
      <c r="I89" s="214"/>
      <c r="J89" s="214"/>
      <c r="K89" s="214"/>
      <c r="L89" s="637"/>
      <c r="M89" s="637"/>
      <c r="N89" s="637"/>
      <c r="O89" s="637"/>
      <c r="P89" s="637"/>
      <c r="Q89" s="637"/>
      <c r="R89" s="637"/>
      <c r="S89" s="637"/>
      <c r="T89" s="247">
        <f>SUM(T90:T99)</f>
        <v>0</v>
      </c>
      <c r="U89" s="247">
        <f t="shared" ref="U89:AQ89" si="44">SUM(U90:U99)</f>
        <v>0</v>
      </c>
      <c r="V89" s="247">
        <f t="shared" si="44"/>
        <v>0</v>
      </c>
      <c r="W89" s="247">
        <f t="shared" si="44"/>
        <v>0</v>
      </c>
      <c r="X89" s="247">
        <f t="shared" si="44"/>
        <v>0</v>
      </c>
      <c r="Y89" s="247">
        <f t="shared" si="44"/>
        <v>0</v>
      </c>
      <c r="Z89" s="247">
        <f t="shared" si="44"/>
        <v>0</v>
      </c>
      <c r="AA89" s="247">
        <f t="shared" si="44"/>
        <v>0</v>
      </c>
      <c r="AB89" s="247">
        <f t="shared" si="44"/>
        <v>0</v>
      </c>
      <c r="AC89" s="247">
        <f t="shared" si="44"/>
        <v>0</v>
      </c>
      <c r="AD89" s="247">
        <f t="shared" si="44"/>
        <v>0</v>
      </c>
      <c r="AE89" s="247">
        <f t="shared" si="44"/>
        <v>0</v>
      </c>
      <c r="AF89" s="247">
        <f t="shared" si="44"/>
        <v>-2.2549694508695488</v>
      </c>
      <c r="AG89" s="247">
        <f t="shared" si="44"/>
        <v>-1.9211540535082001</v>
      </c>
      <c r="AH89" s="247">
        <f t="shared" si="44"/>
        <v>-2.1385155908764593</v>
      </c>
      <c r="AI89" s="247">
        <f t="shared" si="44"/>
        <v>-1.7766920220168814</v>
      </c>
      <c r="AJ89" s="247">
        <f t="shared" si="44"/>
        <v>-2.319765400454664</v>
      </c>
      <c r="AK89" s="247">
        <f t="shared" si="44"/>
        <v>-3.159679025399686</v>
      </c>
      <c r="AL89" s="247">
        <f t="shared" si="44"/>
        <v>-3.8500683030470375</v>
      </c>
      <c r="AM89" s="247">
        <f t="shared" si="44"/>
        <v>-4.7035271206401745</v>
      </c>
      <c r="AN89" s="247">
        <f t="shared" si="44"/>
        <v>-2.9540576245465302</v>
      </c>
      <c r="AO89" s="247">
        <f t="shared" si="44"/>
        <v>-816.88631460058093</v>
      </c>
      <c r="AP89" s="247">
        <f t="shared" si="44"/>
        <v>-1568.1318232654253</v>
      </c>
      <c r="AQ89" s="247">
        <f t="shared" si="44"/>
        <v>-1652.4991938919247</v>
      </c>
      <c r="AR89" s="247">
        <v>-2.4503332076268594</v>
      </c>
      <c r="AS89" s="247">
        <v>-2.4779790591013073</v>
      </c>
      <c r="AT89" s="247">
        <v>-2.505683872423897</v>
      </c>
      <c r="AU89" s="247">
        <v>-2.5334447348087163</v>
      </c>
      <c r="AV89" s="247">
        <v>-2.5612589222218136</v>
      </c>
      <c r="AW89" s="247">
        <v>-2.5891238843357489</v>
      </c>
      <c r="AX89" s="247">
        <v>-2.5513025661360755</v>
      </c>
      <c r="AY89" s="247">
        <v>-2.5802776182553062</v>
      </c>
      <c r="AZ89" s="247">
        <v>-2.6092658038739049</v>
      </c>
      <c r="BA89" s="247">
        <v>-2.6382665325211927</v>
      </c>
      <c r="BB89" s="247">
        <v>-2.6672792485999262</v>
      </c>
      <c r="BC89" s="247">
        <v>-2.6963034288492072</v>
      </c>
      <c r="BD89" s="247">
        <v>-2.8363225186586125</v>
      </c>
      <c r="BE89" s="247">
        <v>-2.9787463709071482</v>
      </c>
      <c r="BF89" s="247">
        <v>-3.1235826933470849</v>
      </c>
      <c r="BG89" s="247">
        <v>-3.2708375558333329</v>
      </c>
      <c r="BH89" s="247">
        <v>-3.4205158034429606</v>
      </c>
      <c r="BI89" s="247">
        <v>-3.5726213505602633</v>
      </c>
      <c r="BJ89" s="247">
        <v>-3.7271573941082656</v>
      </c>
      <c r="BK89" s="247">
        <v>-3.8841265707245127</v>
      </c>
      <c r="BL89" s="247">
        <v>-4.0435310743518516</v>
      </c>
      <c r="BM89" s="247">
        <v>-4.2053727454067928</v>
      </c>
      <c r="BN89" s="247">
        <v>-4.3696531392299409</v>
      </c>
      <c r="BO89" s="247">
        <v>-4.5363735792251463</v>
      </c>
      <c r="BP89" s="247">
        <v>-4.6087817132675015</v>
      </c>
      <c r="BQ89" s="247">
        <v>-4.6815003633730159</v>
      </c>
      <c r="BR89" s="247">
        <v>-4.7545293872834273</v>
      </c>
      <c r="BS89" s="247">
        <v>-4.8278686490983853</v>
      </c>
      <c r="BT89" s="247">
        <v>-4.9015180189241851</v>
      </c>
      <c r="BU89" s="247">
        <v>-4.9754773725455363</v>
      </c>
      <c r="BV89" s="247">
        <v>-5.0497465911186179</v>
      </c>
      <c r="BW89" s="247">
        <v>-5.1243255608838369</v>
      </c>
      <c r="BX89" s="247">
        <v>-5.1992141728968235</v>
      </c>
      <c r="BY89" s="247">
        <v>-5.274412322776322</v>
      </c>
      <c r="BZ89" s="247">
        <v>-5.3499199104677597</v>
      </c>
      <c r="CA89" s="247">
        <v>-5.4257368400213686</v>
      </c>
      <c r="CB89" s="247">
        <v>-5.5018630193838129</v>
      </c>
      <c r="CC89" s="247">
        <v>-5.5782983602024006</v>
      </c>
      <c r="CD89" s="247">
        <v>-5.6550427776409613</v>
      </c>
      <c r="CE89" s="247">
        <v>-5.7320961902066214</v>
      </c>
      <c r="CF89" s="247">
        <v>-5.8094585195867197</v>
      </c>
      <c r="CG89" s="247">
        <v>-5.8871296904951693</v>
      </c>
      <c r="CH89" s="247">
        <v>-5.9651096305276443</v>
      </c>
      <c r="CI89" s="247">
        <v>-6.0433982700250128</v>
      </c>
      <c r="CJ89" s="247">
        <v>-6.1219955419444423</v>
      </c>
      <c r="CK89" s="247">
        <v>-6.200901381737725</v>
      </c>
      <c r="CL89" s="247">
        <v>-6.2801157272363026</v>
      </c>
      <c r="CM89" s="247">
        <v>-6.359638518542619</v>
      </c>
      <c r="CN89" s="247">
        <v>-6.4394980540559335</v>
      </c>
      <c r="CO89" s="247">
        <v>-6.5196652282740315</v>
      </c>
      <c r="CP89" s="247">
        <v>-6.6001400103112227</v>
      </c>
      <c r="CQ89" s="247">
        <v>-6.680922370238445</v>
      </c>
      <c r="CR89" s="247">
        <v>-6.7620122790465294</v>
      </c>
      <c r="CS89" s="247">
        <v>-6.8434097086111088</v>
      </c>
      <c r="CT89" s="247">
        <v>-6.9251146316591576</v>
      </c>
      <c r="CU89" s="247">
        <v>-7.0071270217370047</v>
      </c>
      <c r="CV89" s="247">
        <v>-7.0894468531798003</v>
      </c>
      <c r="CW89" s="247">
        <v>-7.1720741010823339</v>
      </c>
      <c r="CX89" s="247">
        <v>-7.2550087412711308</v>
      </c>
      <c r="CY89" s="247">
        <v>-7.338250750277779</v>
      </c>
    </row>
    <row r="90" spans="1:103">
      <c r="A90" s="230"/>
      <c r="B90" s="229"/>
      <c r="C90" s="230"/>
      <c r="D90" s="230" t="s">
        <v>100</v>
      </c>
      <c r="E90" s="230"/>
      <c r="F90" s="232"/>
      <c r="G90" s="232" t="s">
        <v>736</v>
      </c>
      <c r="H90" s="232"/>
      <c r="I90" s="232"/>
      <c r="J90" s="232"/>
      <c r="K90" s="232"/>
      <c r="L90" s="230"/>
      <c r="M90" s="230"/>
      <c r="N90" s="230"/>
      <c r="O90" s="230"/>
      <c r="P90" s="230"/>
      <c r="Q90" s="230"/>
      <c r="R90" s="230"/>
      <c r="S90" s="230"/>
      <c r="T90" s="237"/>
      <c r="U90" s="237"/>
      <c r="V90" s="237"/>
      <c r="W90" s="237"/>
      <c r="X90" s="237"/>
      <c r="Y90" s="237"/>
      <c r="Z90" s="237"/>
      <c r="AA90" s="237"/>
      <c r="AB90" s="237"/>
      <c r="AC90" s="237"/>
      <c r="AD90" s="237"/>
      <c r="AE90" s="237"/>
      <c r="AF90" s="594">
        <v>-0.50452991299382877</v>
      </c>
      <c r="AG90" s="594">
        <v>-0.4102074021117646</v>
      </c>
      <c r="AH90" s="594">
        <v>-0.50040136068458974</v>
      </c>
      <c r="AI90" s="594">
        <v>-0.38400813123600802</v>
      </c>
      <c r="AJ90" s="594">
        <v>-0.46497678714408286</v>
      </c>
      <c r="AK90" s="594">
        <v>-0.50621847432977862</v>
      </c>
      <c r="AL90" s="603">
        <v>-0.51507780989836827</v>
      </c>
      <c r="AM90" s="638">
        <v>-0.56410047522246909</v>
      </c>
      <c r="AN90" s="603">
        <v>-0.73341300667554099</v>
      </c>
      <c r="AO90" s="639">
        <v>-2.3250900360144056E-3</v>
      </c>
      <c r="AP90" s="639">
        <v>-2.5023609443777513E-3</v>
      </c>
      <c r="AQ90" s="639">
        <v>-3.3613445378151263E-3</v>
      </c>
      <c r="AR90" s="639">
        <v>-0.4</v>
      </c>
      <c r="AS90" s="639">
        <v>-0.4</v>
      </c>
      <c r="AT90" s="639">
        <v>-0.4</v>
      </c>
      <c r="AU90" s="639">
        <v>-0.4</v>
      </c>
      <c r="AV90" s="639">
        <v>-0.4</v>
      </c>
      <c r="AW90" s="639">
        <v>-0.4</v>
      </c>
      <c r="AX90" s="639">
        <v>-0.4</v>
      </c>
      <c r="AY90" s="639">
        <v>-0.4</v>
      </c>
      <c r="AZ90" s="639">
        <v>-0.4</v>
      </c>
      <c r="BA90" s="639">
        <v>-0.4</v>
      </c>
      <c r="BB90" s="639">
        <v>-0.4</v>
      </c>
      <c r="BC90" s="639">
        <v>-0.4</v>
      </c>
      <c r="BD90" s="639">
        <v>-0.4333333333333334</v>
      </c>
      <c r="BE90" s="639">
        <v>-0.46666666666666656</v>
      </c>
      <c r="BF90" s="639">
        <v>-0.49999999999999994</v>
      </c>
      <c r="BG90" s="639">
        <v>-0.53333333333333321</v>
      </c>
      <c r="BH90" s="639">
        <v>-0.56666666666666654</v>
      </c>
      <c r="BI90" s="639">
        <v>-0.59999999999999987</v>
      </c>
      <c r="BJ90" s="639">
        <v>-0.63333333333333319</v>
      </c>
      <c r="BK90" s="639">
        <v>-0.66666666666666652</v>
      </c>
      <c r="BL90" s="639">
        <v>-0.69999999999999973</v>
      </c>
      <c r="BM90" s="639">
        <v>-0.73333333333333306</v>
      </c>
      <c r="BN90" s="639">
        <v>-0.76666666666666639</v>
      </c>
      <c r="BO90" s="639">
        <v>-0.8</v>
      </c>
      <c r="BP90" s="639">
        <v>-0.8041666666666667</v>
      </c>
      <c r="BQ90" s="639">
        <v>-0.80833333333333324</v>
      </c>
      <c r="BR90" s="639">
        <v>-0.81249999999999989</v>
      </c>
      <c r="BS90" s="639">
        <v>-0.81666666666666654</v>
      </c>
      <c r="BT90" s="639">
        <v>-0.82083333333333308</v>
      </c>
      <c r="BU90" s="639">
        <v>-0.82499999999999962</v>
      </c>
      <c r="BV90" s="639">
        <v>-0.82916666666666627</v>
      </c>
      <c r="BW90" s="639">
        <v>-0.83333333333333293</v>
      </c>
      <c r="BX90" s="639">
        <v>-0.83749999999999947</v>
      </c>
      <c r="BY90" s="639">
        <v>-0.84166666666666623</v>
      </c>
      <c r="BZ90" s="639">
        <v>-0.84583333333333266</v>
      </c>
      <c r="CA90" s="639">
        <v>-0.85</v>
      </c>
      <c r="CB90" s="639">
        <v>-0.85416666666666674</v>
      </c>
      <c r="CC90" s="639">
        <v>-0.85833333333333317</v>
      </c>
      <c r="CD90" s="639">
        <v>-0.86249999999999993</v>
      </c>
      <c r="CE90" s="639">
        <v>-0.86666666666666659</v>
      </c>
      <c r="CF90" s="639">
        <v>-0.87083333333333302</v>
      </c>
      <c r="CG90" s="639">
        <v>-0.87499999999999967</v>
      </c>
      <c r="CH90" s="639">
        <v>-0.87916666666666632</v>
      </c>
      <c r="CI90" s="639">
        <v>-0.88333333333333308</v>
      </c>
      <c r="CJ90" s="639">
        <v>-0.8874999999999994</v>
      </c>
      <c r="CK90" s="639">
        <v>-0.89166666666666616</v>
      </c>
      <c r="CL90" s="639">
        <v>-0.89583333333333282</v>
      </c>
      <c r="CM90" s="639">
        <v>-0.9</v>
      </c>
      <c r="CN90" s="639">
        <v>-0.90416666666666679</v>
      </c>
      <c r="CO90" s="639">
        <v>-0.90833333333333321</v>
      </c>
      <c r="CP90" s="639">
        <v>-0.91249999999999987</v>
      </c>
      <c r="CQ90" s="639">
        <v>-0.91666666666666652</v>
      </c>
      <c r="CR90" s="639">
        <v>-0.92083333333333306</v>
      </c>
      <c r="CS90" s="639">
        <v>-0.92499999999999971</v>
      </c>
      <c r="CT90" s="639">
        <v>-0.92916666666666625</v>
      </c>
      <c r="CU90" s="639">
        <v>-0.93333333333333302</v>
      </c>
      <c r="CV90" s="639">
        <v>-0.93749999999999944</v>
      </c>
      <c r="CW90" s="639">
        <v>-0.94166666666666621</v>
      </c>
      <c r="CX90" s="639">
        <v>-0.94583333333333286</v>
      </c>
      <c r="CY90" s="639">
        <v>-0.95000000000000007</v>
      </c>
    </row>
    <row r="91" spans="1:103">
      <c r="A91" s="230"/>
      <c r="B91" s="229"/>
      <c r="C91" s="230"/>
      <c r="D91" s="230" t="s">
        <v>806</v>
      </c>
      <c r="E91" s="230"/>
      <c r="F91" s="232"/>
      <c r="G91" s="232" t="s">
        <v>736</v>
      </c>
      <c r="H91" s="232"/>
      <c r="I91" s="232"/>
      <c r="J91" s="232"/>
      <c r="K91" s="232"/>
      <c r="L91" s="230"/>
      <c r="M91" s="230"/>
      <c r="N91" s="230"/>
      <c r="O91" s="230"/>
      <c r="P91" s="230"/>
      <c r="Q91" s="230"/>
      <c r="R91" s="230"/>
      <c r="S91" s="230"/>
      <c r="T91" s="237"/>
      <c r="U91" s="237"/>
      <c r="V91" s="237"/>
      <c r="W91" s="237"/>
      <c r="X91" s="237"/>
      <c r="Y91" s="237"/>
      <c r="Z91" s="237"/>
      <c r="AA91" s="237"/>
      <c r="AB91" s="237"/>
      <c r="AC91" s="237"/>
      <c r="AD91" s="237"/>
      <c r="AE91" s="237"/>
      <c r="AF91" s="603">
        <v>-4.3553111915488045E-2</v>
      </c>
      <c r="AG91" s="603">
        <v>-3.8054985945303217E-2</v>
      </c>
      <c r="AH91" s="603">
        <v>-6.7613123928000007E-2</v>
      </c>
      <c r="AI91" s="603">
        <v>-3.4833734607652093E-2</v>
      </c>
      <c r="AJ91" s="603">
        <v>-3.5955829936046513E-2</v>
      </c>
      <c r="AK91" s="603">
        <v>-4.1159591368939125E-2</v>
      </c>
      <c r="AL91" s="603">
        <v>-4.7256554663171038E-2</v>
      </c>
      <c r="AM91" s="603">
        <v>-4.3723271436967382E-3</v>
      </c>
      <c r="AN91" s="603">
        <v>-4.9816935647826691E-3</v>
      </c>
      <c r="AO91" s="639">
        <v>0</v>
      </c>
      <c r="AP91" s="639">
        <v>0</v>
      </c>
      <c r="AQ91" s="639">
        <v>0</v>
      </c>
      <c r="AR91" s="639">
        <v>-3.3320000000000002E-2</v>
      </c>
      <c r="AS91" s="639">
        <v>-3.3320000000000002E-2</v>
      </c>
      <c r="AT91" s="639">
        <v>-3.3320000000000002E-2</v>
      </c>
      <c r="AU91" s="639">
        <v>-3.3320000000000002E-2</v>
      </c>
      <c r="AV91" s="639">
        <v>-3.3320000000000002E-2</v>
      </c>
      <c r="AW91" s="639">
        <v>-3.3320000000000002E-2</v>
      </c>
      <c r="AX91" s="639">
        <v>-3.3320000000000002E-2</v>
      </c>
      <c r="AY91" s="639">
        <v>-3.3320000000000002E-2</v>
      </c>
      <c r="AZ91" s="639">
        <v>-3.3320000000000002E-2</v>
      </c>
      <c r="BA91" s="639">
        <v>-3.3320000000000002E-2</v>
      </c>
      <c r="BB91" s="639">
        <v>-3.3320000000000002E-2</v>
      </c>
      <c r="BC91" s="639">
        <v>-3.3320000000000002E-2</v>
      </c>
      <c r="BD91" s="639">
        <v>-3.6096666666666666E-2</v>
      </c>
      <c r="BE91" s="639">
        <v>-3.8873333333333329E-2</v>
      </c>
      <c r="BF91" s="639">
        <v>-4.1649999999999993E-2</v>
      </c>
      <c r="BG91" s="639">
        <v>-4.4426666666666656E-2</v>
      </c>
      <c r="BH91" s="639">
        <v>-4.7203333333333319E-2</v>
      </c>
      <c r="BI91" s="639">
        <v>-4.9979999999999983E-2</v>
      </c>
      <c r="BJ91" s="639">
        <v>-5.2756666666666646E-2</v>
      </c>
      <c r="BK91" s="639">
        <v>-5.5533333333333317E-2</v>
      </c>
      <c r="BL91" s="639">
        <v>-5.830999999999998E-2</v>
      </c>
      <c r="BM91" s="639">
        <v>-6.1086666666666643E-2</v>
      </c>
      <c r="BN91" s="639">
        <v>-6.3863333333333314E-2</v>
      </c>
      <c r="BO91" s="639">
        <v>-6.6640000000000005E-2</v>
      </c>
      <c r="BP91" s="639">
        <v>-6.6987083333333336E-2</v>
      </c>
      <c r="BQ91" s="639">
        <v>-6.7334166666666667E-2</v>
      </c>
      <c r="BR91" s="639">
        <v>-6.7681249999999998E-2</v>
      </c>
      <c r="BS91" s="639">
        <v>-6.8028333333333316E-2</v>
      </c>
      <c r="BT91" s="639">
        <v>-6.8375416666666633E-2</v>
      </c>
      <c r="BU91" s="639">
        <v>-6.8722499999999964E-2</v>
      </c>
      <c r="BV91" s="639">
        <v>-6.9069583333333295E-2</v>
      </c>
      <c r="BW91" s="639">
        <v>-6.9416666666666627E-2</v>
      </c>
      <c r="BX91" s="639">
        <v>-6.9763749999999958E-2</v>
      </c>
      <c r="BY91" s="639">
        <v>-7.0110833333333289E-2</v>
      </c>
      <c r="BZ91" s="639">
        <v>-7.045791666666662E-2</v>
      </c>
      <c r="CA91" s="639">
        <v>-7.0805000000000007E-2</v>
      </c>
      <c r="CB91" s="639">
        <v>-7.1152083333333324E-2</v>
      </c>
      <c r="CC91" s="639">
        <v>-7.1499166666666655E-2</v>
      </c>
      <c r="CD91" s="639">
        <v>-7.1846249999999987E-2</v>
      </c>
      <c r="CE91" s="639">
        <v>-7.2193333333333318E-2</v>
      </c>
      <c r="CF91" s="639">
        <v>-7.2540416666666649E-2</v>
      </c>
      <c r="CG91" s="639">
        <v>-7.288749999999998E-2</v>
      </c>
      <c r="CH91" s="639">
        <v>-7.3234583333333311E-2</v>
      </c>
      <c r="CI91" s="639">
        <v>-7.3581666666666629E-2</v>
      </c>
      <c r="CJ91" s="639">
        <v>-7.3928749999999946E-2</v>
      </c>
      <c r="CK91" s="639">
        <v>-7.4275833333333277E-2</v>
      </c>
      <c r="CL91" s="639">
        <v>-7.4622916666666608E-2</v>
      </c>
      <c r="CM91" s="639">
        <v>-7.4969999999999995E-2</v>
      </c>
      <c r="CN91" s="639">
        <v>-7.5317083333333326E-2</v>
      </c>
      <c r="CO91" s="639">
        <v>-7.5664166666666657E-2</v>
      </c>
      <c r="CP91" s="639">
        <v>-7.6011249999999989E-2</v>
      </c>
      <c r="CQ91" s="639">
        <v>-7.635833333333332E-2</v>
      </c>
      <c r="CR91" s="639">
        <v>-7.6705416666666637E-2</v>
      </c>
      <c r="CS91" s="639">
        <v>-7.7052499999999968E-2</v>
      </c>
      <c r="CT91" s="639">
        <v>-7.7399583333333299E-2</v>
      </c>
      <c r="CU91" s="639">
        <v>-7.7746666666666631E-2</v>
      </c>
      <c r="CV91" s="639">
        <v>-7.8093749999999962E-2</v>
      </c>
      <c r="CW91" s="639">
        <v>-7.8440833333333293E-2</v>
      </c>
      <c r="CX91" s="639">
        <v>-7.8787916666666624E-2</v>
      </c>
      <c r="CY91" s="639">
        <v>-7.9135000000000011E-2</v>
      </c>
    </row>
    <row r="92" spans="1:103">
      <c r="A92" s="230"/>
      <c r="B92" s="230"/>
      <c r="C92" s="230"/>
      <c r="D92" s="230" t="s">
        <v>871</v>
      </c>
      <c r="E92" s="230"/>
      <c r="F92" s="232"/>
      <c r="G92" s="232" t="s">
        <v>736</v>
      </c>
      <c r="H92" s="232"/>
      <c r="I92" s="232"/>
      <c r="J92" s="232"/>
      <c r="K92" s="232"/>
      <c r="L92" s="230"/>
      <c r="M92" s="230"/>
      <c r="N92" s="230"/>
      <c r="O92" s="230"/>
      <c r="P92" s="230"/>
      <c r="Q92" s="230"/>
      <c r="R92" s="230"/>
      <c r="S92" s="230"/>
      <c r="T92" s="237"/>
      <c r="U92" s="237"/>
      <c r="V92" s="237"/>
      <c r="W92" s="237"/>
      <c r="X92" s="237"/>
      <c r="Y92" s="237"/>
      <c r="Z92" s="237"/>
      <c r="AA92" s="237"/>
      <c r="AB92" s="237"/>
      <c r="AC92" s="237"/>
      <c r="AD92" s="627"/>
      <c r="AE92" s="237"/>
      <c r="AF92" s="594">
        <v>-0.32451257918631049</v>
      </c>
      <c r="AG92" s="594">
        <v>-0.30761865819738404</v>
      </c>
      <c r="AH92" s="594">
        <v>-0.50316231919999999</v>
      </c>
      <c r="AI92" s="594">
        <v>-0.24139800308935361</v>
      </c>
      <c r="AJ92" s="594">
        <v>-0.27920035872093024</v>
      </c>
      <c r="AK92" s="594">
        <v>-0.3170707611502005</v>
      </c>
      <c r="AL92" s="638">
        <v>-0.34180186340096941</v>
      </c>
      <c r="AM92" s="638">
        <v>-0.39595680779373005</v>
      </c>
      <c r="AN92" s="603">
        <v>-0.44572202860713794</v>
      </c>
      <c r="AO92" s="639">
        <v>-2.9051999999999997E-3</v>
      </c>
      <c r="AP92" s="639">
        <v>-3.1266999999999996E-3</v>
      </c>
      <c r="AQ92" s="639">
        <v>-4.2000000000000006E-3</v>
      </c>
      <c r="AR92" s="639">
        <v>-0.26</v>
      </c>
      <c r="AS92" s="639">
        <v>-0.26</v>
      </c>
      <c r="AT92" s="639">
        <v>-0.26</v>
      </c>
      <c r="AU92" s="639">
        <v>-0.26</v>
      </c>
      <c r="AV92" s="639">
        <v>-0.26</v>
      </c>
      <c r="AW92" s="639">
        <v>-0.26</v>
      </c>
      <c r="AX92" s="639">
        <v>-0.26</v>
      </c>
      <c r="AY92" s="639">
        <v>-0.26</v>
      </c>
      <c r="AZ92" s="639">
        <v>-0.26</v>
      </c>
      <c r="BA92" s="639">
        <v>-0.26</v>
      </c>
      <c r="BB92" s="639">
        <v>-0.26</v>
      </c>
      <c r="BC92" s="639">
        <v>-0.26</v>
      </c>
      <c r="BD92" s="639">
        <v>-0.28166666666666662</v>
      </c>
      <c r="BE92" s="639">
        <v>-0.30333333333333334</v>
      </c>
      <c r="BF92" s="639">
        <v>-0.32499999999999996</v>
      </c>
      <c r="BG92" s="639">
        <v>-0.34666666666666657</v>
      </c>
      <c r="BH92" s="639">
        <v>-0.36833333333333329</v>
      </c>
      <c r="BI92" s="639">
        <v>-0.3899999999999999</v>
      </c>
      <c r="BJ92" s="639">
        <v>-0.41166666666666651</v>
      </c>
      <c r="BK92" s="639">
        <v>-0.43333333333333324</v>
      </c>
      <c r="BL92" s="639">
        <v>-0.45499999999999985</v>
      </c>
      <c r="BM92" s="639">
        <v>-0.47666666666666646</v>
      </c>
      <c r="BN92" s="639">
        <v>-0.49833333333333313</v>
      </c>
      <c r="BO92" s="639">
        <v>-0.52</v>
      </c>
      <c r="BP92" s="639">
        <v>-0.52270833333333322</v>
      </c>
      <c r="BQ92" s="639">
        <v>-0.52541666666666664</v>
      </c>
      <c r="BR92" s="639">
        <v>-0.52812499999999984</v>
      </c>
      <c r="BS92" s="639">
        <v>-0.53083333333333316</v>
      </c>
      <c r="BT92" s="639">
        <v>-0.53354166666666658</v>
      </c>
      <c r="BU92" s="639">
        <v>-0.53624999999999978</v>
      </c>
      <c r="BV92" s="639">
        <v>-0.5389583333333331</v>
      </c>
      <c r="BW92" s="639">
        <v>-0.54166666666666641</v>
      </c>
      <c r="BX92" s="639">
        <v>-0.54437499999999972</v>
      </c>
      <c r="BY92" s="639">
        <v>-0.54708333333333292</v>
      </c>
      <c r="BZ92" s="639">
        <v>-0.54979166666666635</v>
      </c>
      <c r="CA92" s="639">
        <v>-0.55249999999999999</v>
      </c>
      <c r="CB92" s="639">
        <v>-0.5552083333333333</v>
      </c>
      <c r="CC92" s="639">
        <v>-0.55791666666666662</v>
      </c>
      <c r="CD92" s="639">
        <v>-0.56062499999999993</v>
      </c>
      <c r="CE92" s="639">
        <v>-0.56333333333333313</v>
      </c>
      <c r="CF92" s="639">
        <v>-0.56604166666666655</v>
      </c>
      <c r="CG92" s="639">
        <v>-0.56874999999999976</v>
      </c>
      <c r="CH92" s="639">
        <v>-0.57145833333333307</v>
      </c>
      <c r="CI92" s="639">
        <v>-0.57416666666666638</v>
      </c>
      <c r="CJ92" s="639">
        <v>-0.57687499999999969</v>
      </c>
      <c r="CK92" s="639">
        <v>-0.5795833333333329</v>
      </c>
      <c r="CL92" s="639">
        <v>-0.58229166666666632</v>
      </c>
      <c r="CM92" s="639">
        <v>-0.58499999999999996</v>
      </c>
      <c r="CN92" s="639">
        <v>-0.58770833333333328</v>
      </c>
      <c r="CO92" s="639">
        <v>-0.59041666666666659</v>
      </c>
      <c r="CP92" s="639">
        <v>-0.5931249999999999</v>
      </c>
      <c r="CQ92" s="639">
        <v>-0.5958333333333331</v>
      </c>
      <c r="CR92" s="639">
        <v>-0.59854166666666653</v>
      </c>
      <c r="CS92" s="639">
        <v>-0.60124999999999984</v>
      </c>
      <c r="CT92" s="639">
        <v>-0.60395833333333304</v>
      </c>
      <c r="CU92" s="639">
        <v>-0.60666666666666647</v>
      </c>
      <c r="CV92" s="639">
        <v>-0.60937499999999967</v>
      </c>
      <c r="CW92" s="639">
        <v>-0.61208333333333298</v>
      </c>
      <c r="CX92" s="639">
        <v>-0.61479166666666629</v>
      </c>
      <c r="CY92" s="639">
        <v>-0.61750000000000005</v>
      </c>
    </row>
    <row r="93" spans="1:103">
      <c r="A93" s="230"/>
      <c r="B93" s="230"/>
      <c r="C93" s="230"/>
      <c r="D93" s="230" t="s">
        <v>107</v>
      </c>
      <c r="E93" s="230"/>
      <c r="F93" s="232"/>
      <c r="G93" s="232" t="s">
        <v>736</v>
      </c>
      <c r="H93" s="232"/>
      <c r="I93" s="232"/>
      <c r="J93" s="232"/>
      <c r="K93" s="232"/>
      <c r="L93" s="230"/>
      <c r="M93" s="230"/>
      <c r="N93" s="230"/>
      <c r="O93" s="230"/>
      <c r="P93" s="230"/>
      <c r="Q93" s="230"/>
      <c r="R93" s="230"/>
      <c r="S93" s="230"/>
      <c r="T93" s="237"/>
      <c r="U93" s="237"/>
      <c r="V93" s="237"/>
      <c r="W93" s="237"/>
      <c r="X93" s="237"/>
      <c r="Y93" s="237"/>
      <c r="Z93" s="237"/>
      <c r="AA93" s="237"/>
      <c r="AB93" s="237"/>
      <c r="AC93" s="237"/>
      <c r="AD93" s="237"/>
      <c r="AE93" s="237"/>
      <c r="AF93" s="603">
        <v>-0.25653819933223576</v>
      </c>
      <c r="AG93" s="603">
        <v>-0.27459867398999999</v>
      </c>
      <c r="AH93" s="603">
        <v>-0.21916696039817371</v>
      </c>
      <c r="AI93" s="603">
        <v>-0.29055636403254786</v>
      </c>
      <c r="AJ93" s="603">
        <v>-0.36171500027999998</v>
      </c>
      <c r="AK93" s="603">
        <v>-0.31561006284788989</v>
      </c>
      <c r="AL93" s="603">
        <v>-0.35455450531146199</v>
      </c>
      <c r="AM93" s="603">
        <v>-0.28257756148916363</v>
      </c>
      <c r="AN93" s="603">
        <v>-0.4507752750759777</v>
      </c>
      <c r="AO93" s="639">
        <v>-813.48800000000006</v>
      </c>
      <c r="AP93" s="639">
        <v>-1565.2884216666669</v>
      </c>
      <c r="AQ93" s="639">
        <v>-1648.0984216666666</v>
      </c>
      <c r="AR93" s="639">
        <v>-0.50446938666666674</v>
      </c>
      <c r="AS93" s="639">
        <v>-0.51854938666666683</v>
      </c>
      <c r="AT93" s="639">
        <v>-0.5326293866666667</v>
      </c>
      <c r="AU93" s="639">
        <v>-0.5467093866666668</v>
      </c>
      <c r="AV93" s="639">
        <v>-0.56078938666666667</v>
      </c>
      <c r="AW93" s="639">
        <v>-0.57486938666666676</v>
      </c>
      <c r="AX93" s="639">
        <v>-0.58894938666666674</v>
      </c>
      <c r="AY93" s="639">
        <v>-0.60302938666666672</v>
      </c>
      <c r="AZ93" s="639">
        <v>-0.61710938666666681</v>
      </c>
      <c r="BA93" s="639">
        <v>-0.6311893866666668</v>
      </c>
      <c r="BB93" s="639">
        <v>-0.64526938666666689</v>
      </c>
      <c r="BC93" s="639">
        <v>-0.65934938666666676</v>
      </c>
      <c r="BD93" s="639">
        <v>-0.67460272000000021</v>
      </c>
      <c r="BE93" s="639">
        <v>-0.6910293866666668</v>
      </c>
      <c r="BF93" s="639">
        <v>-0.70862938666666686</v>
      </c>
      <c r="BG93" s="639">
        <v>-0.72740272000000017</v>
      </c>
      <c r="BH93" s="639">
        <v>-0.74734938666666673</v>
      </c>
      <c r="BI93" s="639">
        <v>-0.76846938666666675</v>
      </c>
      <c r="BJ93" s="639">
        <v>-0.79076272000000014</v>
      </c>
      <c r="BK93" s="639">
        <v>-0.81422938666666689</v>
      </c>
      <c r="BL93" s="639">
        <v>-0.83886938666666688</v>
      </c>
      <c r="BM93" s="639">
        <v>-0.86468272000000024</v>
      </c>
      <c r="BN93" s="639">
        <v>-0.89166938666666695</v>
      </c>
      <c r="BO93" s="639">
        <v>-0.9198293866666668</v>
      </c>
      <c r="BP93" s="639">
        <v>-0.94813605333333351</v>
      </c>
      <c r="BQ93" s="639">
        <v>-0.97658938666666684</v>
      </c>
      <c r="BR93" s="639">
        <v>-1.0051893866666668</v>
      </c>
      <c r="BS93" s="639">
        <v>-1.0339360533333335</v>
      </c>
      <c r="BT93" s="639">
        <v>-1.0628293866666667</v>
      </c>
      <c r="BU93" s="639">
        <v>-1.0918693866666667</v>
      </c>
      <c r="BV93" s="639">
        <v>-1.1210560533333336</v>
      </c>
      <c r="BW93" s="639">
        <v>-1.1503893866666668</v>
      </c>
      <c r="BX93" s="639">
        <v>-1.1798693866666667</v>
      </c>
      <c r="BY93" s="639">
        <v>-1.2094960533333337</v>
      </c>
      <c r="BZ93" s="639">
        <v>-1.2392693866666669</v>
      </c>
      <c r="CA93" s="639">
        <v>-1.269189386666667</v>
      </c>
      <c r="CB93" s="639">
        <v>-1.2992560533333335</v>
      </c>
      <c r="CC93" s="639">
        <v>-1.3294693866666667</v>
      </c>
      <c r="CD93" s="639">
        <v>-1.3598293866666669</v>
      </c>
      <c r="CE93" s="639">
        <v>-1.3903360533333335</v>
      </c>
      <c r="CF93" s="639">
        <v>-1.420989386666667</v>
      </c>
      <c r="CG93" s="639">
        <v>-1.4517893866666669</v>
      </c>
      <c r="CH93" s="639">
        <v>-1.4827360533333336</v>
      </c>
      <c r="CI93" s="639">
        <v>-1.5138293866666668</v>
      </c>
      <c r="CJ93" s="639">
        <v>-1.5450693866666667</v>
      </c>
      <c r="CK93" s="639">
        <v>-1.5764560533333336</v>
      </c>
      <c r="CL93" s="639">
        <v>-1.6079893866666668</v>
      </c>
      <c r="CM93" s="639">
        <v>-1.639669386666667</v>
      </c>
      <c r="CN93" s="639">
        <v>-1.6714960533333336</v>
      </c>
      <c r="CO93" s="639">
        <v>-1.7034693866666668</v>
      </c>
      <c r="CP93" s="639">
        <v>-1.7355893866666665</v>
      </c>
      <c r="CQ93" s="639">
        <v>-1.7678560533333334</v>
      </c>
      <c r="CR93" s="639">
        <v>-1.8002693866666668</v>
      </c>
      <c r="CS93" s="639">
        <v>-1.8328293866666667</v>
      </c>
      <c r="CT93" s="639">
        <v>-1.8655360533333334</v>
      </c>
      <c r="CU93" s="639">
        <v>-1.898389386666667</v>
      </c>
      <c r="CV93" s="639">
        <v>-1.9313893866666669</v>
      </c>
      <c r="CW93" s="639">
        <v>-1.9645360533333334</v>
      </c>
      <c r="CX93" s="639">
        <v>-1.9978293866666668</v>
      </c>
      <c r="CY93" s="639">
        <v>-2.0312693866666667</v>
      </c>
    </row>
    <row r="94" spans="1:103">
      <c r="A94" s="229"/>
      <c r="B94" s="229"/>
      <c r="C94" s="230"/>
      <c r="D94" s="230" t="s">
        <v>594</v>
      </c>
      <c r="E94" s="230"/>
      <c r="F94" s="232"/>
      <c r="G94" s="232" t="s">
        <v>736</v>
      </c>
      <c r="H94" s="203"/>
      <c r="I94" s="203"/>
      <c r="J94" s="203"/>
      <c r="K94" s="203"/>
      <c r="L94" s="229"/>
      <c r="M94" s="229"/>
      <c r="N94" s="229"/>
      <c r="O94" s="229"/>
      <c r="P94" s="229"/>
      <c r="Q94" s="229"/>
      <c r="R94" s="229"/>
      <c r="S94" s="229"/>
      <c r="T94" s="237"/>
      <c r="U94" s="237"/>
      <c r="V94" s="237"/>
      <c r="W94" s="237"/>
      <c r="X94" s="237"/>
      <c r="Y94" s="237"/>
      <c r="Z94" s="237"/>
      <c r="AA94" s="237"/>
      <c r="AB94" s="237"/>
      <c r="AC94" s="237"/>
      <c r="AD94" s="237"/>
      <c r="AE94" s="237"/>
      <c r="AF94" s="603">
        <v>-0.70094354543333337</v>
      </c>
      <c r="AG94" s="603">
        <v>-0.65889104143333344</v>
      </c>
      <c r="AH94" s="603">
        <v>-0.68079279683333338</v>
      </c>
      <c r="AI94" s="603">
        <v>-0.53456623999999997</v>
      </c>
      <c r="AJ94" s="603">
        <v>-0.60893645200000002</v>
      </c>
      <c r="AK94" s="603">
        <v>-0.72667913799999995</v>
      </c>
      <c r="AL94" s="603">
        <v>-1.1981968270000001</v>
      </c>
      <c r="AM94" s="603">
        <v>-0.87129193400000005</v>
      </c>
      <c r="AN94" s="603">
        <v>-0.80487636900000004</v>
      </c>
      <c r="AO94" s="639">
        <v>-3.3893999999999997</v>
      </c>
      <c r="AP94" s="639">
        <v>-3.6478166666666665</v>
      </c>
      <c r="AQ94" s="639">
        <v>-4.9000000000000004</v>
      </c>
      <c r="AR94" s="639">
        <v>-0.6</v>
      </c>
      <c r="AS94" s="639">
        <v>-0.6</v>
      </c>
      <c r="AT94" s="639">
        <v>-0.6</v>
      </c>
      <c r="AU94" s="639">
        <v>-0.6</v>
      </c>
      <c r="AV94" s="639">
        <v>-0.6</v>
      </c>
      <c r="AW94" s="639">
        <v>-0.6</v>
      </c>
      <c r="AX94" s="639">
        <v>-0.6</v>
      </c>
      <c r="AY94" s="639">
        <v>-0.6</v>
      </c>
      <c r="AZ94" s="639">
        <v>-0.6</v>
      </c>
      <c r="BA94" s="639">
        <v>-0.6</v>
      </c>
      <c r="BB94" s="639">
        <v>-0.6</v>
      </c>
      <c r="BC94" s="639">
        <v>-0.6</v>
      </c>
      <c r="BD94" s="639">
        <v>-0.65</v>
      </c>
      <c r="BE94" s="639">
        <v>-0.7</v>
      </c>
      <c r="BF94" s="639">
        <v>-0.74999999999999989</v>
      </c>
      <c r="BG94" s="639">
        <v>-0.79999999999999982</v>
      </c>
      <c r="BH94" s="639">
        <v>-0.84999999999999976</v>
      </c>
      <c r="BI94" s="639">
        <v>-0.8999999999999998</v>
      </c>
      <c r="BJ94" s="639">
        <v>-0.94999999999999973</v>
      </c>
      <c r="BK94" s="639">
        <v>-0.99999999999999967</v>
      </c>
      <c r="BL94" s="639">
        <v>-1.0499999999999996</v>
      </c>
      <c r="BM94" s="639">
        <v>-1.0999999999999996</v>
      </c>
      <c r="BN94" s="639">
        <v>-1.1499999999999995</v>
      </c>
      <c r="BO94" s="639">
        <v>-1.2</v>
      </c>
      <c r="BP94" s="639">
        <v>-1.20625</v>
      </c>
      <c r="BQ94" s="639">
        <v>-1.2124999999999997</v>
      </c>
      <c r="BR94" s="639">
        <v>-1.2187499999999998</v>
      </c>
      <c r="BS94" s="639">
        <v>-1.2249999999999996</v>
      </c>
      <c r="BT94" s="639">
        <v>-1.2312499999999995</v>
      </c>
      <c r="BU94" s="639">
        <v>-1.2374999999999996</v>
      </c>
      <c r="BV94" s="639">
        <v>-1.2437499999999992</v>
      </c>
      <c r="BW94" s="639">
        <v>-1.2499999999999993</v>
      </c>
      <c r="BX94" s="639">
        <v>-1.2562499999999992</v>
      </c>
      <c r="BY94" s="639">
        <v>-1.2624999999999991</v>
      </c>
      <c r="BZ94" s="639">
        <v>-1.2687499999999992</v>
      </c>
      <c r="CA94" s="639">
        <v>-1.2750000000000001</v>
      </c>
      <c r="CB94" s="639">
        <v>-1.28125</v>
      </c>
      <c r="CC94" s="639">
        <v>-1.2874999999999999</v>
      </c>
      <c r="CD94" s="639">
        <v>-1.2937499999999997</v>
      </c>
      <c r="CE94" s="639">
        <v>-1.2999999999999996</v>
      </c>
      <c r="CF94" s="639">
        <v>-1.3062499999999995</v>
      </c>
      <c r="CG94" s="639">
        <v>-1.3124999999999996</v>
      </c>
      <c r="CH94" s="639">
        <v>-1.3187499999999994</v>
      </c>
      <c r="CI94" s="639">
        <v>-1.3249999999999993</v>
      </c>
      <c r="CJ94" s="639">
        <v>-1.3312499999999992</v>
      </c>
      <c r="CK94" s="639">
        <v>-1.337499999999999</v>
      </c>
      <c r="CL94" s="639">
        <v>-1.3437499999999991</v>
      </c>
      <c r="CM94" s="639">
        <v>-1.35</v>
      </c>
      <c r="CN94" s="639">
        <v>-1.35625</v>
      </c>
      <c r="CO94" s="639">
        <v>-1.3624999999999998</v>
      </c>
      <c r="CP94" s="639">
        <v>-1.3687499999999999</v>
      </c>
      <c r="CQ94" s="639">
        <v>-1.3749999999999996</v>
      </c>
      <c r="CR94" s="639">
        <v>-1.3812499999999996</v>
      </c>
      <c r="CS94" s="639">
        <v>-1.3874999999999995</v>
      </c>
      <c r="CT94" s="639">
        <v>-1.3937499999999994</v>
      </c>
      <c r="CU94" s="639">
        <v>-1.3999999999999992</v>
      </c>
      <c r="CV94" s="639">
        <v>-1.4062499999999991</v>
      </c>
      <c r="CW94" s="639">
        <v>-1.4124999999999992</v>
      </c>
      <c r="CX94" s="639">
        <v>-1.4187499999999991</v>
      </c>
      <c r="CY94" s="639">
        <v>-1.425</v>
      </c>
    </row>
    <row r="95" spans="1:103">
      <c r="A95" s="229"/>
      <c r="B95" s="229"/>
      <c r="C95" s="230"/>
      <c r="D95" s="230" t="s">
        <v>872</v>
      </c>
      <c r="E95" s="230"/>
      <c r="F95" s="203"/>
      <c r="G95" s="232" t="s">
        <v>736</v>
      </c>
      <c r="H95" s="203"/>
      <c r="I95" s="203"/>
      <c r="J95" s="203"/>
      <c r="K95" s="203"/>
      <c r="L95" s="229"/>
      <c r="M95" s="229"/>
      <c r="N95" s="229"/>
      <c r="O95" s="229"/>
      <c r="P95" s="229"/>
      <c r="Q95" s="229"/>
      <c r="R95" s="229"/>
      <c r="S95" s="229"/>
      <c r="T95" s="237"/>
      <c r="U95" s="237"/>
      <c r="V95" s="237"/>
      <c r="W95" s="237"/>
      <c r="X95" s="237"/>
      <c r="Y95" s="237"/>
      <c r="Z95" s="237"/>
      <c r="AA95" s="237"/>
      <c r="AB95" s="237"/>
      <c r="AC95" s="237"/>
      <c r="AD95" s="237"/>
      <c r="AE95" s="237"/>
      <c r="AF95" s="603">
        <v>-0.23502038197823455</v>
      </c>
      <c r="AG95" s="603">
        <v>-8.7496975710541533E-2</v>
      </c>
      <c r="AH95" s="603">
        <v>-7.3159959502460362E-2</v>
      </c>
      <c r="AI95" s="603">
        <v>-0.21795962494352189</v>
      </c>
      <c r="AJ95" s="603">
        <v>-0.39088049872421171</v>
      </c>
      <c r="AK95" s="603">
        <v>-0.44187408031703912</v>
      </c>
      <c r="AL95" s="603">
        <v>-8.5971775233843709E-2</v>
      </c>
      <c r="AM95" s="603">
        <v>-0.82016463820683205</v>
      </c>
      <c r="AN95" s="603">
        <v>-0.10173196838965162</v>
      </c>
      <c r="AO95" s="639">
        <v>0</v>
      </c>
      <c r="AP95" s="639">
        <v>0</v>
      </c>
      <c r="AQ95" s="639">
        <v>0</v>
      </c>
      <c r="AR95" s="639">
        <v>-0.32843059027777782</v>
      </c>
      <c r="AS95" s="639">
        <v>-0.33759725694444448</v>
      </c>
      <c r="AT95" s="639">
        <v>-0.34676392361111114</v>
      </c>
      <c r="AU95" s="639">
        <v>-0.35593059027777779</v>
      </c>
      <c r="AV95" s="639">
        <v>-0.3650972569444445</v>
      </c>
      <c r="AW95" s="639">
        <v>-0.37426392361111116</v>
      </c>
      <c r="AX95" s="639">
        <v>-0.38343059027777782</v>
      </c>
      <c r="AY95" s="639">
        <v>-0.39259725694444453</v>
      </c>
      <c r="AZ95" s="639">
        <v>-0.40176392361111113</v>
      </c>
      <c r="BA95" s="639">
        <v>-0.41093059027777784</v>
      </c>
      <c r="BB95" s="639">
        <v>-0.4200972569444445</v>
      </c>
      <c r="BC95" s="639">
        <v>-0.42926392361111115</v>
      </c>
      <c r="BD95" s="639">
        <v>-0.43919447916666671</v>
      </c>
      <c r="BE95" s="639">
        <v>-0.44988892361111127</v>
      </c>
      <c r="BF95" s="639">
        <v>-0.46134725694444456</v>
      </c>
      <c r="BG95" s="639">
        <v>-0.47356947916666675</v>
      </c>
      <c r="BH95" s="639">
        <v>-0.48655559027777784</v>
      </c>
      <c r="BI95" s="639">
        <v>-0.50030559027777777</v>
      </c>
      <c r="BJ95" s="639">
        <v>-0.5148194791666667</v>
      </c>
      <c r="BK95" s="639">
        <v>-0.53009725694444454</v>
      </c>
      <c r="BL95" s="639">
        <v>-0.54613892361111116</v>
      </c>
      <c r="BM95" s="639">
        <v>-0.5629444791666669</v>
      </c>
      <c r="BN95" s="639">
        <v>-0.5805139236111112</v>
      </c>
      <c r="BO95" s="639">
        <v>-0.59884725694444441</v>
      </c>
      <c r="BP95" s="639">
        <v>-0.61727607638888904</v>
      </c>
      <c r="BQ95" s="639">
        <v>-0.63580038194444444</v>
      </c>
      <c r="BR95" s="639">
        <v>-0.65442017361111116</v>
      </c>
      <c r="BS95" s="639">
        <v>-0.67313545138888897</v>
      </c>
      <c r="BT95" s="639">
        <v>-0.69194621527777778</v>
      </c>
      <c r="BU95" s="639">
        <v>-0.71085246527777779</v>
      </c>
      <c r="BV95" s="639">
        <v>-0.72985420138888879</v>
      </c>
      <c r="BW95" s="639">
        <v>-0.74895142361111122</v>
      </c>
      <c r="BX95" s="639">
        <v>-0.76814413194444442</v>
      </c>
      <c r="BY95" s="639">
        <v>-0.78743232638888905</v>
      </c>
      <c r="BZ95" s="639">
        <v>-0.80681600694444444</v>
      </c>
      <c r="CA95" s="639">
        <v>-0.82629517361111116</v>
      </c>
      <c r="CB95" s="639">
        <v>-0.84586982638888875</v>
      </c>
      <c r="CC95" s="639">
        <v>-0.86553996527777788</v>
      </c>
      <c r="CD95" s="639">
        <v>-0.88530559027777778</v>
      </c>
      <c r="CE95" s="639">
        <v>-0.90516670138888899</v>
      </c>
      <c r="CF95" s="639">
        <v>-0.9251232986111112</v>
      </c>
      <c r="CG95" s="639">
        <v>-0.9451753819444445</v>
      </c>
      <c r="CH95" s="639">
        <v>-0.96532295138888902</v>
      </c>
      <c r="CI95" s="639">
        <v>-0.98556600694444441</v>
      </c>
      <c r="CJ95" s="639">
        <v>-1.0059045486111111</v>
      </c>
      <c r="CK95" s="639">
        <v>-1.0263385763888888</v>
      </c>
      <c r="CL95" s="639">
        <v>-1.0468680902777778</v>
      </c>
      <c r="CM95" s="639">
        <v>-1.0674930902777777</v>
      </c>
      <c r="CN95" s="639">
        <v>-1.0882135763888889</v>
      </c>
      <c r="CO95" s="639">
        <v>-1.109029548611111</v>
      </c>
      <c r="CP95" s="639">
        <v>-1.1299410069444444</v>
      </c>
      <c r="CQ95" s="639">
        <v>-1.1509479513888889</v>
      </c>
      <c r="CR95" s="639">
        <v>-1.1720503819444446</v>
      </c>
      <c r="CS95" s="639">
        <v>-1.193248298611111</v>
      </c>
      <c r="CT95" s="639">
        <v>-1.2145417013888888</v>
      </c>
      <c r="CU95" s="639">
        <v>-1.235930590277778</v>
      </c>
      <c r="CV95" s="639">
        <v>-1.257414965277778</v>
      </c>
      <c r="CW95" s="639">
        <v>-1.2789948263888888</v>
      </c>
      <c r="CX95" s="639">
        <v>-1.300670173611111</v>
      </c>
      <c r="CY95" s="639">
        <v>-1.3224410069444446</v>
      </c>
    </row>
    <row r="96" spans="1:103">
      <c r="A96" s="229"/>
      <c r="B96" s="229"/>
      <c r="C96" s="230"/>
      <c r="D96" s="230" t="s">
        <v>703</v>
      </c>
      <c r="E96" s="230"/>
      <c r="F96" s="203"/>
      <c r="G96" s="232" t="s">
        <v>736</v>
      </c>
      <c r="H96" s="203"/>
      <c r="I96" s="203"/>
      <c r="J96" s="203"/>
      <c r="K96" s="203"/>
      <c r="L96" s="229"/>
      <c r="M96" s="229"/>
      <c r="N96" s="229"/>
      <c r="O96" s="229"/>
      <c r="P96" s="229"/>
      <c r="Q96" s="229"/>
      <c r="R96" s="229"/>
      <c r="S96" s="229"/>
      <c r="T96" s="237"/>
      <c r="U96" s="237"/>
      <c r="V96" s="237"/>
      <c r="W96" s="237"/>
      <c r="X96" s="237"/>
      <c r="Y96" s="237"/>
      <c r="Z96" s="237"/>
      <c r="AA96" s="237"/>
      <c r="AB96" s="237"/>
      <c r="AC96" s="237"/>
      <c r="AD96" s="237"/>
      <c r="AE96" s="237"/>
      <c r="AF96" s="594">
        <v>-3.988250266616087E-2</v>
      </c>
      <c r="AG96" s="594">
        <v>-2.2580201180161859E-2</v>
      </c>
      <c r="AH96" s="594">
        <v>-2.8636223003087689E-2</v>
      </c>
      <c r="AI96" s="594">
        <v>-2.1650871083108814E-2</v>
      </c>
      <c r="AJ96" s="594">
        <v>-2.273068366210787E-2</v>
      </c>
      <c r="AK96" s="594">
        <v>-2.5743144416521591E-2</v>
      </c>
      <c r="AL96" s="603"/>
      <c r="AM96" s="638"/>
      <c r="AN96" s="639"/>
      <c r="AO96" s="639"/>
      <c r="AP96" s="639"/>
      <c r="AQ96" s="639"/>
      <c r="AR96" s="639"/>
      <c r="AS96" s="639"/>
      <c r="AT96" s="639"/>
      <c r="AU96" s="639"/>
      <c r="AV96" s="639"/>
      <c r="AW96" s="639"/>
      <c r="AX96" s="639"/>
      <c r="AY96" s="639"/>
      <c r="AZ96" s="639"/>
      <c r="BA96" s="639"/>
      <c r="BB96" s="639"/>
      <c r="BC96" s="639"/>
      <c r="BD96" s="639"/>
      <c r="BE96" s="639"/>
      <c r="BF96" s="639"/>
      <c r="BG96" s="639"/>
      <c r="BH96" s="639"/>
      <c r="BI96" s="639"/>
      <c r="BJ96" s="639"/>
      <c r="BK96" s="639"/>
      <c r="BL96" s="639"/>
      <c r="BM96" s="639"/>
      <c r="BN96" s="639"/>
      <c r="BO96" s="639"/>
      <c r="BP96" s="639"/>
      <c r="BQ96" s="639"/>
      <c r="BR96" s="639"/>
      <c r="BS96" s="639"/>
      <c r="BT96" s="639"/>
      <c r="BU96" s="639"/>
      <c r="BV96" s="639"/>
      <c r="BW96" s="639"/>
      <c r="BX96" s="639"/>
      <c r="BY96" s="639"/>
      <c r="BZ96" s="639"/>
      <c r="CA96" s="639"/>
      <c r="CB96" s="639"/>
      <c r="CC96" s="639"/>
      <c r="CD96" s="639"/>
      <c r="CE96" s="639"/>
      <c r="CF96" s="639"/>
      <c r="CG96" s="639"/>
      <c r="CH96" s="639"/>
      <c r="CI96" s="639"/>
      <c r="CJ96" s="639"/>
      <c r="CK96" s="639"/>
      <c r="CL96" s="639"/>
      <c r="CM96" s="639"/>
      <c r="CN96" s="639"/>
      <c r="CO96" s="639"/>
      <c r="CP96" s="639"/>
      <c r="CQ96" s="639"/>
      <c r="CR96" s="639"/>
      <c r="CS96" s="639"/>
      <c r="CT96" s="639"/>
      <c r="CU96" s="639"/>
      <c r="CV96" s="639"/>
      <c r="CW96" s="639"/>
      <c r="CX96" s="639"/>
      <c r="CY96" s="639"/>
    </row>
    <row r="97" spans="1:103">
      <c r="A97" s="229"/>
      <c r="B97" s="229"/>
      <c r="C97" s="230"/>
      <c r="D97" s="230" t="s">
        <v>163</v>
      </c>
      <c r="E97" s="230"/>
      <c r="F97" s="232"/>
      <c r="G97" s="232" t="s">
        <v>736</v>
      </c>
      <c r="H97" s="203"/>
      <c r="I97" s="203"/>
      <c r="J97" s="203"/>
      <c r="K97" s="203"/>
      <c r="L97" s="229"/>
      <c r="M97" s="229"/>
      <c r="N97" s="229"/>
      <c r="O97" s="229"/>
      <c r="P97" s="229"/>
      <c r="Q97" s="229"/>
      <c r="R97" s="229"/>
      <c r="S97" s="229"/>
      <c r="T97" s="237"/>
      <c r="U97" s="237"/>
      <c r="V97" s="237"/>
      <c r="W97" s="237"/>
      <c r="X97" s="237"/>
      <c r="Y97" s="237"/>
      <c r="Z97" s="237"/>
      <c r="AA97" s="237"/>
      <c r="AB97" s="237"/>
      <c r="AC97" s="237"/>
      <c r="AD97" s="237"/>
      <c r="AE97" s="237"/>
      <c r="AF97" s="603">
        <v>-0.14998921736395704</v>
      </c>
      <c r="AG97" s="603">
        <v>-0.12170611493971167</v>
      </c>
      <c r="AH97" s="603">
        <v>-6.5582847326814631E-2</v>
      </c>
      <c r="AI97" s="603">
        <v>-5.1719053024688863E-2</v>
      </c>
      <c r="AJ97" s="603">
        <v>-0.15536978998728493</v>
      </c>
      <c r="AK97" s="603">
        <v>-0.20816546789230178</v>
      </c>
      <c r="AL97" s="603">
        <v>-0.19075373534752146</v>
      </c>
      <c r="AM97" s="603">
        <v>-0.17409380132047042</v>
      </c>
      <c r="AN97" s="603">
        <v>-0.25068469362305634</v>
      </c>
      <c r="AO97" s="639">
        <v>0</v>
      </c>
      <c r="AP97" s="639">
        <v>0</v>
      </c>
      <c r="AQ97" s="639">
        <v>0</v>
      </c>
      <c r="AR97" s="639">
        <v>-0.22070535666666669</v>
      </c>
      <c r="AS97" s="639">
        <v>-0.22686535666666671</v>
      </c>
      <c r="AT97" s="639">
        <v>-0.23302535666666668</v>
      </c>
      <c r="AU97" s="639">
        <v>-0.23918535666666668</v>
      </c>
      <c r="AV97" s="639">
        <v>-0.24534535666666668</v>
      </c>
      <c r="AW97" s="639">
        <v>-0.25150535666666668</v>
      </c>
      <c r="AX97" s="639">
        <v>-0.25766535666666668</v>
      </c>
      <c r="AY97" s="639">
        <v>-0.26382535666666668</v>
      </c>
      <c r="AZ97" s="639">
        <v>-0.26998535666666668</v>
      </c>
      <c r="BA97" s="639">
        <v>-0.27614535666666667</v>
      </c>
      <c r="BB97" s="639">
        <v>-0.28230535666666667</v>
      </c>
      <c r="BC97" s="639">
        <v>-0.28846535666666667</v>
      </c>
      <c r="BD97" s="639">
        <v>-0.29513869000000004</v>
      </c>
      <c r="BE97" s="639">
        <v>-0.30232535666666666</v>
      </c>
      <c r="BF97" s="639">
        <v>-0.3100253566666667</v>
      </c>
      <c r="BG97" s="639">
        <v>-0.31823869000000005</v>
      </c>
      <c r="BH97" s="639">
        <v>-0.32696535666666665</v>
      </c>
      <c r="BI97" s="639">
        <v>-0.33620535666666668</v>
      </c>
      <c r="BJ97" s="639">
        <v>-0.34595869000000007</v>
      </c>
      <c r="BK97" s="639">
        <v>-0.35622535666666666</v>
      </c>
      <c r="BL97" s="639">
        <v>-0.36700535666666673</v>
      </c>
      <c r="BM97" s="639">
        <v>-0.37829869000000005</v>
      </c>
      <c r="BN97" s="639">
        <v>-0.39010535666666674</v>
      </c>
      <c r="BO97" s="639">
        <v>-0.40242535666666668</v>
      </c>
      <c r="BP97" s="639">
        <v>-0.41480952333333337</v>
      </c>
      <c r="BQ97" s="639">
        <v>-0.42725785666666666</v>
      </c>
      <c r="BR97" s="639">
        <v>-0.4397703566666667</v>
      </c>
      <c r="BS97" s="639">
        <v>-0.45234702333333338</v>
      </c>
      <c r="BT97" s="639">
        <v>-0.46498785666666664</v>
      </c>
      <c r="BU97" s="639">
        <v>-0.47769285666666667</v>
      </c>
      <c r="BV97" s="639">
        <v>-0.49046202333333327</v>
      </c>
      <c r="BW97" s="639">
        <v>-0.50329535666666669</v>
      </c>
      <c r="BX97" s="639">
        <v>-0.5161928566666667</v>
      </c>
      <c r="BY97" s="639">
        <v>-0.52915452333333346</v>
      </c>
      <c r="BZ97" s="639">
        <v>-0.54218035666666664</v>
      </c>
      <c r="CA97" s="639">
        <v>-0.55527035666666669</v>
      </c>
      <c r="CB97" s="639">
        <v>-0.56842452333333326</v>
      </c>
      <c r="CC97" s="639">
        <v>-0.58164285666666671</v>
      </c>
      <c r="CD97" s="639">
        <v>-0.59492535666666668</v>
      </c>
      <c r="CE97" s="639">
        <v>-0.60827202333333341</v>
      </c>
      <c r="CF97" s="639">
        <v>-0.62168285666666667</v>
      </c>
      <c r="CG97" s="639">
        <v>-0.63515785666666669</v>
      </c>
      <c r="CH97" s="639">
        <v>-0.64869702333333346</v>
      </c>
      <c r="CI97" s="639">
        <v>-0.66230035666666665</v>
      </c>
      <c r="CJ97" s="639">
        <v>-0.6759678566666667</v>
      </c>
      <c r="CK97" s="639">
        <v>-0.6896995233333334</v>
      </c>
      <c r="CL97" s="639">
        <v>-0.70349535666666663</v>
      </c>
      <c r="CM97" s="639">
        <v>-0.71735535666666661</v>
      </c>
      <c r="CN97" s="639">
        <v>-0.73127952333333335</v>
      </c>
      <c r="CO97" s="639">
        <v>-0.74526785666666662</v>
      </c>
      <c r="CP97" s="639">
        <v>-0.75932035666666653</v>
      </c>
      <c r="CQ97" s="639">
        <v>-0.77343702333333331</v>
      </c>
      <c r="CR97" s="639">
        <v>-0.78761785666666662</v>
      </c>
      <c r="CS97" s="639">
        <v>-0.80186285666666668</v>
      </c>
      <c r="CT97" s="639">
        <v>-0.81617202333333327</v>
      </c>
      <c r="CU97" s="639">
        <v>-0.83054535666666673</v>
      </c>
      <c r="CV97" s="639">
        <v>-0.84498285666666673</v>
      </c>
      <c r="CW97" s="639">
        <v>-0.85948452333333325</v>
      </c>
      <c r="CX97" s="639">
        <v>-0.87405035666666664</v>
      </c>
      <c r="CY97" s="639">
        <v>-0.88868035666666667</v>
      </c>
    </row>
    <row r="98" spans="1:103">
      <c r="A98" s="229"/>
      <c r="B98" s="229"/>
      <c r="C98" s="230"/>
      <c r="D98" s="230" t="s">
        <v>152</v>
      </c>
      <c r="E98" s="230"/>
      <c r="F98" s="232"/>
      <c r="G98" s="232" t="s">
        <v>736</v>
      </c>
      <c r="H98" s="203"/>
      <c r="I98" s="203"/>
      <c r="J98" s="203"/>
      <c r="K98" s="203"/>
      <c r="L98" s="229"/>
      <c r="M98" s="229"/>
      <c r="N98" s="229"/>
      <c r="O98" s="229"/>
      <c r="P98" s="229"/>
      <c r="Q98" s="229"/>
      <c r="R98" s="229"/>
      <c r="S98" s="229"/>
      <c r="T98" s="237"/>
      <c r="U98" s="237"/>
      <c r="V98" s="237"/>
      <c r="W98" s="237"/>
      <c r="X98" s="237"/>
      <c r="Y98" s="237"/>
      <c r="Z98" s="237"/>
      <c r="AA98" s="237"/>
      <c r="AB98" s="237"/>
      <c r="AC98" s="237"/>
      <c r="AD98" s="237"/>
      <c r="AE98" s="237"/>
      <c r="AF98" s="603"/>
      <c r="AG98" s="603"/>
      <c r="AH98" s="603"/>
      <c r="AI98" s="603"/>
      <c r="AJ98" s="603"/>
      <c r="AK98" s="603"/>
      <c r="AL98" s="603"/>
      <c r="AM98" s="603"/>
      <c r="AN98" s="603"/>
      <c r="AO98" s="639"/>
      <c r="AP98" s="639"/>
      <c r="AQ98" s="639"/>
      <c r="AR98" s="602">
        <v>-0.10340787401574805</v>
      </c>
      <c r="AS98" s="602">
        <v>-0.10164705882352942</v>
      </c>
      <c r="AT98" s="602">
        <v>-9.9945205479452071E-2</v>
      </c>
      <c r="AU98" s="602">
        <v>-9.8299401197604802E-2</v>
      </c>
      <c r="AV98" s="602">
        <v>-9.6706921944035351E-2</v>
      </c>
      <c r="AW98" s="602">
        <v>-9.5165217391304346E-2</v>
      </c>
      <c r="AX98" s="602">
        <v>-2.7937232524964339E-2</v>
      </c>
      <c r="AY98" s="602">
        <v>-2.7505617977528089E-2</v>
      </c>
      <c r="AZ98" s="602">
        <v>-2.7087136929460583E-2</v>
      </c>
      <c r="BA98" s="602">
        <v>-2.6681198910081742E-2</v>
      </c>
      <c r="BB98" s="602">
        <v>-2.6287248322147651E-2</v>
      </c>
      <c r="BC98" s="602">
        <v>-2.5904761904761906E-2</v>
      </c>
      <c r="BD98" s="602">
        <v>-2.6289962825278814E-2</v>
      </c>
      <c r="BE98" s="602">
        <v>-2.6629370629370628E-2</v>
      </c>
      <c r="BF98" s="602">
        <v>-2.693069306930693E-2</v>
      </c>
      <c r="BG98" s="602">
        <v>-2.7199999999999998E-2</v>
      </c>
      <c r="BH98" s="602">
        <v>-2.7442136498516321E-2</v>
      </c>
      <c r="BI98" s="602">
        <v>-2.7661016949152541E-2</v>
      </c>
      <c r="BJ98" s="602">
        <v>-2.7859838274932609E-2</v>
      </c>
      <c r="BK98" s="602">
        <v>-2.8041237113402055E-2</v>
      </c>
      <c r="BL98" s="602">
        <v>-2.8207407407407403E-2</v>
      </c>
      <c r="BM98" s="602">
        <v>-2.8360189573459715E-2</v>
      </c>
      <c r="BN98" s="602">
        <v>-2.8501138952164006E-2</v>
      </c>
      <c r="BO98" s="602">
        <v>-2.8631578947368421E-2</v>
      </c>
      <c r="BP98" s="602">
        <v>-2.8447976878612717E-2</v>
      </c>
      <c r="BQ98" s="602">
        <v>-2.8268571428571428E-2</v>
      </c>
      <c r="BR98" s="602">
        <v>-2.8093220338983056E-2</v>
      </c>
      <c r="BS98" s="602">
        <v>-2.7921787709497211E-2</v>
      </c>
      <c r="BT98" s="602">
        <v>-2.7754143646408842E-2</v>
      </c>
      <c r="BU98" s="602">
        <v>-2.7590163934426232E-2</v>
      </c>
      <c r="BV98" s="602">
        <v>-2.7429729729729731E-2</v>
      </c>
      <c r="BW98" s="602">
        <v>-2.7272727272727271E-2</v>
      </c>
      <c r="BX98" s="602">
        <v>-2.7119047619047616E-2</v>
      </c>
      <c r="BY98" s="602">
        <v>-2.6968586387434549E-2</v>
      </c>
      <c r="BZ98" s="602">
        <v>-2.6821243523316055E-2</v>
      </c>
      <c r="CA98" s="602">
        <v>-2.6676923076923077E-2</v>
      </c>
      <c r="CB98" s="602">
        <v>-2.6535532994923856E-2</v>
      </c>
      <c r="CC98" s="602">
        <v>-2.6396984924623113E-2</v>
      </c>
      <c r="CD98" s="602">
        <v>-2.6261194029850748E-2</v>
      </c>
      <c r="CE98" s="602">
        <v>-2.6128078817733991E-2</v>
      </c>
      <c r="CF98" s="602">
        <v>-2.5997560975609756E-2</v>
      </c>
      <c r="CG98" s="602">
        <v>-2.5869565217391307E-2</v>
      </c>
      <c r="CH98" s="602">
        <v>-2.5744019138755982E-2</v>
      </c>
      <c r="CI98" s="602">
        <v>-2.5620853080568721E-2</v>
      </c>
      <c r="CJ98" s="602">
        <v>-2.5500000000000002E-2</v>
      </c>
      <c r="CK98" s="602">
        <v>-2.538139534883721E-2</v>
      </c>
      <c r="CL98" s="602">
        <v>-2.5264976958525347E-2</v>
      </c>
      <c r="CM98" s="602">
        <v>-2.515068493150685E-2</v>
      </c>
      <c r="CN98" s="602">
        <v>-2.5066817667044172E-2</v>
      </c>
      <c r="CO98" s="602">
        <v>-2.498426966292135E-2</v>
      </c>
      <c r="CP98" s="602">
        <v>-2.4903010033444816E-2</v>
      </c>
      <c r="CQ98" s="602">
        <v>-2.4823008849557526E-2</v>
      </c>
      <c r="CR98" s="602">
        <v>-2.474423710208562E-2</v>
      </c>
      <c r="CS98" s="602">
        <v>-2.4666666666666667E-2</v>
      </c>
      <c r="CT98" s="602">
        <v>-2.4590270270270272E-2</v>
      </c>
      <c r="CU98" s="602">
        <v>-2.451502145922747E-2</v>
      </c>
      <c r="CV98" s="602">
        <v>-2.4440894568690096E-2</v>
      </c>
      <c r="CW98" s="602">
        <v>-2.4367864693446085E-2</v>
      </c>
      <c r="CX98" s="602">
        <v>-2.4295907660020984E-2</v>
      </c>
      <c r="CY98" s="602">
        <v>-2.4225000000000003E-2</v>
      </c>
    </row>
    <row r="99" spans="1:103">
      <c r="A99" s="229"/>
      <c r="B99" s="229"/>
      <c r="C99" s="229" t="s">
        <v>670</v>
      </c>
      <c r="D99" s="230"/>
      <c r="E99" s="230"/>
      <c r="F99" s="203"/>
      <c r="G99" s="232" t="s">
        <v>736</v>
      </c>
      <c r="H99" s="203"/>
      <c r="I99" s="203"/>
      <c r="J99" s="203"/>
      <c r="K99" s="203"/>
      <c r="L99" s="229"/>
      <c r="M99" s="229"/>
      <c r="N99" s="229"/>
      <c r="O99" s="229"/>
      <c r="P99" s="229"/>
      <c r="Q99" s="229"/>
      <c r="R99" s="229"/>
      <c r="S99" s="229"/>
      <c r="T99" s="237"/>
      <c r="U99" s="237"/>
      <c r="V99" s="237"/>
      <c r="W99" s="237"/>
      <c r="X99" s="237"/>
      <c r="Y99" s="237"/>
      <c r="Z99" s="237"/>
      <c r="AA99" s="237"/>
      <c r="AB99" s="237"/>
      <c r="AC99" s="237"/>
      <c r="AD99" s="237"/>
      <c r="AE99" s="237"/>
      <c r="AF99" s="237"/>
      <c r="AG99" s="237"/>
      <c r="AH99" s="237"/>
      <c r="AI99" s="237"/>
      <c r="AJ99" s="237"/>
      <c r="AK99" s="237">
        <v>-0.57715830507701538</v>
      </c>
      <c r="AL99" s="237">
        <v>-1.1164552321917014</v>
      </c>
      <c r="AM99" s="627">
        <v>-1.5909695754638129</v>
      </c>
      <c r="AN99" s="237">
        <v>-0.16187258961038292</v>
      </c>
      <c r="AO99" s="237">
        <v>-3.6843105448087473E-3</v>
      </c>
      <c r="AP99" s="237">
        <v>0.81004412885243038</v>
      </c>
      <c r="AQ99" s="237">
        <v>0.50678911927973902</v>
      </c>
      <c r="AR99" s="237">
        <v>0</v>
      </c>
      <c r="AS99" s="237">
        <v>0</v>
      </c>
      <c r="AT99" s="237">
        <v>0</v>
      </c>
      <c r="AU99" s="237">
        <v>0</v>
      </c>
      <c r="AV99" s="237">
        <v>0</v>
      </c>
      <c r="AW99" s="237">
        <v>0</v>
      </c>
      <c r="AX99" s="237">
        <v>0</v>
      </c>
      <c r="AY99" s="237">
        <v>0</v>
      </c>
      <c r="AZ99" s="237">
        <v>0</v>
      </c>
      <c r="BA99" s="237">
        <v>0</v>
      </c>
      <c r="BB99" s="237">
        <v>0</v>
      </c>
      <c r="BC99" s="237">
        <v>0</v>
      </c>
      <c r="BD99" s="237">
        <v>0</v>
      </c>
      <c r="BE99" s="237">
        <v>0</v>
      </c>
      <c r="BF99" s="237">
        <v>0</v>
      </c>
      <c r="BG99" s="237">
        <v>0</v>
      </c>
      <c r="BH99" s="237">
        <v>0</v>
      </c>
      <c r="BI99" s="237">
        <v>0</v>
      </c>
      <c r="BJ99" s="237">
        <v>0</v>
      </c>
      <c r="BK99" s="237">
        <v>0</v>
      </c>
      <c r="BL99" s="237">
        <v>0</v>
      </c>
      <c r="BM99" s="237">
        <v>0</v>
      </c>
      <c r="BN99" s="237">
        <v>0</v>
      </c>
      <c r="BO99" s="237">
        <v>0</v>
      </c>
      <c r="BP99" s="237">
        <v>0</v>
      </c>
      <c r="BQ99" s="237">
        <v>0</v>
      </c>
      <c r="BR99" s="237">
        <v>0</v>
      </c>
      <c r="BS99" s="237">
        <v>0</v>
      </c>
      <c r="BT99" s="237">
        <v>0</v>
      </c>
      <c r="BU99" s="237">
        <v>0</v>
      </c>
      <c r="BV99" s="237">
        <v>0</v>
      </c>
      <c r="BW99" s="237">
        <v>0</v>
      </c>
      <c r="BX99" s="237">
        <v>0</v>
      </c>
      <c r="BY99" s="237">
        <v>0</v>
      </c>
      <c r="BZ99" s="237">
        <v>0</v>
      </c>
      <c r="CA99" s="237">
        <v>0</v>
      </c>
      <c r="CB99" s="237">
        <v>0</v>
      </c>
      <c r="CC99" s="237">
        <v>0</v>
      </c>
      <c r="CD99" s="237">
        <v>0</v>
      </c>
      <c r="CE99" s="237">
        <v>0</v>
      </c>
      <c r="CF99" s="237">
        <v>0</v>
      </c>
      <c r="CG99" s="237">
        <v>0</v>
      </c>
      <c r="CH99" s="237">
        <v>0</v>
      </c>
      <c r="CI99" s="237">
        <v>0</v>
      </c>
      <c r="CJ99" s="237">
        <v>0</v>
      </c>
      <c r="CK99" s="237">
        <v>0</v>
      </c>
      <c r="CL99" s="237">
        <v>0</v>
      </c>
      <c r="CM99" s="237">
        <v>0</v>
      </c>
      <c r="CN99" s="237">
        <v>0</v>
      </c>
      <c r="CO99" s="237">
        <v>0</v>
      </c>
      <c r="CP99" s="237">
        <v>0</v>
      </c>
      <c r="CQ99" s="237">
        <v>0</v>
      </c>
      <c r="CR99" s="237">
        <v>0</v>
      </c>
      <c r="CS99" s="237">
        <v>0</v>
      </c>
      <c r="CT99" s="237">
        <v>0</v>
      </c>
      <c r="CU99" s="237">
        <v>0</v>
      </c>
      <c r="CV99" s="237">
        <v>0</v>
      </c>
      <c r="CW99" s="237">
        <v>0</v>
      </c>
      <c r="CX99" s="237">
        <v>0</v>
      </c>
      <c r="CY99" s="237">
        <v>0</v>
      </c>
    </row>
    <row r="100" spans="1:103">
      <c r="A100" s="229"/>
      <c r="B100" s="229"/>
      <c r="C100" s="230"/>
      <c r="D100" s="230" t="s">
        <v>876</v>
      </c>
      <c r="E100" s="230"/>
      <c r="F100" s="232"/>
      <c r="G100" s="232" t="s">
        <v>736</v>
      </c>
      <c r="H100" s="203"/>
      <c r="I100" s="203"/>
      <c r="J100" s="203"/>
      <c r="K100" s="203"/>
      <c r="L100" s="229"/>
      <c r="M100" s="229"/>
      <c r="N100" s="229"/>
      <c r="O100" s="229"/>
      <c r="P100" s="229"/>
      <c r="Q100" s="229"/>
      <c r="R100" s="229"/>
      <c r="S100" s="229"/>
      <c r="T100" s="237"/>
      <c r="U100" s="237"/>
      <c r="V100" s="237"/>
      <c r="W100" s="237"/>
      <c r="X100" s="237"/>
      <c r="Y100" s="237"/>
      <c r="Z100" s="237"/>
      <c r="AA100" s="237"/>
      <c r="AB100" s="237"/>
      <c r="AC100" s="237"/>
      <c r="AD100" s="237"/>
      <c r="AE100" s="237"/>
      <c r="AF100" s="237"/>
      <c r="AG100" s="237"/>
      <c r="AH100" s="237"/>
      <c r="AI100" s="237"/>
      <c r="AJ100" s="237"/>
      <c r="AK100" s="237"/>
      <c r="AL100" s="237"/>
      <c r="AM100" s="237"/>
      <c r="AN100" s="237"/>
      <c r="AO100" s="237"/>
      <c r="AP100" s="237"/>
      <c r="AQ100" s="237"/>
      <c r="AR100" s="237"/>
      <c r="AS100" s="237"/>
      <c r="AT100" s="237"/>
      <c r="AU100" s="237"/>
      <c r="AV100" s="237"/>
      <c r="AW100" s="237"/>
      <c r="AX100" s="237"/>
      <c r="AY100" s="237"/>
      <c r="AZ100" s="237"/>
      <c r="BA100" s="237"/>
      <c r="BB100" s="237"/>
      <c r="BC100" s="237"/>
      <c r="BD100" s="237"/>
      <c r="BE100" s="237"/>
      <c r="BF100" s="237"/>
      <c r="BG100" s="237"/>
      <c r="BH100" s="237"/>
      <c r="BI100" s="237"/>
      <c r="BJ100" s="237"/>
      <c r="BK100" s="237"/>
      <c r="BL100" s="237"/>
      <c r="BM100" s="237"/>
      <c r="BN100" s="237"/>
      <c r="BO100" s="237"/>
      <c r="BP100" s="237"/>
      <c r="BQ100" s="237"/>
      <c r="BR100" s="237"/>
      <c r="BS100" s="237"/>
      <c r="BT100" s="237"/>
      <c r="BU100" s="237"/>
      <c r="BV100" s="237"/>
      <c r="BW100" s="237"/>
      <c r="BX100" s="237"/>
      <c r="BY100" s="237"/>
      <c r="BZ100" s="237"/>
      <c r="CA100" s="237"/>
      <c r="CB100" s="237"/>
      <c r="CC100" s="237"/>
      <c r="CD100" s="237"/>
      <c r="CE100" s="237"/>
      <c r="CF100" s="237"/>
      <c r="CG100" s="237"/>
      <c r="CH100" s="237"/>
      <c r="CI100" s="237"/>
      <c r="CJ100" s="237"/>
      <c r="CK100" s="237"/>
      <c r="CL100" s="237"/>
      <c r="CM100" s="237"/>
      <c r="CN100" s="237"/>
      <c r="CO100" s="237"/>
      <c r="CP100" s="237"/>
      <c r="CQ100" s="237"/>
      <c r="CR100" s="237"/>
      <c r="CS100" s="237"/>
      <c r="CT100" s="237"/>
      <c r="CU100" s="237"/>
      <c r="CV100" s="237"/>
      <c r="CW100" s="237"/>
      <c r="CX100" s="237"/>
      <c r="CY100" s="237"/>
    </row>
    <row r="101" spans="1:103">
      <c r="A101" s="229"/>
      <c r="B101" s="229"/>
      <c r="C101" s="230"/>
      <c r="D101" s="230" t="s">
        <v>877</v>
      </c>
      <c r="E101" s="230"/>
      <c r="F101" s="232"/>
      <c r="G101" s="232" t="s">
        <v>736</v>
      </c>
      <c r="H101" s="203"/>
      <c r="I101" s="203"/>
      <c r="J101" s="203"/>
      <c r="K101" s="203"/>
      <c r="L101" s="229"/>
      <c r="M101" s="229"/>
      <c r="N101" s="229"/>
      <c r="O101" s="229"/>
      <c r="P101" s="229"/>
      <c r="Q101" s="229"/>
      <c r="R101" s="229"/>
      <c r="S101" s="229"/>
      <c r="T101" s="237"/>
      <c r="U101" s="237"/>
      <c r="V101" s="237"/>
      <c r="W101" s="237"/>
      <c r="X101" s="237"/>
      <c r="Y101" s="237"/>
      <c r="Z101" s="237"/>
      <c r="AA101" s="237"/>
      <c r="AB101" s="237"/>
      <c r="AC101" s="237"/>
      <c r="AD101" s="237"/>
      <c r="AE101" s="237"/>
      <c r="AF101" s="237"/>
      <c r="AG101" s="237"/>
      <c r="AH101" s="237"/>
      <c r="AI101" s="237"/>
      <c r="AJ101" s="237"/>
      <c r="AK101" s="237"/>
      <c r="AL101" s="237"/>
      <c r="AM101" s="237"/>
      <c r="AN101" s="237"/>
      <c r="AO101" s="237"/>
      <c r="AP101" s="237"/>
      <c r="AQ101" s="237"/>
      <c r="AR101" s="237"/>
      <c r="AS101" s="237"/>
      <c r="AT101" s="237"/>
      <c r="AU101" s="237"/>
      <c r="AV101" s="237"/>
      <c r="AW101" s="237"/>
      <c r="AX101" s="237"/>
      <c r="AY101" s="237"/>
      <c r="AZ101" s="237"/>
      <c r="BA101" s="237"/>
      <c r="BB101" s="237"/>
      <c r="BC101" s="237"/>
      <c r="BD101" s="237"/>
      <c r="BE101" s="237"/>
      <c r="BF101" s="237"/>
      <c r="BG101" s="237"/>
      <c r="BH101" s="237"/>
      <c r="BI101" s="237"/>
      <c r="BJ101" s="237"/>
      <c r="BK101" s="237"/>
      <c r="BL101" s="237"/>
      <c r="BM101" s="237"/>
      <c r="BN101" s="237"/>
      <c r="BO101" s="237"/>
      <c r="BP101" s="237"/>
      <c r="BQ101" s="237"/>
      <c r="BR101" s="237"/>
      <c r="BS101" s="237"/>
      <c r="BT101" s="237"/>
      <c r="BU101" s="237"/>
      <c r="BV101" s="237"/>
      <c r="BW101" s="237"/>
      <c r="BX101" s="237"/>
      <c r="BY101" s="237"/>
      <c r="BZ101" s="237"/>
      <c r="CA101" s="237"/>
      <c r="CB101" s="237"/>
      <c r="CC101" s="237"/>
      <c r="CD101" s="237"/>
      <c r="CE101" s="237"/>
      <c r="CF101" s="237"/>
      <c r="CG101" s="237"/>
      <c r="CH101" s="237"/>
      <c r="CI101" s="237"/>
      <c r="CJ101" s="237"/>
      <c r="CK101" s="237"/>
      <c r="CL101" s="237"/>
      <c r="CM101" s="237"/>
      <c r="CN101" s="237"/>
      <c r="CO101" s="237"/>
      <c r="CP101" s="237"/>
      <c r="CQ101" s="237"/>
      <c r="CR101" s="237"/>
      <c r="CS101" s="237"/>
      <c r="CT101" s="237"/>
      <c r="CU101" s="237"/>
      <c r="CV101" s="237"/>
      <c r="CW101" s="237"/>
      <c r="CX101" s="237"/>
      <c r="CY101" s="237"/>
    </row>
    <row r="102" spans="1:103">
      <c r="A102" s="229"/>
      <c r="B102" s="229" t="s">
        <v>236</v>
      </c>
      <c r="C102" s="229"/>
      <c r="D102" s="229"/>
      <c r="E102" s="203"/>
      <c r="F102" s="232"/>
      <c r="G102" s="232" t="s">
        <v>736</v>
      </c>
      <c r="H102" s="203"/>
      <c r="I102" s="203"/>
      <c r="J102" s="203"/>
      <c r="K102" s="203"/>
      <c r="L102" s="271"/>
      <c r="M102" s="271"/>
      <c r="N102" s="271"/>
      <c r="O102" s="271"/>
      <c r="P102" s="271"/>
      <c r="Q102" s="271"/>
      <c r="R102" s="271"/>
      <c r="S102" s="271"/>
      <c r="T102" s="247">
        <f t="shared" ref="T102:AQ102" si="45">T68+T89+T88</f>
        <v>2.5355870348553537</v>
      </c>
      <c r="U102" s="247">
        <f t="shared" si="45"/>
        <v>4.0080976000000046E-2</v>
      </c>
      <c r="V102" s="247">
        <f t="shared" si="45"/>
        <v>0.27987481299999994</v>
      </c>
      <c r="W102" s="247">
        <f t="shared" si="45"/>
        <v>-0.20719683100000008</v>
      </c>
      <c r="X102" s="247">
        <f t="shared" si="45"/>
        <v>-1.904962013</v>
      </c>
      <c r="Y102" s="247">
        <f t="shared" si="45"/>
        <v>-2.3990818771578302</v>
      </c>
      <c r="Z102" s="247">
        <f t="shared" si="45"/>
        <v>-1.4079528705450199</v>
      </c>
      <c r="AA102" s="247">
        <f t="shared" si="45"/>
        <v>-3.5615796683953498</v>
      </c>
      <c r="AB102" s="247">
        <f t="shared" si="45"/>
        <v>-2.7435926370995101</v>
      </c>
      <c r="AC102" s="247">
        <f t="shared" si="45"/>
        <v>-0.79302614568011176</v>
      </c>
      <c r="AD102" s="247">
        <f t="shared" si="45"/>
        <v>0.31575354838072967</v>
      </c>
      <c r="AE102" s="247">
        <f t="shared" si="45"/>
        <v>0.23993769923524333</v>
      </c>
      <c r="AF102" s="247">
        <f t="shared" si="45"/>
        <v>-3.2852681212617201</v>
      </c>
      <c r="AG102" s="247">
        <f t="shared" si="45"/>
        <v>-4.2880016250493282</v>
      </c>
      <c r="AH102" s="247">
        <f t="shared" si="45"/>
        <v>-8.8471931400637036</v>
      </c>
      <c r="AI102" s="247">
        <f t="shared" si="45"/>
        <v>-1.1348333043295371</v>
      </c>
      <c r="AJ102" s="247">
        <f t="shared" si="45"/>
        <v>-1.8827003967191285</v>
      </c>
      <c r="AK102" s="247">
        <f t="shared" si="45"/>
        <v>-5.9435535323588251</v>
      </c>
      <c r="AL102" s="247">
        <f t="shared" si="45"/>
        <v>-5.0910989314148329</v>
      </c>
      <c r="AM102" s="247">
        <f t="shared" si="45"/>
        <v>-4.3118002894564738</v>
      </c>
      <c r="AN102" s="247">
        <f t="shared" si="45"/>
        <v>-0.29175058509364682</v>
      </c>
      <c r="AO102" s="247">
        <f t="shared" si="45"/>
        <v>-52663.541806204477</v>
      </c>
      <c r="AP102" s="247">
        <f t="shared" si="45"/>
        <v>-59235.531370008168</v>
      </c>
      <c r="AQ102" s="247">
        <f t="shared" si="45"/>
        <v>-53676.254258299399</v>
      </c>
      <c r="AR102" s="247">
        <v>-12.805483654329212</v>
      </c>
      <c r="AS102" s="247">
        <v>4.1767622804568703</v>
      </c>
      <c r="AT102" s="247">
        <v>3.4188273050996081</v>
      </c>
      <c r="AU102" s="247">
        <v>2.4092912320619568</v>
      </c>
      <c r="AV102" s="247">
        <v>3.0055984924016865</v>
      </c>
      <c r="AW102" s="247">
        <v>4.039371614234323</v>
      </c>
      <c r="AX102" s="247">
        <v>4.4069918683152984</v>
      </c>
      <c r="AY102" s="247">
        <v>5.2909255197123013</v>
      </c>
      <c r="AZ102" s="247">
        <v>6.1820698443647952</v>
      </c>
      <c r="BA102" s="247">
        <v>6.1504361787625115</v>
      </c>
      <c r="BB102" s="247">
        <v>6.2084272103739426</v>
      </c>
      <c r="BC102" s="247">
        <v>6.8192073063081882</v>
      </c>
      <c r="BD102" s="247">
        <v>7.8458994646441731</v>
      </c>
      <c r="BE102" s="247">
        <v>7.2951429759070816</v>
      </c>
      <c r="BF102" s="247">
        <v>7.2605819866123227</v>
      </c>
      <c r="BG102" s="247">
        <v>6.5111156708398887</v>
      </c>
      <c r="BH102" s="247">
        <v>6.8161494499234649</v>
      </c>
      <c r="BI102" s="247">
        <v>6.9261313360764234</v>
      </c>
      <c r="BJ102" s="247">
        <v>7.027763784670455</v>
      </c>
      <c r="BK102" s="247">
        <v>7.0812220587571773</v>
      </c>
      <c r="BL102" s="247">
        <v>7.2238544210663029</v>
      </c>
      <c r="BM102" s="247">
        <v>7.3190628677669096</v>
      </c>
      <c r="BN102" s="247">
        <v>7.5471402490896082</v>
      </c>
      <c r="BO102" s="247">
        <v>8.2351858221868781</v>
      </c>
      <c r="BP102" s="247">
        <v>9.2792132417099893</v>
      </c>
      <c r="BQ102" s="247">
        <v>9.477969766244918</v>
      </c>
      <c r="BR102" s="247">
        <v>10.247697237702909</v>
      </c>
      <c r="BS102" s="247">
        <v>10.419566489280037</v>
      </c>
      <c r="BT102" s="247">
        <v>11.463187815144117</v>
      </c>
      <c r="BU102" s="247">
        <v>12.307208399721596</v>
      </c>
      <c r="BV102" s="247">
        <v>13.06090267085699</v>
      </c>
      <c r="BW102" s="247">
        <v>13.114306886873695</v>
      </c>
      <c r="BX102" s="247">
        <v>13.642693328671761</v>
      </c>
      <c r="BY102" s="247">
        <v>14.102968013293303</v>
      </c>
      <c r="BZ102" s="247">
        <v>14.659258246745637</v>
      </c>
      <c r="CA102" s="247">
        <v>15.60708589922837</v>
      </c>
      <c r="CB102" s="247">
        <v>15.919206944050227</v>
      </c>
      <c r="CC102" s="247">
        <v>16.441021332791294</v>
      </c>
      <c r="CD102" s="247">
        <v>17.107976913641245</v>
      </c>
      <c r="CE102" s="247">
        <v>17.636071979861573</v>
      </c>
      <c r="CF102" s="247">
        <v>18.446331957327114</v>
      </c>
      <c r="CG102" s="247">
        <v>19.204790503768315</v>
      </c>
      <c r="CH102" s="247">
        <v>19.930822743238814</v>
      </c>
      <c r="CI102" s="247">
        <v>20.840391665623443</v>
      </c>
      <c r="CJ102" s="247">
        <v>21.683552028484158</v>
      </c>
      <c r="CK102" s="247">
        <v>22.148530319612714</v>
      </c>
      <c r="CL102" s="247">
        <v>22.985138901888089</v>
      </c>
      <c r="CM102" s="247">
        <v>24.073341168793927</v>
      </c>
      <c r="CN102" s="247">
        <v>24.342761912439965</v>
      </c>
      <c r="CO102" s="247">
        <v>25.156720296682646</v>
      </c>
      <c r="CP102" s="247">
        <v>25.974570954375164</v>
      </c>
      <c r="CQ102" s="247">
        <v>26.805213010011826</v>
      </c>
      <c r="CR102" s="247">
        <v>27.648596244718892</v>
      </c>
      <c r="CS102" s="247">
        <v>28.50466885830026</v>
      </c>
      <c r="CT102" s="247">
        <v>29.373377951440709</v>
      </c>
      <c r="CU102" s="247">
        <v>30.254669916204577</v>
      </c>
      <c r="CV102" s="247">
        <v>31.14849071002903</v>
      </c>
      <c r="CW102" s="247">
        <v>32.054786029388865</v>
      </c>
      <c r="CX102" s="247">
        <v>32.973501408803159</v>
      </c>
      <c r="CY102" s="247">
        <v>33.904582269024502</v>
      </c>
    </row>
    <row r="103" spans="1:103">
      <c r="A103" s="229"/>
      <c r="B103" s="229"/>
      <c r="C103" s="230" t="s">
        <v>423</v>
      </c>
      <c r="D103" s="229"/>
      <c r="E103" s="203"/>
      <c r="F103" s="232"/>
      <c r="G103" s="232" t="s">
        <v>736</v>
      </c>
      <c r="H103" s="203"/>
      <c r="I103" s="203"/>
      <c r="J103" s="203"/>
      <c r="K103" s="203"/>
      <c r="L103" s="271"/>
      <c r="M103" s="271"/>
      <c r="N103" s="271"/>
      <c r="O103" s="271"/>
      <c r="P103" s="271"/>
      <c r="Q103" s="271"/>
      <c r="R103" s="271"/>
      <c r="S103" s="271"/>
      <c r="T103" s="247"/>
      <c r="U103" s="247"/>
      <c r="V103" s="247"/>
      <c r="W103" s="247"/>
      <c r="X103" s="247"/>
      <c r="Y103" s="247"/>
      <c r="Z103" s="247"/>
      <c r="AA103" s="247"/>
      <c r="AB103" s="247"/>
      <c r="AC103" s="247"/>
      <c r="AD103" s="247"/>
      <c r="AE103" s="247"/>
      <c r="AF103" s="639" t="e">
        <v>#N/A</v>
      </c>
      <c r="AG103" s="639" t="e">
        <v>#N/A</v>
      </c>
      <c r="AH103" s="639" t="e">
        <v>#N/A</v>
      </c>
      <c r="AI103" s="639" t="e">
        <v>#N/A</v>
      </c>
      <c r="AJ103" s="639" t="e">
        <v>#N/A</v>
      </c>
      <c r="AK103" s="639" t="e">
        <v>#N/A</v>
      </c>
      <c r="AL103" s="639" t="e">
        <v>#N/A</v>
      </c>
      <c r="AM103" s="639" t="e">
        <v>#N/A</v>
      </c>
      <c r="AN103" s="639" t="e">
        <v>#N/A</v>
      </c>
      <c r="AO103" s="639" t="e">
        <v>#N/A</v>
      </c>
      <c r="AP103" s="639" t="e">
        <v>#N/A</v>
      </c>
      <c r="AQ103" s="639" t="e">
        <v>#N/A</v>
      </c>
      <c r="AR103" s="639">
        <v>36.893163621112478</v>
      </c>
      <c r="AS103" s="639">
        <v>40.704587565535242</v>
      </c>
      <c r="AT103" s="639">
        <v>44.305215660445036</v>
      </c>
      <c r="AU103" s="639">
        <v>46.206635943652103</v>
      </c>
      <c r="AV103" s="639">
        <v>45.946900412302497</v>
      </c>
      <c r="AW103" s="639">
        <v>45.853153111730769</v>
      </c>
      <c r="AX103" s="639">
        <v>45.231799539953307</v>
      </c>
      <c r="AY103" s="639">
        <v>45.473439993829302</v>
      </c>
      <c r="AZ103" s="639">
        <v>46.577311028717396</v>
      </c>
      <c r="BA103" s="639">
        <v>48.61251029084174</v>
      </c>
      <c r="BB103" s="639">
        <v>50.602218133158622</v>
      </c>
      <c r="BC103" s="639">
        <v>52.589780694931605</v>
      </c>
      <c r="BD103" s="639">
        <v>54.593946185741487</v>
      </c>
      <c r="BE103" s="639">
        <v>56.607818787709967</v>
      </c>
      <c r="BF103" s="639">
        <v>58.629493627917583</v>
      </c>
      <c r="BG103" s="639">
        <v>60.493693080488001</v>
      </c>
      <c r="BH103" s="639">
        <v>62.093470183396754</v>
      </c>
      <c r="BI103" s="639">
        <v>63.390784369347642</v>
      </c>
      <c r="BJ103" s="639">
        <v>64.382075204114528</v>
      </c>
      <c r="BK103" s="639">
        <v>65.232432514373784</v>
      </c>
      <c r="BL103" s="639">
        <v>66.064386065402886</v>
      </c>
      <c r="BM103" s="639">
        <v>66.937968372716171</v>
      </c>
      <c r="BN103" s="639">
        <v>67.88127485305948</v>
      </c>
      <c r="BO103" s="639">
        <v>68.906005805377248</v>
      </c>
      <c r="BP103" s="639">
        <v>70.014416172006321</v>
      </c>
      <c r="BQ103" s="639">
        <v>71.203361920136331</v>
      </c>
      <c r="BR103" s="639">
        <v>72.46687678559222</v>
      </c>
      <c r="BS103" s="639">
        <v>73.79772750889228</v>
      </c>
      <c r="BT103" s="639">
        <v>75.211772054600928</v>
      </c>
      <c r="BU103" s="639">
        <v>76.70360389835875</v>
      </c>
      <c r="BV103" s="639">
        <v>78.258960474533694</v>
      </c>
      <c r="BW103" s="639">
        <v>79.860005516849583</v>
      </c>
      <c r="BX103" s="639">
        <v>81.465572436585887</v>
      </c>
      <c r="BY103" s="639">
        <v>83.056586464110083</v>
      </c>
      <c r="BZ103" s="639">
        <v>84.624564220380776</v>
      </c>
      <c r="CA103" s="639">
        <v>86.166160750264268</v>
      </c>
      <c r="CB103" s="639">
        <v>87.680486586000768</v>
      </c>
      <c r="CC103" s="639">
        <v>89.167924394044149</v>
      </c>
      <c r="CD103" s="639">
        <v>90.629417172806555</v>
      </c>
      <c r="CE103" s="639">
        <v>92.066068303565345</v>
      </c>
      <c r="CF103" s="639">
        <v>93.478929250451969</v>
      </c>
      <c r="CG103" s="639">
        <v>94.868761579866501</v>
      </c>
      <c r="CH103" s="639">
        <v>96.236065179076263</v>
      </c>
      <c r="CI103" s="639">
        <v>97.581159594484092</v>
      </c>
      <c r="CJ103" s="639">
        <v>98.904256186685259</v>
      </c>
      <c r="CK103" s="639">
        <v>100.20550861587435</v>
      </c>
      <c r="CL103" s="639">
        <v>101.48504506286753</v>
      </c>
      <c r="CM103" s="639">
        <v>102.74298705085263</v>
      </c>
      <c r="CN103" s="639">
        <v>103.97945928693279</v>
      </c>
      <c r="CO103" s="639">
        <v>105.19459388659379</v>
      </c>
      <c r="CP103" s="639">
        <v>106.388530569129</v>
      </c>
      <c r="CQ103" s="639">
        <v>107.56141513871097</v>
      </c>
      <c r="CR103" s="639">
        <v>108.71339765093089</v>
      </c>
      <c r="CS103" s="639">
        <v>109.84463086849894</v>
      </c>
      <c r="CT103" s="639">
        <v>110.95526916004107</v>
      </c>
      <c r="CU103" s="639">
        <v>112.04546780290073</v>
      </c>
      <c r="CV103" s="639">
        <v>113.11538258957415</v>
      </c>
      <c r="CW103" s="639">
        <v>114.16516963582337</v>
      </c>
      <c r="CX103" s="639">
        <v>115.19498530859201</v>
      </c>
      <c r="CY103" s="639">
        <v>116.2049862119889</v>
      </c>
    </row>
    <row r="104" spans="1:103">
      <c r="A104" s="229"/>
      <c r="B104" s="229"/>
      <c r="C104" s="230" t="s">
        <v>810</v>
      </c>
      <c r="D104" s="229"/>
      <c r="E104" s="203"/>
      <c r="F104" s="232"/>
      <c r="G104" s="232" t="s">
        <v>736</v>
      </c>
      <c r="H104" s="203"/>
      <c r="I104" s="203"/>
      <c r="J104" s="203"/>
      <c r="K104" s="203"/>
      <c r="L104" s="271"/>
      <c r="M104" s="271"/>
      <c r="N104" s="271"/>
      <c r="O104" s="271"/>
      <c r="P104" s="271"/>
      <c r="Q104" s="271"/>
      <c r="R104" s="271"/>
      <c r="S104" s="271"/>
      <c r="T104" s="247"/>
      <c r="U104" s="247"/>
      <c r="V104" s="247"/>
      <c r="W104" s="247"/>
      <c r="X104" s="247"/>
      <c r="Y104" s="247"/>
      <c r="Z104" s="247"/>
      <c r="AA104" s="247"/>
      <c r="AB104" s="247"/>
      <c r="AC104" s="247"/>
      <c r="AD104" s="247"/>
      <c r="AE104" s="247"/>
      <c r="AF104" s="639" t="e">
        <v>#N/A</v>
      </c>
      <c r="AG104" s="639" t="e">
        <v>#N/A</v>
      </c>
      <c r="AH104" s="639" t="e">
        <v>#N/A</v>
      </c>
      <c r="AI104" s="639" t="e">
        <v>#N/A</v>
      </c>
      <c r="AJ104" s="639" t="e">
        <v>#N/A</v>
      </c>
      <c r="AK104" s="639" t="e">
        <v>#N/A</v>
      </c>
      <c r="AL104" s="639" t="e">
        <v>#N/A</v>
      </c>
      <c r="AM104" s="639" t="e">
        <v>#N/A</v>
      </c>
      <c r="AN104" s="639" t="e">
        <v>#N/A</v>
      </c>
      <c r="AO104" s="639" t="e">
        <v>#N/A</v>
      </c>
      <c r="AP104" s="639" t="e">
        <v>#N/A</v>
      </c>
      <c r="AQ104" s="639" t="e">
        <v>#N/A</v>
      </c>
      <c r="AR104" s="639">
        <v>77.163652439583885</v>
      </c>
      <c r="AS104" s="639">
        <v>82.261178264269503</v>
      </c>
      <c r="AT104" s="639">
        <v>86.185818340595944</v>
      </c>
      <c r="AU104" s="639">
        <v>88.130796578684965</v>
      </c>
      <c r="AV104" s="639">
        <v>88.841740372451852</v>
      </c>
      <c r="AW104" s="639">
        <v>90.650265315644432</v>
      </c>
      <c r="AX104" s="639">
        <v>91.888516017047209</v>
      </c>
      <c r="AY104" s="639">
        <v>93.978648391905679</v>
      </c>
      <c r="AZ104" s="639">
        <v>96.950833831043809</v>
      </c>
      <c r="BA104" s="639">
        <v>100.86689275310204</v>
      </c>
      <c r="BB104" s="639">
        <v>104.74778257896563</v>
      </c>
      <c r="BC104" s="639">
        <v>108.62411865366889</v>
      </c>
      <c r="BD104" s="639">
        <v>112.25730730430858</v>
      </c>
      <c r="BE104" s="639">
        <v>115.55742457582541</v>
      </c>
      <c r="BF104" s="639">
        <v>118.52924900414571</v>
      </c>
      <c r="BG104" s="639">
        <v>121.18355417292436</v>
      </c>
      <c r="BH104" s="639">
        <v>123.54252567671975</v>
      </c>
      <c r="BI104" s="639">
        <v>125.63174525348651</v>
      </c>
      <c r="BJ104" s="639">
        <v>127.4777740296348</v>
      </c>
      <c r="BK104" s="639">
        <v>129.25861027205235</v>
      </c>
      <c r="BL104" s="639">
        <v>131.10084896393496</v>
      </c>
      <c r="BM104" s="639">
        <v>133.06240668692431</v>
      </c>
      <c r="BN104" s="639">
        <v>135.16574281312251</v>
      </c>
      <c r="BO104" s="639">
        <v>137.41538275450648</v>
      </c>
      <c r="BP104" s="639">
        <v>139.80700744274057</v>
      </c>
      <c r="BQ104" s="639">
        <v>142.36888685984513</v>
      </c>
      <c r="BR104" s="639">
        <v>145.07827721477895</v>
      </c>
      <c r="BS104" s="639">
        <v>147.90690239959446</v>
      </c>
      <c r="BT104" s="639">
        <v>150.82716025849649</v>
      </c>
      <c r="BU104" s="639">
        <v>153.81340072230171</v>
      </c>
      <c r="BV104" s="639">
        <v>156.84227054383507</v>
      </c>
      <c r="BW104" s="639">
        <v>159.89225889113931</v>
      </c>
      <c r="BX104" s="639">
        <v>162.9211187142696</v>
      </c>
      <c r="BY104" s="639">
        <v>165.90990187064986</v>
      </c>
      <c r="BZ104" s="639">
        <v>168.85100857766818</v>
      </c>
      <c r="CA104" s="639">
        <v>171.74221438723703</v>
      </c>
      <c r="CB104" s="639">
        <v>174.58371449789755</v>
      </c>
      <c r="CC104" s="639">
        <v>177.37667937918616</v>
      </c>
      <c r="CD104" s="639">
        <v>180.12256725712967</v>
      </c>
      <c r="CE104" s="639">
        <v>182.82280723541143</v>
      </c>
      <c r="CF104" s="639">
        <v>185.47866179499152</v>
      </c>
      <c r="CG104" s="639">
        <v>188.09104149576262</v>
      </c>
      <c r="CH104" s="639">
        <v>190.66056621187531</v>
      </c>
      <c r="CI104" s="639">
        <v>193.18766684647738</v>
      </c>
      <c r="CJ104" s="639">
        <v>195.67266851535817</v>
      </c>
      <c r="CK104" s="639">
        <v>198.11584591247822</v>
      </c>
      <c r="CL104" s="639">
        <v>200.51745599503863</v>
      </c>
      <c r="CM104" s="639">
        <v>202.87775534855351</v>
      </c>
      <c r="CN104" s="639">
        <v>205.19700817005412</v>
      </c>
      <c r="CO104" s="639">
        <v>207.47548889823463</v>
      </c>
      <c r="CP104" s="639">
        <v>209.71348125924666</v>
      </c>
      <c r="CQ104" s="639">
        <v>211.91127600872215</v>
      </c>
      <c r="CR104" s="639">
        <v>214.06916867524413</v>
      </c>
      <c r="CS104" s="639">
        <v>216.18745780725536</v>
      </c>
      <c r="CT104" s="639">
        <v>218.266443792464</v>
      </c>
      <c r="CU104" s="639">
        <v>220.30642814530304</v>
      </c>
      <c r="CV104" s="639">
        <v>222.30771312045792</v>
      </c>
      <c r="CW104" s="639">
        <v>224.27060152870632</v>
      </c>
      <c r="CX104" s="639">
        <v>226.1953966644578</v>
      </c>
      <c r="CY104" s="639">
        <v>228.08240228166272</v>
      </c>
    </row>
    <row r="105" spans="1:103">
      <c r="A105" s="229"/>
      <c r="B105" s="229" t="s">
        <v>811</v>
      </c>
      <c r="C105" s="229"/>
      <c r="D105" s="229"/>
      <c r="E105" s="203"/>
      <c r="F105" s="232"/>
      <c r="G105" s="232" t="s">
        <v>812</v>
      </c>
      <c r="H105" s="203"/>
      <c r="I105" s="203"/>
      <c r="J105" s="203"/>
      <c r="K105" s="203"/>
      <c r="L105" s="271"/>
      <c r="M105" s="271"/>
      <c r="N105" s="271"/>
      <c r="O105" s="271"/>
      <c r="P105" s="271"/>
      <c r="Q105" s="271"/>
      <c r="R105" s="271"/>
      <c r="S105" s="271"/>
      <c r="T105" s="247"/>
      <c r="U105" s="247"/>
      <c r="V105" s="247"/>
      <c r="W105" s="247"/>
      <c r="X105" s="247"/>
      <c r="Y105" s="247"/>
      <c r="Z105" s="247"/>
      <c r="AA105" s="247"/>
      <c r="AB105" s="247"/>
      <c r="AC105" s="247"/>
      <c r="AD105" s="247"/>
      <c r="AE105" s="247"/>
      <c r="AF105" s="611" t="e">
        <f t="shared" ref="AF105:AN105" si="46">AF103/AF$59</f>
        <v>#N/A</v>
      </c>
      <c r="AG105" s="611" t="e">
        <f t="shared" si="46"/>
        <v>#N/A</v>
      </c>
      <c r="AH105" s="611" t="e">
        <f t="shared" si="46"/>
        <v>#N/A</v>
      </c>
      <c r="AI105" s="611" t="e">
        <f t="shared" si="46"/>
        <v>#N/A</v>
      </c>
      <c r="AJ105" s="611" t="e">
        <f t="shared" si="46"/>
        <v>#N/A</v>
      </c>
      <c r="AK105" s="611" t="e">
        <f t="shared" si="46"/>
        <v>#N/A</v>
      </c>
      <c r="AL105" s="611" t="e">
        <f t="shared" si="46"/>
        <v>#N/A</v>
      </c>
      <c r="AM105" s="611" t="e">
        <f t="shared" si="46"/>
        <v>#N/A</v>
      </c>
      <c r="AN105" s="611" t="e">
        <f t="shared" si="46"/>
        <v>#N/A</v>
      </c>
      <c r="AO105" s="611" t="e">
        <f>AO103/AO$59</f>
        <v>#N/A</v>
      </c>
      <c r="AP105" s="611" t="e">
        <f t="shared" ref="AP105:AQ105" si="47">AP103/AP$59</f>
        <v>#N/A</v>
      </c>
      <c r="AQ105" s="611" t="e">
        <f t="shared" si="47"/>
        <v>#N/A</v>
      </c>
      <c r="AR105" s="611">
        <v>4.9221141835640594E-2</v>
      </c>
      <c r="AS105" s="611">
        <v>5.0993141495816206E-2</v>
      </c>
      <c r="AT105" s="611">
        <v>5.2878795142085405E-2</v>
      </c>
      <c r="AU105" s="611">
        <v>5.291528371523295E-2</v>
      </c>
      <c r="AV105" s="611">
        <v>5.0699589975797869E-2</v>
      </c>
      <c r="AW105" s="611">
        <v>4.8738136731919075E-2</v>
      </c>
      <c r="AX105" s="611">
        <v>4.6403920809468063E-2</v>
      </c>
      <c r="AY105" s="611">
        <v>4.50190148885381E-2</v>
      </c>
      <c r="AZ105" s="611">
        <v>4.4508138323358801E-2</v>
      </c>
      <c r="BA105" s="611">
        <v>4.4854265781286727E-2</v>
      </c>
      <c r="BB105" s="611">
        <v>4.5144985633712477E-2</v>
      </c>
      <c r="BC105" s="611">
        <v>4.5405956350546707E-2</v>
      </c>
      <c r="BD105" s="611">
        <v>4.5923928993843399E-2</v>
      </c>
      <c r="BE105" s="611">
        <v>4.6522123192341551E-2</v>
      </c>
      <c r="BF105" s="611">
        <v>4.7114142248589189E-2</v>
      </c>
      <c r="BG105" s="611">
        <v>4.7528749141527986E-2</v>
      </c>
      <c r="BH105" s="611">
        <v>4.7673228914500813E-2</v>
      </c>
      <c r="BI105" s="611">
        <v>4.752604696205745E-2</v>
      </c>
      <c r="BJ105" s="611">
        <v>4.7100124061572247E-2</v>
      </c>
      <c r="BK105" s="611">
        <v>4.6527336807152368E-2</v>
      </c>
      <c r="BL105" s="611">
        <v>4.5904315797946162E-2</v>
      </c>
      <c r="BM105" s="611">
        <v>4.5279568349399238E-2</v>
      </c>
      <c r="BN105" s="611">
        <v>4.467618473803113E-2</v>
      </c>
      <c r="BO105" s="611">
        <v>4.4103904963099572E-2</v>
      </c>
      <c r="BP105" s="611">
        <v>4.3519167629321766E-2</v>
      </c>
      <c r="BQ105" s="611">
        <v>4.2967474462779334E-2</v>
      </c>
      <c r="BR105" s="611">
        <v>4.2464827713837285E-2</v>
      </c>
      <c r="BS105" s="611">
        <v>4.2013717850979612E-2</v>
      </c>
      <c r="BT105" s="611">
        <v>4.1623816075533775E-2</v>
      </c>
      <c r="BU105" s="611">
        <v>4.128971697672601E-2</v>
      </c>
      <c r="BV105" s="611">
        <v>4.1000701838540717E-2</v>
      </c>
      <c r="BW105" s="611">
        <v>4.0744742277208715E-2</v>
      </c>
      <c r="BX105" s="611">
        <v>4.0499594651721878E-2</v>
      </c>
      <c r="BY105" s="611">
        <v>4.0255151512679561E-2</v>
      </c>
      <c r="BZ105" s="611">
        <v>4.0007161298456453E-2</v>
      </c>
      <c r="CA105" s="611">
        <v>3.9754196183713536E-2</v>
      </c>
      <c r="CB105" s="611">
        <v>3.9496145574099993E-2</v>
      </c>
      <c r="CC105" s="611">
        <v>3.9233532798613635E-2</v>
      </c>
      <c r="CD105" s="611">
        <v>3.8967118575036319E-2</v>
      </c>
      <c r="CE105" s="611">
        <v>3.8697690761548692E-2</v>
      </c>
      <c r="CF105" s="611">
        <v>3.8425963135955622E-2</v>
      </c>
      <c r="CG105" s="611">
        <v>3.8152482658670987E-2</v>
      </c>
      <c r="CH105" s="611">
        <v>3.787765179719773E-2</v>
      </c>
      <c r="CI105" s="611">
        <v>3.7601771096913393E-2</v>
      </c>
      <c r="CJ105" s="611">
        <v>3.7325075192119979E-2</v>
      </c>
      <c r="CK105" s="611">
        <v>3.7047757628571182E-2</v>
      </c>
      <c r="CL105" s="611">
        <v>3.6769986618333715E-2</v>
      </c>
      <c r="CM105" s="611">
        <v>3.6491914337660532E-2</v>
      </c>
      <c r="CN105" s="611">
        <v>3.6213682021162291E-2</v>
      </c>
      <c r="CO105" s="611">
        <v>3.5935422508167253E-2</v>
      </c>
      <c r="CP105" s="611">
        <v>3.5657261110468914E-2</v>
      </c>
      <c r="CQ105" s="611">
        <v>3.5379315776180441E-2</v>
      </c>
      <c r="CR105" s="611">
        <v>3.5101697102431884E-2</v>
      </c>
      <c r="CS105" s="611">
        <v>3.4824508422347508E-2</v>
      </c>
      <c r="CT105" s="611">
        <v>3.4547846017107302E-2</v>
      </c>
      <c r="CU105" s="611">
        <v>3.4271799433270259E-2</v>
      </c>
      <c r="CV105" s="611">
        <v>3.3996451866075535E-2</v>
      </c>
      <c r="CW105" s="611">
        <v>3.3721880571863566E-2</v>
      </c>
      <c r="CX105" s="611">
        <v>3.3448157282215722E-2</v>
      </c>
      <c r="CY105" s="611">
        <v>3.3175348601246747E-2</v>
      </c>
    </row>
    <row r="106" spans="1:103">
      <c r="A106" s="229"/>
      <c r="B106" s="229" t="s">
        <v>813</v>
      </c>
      <c r="C106" s="229"/>
      <c r="D106" s="229"/>
      <c r="E106" s="229"/>
      <c r="F106" s="203"/>
      <c r="G106" s="232" t="s">
        <v>812</v>
      </c>
      <c r="H106" s="203"/>
      <c r="I106" s="203"/>
      <c r="J106" s="203"/>
      <c r="K106" s="203"/>
      <c r="L106" s="271"/>
      <c r="M106" s="271"/>
      <c r="N106" s="271"/>
      <c r="O106" s="271"/>
      <c r="P106" s="271"/>
      <c r="Q106" s="271"/>
      <c r="R106" s="271"/>
      <c r="S106" s="271"/>
      <c r="T106" s="247"/>
      <c r="U106" s="247"/>
      <c r="V106" s="247"/>
      <c r="W106" s="247"/>
      <c r="X106" s="247"/>
      <c r="Y106" s="247"/>
      <c r="Z106" s="247"/>
      <c r="AA106" s="247"/>
      <c r="AB106" s="247"/>
      <c r="AC106" s="247"/>
      <c r="AD106" s="247"/>
      <c r="AE106" s="247"/>
      <c r="AF106" s="611" t="e">
        <f t="shared" ref="AF106:AQ106" si="48">AF104/AF64</f>
        <v>#N/A</v>
      </c>
      <c r="AG106" s="611" t="e">
        <f t="shared" si="48"/>
        <v>#N/A</v>
      </c>
      <c r="AH106" s="611" t="e">
        <f t="shared" si="48"/>
        <v>#N/A</v>
      </c>
      <c r="AI106" s="611" t="e">
        <f t="shared" si="48"/>
        <v>#N/A</v>
      </c>
      <c r="AJ106" s="611" t="e">
        <f t="shared" si="48"/>
        <v>#N/A</v>
      </c>
      <c r="AK106" s="611" t="e">
        <f t="shared" si="48"/>
        <v>#N/A</v>
      </c>
      <c r="AL106" s="611" t="e">
        <f t="shared" si="48"/>
        <v>#N/A</v>
      </c>
      <c r="AM106" s="611" t="e">
        <f t="shared" si="48"/>
        <v>#N/A</v>
      </c>
      <c r="AN106" s="611" t="e">
        <f t="shared" si="48"/>
        <v>#N/A</v>
      </c>
      <c r="AO106" s="611" t="e">
        <f t="shared" si="48"/>
        <v>#N/A</v>
      </c>
      <c r="AP106" s="611" t="e">
        <f t="shared" si="48"/>
        <v>#N/A</v>
      </c>
      <c r="AQ106" s="611" t="e">
        <f t="shared" si="48"/>
        <v>#N/A</v>
      </c>
      <c r="AR106" s="611">
        <v>0.10294815376340732</v>
      </c>
      <c r="AS106" s="611">
        <v>0.10305363974241995</v>
      </c>
      <c r="AT106" s="611">
        <v>0.10286378622131689</v>
      </c>
      <c r="AU106" s="611">
        <v>0.10092632821609396</v>
      </c>
      <c r="AV106" s="611">
        <v>9.8031418206690729E-2</v>
      </c>
      <c r="AW106" s="611">
        <v>9.6353788690887551E-2</v>
      </c>
      <c r="AX106" s="611">
        <v>9.4269683362657522E-2</v>
      </c>
      <c r="AY106" s="611">
        <v>9.3039501118323306E-2</v>
      </c>
      <c r="AZ106" s="611">
        <v>9.2643843695841138E-2</v>
      </c>
      <c r="BA106" s="611">
        <v>9.3068849746945306E-2</v>
      </c>
      <c r="BB106" s="611">
        <v>9.3451182856190418E-2</v>
      </c>
      <c r="BC106" s="611">
        <v>9.3785939493001916E-2</v>
      </c>
      <c r="BD106" s="611">
        <v>9.4429821800087327E-2</v>
      </c>
      <c r="BE106" s="611">
        <v>9.4968802137867153E-2</v>
      </c>
      <c r="BF106" s="611">
        <v>9.5249055597175517E-2</v>
      </c>
      <c r="BG106" s="611">
        <v>9.5211623775395826E-2</v>
      </c>
      <c r="BH106" s="611">
        <v>9.4851698413156188E-2</v>
      </c>
      <c r="BI106" s="611">
        <v>9.419003541671879E-2</v>
      </c>
      <c r="BJ106" s="611">
        <v>9.3259171172307198E-2</v>
      </c>
      <c r="BK106" s="611">
        <v>9.2194306781784405E-2</v>
      </c>
      <c r="BL106" s="611">
        <v>9.1094387318781361E-2</v>
      </c>
      <c r="BM106" s="611">
        <v>9.000883183021631E-2</v>
      </c>
      <c r="BN106" s="611">
        <v>8.8959579931933097E-2</v>
      </c>
      <c r="BO106" s="611">
        <v>8.7953944081311936E-2</v>
      </c>
      <c r="BP106" s="611">
        <v>8.6900454582196834E-2</v>
      </c>
      <c r="BQ106" s="611">
        <v>8.5912116302962957E-2</v>
      </c>
      <c r="BR106" s="611">
        <v>8.5014344762968749E-2</v>
      </c>
      <c r="BS106" s="611">
        <v>8.4204745530682745E-2</v>
      </c>
      <c r="BT106" s="611">
        <v>8.3471002029271699E-2</v>
      </c>
      <c r="BU106" s="611">
        <v>8.2798088489652755E-2</v>
      </c>
      <c r="BV106" s="611">
        <v>8.2171333879909117E-2</v>
      </c>
      <c r="BW106" s="611">
        <v>8.1577365772478691E-2</v>
      </c>
      <c r="BX106" s="611">
        <v>8.0994204923425211E-2</v>
      </c>
      <c r="BY106" s="611">
        <v>8.0411783358599512E-2</v>
      </c>
      <c r="BZ106" s="611">
        <v>7.9826107204306371E-2</v>
      </c>
      <c r="CA106" s="611">
        <v>7.9236136603134791E-2</v>
      </c>
      <c r="CB106" s="611">
        <v>7.8642170808584488E-2</v>
      </c>
      <c r="CC106" s="611">
        <v>7.80450348645471E-2</v>
      </c>
      <c r="CD106" s="611">
        <v>7.7445686569576011E-2</v>
      </c>
      <c r="CE106" s="611">
        <v>7.684503736193761E-2</v>
      </c>
      <c r="CF106" s="611">
        <v>7.624387953295117E-2</v>
      </c>
      <c r="CG106" s="611">
        <v>7.5642815183975198E-2</v>
      </c>
      <c r="CH106" s="611">
        <v>7.504228820028834E-2</v>
      </c>
      <c r="CI106" s="611">
        <v>7.4442632755090013E-2</v>
      </c>
      <c r="CJ106" s="611">
        <v>7.3844112952964377E-2</v>
      </c>
      <c r="CK106" s="611">
        <v>7.3246949625103738E-2</v>
      </c>
      <c r="CL106" s="611">
        <v>7.2651336648788797E-2</v>
      </c>
      <c r="CM106" s="611">
        <v>7.2057450164768458E-2</v>
      </c>
      <c r="CN106" s="611">
        <v>7.1465453432089876E-2</v>
      </c>
      <c r="CO106" s="611">
        <v>7.0875499188526245E-2</v>
      </c>
      <c r="CP106" s="611">
        <v>7.0287730450299499E-2</v>
      </c>
      <c r="CQ106" s="611">
        <v>6.9702280699611846E-2</v>
      </c>
      <c r="CR106" s="611">
        <v>6.911927398254282E-2</v>
      </c>
      <c r="CS106" s="611">
        <v>6.8538825117702748E-2</v>
      </c>
      <c r="CT106" s="611">
        <v>6.7961040047292351E-2</v>
      </c>
      <c r="CU106" s="611">
        <v>6.7386016295971268E-2</v>
      </c>
      <c r="CV106" s="611">
        <v>6.681384348916633E-2</v>
      </c>
      <c r="CW106" s="611">
        <v>6.6244603889748288E-2</v>
      </c>
      <c r="CX106" s="611">
        <v>6.567837292463849E-2</v>
      </c>
      <c r="CY106" s="611">
        <v>6.5115219683432979E-2</v>
      </c>
    </row>
    <row r="107" spans="1:103">
      <c r="A107" s="229"/>
      <c r="B107" s="230" t="s">
        <v>814</v>
      </c>
      <c r="C107" s="229"/>
      <c r="D107" s="126"/>
      <c r="E107" s="609"/>
      <c r="F107" s="251"/>
      <c r="G107" s="609" t="s">
        <v>736</v>
      </c>
      <c r="H107" s="203"/>
      <c r="I107" s="203"/>
      <c r="J107" s="203"/>
      <c r="K107" s="203"/>
      <c r="L107" s="271"/>
      <c r="M107" s="271"/>
      <c r="N107" s="271"/>
      <c r="O107" s="271"/>
      <c r="P107" s="271"/>
      <c r="Q107" s="271"/>
      <c r="R107" s="271"/>
      <c r="S107" s="271"/>
      <c r="T107" s="247"/>
      <c r="U107" s="247"/>
      <c r="V107" s="247"/>
      <c r="W107" s="247"/>
      <c r="X107" s="247"/>
      <c r="Y107" s="247"/>
      <c r="Z107" s="247"/>
      <c r="AA107" s="247"/>
      <c r="AB107" s="247"/>
      <c r="AC107" s="247"/>
      <c r="AD107" s="247"/>
      <c r="AE107" s="247"/>
      <c r="AF107" s="610">
        <f>AF88</f>
        <v>-5.2770752019999998</v>
      </c>
      <c r="AG107" s="610">
        <f t="shared" ref="AG107:AQ107" si="49">AF107+AG88</f>
        <v>-14.165755068999999</v>
      </c>
      <c r="AH107" s="610">
        <f t="shared" si="49"/>
        <v>-24.729416684999997</v>
      </c>
      <c r="AI107" s="610">
        <f t="shared" si="49"/>
        <v>-31.089653352999996</v>
      </c>
      <c r="AJ107" s="610">
        <f t="shared" si="49"/>
        <v>-37.244184863999998</v>
      </c>
      <c r="AK107" s="610">
        <f t="shared" si="49"/>
        <v>-46.918760887999994</v>
      </c>
      <c r="AL107" s="610">
        <f t="shared" si="49"/>
        <v>-55.136460991999996</v>
      </c>
      <c r="AM107" s="610">
        <f t="shared" si="49"/>
        <v>-62.382016181999994</v>
      </c>
      <c r="AN107" s="610">
        <f t="shared" si="49"/>
        <v>-70.275204226</v>
      </c>
      <c r="AO107" s="610">
        <f t="shared" si="49"/>
        <v>-45636.275204226004</v>
      </c>
      <c r="AP107" s="610">
        <f t="shared" si="49"/>
        <v>-91233.275204225996</v>
      </c>
      <c r="AQ107" s="610">
        <f t="shared" si="49"/>
        <v>-136860.275204226</v>
      </c>
      <c r="AR107" s="610">
        <v>-27.144852398278175</v>
      </c>
      <c r="AS107" s="610">
        <v>-37.13628154620497</v>
      </c>
      <c r="AT107" s="610">
        <v>-48.454310123424214</v>
      </c>
      <c r="AU107" s="610">
        <v>-61.01345525821128</v>
      </c>
      <c r="AV107" s="610">
        <v>-74.340117680704012</v>
      </c>
      <c r="AW107" s="610">
        <v>-87.658309424717274</v>
      </c>
      <c r="AX107" s="610">
        <v>-101.59146004661378</v>
      </c>
      <c r="AY107" s="610">
        <v>-115.31786418081894</v>
      </c>
      <c r="AZ107" s="610">
        <v>-128.80184810134173</v>
      </c>
      <c r="BA107" s="610">
        <v>-142.34400933589035</v>
      </c>
      <c r="BB107" s="610">
        <v>-156.48379716063974</v>
      </c>
      <c r="BC107" s="610">
        <v>-171.20067852599064</v>
      </c>
      <c r="BD107" s="610">
        <v>-15.212167601744135</v>
      </c>
      <c r="BE107" s="610">
        <v>-30.954092838768922</v>
      </c>
      <c r="BF107" s="610">
        <v>-47.247057050369136</v>
      </c>
      <c r="BG107" s="610">
        <v>-64.08064981318266</v>
      </c>
      <c r="BH107" s="610">
        <v>-81.444489246027871</v>
      </c>
      <c r="BI107" s="610">
        <v>-99.334671100760815</v>
      </c>
      <c r="BJ107" s="610">
        <v>-117.69779208090645</v>
      </c>
      <c r="BK107" s="610">
        <v>-136.41331507871513</v>
      </c>
      <c r="BL107" s="610">
        <v>-155.41198507539792</v>
      </c>
      <c r="BM107" s="610">
        <v>-174.67317472912467</v>
      </c>
      <c r="BN107" s="610">
        <v>-194.20061814595186</v>
      </c>
      <c r="BO107" s="610">
        <v>-214.00994842624837</v>
      </c>
      <c r="BP107" s="610">
        <v>-20.126681327304826</v>
      </c>
      <c r="BQ107" s="610">
        <v>-40.581705427474816</v>
      </c>
      <c r="BR107" s="610">
        <v>-61.380458152324948</v>
      </c>
      <c r="BS107" s="610">
        <v>-82.540592467320067</v>
      </c>
      <c r="BT107" s="610">
        <v>-104.0834078823605</v>
      </c>
      <c r="BU107" s="610">
        <v>-126.02517514118954</v>
      </c>
      <c r="BV107" s="610">
        <v>-148.37922760330193</v>
      </c>
      <c r="BW107" s="610">
        <v>-171.16472159938803</v>
      </c>
      <c r="BX107" s="610">
        <v>-194.40456801702649</v>
      </c>
      <c r="BY107" s="610">
        <v>-218.10493708243121</v>
      </c>
      <c r="BZ107" s="610">
        <v>-242.2640733029088</v>
      </c>
      <c r="CA107" s="610">
        <v>-266.87653033350472</v>
      </c>
      <c r="CB107" s="610">
        <v>-25.058730103505862</v>
      </c>
      <c r="CC107" s="610">
        <v>-50.55612824038981</v>
      </c>
      <c r="CD107" s="610">
        <v>-76.484505835086395</v>
      </c>
      <c r="CE107" s="610">
        <v>-102.83629966899335</v>
      </c>
      <c r="CF107" s="610">
        <v>-129.60420335670534</v>
      </c>
      <c r="CG107" s="610">
        <v>-156.78124655673199</v>
      </c>
      <c r="CH107" s="610">
        <v>-184.36072518750143</v>
      </c>
      <c r="CI107" s="610">
        <v>-212.33611708949334</v>
      </c>
      <c r="CJ107" s="610">
        <v>-240.70101771564049</v>
      </c>
      <c r="CK107" s="610">
        <v>-269.4490988814124</v>
      </c>
      <c r="CL107" s="610">
        <v>-298.57408531976125</v>
      </c>
      <c r="CM107" s="610">
        <v>-328.06974284089517</v>
      </c>
      <c r="CN107" s="610">
        <v>-29.860130554595056</v>
      </c>
      <c r="CO107" s="610">
        <v>-60.078571378595321</v>
      </c>
      <c r="CP107" s="610">
        <v>-90.649196497570429</v>
      </c>
      <c r="CQ107" s="610">
        <v>-121.56591890604204</v>
      </c>
      <c r="CR107" s="610">
        <v>-152.82269254696615</v>
      </c>
      <c r="CS107" s="610">
        <v>-184.41351380052154</v>
      </c>
      <c r="CT107" s="610">
        <v>-216.33242248448988</v>
      </c>
      <c r="CU107" s="610">
        <v>-248.57350247519764</v>
      </c>
      <c r="CV107" s="610">
        <v>-281.13088207096268</v>
      </c>
      <c r="CW107" s="610">
        <v>-313.99873419760496</v>
      </c>
      <c r="CX107" s="610">
        <v>-347.17127652750816</v>
      </c>
      <c r="CY107" s="610">
        <v>-380.64277155965772</v>
      </c>
    </row>
    <row r="108" spans="1:103">
      <c r="A108" s="229"/>
      <c r="B108" s="230" t="s">
        <v>815</v>
      </c>
      <c r="C108" s="229"/>
      <c r="D108" s="126"/>
      <c r="E108" s="609"/>
      <c r="F108" s="251"/>
      <c r="G108" s="609" t="s">
        <v>812</v>
      </c>
      <c r="H108" s="203"/>
      <c r="I108" s="203"/>
      <c r="J108" s="203"/>
      <c r="K108" s="203"/>
      <c r="L108" s="271"/>
      <c r="M108" s="271"/>
      <c r="N108" s="271"/>
      <c r="O108" s="271"/>
      <c r="P108" s="271"/>
      <c r="Q108" s="271"/>
      <c r="R108" s="271"/>
      <c r="S108" s="271"/>
      <c r="T108" s="247"/>
      <c r="U108" s="247"/>
      <c r="V108" s="247"/>
      <c r="W108" s="247"/>
      <c r="X108" s="247"/>
      <c r="Y108" s="247"/>
      <c r="Z108" s="247"/>
      <c r="AA108" s="247"/>
      <c r="AB108" s="247"/>
      <c r="AC108" s="247"/>
      <c r="AD108" s="247"/>
      <c r="AE108" s="247"/>
      <c r="AF108" s="607">
        <f>AF107/AVERAGE($AE64:AF64)</f>
        <v>-1.6707526443908355E-2</v>
      </c>
      <c r="AG108" s="607">
        <f>AG107/AVERAGE($AE64:AG64)</f>
        <v>-4.1858495680995665E-2</v>
      </c>
      <c r="AH108" s="607">
        <f>AH107/AVERAGE($AE64:AH64)</f>
        <v>-6.818300506636428E-2</v>
      </c>
      <c r="AI108" s="607">
        <f>AI107/AVERAGE($AE64:AI64)</f>
        <v>-8.0677773957084239E-2</v>
      </c>
      <c r="AJ108" s="607">
        <f>AJ107/AVERAGE($AE64:AJ64)</f>
        <v>-9.1553832827533072E-2</v>
      </c>
      <c r="AK108" s="607">
        <f>AK107/AVERAGE($AE64:AK64)</f>
        <v>-0.11218837219934549</v>
      </c>
      <c r="AL108" s="607">
        <f>AL107/AVERAGE($AE64:AL64)</f>
        <v>-0.12816858322992902</v>
      </c>
      <c r="AM108" s="607">
        <f>AM107/AVERAGE($AE64:AM64)</f>
        <v>-0.14038077302961191</v>
      </c>
      <c r="AN108" s="607">
        <f>AN107/AVERAGE($AE64:AN64)</f>
        <v>-0.15211758597361133</v>
      </c>
      <c r="AO108" s="607">
        <f>AO107/AVERAGE($AE64:AO64)</f>
        <v>-95.56387510402304</v>
      </c>
      <c r="AP108" s="607">
        <f>AP107/AVERAGE($AE64:AP64)</f>
        <v>-195.89880571880511</v>
      </c>
      <c r="AQ108" s="607">
        <f>AQ107/AVERAGE($AE64:AQ64)</f>
        <v>-308.54227586990118</v>
      </c>
      <c r="AR108" s="607">
        <v>-3.6012773748085383E-2</v>
      </c>
      <c r="AS108" s="607">
        <v>-4.8317855197906517E-2</v>
      </c>
      <c r="AT108" s="607">
        <v>-6.1654303380990566E-2</v>
      </c>
      <c r="AU108" s="607">
        <v>-7.5947240326351986E-2</v>
      </c>
      <c r="AV108" s="607">
        <v>-9.0601787902497941E-2</v>
      </c>
      <c r="AW108" s="607">
        <v>-0.10464172235595885</v>
      </c>
      <c r="AX108" s="607">
        <v>-0.11884410664602206</v>
      </c>
      <c r="AY108" s="607">
        <v>-0.13223294258084908</v>
      </c>
      <c r="AZ108" s="607">
        <v>-0.14479893589909243</v>
      </c>
      <c r="BA108" s="607">
        <v>-0.15690778293697102</v>
      </c>
      <c r="BB108" s="607">
        <v>-0.16917333566348389</v>
      </c>
      <c r="BC108" s="607">
        <v>-0.18156223795098231</v>
      </c>
      <c r="BD108" s="607">
        <v>-1.2963051575303577E-2</v>
      </c>
      <c r="BE108" s="607">
        <v>-2.6057113220790171E-2</v>
      </c>
      <c r="BF108" s="607">
        <v>-3.9305306484875936E-2</v>
      </c>
      <c r="BG108" s="607">
        <v>-5.2689300687474017E-2</v>
      </c>
      <c r="BH108" s="607">
        <v>-6.6183881271729389E-2</v>
      </c>
      <c r="BI108" s="607">
        <v>-7.9765970871960593E-2</v>
      </c>
      <c r="BJ108" s="607">
        <v>-9.3372000396249433E-2</v>
      </c>
      <c r="BK108" s="607">
        <v>-0.1068862482435657</v>
      </c>
      <c r="BL108" s="607">
        <v>-0.1202376219255492</v>
      </c>
      <c r="BM108" s="607">
        <v>-0.13339634206219494</v>
      </c>
      <c r="BN108" s="607">
        <v>-0.14635354170948414</v>
      </c>
      <c r="BO108" s="607">
        <v>-0.1591107207911604</v>
      </c>
      <c r="BP108" s="607">
        <v>-1.2693520545602056E-2</v>
      </c>
      <c r="BQ108" s="607">
        <v>-2.5214800451338008E-2</v>
      </c>
      <c r="BR108" s="607">
        <v>-3.7571237231467769E-2</v>
      </c>
      <c r="BS108" s="607">
        <v>-4.9775122826929266E-2</v>
      </c>
      <c r="BT108" s="607">
        <v>-6.1842193074230938E-2</v>
      </c>
      <c r="BU108" s="607">
        <v>-7.3785333669123737E-2</v>
      </c>
      <c r="BV108" s="607">
        <v>-8.5615506819973416E-2</v>
      </c>
      <c r="BW108" s="607">
        <v>-9.7346627726778351E-2</v>
      </c>
      <c r="BX108" s="607">
        <v>-0.10899420794847456</v>
      </c>
      <c r="BY108" s="607">
        <v>-0.12056365108191086</v>
      </c>
      <c r="BZ108" s="607">
        <v>-0.13205569312254359</v>
      </c>
      <c r="CA108" s="607">
        <v>-0.14346900187541745</v>
      </c>
      <c r="CB108" s="607">
        <v>-1.1422915395232386E-2</v>
      </c>
      <c r="CC108" s="607">
        <v>-2.2772357466944903E-2</v>
      </c>
      <c r="CD108" s="607">
        <v>-3.4046115860836605E-2</v>
      </c>
      <c r="CE108" s="607">
        <v>-4.5242148023876973E-2</v>
      </c>
      <c r="CF108" s="607">
        <v>-5.6358632357332718E-2</v>
      </c>
      <c r="CG108" s="607">
        <v>-6.7393993639739469E-2</v>
      </c>
      <c r="CH108" s="607">
        <v>-7.8346861504361862E-2</v>
      </c>
      <c r="CI108" s="607">
        <v>-8.9216024339338437E-2</v>
      </c>
      <c r="CJ108" s="607">
        <v>-0.10000039397754627</v>
      </c>
      <c r="CK108" s="607">
        <v>-0.11069898198257108</v>
      </c>
      <c r="CL108" s="607">
        <v>-0.12131088469463633</v>
      </c>
      <c r="CM108" s="607">
        <v>-0.13183527394590813</v>
      </c>
      <c r="CN108" s="607">
        <v>-1.1868923579606269E-2</v>
      </c>
      <c r="CO108" s="607">
        <v>-2.3622681641834984E-2</v>
      </c>
      <c r="CP108" s="607">
        <v>-3.5261332343631942E-2</v>
      </c>
      <c r="CQ108" s="607">
        <v>-4.6784971029008367E-2</v>
      </c>
      <c r="CR108" s="607">
        <v>-5.8193728932195848E-2</v>
      </c>
      <c r="CS108" s="607">
        <v>-6.9487771780876617E-2</v>
      </c>
      <c r="CT108" s="607">
        <v>-8.066729830067644E-2</v>
      </c>
      <c r="CU108" s="607">
        <v>-9.1732538663675256E-2</v>
      </c>
      <c r="CV108" s="607">
        <v>-0.10268375292697011</v>
      </c>
      <c r="CW108" s="607">
        <v>-0.1135212294969507</v>
      </c>
      <c r="CX108" s="607">
        <v>-0.12424528364293663</v>
      </c>
      <c r="CY108" s="607">
        <v>-0.13485625607392171</v>
      </c>
    </row>
    <row r="109" spans="1:103">
      <c r="A109" s="229"/>
      <c r="B109" s="229"/>
      <c r="C109" s="229"/>
      <c r="D109" s="229"/>
      <c r="E109" s="229"/>
      <c r="F109" s="203"/>
      <c r="G109" s="203"/>
      <c r="H109" s="203"/>
      <c r="I109" s="203"/>
      <c r="J109" s="203"/>
      <c r="K109" s="203"/>
      <c r="L109" s="271"/>
      <c r="M109" s="271"/>
      <c r="N109" s="271"/>
      <c r="O109" s="271"/>
      <c r="P109" s="271"/>
      <c r="Q109" s="271"/>
      <c r="R109" s="271"/>
      <c r="S109" s="271"/>
      <c r="T109" s="248"/>
      <c r="U109" s="248"/>
      <c r="V109" s="248"/>
      <c r="W109" s="248"/>
      <c r="X109" s="248"/>
      <c r="Y109" s="248"/>
      <c r="Z109" s="248"/>
      <c r="AA109" s="248"/>
      <c r="AB109" s="248"/>
      <c r="AC109" s="248"/>
      <c r="AD109" s="248"/>
      <c r="AE109" s="248"/>
      <c r="AF109" s="271"/>
      <c r="AG109" s="271"/>
      <c r="AH109" s="271"/>
      <c r="AI109" s="271"/>
      <c r="AJ109" s="271"/>
      <c r="AK109" s="271"/>
      <c r="AL109" s="271"/>
      <c r="AM109" s="271"/>
      <c r="AN109" s="271"/>
      <c r="AO109" s="271"/>
      <c r="AP109" s="271"/>
      <c r="AQ109" s="271"/>
      <c r="AR109" s="271"/>
      <c r="AS109" s="271"/>
      <c r="AT109" s="271"/>
      <c r="AU109" s="271"/>
      <c r="AV109" s="271"/>
      <c r="AW109" s="271"/>
      <c r="AX109" s="271"/>
      <c r="AY109" s="271"/>
      <c r="AZ109" s="271"/>
      <c r="BA109" s="271"/>
      <c r="BB109" s="271"/>
      <c r="BC109" s="271"/>
      <c r="BD109" s="271"/>
      <c r="BE109" s="271"/>
      <c r="BF109" s="271"/>
      <c r="BG109" s="271"/>
      <c r="BH109" s="271"/>
      <c r="BI109" s="271"/>
      <c r="BJ109" s="271"/>
      <c r="BK109" s="271"/>
      <c r="BL109" s="271"/>
      <c r="BM109" s="271"/>
      <c r="BN109" s="271"/>
      <c r="BO109" s="271"/>
      <c r="BP109" s="271"/>
      <c r="BQ109" s="271"/>
      <c r="BR109" s="271"/>
      <c r="BS109" s="271"/>
      <c r="BT109" s="271"/>
      <c r="BU109" s="271"/>
      <c r="BV109" s="271"/>
      <c r="BW109" s="271"/>
      <c r="BX109" s="271"/>
      <c r="BY109" s="271"/>
      <c r="BZ109" s="271"/>
      <c r="CA109" s="271"/>
      <c r="CB109" s="271"/>
      <c r="CC109" s="271"/>
      <c r="CD109" s="271"/>
      <c r="CE109" s="271"/>
      <c r="CF109" s="271"/>
      <c r="CG109" s="271"/>
      <c r="CH109" s="271"/>
      <c r="CI109" s="271"/>
      <c r="CJ109" s="271"/>
      <c r="CK109" s="271"/>
      <c r="CL109" s="271"/>
      <c r="CM109" s="271"/>
      <c r="CN109" s="271"/>
      <c r="CO109" s="271"/>
      <c r="CP109" s="271"/>
      <c r="CQ109" s="271"/>
      <c r="CR109" s="271"/>
      <c r="CS109" s="271"/>
      <c r="CT109" s="271"/>
      <c r="CU109" s="271"/>
      <c r="CV109" s="271"/>
      <c r="CW109" s="271"/>
      <c r="CX109" s="271"/>
      <c r="CY109" s="271"/>
    </row>
    <row r="110" spans="1:103" ht="18">
      <c r="A110" s="676" t="s">
        <v>878</v>
      </c>
      <c r="B110" s="613"/>
      <c r="C110" s="613"/>
      <c r="D110" s="613"/>
      <c r="E110" s="613"/>
      <c r="F110" s="614"/>
      <c r="G110" s="614"/>
      <c r="H110" s="203"/>
      <c r="I110" s="203"/>
      <c r="J110" s="203"/>
      <c r="K110" s="203"/>
      <c r="L110" s="271"/>
      <c r="M110" s="271"/>
      <c r="N110" s="271"/>
      <c r="O110" s="271"/>
      <c r="P110" s="271"/>
      <c r="Q110" s="271"/>
      <c r="R110" s="271"/>
      <c r="S110" s="271"/>
      <c r="T110" s="248"/>
      <c r="U110" s="248"/>
      <c r="V110" s="248"/>
      <c r="W110" s="248"/>
      <c r="X110" s="248"/>
      <c r="Y110" s="248"/>
      <c r="Z110" s="248"/>
      <c r="AA110" s="248"/>
      <c r="AB110" s="248"/>
      <c r="AC110" s="248"/>
      <c r="AD110" s="248"/>
      <c r="AE110" s="248"/>
      <c r="AF110" s="271"/>
      <c r="AG110" s="271"/>
      <c r="AH110" s="271"/>
      <c r="AI110" s="271"/>
      <c r="AJ110" s="271"/>
      <c r="AK110" s="271"/>
      <c r="AL110" s="271"/>
      <c r="AM110" s="271"/>
      <c r="AN110" s="271"/>
      <c r="AO110" s="271"/>
      <c r="AP110" s="271"/>
      <c r="AQ110" s="271"/>
      <c r="AR110" s="271"/>
      <c r="AS110" s="271"/>
      <c r="AT110" s="271"/>
      <c r="AU110" s="271"/>
      <c r="AV110" s="271"/>
      <c r="AW110" s="271"/>
      <c r="AX110" s="271"/>
      <c r="AY110" s="271"/>
      <c r="AZ110" s="271"/>
      <c r="BA110" s="271"/>
      <c r="BB110" s="271"/>
      <c r="BC110" s="271"/>
      <c r="BD110" s="271"/>
      <c r="BE110" s="271"/>
      <c r="BF110" s="271"/>
      <c r="BG110" s="271"/>
      <c r="BH110" s="271"/>
      <c r="BI110" s="271"/>
      <c r="BJ110" s="271"/>
      <c r="BK110" s="271"/>
      <c r="BL110" s="271"/>
      <c r="BM110" s="271"/>
      <c r="BN110" s="271"/>
      <c r="BO110" s="271"/>
      <c r="BP110" s="271"/>
      <c r="BQ110" s="271"/>
      <c r="BR110" s="271"/>
      <c r="BS110" s="271"/>
      <c r="BT110" s="271"/>
      <c r="BU110" s="271"/>
      <c r="BV110" s="271"/>
      <c r="BW110" s="271"/>
      <c r="BX110" s="271"/>
      <c r="BY110" s="271"/>
      <c r="BZ110" s="271"/>
      <c r="CA110" s="271"/>
      <c r="CB110" s="271"/>
      <c r="CC110" s="271"/>
      <c r="CD110" s="271"/>
      <c r="CE110" s="271"/>
      <c r="CF110" s="271"/>
      <c r="CG110" s="271"/>
      <c r="CH110" s="271"/>
      <c r="CI110" s="271"/>
      <c r="CJ110" s="271"/>
      <c r="CK110" s="271"/>
      <c r="CL110" s="271"/>
      <c r="CM110" s="271"/>
      <c r="CN110" s="271"/>
      <c r="CO110" s="271"/>
      <c r="CP110" s="271"/>
      <c r="CQ110" s="271"/>
      <c r="CR110" s="271"/>
      <c r="CS110" s="271"/>
      <c r="CT110" s="271"/>
      <c r="CU110" s="271"/>
      <c r="CV110" s="271"/>
      <c r="CW110" s="271"/>
      <c r="CX110" s="271"/>
      <c r="CY110" s="271"/>
    </row>
    <row r="111" spans="1:103" ht="18">
      <c r="A111" s="229"/>
      <c r="B111" s="585" t="s">
        <v>879</v>
      </c>
      <c r="C111" s="272"/>
      <c r="D111" s="272"/>
      <c r="E111" s="272"/>
      <c r="F111" s="219"/>
      <c r="G111" s="220"/>
      <c r="H111" s="203"/>
      <c r="I111" s="203"/>
      <c r="J111" s="203"/>
      <c r="K111" s="203"/>
      <c r="L111" s="229"/>
      <c r="M111" s="229"/>
      <c r="N111" s="229"/>
      <c r="O111" s="229"/>
      <c r="P111" s="229"/>
      <c r="Q111" s="229"/>
      <c r="R111" s="229"/>
      <c r="S111" s="229"/>
      <c r="T111" s="275"/>
      <c r="U111" s="275"/>
      <c r="V111" s="275"/>
      <c r="W111" s="275"/>
      <c r="X111" s="275"/>
      <c r="Y111" s="275"/>
      <c r="Z111" s="237"/>
      <c r="AA111" s="237"/>
      <c r="AB111" s="237"/>
      <c r="AC111" s="237"/>
      <c r="AD111" s="237"/>
      <c r="AE111" s="237"/>
      <c r="AF111" s="237"/>
      <c r="AG111" s="237"/>
      <c r="AH111" s="237"/>
      <c r="AI111" s="237"/>
      <c r="AJ111" s="237"/>
      <c r="AK111" s="237"/>
      <c r="AL111" s="237"/>
      <c r="AM111" s="237"/>
      <c r="AN111" s="237"/>
      <c r="AO111" s="237"/>
      <c r="AP111" s="237"/>
      <c r="AQ111" s="237"/>
      <c r="AR111" s="237"/>
      <c r="AS111" s="237"/>
      <c r="AT111" s="237"/>
      <c r="AU111" s="237"/>
      <c r="AV111" s="237"/>
      <c r="AW111" s="237"/>
      <c r="AX111" s="237"/>
      <c r="AY111" s="237"/>
      <c r="AZ111" s="237"/>
      <c r="BA111" s="237"/>
      <c r="BB111" s="237"/>
      <c r="BC111" s="237"/>
      <c r="BD111" s="237"/>
      <c r="BE111" s="237"/>
      <c r="BF111" s="237"/>
      <c r="BG111" s="237"/>
      <c r="BH111" s="237"/>
      <c r="BI111" s="237"/>
      <c r="BJ111" s="237"/>
      <c r="BK111" s="237"/>
      <c r="BL111" s="237"/>
      <c r="BM111" s="237"/>
      <c r="BN111" s="237"/>
      <c r="BO111" s="237"/>
      <c r="BP111" s="237"/>
      <c r="BQ111" s="237"/>
      <c r="BR111" s="237"/>
      <c r="BS111" s="237"/>
      <c r="BT111" s="237"/>
      <c r="BU111" s="237"/>
      <c r="BV111" s="237"/>
      <c r="BW111" s="237"/>
      <c r="BX111" s="237"/>
      <c r="BY111" s="237"/>
      <c r="BZ111" s="237"/>
      <c r="CA111" s="237"/>
      <c r="CB111" s="237"/>
      <c r="CC111" s="237"/>
      <c r="CD111" s="237"/>
      <c r="CE111" s="237"/>
      <c r="CF111" s="237"/>
      <c r="CG111" s="237"/>
      <c r="CH111" s="237"/>
      <c r="CI111" s="237"/>
      <c r="CJ111" s="237"/>
      <c r="CK111" s="237"/>
      <c r="CL111" s="237"/>
      <c r="CM111" s="237"/>
      <c r="CN111" s="237"/>
      <c r="CO111" s="237"/>
      <c r="CP111" s="237"/>
      <c r="CQ111" s="237"/>
      <c r="CR111" s="237"/>
      <c r="CS111" s="237"/>
      <c r="CT111" s="237"/>
      <c r="CU111" s="237"/>
      <c r="CV111" s="237"/>
      <c r="CW111" s="237"/>
      <c r="CX111" s="237"/>
      <c r="CY111" s="237"/>
    </row>
    <row r="112" spans="1:103">
      <c r="A112" s="229"/>
      <c r="B112" s="230" t="s">
        <v>416</v>
      </c>
      <c r="C112" s="230"/>
      <c r="D112" s="230"/>
      <c r="E112" s="232"/>
      <c r="F112" s="232"/>
      <c r="G112" s="587" t="s">
        <v>743</v>
      </c>
      <c r="H112" s="203"/>
      <c r="I112" s="203"/>
      <c r="J112" s="203"/>
      <c r="K112" s="203"/>
      <c r="L112" s="229"/>
      <c r="M112" s="229"/>
      <c r="N112" s="229"/>
      <c r="O112" s="229"/>
      <c r="P112" s="229"/>
      <c r="Q112" s="229"/>
      <c r="R112" s="229"/>
      <c r="S112" s="229"/>
      <c r="T112" s="594"/>
      <c r="U112" s="594"/>
      <c r="V112" s="594"/>
      <c r="W112" s="594"/>
      <c r="X112" s="594"/>
      <c r="Y112" s="594"/>
      <c r="Z112" s="594"/>
      <c r="AA112" s="594"/>
      <c r="AB112" s="594"/>
      <c r="AC112" s="594"/>
      <c r="AD112" s="594"/>
      <c r="AE112" s="249">
        <f t="shared" ref="AE112:AQ114" si="50">AE164+AE216</f>
        <v>0.112</v>
      </c>
      <c r="AF112" s="249">
        <f t="shared" si="50"/>
        <v>0.41600000000000004</v>
      </c>
      <c r="AG112" s="249">
        <f t="shared" si="50"/>
        <v>0.48299999999999998</v>
      </c>
      <c r="AH112" s="249">
        <f t="shared" si="50"/>
        <v>0.40700000000000003</v>
      </c>
      <c r="AI112" s="249">
        <f t="shared" si="50"/>
        <v>0.45899999999999996</v>
      </c>
      <c r="AJ112" s="249">
        <f t="shared" si="50"/>
        <v>0.71699999999999997</v>
      </c>
      <c r="AK112" s="249">
        <f t="shared" si="50"/>
        <v>0.70099999999999996</v>
      </c>
      <c r="AL112" s="249">
        <f t="shared" si="50"/>
        <v>1.129</v>
      </c>
      <c r="AM112" s="249">
        <f t="shared" si="50"/>
        <v>0.92099999999999993</v>
      </c>
      <c r="AN112" s="249">
        <f t="shared" si="50"/>
        <v>0.68899999999999995</v>
      </c>
      <c r="AO112" s="249">
        <f t="shared" si="50"/>
        <v>0.51100000000000001</v>
      </c>
      <c r="AP112" s="249">
        <f t="shared" si="50"/>
        <v>0.59416666666666673</v>
      </c>
      <c r="AQ112" s="249">
        <f t="shared" si="50"/>
        <v>1.2</v>
      </c>
      <c r="AR112" s="249">
        <v>1.2916666666666665</v>
      </c>
      <c r="AS112" s="249">
        <v>1.3833333333333333</v>
      </c>
      <c r="AT112" s="249">
        <v>1.4750000000000001</v>
      </c>
      <c r="AU112" s="249">
        <v>1.5666666666666667</v>
      </c>
      <c r="AV112" s="249">
        <v>1.6583333333333332</v>
      </c>
      <c r="AW112" s="249">
        <v>1.75</v>
      </c>
      <c r="AX112" s="249">
        <v>1.8416666666666668</v>
      </c>
      <c r="AY112" s="249">
        <v>1.9333333333333333</v>
      </c>
      <c r="AZ112" s="249">
        <v>2.0249999999999999</v>
      </c>
      <c r="BA112" s="249">
        <v>2.1166666666666667</v>
      </c>
      <c r="BB112" s="249">
        <v>2.2083333333333335</v>
      </c>
      <c r="BC112" s="249">
        <v>2.2999999999999998</v>
      </c>
      <c r="BD112" s="249">
        <v>2.3916666666666666</v>
      </c>
      <c r="BE112" s="249">
        <v>2.4833333333333334</v>
      </c>
      <c r="BF112" s="249">
        <v>2.5750000000000002</v>
      </c>
      <c r="BG112" s="249">
        <v>2.666666666666667</v>
      </c>
      <c r="BH112" s="249">
        <v>2.7583333333333337</v>
      </c>
      <c r="BI112" s="249">
        <v>2.8500000000000005</v>
      </c>
      <c r="BJ112" s="249">
        <v>2.9416666666666673</v>
      </c>
      <c r="BK112" s="249">
        <v>3.0333333333333341</v>
      </c>
      <c r="BL112" s="249">
        <v>3.1250000000000009</v>
      </c>
      <c r="BM112" s="249">
        <v>3.2166666666666677</v>
      </c>
      <c r="BN112" s="249">
        <v>3.3083333333333345</v>
      </c>
      <c r="BO112" s="249">
        <v>3.4</v>
      </c>
      <c r="BP112" s="249">
        <v>3.4916666666666667</v>
      </c>
      <c r="BQ112" s="249">
        <v>3.5833333333333335</v>
      </c>
      <c r="BR112" s="249">
        <v>3.6749999999999998</v>
      </c>
      <c r="BS112" s="249">
        <v>3.7666666666666666</v>
      </c>
      <c r="BT112" s="249">
        <v>3.8583333333333334</v>
      </c>
      <c r="BU112" s="249">
        <v>3.9499999999999997</v>
      </c>
      <c r="BV112" s="249">
        <v>4.0416666666666661</v>
      </c>
      <c r="BW112" s="249">
        <v>4.1333333333333329</v>
      </c>
      <c r="BX112" s="249">
        <v>4.2249999999999996</v>
      </c>
      <c r="BY112" s="249">
        <v>4.3166666666666664</v>
      </c>
      <c r="BZ112" s="249">
        <v>4.4083333333333323</v>
      </c>
      <c r="CA112" s="249">
        <v>4.5</v>
      </c>
      <c r="CB112" s="249">
        <v>4.5916666666666668</v>
      </c>
      <c r="CC112" s="249">
        <v>4.6833333333333327</v>
      </c>
      <c r="CD112" s="249">
        <v>4.7749999999999986</v>
      </c>
      <c r="CE112" s="249">
        <v>4.8666666666666654</v>
      </c>
      <c r="CF112" s="249">
        <v>4.9583333333333321</v>
      </c>
      <c r="CG112" s="249">
        <v>5.049999999999998</v>
      </c>
      <c r="CH112" s="249">
        <v>5.1416666666666639</v>
      </c>
      <c r="CI112" s="249">
        <v>5.2333333333333307</v>
      </c>
      <c r="CJ112" s="249">
        <v>5.3249999999999975</v>
      </c>
      <c r="CK112" s="249">
        <v>5.4166666666666634</v>
      </c>
      <c r="CL112" s="249">
        <v>5.5083333333333293</v>
      </c>
      <c r="CM112" s="249">
        <v>5.6</v>
      </c>
      <c r="CN112" s="249">
        <v>5.6749999999999998</v>
      </c>
      <c r="CO112" s="249">
        <v>5.75</v>
      </c>
      <c r="CP112" s="249">
        <v>5.8249999999999993</v>
      </c>
      <c r="CQ112" s="249">
        <v>5.8999999999999986</v>
      </c>
      <c r="CR112" s="249">
        <v>5.9749999999999988</v>
      </c>
      <c r="CS112" s="249">
        <v>6.0499999999999989</v>
      </c>
      <c r="CT112" s="249">
        <v>6.1249999999999982</v>
      </c>
      <c r="CU112" s="249">
        <v>6.1999999999999975</v>
      </c>
      <c r="CV112" s="249">
        <v>6.2749999999999977</v>
      </c>
      <c r="CW112" s="249">
        <v>6.3499999999999979</v>
      </c>
      <c r="CX112" s="249">
        <v>6.4249999999999972</v>
      </c>
      <c r="CY112" s="249">
        <v>6.5</v>
      </c>
    </row>
    <row r="113" spans="1:103">
      <c r="A113" s="229"/>
      <c r="B113" s="229" t="s">
        <v>862</v>
      </c>
      <c r="C113" s="230" t="s">
        <v>417</v>
      </c>
      <c r="D113" s="230"/>
      <c r="E113" s="232"/>
      <c r="F113" s="232"/>
      <c r="G113" s="587" t="s">
        <v>743</v>
      </c>
      <c r="H113" s="203"/>
      <c r="I113" s="203"/>
      <c r="J113" s="203"/>
      <c r="K113" s="203"/>
      <c r="L113" s="229"/>
      <c r="M113" s="229"/>
      <c r="N113" s="229"/>
      <c r="O113" s="229"/>
      <c r="P113" s="229"/>
      <c r="Q113" s="229"/>
      <c r="R113" s="229"/>
      <c r="S113" s="229"/>
      <c r="T113" s="615"/>
      <c r="U113" s="615"/>
      <c r="V113" s="615"/>
      <c r="W113" s="615"/>
      <c r="X113" s="615"/>
      <c r="Y113" s="615"/>
      <c r="Z113" s="615"/>
      <c r="AA113" s="615"/>
      <c r="AB113" s="615"/>
      <c r="AC113" s="615"/>
      <c r="AD113" s="615"/>
      <c r="AE113" s="249">
        <f t="shared" si="50"/>
        <v>3.7450000000000001</v>
      </c>
      <c r="AF113" s="249">
        <f t="shared" si="50"/>
        <v>4.1609999999999996</v>
      </c>
      <c r="AG113" s="249">
        <f t="shared" si="50"/>
        <v>4.6440000000000001</v>
      </c>
      <c r="AH113" s="249">
        <f t="shared" si="50"/>
        <v>5.051000000000001</v>
      </c>
      <c r="AI113" s="249">
        <f t="shared" si="50"/>
        <v>5.5099999999999989</v>
      </c>
      <c r="AJ113" s="249">
        <f t="shared" si="50"/>
        <v>6.2270000000000003</v>
      </c>
      <c r="AK113" s="249">
        <f t="shared" si="50"/>
        <v>6.927999999999999</v>
      </c>
      <c r="AL113" s="249">
        <f t="shared" si="50"/>
        <v>8.0570000000000004</v>
      </c>
      <c r="AM113" s="249">
        <f t="shared" si="50"/>
        <v>8.9779999999999998</v>
      </c>
      <c r="AN113" s="249">
        <f t="shared" si="50"/>
        <v>9.6669999999999998</v>
      </c>
      <c r="AO113" s="249">
        <f t="shared" si="50"/>
        <v>11.515000000000001</v>
      </c>
      <c r="AP113" s="249">
        <f t="shared" si="50"/>
        <v>12.109166666666667</v>
      </c>
      <c r="AQ113" s="249">
        <f t="shared" si="50"/>
        <v>13.309166666666666</v>
      </c>
      <c r="AR113" s="249">
        <v>14.600833333333334</v>
      </c>
      <c r="AS113" s="249">
        <v>15.984166666666667</v>
      </c>
      <c r="AT113" s="249">
        <v>17.459166666666668</v>
      </c>
      <c r="AU113" s="249">
        <v>19.025833333333335</v>
      </c>
      <c r="AV113" s="249">
        <v>20.684166666666666</v>
      </c>
      <c r="AW113" s="249">
        <v>22.434166666666666</v>
      </c>
      <c r="AX113" s="249">
        <v>24.275833333333331</v>
      </c>
      <c r="AY113" s="249">
        <v>26.209166666666665</v>
      </c>
      <c r="AZ113" s="249">
        <v>28.234166666666667</v>
      </c>
      <c r="BA113" s="249">
        <v>30.35083333333333</v>
      </c>
      <c r="BB113" s="249">
        <v>32.559166666666663</v>
      </c>
      <c r="BC113" s="249">
        <v>34.859166666666667</v>
      </c>
      <c r="BD113" s="249">
        <v>37.250833333333333</v>
      </c>
      <c r="BE113" s="249">
        <v>39.734166666666667</v>
      </c>
      <c r="BF113" s="249">
        <v>42.309166666666663</v>
      </c>
      <c r="BG113" s="249">
        <v>44.975833333333327</v>
      </c>
      <c r="BH113" s="249">
        <v>47.734166666666667</v>
      </c>
      <c r="BI113" s="249">
        <v>50.584166666666661</v>
      </c>
      <c r="BJ113" s="249">
        <v>53.525833333333338</v>
      </c>
      <c r="BK113" s="249">
        <v>56.55916666666667</v>
      </c>
      <c r="BL113" s="249">
        <v>59.68416666666667</v>
      </c>
      <c r="BM113" s="249">
        <v>62.900833333333331</v>
      </c>
      <c r="BN113" s="249">
        <v>66.209166666666675</v>
      </c>
      <c r="BO113" s="249">
        <v>69.609166666666667</v>
      </c>
      <c r="BP113" s="249">
        <v>73.100833333333327</v>
      </c>
      <c r="BQ113" s="249">
        <v>76.68416666666667</v>
      </c>
      <c r="BR113" s="249">
        <v>80.359166666666667</v>
      </c>
      <c r="BS113" s="249">
        <v>84.125833333333333</v>
      </c>
      <c r="BT113" s="249">
        <v>87.984166666666667</v>
      </c>
      <c r="BU113" s="249">
        <v>91.93416666666667</v>
      </c>
      <c r="BV113" s="249">
        <v>95.975833333333327</v>
      </c>
      <c r="BW113" s="249">
        <v>100.10916666666667</v>
      </c>
      <c r="BX113" s="249">
        <v>104.33416666666668</v>
      </c>
      <c r="BY113" s="249">
        <v>108.65083333333334</v>
      </c>
      <c r="BZ113" s="249">
        <v>113.05916666666667</v>
      </c>
      <c r="CA113" s="249">
        <v>117.55916666666667</v>
      </c>
      <c r="CB113" s="249">
        <v>122.15083333333332</v>
      </c>
      <c r="CC113" s="249">
        <v>126.83416666666666</v>
      </c>
      <c r="CD113" s="249">
        <v>131.60916666666668</v>
      </c>
      <c r="CE113" s="249">
        <v>136.47583333333336</v>
      </c>
      <c r="CF113" s="249">
        <v>141.43416666666667</v>
      </c>
      <c r="CG113" s="249">
        <v>146.48416666666668</v>
      </c>
      <c r="CH113" s="249">
        <v>151.62583333333333</v>
      </c>
      <c r="CI113" s="249">
        <v>156.85916666666665</v>
      </c>
      <c r="CJ113" s="249">
        <v>162.18416666666667</v>
      </c>
      <c r="CK113" s="249">
        <v>167.60083333333333</v>
      </c>
      <c r="CL113" s="249">
        <v>173.10916666666665</v>
      </c>
      <c r="CM113" s="249">
        <v>178.70916666666665</v>
      </c>
      <c r="CN113" s="249">
        <v>184.38416666666666</v>
      </c>
      <c r="CO113" s="249">
        <v>190.13416666666666</v>
      </c>
      <c r="CP113" s="249">
        <v>195.95916666666665</v>
      </c>
      <c r="CQ113" s="249">
        <v>201.85916666666668</v>
      </c>
      <c r="CR113" s="249">
        <v>207.83416666666665</v>
      </c>
      <c r="CS113" s="249">
        <v>213.88416666666666</v>
      </c>
      <c r="CT113" s="249">
        <v>220.00916666666666</v>
      </c>
      <c r="CU113" s="249">
        <v>226.20916666666665</v>
      </c>
      <c r="CV113" s="249">
        <v>232.48416666666665</v>
      </c>
      <c r="CW113" s="249">
        <v>238.83416666666665</v>
      </c>
      <c r="CX113" s="249">
        <v>245.25916666666666</v>
      </c>
      <c r="CY113" s="249">
        <v>251.75916666666666</v>
      </c>
    </row>
    <row r="114" spans="1:103">
      <c r="A114" s="229"/>
      <c r="B114" s="230" t="s">
        <v>863</v>
      </c>
      <c r="C114" s="230"/>
      <c r="D114" s="230"/>
      <c r="E114" s="232"/>
      <c r="F114" s="232"/>
      <c r="G114" s="587" t="s">
        <v>743</v>
      </c>
      <c r="H114" s="203"/>
      <c r="I114" s="203"/>
      <c r="J114" s="203"/>
      <c r="K114" s="203"/>
      <c r="L114" s="229"/>
      <c r="M114" s="229"/>
      <c r="N114" s="229"/>
      <c r="O114" s="229"/>
      <c r="P114" s="229"/>
      <c r="Q114" s="229"/>
      <c r="R114" s="229"/>
      <c r="S114" s="229"/>
      <c r="T114" s="231"/>
      <c r="U114" s="231"/>
      <c r="V114" s="231"/>
      <c r="W114" s="231"/>
      <c r="X114" s="231"/>
      <c r="Y114" s="231"/>
      <c r="Z114" s="231"/>
      <c r="AA114" s="231"/>
      <c r="AB114" s="231"/>
      <c r="AC114" s="231"/>
      <c r="AD114" s="231"/>
      <c r="AE114" s="249">
        <f t="shared" si="50"/>
        <v>2.1030000000000002</v>
      </c>
      <c r="AF114" s="249">
        <f t="shared" si="50"/>
        <v>2.621</v>
      </c>
      <c r="AG114" s="249">
        <f t="shared" si="50"/>
        <v>2.9870000000000001</v>
      </c>
      <c r="AH114" s="249">
        <f t="shared" si="50"/>
        <v>3.2629999999999999</v>
      </c>
      <c r="AI114" s="249">
        <f t="shared" si="50"/>
        <v>3.7539999999999996</v>
      </c>
      <c r="AJ114" s="249">
        <f t="shared" si="50"/>
        <v>4.2139999999999995</v>
      </c>
      <c r="AK114" s="249">
        <f t="shared" si="50"/>
        <v>4.1309999999999993</v>
      </c>
      <c r="AL114" s="249">
        <f t="shared" si="50"/>
        <v>4.7709999999999999</v>
      </c>
      <c r="AM114" s="249">
        <f t="shared" si="50"/>
        <v>5.3390000000000004</v>
      </c>
      <c r="AN114" s="249">
        <f t="shared" si="50"/>
        <v>5.7030000000000012</v>
      </c>
      <c r="AO114" s="249">
        <f t="shared" si="50"/>
        <v>6.24</v>
      </c>
      <c r="AP114" s="249">
        <f t="shared" si="50"/>
        <v>11.455271666666667</v>
      </c>
      <c r="AQ114" s="249">
        <f t="shared" si="50"/>
        <v>12.590471666666666</v>
      </c>
      <c r="AR114" s="249">
        <v>8.7605000000000004</v>
      </c>
      <c r="AS114" s="249">
        <v>9.5905000000000005</v>
      </c>
      <c r="AT114" s="249">
        <v>10.4755</v>
      </c>
      <c r="AU114" s="249">
        <v>11.4155</v>
      </c>
      <c r="AV114" s="249">
        <v>12.410499999999999</v>
      </c>
      <c r="AW114" s="249">
        <v>13.4605</v>
      </c>
      <c r="AX114" s="249">
        <v>14.5655</v>
      </c>
      <c r="AY114" s="249">
        <v>15.7255</v>
      </c>
      <c r="AZ114" s="249">
        <v>16.9405</v>
      </c>
      <c r="BA114" s="249">
        <v>18.2105</v>
      </c>
      <c r="BB114" s="249">
        <v>19.535499999999999</v>
      </c>
      <c r="BC114" s="249">
        <v>20.915499999999998</v>
      </c>
      <c r="BD114" s="249">
        <v>22.350499999999997</v>
      </c>
      <c r="BE114" s="249">
        <v>23.840499999999999</v>
      </c>
      <c r="BF114" s="249">
        <v>25.385499999999997</v>
      </c>
      <c r="BG114" s="249">
        <v>26.985499999999998</v>
      </c>
      <c r="BH114" s="249">
        <v>28.640499999999996</v>
      </c>
      <c r="BI114" s="249">
        <v>30.350499999999997</v>
      </c>
      <c r="BJ114" s="249">
        <v>32.115499999999997</v>
      </c>
      <c r="BK114" s="249">
        <v>33.935499999999998</v>
      </c>
      <c r="BL114" s="249">
        <v>35.810499999999998</v>
      </c>
      <c r="BM114" s="249">
        <v>37.740499999999997</v>
      </c>
      <c r="BN114" s="249">
        <v>39.725499999999997</v>
      </c>
      <c r="BO114" s="249">
        <v>41.765500000000003</v>
      </c>
      <c r="BP114" s="249">
        <v>43.860500000000002</v>
      </c>
      <c r="BQ114" s="249">
        <v>46.0105</v>
      </c>
      <c r="BR114" s="249">
        <v>48.215499999999999</v>
      </c>
      <c r="BS114" s="249">
        <v>50.475499999999997</v>
      </c>
      <c r="BT114" s="249">
        <v>52.790499999999994</v>
      </c>
      <c r="BU114" s="249">
        <v>55.160499999999999</v>
      </c>
      <c r="BV114" s="249">
        <v>57.585499999999996</v>
      </c>
      <c r="BW114" s="249">
        <v>60.0655</v>
      </c>
      <c r="BX114" s="249">
        <v>62.600499999999997</v>
      </c>
      <c r="BY114" s="249">
        <v>65.1905</v>
      </c>
      <c r="BZ114" s="249">
        <v>67.835499999999996</v>
      </c>
      <c r="CA114" s="249">
        <v>70.535499999999985</v>
      </c>
      <c r="CB114" s="249">
        <v>73.290499999999994</v>
      </c>
      <c r="CC114" s="249">
        <v>76.100499999999997</v>
      </c>
      <c r="CD114" s="249">
        <v>78.965499999999992</v>
      </c>
      <c r="CE114" s="249">
        <v>81.885500000000008</v>
      </c>
      <c r="CF114" s="249">
        <v>84.860500000000002</v>
      </c>
      <c r="CG114" s="249">
        <v>87.890500000000003</v>
      </c>
      <c r="CH114" s="249">
        <v>90.975499999999997</v>
      </c>
      <c r="CI114" s="249">
        <v>94.115499999999997</v>
      </c>
      <c r="CJ114" s="249">
        <v>97.31049999999999</v>
      </c>
      <c r="CK114" s="249">
        <v>100.56049999999999</v>
      </c>
      <c r="CL114" s="249">
        <v>103.8655</v>
      </c>
      <c r="CM114" s="249">
        <v>107.22549999999998</v>
      </c>
      <c r="CN114" s="249">
        <v>110.63049999999998</v>
      </c>
      <c r="CO114" s="249">
        <v>114.08049999999999</v>
      </c>
      <c r="CP114" s="249">
        <v>117.57549999999999</v>
      </c>
      <c r="CQ114" s="249">
        <v>121.1155</v>
      </c>
      <c r="CR114" s="249">
        <v>124.70049999999999</v>
      </c>
      <c r="CS114" s="249">
        <v>128.3305</v>
      </c>
      <c r="CT114" s="249">
        <v>132.00549999999998</v>
      </c>
      <c r="CU114" s="249">
        <v>135.72549999999998</v>
      </c>
      <c r="CV114" s="249">
        <v>139.4905</v>
      </c>
      <c r="CW114" s="249">
        <v>143.3005</v>
      </c>
      <c r="CX114" s="249">
        <v>147.15549999999999</v>
      </c>
      <c r="CY114" s="249">
        <v>151.05549999999999</v>
      </c>
    </row>
    <row r="115" spans="1:103">
      <c r="A115" s="229"/>
      <c r="B115" s="230" t="s">
        <v>419</v>
      </c>
      <c r="C115" s="230"/>
      <c r="D115" s="230"/>
      <c r="E115" s="232"/>
      <c r="F115" s="232"/>
      <c r="G115" s="232" t="s">
        <v>812</v>
      </c>
      <c r="H115" s="203"/>
      <c r="I115" s="203"/>
      <c r="J115" s="203"/>
      <c r="K115" s="203"/>
      <c r="L115" s="229"/>
      <c r="M115" s="229"/>
      <c r="N115" s="229"/>
      <c r="O115" s="229"/>
      <c r="P115" s="229"/>
      <c r="Q115" s="229"/>
      <c r="R115" s="229"/>
      <c r="S115" s="229"/>
      <c r="T115" s="622"/>
      <c r="U115" s="622"/>
      <c r="V115" s="622"/>
      <c r="W115" s="622"/>
      <c r="X115" s="622"/>
      <c r="Y115" s="622"/>
      <c r="Z115" s="622"/>
      <c r="AA115" s="622"/>
      <c r="AB115" s="622"/>
      <c r="AC115" s="622"/>
      <c r="AD115" s="622"/>
      <c r="AE115" s="640">
        <f>AE114/AE113</f>
        <v>0.56154873164218966</v>
      </c>
      <c r="AF115" s="640">
        <f t="shared" ref="AF115:AQ115" si="51">AF114/AF113</f>
        <v>0.62989665945686135</v>
      </c>
      <c r="AG115" s="640">
        <f t="shared" si="51"/>
        <v>0.64319552110249789</v>
      </c>
      <c r="AH115" s="640">
        <f t="shared" si="51"/>
        <v>0.64601069095228647</v>
      </c>
      <c r="AI115" s="640">
        <f t="shared" si="51"/>
        <v>0.68130671506352092</v>
      </c>
      <c r="AJ115" s="640">
        <f t="shared" si="51"/>
        <v>0.67673036775333217</v>
      </c>
      <c r="AK115" s="640">
        <f t="shared" si="51"/>
        <v>0.59627598152424943</v>
      </c>
      <c r="AL115" s="640">
        <f t="shared" si="51"/>
        <v>0.59215588928881713</v>
      </c>
      <c r="AM115" s="640">
        <f t="shared" si="51"/>
        <v>0.59467587435954561</v>
      </c>
      <c r="AN115" s="640">
        <f t="shared" si="51"/>
        <v>0.58994517430433446</v>
      </c>
      <c r="AO115" s="640">
        <f t="shared" si="51"/>
        <v>0.54190186712983068</v>
      </c>
      <c r="AP115" s="640">
        <f t="shared" si="51"/>
        <v>0.94599999999999995</v>
      </c>
      <c r="AQ115" s="640">
        <f t="shared" si="51"/>
        <v>0.94599999999999995</v>
      </c>
      <c r="AR115" s="640">
        <v>0.6</v>
      </c>
      <c r="AS115" s="640">
        <v>0.6</v>
      </c>
      <c r="AT115" s="640">
        <v>0.6</v>
      </c>
      <c r="AU115" s="640">
        <v>0.6</v>
      </c>
      <c r="AV115" s="640">
        <v>0.6</v>
      </c>
      <c r="AW115" s="640">
        <v>0.6</v>
      </c>
      <c r="AX115" s="640">
        <v>0.60000000000000009</v>
      </c>
      <c r="AY115" s="640">
        <v>0.60000000000000009</v>
      </c>
      <c r="AZ115" s="640">
        <v>0.6</v>
      </c>
      <c r="BA115" s="640">
        <v>0.60000000000000009</v>
      </c>
      <c r="BB115" s="640">
        <v>0.60000000000000009</v>
      </c>
      <c r="BC115" s="640">
        <v>0.6</v>
      </c>
      <c r="BD115" s="640">
        <v>0.6</v>
      </c>
      <c r="BE115" s="640">
        <v>0.6</v>
      </c>
      <c r="BF115" s="640">
        <v>0.6</v>
      </c>
      <c r="BG115" s="640">
        <v>0.60000000000000009</v>
      </c>
      <c r="BH115" s="640">
        <v>0.59999999999999987</v>
      </c>
      <c r="BI115" s="640">
        <v>0.6</v>
      </c>
      <c r="BJ115" s="640">
        <v>0.59999999999999987</v>
      </c>
      <c r="BK115" s="640">
        <v>0.6</v>
      </c>
      <c r="BL115" s="640">
        <v>0.6</v>
      </c>
      <c r="BM115" s="640">
        <v>0.6</v>
      </c>
      <c r="BN115" s="640">
        <v>0.59999999999999987</v>
      </c>
      <c r="BO115" s="640">
        <v>0.60000000000000009</v>
      </c>
      <c r="BP115" s="640">
        <v>0.60000000000000009</v>
      </c>
      <c r="BQ115" s="640">
        <v>0.6</v>
      </c>
      <c r="BR115" s="640">
        <v>0.6</v>
      </c>
      <c r="BS115" s="640">
        <v>0.6</v>
      </c>
      <c r="BT115" s="640">
        <v>0.6</v>
      </c>
      <c r="BU115" s="640">
        <v>0.6</v>
      </c>
      <c r="BV115" s="640">
        <v>0.6</v>
      </c>
      <c r="BW115" s="640">
        <v>0.6</v>
      </c>
      <c r="BX115" s="640">
        <v>0.59999999999999987</v>
      </c>
      <c r="BY115" s="640">
        <v>0.6</v>
      </c>
      <c r="BZ115" s="640">
        <v>0.6</v>
      </c>
      <c r="CA115" s="640">
        <v>0.59999999999999987</v>
      </c>
      <c r="CB115" s="640">
        <v>0.6</v>
      </c>
      <c r="CC115" s="640">
        <v>0.6</v>
      </c>
      <c r="CD115" s="640">
        <v>0.59999999999999987</v>
      </c>
      <c r="CE115" s="640">
        <v>0.6</v>
      </c>
      <c r="CF115" s="640">
        <v>0.6</v>
      </c>
      <c r="CG115" s="640">
        <v>0.6</v>
      </c>
      <c r="CH115" s="640">
        <v>0.6</v>
      </c>
      <c r="CI115" s="640">
        <v>0.60000000000000009</v>
      </c>
      <c r="CJ115" s="640">
        <v>0.6</v>
      </c>
      <c r="CK115" s="640">
        <v>0.6</v>
      </c>
      <c r="CL115" s="640">
        <v>0.6</v>
      </c>
      <c r="CM115" s="640">
        <v>0.6</v>
      </c>
      <c r="CN115" s="640">
        <v>0.6</v>
      </c>
      <c r="CO115" s="640">
        <v>0.6</v>
      </c>
      <c r="CP115" s="640">
        <v>0.6</v>
      </c>
      <c r="CQ115" s="640">
        <v>0.6</v>
      </c>
      <c r="CR115" s="640">
        <v>0.6</v>
      </c>
      <c r="CS115" s="640">
        <v>0.6</v>
      </c>
      <c r="CT115" s="640">
        <v>0.6</v>
      </c>
      <c r="CU115" s="640">
        <v>0.6</v>
      </c>
      <c r="CV115" s="640">
        <v>0.6</v>
      </c>
      <c r="CW115" s="640">
        <v>0.60000000000000009</v>
      </c>
      <c r="CX115" s="640">
        <v>0.6</v>
      </c>
      <c r="CY115" s="640">
        <v>0.6</v>
      </c>
    </row>
    <row r="116" spans="1:103">
      <c r="A116" s="230"/>
      <c r="B116" s="230" t="s">
        <v>864</v>
      </c>
      <c r="C116" s="230"/>
      <c r="D116" s="230"/>
      <c r="E116" s="232"/>
      <c r="F116" s="232"/>
      <c r="G116" s="232" t="s">
        <v>736</v>
      </c>
      <c r="H116" s="203"/>
      <c r="I116" s="232"/>
      <c r="J116" s="232"/>
      <c r="K116" s="232"/>
      <c r="L116" s="230"/>
      <c r="M116" s="230"/>
      <c r="N116" s="230"/>
      <c r="O116" s="230"/>
      <c r="P116" s="230"/>
      <c r="Q116" s="230"/>
      <c r="R116" s="230"/>
      <c r="S116" s="230"/>
      <c r="T116" s="610"/>
      <c r="U116" s="610"/>
      <c r="V116" s="610"/>
      <c r="W116" s="610"/>
      <c r="X116" s="610"/>
      <c r="Y116" s="610"/>
      <c r="Z116" s="610"/>
      <c r="AA116" s="610"/>
      <c r="AB116" s="610"/>
      <c r="AC116" s="610"/>
      <c r="AD116" s="610"/>
      <c r="AE116" s="249">
        <f t="shared" ref="AE116:AQ118" si="52">AE168+AE220</f>
        <v>8.0338795189999992</v>
      </c>
      <c r="AF116" s="249">
        <f t="shared" si="52"/>
        <v>7.74375678</v>
      </c>
      <c r="AG116" s="249">
        <f t="shared" si="52"/>
        <v>10.109161281999999</v>
      </c>
      <c r="AH116" s="249">
        <f t="shared" si="52"/>
        <v>13.380240694999999</v>
      </c>
      <c r="AI116" s="249">
        <f t="shared" si="52"/>
        <v>13.351768185999999</v>
      </c>
      <c r="AJ116" s="249">
        <f t="shared" si="52"/>
        <v>19.202583678</v>
      </c>
      <c r="AK116" s="249">
        <f t="shared" si="52"/>
        <v>19.199863153000003</v>
      </c>
      <c r="AL116" s="249">
        <f t="shared" si="52"/>
        <v>28.015654108</v>
      </c>
      <c r="AM116" s="249">
        <f t="shared" si="52"/>
        <v>31.20093</v>
      </c>
      <c r="AN116" s="249">
        <f t="shared" si="52"/>
        <v>28.453830000000004</v>
      </c>
      <c r="AO116" s="249">
        <f t="shared" si="52"/>
        <v>41.285119999999999</v>
      </c>
      <c r="AP116" s="249">
        <f t="shared" si="52"/>
        <v>0</v>
      </c>
      <c r="AQ116" s="249">
        <f t="shared" si="52"/>
        <v>0</v>
      </c>
      <c r="AR116" s="249">
        <v>45.919620833333333</v>
      </c>
      <c r="AS116" s="249">
        <v>50.669808333333343</v>
      </c>
      <c r="AT116" s="249">
        <v>55.782037500000015</v>
      </c>
      <c r="AU116" s="249">
        <v>61.263183333333345</v>
      </c>
      <c r="AV116" s="249">
        <v>67.120120833333345</v>
      </c>
      <c r="AW116" s="249">
        <v>73.359725000000026</v>
      </c>
      <c r="AX116" s="249">
        <v>79.988870833333365</v>
      </c>
      <c r="AY116" s="249">
        <v>87.014433333333372</v>
      </c>
      <c r="AZ116" s="249">
        <v>94.443287500000025</v>
      </c>
      <c r="BA116" s="249">
        <v>102.28230833333339</v>
      </c>
      <c r="BB116" s="249">
        <v>110.53837083333339</v>
      </c>
      <c r="BC116" s="249">
        <v>119.21834999999999</v>
      </c>
      <c r="BD116" s="249">
        <v>127.39784999999998</v>
      </c>
      <c r="BE116" s="249">
        <v>135.89085</v>
      </c>
      <c r="BF116" s="249">
        <v>144.69734999999997</v>
      </c>
      <c r="BG116" s="249">
        <v>153.81735</v>
      </c>
      <c r="BH116" s="249">
        <v>163.25084999999996</v>
      </c>
      <c r="BI116" s="249">
        <v>172.99785</v>
      </c>
      <c r="BJ116" s="249">
        <v>183.05834999999999</v>
      </c>
      <c r="BK116" s="249">
        <v>193.43234999999999</v>
      </c>
      <c r="BL116" s="249">
        <v>204.11984999999999</v>
      </c>
      <c r="BM116" s="249">
        <v>215.12084999999999</v>
      </c>
      <c r="BN116" s="249">
        <v>226.43534999999997</v>
      </c>
      <c r="BO116" s="249">
        <v>238.06335000000001</v>
      </c>
      <c r="BP116" s="249">
        <v>250.00485</v>
      </c>
      <c r="BQ116" s="249">
        <v>262.25985000000003</v>
      </c>
      <c r="BR116" s="249">
        <v>274.82835</v>
      </c>
      <c r="BS116" s="249">
        <v>287.71034999999995</v>
      </c>
      <c r="BT116" s="249">
        <v>300.90584999999999</v>
      </c>
      <c r="BU116" s="249">
        <v>314.41485</v>
      </c>
      <c r="BV116" s="249">
        <v>328.23734999999999</v>
      </c>
      <c r="BW116" s="249">
        <v>342.37334999999996</v>
      </c>
      <c r="BX116" s="249">
        <v>356.82285000000002</v>
      </c>
      <c r="BY116" s="249">
        <v>371.58584999999994</v>
      </c>
      <c r="BZ116" s="249">
        <v>386.66234999999995</v>
      </c>
      <c r="CA116" s="249">
        <v>402.05234999999993</v>
      </c>
      <c r="CB116" s="249">
        <v>417.75585000000001</v>
      </c>
      <c r="CC116" s="249">
        <v>433.77284999999995</v>
      </c>
      <c r="CD116" s="249">
        <v>450.10334999999998</v>
      </c>
      <c r="CE116" s="249">
        <v>466.74734999999998</v>
      </c>
      <c r="CF116" s="249">
        <v>483.70484999999996</v>
      </c>
      <c r="CG116" s="249">
        <v>500.97584999999998</v>
      </c>
      <c r="CH116" s="249">
        <v>518.56034999999997</v>
      </c>
      <c r="CI116" s="249">
        <v>536.45834999999988</v>
      </c>
      <c r="CJ116" s="249">
        <v>554.66985</v>
      </c>
      <c r="CK116" s="249">
        <v>573.19484999999986</v>
      </c>
      <c r="CL116" s="249">
        <v>592.03334999999993</v>
      </c>
      <c r="CM116" s="249">
        <v>611.18534999999997</v>
      </c>
      <c r="CN116" s="249">
        <v>630.59384999999997</v>
      </c>
      <c r="CO116" s="249">
        <v>650.25884999999994</v>
      </c>
      <c r="CP116" s="249">
        <v>670.18034999999986</v>
      </c>
      <c r="CQ116" s="249">
        <v>690.35834999999997</v>
      </c>
      <c r="CR116" s="249">
        <v>710.79284999999993</v>
      </c>
      <c r="CS116" s="249">
        <v>731.48384999999996</v>
      </c>
      <c r="CT116" s="249">
        <v>752.43135000000007</v>
      </c>
      <c r="CU116" s="249">
        <v>773.6353499999999</v>
      </c>
      <c r="CV116" s="249">
        <v>795.09584999999993</v>
      </c>
      <c r="CW116" s="249">
        <v>816.81284999999991</v>
      </c>
      <c r="CX116" s="249">
        <v>838.78634999999997</v>
      </c>
      <c r="CY116" s="249">
        <v>861.01634999999999</v>
      </c>
    </row>
    <row r="117" spans="1:103">
      <c r="A117" s="230"/>
      <c r="B117" s="230" t="s">
        <v>874</v>
      </c>
      <c r="C117" s="230"/>
      <c r="D117" s="230"/>
      <c r="E117" s="232"/>
      <c r="F117" s="232"/>
      <c r="G117" s="232" t="s">
        <v>736</v>
      </c>
      <c r="H117" s="203"/>
      <c r="I117" s="232"/>
      <c r="J117" s="232"/>
      <c r="K117" s="232"/>
      <c r="L117" s="230"/>
      <c r="M117" s="230"/>
      <c r="N117" s="230"/>
      <c r="O117" s="230"/>
      <c r="P117" s="230"/>
      <c r="Q117" s="230"/>
      <c r="R117" s="230"/>
      <c r="S117" s="230"/>
      <c r="T117" s="619"/>
      <c r="U117" s="619"/>
      <c r="V117" s="619"/>
      <c r="W117" s="619"/>
      <c r="X117" s="619"/>
      <c r="Y117" s="619"/>
      <c r="Z117" s="619"/>
      <c r="AA117" s="619"/>
      <c r="AB117" s="619"/>
      <c r="AC117" s="619"/>
      <c r="AD117" s="619"/>
      <c r="AE117" s="249">
        <f t="shared" si="52"/>
        <v>11.648362013</v>
      </c>
      <c r="AF117" s="249">
        <f t="shared" si="52"/>
        <v>13.044771003999999</v>
      </c>
      <c r="AG117" s="249">
        <f t="shared" si="52"/>
        <v>15.459053368999999</v>
      </c>
      <c r="AH117" s="249">
        <f t="shared" si="52"/>
        <v>20.911055362999999</v>
      </c>
      <c r="AI117" s="249">
        <f t="shared" si="52"/>
        <v>25.181340940000002</v>
      </c>
      <c r="AJ117" s="249">
        <f t="shared" si="52"/>
        <v>27.821022795999998</v>
      </c>
      <c r="AK117" s="249">
        <f t="shared" si="52"/>
        <v>32.376521709000002</v>
      </c>
      <c r="AL117" s="249">
        <f t="shared" si="52"/>
        <v>39.101826438000003</v>
      </c>
      <c r="AM117" s="249">
        <f t="shared" si="52"/>
        <v>49.972950526999995</v>
      </c>
      <c r="AN117" s="249">
        <f t="shared" si="52"/>
        <v>55.89889711</v>
      </c>
      <c r="AO117" s="249">
        <f t="shared" si="52"/>
        <v>67.563055145999996</v>
      </c>
      <c r="AP117" s="249">
        <f t="shared" si="52"/>
        <v>35.753919227380003</v>
      </c>
      <c r="AQ117" s="249">
        <f t="shared" si="52"/>
        <v>18.896077190511402</v>
      </c>
      <c r="AR117" s="249">
        <v>82.245196616750718</v>
      </c>
      <c r="AS117" s="249">
        <v>90.869082103632991</v>
      </c>
      <c r="AT117" s="249">
        <v>100.13064658296003</v>
      </c>
      <c r="AU117" s="249">
        <v>110.18729258532795</v>
      </c>
      <c r="AV117" s="249">
        <v>120.84983592481419</v>
      </c>
      <c r="AW117" s="249">
        <v>132.17881051197102</v>
      </c>
      <c r="AX117" s="249">
        <v>144.33639514366655</v>
      </c>
      <c r="AY117" s="249">
        <v>157.44704354542426</v>
      </c>
      <c r="AZ117" s="249">
        <v>171.37421642674613</v>
      </c>
      <c r="BA117" s="249">
        <v>186.0473349983267</v>
      </c>
      <c r="BB117" s="249">
        <v>201.50757243665123</v>
      </c>
      <c r="BC117" s="249">
        <v>217.88603161976704</v>
      </c>
      <c r="BD117" s="249">
        <v>234.12536859980804</v>
      </c>
      <c r="BE117" s="249">
        <v>250.60578816176184</v>
      </c>
      <c r="BF117" s="249">
        <v>268.05531281645733</v>
      </c>
      <c r="BG117" s="249">
        <v>285.70408714313493</v>
      </c>
      <c r="BH117" s="249">
        <v>303.75824697956722</v>
      </c>
      <c r="BI117" s="249">
        <v>322.31901877873327</v>
      </c>
      <c r="BJ117" s="249">
        <v>341.43611556543249</v>
      </c>
      <c r="BK117" s="249">
        <v>361.20942104010516</v>
      </c>
      <c r="BL117" s="249">
        <v>381.55843639381033</v>
      </c>
      <c r="BM117" s="249">
        <v>402.50553428093076</v>
      </c>
      <c r="BN117" s="249">
        <v>424.06028515420689</v>
      </c>
      <c r="BO117" s="249">
        <v>446.23002542384643</v>
      </c>
      <c r="BP117" s="249">
        <v>469.01529827678519</v>
      </c>
      <c r="BQ117" s="249">
        <v>492.41484422599473</v>
      </c>
      <c r="BR117" s="249">
        <v>516.42726365658189</v>
      </c>
      <c r="BS117" s="249">
        <v>541.05145818074402</v>
      </c>
      <c r="BT117" s="249">
        <v>566.287215687865</v>
      </c>
      <c r="BU117" s="249">
        <v>592.13416735188378</v>
      </c>
      <c r="BV117" s="249">
        <v>618.59203642616626</v>
      </c>
      <c r="BW117" s="249">
        <v>645.66066330601222</v>
      </c>
      <c r="BX117" s="249">
        <v>673.34000064021438</v>
      </c>
      <c r="BY117" s="249">
        <v>701.63006033567308</v>
      </c>
      <c r="BZ117" s="249">
        <v>730.53087408976239</v>
      </c>
      <c r="CA117" s="249">
        <v>760.04247289150794</v>
      </c>
      <c r="CB117" s="249">
        <v>790.16487916112897</v>
      </c>
      <c r="CC117" s="249">
        <v>820.89810943187524</v>
      </c>
      <c r="CD117" s="249">
        <v>852.24217452747598</v>
      </c>
      <c r="CE117" s="249">
        <v>884.19708036664065</v>
      </c>
      <c r="CF117" s="249">
        <v>916.76282925101668</v>
      </c>
      <c r="CG117" s="249">
        <v>949.93942134452504</v>
      </c>
      <c r="CH117" s="249">
        <v>983.72685584718965</v>
      </c>
      <c r="CI117" s="249">
        <v>1018.1251317224726</v>
      </c>
      <c r="CJ117" s="249">
        <v>1053.1342480508717</v>
      </c>
      <c r="CK117" s="249">
        <v>1088.7542041402639</v>
      </c>
      <c r="CL117" s="249">
        <v>1124.9849995357572</v>
      </c>
      <c r="CM117" s="249">
        <v>1161.8266339812235</v>
      </c>
      <c r="CN117" s="249">
        <v>1199.2221073631904</v>
      </c>
      <c r="CO117" s="249">
        <v>1237.1429196558597</v>
      </c>
      <c r="CP117" s="249">
        <v>1275.5748208778805</v>
      </c>
      <c r="CQ117" s="249">
        <v>1314.5106860637693</v>
      </c>
      <c r="CR117" s="249">
        <v>1353.9469527480328</v>
      </c>
      <c r="CS117" s="249">
        <v>1393.8818397082237</v>
      </c>
      <c r="CT117" s="249">
        <v>1434.3144563382334</v>
      </c>
      <c r="CU117" s="249">
        <v>1475.2443573367468</v>
      </c>
      <c r="CV117" s="249">
        <v>1516.6721563455646</v>
      </c>
      <c r="CW117" s="249">
        <v>1558.5985616050766</v>
      </c>
      <c r="CX117" s="249">
        <v>1601.0241152329274</v>
      </c>
      <c r="CY117" s="249">
        <v>1643.9491704075563</v>
      </c>
    </row>
    <row r="118" spans="1:103">
      <c r="A118" s="229"/>
      <c r="B118" s="230" t="s">
        <v>875</v>
      </c>
      <c r="C118" s="230"/>
      <c r="D118" s="230"/>
      <c r="E118" s="232"/>
      <c r="F118" s="232"/>
      <c r="G118" s="232" t="s">
        <v>736</v>
      </c>
      <c r="H118" s="203"/>
      <c r="I118" s="203"/>
      <c r="J118" s="203"/>
      <c r="K118" s="203"/>
      <c r="L118" s="229"/>
      <c r="M118" s="229"/>
      <c r="N118" s="229"/>
      <c r="O118" s="229"/>
      <c r="P118" s="229"/>
      <c r="Q118" s="229"/>
      <c r="R118" s="229"/>
      <c r="S118" s="229"/>
      <c r="T118" s="619"/>
      <c r="U118" s="619"/>
      <c r="V118" s="619"/>
      <c r="W118" s="619"/>
      <c r="X118" s="619"/>
      <c r="Y118" s="619"/>
      <c r="Z118" s="619"/>
      <c r="AA118" s="619"/>
      <c r="AB118" s="619"/>
      <c r="AC118" s="619"/>
      <c r="AD118" s="619"/>
      <c r="AE118" s="249">
        <f t="shared" si="52"/>
        <v>6.8570000000000002</v>
      </c>
      <c r="AF118" s="249">
        <f t="shared" si="52"/>
        <v>7.9649999999999999</v>
      </c>
      <c r="AG118" s="249">
        <f t="shared" si="52"/>
        <v>9.8149999999999995</v>
      </c>
      <c r="AH118" s="249">
        <f t="shared" si="52"/>
        <v>12.684000000000001</v>
      </c>
      <c r="AI118" s="249">
        <f t="shared" si="52"/>
        <v>15.08</v>
      </c>
      <c r="AJ118" s="249">
        <f t="shared" si="52"/>
        <v>16.122</v>
      </c>
      <c r="AK118" s="249">
        <f t="shared" si="52"/>
        <v>18.740728023999999</v>
      </c>
      <c r="AL118" s="249">
        <f t="shared" si="52"/>
        <v>22.379728023999998</v>
      </c>
      <c r="AM118" s="249">
        <f t="shared" si="52"/>
        <v>28.91</v>
      </c>
      <c r="AN118" s="249">
        <f t="shared" si="52"/>
        <v>35.332000000000001</v>
      </c>
      <c r="AO118" s="249">
        <f t="shared" si="52"/>
        <v>41.796000000000006</v>
      </c>
      <c r="AP118" s="249">
        <f t="shared" si="52"/>
        <v>30.462830304228479</v>
      </c>
      <c r="AQ118" s="249">
        <f t="shared" si="52"/>
        <v>16.120727101241094</v>
      </c>
      <c r="AR118" s="249">
        <v>43.710094932423331</v>
      </c>
      <c r="AS118" s="249">
        <v>45.234858139212903</v>
      </c>
      <c r="AT118" s="249">
        <v>49.977995156998155</v>
      </c>
      <c r="AU118" s="249">
        <v>55.071855620628014</v>
      </c>
      <c r="AV118" s="249">
        <v>60.603010921930377</v>
      </c>
      <c r="AW118" s="249">
        <v>66.467409758647818</v>
      </c>
      <c r="AX118" s="249">
        <v>72.698345781584067</v>
      </c>
      <c r="AY118" s="249">
        <v>79.385017329016591</v>
      </c>
      <c r="AZ118" s="249">
        <v>86.595873949983343</v>
      </c>
      <c r="BA118" s="249">
        <v>94.255819034710385</v>
      </c>
      <c r="BB118" s="249">
        <v>102.3260342490797</v>
      </c>
      <c r="BC118" s="249">
        <v>110.8291648401582</v>
      </c>
      <c r="BD118" s="249">
        <v>119.83731739087187</v>
      </c>
      <c r="BE118" s="249">
        <v>128.76895272989444</v>
      </c>
      <c r="BF118" s="249">
        <v>137.83318348896901</v>
      </c>
      <c r="BG118" s="249">
        <v>147.43042204905157</v>
      </c>
      <c r="BH118" s="249">
        <v>157.13724792872421</v>
      </c>
      <c r="BI118" s="249">
        <v>167.06703583876197</v>
      </c>
      <c r="BJ118" s="249">
        <v>177.27546032830332</v>
      </c>
      <c r="BK118" s="249">
        <v>187.78986356098787</v>
      </c>
      <c r="BL118" s="249">
        <v>198.66518157205786</v>
      </c>
      <c r="BM118" s="249">
        <v>209.85714001659568</v>
      </c>
      <c r="BN118" s="249">
        <v>221.37804385451193</v>
      </c>
      <c r="BO118" s="249">
        <v>233.23315683481383</v>
      </c>
      <c r="BP118" s="249">
        <v>245.42651398311557</v>
      </c>
      <c r="BQ118" s="249">
        <v>257.95841405223189</v>
      </c>
      <c r="BR118" s="249">
        <v>270.82816432429712</v>
      </c>
      <c r="BS118" s="249">
        <v>284.03499501112003</v>
      </c>
      <c r="BT118" s="249">
        <v>297.57830199940929</v>
      </c>
      <c r="BU118" s="249">
        <v>311.45796862832583</v>
      </c>
      <c r="BV118" s="249">
        <v>325.67379204353608</v>
      </c>
      <c r="BW118" s="249">
        <v>340.22562003439145</v>
      </c>
      <c r="BX118" s="249">
        <v>355.11336481830676</v>
      </c>
      <c r="BY118" s="249">
        <v>370.33700035211791</v>
      </c>
      <c r="BZ118" s="249">
        <v>385.89653318462024</v>
      </c>
      <c r="CA118" s="249">
        <v>401.79198074936932</v>
      </c>
      <c r="CB118" s="249">
        <v>418.02336009032945</v>
      </c>
      <c r="CC118" s="249">
        <v>434.59068353862097</v>
      </c>
      <c r="CD118" s="249">
        <v>451.49396018753146</v>
      </c>
      <c r="CE118" s="249">
        <v>468.73319599011188</v>
      </c>
      <c r="CF118" s="249">
        <v>486.30839420165239</v>
      </c>
      <c r="CG118" s="249">
        <v>504.21955608805922</v>
      </c>
      <c r="CH118" s="249">
        <v>522.46668173948888</v>
      </c>
      <c r="CI118" s="249">
        <v>541.04977071595431</v>
      </c>
      <c r="CJ118" s="249">
        <v>559.96882244736003</v>
      </c>
      <c r="CK118" s="249">
        <v>579.22383642797945</v>
      </c>
      <c r="CL118" s="249">
        <v>598.81481227714517</v>
      </c>
      <c r="CM118" s="249">
        <v>618.74174974466655</v>
      </c>
      <c r="CN118" s="249">
        <v>639.0046486896731</v>
      </c>
      <c r="CO118" s="249">
        <v>659.57215904975476</v>
      </c>
      <c r="CP118" s="249">
        <v>680.42860581072296</v>
      </c>
      <c r="CQ118" s="249">
        <v>701.56615148283436</v>
      </c>
      <c r="CR118" s="249">
        <v>722.98087733507305</v>
      </c>
      <c r="CS118" s="249">
        <v>744.67082401141806</v>
      </c>
      <c r="CT118" s="249">
        <v>766.63501183952303</v>
      </c>
      <c r="CU118" s="249">
        <v>788.8729509860284</v>
      </c>
      <c r="CV118" s="249">
        <v>811.38439653521095</v>
      </c>
      <c r="CW118" s="249">
        <v>834.16968599006054</v>
      </c>
      <c r="CX118" s="249">
        <v>857.22920888279214</v>
      </c>
      <c r="CY118" s="249">
        <v>880.56326337811015</v>
      </c>
    </row>
    <row r="119" spans="1:103">
      <c r="A119" s="229"/>
      <c r="B119" s="230" t="s">
        <v>215</v>
      </c>
      <c r="C119" s="230"/>
      <c r="D119" s="230"/>
      <c r="E119" s="232"/>
      <c r="F119" s="230"/>
      <c r="G119" s="232" t="s">
        <v>736</v>
      </c>
      <c r="H119" s="203"/>
      <c r="I119" s="203"/>
      <c r="J119" s="203"/>
      <c r="K119" s="203"/>
      <c r="L119" s="229"/>
      <c r="M119" s="229"/>
      <c r="N119" s="229"/>
      <c r="O119" s="229"/>
      <c r="P119" s="229"/>
      <c r="Q119" s="229"/>
      <c r="R119" s="229"/>
      <c r="S119" s="229"/>
      <c r="T119" s="590"/>
      <c r="U119" s="590"/>
      <c r="V119" s="590"/>
      <c r="W119" s="590"/>
      <c r="X119" s="590"/>
      <c r="Y119" s="590"/>
      <c r="Z119" s="590"/>
      <c r="AA119" s="590"/>
      <c r="AB119" s="590"/>
      <c r="AC119" s="590"/>
      <c r="AD119" s="590"/>
      <c r="AE119" s="249">
        <f t="shared" ref="AE119:AQ119" si="53">AE123+AE126</f>
        <v>0.27752348011000461</v>
      </c>
      <c r="AF119" s="249">
        <f t="shared" si="53"/>
        <v>0.33176004193363107</v>
      </c>
      <c r="AG119" s="249">
        <f t="shared" si="53"/>
        <v>0.47263845280071431</v>
      </c>
      <c r="AH119" s="249">
        <f t="shared" si="53"/>
        <v>0.42921607312515186</v>
      </c>
      <c r="AI119" s="249">
        <f t="shared" si="53"/>
        <v>0.63779650314815184</v>
      </c>
      <c r="AJ119" s="249">
        <f t="shared" si="53"/>
        <v>0.75433936334693541</v>
      </c>
      <c r="AK119" s="590">
        <f t="shared" si="53"/>
        <v>0.8448675537482413</v>
      </c>
      <c r="AL119" s="590">
        <f t="shared" si="53"/>
        <v>0.96558934220675396</v>
      </c>
      <c r="AM119" s="590">
        <f t="shared" si="53"/>
        <v>1.224795855232208</v>
      </c>
      <c r="AN119" s="590">
        <f t="shared" si="53"/>
        <v>1.4866305506215065</v>
      </c>
      <c r="AO119" s="590">
        <f t="shared" si="53"/>
        <v>0.80247727824090875</v>
      </c>
      <c r="AP119" s="590">
        <f t="shared" si="53"/>
        <v>-1.8821731676760385E-2</v>
      </c>
      <c r="AQ119" s="590">
        <f t="shared" si="53"/>
        <v>3.1737579280181226E-3</v>
      </c>
      <c r="AR119" s="590">
        <v>2.106912335022761</v>
      </c>
      <c r="AS119" s="590">
        <v>2.2531775338734623</v>
      </c>
      <c r="AT119" s="590">
        <v>2.4308922967454998</v>
      </c>
      <c r="AU119" s="590">
        <v>2.687633799156619</v>
      </c>
      <c r="AV119" s="590">
        <v>2.989594048018815</v>
      </c>
      <c r="AW119" s="590">
        <v>3.2832109496601865</v>
      </c>
      <c r="AX119" s="590">
        <v>3.6513431753628134</v>
      </c>
      <c r="AY119" s="590">
        <v>3.9783765104198414</v>
      </c>
      <c r="AZ119" s="590">
        <v>4.3266855446875248</v>
      </c>
      <c r="BA119" s="590">
        <v>4.7025327099324503</v>
      </c>
      <c r="BB119" s="590">
        <v>5.1287324011881621</v>
      </c>
      <c r="BC119" s="590">
        <v>5.5770412277202732</v>
      </c>
      <c r="BD119" s="590">
        <v>6.0680353478553286</v>
      </c>
      <c r="BE119" s="590">
        <v>6.5387488515628629</v>
      </c>
      <c r="BF119" s="590">
        <v>6.9824611056113994</v>
      </c>
      <c r="BG119" s="590">
        <v>7.4499574268019142</v>
      </c>
      <c r="BH119" s="590">
        <v>7.9519046812693119</v>
      </c>
      <c r="BI119" s="590">
        <v>8.4376779658650136</v>
      </c>
      <c r="BJ119" s="590">
        <v>8.9820150281119311</v>
      </c>
      <c r="BK119" s="590">
        <v>9.4760182465045073</v>
      </c>
      <c r="BL119" s="590">
        <v>9.9848433962915912</v>
      </c>
      <c r="BM119" s="590">
        <v>10.515623614002525</v>
      </c>
      <c r="BN119" s="590">
        <v>11.087446333678061</v>
      </c>
      <c r="BO119" s="590">
        <v>11.735014318356216</v>
      </c>
      <c r="BP119" s="590">
        <v>12.360998641134184</v>
      </c>
      <c r="BQ119" s="590">
        <v>12.985661271030253</v>
      </c>
      <c r="BR119" s="590">
        <v>13.61474579409176</v>
      </c>
      <c r="BS119" s="590">
        <v>14.270509398336847</v>
      </c>
      <c r="BT119" s="590">
        <v>14.958722762970929</v>
      </c>
      <c r="BU119" s="590">
        <v>15.640240729421825</v>
      </c>
      <c r="BV119" s="590">
        <v>16.376153586268067</v>
      </c>
      <c r="BW119" s="590">
        <v>17.072999086379628</v>
      </c>
      <c r="BX119" s="590">
        <v>17.784917195477512</v>
      </c>
      <c r="BY119" s="590">
        <v>18.517561842316095</v>
      </c>
      <c r="BZ119" s="590">
        <v>19.287705973711677</v>
      </c>
      <c r="CA119" s="590">
        <v>20.124844761297638</v>
      </c>
      <c r="CB119" s="590">
        <v>20.945639464890515</v>
      </c>
      <c r="CC119" s="590">
        <v>21.767656125599963</v>
      </c>
      <c r="CD119" s="590">
        <v>22.595700383717237</v>
      </c>
      <c r="CE119" s="590">
        <v>23.448803156008992</v>
      </c>
      <c r="CF119" s="590">
        <v>24.331905151255157</v>
      </c>
      <c r="CG119" s="590">
        <v>25.211626949584193</v>
      </c>
      <c r="CH119" s="590">
        <v>26.140187378364118</v>
      </c>
      <c r="CI119" s="590">
        <v>27.037624839133962</v>
      </c>
      <c r="CJ119" s="590">
        <v>27.950277441990391</v>
      </c>
      <c r="CK119" s="590">
        <v>28.882968594877902</v>
      </c>
      <c r="CL119" s="590">
        <v>29.850012214631676</v>
      </c>
      <c r="CM119" s="590">
        <v>30.869734951372958</v>
      </c>
      <c r="CN119" s="590">
        <v>31.865208196129949</v>
      </c>
      <c r="CO119" s="590">
        <v>32.877434109696999</v>
      </c>
      <c r="CP119" s="590">
        <v>33.903199442606663</v>
      </c>
      <c r="CQ119" s="590">
        <v>34.942118190017915</v>
      </c>
      <c r="CR119" s="590">
        <v>35.994025459905657</v>
      </c>
      <c r="CS119" s="590">
        <v>37.058866454163493</v>
      </c>
      <c r="CT119" s="590">
        <v>38.136641054827152</v>
      </c>
      <c r="CU119" s="590">
        <v>39.227376116784228</v>
      </c>
      <c r="CV119" s="590">
        <v>40.331095600302234</v>
      </c>
      <c r="CW119" s="590">
        <v>41.447818728357561</v>
      </c>
      <c r="CX119" s="590">
        <v>42.577565043490402</v>
      </c>
      <c r="CY119" s="590">
        <v>43.720347996066586</v>
      </c>
    </row>
    <row r="120" spans="1:103">
      <c r="A120" s="229"/>
      <c r="B120" s="230" t="s">
        <v>99</v>
      </c>
      <c r="C120" s="230"/>
      <c r="D120" s="230"/>
      <c r="E120" s="232"/>
      <c r="F120" s="230"/>
      <c r="G120" s="232" t="s">
        <v>736</v>
      </c>
      <c r="H120" s="203"/>
      <c r="I120" s="203"/>
      <c r="J120" s="203"/>
      <c r="K120" s="203"/>
      <c r="L120" s="229"/>
      <c r="M120" s="229"/>
      <c r="N120" s="229"/>
      <c r="O120" s="229"/>
      <c r="P120" s="229"/>
      <c r="Q120" s="229"/>
      <c r="R120" s="229"/>
      <c r="S120" s="229"/>
      <c r="T120" s="231"/>
      <c r="U120" s="231"/>
      <c r="V120" s="231"/>
      <c r="W120" s="231"/>
      <c r="X120" s="231"/>
      <c r="Y120" s="231"/>
      <c r="Z120" s="231"/>
      <c r="AA120" s="231"/>
      <c r="AB120" s="231"/>
      <c r="AC120" s="231"/>
      <c r="AD120" s="231"/>
      <c r="AE120" s="240">
        <f>AE124+AE136</f>
        <v>-0.19159358610482705</v>
      </c>
      <c r="AF120" s="240">
        <f t="shared" ref="AF120:AQ120" si="54">AF124+AF136</f>
        <v>-0.20061048627172429</v>
      </c>
      <c r="AG120" s="240">
        <f t="shared" si="54"/>
        <v>-0.1873175221395933</v>
      </c>
      <c r="AH120" s="240">
        <f t="shared" si="54"/>
        <v>-0.1927102068279134</v>
      </c>
      <c r="AI120" s="240">
        <f t="shared" si="54"/>
        <v>-0.2566600898355042</v>
      </c>
      <c r="AJ120" s="240">
        <f t="shared" si="54"/>
        <v>-0.29897729570238529</v>
      </c>
      <c r="AK120" s="231">
        <f t="shared" si="54"/>
        <v>-0.34811510510446364</v>
      </c>
      <c r="AL120" s="231">
        <f t="shared" si="54"/>
        <v>-0.39081407369954357</v>
      </c>
      <c r="AM120" s="231">
        <f t="shared" si="54"/>
        <v>-0.46066657862391425</v>
      </c>
      <c r="AN120" s="231">
        <f t="shared" si="54"/>
        <v>-0.41910508633560106</v>
      </c>
      <c r="AO120" s="231">
        <f t="shared" si="54"/>
        <v>-0.52839480240829528</v>
      </c>
      <c r="AP120" s="231">
        <f t="shared" si="54"/>
        <v>-1287.1573057350258</v>
      </c>
      <c r="AQ120" s="231">
        <f t="shared" si="54"/>
        <v>-680.84787203956375</v>
      </c>
      <c r="AR120" s="231">
        <v>-0.71588958809015102</v>
      </c>
      <c r="AS120" s="231">
        <v>-0.7768093196508794</v>
      </c>
      <c r="AT120" s="231">
        <v>-0.85515376769844242</v>
      </c>
      <c r="AU120" s="231">
        <v>-0.93937105942732679</v>
      </c>
      <c r="AV120" s="231">
        <v>-1.0294243181274092</v>
      </c>
      <c r="AW120" s="231">
        <v>-1.1250546765009661</v>
      </c>
      <c r="AX120" s="231">
        <v>-1.2268084740858363</v>
      </c>
      <c r="AY120" s="231">
        <v>-1.3353785333291666</v>
      </c>
      <c r="AZ120" s="231">
        <v>-1.4507731143945573</v>
      </c>
      <c r="BA120" s="231">
        <v>-1.5725535279324587</v>
      </c>
      <c r="BB120" s="231">
        <v>-1.700688342330158</v>
      </c>
      <c r="BC120" s="231">
        <v>-1.835608313129292</v>
      </c>
      <c r="BD120" s="231">
        <v>-1.9703562143365261</v>
      </c>
      <c r="BE120" s="231">
        <v>-2.1076373797452641</v>
      </c>
      <c r="BF120" s="231">
        <v>-2.2499914969084189</v>
      </c>
      <c r="BG120" s="231">
        <v>-2.3973226987407319</v>
      </c>
      <c r="BH120" s="231">
        <v>-2.5483391278645255</v>
      </c>
      <c r="BI120" s="231">
        <v>-2.7037451561961054</v>
      </c>
      <c r="BJ120" s="231">
        <v>-2.8638866867053796</v>
      </c>
      <c r="BK120" s="231">
        <v>-3.029106545221024</v>
      </c>
      <c r="BL120" s="231">
        <v>-3.1994491554527231</v>
      </c>
      <c r="BM120" s="231">
        <v>-3.374781311629615</v>
      </c>
      <c r="BN120" s="231">
        <v>-3.5551762167055241</v>
      </c>
      <c r="BO120" s="231">
        <v>-3.7406726155747059</v>
      </c>
      <c r="BP120" s="231">
        <v>-3.9312885656472814</v>
      </c>
      <c r="BQ120" s="231">
        <v>-4.1270224254022043</v>
      </c>
      <c r="BR120" s="231">
        <v>-4.3278681010642384</v>
      </c>
      <c r="BS120" s="231">
        <v>-4.5338198680438726</v>
      </c>
      <c r="BT120" s="231">
        <v>-4.7448747231155632</v>
      </c>
      <c r="BU120" s="231">
        <v>-4.9610313349660915</v>
      </c>
      <c r="BV120" s="231">
        <v>-5.1822882241580315</v>
      </c>
      <c r="BW120" s="231">
        <v>-5.579831065719576</v>
      </c>
      <c r="BX120" s="231">
        <v>-5.8185107853767697</v>
      </c>
      <c r="BY120" s="231">
        <v>-6.0624459769030752</v>
      </c>
      <c r="BZ120" s="231">
        <v>-6.3116367402249569</v>
      </c>
      <c r="CA120" s="231">
        <v>-6.5660832189987435</v>
      </c>
      <c r="CB120" s="231">
        <v>-6.8257855356206267</v>
      </c>
      <c r="CC120" s="231">
        <v>-7.0907437793589683</v>
      </c>
      <c r="CD120" s="231">
        <v>-7.3609580129068464</v>
      </c>
      <c r="CE120" s="231">
        <v>-7.6364282746323511</v>
      </c>
      <c r="CF120" s="231">
        <v>-7.9171545833737973</v>
      </c>
      <c r="CG120" s="231">
        <v>-8.2031369447814502</v>
      </c>
      <c r="CH120" s="231">
        <v>-8.4943753573976792</v>
      </c>
      <c r="CI120" s="231">
        <v>-8.7908698170138084</v>
      </c>
      <c r="CJ120" s="231">
        <v>-9.0926203191472474</v>
      </c>
      <c r="CK120" s="231">
        <v>-9.3996268601046857</v>
      </c>
      <c r="CL120" s="231">
        <v>-9.7118894372575486</v>
      </c>
      <c r="CM120" s="231">
        <v>-10.029408048976414</v>
      </c>
      <c r="CN120" s="231">
        <v>-10.35160545941428</v>
      </c>
      <c r="CO120" s="231">
        <v>-10.678285730751989</v>
      </c>
      <c r="CP120" s="231">
        <v>-11.009350894223154</v>
      </c>
      <c r="CQ120" s="231">
        <v>-11.344751965574615</v>
      </c>
      <c r="CR120" s="231">
        <v>-11.684464452777046</v>
      </c>
      <c r="CS120" s="231">
        <v>-12.02847610987892</v>
      </c>
      <c r="CT120" s="231">
        <v>-12.376780813939799</v>
      </c>
      <c r="CU120" s="231">
        <v>-12.72937550350516</v>
      </c>
      <c r="CV120" s="231">
        <v>-13.086260564355296</v>
      </c>
      <c r="CW120" s="231">
        <v>-13.447439025803552</v>
      </c>
      <c r="CX120" s="231">
        <v>-13.812913753253758</v>
      </c>
      <c r="CY120" s="231">
        <v>-14.182686798426108</v>
      </c>
    </row>
    <row r="121" spans="1:103">
      <c r="A121" s="245"/>
      <c r="B121" s="229" t="s">
        <v>217</v>
      </c>
      <c r="C121" s="229"/>
      <c r="D121" s="229"/>
      <c r="E121" s="203"/>
      <c r="F121" s="229"/>
      <c r="G121" s="232" t="s">
        <v>736</v>
      </c>
      <c r="H121" s="203"/>
      <c r="I121" s="216"/>
      <c r="J121" s="216"/>
      <c r="K121" s="216"/>
      <c r="L121" s="245"/>
      <c r="M121" s="245"/>
      <c r="N121" s="245"/>
      <c r="O121" s="245"/>
      <c r="P121" s="245"/>
      <c r="Q121" s="245"/>
      <c r="R121" s="245"/>
      <c r="S121" s="245"/>
      <c r="T121" s="234"/>
      <c r="U121" s="234"/>
      <c r="V121" s="238"/>
      <c r="W121" s="238"/>
      <c r="X121" s="234"/>
      <c r="Y121" s="234"/>
      <c r="Z121" s="234"/>
      <c r="AA121" s="234"/>
      <c r="AB121" s="234"/>
      <c r="AC121" s="234"/>
      <c r="AD121" s="234"/>
      <c r="AE121" s="245">
        <f>AE122+AE125</f>
        <v>8.5929894005177559E-2</v>
      </c>
      <c r="AF121" s="245">
        <f t="shared" ref="AF121:AQ121" si="55">AF122+AF125</f>
        <v>0.13114955566190678</v>
      </c>
      <c r="AG121" s="245">
        <f t="shared" si="55"/>
        <v>0.28532093066112102</v>
      </c>
      <c r="AH121" s="245">
        <f t="shared" si="55"/>
        <v>0.23650586629723847</v>
      </c>
      <c r="AI121" s="245">
        <f t="shared" si="55"/>
        <v>0.38113641331264764</v>
      </c>
      <c r="AJ121" s="245">
        <f t="shared" si="55"/>
        <v>0.45536206764455012</v>
      </c>
      <c r="AK121" s="238">
        <f t="shared" si="55"/>
        <v>0.49675244864377766</v>
      </c>
      <c r="AL121" s="238">
        <f t="shared" si="55"/>
        <v>0.57477526850721039</v>
      </c>
      <c r="AM121" s="238">
        <f t="shared" si="55"/>
        <v>0.76412927660829388</v>
      </c>
      <c r="AN121" s="238">
        <f t="shared" si="55"/>
        <v>1.0675254642859056</v>
      </c>
      <c r="AO121" s="238">
        <f t="shared" si="55"/>
        <v>0.27408247583261347</v>
      </c>
      <c r="AP121" s="238">
        <f t="shared" si="55"/>
        <v>-1287.1761274667026</v>
      </c>
      <c r="AQ121" s="238">
        <f t="shared" si="55"/>
        <v>-680.84469828163571</v>
      </c>
      <c r="AR121" s="238">
        <v>1.3910227469326102</v>
      </c>
      <c r="AS121" s="238">
        <v>1.4763682142225827</v>
      </c>
      <c r="AT121" s="238">
        <v>1.5757385290470576</v>
      </c>
      <c r="AU121" s="238">
        <v>1.7482627397292922</v>
      </c>
      <c r="AV121" s="238">
        <v>1.960169729891406</v>
      </c>
      <c r="AW121" s="238">
        <v>2.1581562731592205</v>
      </c>
      <c r="AX121" s="238">
        <v>2.4245347012769773</v>
      </c>
      <c r="AY121" s="238">
        <v>2.6429979770906744</v>
      </c>
      <c r="AZ121" s="238">
        <v>2.8759124302929671</v>
      </c>
      <c r="BA121" s="238">
        <v>3.1299791819999916</v>
      </c>
      <c r="BB121" s="238">
        <v>3.4280440588580041</v>
      </c>
      <c r="BC121" s="238">
        <v>3.7414329145909817</v>
      </c>
      <c r="BD121" s="238">
        <v>4.0976791335188034</v>
      </c>
      <c r="BE121" s="238">
        <v>4.4311114718175979</v>
      </c>
      <c r="BF121" s="238">
        <v>4.7324696087029814</v>
      </c>
      <c r="BG121" s="238">
        <v>5.0526347280611823</v>
      </c>
      <c r="BH121" s="238">
        <v>5.4035655534047864</v>
      </c>
      <c r="BI121" s="238">
        <v>5.7339328096689082</v>
      </c>
      <c r="BJ121" s="238">
        <v>6.1181283414065497</v>
      </c>
      <c r="BK121" s="238">
        <v>6.4469117012834829</v>
      </c>
      <c r="BL121" s="238">
        <v>6.7853942408388681</v>
      </c>
      <c r="BM121" s="238">
        <v>7.1408423023729117</v>
      </c>
      <c r="BN121" s="238">
        <v>7.532270116972537</v>
      </c>
      <c r="BO121" s="238">
        <v>7.9943417027815098</v>
      </c>
      <c r="BP121" s="238">
        <v>8.4297100754869021</v>
      </c>
      <c r="BQ121" s="238">
        <v>8.8586388456280485</v>
      </c>
      <c r="BR121" s="238">
        <v>9.2868776930275221</v>
      </c>
      <c r="BS121" s="238">
        <v>9.7366895302929741</v>
      </c>
      <c r="BT121" s="238">
        <v>10.213848039855366</v>
      </c>
      <c r="BU121" s="238">
        <v>10.679209394455732</v>
      </c>
      <c r="BV121" s="238">
        <v>11.193865362110035</v>
      </c>
      <c r="BW121" s="238">
        <v>11.493168020660052</v>
      </c>
      <c r="BX121" s="238">
        <v>11.966406410100742</v>
      </c>
      <c r="BY121" s="238">
        <v>12.455115865413021</v>
      </c>
      <c r="BZ121" s="238">
        <v>12.97606923348672</v>
      </c>
      <c r="CA121" s="238">
        <v>13.558761542298893</v>
      </c>
      <c r="CB121" s="238">
        <v>14.119853929269889</v>
      </c>
      <c r="CC121" s="238">
        <v>14.676912346240993</v>
      </c>
      <c r="CD121" s="238">
        <v>15.234742370810388</v>
      </c>
      <c r="CE121" s="238">
        <v>15.812374881376641</v>
      </c>
      <c r="CF121" s="238">
        <v>16.414750567881359</v>
      </c>
      <c r="CG121" s="238">
        <v>17.008490004802745</v>
      </c>
      <c r="CH121" s="238">
        <v>17.645812020966439</v>
      </c>
      <c r="CI121" s="238">
        <v>18.246755022120151</v>
      </c>
      <c r="CJ121" s="238">
        <v>18.857657122843143</v>
      </c>
      <c r="CK121" s="238">
        <v>19.483341734773216</v>
      </c>
      <c r="CL121" s="238">
        <v>20.138122777374129</v>
      </c>
      <c r="CM121" s="238">
        <v>20.840326902396544</v>
      </c>
      <c r="CN121" s="238">
        <v>21.513602736715669</v>
      </c>
      <c r="CO121" s="238">
        <v>22.199148378945008</v>
      </c>
      <c r="CP121" s="238">
        <v>22.893848548383513</v>
      </c>
      <c r="CQ121" s="238">
        <v>23.597366224443302</v>
      </c>
      <c r="CR121" s="238">
        <v>24.309561007128615</v>
      </c>
      <c r="CS121" s="238">
        <v>25.030390344284577</v>
      </c>
      <c r="CT121" s="238">
        <v>25.759860240887356</v>
      </c>
      <c r="CU121" s="238">
        <v>26.498000613279064</v>
      </c>
      <c r="CV121" s="238">
        <v>27.244835035946938</v>
      </c>
      <c r="CW121" s="238">
        <v>28.000379702554014</v>
      </c>
      <c r="CX121" s="238">
        <v>28.764651290236642</v>
      </c>
      <c r="CY121" s="238">
        <v>29.537661197640478</v>
      </c>
    </row>
    <row r="122" spans="1:103">
      <c r="A122" s="229"/>
      <c r="B122" s="230"/>
      <c r="C122" s="229" t="s">
        <v>218</v>
      </c>
      <c r="D122" s="230"/>
      <c r="E122" s="203"/>
      <c r="F122" s="230"/>
      <c r="G122" s="232" t="s">
        <v>736</v>
      </c>
      <c r="H122" s="203"/>
      <c r="I122" s="203"/>
      <c r="J122" s="203"/>
      <c r="K122" s="203"/>
      <c r="L122" s="229"/>
      <c r="M122" s="229"/>
      <c r="N122" s="229"/>
      <c r="O122" s="229"/>
      <c r="P122" s="229"/>
      <c r="Q122" s="229"/>
      <c r="R122" s="229"/>
      <c r="S122" s="229"/>
      <c r="T122" s="234"/>
      <c r="U122" s="234"/>
      <c r="V122" s="234"/>
      <c r="W122" s="234"/>
      <c r="X122" s="234"/>
      <c r="Y122" s="234"/>
      <c r="Z122" s="234"/>
      <c r="AA122" s="234"/>
      <c r="AB122" s="234"/>
      <c r="AC122" s="234"/>
      <c r="AD122" s="234"/>
      <c r="AE122" s="245">
        <f t="shared" ref="AE122:AQ122" si="56">AE123+AE124</f>
        <v>0.12307867943903067</v>
      </c>
      <c r="AF122" s="245">
        <f t="shared" si="56"/>
        <v>0.1537056628775485</v>
      </c>
      <c r="AG122" s="245">
        <f t="shared" si="56"/>
        <v>0.23345115628461577</v>
      </c>
      <c r="AH122" s="245">
        <f t="shared" si="56"/>
        <v>0.20681334811458227</v>
      </c>
      <c r="AI122" s="245">
        <f t="shared" si="56"/>
        <v>0.33685831711346792</v>
      </c>
      <c r="AJ122" s="245">
        <f t="shared" si="56"/>
        <v>0.34978048535673267</v>
      </c>
      <c r="AK122" s="238">
        <f t="shared" si="56"/>
        <v>0.4384602373379482</v>
      </c>
      <c r="AL122" s="238">
        <f t="shared" si="56"/>
        <v>0.43249847858630558</v>
      </c>
      <c r="AM122" s="238">
        <f t="shared" si="56"/>
        <v>0.60885299729929854</v>
      </c>
      <c r="AN122" s="238">
        <f t="shared" si="56"/>
        <v>0.78077851469929072</v>
      </c>
      <c r="AO122" s="238">
        <f t="shared" si="56"/>
        <v>-0.25435790825032312</v>
      </c>
      <c r="AP122" s="238">
        <f t="shared" si="56"/>
        <v>-1287.1573057350258</v>
      </c>
      <c r="AQ122" s="238">
        <f t="shared" si="56"/>
        <v>-680.84787203956375</v>
      </c>
      <c r="AR122" s="238">
        <v>0.99519764129555366</v>
      </c>
      <c r="AS122" s="238">
        <v>1.0312499418769119</v>
      </c>
      <c r="AT122" s="238">
        <v>1.0990944437919845</v>
      </c>
      <c r="AU122" s="238">
        <v>1.2213299397925224</v>
      </c>
      <c r="AV122" s="238">
        <v>1.3574056652104525</v>
      </c>
      <c r="AW122" s="238">
        <v>1.5080061874991342</v>
      </c>
      <c r="AX122" s="238">
        <v>1.6691446780912802</v>
      </c>
      <c r="AY122" s="238">
        <v>1.85367844193394</v>
      </c>
      <c r="AZ122" s="238">
        <v>2.0464818360493875</v>
      </c>
      <c r="BA122" s="238">
        <v>2.2517253382613012</v>
      </c>
      <c r="BB122" s="238">
        <v>2.4679616205997505</v>
      </c>
      <c r="BC122" s="238">
        <v>2.625614913021586</v>
      </c>
      <c r="BD122" s="238">
        <v>2.8895009709556128</v>
      </c>
      <c r="BE122" s="238">
        <v>3.128457211058786</v>
      </c>
      <c r="BF122" s="238">
        <v>3.3530389340398559</v>
      </c>
      <c r="BG122" s="238">
        <v>3.5856906552380829</v>
      </c>
      <c r="BH122" s="238">
        <v>3.8278193129168478</v>
      </c>
      <c r="BI122" s="238">
        <v>4.0737101244948493</v>
      </c>
      <c r="BJ122" s="238">
        <v>4.3260512817843919</v>
      </c>
      <c r="BK122" s="238">
        <v>4.584439021254088</v>
      </c>
      <c r="BL122" s="238">
        <v>4.8513878840289024</v>
      </c>
      <c r="BM122" s="238">
        <v>5.1271524848405434</v>
      </c>
      <c r="BN122" s="238">
        <v>5.4110625102700309</v>
      </c>
      <c r="BO122" s="238">
        <v>5.7032569013972534</v>
      </c>
      <c r="BP122" s="238">
        <v>6.0038133958205062</v>
      </c>
      <c r="BQ122" s="238">
        <v>6.3127779921957643</v>
      </c>
      <c r="BR122" s="238">
        <v>6.6301393435025817</v>
      </c>
      <c r="BS122" s="238">
        <v>6.9558778957310015</v>
      </c>
      <c r="BT122" s="238">
        <v>7.2899670007121014</v>
      </c>
      <c r="BU122" s="238">
        <v>7.632395200051997</v>
      </c>
      <c r="BV122" s="238">
        <v>7.9831603666741957</v>
      </c>
      <c r="BW122" s="238">
        <v>8.3422600504613129</v>
      </c>
      <c r="BX122" s="238">
        <v>8.7096926819223874</v>
      </c>
      <c r="BY122" s="238">
        <v>9.0854576930246225</v>
      </c>
      <c r="BZ122" s="238">
        <v>9.4695553396287302</v>
      </c>
      <c r="CA122" s="238">
        <v>9.8619861923744487</v>
      </c>
      <c r="CB122" s="238">
        <v>10.26275082812143</v>
      </c>
      <c r="CC122" s="238">
        <v>10.671849627076753</v>
      </c>
      <c r="CD122" s="238">
        <v>11.089282786741094</v>
      </c>
      <c r="CE122" s="238">
        <v>11.515050398429487</v>
      </c>
      <c r="CF122" s="238">
        <v>11.949152483251707</v>
      </c>
      <c r="CG122" s="238">
        <v>12.391589016876061</v>
      </c>
      <c r="CH122" s="238">
        <v>12.842359949410532</v>
      </c>
      <c r="CI122" s="238">
        <v>13.301465221398397</v>
      </c>
      <c r="CJ122" s="238">
        <v>13.76890477404932</v>
      </c>
      <c r="CK122" s="238">
        <v>14.244678554313154</v>
      </c>
      <c r="CL122" s="238">
        <v>14.728786515897994</v>
      </c>
      <c r="CM122" s="238">
        <v>15.22122861838972</v>
      </c>
      <c r="CN122" s="238">
        <v>15.722017742257766</v>
      </c>
      <c r="CO122" s="238">
        <v>16.230789642995525</v>
      </c>
      <c r="CP122" s="238">
        <v>16.746855231090169</v>
      </c>
      <c r="CQ122" s="238">
        <v>17.269889055711317</v>
      </c>
      <c r="CR122" s="238">
        <v>17.79974707266549</v>
      </c>
      <c r="CS122" s="238">
        <v>18.336375730159254</v>
      </c>
      <c r="CT122" s="238">
        <v>18.879766509307167</v>
      </c>
      <c r="CU122" s="238">
        <v>19.429933193259526</v>
      </c>
      <c r="CV122" s="238">
        <v>19.986880478518973</v>
      </c>
      <c r="CW122" s="238">
        <v>20.550614524620599</v>
      </c>
      <c r="CX122" s="238">
        <v>21.121147184586164</v>
      </c>
      <c r="CY122" s="238">
        <v>21.698487941780602</v>
      </c>
    </row>
    <row r="123" spans="1:103">
      <c r="A123" s="93"/>
      <c r="B123" s="230"/>
      <c r="C123" s="230"/>
      <c r="D123" s="230" t="s">
        <v>737</v>
      </c>
      <c r="E123" s="232"/>
      <c r="F123" s="230"/>
      <c r="G123" s="232" t="s">
        <v>736</v>
      </c>
      <c r="H123" s="203"/>
      <c r="I123" s="94"/>
      <c r="J123" s="94"/>
      <c r="K123" s="94"/>
      <c r="L123" s="93"/>
      <c r="M123" s="93"/>
      <c r="N123" s="93"/>
      <c r="O123" s="93"/>
      <c r="P123" s="93"/>
      <c r="Q123" s="93"/>
      <c r="R123" s="93"/>
      <c r="S123" s="93"/>
      <c r="T123" s="600"/>
      <c r="U123" s="600"/>
      <c r="V123" s="600"/>
      <c r="W123" s="600"/>
      <c r="X123" s="600"/>
      <c r="Y123" s="600"/>
      <c r="Z123" s="600"/>
      <c r="AA123" s="600"/>
      <c r="AB123" s="600"/>
      <c r="AC123" s="600"/>
      <c r="AD123" s="600"/>
      <c r="AE123" s="249">
        <f t="shared" ref="AE123:AQ124" si="57">AE175+AE227</f>
        <v>0.17392893400000001</v>
      </c>
      <c r="AF123" s="249">
        <f t="shared" si="57"/>
        <v>0.210361411</v>
      </c>
      <c r="AG123" s="249">
        <f t="shared" si="57"/>
        <v>0.28552417000000002</v>
      </c>
      <c r="AH123" s="249">
        <f t="shared" si="57"/>
        <v>0.26773574299999997</v>
      </c>
      <c r="AI123" s="249">
        <f t="shared" si="57"/>
        <v>0.41491683500000004</v>
      </c>
      <c r="AJ123" s="249">
        <f t="shared" si="57"/>
        <v>0.44436226099999998</v>
      </c>
      <c r="AK123" s="249">
        <f t="shared" si="57"/>
        <v>0.56160565200000001</v>
      </c>
      <c r="AL123" s="249">
        <f t="shared" si="57"/>
        <v>0.59314222900000002</v>
      </c>
      <c r="AM123" s="249">
        <f t="shared" si="57"/>
        <v>0.78956602499999995</v>
      </c>
      <c r="AN123" s="249">
        <f t="shared" si="57"/>
        <v>0.97490845599999987</v>
      </c>
      <c r="AO123" s="249">
        <f t="shared" si="57"/>
        <v>0</v>
      </c>
      <c r="AP123" s="249">
        <f t="shared" si="57"/>
        <v>0</v>
      </c>
      <c r="AQ123" s="249">
        <f t="shared" si="57"/>
        <v>0</v>
      </c>
      <c r="AR123" s="249">
        <v>1.3658016124273713</v>
      </c>
      <c r="AS123" s="249">
        <v>1.427970163944458</v>
      </c>
      <c r="AT123" s="249">
        <v>1.5368021553654267</v>
      </c>
      <c r="AU123" s="249">
        <v>1.7033085503865157</v>
      </c>
      <c r="AV123" s="249">
        <v>1.8868657513795282</v>
      </c>
      <c r="AW123" s="249">
        <v>2.0878635022501002</v>
      </c>
      <c r="AX123" s="249">
        <v>2.3028253577187829</v>
      </c>
      <c r="AY123" s="249">
        <v>2.5452654889297732</v>
      </c>
      <c r="AZ123" s="249">
        <v>2.8000305568189447</v>
      </c>
      <c r="BA123" s="249">
        <v>3.0708163936104262</v>
      </c>
      <c r="BB123" s="249">
        <v>3.356108283471575</v>
      </c>
      <c r="BC123" s="249">
        <v>3.5867252556508777</v>
      </c>
      <c r="BD123" s="249">
        <v>3.9253604297921387</v>
      </c>
      <c r="BE123" s="249">
        <v>4.2392994453040505</v>
      </c>
      <c r="BF123" s="249">
        <v>4.5416372904482749</v>
      </c>
      <c r="BG123" s="249">
        <v>4.8547226134788151</v>
      </c>
      <c r="BH123" s="249">
        <v>5.1786704952813736</v>
      </c>
      <c r="BI123" s="249">
        <v>5.5084705251909547</v>
      </c>
      <c r="BJ123" s="249">
        <v>5.8471567979897721</v>
      </c>
      <c r="BK123" s="249">
        <v>6.1946683759751124</v>
      </c>
      <c r="BL123" s="249">
        <v>6.5535642239816259</v>
      </c>
      <c r="BM123" s="249">
        <v>6.923965750970158</v>
      </c>
      <c r="BN123" s="249">
        <v>7.3052758464755545</v>
      </c>
      <c r="BO123" s="249">
        <v>7.6976721964719594</v>
      </c>
      <c r="BP123" s="249">
        <v>8.1012505959677874</v>
      </c>
      <c r="BQ123" s="249">
        <v>8.5160554020979689</v>
      </c>
      <c r="BR123" s="249">
        <v>8.9420691740668197</v>
      </c>
      <c r="BS123" s="249">
        <v>9.3792666332748738</v>
      </c>
      <c r="BT123" s="249">
        <v>9.8276181283276642</v>
      </c>
      <c r="BU123" s="249">
        <v>10.287110869518088</v>
      </c>
      <c r="BV123" s="249">
        <v>10.757741250332227</v>
      </c>
      <c r="BW123" s="249">
        <v>11.23950582068089</v>
      </c>
      <c r="BX123" s="249">
        <v>11.732402536799157</v>
      </c>
      <c r="BY123" s="249">
        <v>12.236430749427697</v>
      </c>
      <c r="BZ123" s="249">
        <v>12.751590814353687</v>
      </c>
      <c r="CA123" s="249">
        <v>13.277883445873194</v>
      </c>
      <c r="CB123" s="249">
        <v>13.815309343242056</v>
      </c>
      <c r="CC123" s="249">
        <v>14.363868975935722</v>
      </c>
      <c r="CD123" s="249">
        <v>14.923562604147941</v>
      </c>
      <c r="CE123" s="249">
        <v>15.494390357561837</v>
      </c>
      <c r="CF123" s="249">
        <v>16.076352276125505</v>
      </c>
      <c r="CG123" s="249">
        <v>16.669448341157512</v>
      </c>
      <c r="CH123" s="249">
        <v>17.273678501308211</v>
      </c>
      <c r="CI123" s="249">
        <v>17.889042692912206</v>
      </c>
      <c r="CJ123" s="249">
        <v>18.515540852696567</v>
      </c>
      <c r="CK123" s="249">
        <v>19.15317292391784</v>
      </c>
      <c r="CL123" s="249">
        <v>19.801938857655543</v>
      </c>
      <c r="CM123" s="249">
        <v>20.461838611866135</v>
      </c>
      <c r="CN123" s="249">
        <v>21.132754441172047</v>
      </c>
      <c r="CO123" s="249">
        <v>21.814126163247515</v>
      </c>
      <c r="CP123" s="249">
        <v>22.505166719813325</v>
      </c>
      <c r="CQ123" s="249">
        <v>23.205501675785932</v>
      </c>
      <c r="CR123" s="249">
        <v>23.914962494942536</v>
      </c>
      <c r="CS123" s="249">
        <v>24.633483379538173</v>
      </c>
      <c r="CT123" s="249">
        <v>25.361049687746963</v>
      </c>
      <c r="CU123" s="249">
        <v>26.097672141264688</v>
      </c>
      <c r="CV123" s="249">
        <v>26.843355822374271</v>
      </c>
      <c r="CW123" s="249">
        <v>27.598109919924152</v>
      </c>
      <c r="CX123" s="249">
        <v>28.361949152339925</v>
      </c>
      <c r="CY123" s="249">
        <v>29.134885054706711</v>
      </c>
    </row>
    <row r="124" spans="1:103">
      <c r="A124" s="229"/>
      <c r="B124" s="230"/>
      <c r="C124" s="230"/>
      <c r="D124" s="230" t="s">
        <v>798</v>
      </c>
      <c r="E124" s="232"/>
      <c r="F124" s="230"/>
      <c r="G124" s="232" t="s">
        <v>736</v>
      </c>
      <c r="H124" s="203"/>
      <c r="I124" s="203"/>
      <c r="J124" s="203"/>
      <c r="K124" s="203"/>
      <c r="L124" s="229"/>
      <c r="M124" s="229"/>
      <c r="N124" s="229"/>
      <c r="O124" s="229"/>
      <c r="P124" s="229"/>
      <c r="Q124" s="229"/>
      <c r="R124" s="229"/>
      <c r="S124" s="229"/>
      <c r="T124" s="600"/>
      <c r="U124" s="600"/>
      <c r="V124" s="600"/>
      <c r="W124" s="600"/>
      <c r="X124" s="600"/>
      <c r="Y124" s="600"/>
      <c r="Z124" s="600"/>
      <c r="AA124" s="600"/>
      <c r="AB124" s="600"/>
      <c r="AC124" s="600"/>
      <c r="AD124" s="600"/>
      <c r="AE124" s="249">
        <f t="shared" si="57"/>
        <v>-5.0850254560969338E-2</v>
      </c>
      <c r="AF124" s="249">
        <f t="shared" si="57"/>
        <v>-5.6655748122451513E-2</v>
      </c>
      <c r="AG124" s="249">
        <f t="shared" si="57"/>
        <v>-5.2073013715384253E-2</v>
      </c>
      <c r="AH124" s="249">
        <f t="shared" si="57"/>
        <v>-6.0922394885417709E-2</v>
      </c>
      <c r="AI124" s="249">
        <f t="shared" si="57"/>
        <v>-7.8058517886532092E-2</v>
      </c>
      <c r="AJ124" s="249">
        <f t="shared" si="57"/>
        <v>-9.458177564326728E-2</v>
      </c>
      <c r="AK124" s="249">
        <f t="shared" si="57"/>
        <v>-0.1231454146620518</v>
      </c>
      <c r="AL124" s="249">
        <f t="shared" si="57"/>
        <v>-0.16064375041369444</v>
      </c>
      <c r="AM124" s="249">
        <f t="shared" si="57"/>
        <v>-0.18071302770070138</v>
      </c>
      <c r="AN124" s="249">
        <f t="shared" si="57"/>
        <v>-0.19412994130070915</v>
      </c>
      <c r="AO124" s="249">
        <f t="shared" si="57"/>
        <v>-0.25435790825032312</v>
      </c>
      <c r="AP124" s="249">
        <f t="shared" si="57"/>
        <v>-1287.1573057350258</v>
      </c>
      <c r="AQ124" s="249">
        <f t="shared" si="57"/>
        <v>-680.84787203956375</v>
      </c>
      <c r="AR124" s="249">
        <v>-0.37060397113181764</v>
      </c>
      <c r="AS124" s="249">
        <v>-0.39672022206754598</v>
      </c>
      <c r="AT124" s="249">
        <v>-0.43770771157344235</v>
      </c>
      <c r="AU124" s="249">
        <v>-0.48197861059399327</v>
      </c>
      <c r="AV124" s="249">
        <v>-0.52946008616907581</v>
      </c>
      <c r="AW124" s="249">
        <v>-0.57985731475096602</v>
      </c>
      <c r="AX124" s="249">
        <v>-0.63368067962750274</v>
      </c>
      <c r="AY124" s="249">
        <v>-0.69158704699583318</v>
      </c>
      <c r="AZ124" s="249">
        <v>-0.75354872076955726</v>
      </c>
      <c r="BA124" s="249">
        <v>-0.8190910553491253</v>
      </c>
      <c r="BB124" s="249">
        <v>-0.88814666287182442</v>
      </c>
      <c r="BC124" s="249">
        <v>-0.96111034262929196</v>
      </c>
      <c r="BD124" s="249">
        <v>-1.0358594588365262</v>
      </c>
      <c r="BE124" s="249">
        <v>-1.1108422342452644</v>
      </c>
      <c r="BF124" s="249">
        <v>-1.188598356408419</v>
      </c>
      <c r="BG124" s="249">
        <v>-1.2690319582407321</v>
      </c>
      <c r="BH124" s="249">
        <v>-1.3508511823645257</v>
      </c>
      <c r="BI124" s="249">
        <v>-1.4347604006961054</v>
      </c>
      <c r="BJ124" s="249">
        <v>-1.5211055162053799</v>
      </c>
      <c r="BK124" s="249">
        <v>-1.610229354721024</v>
      </c>
      <c r="BL124" s="249">
        <v>-1.702176339952723</v>
      </c>
      <c r="BM124" s="249">
        <v>-1.796813266129615</v>
      </c>
      <c r="BN124" s="249">
        <v>-1.8942133362055238</v>
      </c>
      <c r="BO124" s="249">
        <v>-1.9944152950747058</v>
      </c>
      <c r="BP124" s="249">
        <v>-2.0974372001472812</v>
      </c>
      <c r="BQ124" s="249">
        <v>-2.2032774099022041</v>
      </c>
      <c r="BR124" s="249">
        <v>-2.311929830564238</v>
      </c>
      <c r="BS124" s="249">
        <v>-2.4233887375438723</v>
      </c>
      <c r="BT124" s="249">
        <v>-2.5376511276155629</v>
      </c>
      <c r="BU124" s="249">
        <v>-2.6547156694660909</v>
      </c>
      <c r="BV124" s="249">
        <v>-2.7745808836580315</v>
      </c>
      <c r="BW124" s="249">
        <v>-2.897245770219576</v>
      </c>
      <c r="BX124" s="249">
        <v>-3.0227098548767692</v>
      </c>
      <c r="BY124" s="249">
        <v>-3.1509730564030756</v>
      </c>
      <c r="BZ124" s="249">
        <v>-3.2820354747249567</v>
      </c>
      <c r="CA124" s="249">
        <v>-3.415897253498744</v>
      </c>
      <c r="CB124" s="249">
        <v>-3.5525585151206265</v>
      </c>
      <c r="CC124" s="249">
        <v>-3.6920193488589685</v>
      </c>
      <c r="CD124" s="249">
        <v>-3.8342798174068466</v>
      </c>
      <c r="CE124" s="249">
        <v>-3.9793399591323508</v>
      </c>
      <c r="CF124" s="249">
        <v>-4.1271997928737978</v>
      </c>
      <c r="CG124" s="249">
        <v>-4.27785932428145</v>
      </c>
      <c r="CH124" s="249">
        <v>-4.4313185518976796</v>
      </c>
      <c r="CI124" s="249">
        <v>-4.5875774715138089</v>
      </c>
      <c r="CJ124" s="249">
        <v>-4.7466360786472475</v>
      </c>
      <c r="CK124" s="249">
        <v>-4.9084943696046857</v>
      </c>
      <c r="CL124" s="249">
        <v>-5.0731523417575488</v>
      </c>
      <c r="CM124" s="249">
        <v>-5.2406099934764141</v>
      </c>
      <c r="CN124" s="249">
        <v>-5.4107366989142811</v>
      </c>
      <c r="CO124" s="249">
        <v>-5.58333652025199</v>
      </c>
      <c r="CP124" s="249">
        <v>-5.7583114887231543</v>
      </c>
      <c r="CQ124" s="249">
        <v>-5.9356126200746147</v>
      </c>
      <c r="CR124" s="249">
        <v>-6.1152154222770463</v>
      </c>
      <c r="CS124" s="249">
        <v>-6.29710764937892</v>
      </c>
      <c r="CT124" s="249">
        <v>-6.4812831784397975</v>
      </c>
      <c r="CU124" s="249">
        <v>-6.6677389480051623</v>
      </c>
      <c r="CV124" s="249">
        <v>-6.8564753438552968</v>
      </c>
      <c r="CW124" s="249">
        <v>-7.0474953953035531</v>
      </c>
      <c r="CX124" s="249">
        <v>-7.2408019677537592</v>
      </c>
      <c r="CY124" s="249">
        <v>-7.4363971129261088</v>
      </c>
    </row>
    <row r="125" spans="1:103">
      <c r="A125" s="229"/>
      <c r="B125" s="230"/>
      <c r="C125" s="229" t="s">
        <v>220</v>
      </c>
      <c r="D125" s="229"/>
      <c r="E125" s="203"/>
      <c r="F125" s="229"/>
      <c r="G125" s="232" t="s">
        <v>736</v>
      </c>
      <c r="H125" s="203"/>
      <c r="I125" s="203"/>
      <c r="J125" s="203"/>
      <c r="K125" s="203"/>
      <c r="L125" s="229"/>
      <c r="M125" s="229"/>
      <c r="N125" s="229"/>
      <c r="O125" s="229"/>
      <c r="P125" s="229"/>
      <c r="Q125" s="229"/>
      <c r="R125" s="229"/>
      <c r="S125" s="229"/>
      <c r="T125" s="234"/>
      <c r="U125" s="234"/>
      <c r="V125" s="234"/>
      <c r="W125" s="234"/>
      <c r="X125" s="234"/>
      <c r="Y125" s="234"/>
      <c r="Z125" s="234"/>
      <c r="AA125" s="234"/>
      <c r="AB125" s="234"/>
      <c r="AC125" s="234"/>
      <c r="AD125" s="234"/>
      <c r="AE125" s="245">
        <f>AE126+AE136</f>
        <v>-3.714878543385311E-2</v>
      </c>
      <c r="AF125" s="245">
        <f t="shared" ref="AF125:AQ125" si="58">AF126+AF136</f>
        <v>-2.2556107215641705E-2</v>
      </c>
      <c r="AG125" s="245">
        <f t="shared" si="58"/>
        <v>5.1869774376505251E-2</v>
      </c>
      <c r="AH125" s="245">
        <f t="shared" si="58"/>
        <v>2.9692518182656197E-2</v>
      </c>
      <c r="AI125" s="245">
        <f t="shared" si="58"/>
        <v>4.4278096199179717E-2</v>
      </c>
      <c r="AJ125" s="245">
        <f t="shared" si="58"/>
        <v>0.10558158228781744</v>
      </c>
      <c r="AK125" s="238">
        <f t="shared" si="58"/>
        <v>5.8292211305829428E-2</v>
      </c>
      <c r="AL125" s="238">
        <f t="shared" si="58"/>
        <v>0.14227678992090481</v>
      </c>
      <c r="AM125" s="238">
        <f t="shared" si="58"/>
        <v>0.15527627930899529</v>
      </c>
      <c r="AN125" s="238">
        <f t="shared" si="58"/>
        <v>0.28674694958661484</v>
      </c>
      <c r="AO125" s="238">
        <f t="shared" si="58"/>
        <v>0.52844038408293659</v>
      </c>
      <c r="AP125" s="238">
        <f t="shared" si="58"/>
        <v>-1.8821731676760385E-2</v>
      </c>
      <c r="AQ125" s="238">
        <f t="shared" si="58"/>
        <v>3.1737579280181226E-3</v>
      </c>
      <c r="AR125" s="238">
        <v>0.39582510563705658</v>
      </c>
      <c r="AS125" s="238">
        <v>0.44511827234567086</v>
      </c>
      <c r="AT125" s="238">
        <v>0.47664408525507296</v>
      </c>
      <c r="AU125" s="238">
        <v>0.52693279993676989</v>
      </c>
      <c r="AV125" s="238">
        <v>0.60276406468095345</v>
      </c>
      <c r="AW125" s="238">
        <v>0.65015008566008636</v>
      </c>
      <c r="AX125" s="238">
        <v>0.75539002318569692</v>
      </c>
      <c r="AY125" s="238">
        <v>0.78931953515673448</v>
      </c>
      <c r="AZ125" s="238">
        <v>0.82943059424357968</v>
      </c>
      <c r="BA125" s="238">
        <v>0.87825384373869053</v>
      </c>
      <c r="BB125" s="238">
        <v>0.96008243825825368</v>
      </c>
      <c r="BC125" s="238">
        <v>1.1158180015693957</v>
      </c>
      <c r="BD125" s="238">
        <v>1.2081781625631904</v>
      </c>
      <c r="BE125" s="238">
        <v>1.3026542607588121</v>
      </c>
      <c r="BF125" s="238">
        <v>1.3794306746631251</v>
      </c>
      <c r="BG125" s="238">
        <v>1.4669440728230996</v>
      </c>
      <c r="BH125" s="238">
        <v>1.5757462404879388</v>
      </c>
      <c r="BI125" s="238">
        <v>1.6602226851740589</v>
      </c>
      <c r="BJ125" s="238">
        <v>1.7920770596221582</v>
      </c>
      <c r="BK125" s="238">
        <v>1.8624726800293949</v>
      </c>
      <c r="BL125" s="238">
        <v>1.9340063568099655</v>
      </c>
      <c r="BM125" s="238">
        <v>2.0136898175323679</v>
      </c>
      <c r="BN125" s="238">
        <v>2.1212076067025065</v>
      </c>
      <c r="BO125" s="238">
        <v>2.291084801384256</v>
      </c>
      <c r="BP125" s="238">
        <v>2.4258966796663968</v>
      </c>
      <c r="BQ125" s="238">
        <v>2.5458608534322842</v>
      </c>
      <c r="BR125" s="238">
        <v>2.6567383495249399</v>
      </c>
      <c r="BS125" s="238">
        <v>2.7808116345619731</v>
      </c>
      <c r="BT125" s="238">
        <v>2.9238810391432639</v>
      </c>
      <c r="BU125" s="238">
        <v>3.0468141944037361</v>
      </c>
      <c r="BV125" s="238">
        <v>3.2107049954358402</v>
      </c>
      <c r="BW125" s="238">
        <v>3.1509079701987397</v>
      </c>
      <c r="BX125" s="238">
        <v>3.256713728178354</v>
      </c>
      <c r="BY125" s="238">
        <v>3.3696581723883972</v>
      </c>
      <c r="BZ125" s="238">
        <v>3.5065138938579907</v>
      </c>
      <c r="CA125" s="238">
        <v>3.6967753499244438</v>
      </c>
      <c r="CB125" s="238">
        <v>3.8571031011484593</v>
      </c>
      <c r="CC125" s="238">
        <v>4.0050627191642398</v>
      </c>
      <c r="CD125" s="238">
        <v>4.145459584069294</v>
      </c>
      <c r="CE125" s="238">
        <v>4.2973244829471531</v>
      </c>
      <c r="CF125" s="238">
        <v>4.4655980846296526</v>
      </c>
      <c r="CG125" s="238">
        <v>4.6169009879266838</v>
      </c>
      <c r="CH125" s="238">
        <v>4.8034520715559061</v>
      </c>
      <c r="CI125" s="238">
        <v>4.9452898007217545</v>
      </c>
      <c r="CJ125" s="238">
        <v>5.0887523487938235</v>
      </c>
      <c r="CK125" s="238">
        <v>5.2386631804600627</v>
      </c>
      <c r="CL125" s="238">
        <v>5.4093362614761347</v>
      </c>
      <c r="CM125" s="238">
        <v>5.6190982840068244</v>
      </c>
      <c r="CN125" s="238">
        <v>5.7915849944579048</v>
      </c>
      <c r="CO125" s="238">
        <v>5.968358735949483</v>
      </c>
      <c r="CP125" s="238">
        <v>6.1469933172933429</v>
      </c>
      <c r="CQ125" s="238">
        <v>6.3274771687319848</v>
      </c>
      <c r="CR125" s="238">
        <v>6.5098139344631241</v>
      </c>
      <c r="CS125" s="238">
        <v>6.6940146141253232</v>
      </c>
      <c r="CT125" s="238">
        <v>6.8800937315801898</v>
      </c>
      <c r="CU125" s="238">
        <v>7.0680674200195375</v>
      </c>
      <c r="CV125" s="238">
        <v>7.2579545574279658</v>
      </c>
      <c r="CW125" s="238">
        <v>7.4497651779334131</v>
      </c>
      <c r="CX125" s="238">
        <v>7.6435041056504787</v>
      </c>
      <c r="CY125" s="238">
        <v>7.8391732558598752</v>
      </c>
    </row>
    <row r="126" spans="1:103">
      <c r="A126" s="229"/>
      <c r="B126" s="230"/>
      <c r="C126" s="230"/>
      <c r="D126" s="229" t="s">
        <v>22</v>
      </c>
      <c r="E126" s="232"/>
      <c r="F126" s="230"/>
      <c r="G126" s="232" t="s">
        <v>736</v>
      </c>
      <c r="H126" s="203"/>
      <c r="I126" s="203"/>
      <c r="J126" s="203"/>
      <c r="K126" s="203"/>
      <c r="L126" s="229"/>
      <c r="M126" s="229"/>
      <c r="N126" s="229"/>
      <c r="O126" s="229"/>
      <c r="P126" s="229"/>
      <c r="Q126" s="229"/>
      <c r="R126" s="229"/>
      <c r="S126" s="229"/>
      <c r="T126" s="193"/>
      <c r="U126" s="193"/>
      <c r="V126" s="193"/>
      <c r="W126" s="193"/>
      <c r="X126" s="193"/>
      <c r="Y126" s="193"/>
      <c r="Z126" s="193"/>
      <c r="AA126" s="193"/>
      <c r="AB126" s="193"/>
      <c r="AC126" s="193"/>
      <c r="AD126" s="193"/>
      <c r="AE126" s="240">
        <f>SUM(AE127:AE135)</f>
        <v>0.1035945461100046</v>
      </c>
      <c r="AF126" s="240">
        <f t="shared" ref="AF126:AQ126" si="59">SUM(AF127:AF135)</f>
        <v>0.12139863093363105</v>
      </c>
      <c r="AG126" s="240">
        <f t="shared" si="59"/>
        <v>0.18711428280071429</v>
      </c>
      <c r="AH126" s="240">
        <f t="shared" si="59"/>
        <v>0.16148033012515189</v>
      </c>
      <c r="AI126" s="240">
        <f t="shared" si="59"/>
        <v>0.22287966814815183</v>
      </c>
      <c r="AJ126" s="240">
        <f t="shared" si="59"/>
        <v>0.30997710234693543</v>
      </c>
      <c r="AK126" s="240">
        <f t="shared" si="59"/>
        <v>0.28326190174824128</v>
      </c>
      <c r="AL126" s="240">
        <f t="shared" si="59"/>
        <v>0.37244711320675394</v>
      </c>
      <c r="AM126" s="240">
        <f t="shared" si="59"/>
        <v>0.43522983023220813</v>
      </c>
      <c r="AN126" s="240">
        <f t="shared" si="59"/>
        <v>0.51172209462150675</v>
      </c>
      <c r="AO126" s="240">
        <f t="shared" si="59"/>
        <v>0.80247727824090875</v>
      </c>
      <c r="AP126" s="240">
        <f t="shared" si="59"/>
        <v>-1.8821731676760385E-2</v>
      </c>
      <c r="AQ126" s="240">
        <f t="shared" si="59"/>
        <v>3.1737579280181226E-3</v>
      </c>
      <c r="AR126" s="240">
        <v>0.7411107225953899</v>
      </c>
      <c r="AS126" s="240">
        <v>0.82520736992900423</v>
      </c>
      <c r="AT126" s="240">
        <v>0.89409014138007303</v>
      </c>
      <c r="AU126" s="240">
        <v>0.9843252487701033</v>
      </c>
      <c r="AV126" s="240">
        <v>1.1027282966392868</v>
      </c>
      <c r="AW126" s="240">
        <v>1.1953474474100865</v>
      </c>
      <c r="AX126" s="240">
        <v>1.3485178176440304</v>
      </c>
      <c r="AY126" s="240">
        <v>1.433111021490068</v>
      </c>
      <c r="AZ126" s="240">
        <v>1.5266549878685798</v>
      </c>
      <c r="BA126" s="240">
        <v>1.6317163163220241</v>
      </c>
      <c r="BB126" s="240">
        <v>1.7726241177165873</v>
      </c>
      <c r="BC126" s="240">
        <v>1.9903159720693957</v>
      </c>
      <c r="BD126" s="240">
        <v>2.1426749180631903</v>
      </c>
      <c r="BE126" s="240">
        <v>2.299449406258812</v>
      </c>
      <c r="BF126" s="240">
        <v>2.440823815163125</v>
      </c>
      <c r="BG126" s="240">
        <v>2.5952348133230996</v>
      </c>
      <c r="BH126" s="240">
        <v>2.7732341859879384</v>
      </c>
      <c r="BI126" s="240">
        <v>2.9292074406740589</v>
      </c>
      <c r="BJ126" s="240">
        <v>3.1348582301221581</v>
      </c>
      <c r="BK126" s="240">
        <v>3.2813498705293949</v>
      </c>
      <c r="BL126" s="240">
        <v>3.4312791723099654</v>
      </c>
      <c r="BM126" s="240">
        <v>3.5916578630323679</v>
      </c>
      <c r="BN126" s="240">
        <v>3.7821704872025066</v>
      </c>
      <c r="BO126" s="240">
        <v>4.0373421218842562</v>
      </c>
      <c r="BP126" s="240">
        <v>4.2597480451663969</v>
      </c>
      <c r="BQ126" s="240">
        <v>4.469605868932284</v>
      </c>
      <c r="BR126" s="240">
        <v>4.6726766200249399</v>
      </c>
      <c r="BS126" s="240">
        <v>4.891242765061973</v>
      </c>
      <c r="BT126" s="240">
        <v>5.1311046346432638</v>
      </c>
      <c r="BU126" s="240">
        <v>5.3531298599037367</v>
      </c>
      <c r="BV126" s="240">
        <v>5.6184123359358402</v>
      </c>
      <c r="BW126" s="240">
        <v>5.8334932656987393</v>
      </c>
      <c r="BX126" s="240">
        <v>6.052514658678354</v>
      </c>
      <c r="BY126" s="240">
        <v>6.2811310928883968</v>
      </c>
      <c r="BZ126" s="240">
        <v>6.5361151593579905</v>
      </c>
      <c r="CA126" s="240">
        <v>6.8469613154244433</v>
      </c>
      <c r="CB126" s="240">
        <v>7.1303301216484591</v>
      </c>
      <c r="CC126" s="240">
        <v>7.4037871496642405</v>
      </c>
      <c r="CD126" s="240">
        <v>7.6721377795692938</v>
      </c>
      <c r="CE126" s="240">
        <v>7.9544127984471533</v>
      </c>
      <c r="CF126" s="240">
        <v>8.2555528751296521</v>
      </c>
      <c r="CG126" s="240">
        <v>8.5421786084266831</v>
      </c>
      <c r="CH126" s="240">
        <v>8.8665088770559066</v>
      </c>
      <c r="CI126" s="240">
        <v>9.148582146221754</v>
      </c>
      <c r="CJ126" s="240">
        <v>9.4347365892938235</v>
      </c>
      <c r="CK126" s="240">
        <v>9.7297956709600619</v>
      </c>
      <c r="CL126" s="240">
        <v>10.048073356976134</v>
      </c>
      <c r="CM126" s="240">
        <v>10.407896339506824</v>
      </c>
      <c r="CN126" s="240">
        <v>10.732453754957904</v>
      </c>
      <c r="CO126" s="240">
        <v>11.063307946449482</v>
      </c>
      <c r="CP126" s="240">
        <v>11.398032722793342</v>
      </c>
      <c r="CQ126" s="240">
        <v>11.736616514231985</v>
      </c>
      <c r="CR126" s="240">
        <v>12.079062964963123</v>
      </c>
      <c r="CS126" s="240">
        <v>12.425383074625323</v>
      </c>
      <c r="CT126" s="240">
        <v>12.775591367080191</v>
      </c>
      <c r="CU126" s="240">
        <v>13.129703975519536</v>
      </c>
      <c r="CV126" s="240">
        <v>13.487739777927965</v>
      </c>
      <c r="CW126" s="240">
        <v>13.849708808433412</v>
      </c>
      <c r="CX126" s="240">
        <v>14.215615891150478</v>
      </c>
      <c r="CY126" s="240">
        <v>14.585462941359875</v>
      </c>
    </row>
    <row r="127" spans="1:103">
      <c r="A127" s="229"/>
      <c r="B127" s="230"/>
      <c r="C127" s="230"/>
      <c r="D127" s="230"/>
      <c r="E127" s="230" t="s">
        <v>865</v>
      </c>
      <c r="F127" s="230"/>
      <c r="G127" s="232" t="s">
        <v>736</v>
      </c>
      <c r="H127" s="203"/>
      <c r="I127" s="203"/>
      <c r="J127" s="203"/>
      <c r="K127" s="203"/>
      <c r="L127" s="229"/>
      <c r="M127" s="229"/>
      <c r="N127" s="229"/>
      <c r="O127" s="229"/>
      <c r="P127" s="229"/>
      <c r="Q127" s="229"/>
      <c r="R127" s="229"/>
      <c r="S127" s="229"/>
      <c r="T127" s="597"/>
      <c r="U127" s="597"/>
      <c r="V127" s="597"/>
      <c r="W127" s="597"/>
      <c r="X127" s="597"/>
      <c r="Y127" s="597"/>
      <c r="Z127" s="597"/>
      <c r="AA127" s="597"/>
      <c r="AB127" s="597"/>
      <c r="AC127" s="597"/>
      <c r="AD127" s="597"/>
      <c r="AE127" s="249">
        <f t="shared" ref="AE127:AQ130" si="60">AE179+AE231</f>
        <v>1.0752975999999999E-2</v>
      </c>
      <c r="AF127" s="249">
        <f t="shared" si="60"/>
        <v>1.8884019000000002E-2</v>
      </c>
      <c r="AG127" s="249">
        <f t="shared" si="60"/>
        <v>3.0579757999999999E-2</v>
      </c>
      <c r="AH127" s="249">
        <f t="shared" si="60"/>
        <v>3.2252731E-2</v>
      </c>
      <c r="AI127" s="249">
        <f t="shared" si="60"/>
        <v>3.2805490999999999E-2</v>
      </c>
      <c r="AJ127" s="249">
        <f t="shared" si="60"/>
        <v>3.4857846999999997E-2</v>
      </c>
      <c r="AK127" s="249">
        <f t="shared" si="60"/>
        <v>4.0893093000000005E-2</v>
      </c>
      <c r="AL127" s="249">
        <f t="shared" si="60"/>
        <v>7.9822221999999998E-2</v>
      </c>
      <c r="AM127" s="249">
        <f t="shared" si="60"/>
        <v>0.12774423699999998</v>
      </c>
      <c r="AN127" s="249">
        <f t="shared" si="60"/>
        <v>0.11195424800000001</v>
      </c>
      <c r="AO127" s="249">
        <f t="shared" si="60"/>
        <v>0.17964181499999998</v>
      </c>
      <c r="AP127" s="249">
        <f t="shared" si="60"/>
        <v>0</v>
      </c>
      <c r="AQ127" s="249">
        <f t="shared" si="60"/>
        <v>0</v>
      </c>
      <c r="AR127" s="249">
        <v>7.4757142716666669E-2</v>
      </c>
      <c r="AS127" s="249">
        <v>8.2490447966666672E-2</v>
      </c>
      <c r="AT127" s="249">
        <v>9.081315705000001E-2</v>
      </c>
      <c r="AU127" s="249">
        <v>9.9736462466666675E-2</v>
      </c>
      <c r="AV127" s="249">
        <v>0.10927155671666668</v>
      </c>
      <c r="AW127" s="249">
        <v>0.11942963230000002</v>
      </c>
      <c r="AX127" s="249">
        <v>0.13022188171666671</v>
      </c>
      <c r="AY127" s="249">
        <v>0.14165949746666673</v>
      </c>
      <c r="AZ127" s="249">
        <v>0.15375367205000004</v>
      </c>
      <c r="BA127" s="249">
        <v>0.16651559796666673</v>
      </c>
      <c r="BB127" s="249">
        <v>0.17995646771666673</v>
      </c>
      <c r="BC127" s="249">
        <v>0.19408747379999997</v>
      </c>
      <c r="BD127" s="249">
        <v>0.22422021599999997</v>
      </c>
      <c r="BE127" s="249">
        <v>0.23916789599999999</v>
      </c>
      <c r="BF127" s="249">
        <v>0.25466733599999991</v>
      </c>
      <c r="BG127" s="249">
        <v>0.27071853599999995</v>
      </c>
      <c r="BH127" s="249">
        <v>0.2873214959999999</v>
      </c>
      <c r="BI127" s="249">
        <v>0.30447621600000002</v>
      </c>
      <c r="BJ127" s="249">
        <v>0.32218269599999999</v>
      </c>
      <c r="BK127" s="249">
        <v>0.34044093599999992</v>
      </c>
      <c r="BL127" s="249">
        <v>0.35925093599999991</v>
      </c>
      <c r="BM127" s="249">
        <v>0.37861269599999997</v>
      </c>
      <c r="BN127" s="249">
        <v>0.39852621599999993</v>
      </c>
      <c r="BO127" s="249">
        <v>0.41899149600000002</v>
      </c>
      <c r="BP127" s="249">
        <v>0.44000853600000001</v>
      </c>
      <c r="BQ127" s="249">
        <v>0.46157733599999995</v>
      </c>
      <c r="BR127" s="249">
        <v>0.48369789600000002</v>
      </c>
      <c r="BS127" s="249">
        <v>0.50637021599999987</v>
      </c>
      <c r="BT127" s="249">
        <v>0.52959429599999996</v>
      </c>
      <c r="BU127" s="249">
        <v>0.55337013600000007</v>
      </c>
      <c r="BV127" s="249">
        <v>0.57769773599999996</v>
      </c>
      <c r="BW127" s="249">
        <v>0.60257709599999998</v>
      </c>
      <c r="BX127" s="249">
        <v>0.6280082159999999</v>
      </c>
      <c r="BY127" s="249">
        <v>0.65399109599999994</v>
      </c>
      <c r="BZ127" s="249">
        <v>0.68052573599999988</v>
      </c>
      <c r="CA127" s="249">
        <v>0.70761213599999984</v>
      </c>
      <c r="CB127" s="249">
        <v>0.73525029599999991</v>
      </c>
      <c r="CC127" s="249">
        <v>0.763440216</v>
      </c>
      <c r="CD127" s="249">
        <v>0.79218189599999989</v>
      </c>
      <c r="CE127" s="249">
        <v>0.821475336</v>
      </c>
      <c r="CF127" s="249">
        <v>0.85132053599999991</v>
      </c>
      <c r="CG127" s="249">
        <v>0.88171749599999993</v>
      </c>
      <c r="CH127" s="249">
        <v>0.91266621599999986</v>
      </c>
      <c r="CI127" s="249">
        <v>0.94416669599999992</v>
      </c>
      <c r="CJ127" s="249">
        <v>0.97621893599999998</v>
      </c>
      <c r="CK127" s="249">
        <v>1.0088229359999998</v>
      </c>
      <c r="CL127" s="249">
        <v>1.0419786959999997</v>
      </c>
      <c r="CM127" s="249">
        <v>1.0756862159999998</v>
      </c>
      <c r="CN127" s="249">
        <v>1.1098451759999999</v>
      </c>
      <c r="CO127" s="249">
        <v>1.1444555759999999</v>
      </c>
      <c r="CP127" s="249">
        <v>1.1795174159999999</v>
      </c>
      <c r="CQ127" s="249">
        <v>1.2150306959999999</v>
      </c>
      <c r="CR127" s="249">
        <v>1.2509954159999999</v>
      </c>
      <c r="CS127" s="249">
        <v>1.2874115759999998</v>
      </c>
      <c r="CT127" s="249">
        <v>1.3242791760000001</v>
      </c>
      <c r="CU127" s="249">
        <v>1.3615982159999998</v>
      </c>
      <c r="CV127" s="249">
        <v>1.3993686959999998</v>
      </c>
      <c r="CW127" s="249">
        <v>1.4375906159999998</v>
      </c>
      <c r="CX127" s="249">
        <v>1.4762639759999998</v>
      </c>
      <c r="CY127" s="249">
        <v>1.515388776</v>
      </c>
    </row>
    <row r="128" spans="1:103">
      <c r="A128" s="229"/>
      <c r="B128" s="230"/>
      <c r="C128" s="230"/>
      <c r="D128" s="230"/>
      <c r="E128" s="230" t="s">
        <v>866</v>
      </c>
      <c r="F128" s="230"/>
      <c r="G128" s="232" t="s">
        <v>736</v>
      </c>
      <c r="H128" s="203"/>
      <c r="I128" s="203"/>
      <c r="J128" s="203"/>
      <c r="K128" s="203"/>
      <c r="L128" s="229"/>
      <c r="M128" s="229"/>
      <c r="N128" s="229"/>
      <c r="O128" s="229"/>
      <c r="P128" s="229"/>
      <c r="Q128" s="229"/>
      <c r="R128" s="229"/>
      <c r="S128" s="229"/>
      <c r="T128" s="610"/>
      <c r="U128" s="610"/>
      <c r="V128" s="597"/>
      <c r="W128" s="597"/>
      <c r="X128" s="597"/>
      <c r="Y128" s="597"/>
      <c r="Z128" s="597"/>
      <c r="AA128" s="597"/>
      <c r="AB128" s="597"/>
      <c r="AC128" s="597"/>
      <c r="AD128" s="597"/>
      <c r="AE128" s="249">
        <f t="shared" si="60"/>
        <v>2.4854575E-2</v>
      </c>
      <c r="AF128" s="249">
        <f t="shared" si="60"/>
        <v>4.6130715000000003E-2</v>
      </c>
      <c r="AG128" s="249">
        <f t="shared" si="60"/>
        <v>5.6874561999999997E-2</v>
      </c>
      <c r="AH128" s="249">
        <f t="shared" si="60"/>
        <v>7.7854971000000009E-2</v>
      </c>
      <c r="AI128" s="249">
        <f t="shared" si="60"/>
        <v>8.792660599999999E-2</v>
      </c>
      <c r="AJ128" s="249">
        <f t="shared" si="60"/>
        <v>8.8645933999999996E-2</v>
      </c>
      <c r="AK128" s="249">
        <f t="shared" si="60"/>
        <v>0.126876876</v>
      </c>
      <c r="AL128" s="249">
        <f t="shared" si="60"/>
        <v>8.2963738000000009E-2</v>
      </c>
      <c r="AM128" s="249">
        <f t="shared" si="60"/>
        <v>0.140670776</v>
      </c>
      <c r="AN128" s="249">
        <f t="shared" si="60"/>
        <v>0.18440626700000001</v>
      </c>
      <c r="AO128" s="249">
        <f t="shared" si="60"/>
        <v>0.147033991</v>
      </c>
      <c r="AP128" s="249">
        <f t="shared" si="60"/>
        <v>6.2569358647915022E-3</v>
      </c>
      <c r="AQ128" s="249">
        <f t="shared" si="60"/>
        <v>3.306813508339496E-3</v>
      </c>
      <c r="AR128" s="249">
        <v>0.20561299154187684</v>
      </c>
      <c r="AS128" s="249">
        <v>0.22717270525908256</v>
      </c>
      <c r="AT128" s="249">
        <v>0.25032661645740012</v>
      </c>
      <c r="AU128" s="249">
        <v>0.27546823146331989</v>
      </c>
      <c r="AV128" s="249">
        <v>0.30212458981203555</v>
      </c>
      <c r="AW128" s="249">
        <v>0.33044702627992761</v>
      </c>
      <c r="AX128" s="249">
        <v>0.36084098785916641</v>
      </c>
      <c r="AY128" s="249">
        <v>0.39361760886356073</v>
      </c>
      <c r="AZ128" s="249">
        <v>0.42843554106686543</v>
      </c>
      <c r="BA128" s="249">
        <v>0.46511833749581688</v>
      </c>
      <c r="BB128" s="249">
        <v>0.50376893109162824</v>
      </c>
      <c r="BC128" s="249">
        <v>0.54471507904941774</v>
      </c>
      <c r="BD128" s="249">
        <v>0.58531342149952015</v>
      </c>
      <c r="BE128" s="249">
        <v>0.62651447040440478</v>
      </c>
      <c r="BF128" s="249">
        <v>0.67013828204114345</v>
      </c>
      <c r="BG128" s="249">
        <v>0.71426021785783744</v>
      </c>
      <c r="BH128" s="249">
        <v>0.75939561744891815</v>
      </c>
      <c r="BI128" s="249">
        <v>0.80579754694683348</v>
      </c>
      <c r="BJ128" s="249">
        <v>0.85359028891358135</v>
      </c>
      <c r="BK128" s="249">
        <v>0.90302355260026301</v>
      </c>
      <c r="BL128" s="249">
        <v>0.95389609098452599</v>
      </c>
      <c r="BM128" s="249">
        <v>1.006263835702327</v>
      </c>
      <c r="BN128" s="249">
        <v>1.0601507128855174</v>
      </c>
      <c r="BO128" s="249">
        <v>1.1155750635596164</v>
      </c>
      <c r="BP128" s="249">
        <v>1.1725382456919633</v>
      </c>
      <c r="BQ128" s="249">
        <v>1.2310371105649871</v>
      </c>
      <c r="BR128" s="249">
        <v>1.2910681591414548</v>
      </c>
      <c r="BS128" s="249">
        <v>1.3526286454518606</v>
      </c>
      <c r="BT128" s="249">
        <v>1.4157180392196629</v>
      </c>
      <c r="BU128" s="249">
        <v>1.4803354183797097</v>
      </c>
      <c r="BV128" s="249">
        <v>1.546480091065416</v>
      </c>
      <c r="BW128" s="249">
        <v>1.6141516582650308</v>
      </c>
      <c r="BX128" s="249">
        <v>1.6833500016005363</v>
      </c>
      <c r="BY128" s="249">
        <v>1.7540751508391832</v>
      </c>
      <c r="BZ128" s="249">
        <v>1.8263271852244061</v>
      </c>
      <c r="CA128" s="249">
        <v>1.9001061822287704</v>
      </c>
      <c r="CB128" s="249">
        <v>1.975412197902823</v>
      </c>
      <c r="CC128" s="249">
        <v>2.0522452735796888</v>
      </c>
      <c r="CD128" s="249">
        <v>2.1306054363186906</v>
      </c>
      <c r="CE128" s="249">
        <v>2.210492700916602</v>
      </c>
      <c r="CF128" s="249">
        <v>2.2919070731275424</v>
      </c>
      <c r="CG128" s="249">
        <v>2.3748485533613133</v>
      </c>
      <c r="CH128" s="249">
        <v>2.4593171396179745</v>
      </c>
      <c r="CI128" s="249">
        <v>2.545312829306182</v>
      </c>
      <c r="CJ128" s="249">
        <v>2.6328356201271799</v>
      </c>
      <c r="CK128" s="249">
        <v>2.7218855103506607</v>
      </c>
      <c r="CL128" s="249">
        <v>2.8124624988393938</v>
      </c>
      <c r="CM128" s="249">
        <v>2.9045665849530593</v>
      </c>
      <c r="CN128" s="249">
        <v>2.9980552684079766</v>
      </c>
      <c r="CO128" s="249">
        <v>3.0928572991396499</v>
      </c>
      <c r="CP128" s="249">
        <v>3.1889370521947016</v>
      </c>
      <c r="CQ128" s="249">
        <v>3.2862767151594237</v>
      </c>
      <c r="CR128" s="249">
        <v>3.3848673818700825</v>
      </c>
      <c r="CS128" s="249">
        <v>3.4847045992705596</v>
      </c>
      <c r="CT128" s="249">
        <v>3.5857861408455842</v>
      </c>
      <c r="CU128" s="249">
        <v>3.688110893341868</v>
      </c>
      <c r="CV128" s="249">
        <v>3.7916803908639123</v>
      </c>
      <c r="CW128" s="249">
        <v>3.8964964040126926</v>
      </c>
      <c r="CX128" s="249">
        <v>4.0025602880823197</v>
      </c>
      <c r="CY128" s="249">
        <v>4.1098729260188911</v>
      </c>
    </row>
    <row r="129" spans="1:103">
      <c r="A129" s="95"/>
      <c r="B129" s="230"/>
      <c r="C129" s="230"/>
      <c r="D129" s="230"/>
      <c r="E129" s="230" t="s">
        <v>425</v>
      </c>
      <c r="F129" s="230"/>
      <c r="G129" s="232" t="s">
        <v>736</v>
      </c>
      <c r="H129" s="203"/>
      <c r="I129" s="214"/>
      <c r="J129" s="214"/>
      <c r="K129" s="214"/>
      <c r="L129" s="95"/>
      <c r="M129" s="95"/>
      <c r="N129" s="95"/>
      <c r="O129" s="95"/>
      <c r="P129" s="95"/>
      <c r="Q129" s="95"/>
      <c r="R129" s="95"/>
      <c r="S129" s="95"/>
      <c r="T129" s="267"/>
      <c r="U129" s="267"/>
      <c r="V129" s="267"/>
      <c r="W129" s="267"/>
      <c r="X129" s="267"/>
      <c r="Y129" s="267"/>
      <c r="Z129" s="267"/>
      <c r="AA129" s="267"/>
      <c r="AB129" s="267"/>
      <c r="AC129" s="267"/>
      <c r="AD129" s="597"/>
      <c r="AE129" s="249">
        <f t="shared" si="60"/>
        <v>0</v>
      </c>
      <c r="AF129" s="249">
        <f t="shared" si="60"/>
        <v>7.9799999999999999E-4</v>
      </c>
      <c r="AG129" s="249">
        <f t="shared" si="60"/>
        <v>3.9899999999999999E-4</v>
      </c>
      <c r="AH129" s="249">
        <f t="shared" si="60"/>
        <v>1.9949999999999998E-3</v>
      </c>
      <c r="AI129" s="249">
        <f t="shared" si="60"/>
        <v>5.5859999999999998E-3</v>
      </c>
      <c r="AJ129" s="249">
        <f t="shared" si="60"/>
        <v>3.02043E-2</v>
      </c>
      <c r="AK129" s="249">
        <f t="shared" si="60"/>
        <v>1.6602390000000002E-2</v>
      </c>
      <c r="AL129" s="249">
        <f t="shared" si="60"/>
        <v>1.4767921E-2</v>
      </c>
      <c r="AM129" s="249">
        <f t="shared" si="60"/>
        <v>1.2788793E-2</v>
      </c>
      <c r="AN129" s="249">
        <f t="shared" si="60"/>
        <v>2.0665599999999999E-2</v>
      </c>
      <c r="AO129" s="249">
        <f t="shared" si="60"/>
        <v>0.20978922799999999</v>
      </c>
      <c r="AP129" s="249">
        <f t="shared" si="60"/>
        <v>0</v>
      </c>
      <c r="AQ129" s="249">
        <f t="shared" si="60"/>
        <v>1.1387558910913929E-8</v>
      </c>
      <c r="AR129" s="249">
        <v>4.7839085031711984E-2</v>
      </c>
      <c r="AS129" s="249">
        <v>5.5543937669030978E-2</v>
      </c>
      <c r="AT129" s="249">
        <v>4.6804104826698986E-2</v>
      </c>
      <c r="AU129" s="249">
        <v>5.2783990455662982E-2</v>
      </c>
      <c r="AV129" s="249">
        <v>8.2453422999368961E-2</v>
      </c>
      <c r="AW129" s="249">
        <v>8.0613458190456955E-2</v>
      </c>
      <c r="AX129" s="249">
        <v>0.12983251682885294</v>
      </c>
      <c r="AY129" s="249">
        <v>0.10591297431299695</v>
      </c>
      <c r="AZ129" s="249">
        <v>7.9233484583772967E-2</v>
      </c>
      <c r="BA129" s="249">
        <v>5.8763876084626979E-2</v>
      </c>
      <c r="BB129" s="249">
        <v>6.8327859830950813E-2</v>
      </c>
      <c r="BC129" s="249">
        <v>0.14900548659103185</v>
      </c>
      <c r="BD129" s="249">
        <v>0.18942615057494822</v>
      </c>
      <c r="BE129" s="249">
        <v>0.20655283381186673</v>
      </c>
      <c r="BF129" s="249">
        <v>0.20962449912971057</v>
      </c>
      <c r="BG129" s="249">
        <v>0.22527687978770514</v>
      </c>
      <c r="BH129" s="249">
        <v>0.26117634919625482</v>
      </c>
      <c r="BI129" s="249">
        <v>0.27014522482979431</v>
      </c>
      <c r="BJ129" s="249">
        <v>0.32275345679948175</v>
      </c>
      <c r="BK129" s="249">
        <v>0.31285125942279512</v>
      </c>
      <c r="BL129" s="249">
        <v>0.30059017791983017</v>
      </c>
      <c r="BM129" s="249">
        <v>0.29363658570099138</v>
      </c>
      <c r="BN129" s="249">
        <v>0.31235223949519453</v>
      </c>
      <c r="BO129" s="249">
        <v>0.3918476222836581</v>
      </c>
      <c r="BP129" s="249">
        <v>0.43693600264652571</v>
      </c>
      <c r="BQ129" s="249">
        <v>0.46211537853431439</v>
      </c>
      <c r="BR129" s="249">
        <v>0.47528214834642257</v>
      </c>
      <c r="BS129" s="249">
        <v>0.49920146065983917</v>
      </c>
      <c r="BT129" s="249">
        <v>0.54042564606129906</v>
      </c>
      <c r="BU129" s="249">
        <v>0.55863267017089546</v>
      </c>
      <c r="BV129" s="249">
        <v>0.61413757608190556</v>
      </c>
      <c r="BW129" s="249">
        <v>0.61621578643953945</v>
      </c>
      <c r="BX129" s="249">
        <v>0.61627789507817798</v>
      </c>
      <c r="BY129" s="249">
        <v>0.62087623258455615</v>
      </c>
      <c r="BZ129" s="249">
        <v>0.6474136769913903</v>
      </c>
      <c r="CA129" s="249">
        <v>0.72589861417258672</v>
      </c>
      <c r="CB129" s="249">
        <v>0.77497641941247586</v>
      </c>
      <c r="CC129" s="249">
        <v>0.80703830695698398</v>
      </c>
      <c r="CD129" s="249">
        <v>0.82883320618740119</v>
      </c>
      <c r="CE129" s="249">
        <v>0.85981813691574582</v>
      </c>
      <c r="CF129" s="249">
        <v>0.90559327458606731</v>
      </c>
      <c r="CG129" s="249">
        <v>0.93169600108113815</v>
      </c>
      <c r="CH129" s="249">
        <v>0.9896766493346445</v>
      </c>
      <c r="CI129" s="249">
        <v>1.0019943285828241</v>
      </c>
      <c r="CJ129" s="249">
        <v>1.0125888769251423</v>
      </c>
      <c r="CK129" s="249">
        <v>1.0270604698056487</v>
      </c>
      <c r="CL129" s="249">
        <v>1.060283077474244</v>
      </c>
      <c r="CM129" s="249">
        <v>1.1310316470927093</v>
      </c>
      <c r="CN129" s="249">
        <v>1.1648645302904637</v>
      </c>
      <c r="CO129" s="249">
        <v>1.198697413488218</v>
      </c>
      <c r="CP129" s="249">
        <v>1.2325302966859728</v>
      </c>
      <c r="CQ129" s="249">
        <v>1.2663631798837269</v>
      </c>
      <c r="CR129" s="249">
        <v>1.3001960630814813</v>
      </c>
      <c r="CS129" s="249">
        <v>1.3340289462792358</v>
      </c>
      <c r="CT129" s="249">
        <v>1.3678618294769902</v>
      </c>
      <c r="CU129" s="249">
        <v>1.4016947126747445</v>
      </c>
      <c r="CV129" s="249">
        <v>1.4355275958724989</v>
      </c>
      <c r="CW129" s="249">
        <v>1.4693604790702535</v>
      </c>
      <c r="CX129" s="249">
        <v>1.5031933622680076</v>
      </c>
      <c r="CY129" s="249">
        <v>1.5370262454657624</v>
      </c>
    </row>
    <row r="130" spans="1:103">
      <c r="A130" s="229"/>
      <c r="B130" s="230"/>
      <c r="C130" s="230"/>
      <c r="D130" s="230"/>
      <c r="E130" s="230" t="s">
        <v>392</v>
      </c>
      <c r="F130" s="230"/>
      <c r="G130" s="232" t="s">
        <v>736</v>
      </c>
      <c r="H130" s="203"/>
      <c r="I130" s="203"/>
      <c r="J130" s="203"/>
      <c r="K130" s="203"/>
      <c r="L130" s="229"/>
      <c r="M130" s="229"/>
      <c r="N130" s="229"/>
      <c r="O130" s="229"/>
      <c r="P130" s="229"/>
      <c r="Q130" s="229"/>
      <c r="R130" s="229"/>
      <c r="S130" s="229"/>
      <c r="T130" s="597"/>
      <c r="U130" s="597"/>
      <c r="V130" s="597"/>
      <c r="W130" s="597"/>
      <c r="X130" s="597"/>
      <c r="Y130" s="597"/>
      <c r="Z130" s="597"/>
      <c r="AA130" s="597"/>
      <c r="AB130" s="597"/>
      <c r="AC130" s="597"/>
      <c r="AD130" s="597"/>
      <c r="AE130" s="249">
        <f t="shared" si="60"/>
        <v>5.7898170110004601E-2</v>
      </c>
      <c r="AF130" s="249">
        <f t="shared" si="60"/>
        <v>6.3181631933631049E-2</v>
      </c>
      <c r="AG130" s="249">
        <f t="shared" si="60"/>
        <v>5.7748281800714292E-2</v>
      </c>
      <c r="AH130" s="249">
        <f t="shared" si="60"/>
        <v>0.10416596512515193</v>
      </c>
      <c r="AI130" s="249">
        <f t="shared" si="60"/>
        <v>9.0574326148151849E-2</v>
      </c>
      <c r="AJ130" s="249">
        <f t="shared" si="60"/>
        <v>0.14236305234693544</v>
      </c>
      <c r="AK130" s="249">
        <f t="shared" si="60"/>
        <v>0.12197961774824125</v>
      </c>
      <c r="AL130" s="249">
        <f t="shared" si="60"/>
        <v>0.17626621420675392</v>
      </c>
      <c r="AM130" s="249">
        <f t="shared" si="60"/>
        <v>0.17600937823220811</v>
      </c>
      <c r="AN130" s="249">
        <f t="shared" si="60"/>
        <v>0.19929552162150671</v>
      </c>
      <c r="AO130" s="249">
        <f t="shared" si="60"/>
        <v>0.25522013738550275</v>
      </c>
      <c r="AP130" s="249">
        <f t="shared" si="60"/>
        <v>0</v>
      </c>
      <c r="AQ130" s="249">
        <f t="shared" si="60"/>
        <v>0</v>
      </c>
      <c r="AR130" s="249">
        <v>0.43439961308333336</v>
      </c>
      <c r="AS130" s="249">
        <v>0.47933638683333341</v>
      </c>
      <c r="AT130" s="249">
        <v>0.52769807475000019</v>
      </c>
      <c r="AU130" s="249">
        <v>0.57954971433333347</v>
      </c>
      <c r="AV130" s="249">
        <v>0.63495634308333337</v>
      </c>
      <c r="AW130" s="249">
        <v>0.69398299850000011</v>
      </c>
      <c r="AX130" s="249">
        <v>0.75669471808333366</v>
      </c>
      <c r="AY130" s="249">
        <v>0.82315653933333366</v>
      </c>
      <c r="AZ130" s="249">
        <v>0.89343349975000019</v>
      </c>
      <c r="BA130" s="249">
        <v>0.96759063683333379</v>
      </c>
      <c r="BB130" s="249">
        <v>1.0456929880833339</v>
      </c>
      <c r="BC130" s="249">
        <v>1.127805591</v>
      </c>
      <c r="BD130" s="249">
        <v>1.2051836609999997</v>
      </c>
      <c r="BE130" s="249">
        <v>1.2855274409999999</v>
      </c>
      <c r="BF130" s="249">
        <v>1.3688369309999997</v>
      </c>
      <c r="BG130" s="249">
        <v>1.4551121309999999</v>
      </c>
      <c r="BH130" s="249">
        <v>1.5443530409999997</v>
      </c>
      <c r="BI130" s="249">
        <v>1.6365596609999999</v>
      </c>
      <c r="BJ130" s="249">
        <v>1.7317319909999997</v>
      </c>
      <c r="BK130" s="249">
        <v>1.8298700309999998</v>
      </c>
      <c r="BL130" s="249">
        <v>1.9309737809999996</v>
      </c>
      <c r="BM130" s="249">
        <v>2.0350432409999999</v>
      </c>
      <c r="BN130" s="249">
        <v>2.142078411</v>
      </c>
      <c r="BO130" s="249">
        <v>2.2520792910000003</v>
      </c>
      <c r="BP130" s="249">
        <v>2.3650458809999999</v>
      </c>
      <c r="BQ130" s="249">
        <v>2.4809781810000002</v>
      </c>
      <c r="BR130" s="249">
        <v>2.5998761909999999</v>
      </c>
      <c r="BS130" s="249">
        <v>2.7217399109999998</v>
      </c>
      <c r="BT130" s="249">
        <v>2.8465693409999995</v>
      </c>
      <c r="BU130" s="249">
        <v>2.9743644810000003</v>
      </c>
      <c r="BV130" s="249">
        <v>3.1051253309999995</v>
      </c>
      <c r="BW130" s="249">
        <v>3.2388518909999999</v>
      </c>
      <c r="BX130" s="249">
        <v>3.3755441609999997</v>
      </c>
      <c r="BY130" s="249">
        <v>3.5152021409999996</v>
      </c>
      <c r="BZ130" s="249">
        <v>3.6578258309999994</v>
      </c>
      <c r="CA130" s="249">
        <v>3.8034152309999989</v>
      </c>
      <c r="CB130" s="249">
        <v>3.951970341</v>
      </c>
      <c r="CC130" s="249">
        <v>4.103491161</v>
      </c>
      <c r="CD130" s="249">
        <v>4.2579776909999998</v>
      </c>
      <c r="CE130" s="249">
        <v>4.4154299310000003</v>
      </c>
      <c r="CF130" s="249">
        <v>4.5758478809999996</v>
      </c>
      <c r="CG130" s="249">
        <v>4.7392315409999997</v>
      </c>
      <c r="CH130" s="249">
        <v>4.9055809109999995</v>
      </c>
      <c r="CI130" s="249">
        <v>5.0748959909999991</v>
      </c>
      <c r="CJ130" s="249">
        <v>5.2471767810000003</v>
      </c>
      <c r="CK130" s="249">
        <v>5.4224232809999986</v>
      </c>
      <c r="CL130" s="249">
        <v>5.6006354909999994</v>
      </c>
      <c r="CM130" s="249">
        <v>5.7818134109999981</v>
      </c>
      <c r="CN130" s="249">
        <v>5.9654178209999991</v>
      </c>
      <c r="CO130" s="249">
        <v>6.1514487209999995</v>
      </c>
      <c r="CP130" s="249">
        <v>6.3399061109999995</v>
      </c>
      <c r="CQ130" s="249">
        <v>6.5307899909999998</v>
      </c>
      <c r="CR130" s="249">
        <v>6.7241003609999996</v>
      </c>
      <c r="CS130" s="249">
        <v>6.919837220999999</v>
      </c>
      <c r="CT130" s="249">
        <v>7.1180005709999996</v>
      </c>
      <c r="CU130" s="249">
        <v>7.3185904109999989</v>
      </c>
      <c r="CV130" s="249">
        <v>7.5216067409999976</v>
      </c>
      <c r="CW130" s="249">
        <v>7.7270495609999994</v>
      </c>
      <c r="CX130" s="249">
        <v>7.9349188709999998</v>
      </c>
      <c r="CY130" s="249">
        <v>8.1452146709999997</v>
      </c>
    </row>
    <row r="131" spans="1:103">
      <c r="A131" s="229"/>
      <c r="B131" s="230"/>
      <c r="C131" s="230"/>
      <c r="D131" s="230"/>
      <c r="E131" s="230" t="s">
        <v>867</v>
      </c>
      <c r="F131" s="230"/>
      <c r="G131" s="232" t="s">
        <v>736</v>
      </c>
      <c r="H131" s="203"/>
      <c r="I131" s="203"/>
      <c r="J131" s="203"/>
      <c r="K131" s="203"/>
      <c r="L131" s="229"/>
      <c r="M131" s="229"/>
      <c r="N131" s="229"/>
      <c r="O131" s="229"/>
      <c r="P131" s="229"/>
      <c r="Q131" s="229"/>
      <c r="R131" s="229"/>
      <c r="S131" s="229"/>
      <c r="T131" s="610"/>
      <c r="U131" s="597"/>
      <c r="V131" s="597"/>
      <c r="W131" s="597"/>
      <c r="X131" s="597"/>
      <c r="Y131" s="597"/>
      <c r="Z131" s="597"/>
      <c r="AA131" s="597"/>
      <c r="AB131" s="597"/>
      <c r="AC131" s="597"/>
      <c r="AD131" s="597"/>
      <c r="AE131" s="249">
        <f t="shared" ref="AE131:AQ134" si="61">AE183+AE235</f>
        <v>6.7533180000000003E-3</v>
      </c>
      <c r="AF131" s="249">
        <f t="shared" si="61"/>
        <v>7.5948380000000005E-3</v>
      </c>
      <c r="AG131" s="249">
        <f t="shared" si="61"/>
        <v>7.8609839999999997E-3</v>
      </c>
      <c r="AH131" s="249">
        <f t="shared" si="61"/>
        <v>9.4267740000000006E-3</v>
      </c>
      <c r="AI131" s="249">
        <f t="shared" si="61"/>
        <v>8.0610750000000009E-3</v>
      </c>
      <c r="AJ131" s="249">
        <f t="shared" si="61"/>
        <v>6.8007780000000004E-3</v>
      </c>
      <c r="AK131" s="249">
        <f t="shared" si="61"/>
        <v>5.6116539999999998E-3</v>
      </c>
      <c r="AL131" s="249">
        <f t="shared" si="61"/>
        <v>7.5611970000000004E-3</v>
      </c>
      <c r="AM131" s="249">
        <f t="shared" si="61"/>
        <v>6.4515550000000003E-3</v>
      </c>
      <c r="AN131" s="249">
        <f t="shared" si="61"/>
        <v>7.7043179999999999E-3</v>
      </c>
      <c r="AO131" s="249">
        <f t="shared" si="61"/>
        <v>1.2432922000000001E-2</v>
      </c>
      <c r="AP131" s="249">
        <f t="shared" si="61"/>
        <v>0</v>
      </c>
      <c r="AQ131" s="249">
        <f t="shared" si="61"/>
        <v>0</v>
      </c>
      <c r="AR131" s="249">
        <v>1.6990259708333334E-2</v>
      </c>
      <c r="AS131" s="249">
        <v>1.8747829083333337E-2</v>
      </c>
      <c r="AT131" s="249">
        <v>2.0639353875000006E-2</v>
      </c>
      <c r="AU131" s="249">
        <v>2.2667377833333339E-2</v>
      </c>
      <c r="AV131" s="249">
        <v>2.4834444708333337E-2</v>
      </c>
      <c r="AW131" s="249">
        <v>2.7143098250000004E-2</v>
      </c>
      <c r="AX131" s="249">
        <v>2.9595882208333348E-2</v>
      </c>
      <c r="AY131" s="249">
        <v>3.219534033333335E-2</v>
      </c>
      <c r="AZ131" s="249">
        <v>3.4944016375000012E-2</v>
      </c>
      <c r="BA131" s="249">
        <v>3.7844454083333354E-2</v>
      </c>
      <c r="BB131" s="249">
        <v>4.0899197208333349E-2</v>
      </c>
      <c r="BC131" s="249">
        <v>4.4110789499999997E-2</v>
      </c>
      <c r="BD131" s="249">
        <v>5.095914E-2</v>
      </c>
      <c r="BE131" s="249">
        <v>5.4356340000000003E-2</v>
      </c>
      <c r="BF131" s="249">
        <v>5.787893999999999E-2</v>
      </c>
      <c r="BG131" s="249">
        <v>6.1526940000000002E-2</v>
      </c>
      <c r="BH131" s="249">
        <v>6.5300339999999985E-2</v>
      </c>
      <c r="BI131" s="249">
        <v>6.9199139999999992E-2</v>
      </c>
      <c r="BJ131" s="249">
        <v>7.3223339999999998E-2</v>
      </c>
      <c r="BK131" s="249">
        <v>7.7372940000000001E-2</v>
      </c>
      <c r="BL131" s="249">
        <v>8.1647940000000002E-2</v>
      </c>
      <c r="BM131" s="249">
        <v>8.6048340000000001E-2</v>
      </c>
      <c r="BN131" s="249">
        <v>9.0574139999999997E-2</v>
      </c>
      <c r="BO131" s="249">
        <v>9.5225340000000019E-2</v>
      </c>
      <c r="BP131" s="249">
        <v>0.10000194000000001</v>
      </c>
      <c r="BQ131" s="249">
        <v>0.10490394</v>
      </c>
      <c r="BR131" s="249">
        <v>0.10993134000000002</v>
      </c>
      <c r="BS131" s="249">
        <v>0.11508414</v>
      </c>
      <c r="BT131" s="249">
        <v>0.12036234000000001</v>
      </c>
      <c r="BU131" s="249">
        <v>0.12576594000000002</v>
      </c>
      <c r="BV131" s="249">
        <v>0.13129494</v>
      </c>
      <c r="BW131" s="249">
        <v>0.13694934</v>
      </c>
      <c r="BX131" s="249">
        <v>0.14272914</v>
      </c>
      <c r="BY131" s="249">
        <v>0.14863434</v>
      </c>
      <c r="BZ131" s="249">
        <v>0.15466493999999997</v>
      </c>
      <c r="CA131" s="249">
        <v>0.16082093999999997</v>
      </c>
      <c r="CB131" s="249">
        <v>0.16710234000000002</v>
      </c>
      <c r="CC131" s="249">
        <v>0.17350914000000001</v>
      </c>
      <c r="CD131" s="249">
        <v>0.18004133999999999</v>
      </c>
      <c r="CE131" s="249">
        <v>0.18669894000000001</v>
      </c>
      <c r="CF131" s="249">
        <v>0.19348193999999999</v>
      </c>
      <c r="CG131" s="249">
        <v>0.20039034</v>
      </c>
      <c r="CH131" s="249">
        <v>0.20742413999999998</v>
      </c>
      <c r="CI131" s="249">
        <v>0.21458333999999996</v>
      </c>
      <c r="CJ131" s="249">
        <v>0.22186794000000001</v>
      </c>
      <c r="CK131" s="249">
        <v>0.22927793999999996</v>
      </c>
      <c r="CL131" s="249">
        <v>0.23681333999999998</v>
      </c>
      <c r="CM131" s="249">
        <v>0.24447414000000001</v>
      </c>
      <c r="CN131" s="249">
        <v>0.25223753999999998</v>
      </c>
      <c r="CO131" s="249">
        <v>0.26010353999999997</v>
      </c>
      <c r="CP131" s="249">
        <v>0.26807213999999996</v>
      </c>
      <c r="CQ131" s="249">
        <v>0.27614334000000001</v>
      </c>
      <c r="CR131" s="249">
        <v>0.28431713999999997</v>
      </c>
      <c r="CS131" s="249">
        <v>0.29259353999999999</v>
      </c>
      <c r="CT131" s="249">
        <v>0.30097254000000007</v>
      </c>
      <c r="CU131" s="249">
        <v>0.30945413999999993</v>
      </c>
      <c r="CV131" s="249">
        <v>0.31803833999999997</v>
      </c>
      <c r="CW131" s="249">
        <v>0.32672513999999997</v>
      </c>
      <c r="CX131" s="249">
        <v>0.33551454000000003</v>
      </c>
      <c r="CY131" s="249">
        <v>0.34440654000000004</v>
      </c>
    </row>
    <row r="132" spans="1:103">
      <c r="A132" s="229"/>
      <c r="B132" s="230"/>
      <c r="C132" s="230"/>
      <c r="D132" s="230"/>
      <c r="E132" s="230" t="s">
        <v>868</v>
      </c>
      <c r="F132" s="93"/>
      <c r="G132" s="232" t="s">
        <v>736</v>
      </c>
      <c r="H132" s="203"/>
      <c r="I132" s="203"/>
      <c r="J132" s="203"/>
      <c r="K132" s="203"/>
      <c r="L132" s="229"/>
      <c r="M132" s="229"/>
      <c r="N132" s="229"/>
      <c r="O132" s="229"/>
      <c r="P132" s="229"/>
      <c r="Q132" s="229"/>
      <c r="R132" s="229"/>
      <c r="S132" s="229"/>
      <c r="T132" s="610"/>
      <c r="U132" s="597"/>
      <c r="V132" s="597"/>
      <c r="W132" s="597"/>
      <c r="X132" s="597"/>
      <c r="Y132" s="597"/>
      <c r="Z132" s="597"/>
      <c r="AA132" s="597"/>
      <c r="AB132" s="597"/>
      <c r="AC132" s="597"/>
      <c r="AD132" s="597"/>
      <c r="AE132" s="249">
        <f t="shared" si="61"/>
        <v>0</v>
      </c>
      <c r="AF132" s="249">
        <f t="shared" si="61"/>
        <v>0</v>
      </c>
      <c r="AG132" s="249">
        <f t="shared" si="61"/>
        <v>0</v>
      </c>
      <c r="AH132" s="249">
        <f t="shared" si="61"/>
        <v>0</v>
      </c>
      <c r="AI132" s="249">
        <f t="shared" si="61"/>
        <v>0</v>
      </c>
      <c r="AJ132" s="249">
        <f t="shared" si="61"/>
        <v>7.5000000000000002E-4</v>
      </c>
      <c r="AK132" s="249">
        <f t="shared" si="61"/>
        <v>5.2499999999999995E-3</v>
      </c>
      <c r="AL132" s="249">
        <f t="shared" si="61"/>
        <v>5.5050000000000003E-3</v>
      </c>
      <c r="AM132" s="249">
        <f t="shared" si="61"/>
        <v>6.628939999999999E-3</v>
      </c>
      <c r="AN132" s="249">
        <f t="shared" si="61"/>
        <v>5.7369439999999999E-3</v>
      </c>
      <c r="AO132" s="249">
        <f t="shared" si="61"/>
        <v>8.0033050000000005E-3</v>
      </c>
      <c r="AP132" s="249">
        <f t="shared" si="61"/>
        <v>0</v>
      </c>
      <c r="AQ132" s="249">
        <f t="shared" si="61"/>
        <v>0</v>
      </c>
      <c r="AR132" s="249">
        <v>0</v>
      </c>
      <c r="AS132" s="249">
        <v>0</v>
      </c>
      <c r="AT132" s="249">
        <v>0</v>
      </c>
      <c r="AU132" s="249">
        <v>0</v>
      </c>
      <c r="AV132" s="249">
        <v>0</v>
      </c>
      <c r="AW132" s="249">
        <v>0</v>
      </c>
      <c r="AX132" s="249">
        <v>0</v>
      </c>
      <c r="AY132" s="249">
        <v>0</v>
      </c>
      <c r="AZ132" s="249">
        <v>0</v>
      </c>
      <c r="BA132" s="249">
        <v>0</v>
      </c>
      <c r="BB132" s="249">
        <v>0</v>
      </c>
      <c r="BC132" s="249">
        <v>0</v>
      </c>
      <c r="BD132" s="249">
        <v>0</v>
      </c>
      <c r="BE132" s="249">
        <v>0</v>
      </c>
      <c r="BF132" s="249">
        <v>0</v>
      </c>
      <c r="BG132" s="249">
        <v>0</v>
      </c>
      <c r="BH132" s="249">
        <v>0</v>
      </c>
      <c r="BI132" s="249">
        <v>0</v>
      </c>
      <c r="BJ132" s="249">
        <v>0</v>
      </c>
      <c r="BK132" s="249">
        <v>0</v>
      </c>
      <c r="BL132" s="249">
        <v>0</v>
      </c>
      <c r="BM132" s="249">
        <v>0</v>
      </c>
      <c r="BN132" s="249">
        <v>0</v>
      </c>
      <c r="BO132" s="249">
        <v>0</v>
      </c>
      <c r="BP132" s="249">
        <v>0</v>
      </c>
      <c r="BQ132" s="249">
        <v>0</v>
      </c>
      <c r="BR132" s="249">
        <v>0</v>
      </c>
      <c r="BS132" s="249">
        <v>0</v>
      </c>
      <c r="BT132" s="249">
        <v>0</v>
      </c>
      <c r="BU132" s="249">
        <v>0</v>
      </c>
      <c r="BV132" s="249">
        <v>0</v>
      </c>
      <c r="BW132" s="249">
        <v>0</v>
      </c>
      <c r="BX132" s="249">
        <v>0</v>
      </c>
      <c r="BY132" s="249">
        <v>0</v>
      </c>
      <c r="BZ132" s="249">
        <v>0</v>
      </c>
      <c r="CA132" s="249">
        <v>0</v>
      </c>
      <c r="CB132" s="249">
        <v>0</v>
      </c>
      <c r="CC132" s="249">
        <v>0</v>
      </c>
      <c r="CD132" s="249">
        <v>0</v>
      </c>
      <c r="CE132" s="249">
        <v>0</v>
      </c>
      <c r="CF132" s="249">
        <v>0</v>
      </c>
      <c r="CG132" s="249">
        <v>0</v>
      </c>
      <c r="CH132" s="249">
        <v>0</v>
      </c>
      <c r="CI132" s="249">
        <v>0</v>
      </c>
      <c r="CJ132" s="249">
        <v>0</v>
      </c>
      <c r="CK132" s="249">
        <v>0</v>
      </c>
      <c r="CL132" s="249">
        <v>0</v>
      </c>
      <c r="CM132" s="249">
        <v>0</v>
      </c>
      <c r="CN132" s="249">
        <v>0</v>
      </c>
      <c r="CO132" s="249">
        <v>0</v>
      </c>
      <c r="CP132" s="249">
        <v>0</v>
      </c>
      <c r="CQ132" s="249">
        <v>0</v>
      </c>
      <c r="CR132" s="249">
        <v>0</v>
      </c>
      <c r="CS132" s="249">
        <v>0</v>
      </c>
      <c r="CT132" s="249">
        <v>0</v>
      </c>
      <c r="CU132" s="249">
        <v>0</v>
      </c>
      <c r="CV132" s="249">
        <v>0</v>
      </c>
      <c r="CW132" s="249">
        <v>0</v>
      </c>
      <c r="CX132" s="249">
        <v>0</v>
      </c>
      <c r="CY132" s="249">
        <v>0</v>
      </c>
    </row>
    <row r="133" spans="1:103">
      <c r="A133" s="229"/>
      <c r="B133" s="230"/>
      <c r="C133" s="230"/>
      <c r="D133" s="230"/>
      <c r="E133" s="230" t="s">
        <v>801</v>
      </c>
      <c r="F133" s="93"/>
      <c r="G133" s="232" t="s">
        <v>736</v>
      </c>
      <c r="H133" s="203"/>
      <c r="I133" s="203"/>
      <c r="J133" s="203"/>
      <c r="K133" s="203"/>
      <c r="L133" s="229"/>
      <c r="M133" s="229"/>
      <c r="N133" s="229"/>
      <c r="O133" s="229"/>
      <c r="P133" s="229"/>
      <c r="Q133" s="229"/>
      <c r="R133" s="229"/>
      <c r="S133" s="229"/>
      <c r="T133" s="610"/>
      <c r="U133" s="597"/>
      <c r="V133" s="597"/>
      <c r="W133" s="597"/>
      <c r="X133" s="597"/>
      <c r="Y133" s="597"/>
      <c r="Z133" s="597"/>
      <c r="AA133" s="597"/>
      <c r="AB133" s="597"/>
      <c r="AC133" s="597"/>
      <c r="AD133" s="597"/>
      <c r="AE133" s="249">
        <f t="shared" si="61"/>
        <v>0</v>
      </c>
      <c r="AF133" s="249">
        <f t="shared" si="61"/>
        <v>0</v>
      </c>
      <c r="AG133" s="249">
        <f t="shared" si="61"/>
        <v>0</v>
      </c>
      <c r="AH133" s="249">
        <f t="shared" si="61"/>
        <v>0</v>
      </c>
      <c r="AI133" s="249">
        <f t="shared" si="61"/>
        <v>0</v>
      </c>
      <c r="AJ133" s="249">
        <f t="shared" si="61"/>
        <v>0</v>
      </c>
      <c r="AK133" s="249">
        <f t="shared" si="61"/>
        <v>0</v>
      </c>
      <c r="AL133" s="249">
        <f t="shared" si="61"/>
        <v>1.2999999999999999E-5</v>
      </c>
      <c r="AM133" s="249">
        <f t="shared" si="61"/>
        <v>7.9000999999999998E-5</v>
      </c>
      <c r="AN133" s="249">
        <f t="shared" si="61"/>
        <v>1.0000000000000001E-5</v>
      </c>
      <c r="AO133" s="249">
        <f t="shared" si="61"/>
        <v>6.0000000000000002E-6</v>
      </c>
      <c r="AP133" s="249">
        <f t="shared" si="61"/>
        <v>0</v>
      </c>
      <c r="AQ133" s="249">
        <f t="shared" si="61"/>
        <v>0</v>
      </c>
      <c r="AR133" s="249">
        <v>0</v>
      </c>
      <c r="AS133" s="249">
        <v>0</v>
      </c>
      <c r="AT133" s="249">
        <v>0</v>
      </c>
      <c r="AU133" s="249">
        <v>0</v>
      </c>
      <c r="AV133" s="249">
        <v>0</v>
      </c>
      <c r="AW133" s="249">
        <v>0</v>
      </c>
      <c r="AX133" s="249">
        <v>0</v>
      </c>
      <c r="AY133" s="249">
        <v>0</v>
      </c>
      <c r="AZ133" s="249">
        <v>0</v>
      </c>
      <c r="BA133" s="249">
        <v>0</v>
      </c>
      <c r="BB133" s="249">
        <v>0</v>
      </c>
      <c r="BC133" s="249">
        <v>0</v>
      </c>
      <c r="BD133" s="249">
        <v>0</v>
      </c>
      <c r="BE133" s="249">
        <v>0</v>
      </c>
      <c r="BF133" s="249">
        <v>0</v>
      </c>
      <c r="BG133" s="249">
        <v>0</v>
      </c>
      <c r="BH133" s="249">
        <v>0</v>
      </c>
      <c r="BI133" s="249">
        <v>0</v>
      </c>
      <c r="BJ133" s="249">
        <v>0</v>
      </c>
      <c r="BK133" s="249">
        <v>0</v>
      </c>
      <c r="BL133" s="249">
        <v>0</v>
      </c>
      <c r="BM133" s="249">
        <v>0</v>
      </c>
      <c r="BN133" s="249">
        <v>0</v>
      </c>
      <c r="BO133" s="249">
        <v>0</v>
      </c>
      <c r="BP133" s="249">
        <v>0</v>
      </c>
      <c r="BQ133" s="249">
        <v>0</v>
      </c>
      <c r="BR133" s="249">
        <v>0</v>
      </c>
      <c r="BS133" s="249">
        <v>0</v>
      </c>
      <c r="BT133" s="249">
        <v>0</v>
      </c>
      <c r="BU133" s="249">
        <v>0</v>
      </c>
      <c r="BV133" s="249">
        <v>0</v>
      </c>
      <c r="BW133" s="249">
        <v>0</v>
      </c>
      <c r="BX133" s="249">
        <v>0</v>
      </c>
      <c r="BY133" s="249">
        <v>0</v>
      </c>
      <c r="BZ133" s="249">
        <v>0</v>
      </c>
      <c r="CA133" s="249">
        <v>0</v>
      </c>
      <c r="CB133" s="249">
        <v>0</v>
      </c>
      <c r="CC133" s="249">
        <v>0</v>
      </c>
      <c r="CD133" s="249">
        <v>0</v>
      </c>
      <c r="CE133" s="249">
        <v>0</v>
      </c>
      <c r="CF133" s="249">
        <v>0</v>
      </c>
      <c r="CG133" s="249">
        <v>0</v>
      </c>
      <c r="CH133" s="249">
        <v>0</v>
      </c>
      <c r="CI133" s="249">
        <v>0</v>
      </c>
      <c r="CJ133" s="249">
        <v>0</v>
      </c>
      <c r="CK133" s="249">
        <v>0</v>
      </c>
      <c r="CL133" s="249">
        <v>0</v>
      </c>
      <c r="CM133" s="249">
        <v>0</v>
      </c>
      <c r="CN133" s="249">
        <v>0</v>
      </c>
      <c r="CO133" s="249">
        <v>0</v>
      </c>
      <c r="CP133" s="249">
        <v>0</v>
      </c>
      <c r="CQ133" s="249">
        <v>0</v>
      </c>
      <c r="CR133" s="249">
        <v>0</v>
      </c>
      <c r="CS133" s="249">
        <v>0</v>
      </c>
      <c r="CT133" s="249">
        <v>0</v>
      </c>
      <c r="CU133" s="249">
        <v>0</v>
      </c>
      <c r="CV133" s="249">
        <v>0</v>
      </c>
      <c r="CW133" s="249">
        <v>0</v>
      </c>
      <c r="CX133" s="249">
        <v>0</v>
      </c>
      <c r="CY133" s="249">
        <v>0</v>
      </c>
    </row>
    <row r="134" spans="1:103">
      <c r="A134" s="229"/>
      <c r="B134" s="230"/>
      <c r="C134" s="230"/>
      <c r="D134" s="230"/>
      <c r="E134" s="230" t="s">
        <v>804</v>
      </c>
      <c r="F134" s="230"/>
      <c r="G134" s="232" t="s">
        <v>736</v>
      </c>
      <c r="H134" s="203"/>
      <c r="I134" s="203"/>
      <c r="J134" s="203"/>
      <c r="K134" s="203"/>
      <c r="L134" s="229"/>
      <c r="M134" s="229"/>
      <c r="N134" s="229"/>
      <c r="O134" s="229"/>
      <c r="P134" s="229"/>
      <c r="Q134" s="229"/>
      <c r="R134" s="229"/>
      <c r="S134" s="229"/>
      <c r="T134" s="610"/>
      <c r="U134" s="597"/>
      <c r="V134" s="597"/>
      <c r="W134" s="597"/>
      <c r="X134" s="597"/>
      <c r="Y134" s="597"/>
      <c r="Z134" s="597"/>
      <c r="AA134" s="597"/>
      <c r="AB134" s="597"/>
      <c r="AC134" s="597"/>
      <c r="AD134" s="597"/>
      <c r="AE134" s="249">
        <f t="shared" si="61"/>
        <v>3.3355070000000001E-3</v>
      </c>
      <c r="AF134" s="249">
        <f t="shared" si="61"/>
        <v>-1.5190573000000001E-2</v>
      </c>
      <c r="AG134" s="249">
        <f t="shared" si="61"/>
        <v>3.3651697000000001E-2</v>
      </c>
      <c r="AH134" s="249">
        <f t="shared" si="61"/>
        <v>-6.4215111000000005E-2</v>
      </c>
      <c r="AI134" s="249">
        <f t="shared" si="61"/>
        <v>-2.07383E-3</v>
      </c>
      <c r="AJ134" s="249">
        <f t="shared" si="61"/>
        <v>6.3551910000000014E-3</v>
      </c>
      <c r="AK134" s="249">
        <f t="shared" si="61"/>
        <v>-3.3951729E-2</v>
      </c>
      <c r="AL134" s="249">
        <f t="shared" si="61"/>
        <v>5.5478209999999988E-3</v>
      </c>
      <c r="AM134" s="249">
        <f t="shared" si="61"/>
        <v>-3.5142849999999996E-2</v>
      </c>
      <c r="AN134" s="249">
        <f t="shared" si="61"/>
        <v>-1.8050804E-2</v>
      </c>
      <c r="AO134" s="249">
        <f t="shared" si="61"/>
        <v>-9.6501201445939946E-3</v>
      </c>
      <c r="AP134" s="249">
        <f t="shared" si="61"/>
        <v>-2.5078667541551886E-2</v>
      </c>
      <c r="AQ134" s="249">
        <f t="shared" si="61"/>
        <v>-1.3306696788028443E-4</v>
      </c>
      <c r="AR134" s="249">
        <v>-3.8488369486532378E-2</v>
      </c>
      <c r="AS134" s="249">
        <v>-3.8083936882442729E-2</v>
      </c>
      <c r="AT134" s="249">
        <v>-4.2191165579026385E-2</v>
      </c>
      <c r="AU134" s="249">
        <v>-4.5880527782213E-2</v>
      </c>
      <c r="AV134" s="249">
        <v>-5.0912060680450955E-2</v>
      </c>
      <c r="AW134" s="249">
        <v>-5.6268766110298345E-2</v>
      </c>
      <c r="AX134" s="249">
        <v>-5.8668169052322611E-2</v>
      </c>
      <c r="AY134" s="249">
        <v>-6.3430938819823396E-2</v>
      </c>
      <c r="AZ134" s="249">
        <v>-6.3145225957058945E-2</v>
      </c>
      <c r="BA134" s="249">
        <v>-6.4116586141753529E-2</v>
      </c>
      <c r="BB134" s="249">
        <v>-6.6021326214325757E-2</v>
      </c>
      <c r="BC134" s="249">
        <v>-6.9408447871053977E-2</v>
      </c>
      <c r="BD134" s="249">
        <v>-0.11242767101127729</v>
      </c>
      <c r="BE134" s="249">
        <v>-0.1126695749574593</v>
      </c>
      <c r="BF134" s="249">
        <v>-0.12032217300772874</v>
      </c>
      <c r="BG134" s="249">
        <v>-0.1316598913224423</v>
      </c>
      <c r="BH134" s="249">
        <v>-0.14431265765723414</v>
      </c>
      <c r="BI134" s="249">
        <v>-0.15697034810256888</v>
      </c>
      <c r="BJ134" s="249">
        <v>-0.16862354259090495</v>
      </c>
      <c r="BK134" s="249">
        <v>-0.1822088484936632</v>
      </c>
      <c r="BL134" s="249">
        <v>-0.19507975359439003</v>
      </c>
      <c r="BM134" s="249">
        <v>-0.20794683537095043</v>
      </c>
      <c r="BN134" s="249">
        <v>-0.22151123217820534</v>
      </c>
      <c r="BO134" s="249">
        <v>-0.23637669095901892</v>
      </c>
      <c r="BP134" s="249">
        <v>-0.25478256017209205</v>
      </c>
      <c r="BQ134" s="249">
        <v>-0.2710060771670173</v>
      </c>
      <c r="BR134" s="249">
        <v>-0.28717911446293681</v>
      </c>
      <c r="BS134" s="249">
        <v>-0.30378160804972709</v>
      </c>
      <c r="BT134" s="249">
        <v>-0.32156502763769729</v>
      </c>
      <c r="BU134" s="249">
        <v>-0.33933878564686926</v>
      </c>
      <c r="BV134" s="249">
        <v>-0.35632333821148049</v>
      </c>
      <c r="BW134" s="249">
        <v>-0.37525250600583104</v>
      </c>
      <c r="BX134" s="249">
        <v>-0.39339475500035948</v>
      </c>
      <c r="BY134" s="249">
        <v>-0.41164786753534144</v>
      </c>
      <c r="BZ134" s="249">
        <v>-0.43064220985780499</v>
      </c>
      <c r="CA134" s="249">
        <v>-0.45089178797691237</v>
      </c>
      <c r="CB134" s="249">
        <v>-0.47438147266684016</v>
      </c>
      <c r="CC134" s="249">
        <v>-0.49593694787243248</v>
      </c>
      <c r="CD134" s="249">
        <v>-0.51750178993679841</v>
      </c>
      <c r="CE134" s="249">
        <v>-0.53950224638519539</v>
      </c>
      <c r="CF134" s="249">
        <v>-0.56259782958395677</v>
      </c>
      <c r="CG134" s="249">
        <v>-0.58570532301576794</v>
      </c>
      <c r="CH134" s="249">
        <v>-0.60815617889671136</v>
      </c>
      <c r="CI134" s="249">
        <v>-0.63237103866725208</v>
      </c>
      <c r="CJ134" s="249">
        <v>-0.65595156475849725</v>
      </c>
      <c r="CK134" s="249">
        <v>-0.67967446619624394</v>
      </c>
      <c r="CL134" s="249">
        <v>-0.70409974633750105</v>
      </c>
      <c r="CM134" s="249">
        <v>-0.72967565953894198</v>
      </c>
      <c r="CN134" s="249">
        <v>-0.75796658074053391</v>
      </c>
      <c r="CO134" s="249">
        <v>-0.78425460317838358</v>
      </c>
      <c r="CP134" s="249">
        <v>-0.81093029308733078</v>
      </c>
      <c r="CQ134" s="249">
        <v>-0.83798740781116643</v>
      </c>
      <c r="CR134" s="249">
        <v>-0.86541339698844055</v>
      </c>
      <c r="CS134" s="249">
        <v>-0.89319280792447375</v>
      </c>
      <c r="CT134" s="249">
        <v>-0.92130889024238338</v>
      </c>
      <c r="CU134" s="249">
        <v>-0.94974439749707473</v>
      </c>
      <c r="CV134" s="249">
        <v>-0.97848198580844259</v>
      </c>
      <c r="CW134" s="249">
        <v>-1.0075133916495342</v>
      </c>
      <c r="CX134" s="249">
        <v>-1.0368351461998506</v>
      </c>
      <c r="CY134" s="249">
        <v>-1.0664462171247777</v>
      </c>
    </row>
    <row r="135" spans="1:103">
      <c r="A135" s="229"/>
      <c r="B135" s="230"/>
      <c r="C135" s="230"/>
      <c r="D135" s="230"/>
      <c r="E135" s="230" t="s">
        <v>226</v>
      </c>
      <c r="F135" s="230"/>
      <c r="G135" s="232" t="s">
        <v>736</v>
      </c>
      <c r="H135" s="203"/>
      <c r="I135" s="203"/>
      <c r="J135" s="203"/>
      <c r="K135" s="203"/>
      <c r="L135" s="229"/>
      <c r="M135" s="229"/>
      <c r="N135" s="229"/>
      <c r="O135" s="229"/>
      <c r="P135" s="229"/>
      <c r="Q135" s="229"/>
      <c r="R135" s="229"/>
      <c r="S135" s="229"/>
      <c r="T135" s="610"/>
      <c r="U135" s="597"/>
      <c r="V135" s="597"/>
      <c r="W135" s="597"/>
      <c r="X135" s="597"/>
      <c r="Y135" s="597"/>
      <c r="Z135" s="597"/>
      <c r="AA135" s="597"/>
      <c r="AB135" s="597"/>
      <c r="AC135" s="597"/>
      <c r="AD135" s="597"/>
      <c r="AE135" s="249">
        <f t="shared" ref="AE135:AQ135" si="62">AE187+AE239</f>
        <v>0</v>
      </c>
      <c r="AF135" s="249">
        <f t="shared" si="62"/>
        <v>0</v>
      </c>
      <c r="AG135" s="249">
        <f t="shared" si="62"/>
        <v>0</v>
      </c>
      <c r="AH135" s="249">
        <f t="shared" si="62"/>
        <v>0</v>
      </c>
      <c r="AI135" s="249">
        <f t="shared" si="62"/>
        <v>0</v>
      </c>
      <c r="AJ135" s="249">
        <f t="shared" si="62"/>
        <v>0</v>
      </c>
      <c r="AK135" s="249">
        <f t="shared" si="62"/>
        <v>0</v>
      </c>
      <c r="AL135" s="249">
        <f t="shared" si="62"/>
        <v>0</v>
      </c>
      <c r="AM135" s="249">
        <f t="shared" si="62"/>
        <v>0</v>
      </c>
      <c r="AN135" s="249">
        <f t="shared" si="62"/>
        <v>0</v>
      </c>
      <c r="AO135" s="249">
        <f t="shared" si="62"/>
        <v>0</v>
      </c>
      <c r="AP135" s="249">
        <f t="shared" si="62"/>
        <v>0</v>
      </c>
      <c r="AQ135" s="249">
        <f t="shared" si="62"/>
        <v>0</v>
      </c>
      <c r="AR135" s="249">
        <v>0</v>
      </c>
      <c r="AS135" s="249">
        <v>0</v>
      </c>
      <c r="AT135" s="249">
        <v>0</v>
      </c>
      <c r="AU135" s="249">
        <v>0</v>
      </c>
      <c r="AV135" s="249">
        <v>0</v>
      </c>
      <c r="AW135" s="249">
        <v>0</v>
      </c>
      <c r="AX135" s="249">
        <v>0</v>
      </c>
      <c r="AY135" s="249">
        <v>0</v>
      </c>
      <c r="AZ135" s="249">
        <v>0</v>
      </c>
      <c r="BA135" s="249">
        <v>0</v>
      </c>
      <c r="BB135" s="249">
        <v>0</v>
      </c>
      <c r="BC135" s="249">
        <v>0</v>
      </c>
      <c r="BD135" s="249">
        <v>0</v>
      </c>
      <c r="BE135" s="249">
        <v>0</v>
      </c>
      <c r="BF135" s="249">
        <v>0</v>
      </c>
      <c r="BG135" s="249">
        <v>0</v>
      </c>
      <c r="BH135" s="249">
        <v>0</v>
      </c>
      <c r="BI135" s="249">
        <v>0</v>
      </c>
      <c r="BJ135" s="249">
        <v>0</v>
      </c>
      <c r="BK135" s="249">
        <v>0</v>
      </c>
      <c r="BL135" s="249">
        <v>0</v>
      </c>
      <c r="BM135" s="249">
        <v>0</v>
      </c>
      <c r="BN135" s="249">
        <v>0</v>
      </c>
      <c r="BO135" s="249">
        <v>0</v>
      </c>
      <c r="BP135" s="249">
        <v>0</v>
      </c>
      <c r="BQ135" s="249">
        <v>0</v>
      </c>
      <c r="BR135" s="249">
        <v>0</v>
      </c>
      <c r="BS135" s="249">
        <v>0</v>
      </c>
      <c r="BT135" s="249">
        <v>0</v>
      </c>
      <c r="BU135" s="249">
        <v>0</v>
      </c>
      <c r="BV135" s="249">
        <v>0</v>
      </c>
      <c r="BW135" s="249">
        <v>0</v>
      </c>
      <c r="BX135" s="249">
        <v>0</v>
      </c>
      <c r="BY135" s="249">
        <v>0</v>
      </c>
      <c r="BZ135" s="249">
        <v>0</v>
      </c>
      <c r="CA135" s="249">
        <v>0</v>
      </c>
      <c r="CB135" s="249">
        <v>0</v>
      </c>
      <c r="CC135" s="249">
        <v>0</v>
      </c>
      <c r="CD135" s="249">
        <v>0</v>
      </c>
      <c r="CE135" s="249">
        <v>0</v>
      </c>
      <c r="CF135" s="249">
        <v>0</v>
      </c>
      <c r="CG135" s="249">
        <v>0</v>
      </c>
      <c r="CH135" s="249">
        <v>0</v>
      </c>
      <c r="CI135" s="249">
        <v>0</v>
      </c>
      <c r="CJ135" s="249">
        <v>0</v>
      </c>
      <c r="CK135" s="249">
        <v>0</v>
      </c>
      <c r="CL135" s="249">
        <v>0</v>
      </c>
      <c r="CM135" s="249">
        <v>0</v>
      </c>
      <c r="CN135" s="249">
        <v>0</v>
      </c>
      <c r="CO135" s="249">
        <v>0</v>
      </c>
      <c r="CP135" s="249">
        <v>0</v>
      </c>
      <c r="CQ135" s="249">
        <v>0</v>
      </c>
      <c r="CR135" s="249">
        <v>0</v>
      </c>
      <c r="CS135" s="249">
        <v>0</v>
      </c>
      <c r="CT135" s="249">
        <v>0</v>
      </c>
      <c r="CU135" s="249">
        <v>0</v>
      </c>
      <c r="CV135" s="249">
        <v>0</v>
      </c>
      <c r="CW135" s="249">
        <v>0</v>
      </c>
      <c r="CX135" s="249">
        <v>0</v>
      </c>
      <c r="CY135" s="249">
        <v>0</v>
      </c>
    </row>
    <row r="136" spans="1:103">
      <c r="A136" s="229"/>
      <c r="B136" s="93"/>
      <c r="C136" s="230"/>
      <c r="D136" s="95" t="s">
        <v>786</v>
      </c>
      <c r="E136" s="94"/>
      <c r="F136" s="230"/>
      <c r="G136" s="232" t="s">
        <v>736</v>
      </c>
      <c r="H136" s="203"/>
      <c r="I136" s="203"/>
      <c r="J136" s="203"/>
      <c r="K136" s="203"/>
      <c r="L136" s="229"/>
      <c r="M136" s="229"/>
      <c r="N136" s="229"/>
      <c r="O136" s="229"/>
      <c r="P136" s="229"/>
      <c r="Q136" s="229"/>
      <c r="R136" s="229"/>
      <c r="S136" s="229"/>
      <c r="T136" s="247"/>
      <c r="U136" s="247"/>
      <c r="V136" s="247"/>
      <c r="W136" s="247"/>
      <c r="X136" s="247"/>
      <c r="Y136" s="247"/>
      <c r="Z136" s="247"/>
      <c r="AA136" s="247"/>
      <c r="AB136" s="247"/>
      <c r="AC136" s="247"/>
      <c r="AD136" s="247"/>
      <c r="AE136" s="247">
        <f t="shared" ref="AE136:AQ136" si="63">SUM(AE137:AE140)</f>
        <v>-0.14074333154385771</v>
      </c>
      <c r="AF136" s="247">
        <f t="shared" si="63"/>
        <v>-0.14395473814927276</v>
      </c>
      <c r="AG136" s="247">
        <f t="shared" si="63"/>
        <v>-0.13524450842420904</v>
      </c>
      <c r="AH136" s="247">
        <f t="shared" si="63"/>
        <v>-0.1317878119424957</v>
      </c>
      <c r="AI136" s="247">
        <f t="shared" si="63"/>
        <v>-0.17860157194897211</v>
      </c>
      <c r="AJ136" s="247">
        <f t="shared" si="63"/>
        <v>-0.20439552005911799</v>
      </c>
      <c r="AK136" s="637">
        <f t="shared" si="63"/>
        <v>-0.22496969044241186</v>
      </c>
      <c r="AL136" s="637">
        <f t="shared" si="63"/>
        <v>-0.23017032328584913</v>
      </c>
      <c r="AM136" s="637">
        <f t="shared" si="63"/>
        <v>-0.27995355092321283</v>
      </c>
      <c r="AN136" s="637">
        <f t="shared" si="63"/>
        <v>-0.22497514503489188</v>
      </c>
      <c r="AO136" s="637">
        <f t="shared" si="63"/>
        <v>-0.27403689415797217</v>
      </c>
      <c r="AP136" s="637">
        <f t="shared" si="63"/>
        <v>0</v>
      </c>
      <c r="AQ136" s="637">
        <f t="shared" si="63"/>
        <v>0</v>
      </c>
      <c r="AR136" s="637">
        <v>-0.34528561695833332</v>
      </c>
      <c r="AS136" s="637">
        <v>-0.38008909758333337</v>
      </c>
      <c r="AT136" s="637">
        <v>-0.41744605612500008</v>
      </c>
      <c r="AU136" s="637">
        <v>-0.45739244883333346</v>
      </c>
      <c r="AV136" s="637">
        <v>-0.49996423195833339</v>
      </c>
      <c r="AW136" s="637">
        <v>-0.54519736175000011</v>
      </c>
      <c r="AX136" s="637">
        <v>-0.59312779445833352</v>
      </c>
      <c r="AY136" s="637">
        <v>-0.6437914863333335</v>
      </c>
      <c r="AZ136" s="637">
        <v>-0.69722439362500011</v>
      </c>
      <c r="BA136" s="637">
        <v>-0.75346247258333354</v>
      </c>
      <c r="BB136" s="637">
        <v>-0.81254167945833367</v>
      </c>
      <c r="BC136" s="637">
        <v>-0.87449797049999989</v>
      </c>
      <c r="BD136" s="637">
        <v>-0.93449675549999989</v>
      </c>
      <c r="BE136" s="637">
        <v>-0.99679514549999992</v>
      </c>
      <c r="BF136" s="637">
        <v>-1.0613931404999999</v>
      </c>
      <c r="BG136" s="637">
        <v>-1.1282907405</v>
      </c>
      <c r="BH136" s="637">
        <v>-1.1974879454999996</v>
      </c>
      <c r="BI136" s="637">
        <v>-1.2689847555</v>
      </c>
      <c r="BJ136" s="637">
        <v>-1.3427811704999999</v>
      </c>
      <c r="BK136" s="637">
        <v>-1.4188771904999999</v>
      </c>
      <c r="BL136" s="637">
        <v>-1.4972728154999999</v>
      </c>
      <c r="BM136" s="637">
        <v>-1.5779680455</v>
      </c>
      <c r="BN136" s="637">
        <v>-1.6609628805000001</v>
      </c>
      <c r="BO136" s="637">
        <v>-1.7462573205000003</v>
      </c>
      <c r="BP136" s="637">
        <v>-1.8338513654999999</v>
      </c>
      <c r="BQ136" s="637">
        <v>-1.9237450155</v>
      </c>
      <c r="BR136" s="637">
        <v>-2.0159382705</v>
      </c>
      <c r="BS136" s="637">
        <v>-2.1104311304999999</v>
      </c>
      <c r="BT136" s="637">
        <v>-2.2072235954999999</v>
      </c>
      <c r="BU136" s="637">
        <v>-2.3063156655000006</v>
      </c>
      <c r="BV136" s="637">
        <v>-2.4077073405</v>
      </c>
      <c r="BW136" s="637">
        <v>-2.6825852954999996</v>
      </c>
      <c r="BX136" s="637">
        <v>-2.7958009305</v>
      </c>
      <c r="BY136" s="637">
        <v>-2.9114729204999996</v>
      </c>
      <c r="BZ136" s="637">
        <v>-3.0296012654999998</v>
      </c>
      <c r="CA136" s="637">
        <v>-3.1501859654999995</v>
      </c>
      <c r="CB136" s="637">
        <v>-3.2732270204999998</v>
      </c>
      <c r="CC136" s="637">
        <v>-3.3987244305000002</v>
      </c>
      <c r="CD136" s="637">
        <v>-3.5266781954999997</v>
      </c>
      <c r="CE136" s="637">
        <v>-3.6570883155000002</v>
      </c>
      <c r="CF136" s="637">
        <v>-3.7899547904999999</v>
      </c>
      <c r="CG136" s="637">
        <v>-3.9252776204999997</v>
      </c>
      <c r="CH136" s="637">
        <v>-4.0630568055000005</v>
      </c>
      <c r="CI136" s="637">
        <v>-4.2032923454999995</v>
      </c>
      <c r="CJ136" s="637">
        <v>-4.3459842405</v>
      </c>
      <c r="CK136" s="637">
        <v>-4.4911324904999992</v>
      </c>
      <c r="CL136" s="637">
        <v>-4.6387370954999998</v>
      </c>
      <c r="CM136" s="637">
        <v>-4.7887980554999992</v>
      </c>
      <c r="CN136" s="637">
        <v>-4.940868760499999</v>
      </c>
      <c r="CO136" s="637">
        <v>-5.0949492104999994</v>
      </c>
      <c r="CP136" s="637">
        <v>-5.2510394054999994</v>
      </c>
      <c r="CQ136" s="637">
        <v>-5.4091393454999999</v>
      </c>
      <c r="CR136" s="637">
        <v>-5.5692490304999991</v>
      </c>
      <c r="CS136" s="637">
        <v>-5.7313684604999997</v>
      </c>
      <c r="CT136" s="637">
        <v>-5.8954976355000008</v>
      </c>
      <c r="CU136" s="637">
        <v>-6.0616365554999989</v>
      </c>
      <c r="CV136" s="637">
        <v>-6.2297852204999993</v>
      </c>
      <c r="CW136" s="637">
        <v>-6.3999436304999993</v>
      </c>
      <c r="CX136" s="637">
        <v>-6.5721117854999989</v>
      </c>
      <c r="CY136" s="637">
        <v>-6.7462896854999999</v>
      </c>
    </row>
    <row r="137" spans="1:103">
      <c r="A137" s="229"/>
      <c r="B137" s="230"/>
      <c r="C137" s="230"/>
      <c r="D137" s="230"/>
      <c r="E137" s="230" t="s">
        <v>332</v>
      </c>
      <c r="F137" s="230"/>
      <c r="G137" s="232" t="s">
        <v>736</v>
      </c>
      <c r="H137" s="203"/>
      <c r="I137" s="203"/>
      <c r="J137" s="203"/>
      <c r="K137" s="203"/>
      <c r="L137" s="229"/>
      <c r="M137" s="229"/>
      <c r="N137" s="229"/>
      <c r="O137" s="229"/>
      <c r="P137" s="229"/>
      <c r="Q137" s="229"/>
      <c r="R137" s="229"/>
      <c r="S137" s="229"/>
      <c r="T137" s="597"/>
      <c r="U137" s="597"/>
      <c r="V137" s="597"/>
      <c r="W137" s="597"/>
      <c r="X137" s="597"/>
      <c r="Y137" s="597"/>
      <c r="Z137" s="597"/>
      <c r="AA137" s="597"/>
      <c r="AB137" s="597"/>
      <c r="AC137" s="597"/>
      <c r="AD137" s="597"/>
      <c r="AE137" s="249">
        <f t="shared" ref="AE137:AQ140" si="64">AE189+AE241</f>
        <v>-0.111642908</v>
      </c>
      <c r="AF137" s="249">
        <f t="shared" si="64"/>
        <v>-0.115552262</v>
      </c>
      <c r="AG137" s="249">
        <f t="shared" si="64"/>
        <v>-0.10591722100000001</v>
      </c>
      <c r="AH137" s="249">
        <f t="shared" si="64"/>
        <v>-0.10129295200000001</v>
      </c>
      <c r="AI137" s="249">
        <f t="shared" si="64"/>
        <v>-0.143347584</v>
      </c>
      <c r="AJ137" s="249">
        <f t="shared" si="64"/>
        <v>-0.15948747199999999</v>
      </c>
      <c r="AK137" s="249">
        <f t="shared" si="64"/>
        <v>-0.18249766000000001</v>
      </c>
      <c r="AL137" s="249">
        <f t="shared" si="64"/>
        <v>-0.17080590002800977</v>
      </c>
      <c r="AM137" s="249">
        <f t="shared" si="64"/>
        <v>-0.21126555489799981</v>
      </c>
      <c r="AN137" s="249">
        <f t="shared" si="64"/>
        <v>-0.16914870721112393</v>
      </c>
      <c r="AO137" s="249">
        <f t="shared" si="64"/>
        <v>-0.18626907117599981</v>
      </c>
      <c r="AP137" s="249">
        <f t="shared" si="64"/>
        <v>0</v>
      </c>
      <c r="AQ137" s="249">
        <f t="shared" si="64"/>
        <v>0</v>
      </c>
      <c r="AR137" s="249">
        <v>-0.21719980654166665</v>
      </c>
      <c r="AS137" s="249">
        <v>-0.2396681934166667</v>
      </c>
      <c r="AT137" s="249">
        <v>-0.2638490373750001</v>
      </c>
      <c r="AU137" s="249">
        <v>-0.28977485716666673</v>
      </c>
      <c r="AV137" s="249">
        <v>-0.31747817154166669</v>
      </c>
      <c r="AW137" s="249">
        <v>-0.34699149925000006</v>
      </c>
      <c r="AX137" s="249">
        <v>-0.37834735904166683</v>
      </c>
      <c r="AY137" s="249">
        <v>-0.41157826966666688</v>
      </c>
      <c r="AZ137" s="249">
        <v>-0.4467167498750001</v>
      </c>
      <c r="BA137" s="249">
        <v>-0.4837953184166669</v>
      </c>
      <c r="BB137" s="249">
        <v>-0.52284649404166694</v>
      </c>
      <c r="BC137" s="249">
        <v>-0.56390279549999989</v>
      </c>
      <c r="BD137" s="249">
        <v>-0.60259183049999998</v>
      </c>
      <c r="BE137" s="249">
        <v>-0.64276372049999997</v>
      </c>
      <c r="BF137" s="249">
        <v>-0.68441846549999985</v>
      </c>
      <c r="BG137" s="249">
        <v>-0.72755606549999996</v>
      </c>
      <c r="BH137" s="249">
        <v>-0.77217652049999974</v>
      </c>
      <c r="BI137" s="249">
        <v>-0.81827983049999997</v>
      </c>
      <c r="BJ137" s="249">
        <v>-0.86586599549999987</v>
      </c>
      <c r="BK137" s="249">
        <v>-0.91493501549999989</v>
      </c>
      <c r="BL137" s="249">
        <v>-0.96548689049999981</v>
      </c>
      <c r="BM137" s="249">
        <v>-1.0175216204999999</v>
      </c>
      <c r="BN137" s="249">
        <v>-1.0710392055</v>
      </c>
      <c r="BO137" s="249">
        <v>-1.1260396455000001</v>
      </c>
      <c r="BP137" s="249">
        <v>-1.1825229405</v>
      </c>
      <c r="BQ137" s="249">
        <v>-1.2404890904999999</v>
      </c>
      <c r="BR137" s="249">
        <v>-1.2999380954999999</v>
      </c>
      <c r="BS137" s="249">
        <v>-1.3608699554999999</v>
      </c>
      <c r="BT137" s="249">
        <v>-1.4232846705</v>
      </c>
      <c r="BU137" s="249">
        <v>-1.4871822405000001</v>
      </c>
      <c r="BV137" s="249">
        <v>-1.5525626654999998</v>
      </c>
      <c r="BW137" s="249">
        <v>-1.6194259454999997</v>
      </c>
      <c r="BX137" s="249">
        <v>-1.6877720804999998</v>
      </c>
      <c r="BY137" s="249">
        <v>-1.7576010704999998</v>
      </c>
      <c r="BZ137" s="249">
        <v>-1.8289129154999997</v>
      </c>
      <c r="CA137" s="249">
        <v>-1.9017076154999997</v>
      </c>
      <c r="CB137" s="249">
        <v>-1.9759851705</v>
      </c>
      <c r="CC137" s="249">
        <v>-2.0517455805</v>
      </c>
      <c r="CD137" s="249">
        <v>-2.1289888454999999</v>
      </c>
      <c r="CE137" s="249">
        <v>-2.2077149655000001</v>
      </c>
      <c r="CF137" s="249">
        <v>-2.2879239404999998</v>
      </c>
      <c r="CG137" s="249">
        <v>-2.3696157704999998</v>
      </c>
      <c r="CH137" s="249">
        <v>-2.4527904554999997</v>
      </c>
      <c r="CI137" s="249">
        <v>-2.5374479954999996</v>
      </c>
      <c r="CJ137" s="249">
        <v>-2.6235883905000001</v>
      </c>
      <c r="CK137" s="249">
        <v>-2.7112116404999993</v>
      </c>
      <c r="CL137" s="249">
        <v>-2.8003177454999997</v>
      </c>
      <c r="CM137" s="249">
        <v>-2.8909067055</v>
      </c>
      <c r="CN137" s="249">
        <v>-2.9827089104999995</v>
      </c>
      <c r="CO137" s="249">
        <v>-3.0757243604999998</v>
      </c>
      <c r="CP137" s="249">
        <v>-3.1699530554999993</v>
      </c>
      <c r="CQ137" s="249">
        <v>-3.2653949954999995</v>
      </c>
      <c r="CR137" s="249">
        <v>-3.3620501804999998</v>
      </c>
      <c r="CS137" s="249">
        <v>-3.4599186104999999</v>
      </c>
      <c r="CT137" s="249">
        <v>-3.5590002855000007</v>
      </c>
      <c r="CU137" s="249">
        <v>-3.6592952054999994</v>
      </c>
      <c r="CV137" s="249">
        <v>-3.7608033704999988</v>
      </c>
      <c r="CW137" s="249">
        <v>-3.8635247804999993</v>
      </c>
      <c r="CX137" s="249">
        <v>-3.9674594354999999</v>
      </c>
      <c r="CY137" s="249">
        <v>-4.0726073354999999</v>
      </c>
    </row>
    <row r="138" spans="1:103">
      <c r="A138" s="229"/>
      <c r="B138" s="230"/>
      <c r="C138" s="230"/>
      <c r="D138" s="230"/>
      <c r="E138" s="230" t="s">
        <v>869</v>
      </c>
      <c r="F138" s="95"/>
      <c r="G138" s="232" t="s">
        <v>736</v>
      </c>
      <c r="H138" s="203"/>
      <c r="I138" s="203"/>
      <c r="J138" s="203"/>
      <c r="K138" s="203"/>
      <c r="L138" s="229"/>
      <c r="M138" s="229"/>
      <c r="N138" s="229"/>
      <c r="O138" s="229"/>
      <c r="P138" s="229"/>
      <c r="Q138" s="229"/>
      <c r="R138" s="229"/>
      <c r="S138" s="229"/>
      <c r="T138" s="597"/>
      <c r="U138" s="597"/>
      <c r="V138" s="597"/>
      <c r="W138" s="597"/>
      <c r="X138" s="597"/>
      <c r="Y138" s="597"/>
      <c r="Z138" s="597"/>
      <c r="AA138" s="597"/>
      <c r="AB138" s="597"/>
      <c r="AC138" s="597"/>
      <c r="AD138" s="597"/>
      <c r="AE138" s="249">
        <f t="shared" si="64"/>
        <v>-1.8032359207759942E-2</v>
      </c>
      <c r="AF138" s="249">
        <f t="shared" si="64"/>
        <v>-2.035622060210298E-2</v>
      </c>
      <c r="AG138" s="249">
        <f t="shared" si="64"/>
        <v>-2.0971171318523597E-2</v>
      </c>
      <c r="AH138" s="249">
        <f t="shared" si="64"/>
        <v>-2.0461517022937099E-2</v>
      </c>
      <c r="AI138" s="249">
        <f t="shared" si="64"/>
        <v>-2.5815533090383116E-2</v>
      </c>
      <c r="AJ138" s="249">
        <f t="shared" si="64"/>
        <v>-3.2576735894429623E-2</v>
      </c>
      <c r="AK138" s="249">
        <f t="shared" si="64"/>
        <v>-2.9431708273559846E-2</v>
      </c>
      <c r="AL138" s="249">
        <f t="shared" si="64"/>
        <v>-4.144233139660293E-2</v>
      </c>
      <c r="AM138" s="249">
        <f t="shared" si="64"/>
        <v>-4.3926208520562782E-2</v>
      </c>
      <c r="AN138" s="249">
        <f t="shared" si="64"/>
        <v>-4.5828778650410067E-2</v>
      </c>
      <c r="AO138" s="249">
        <f t="shared" si="64"/>
        <v>-5.9307799813550312E-2</v>
      </c>
      <c r="AP138" s="249">
        <f t="shared" si="64"/>
        <v>0</v>
      </c>
      <c r="AQ138" s="249">
        <f t="shared" si="64"/>
        <v>0</v>
      </c>
      <c r="AR138" s="249">
        <v>-0.105126</v>
      </c>
      <c r="AS138" s="249">
        <v>-0.11508600000000001</v>
      </c>
      <c r="AT138" s="249">
        <v>-0.12570600000000001</v>
      </c>
      <c r="AU138" s="249">
        <v>-0.13698600000000002</v>
      </c>
      <c r="AV138" s="249">
        <v>-0.148926</v>
      </c>
      <c r="AW138" s="249">
        <v>-0.161526</v>
      </c>
      <c r="AX138" s="249">
        <v>-0.174786</v>
      </c>
      <c r="AY138" s="249">
        <v>-0.18870599999999998</v>
      </c>
      <c r="AZ138" s="249">
        <v>-0.20328599999999997</v>
      </c>
      <c r="BA138" s="249">
        <v>-0.218526</v>
      </c>
      <c r="BB138" s="249">
        <v>-0.234426</v>
      </c>
      <c r="BC138" s="249">
        <v>-0.25098599999999999</v>
      </c>
      <c r="BD138" s="249">
        <v>-0.268206</v>
      </c>
      <c r="BE138" s="249">
        <v>-0.28608599999999995</v>
      </c>
      <c r="BF138" s="249">
        <v>-0.30462599999999995</v>
      </c>
      <c r="BG138" s="249">
        <v>-0.323826</v>
      </c>
      <c r="BH138" s="249">
        <v>-0.34368599999999999</v>
      </c>
      <c r="BI138" s="249">
        <v>-0.36420600000000003</v>
      </c>
      <c r="BJ138" s="249">
        <v>-0.38538600000000001</v>
      </c>
      <c r="BK138" s="249">
        <v>-0.40722599999999998</v>
      </c>
      <c r="BL138" s="249">
        <v>-0.429726</v>
      </c>
      <c r="BM138" s="249">
        <v>-0.45288600000000001</v>
      </c>
      <c r="BN138" s="249">
        <v>-0.47670600000000002</v>
      </c>
      <c r="BO138" s="249">
        <v>-0.50118600000000002</v>
      </c>
      <c r="BP138" s="249">
        <v>-0.52632600000000007</v>
      </c>
      <c r="BQ138" s="249">
        <v>-0.55212600000000001</v>
      </c>
      <c r="BR138" s="249">
        <v>-0.57858600000000004</v>
      </c>
      <c r="BS138" s="249">
        <v>-0.60570600000000008</v>
      </c>
      <c r="BT138" s="249">
        <v>-0.63348599999999999</v>
      </c>
      <c r="BU138" s="249">
        <v>-0.66192600000000001</v>
      </c>
      <c r="BV138" s="249">
        <v>-0.69102600000000003</v>
      </c>
      <c r="BW138" s="249">
        <v>-0.72078599999999993</v>
      </c>
      <c r="BX138" s="249">
        <v>-0.75120600000000004</v>
      </c>
      <c r="BY138" s="249">
        <v>-0.78228600000000004</v>
      </c>
      <c r="BZ138" s="249">
        <v>-0.81402600000000003</v>
      </c>
      <c r="CA138" s="249">
        <v>-0.8464259999999999</v>
      </c>
      <c r="CB138" s="249">
        <v>-0.87948599999999999</v>
      </c>
      <c r="CC138" s="249">
        <v>-0.91320599999999996</v>
      </c>
      <c r="CD138" s="249">
        <v>-0.94758600000000004</v>
      </c>
      <c r="CE138" s="249">
        <v>-0.98262600000000011</v>
      </c>
      <c r="CF138" s="249">
        <v>-1.0183260000000001</v>
      </c>
      <c r="CG138" s="249">
        <v>-1.054686</v>
      </c>
      <c r="CH138" s="249">
        <v>-1.0917060000000001</v>
      </c>
      <c r="CI138" s="249">
        <v>-1.129386</v>
      </c>
      <c r="CJ138" s="249">
        <v>-1.1677259999999998</v>
      </c>
      <c r="CK138" s="249">
        <v>-1.206726</v>
      </c>
      <c r="CL138" s="249">
        <v>-1.2463859999999998</v>
      </c>
      <c r="CM138" s="249">
        <v>-1.2867059999999999</v>
      </c>
      <c r="CN138" s="249">
        <v>-1.327566</v>
      </c>
      <c r="CO138" s="249">
        <v>-1.3689659999999999</v>
      </c>
      <c r="CP138" s="249">
        <v>-1.4109060000000002</v>
      </c>
      <c r="CQ138" s="249">
        <v>-1.4533860000000001</v>
      </c>
      <c r="CR138" s="249">
        <v>-1.4964059999999999</v>
      </c>
      <c r="CS138" s="249">
        <v>-1.5399659999999999</v>
      </c>
      <c r="CT138" s="249">
        <v>-1.584066</v>
      </c>
      <c r="CU138" s="249">
        <v>-1.6287059999999998</v>
      </c>
      <c r="CV138" s="249">
        <v>-1.673886</v>
      </c>
      <c r="CW138" s="249">
        <v>-1.719606</v>
      </c>
      <c r="CX138" s="249">
        <v>-1.7658659999999999</v>
      </c>
      <c r="CY138" s="249">
        <v>-1.8126659999999999</v>
      </c>
    </row>
    <row r="139" spans="1:103">
      <c r="A139" s="229"/>
      <c r="B139" s="230"/>
      <c r="C139" s="230"/>
      <c r="D139" s="230"/>
      <c r="E139" s="230" t="s">
        <v>870</v>
      </c>
      <c r="F139" s="232"/>
      <c r="G139" s="232" t="s">
        <v>736</v>
      </c>
      <c r="H139" s="203"/>
      <c r="I139" s="203"/>
      <c r="J139" s="203"/>
      <c r="K139" s="203"/>
      <c r="L139" s="229"/>
      <c r="M139" s="229"/>
      <c r="N139" s="229"/>
      <c r="O139" s="229"/>
      <c r="P139" s="229"/>
      <c r="Q139" s="229"/>
      <c r="R139" s="229"/>
      <c r="S139" s="229"/>
      <c r="T139" s="597"/>
      <c r="U139" s="597"/>
      <c r="V139" s="597"/>
      <c r="W139" s="597"/>
      <c r="X139" s="597"/>
      <c r="Y139" s="597"/>
      <c r="Z139" s="597"/>
      <c r="AA139" s="597"/>
      <c r="AB139" s="597"/>
      <c r="AC139" s="597"/>
      <c r="AD139" s="597"/>
      <c r="AE139" s="249">
        <f t="shared" si="64"/>
        <v>-1.1068064336097772E-2</v>
      </c>
      <c r="AF139" s="249">
        <f t="shared" si="64"/>
        <v>-8.0462555471697873E-3</v>
      </c>
      <c r="AG139" s="249">
        <f t="shared" si="64"/>
        <v>-8.356116105685419E-3</v>
      </c>
      <c r="AH139" s="249">
        <f t="shared" si="64"/>
        <v>-1.0033342919558588E-2</v>
      </c>
      <c r="AI139" s="249">
        <f t="shared" si="64"/>
        <v>-9.438454858588987E-3</v>
      </c>
      <c r="AJ139" s="249">
        <f t="shared" si="64"/>
        <v>-1.2331312164688354E-2</v>
      </c>
      <c r="AK139" s="249">
        <f t="shared" si="64"/>
        <v>-1.3040322168852021E-2</v>
      </c>
      <c r="AL139" s="249">
        <f t="shared" si="64"/>
        <v>-1.7922091861236451E-2</v>
      </c>
      <c r="AM139" s="249">
        <f t="shared" si="64"/>
        <v>-2.4761787504650253E-2</v>
      </c>
      <c r="AN139" s="249">
        <f t="shared" si="64"/>
        <v>-9.9976591733578774E-3</v>
      </c>
      <c r="AO139" s="249">
        <f t="shared" si="64"/>
        <v>-2.8460023168422041E-2</v>
      </c>
      <c r="AP139" s="249">
        <f t="shared" si="64"/>
        <v>0</v>
      </c>
      <c r="AQ139" s="249">
        <f t="shared" si="64"/>
        <v>0</v>
      </c>
      <c r="AR139" s="249">
        <v>-2.2959810416666671E-2</v>
      </c>
      <c r="AS139" s="249">
        <v>-2.5334904166666672E-2</v>
      </c>
      <c r="AT139" s="249">
        <v>-2.7891018750000007E-2</v>
      </c>
      <c r="AU139" s="249">
        <v>-3.0631591666666673E-2</v>
      </c>
      <c r="AV139" s="249">
        <v>-3.3560060416666676E-2</v>
      </c>
      <c r="AW139" s="249">
        <v>-3.6679862500000007E-2</v>
      </c>
      <c r="AX139" s="249">
        <v>-3.9994435416666682E-2</v>
      </c>
      <c r="AY139" s="249">
        <v>-4.3507216666666682E-2</v>
      </c>
      <c r="AZ139" s="249">
        <v>-4.7221643750000014E-2</v>
      </c>
      <c r="BA139" s="249">
        <v>-5.1141154166666696E-2</v>
      </c>
      <c r="BB139" s="249">
        <v>-5.52691854166667E-2</v>
      </c>
      <c r="BC139" s="249">
        <v>-5.9609174999999993E-2</v>
      </c>
      <c r="BD139" s="249">
        <v>-6.369892499999999E-2</v>
      </c>
      <c r="BE139" s="249">
        <v>-6.7945425000000004E-2</v>
      </c>
      <c r="BF139" s="249">
        <v>-7.2348674999999987E-2</v>
      </c>
      <c r="BG139" s="249">
        <v>-7.690867500000001E-2</v>
      </c>
      <c r="BH139" s="249">
        <v>-8.1625424999999988E-2</v>
      </c>
      <c r="BI139" s="249">
        <v>-8.6498925000000004E-2</v>
      </c>
      <c r="BJ139" s="249">
        <v>-9.152917499999999E-2</v>
      </c>
      <c r="BK139" s="249">
        <v>-9.6716174999999988E-2</v>
      </c>
      <c r="BL139" s="249">
        <v>-0.102059925</v>
      </c>
      <c r="BM139" s="249">
        <v>-0.107560425</v>
      </c>
      <c r="BN139" s="249">
        <v>-0.11321767499999999</v>
      </c>
      <c r="BO139" s="249">
        <v>-0.119031675</v>
      </c>
      <c r="BP139" s="249">
        <v>-0.125002425</v>
      </c>
      <c r="BQ139" s="249">
        <v>-0.13112992499999998</v>
      </c>
      <c r="BR139" s="249">
        <v>-0.137414175</v>
      </c>
      <c r="BS139" s="249">
        <v>-0.143855175</v>
      </c>
      <c r="BT139" s="249">
        <v>-0.15045292500000002</v>
      </c>
      <c r="BU139" s="249">
        <v>-0.15720742500000001</v>
      </c>
      <c r="BV139" s="249">
        <v>-0.16411867499999999</v>
      </c>
      <c r="BW139" s="249">
        <v>-0.34237335000000002</v>
      </c>
      <c r="BX139" s="249">
        <v>-0.35682285000000002</v>
      </c>
      <c r="BY139" s="249">
        <v>-0.37158585</v>
      </c>
      <c r="BZ139" s="249">
        <v>-0.38666234999999993</v>
      </c>
      <c r="CA139" s="249">
        <v>-0.40205234999999995</v>
      </c>
      <c r="CB139" s="249">
        <v>-0.41775584999999998</v>
      </c>
      <c r="CC139" s="249">
        <v>-0.43377284999999999</v>
      </c>
      <c r="CD139" s="249">
        <v>-0.45010335000000001</v>
      </c>
      <c r="CE139" s="249">
        <v>-0.46674735000000001</v>
      </c>
      <c r="CF139" s="249">
        <v>-0.48370485000000002</v>
      </c>
      <c r="CG139" s="249">
        <v>-0.50097585</v>
      </c>
      <c r="CH139" s="249">
        <v>-0.51856035</v>
      </c>
      <c r="CI139" s="249">
        <v>-0.53645834999999997</v>
      </c>
      <c r="CJ139" s="249">
        <v>-0.55466985000000002</v>
      </c>
      <c r="CK139" s="249">
        <v>-0.57319484999999992</v>
      </c>
      <c r="CL139" s="249">
        <v>-0.5920333499999999</v>
      </c>
      <c r="CM139" s="249">
        <v>-0.61118534999999996</v>
      </c>
      <c r="CN139" s="249">
        <v>-0.6305938499999999</v>
      </c>
      <c r="CO139" s="249">
        <v>-0.65025884999999994</v>
      </c>
      <c r="CP139" s="249">
        <v>-0.67018034999999987</v>
      </c>
      <c r="CQ139" s="249">
        <v>-0.69035835000000001</v>
      </c>
      <c r="CR139" s="249">
        <v>-0.71079284999999992</v>
      </c>
      <c r="CS139" s="249">
        <v>-0.73148385000000005</v>
      </c>
      <c r="CT139" s="249">
        <v>-0.75243135000000005</v>
      </c>
      <c r="CU139" s="249">
        <v>-0.77363534999999994</v>
      </c>
      <c r="CV139" s="249">
        <v>-0.79509584999999983</v>
      </c>
      <c r="CW139" s="249">
        <v>-0.81681284999999992</v>
      </c>
      <c r="CX139" s="249">
        <v>-0.8387863499999999</v>
      </c>
      <c r="CY139" s="249">
        <v>-0.86101634999999999</v>
      </c>
    </row>
    <row r="140" spans="1:103">
      <c r="A140" s="229"/>
      <c r="B140" s="230"/>
      <c r="C140" s="230"/>
      <c r="D140" s="230"/>
      <c r="E140" s="230" t="s">
        <v>373</v>
      </c>
      <c r="F140" s="232"/>
      <c r="G140" s="232" t="s">
        <v>736</v>
      </c>
      <c r="H140" s="203"/>
      <c r="I140" s="203"/>
      <c r="J140" s="203"/>
      <c r="K140" s="203"/>
      <c r="L140" s="229"/>
      <c r="M140" s="229"/>
      <c r="N140" s="229"/>
      <c r="O140" s="229"/>
      <c r="P140" s="229"/>
      <c r="Q140" s="229"/>
      <c r="R140" s="229"/>
      <c r="S140" s="229"/>
      <c r="T140" s="610"/>
      <c r="U140" s="610"/>
      <c r="V140" s="610"/>
      <c r="W140" s="610"/>
      <c r="X140" s="610"/>
      <c r="Y140" s="610"/>
      <c r="Z140" s="597"/>
      <c r="AA140" s="597"/>
      <c r="AB140" s="597"/>
      <c r="AC140" s="600"/>
      <c r="AD140" s="600"/>
      <c r="AE140" s="249">
        <f t="shared" si="64"/>
        <v>0</v>
      </c>
      <c r="AF140" s="249">
        <f t="shared" si="64"/>
        <v>0</v>
      </c>
      <c r="AG140" s="249">
        <f t="shared" si="64"/>
        <v>0</v>
      </c>
      <c r="AH140" s="249">
        <f t="shared" si="64"/>
        <v>0</v>
      </c>
      <c r="AI140" s="249">
        <f t="shared" si="64"/>
        <v>0</v>
      </c>
      <c r="AJ140" s="249">
        <f t="shared" si="64"/>
        <v>0</v>
      </c>
      <c r="AK140" s="249">
        <f t="shared" si="64"/>
        <v>0</v>
      </c>
      <c r="AL140" s="249">
        <f t="shared" si="64"/>
        <v>0</v>
      </c>
      <c r="AM140" s="249">
        <f t="shared" si="64"/>
        <v>0</v>
      </c>
      <c r="AN140" s="249">
        <f t="shared" si="64"/>
        <v>0</v>
      </c>
      <c r="AO140" s="249">
        <f t="shared" si="64"/>
        <v>0</v>
      </c>
      <c r="AP140" s="249">
        <f t="shared" si="64"/>
        <v>0</v>
      </c>
      <c r="AQ140" s="249">
        <f t="shared" si="64"/>
        <v>0</v>
      </c>
      <c r="AR140" s="249">
        <v>0</v>
      </c>
      <c r="AS140" s="249">
        <v>0</v>
      </c>
      <c r="AT140" s="249">
        <v>0</v>
      </c>
      <c r="AU140" s="249">
        <v>0</v>
      </c>
      <c r="AV140" s="249">
        <v>0</v>
      </c>
      <c r="AW140" s="249">
        <v>0</v>
      </c>
      <c r="AX140" s="249">
        <v>0</v>
      </c>
      <c r="AY140" s="249">
        <v>0</v>
      </c>
      <c r="AZ140" s="249">
        <v>0</v>
      </c>
      <c r="BA140" s="249">
        <v>0</v>
      </c>
      <c r="BB140" s="249">
        <v>0</v>
      </c>
      <c r="BC140" s="249">
        <v>0</v>
      </c>
      <c r="BD140" s="249">
        <v>0</v>
      </c>
      <c r="BE140" s="249">
        <v>0</v>
      </c>
      <c r="BF140" s="249">
        <v>0</v>
      </c>
      <c r="BG140" s="249">
        <v>0</v>
      </c>
      <c r="BH140" s="249">
        <v>0</v>
      </c>
      <c r="BI140" s="249">
        <v>0</v>
      </c>
      <c r="BJ140" s="249">
        <v>0</v>
      </c>
      <c r="BK140" s="249">
        <v>0</v>
      </c>
      <c r="BL140" s="249">
        <v>0</v>
      </c>
      <c r="BM140" s="249">
        <v>0</v>
      </c>
      <c r="BN140" s="249">
        <v>0</v>
      </c>
      <c r="BO140" s="249">
        <v>0</v>
      </c>
      <c r="BP140" s="249">
        <v>0</v>
      </c>
      <c r="BQ140" s="249">
        <v>0</v>
      </c>
      <c r="BR140" s="249">
        <v>0</v>
      </c>
      <c r="BS140" s="249">
        <v>0</v>
      </c>
      <c r="BT140" s="249">
        <v>0</v>
      </c>
      <c r="BU140" s="249">
        <v>0</v>
      </c>
      <c r="BV140" s="249">
        <v>0</v>
      </c>
      <c r="BW140" s="249">
        <v>0</v>
      </c>
      <c r="BX140" s="249">
        <v>0</v>
      </c>
      <c r="BY140" s="249">
        <v>0</v>
      </c>
      <c r="BZ140" s="249">
        <v>0</v>
      </c>
      <c r="CA140" s="249">
        <v>0</v>
      </c>
      <c r="CB140" s="249">
        <v>0</v>
      </c>
      <c r="CC140" s="249">
        <v>0</v>
      </c>
      <c r="CD140" s="249">
        <v>0</v>
      </c>
      <c r="CE140" s="249">
        <v>0</v>
      </c>
      <c r="CF140" s="249">
        <v>0</v>
      </c>
      <c r="CG140" s="249">
        <v>0</v>
      </c>
      <c r="CH140" s="249">
        <v>0</v>
      </c>
      <c r="CI140" s="249">
        <v>0</v>
      </c>
      <c r="CJ140" s="249">
        <v>0</v>
      </c>
      <c r="CK140" s="249">
        <v>0</v>
      </c>
      <c r="CL140" s="249">
        <v>0</v>
      </c>
      <c r="CM140" s="249">
        <v>0</v>
      </c>
      <c r="CN140" s="249">
        <v>0</v>
      </c>
      <c r="CO140" s="249">
        <v>0</v>
      </c>
      <c r="CP140" s="249">
        <v>0</v>
      </c>
      <c r="CQ140" s="249">
        <v>0</v>
      </c>
      <c r="CR140" s="249">
        <v>0</v>
      </c>
      <c r="CS140" s="249">
        <v>0</v>
      </c>
      <c r="CT140" s="249">
        <v>0</v>
      </c>
      <c r="CU140" s="249">
        <v>0</v>
      </c>
      <c r="CV140" s="249">
        <v>0</v>
      </c>
      <c r="CW140" s="249">
        <v>0</v>
      </c>
      <c r="CX140" s="249">
        <v>0</v>
      </c>
      <c r="CY140" s="249">
        <v>0</v>
      </c>
    </row>
    <row r="141" spans="1:103">
      <c r="A141" s="230"/>
      <c r="B141" s="229" t="s">
        <v>621</v>
      </c>
      <c r="C141" s="230"/>
      <c r="D141" s="230"/>
      <c r="E141" s="232"/>
      <c r="F141" s="232"/>
      <c r="G141" s="232" t="s">
        <v>736</v>
      </c>
      <c r="H141" s="203"/>
      <c r="I141" s="232"/>
      <c r="J141" s="232"/>
      <c r="K141" s="232"/>
      <c r="L141" s="230"/>
      <c r="M141" s="230"/>
      <c r="N141" s="230"/>
      <c r="O141" s="230"/>
      <c r="P141" s="230"/>
      <c r="Q141" s="230"/>
      <c r="R141" s="230"/>
      <c r="S141" s="230"/>
      <c r="T141" s="597"/>
      <c r="U141" s="597"/>
      <c r="V141" s="597"/>
      <c r="W141" s="597"/>
      <c r="X141" s="597"/>
      <c r="Y141" s="597"/>
      <c r="Z141" s="597"/>
      <c r="AA141" s="597"/>
      <c r="AB141" s="597"/>
      <c r="AC141" s="597"/>
      <c r="AD141" s="597"/>
      <c r="AE141" s="247">
        <f t="shared" ref="AE141:AQ141" si="65">AE193+AE245</f>
        <v>4.5065013000000001E-2</v>
      </c>
      <c r="AF141" s="247">
        <f t="shared" si="65"/>
        <v>-0.23689211299999999</v>
      </c>
      <c r="AG141" s="247">
        <f t="shared" si="65"/>
        <v>3.1600621000000002E-2</v>
      </c>
      <c r="AH141" s="247">
        <f t="shared" si="65"/>
        <v>-0.27272481300000001</v>
      </c>
      <c r="AI141" s="247">
        <f t="shared" si="65"/>
        <v>-0.154396742</v>
      </c>
      <c r="AJ141" s="247">
        <f t="shared" si="65"/>
        <v>-0.18976901399999999</v>
      </c>
      <c r="AK141" s="247">
        <f t="shared" si="65"/>
        <v>-0.319668391</v>
      </c>
      <c r="AL141" s="247">
        <f t="shared" si="65"/>
        <v>-0.38741393299999999</v>
      </c>
      <c r="AM141" s="247">
        <f t="shared" si="65"/>
        <v>-0.36956423299999996</v>
      </c>
      <c r="AN141" s="247">
        <f t="shared" si="65"/>
        <v>-0.51238233</v>
      </c>
      <c r="AO141" s="247">
        <f t="shared" si="65"/>
        <v>-7.9660352817028883</v>
      </c>
      <c r="AP141" s="247">
        <f t="shared" si="65"/>
        <v>-9.4517699791737702</v>
      </c>
      <c r="AQ141" s="247">
        <f t="shared" si="65"/>
        <v>-10.852196701354629</v>
      </c>
      <c r="AR141" s="247">
        <v>-2.6393241221134618</v>
      </c>
      <c r="AS141" s="247">
        <v>-1.3609481565701105</v>
      </c>
      <c r="AT141" s="247">
        <v>-1.5111909233367848</v>
      </c>
      <c r="AU141" s="247">
        <v>-1.6335443349057097</v>
      </c>
      <c r="AV141" s="247">
        <v>-1.8679888891238661</v>
      </c>
      <c r="AW141" s="247">
        <v>-2.0836055115082779</v>
      </c>
      <c r="AX141" s="247">
        <v>-2.1976006164047934</v>
      </c>
      <c r="AY141" s="247">
        <v>-2.1941073206427331</v>
      </c>
      <c r="AZ141" s="247">
        <v>-2.3215770153804804</v>
      </c>
      <c r="BA141" s="247">
        <v>-2.4846805980142008</v>
      </c>
      <c r="BB141" s="247">
        <v>-2.5218427332958444</v>
      </c>
      <c r="BC141" s="247">
        <v>-2.63950857460549</v>
      </c>
      <c r="BD141" s="247">
        <v>-2.8072200351702108</v>
      </c>
      <c r="BE141" s="247">
        <v>-2.7918087563223759</v>
      </c>
      <c r="BF141" s="247">
        <v>-2.6881723285992418</v>
      </c>
      <c r="BG141" s="247">
        <v>-2.9139061791462524</v>
      </c>
      <c r="BH141" s="247">
        <v>-3.1605908491454047</v>
      </c>
      <c r="BI141" s="247">
        <v>-3.4182089709634775</v>
      </c>
      <c r="BJ141" s="247">
        <v>-3.6613011968088225</v>
      </c>
      <c r="BK141" s="247">
        <v>-3.8917474346590444</v>
      </c>
      <c r="BL141" s="247">
        <v>-4.161941190099844</v>
      </c>
      <c r="BM141" s="247">
        <v>-4.4375470968088422</v>
      </c>
      <c r="BN141" s="247">
        <v>-4.7186612514928612</v>
      </c>
      <c r="BO141" s="247">
        <v>-5.0049478461852104</v>
      </c>
      <c r="BP141" s="247">
        <v>-5.2986147151607224</v>
      </c>
      <c r="BQ141" s="247">
        <v>-5.6008342706623697</v>
      </c>
      <c r="BR141" s="247">
        <v>-5.9121990699403808</v>
      </c>
      <c r="BS141" s="247">
        <v>-6.2328269460634189</v>
      </c>
      <c r="BT141" s="247">
        <v>-6.562616163192958</v>
      </c>
      <c r="BU141" s="247">
        <v>-6.9017419975463783</v>
      </c>
      <c r="BV141" s="247">
        <v>-7.2502609825557318</v>
      </c>
      <c r="BW141" s="247">
        <v>-7.6081724505895352</v>
      </c>
      <c r="BX141" s="247">
        <v>-7.9754452644408795</v>
      </c>
      <c r="BY141" s="247">
        <v>-8.3520497465763448</v>
      </c>
      <c r="BZ141" s="247">
        <v>-8.737965669463323</v>
      </c>
      <c r="CA141" s="247">
        <v>-9.1331818948916581</v>
      </c>
      <c r="CB141" s="247">
        <v>-9.5376926749322983</v>
      </c>
      <c r="CC141" s="247">
        <v>-9.9514942032476643</v>
      </c>
      <c r="CD141" s="247">
        <v>-10.374584946367422</v>
      </c>
      <c r="CE141" s="247">
        <v>-10.806964910191095</v>
      </c>
      <c r="CF141" s="247">
        <v>-11.24863485082536</v>
      </c>
      <c r="CG141" s="247">
        <v>-11.699595659547821</v>
      </c>
      <c r="CH141" s="247">
        <v>-12.159848071217036</v>
      </c>
      <c r="CI141" s="247">
        <v>-12.629392591270538</v>
      </c>
      <c r="CJ141" s="247">
        <v>-13.108229527750904</v>
      </c>
      <c r="CK141" s="247">
        <v>-13.596359047639439</v>
      </c>
      <c r="CL141" s="247">
        <v>-14.093781219598638</v>
      </c>
      <c r="CM141" s="247">
        <v>-14.600496052299414</v>
      </c>
      <c r="CN141" s="247">
        <v>-15.116011899926251</v>
      </c>
      <c r="CO141" s="247">
        <v>-15.640508995348053</v>
      </c>
      <c r="CP141" s="247">
        <v>-16.174093174565265</v>
      </c>
      <c r="CQ141" s="247">
        <v>-16.716820613066123</v>
      </c>
      <c r="CR141" s="247">
        <v>-17.26857628146092</v>
      </c>
      <c r="CS141" s="247">
        <v>-17.829306204148399</v>
      </c>
      <c r="CT141" s="247">
        <v>-18.398986238019585</v>
      </c>
      <c r="CU141" s="247">
        <v>-18.97731848329822</v>
      </c>
      <c r="CV141" s="247">
        <v>-19.563688738294754</v>
      </c>
      <c r="CW141" s="247">
        <v>-20.157802749055641</v>
      </c>
      <c r="CX141" s="247">
        <v>-20.759525031094903</v>
      </c>
      <c r="CY141" s="247">
        <v>-21.368799679483374</v>
      </c>
    </row>
    <row r="142" spans="1:103">
      <c r="A142" s="229"/>
      <c r="B142" s="95" t="s">
        <v>701</v>
      </c>
      <c r="C142" s="95"/>
      <c r="D142" s="95"/>
      <c r="E142" s="214"/>
      <c r="F142" s="232"/>
      <c r="G142" s="232" t="s">
        <v>736</v>
      </c>
      <c r="H142" s="203"/>
      <c r="I142" s="203"/>
      <c r="J142" s="203"/>
      <c r="K142" s="203"/>
      <c r="L142" s="229"/>
      <c r="M142" s="229"/>
      <c r="N142" s="229"/>
      <c r="O142" s="229"/>
      <c r="P142" s="229"/>
      <c r="Q142" s="229"/>
      <c r="R142" s="229"/>
      <c r="S142" s="229"/>
      <c r="T142" s="247"/>
      <c r="U142" s="247"/>
      <c r="V142" s="247"/>
      <c r="W142" s="247"/>
      <c r="X142" s="247"/>
      <c r="Y142" s="247"/>
      <c r="Z142" s="247"/>
      <c r="AA142" s="247"/>
      <c r="AB142" s="247"/>
      <c r="AC142" s="247"/>
      <c r="AD142" s="247"/>
      <c r="AE142" s="247">
        <f>SUM(AE143:AE152)</f>
        <v>0</v>
      </c>
      <c r="AF142" s="247">
        <f t="shared" ref="AF142:AQ142" si="66">SUM(AF143:AF152)</f>
        <v>-8.9553569983398043E-2</v>
      </c>
      <c r="AG142" s="247">
        <f t="shared" si="66"/>
        <v>-9.4008845401043623E-2</v>
      </c>
      <c r="AH142" s="247">
        <f t="shared" si="66"/>
        <v>-8.6622152233976124E-2</v>
      </c>
      <c r="AI142" s="247">
        <f t="shared" si="66"/>
        <v>-0.13162584568797592</v>
      </c>
      <c r="AJ142" s="247">
        <f t="shared" si="66"/>
        <v>-0.17332399637448617</v>
      </c>
      <c r="AK142" s="247">
        <f t="shared" si="66"/>
        <v>-0.18705612203141206</v>
      </c>
      <c r="AL142" s="247">
        <f t="shared" si="66"/>
        <v>-0.20301631449301605</v>
      </c>
      <c r="AM142" s="247">
        <f t="shared" si="66"/>
        <v>-0.2874740736540653</v>
      </c>
      <c r="AN142" s="247">
        <f t="shared" si="66"/>
        <v>-0.17892586094642621</v>
      </c>
      <c r="AO142" s="247">
        <f t="shared" si="66"/>
        <v>-81.641288352939796</v>
      </c>
      <c r="AP142" s="247">
        <f t="shared" si="66"/>
        <v>-149.47526044145849</v>
      </c>
      <c r="AQ142" s="247">
        <f t="shared" si="66"/>
        <v>-164.6706144304521</v>
      </c>
      <c r="AR142" s="247">
        <v>-0.45062372999290229</v>
      </c>
      <c r="AS142" s="247">
        <v>-0.48793260192148413</v>
      </c>
      <c r="AT142" s="247">
        <v>-0.53977438087593466</v>
      </c>
      <c r="AU142" s="247">
        <v>-0.59778520801998902</v>
      </c>
      <c r="AV142" s="247">
        <v>-0.62556358512415222</v>
      </c>
      <c r="AW142" s="247">
        <v>-0.66003093258881429</v>
      </c>
      <c r="AX142" s="247">
        <v>-0.73967787181414169</v>
      </c>
      <c r="AY142" s="247">
        <v>-0.86511477240759604</v>
      </c>
      <c r="AZ142" s="247">
        <v>-0.94789840835240291</v>
      </c>
      <c r="BA142" s="247">
        <v>-1.0365519465301238</v>
      </c>
      <c r="BB142" s="247">
        <v>-1.3325129189995542</v>
      </c>
      <c r="BC142" s="247">
        <v>-1.436310998151427</v>
      </c>
      <c r="BD142" s="247">
        <v>-1.4616560291756029</v>
      </c>
      <c r="BE142" s="247">
        <v>-1.5685381057331709</v>
      </c>
      <c r="BF142" s="247">
        <v>-1.670057275371803</v>
      </c>
      <c r="BG142" s="247">
        <v>-1.7683717531324761</v>
      </c>
      <c r="BH142" s="247">
        <v>-1.8631851274834519</v>
      </c>
      <c r="BI142" s="247">
        <v>-1.9474266412258383</v>
      </c>
      <c r="BJ142" s="247">
        <v>-2.0562603577082932</v>
      </c>
      <c r="BK142" s="247">
        <v>-2.1384705339012724</v>
      </c>
      <c r="BL142" s="247">
        <v>-2.2193515474856582</v>
      </c>
      <c r="BM142" s="247">
        <v>-2.305085842511748</v>
      </c>
      <c r="BN142" s="247">
        <v>-2.4051635847766453</v>
      </c>
      <c r="BO142" s="247">
        <v>-2.5334072664245428</v>
      </c>
      <c r="BP142" s="247">
        <v>-2.6519597123076504</v>
      </c>
      <c r="BQ142" s="247">
        <v>-2.7625175426865982</v>
      </c>
      <c r="BR142" s="247">
        <v>-2.8681619568917927</v>
      </c>
      <c r="BS142" s="247">
        <v>-2.9797948258006999</v>
      </c>
      <c r="BT142" s="247">
        <v>-3.1044658443087774</v>
      </c>
      <c r="BU142" s="247">
        <v>-3.2212582449920135</v>
      </c>
      <c r="BV142" s="247">
        <v>-3.3570856142538239</v>
      </c>
      <c r="BW142" s="247">
        <v>-3.3994802122697747</v>
      </c>
      <c r="BX142" s="247">
        <v>-3.5088846329368732</v>
      </c>
      <c r="BY142" s="247">
        <v>-3.6218835401060807</v>
      </c>
      <c r="BZ142" s="247">
        <v>-3.7470244995355375</v>
      </c>
      <c r="CA142" s="247">
        <v>-3.8961379732526344</v>
      </c>
      <c r="CB142" s="247">
        <v>-4.0366762442340276</v>
      </c>
      <c r="CC142" s="247">
        <v>-4.1705118547053601</v>
      </c>
      <c r="CD142" s="247">
        <v>-4.3003588669808401</v>
      </c>
      <c r="CE142" s="247">
        <v>-4.4355580594135953</v>
      </c>
      <c r="CF142" s="247">
        <v>-4.5821259419004576</v>
      </c>
      <c r="CG142" s="247">
        <v>-4.7221993001255385</v>
      </c>
      <c r="CH142" s="247">
        <v>-4.8787818703993384</v>
      </c>
      <c r="CI142" s="247">
        <v>-5.0140365441283166</v>
      </c>
      <c r="CJ142" s="247">
        <v>-5.1509096842113244</v>
      </c>
      <c r="CK142" s="247">
        <v>-5.2911388031075228</v>
      </c>
      <c r="CL142" s="247">
        <v>-5.4420268985128875</v>
      </c>
      <c r="CM142" s="247">
        <v>-5.6102475525654079</v>
      </c>
      <c r="CN142" s="247">
        <v>-5.7624292229853893</v>
      </c>
      <c r="CO142" s="247">
        <v>-5.9161872935760735</v>
      </c>
      <c r="CP142" s="247">
        <v>-6.0712833038079212</v>
      </c>
      <c r="CQ142" s="247">
        <v>-6.2276027831886136</v>
      </c>
      <c r="CR142" s="247">
        <v>-6.3851370452973795</v>
      </c>
      <c r="CS142" s="247">
        <v>-6.5438862358619909</v>
      </c>
      <c r="CT142" s="247">
        <v>-6.7038550610979923</v>
      </c>
      <c r="CU142" s="247">
        <v>-6.8651370449581339</v>
      </c>
      <c r="CV142" s="247">
        <v>-7.0279178758916672</v>
      </c>
      <c r="CW142" s="247">
        <v>-7.1922876966993883</v>
      </c>
      <c r="CX142" s="247">
        <v>-7.3582907270540936</v>
      </c>
      <c r="CY142" s="247">
        <v>-7.5259466014817269</v>
      </c>
    </row>
    <row r="143" spans="1:103">
      <c r="A143" s="229"/>
      <c r="B143" s="229"/>
      <c r="C143" s="230"/>
      <c r="D143" s="230" t="s">
        <v>100</v>
      </c>
      <c r="E143" s="230"/>
      <c r="F143" s="232"/>
      <c r="G143" s="232" t="s">
        <v>736</v>
      </c>
      <c r="H143" s="203"/>
      <c r="I143" s="203"/>
      <c r="J143" s="203"/>
      <c r="K143" s="203"/>
      <c r="L143" s="229"/>
      <c r="M143" s="229"/>
      <c r="N143" s="229"/>
      <c r="O143" s="229"/>
      <c r="P143" s="229"/>
      <c r="Q143" s="229"/>
      <c r="R143" s="229"/>
      <c r="S143" s="229"/>
      <c r="T143" s="237"/>
      <c r="U143" s="237"/>
      <c r="V143" s="237"/>
      <c r="W143" s="237"/>
      <c r="X143" s="237"/>
      <c r="Y143" s="237"/>
      <c r="Z143" s="237"/>
      <c r="AA143" s="237"/>
      <c r="AB143" s="237"/>
      <c r="AC143" s="237"/>
      <c r="AD143" s="237"/>
      <c r="AE143" s="249">
        <f t="shared" ref="AE143:AQ146" si="67">AE195+AE247</f>
        <v>0</v>
      </c>
      <c r="AF143" s="249">
        <f t="shared" si="67"/>
        <v>-2.5598613006171281E-2</v>
      </c>
      <c r="AG143" s="249">
        <f t="shared" si="67"/>
        <v>-2.9584895888235395E-2</v>
      </c>
      <c r="AH143" s="249">
        <f t="shared" si="67"/>
        <v>-3.6620098315410313E-2</v>
      </c>
      <c r="AI143" s="249">
        <f t="shared" si="67"/>
        <v>-6.1366860763991962E-2</v>
      </c>
      <c r="AJ143" s="249">
        <f t="shared" si="67"/>
        <v>-5.9081307855917184E-2</v>
      </c>
      <c r="AK143" s="249">
        <f t="shared" si="67"/>
        <v>-6.4994107670221332E-2</v>
      </c>
      <c r="AL143" s="249">
        <f t="shared" si="67"/>
        <v>-6.5429909101631739E-2</v>
      </c>
      <c r="AM143" s="249">
        <f t="shared" si="67"/>
        <v>-8.7416982777530919E-2</v>
      </c>
      <c r="AN143" s="249">
        <f t="shared" si="67"/>
        <v>-6.8882354324458953E-2</v>
      </c>
      <c r="AO143" s="249">
        <f t="shared" si="67"/>
        <v>-8.1801956602641065E-5</v>
      </c>
      <c r="AP143" s="249">
        <f t="shared" si="67"/>
        <v>-1.1347872187875152E-4</v>
      </c>
      <c r="AQ143" s="249">
        <f t="shared" si="67"/>
        <v>-2.6925103841536613E-4</v>
      </c>
      <c r="AR143" s="249">
        <v>-5.667346354166667E-2</v>
      </c>
      <c r="AS143" s="249">
        <v>-6.3340364583333336E-2</v>
      </c>
      <c r="AT143" s="249">
        <v>-7.0007265625000009E-2</v>
      </c>
      <c r="AU143" s="249">
        <v>-7.6674166666666668E-2</v>
      </c>
      <c r="AV143" s="249">
        <v>-8.3341067708333327E-2</v>
      </c>
      <c r="AW143" s="249">
        <v>-9.0007968749999986E-2</v>
      </c>
      <c r="AX143" s="249">
        <v>-9.6674869791666659E-2</v>
      </c>
      <c r="AY143" s="249">
        <v>-0.10334177083333333</v>
      </c>
      <c r="AZ143" s="249">
        <v>-0.11000867187499999</v>
      </c>
      <c r="BA143" s="249">
        <v>-0.11667557291666664</v>
      </c>
      <c r="BB143" s="249">
        <v>-0.12334247395833332</v>
      </c>
      <c r="BC143" s="249">
        <v>-0.13000937500000001</v>
      </c>
      <c r="BD143" s="249">
        <v>-0.135009765625</v>
      </c>
      <c r="BE143" s="249">
        <v>-0.14001015625000005</v>
      </c>
      <c r="BF143" s="249">
        <v>-0.14501054687500001</v>
      </c>
      <c r="BG143" s="249">
        <v>-0.15001093750000002</v>
      </c>
      <c r="BH143" s="249">
        <v>-0.15501132812500001</v>
      </c>
      <c r="BI143" s="249">
        <v>-0.16001171875000003</v>
      </c>
      <c r="BJ143" s="249">
        <v>-0.16501210937500008</v>
      </c>
      <c r="BK143" s="249">
        <v>-0.17001250000000007</v>
      </c>
      <c r="BL143" s="249">
        <v>-0.17501289062500008</v>
      </c>
      <c r="BM143" s="249">
        <v>-0.18001328125000005</v>
      </c>
      <c r="BN143" s="249">
        <v>-0.18501367187500006</v>
      </c>
      <c r="BO143" s="249">
        <v>-0.1900140625</v>
      </c>
      <c r="BP143" s="249">
        <v>-0.19501445312500001</v>
      </c>
      <c r="BQ143" s="249">
        <v>-0.20001484375</v>
      </c>
      <c r="BR143" s="249">
        <v>-0.20501523437499999</v>
      </c>
      <c r="BS143" s="249">
        <v>-0.21001562499999996</v>
      </c>
      <c r="BT143" s="249">
        <v>-0.21501601562499997</v>
      </c>
      <c r="BU143" s="249">
        <v>-0.22001640624999991</v>
      </c>
      <c r="BV143" s="249">
        <v>-0.22501679687499992</v>
      </c>
      <c r="BW143" s="249">
        <v>-0.23001718749999991</v>
      </c>
      <c r="BX143" s="249">
        <v>-0.23501757812499988</v>
      </c>
      <c r="BY143" s="249">
        <v>-0.24001796874999987</v>
      </c>
      <c r="BZ143" s="249">
        <v>-0.24501835937499986</v>
      </c>
      <c r="CA143" s="249">
        <v>-0.25001875000000001</v>
      </c>
      <c r="CB143" s="249">
        <v>-0.25501914062500003</v>
      </c>
      <c r="CC143" s="249">
        <v>-0.26001953124999994</v>
      </c>
      <c r="CD143" s="249">
        <v>-0.26501992187499995</v>
      </c>
      <c r="CE143" s="249">
        <v>-0.27002031249999997</v>
      </c>
      <c r="CF143" s="249">
        <v>-0.27502070312499999</v>
      </c>
      <c r="CG143" s="249">
        <v>-0.28002109374999995</v>
      </c>
      <c r="CH143" s="249">
        <v>-0.28502148437499986</v>
      </c>
      <c r="CI143" s="249">
        <v>-0.29002187499999987</v>
      </c>
      <c r="CJ143" s="249">
        <v>-0.29502226562499989</v>
      </c>
      <c r="CK143" s="249">
        <v>-0.3000226562499998</v>
      </c>
      <c r="CL143" s="249">
        <v>-0.30502304687499981</v>
      </c>
      <c r="CM143" s="249">
        <v>-0.3100234375</v>
      </c>
      <c r="CN143" s="249">
        <v>-0.31335716145833337</v>
      </c>
      <c r="CO143" s="249">
        <v>-0.31669088541666673</v>
      </c>
      <c r="CP143" s="249">
        <v>-0.32002460937499994</v>
      </c>
      <c r="CQ143" s="249">
        <v>-0.3233583333333333</v>
      </c>
      <c r="CR143" s="249">
        <v>-0.32669205729166667</v>
      </c>
      <c r="CS143" s="249">
        <v>-0.33002578124999998</v>
      </c>
      <c r="CT143" s="249">
        <v>-0.33335950520833324</v>
      </c>
      <c r="CU143" s="249">
        <v>-0.33669322916666655</v>
      </c>
      <c r="CV143" s="249">
        <v>-0.34002695312499998</v>
      </c>
      <c r="CW143" s="249">
        <v>-0.34336067708333329</v>
      </c>
      <c r="CX143" s="249">
        <v>-0.34669440104166649</v>
      </c>
      <c r="CY143" s="249">
        <v>-0.35002812500000002</v>
      </c>
    </row>
    <row r="144" spans="1:103">
      <c r="A144" s="229"/>
      <c r="B144" s="229"/>
      <c r="C144" s="230"/>
      <c r="D144" s="230" t="s">
        <v>806</v>
      </c>
      <c r="E144" s="230"/>
      <c r="F144" s="232"/>
      <c r="G144" s="232" t="s">
        <v>736</v>
      </c>
      <c r="H144" s="203"/>
      <c r="I144" s="203"/>
      <c r="J144" s="203"/>
      <c r="K144" s="203"/>
      <c r="L144" s="229"/>
      <c r="M144" s="229"/>
      <c r="N144" s="229"/>
      <c r="O144" s="229"/>
      <c r="P144" s="229"/>
      <c r="Q144" s="229"/>
      <c r="R144" s="229"/>
      <c r="S144" s="229"/>
      <c r="T144" s="237"/>
      <c r="U144" s="237"/>
      <c r="V144" s="237"/>
      <c r="W144" s="237"/>
      <c r="X144" s="237"/>
      <c r="Y144" s="237"/>
      <c r="Z144" s="237"/>
      <c r="AA144" s="237"/>
      <c r="AB144" s="237"/>
      <c r="AC144" s="237"/>
      <c r="AD144" s="237"/>
      <c r="AE144" s="249">
        <f t="shared" si="67"/>
        <v>0</v>
      </c>
      <c r="AF144" s="249">
        <f t="shared" si="67"/>
        <v>-3.411428084511961E-3</v>
      </c>
      <c r="AG144" s="249">
        <f t="shared" si="67"/>
        <v>-4.0281740546967903E-3</v>
      </c>
      <c r="AH144" s="249">
        <f t="shared" si="67"/>
        <v>-3.4133641080000003E-3</v>
      </c>
      <c r="AI144" s="249">
        <f t="shared" si="67"/>
        <v>-4.2647863923479089E-3</v>
      </c>
      <c r="AJ144" s="249">
        <f t="shared" si="67"/>
        <v>-5.8024600639534889E-3</v>
      </c>
      <c r="AK144" s="249">
        <f t="shared" si="67"/>
        <v>-6.0298586310608832E-3</v>
      </c>
      <c r="AL144" s="249">
        <f t="shared" si="67"/>
        <v>-1.0943316336828959E-2</v>
      </c>
      <c r="AM144" s="249">
        <f t="shared" si="67"/>
        <v>-6.671408563032619E-4</v>
      </c>
      <c r="AN144" s="249">
        <f t="shared" si="67"/>
        <v>-5.2708643521733143E-4</v>
      </c>
      <c r="AO144" s="249">
        <f t="shared" si="67"/>
        <v>0</v>
      </c>
      <c r="AP144" s="249">
        <f t="shared" si="67"/>
        <v>0</v>
      </c>
      <c r="AQ144" s="249">
        <f t="shared" si="67"/>
        <v>0</v>
      </c>
      <c r="AR144" s="249">
        <v>-1.0759583333333333E-2</v>
      </c>
      <c r="AS144" s="249">
        <v>-1.1523166666666668E-2</v>
      </c>
      <c r="AT144" s="249">
        <v>-1.2286749999999999E-2</v>
      </c>
      <c r="AU144" s="249">
        <v>-1.3050333333333334E-2</v>
      </c>
      <c r="AV144" s="249">
        <v>-1.3813916666666667E-2</v>
      </c>
      <c r="AW144" s="249">
        <v>-1.45775E-2</v>
      </c>
      <c r="AX144" s="249">
        <v>-1.5341083333333335E-2</v>
      </c>
      <c r="AY144" s="249">
        <v>-1.6104666666666666E-2</v>
      </c>
      <c r="AZ144" s="249">
        <v>-1.6868250000000001E-2</v>
      </c>
      <c r="BA144" s="249">
        <v>-1.7631833333333333E-2</v>
      </c>
      <c r="BB144" s="249">
        <v>-1.8395416666666668E-2</v>
      </c>
      <c r="BC144" s="249">
        <v>-1.9159000000000002E-2</v>
      </c>
      <c r="BD144" s="249">
        <v>-1.9922583333333334E-2</v>
      </c>
      <c r="BE144" s="249">
        <v>-2.0686166666666669E-2</v>
      </c>
      <c r="BF144" s="249">
        <v>-2.1449750000000004E-2</v>
      </c>
      <c r="BG144" s="249">
        <v>-2.2213333333333338E-2</v>
      </c>
      <c r="BH144" s="249">
        <v>-2.2976916666666673E-2</v>
      </c>
      <c r="BI144" s="249">
        <v>-2.3740500000000005E-2</v>
      </c>
      <c r="BJ144" s="249">
        <v>-2.4504083333333343E-2</v>
      </c>
      <c r="BK144" s="249">
        <v>-2.5267666666666674E-2</v>
      </c>
      <c r="BL144" s="249">
        <v>-2.6031250000000009E-2</v>
      </c>
      <c r="BM144" s="249">
        <v>-2.6794833333333344E-2</v>
      </c>
      <c r="BN144" s="249">
        <v>-2.7558416666666679E-2</v>
      </c>
      <c r="BO144" s="249">
        <v>-2.8322E-2</v>
      </c>
      <c r="BP144" s="249">
        <v>-2.9085583333333338E-2</v>
      </c>
      <c r="BQ144" s="249">
        <v>-2.984916666666667E-2</v>
      </c>
      <c r="BR144" s="249">
        <v>-3.0612750000000005E-2</v>
      </c>
      <c r="BS144" s="249">
        <v>-3.1376333333333332E-2</v>
      </c>
      <c r="BT144" s="249">
        <v>-3.2139916666666664E-2</v>
      </c>
      <c r="BU144" s="249">
        <v>-3.2903500000000002E-2</v>
      </c>
      <c r="BV144" s="249">
        <v>-3.3667083333333334E-2</v>
      </c>
      <c r="BW144" s="249">
        <v>-3.4430666666666665E-2</v>
      </c>
      <c r="BX144" s="249">
        <v>-3.5194249999999996E-2</v>
      </c>
      <c r="BY144" s="249">
        <v>-3.5957833333333328E-2</v>
      </c>
      <c r="BZ144" s="249">
        <v>-3.6721416666666659E-2</v>
      </c>
      <c r="CA144" s="249">
        <v>-3.7485000000000004E-2</v>
      </c>
      <c r="CB144" s="249">
        <v>-3.8248583333333336E-2</v>
      </c>
      <c r="CC144" s="249">
        <v>-3.901216666666666E-2</v>
      </c>
      <c r="CD144" s="249">
        <v>-3.9775749999999999E-2</v>
      </c>
      <c r="CE144" s="249">
        <v>-4.0539333333333323E-2</v>
      </c>
      <c r="CF144" s="249">
        <v>-4.1302916666666661E-2</v>
      </c>
      <c r="CG144" s="249">
        <v>-4.2066499999999979E-2</v>
      </c>
      <c r="CH144" s="249">
        <v>-4.2830083333333317E-2</v>
      </c>
      <c r="CI144" s="249">
        <v>-4.3593666666666649E-2</v>
      </c>
      <c r="CJ144" s="249">
        <v>-4.435724999999998E-2</v>
      </c>
      <c r="CK144" s="249">
        <v>-4.5120833333333304E-2</v>
      </c>
      <c r="CL144" s="249">
        <v>-4.5884416666666636E-2</v>
      </c>
      <c r="CM144" s="249">
        <v>-4.6648000000000002E-2</v>
      </c>
      <c r="CN144" s="249">
        <v>-4.7272750000000002E-2</v>
      </c>
      <c r="CO144" s="249">
        <v>-4.7897499999999996E-2</v>
      </c>
      <c r="CP144" s="249">
        <v>-4.8522249999999996E-2</v>
      </c>
      <c r="CQ144" s="249">
        <v>-4.9146999999999996E-2</v>
      </c>
      <c r="CR144" s="249">
        <v>-4.977174999999999E-2</v>
      </c>
      <c r="CS144" s="249">
        <v>-5.0396499999999983E-2</v>
      </c>
      <c r="CT144" s="249">
        <v>-5.102124999999999E-2</v>
      </c>
      <c r="CU144" s="249">
        <v>-5.1645999999999984E-2</v>
      </c>
      <c r="CV144" s="249">
        <v>-5.2270749999999984E-2</v>
      </c>
      <c r="CW144" s="249">
        <v>-5.2895499999999984E-2</v>
      </c>
      <c r="CX144" s="249">
        <v>-5.3520249999999978E-2</v>
      </c>
      <c r="CY144" s="249">
        <v>-5.4144999999999999E-2</v>
      </c>
    </row>
    <row r="145" spans="1:103">
      <c r="A145" s="95"/>
      <c r="B145" s="230"/>
      <c r="C145" s="230"/>
      <c r="D145" s="230" t="s">
        <v>871</v>
      </c>
      <c r="E145" s="230"/>
      <c r="F145" s="232"/>
      <c r="G145" s="232" t="s">
        <v>736</v>
      </c>
      <c r="H145" s="203"/>
      <c r="I145" s="214"/>
      <c r="J145" s="214"/>
      <c r="K145" s="214"/>
      <c r="L145" s="95"/>
      <c r="M145" s="95"/>
      <c r="N145" s="95"/>
      <c r="O145" s="95"/>
      <c r="P145" s="95"/>
      <c r="Q145" s="95"/>
      <c r="R145" s="95"/>
      <c r="S145" s="95"/>
      <c r="T145" s="237"/>
      <c r="U145" s="237"/>
      <c r="V145" s="237"/>
      <c r="W145" s="237"/>
      <c r="X145" s="237"/>
      <c r="Y145" s="237"/>
      <c r="Z145" s="237"/>
      <c r="AA145" s="237"/>
      <c r="AB145" s="237"/>
      <c r="AC145" s="237"/>
      <c r="AD145" s="627"/>
      <c r="AE145" s="249">
        <f t="shared" si="67"/>
        <v>0</v>
      </c>
      <c r="AF145" s="249">
        <f t="shared" si="67"/>
        <v>-2.541842081368954E-2</v>
      </c>
      <c r="AG145" s="249">
        <f t="shared" si="67"/>
        <v>-3.2561869802615932E-2</v>
      </c>
      <c r="AH145" s="249">
        <f t="shared" si="67"/>
        <v>-2.5401521199999999E-2</v>
      </c>
      <c r="AI145" s="249">
        <f t="shared" si="67"/>
        <v>-2.9554996910646388E-2</v>
      </c>
      <c r="AJ145" s="249">
        <f t="shared" si="67"/>
        <v>-4.5056641279069769E-2</v>
      </c>
      <c r="AK145" s="249">
        <f t="shared" si="67"/>
        <v>-4.6450700849799492E-2</v>
      </c>
      <c r="AL145" s="249">
        <f t="shared" si="67"/>
        <v>-7.9500268599030588E-2</v>
      </c>
      <c r="AM145" s="249">
        <f t="shared" si="67"/>
        <v>-6.1757192206270142E-2</v>
      </c>
      <c r="AN145" s="249">
        <f t="shared" si="67"/>
        <v>-4.7159471392862112E-2</v>
      </c>
      <c r="AO145" s="249">
        <f t="shared" si="67"/>
        <v>-2.376E-4</v>
      </c>
      <c r="AP145" s="249">
        <f t="shared" si="67"/>
        <v>-2.5533333333333332E-4</v>
      </c>
      <c r="AQ145" s="249">
        <f t="shared" si="67"/>
        <v>-4.7000000000000004E-4</v>
      </c>
      <c r="AR145" s="249">
        <v>-8.3958333333333329E-2</v>
      </c>
      <c r="AS145" s="249">
        <v>-8.9916666666666673E-2</v>
      </c>
      <c r="AT145" s="249">
        <v>-9.5875000000000002E-2</v>
      </c>
      <c r="AU145" s="249">
        <v>-0.10183333333333333</v>
      </c>
      <c r="AV145" s="249">
        <v>-0.10779166666666667</v>
      </c>
      <c r="AW145" s="249">
        <v>-0.11375</v>
      </c>
      <c r="AX145" s="249">
        <v>-0.11970833333333333</v>
      </c>
      <c r="AY145" s="249">
        <v>-0.12566666666666665</v>
      </c>
      <c r="AZ145" s="249">
        <v>-0.13162499999999999</v>
      </c>
      <c r="BA145" s="249">
        <v>-0.13758333333333334</v>
      </c>
      <c r="BB145" s="249">
        <v>-0.14354166666666668</v>
      </c>
      <c r="BC145" s="249">
        <v>-0.14950000000000002</v>
      </c>
      <c r="BD145" s="249">
        <v>-0.15545833333333337</v>
      </c>
      <c r="BE145" s="249">
        <v>-0.16141666666666668</v>
      </c>
      <c r="BF145" s="249">
        <v>-0.16737500000000002</v>
      </c>
      <c r="BG145" s="249">
        <v>-0.17333333333333339</v>
      </c>
      <c r="BH145" s="249">
        <v>-0.17929166666666671</v>
      </c>
      <c r="BI145" s="249">
        <v>-0.18525000000000005</v>
      </c>
      <c r="BJ145" s="249">
        <v>-0.1912083333333334</v>
      </c>
      <c r="BK145" s="249">
        <v>-0.19716666666666671</v>
      </c>
      <c r="BL145" s="249">
        <v>-0.20312500000000006</v>
      </c>
      <c r="BM145" s="249">
        <v>-0.20908333333333343</v>
      </c>
      <c r="BN145" s="249">
        <v>-0.21504166666666674</v>
      </c>
      <c r="BO145" s="249">
        <v>-0.221</v>
      </c>
      <c r="BP145" s="249">
        <v>-0.22695833333333335</v>
      </c>
      <c r="BQ145" s="249">
        <v>-0.23291666666666666</v>
      </c>
      <c r="BR145" s="249">
        <v>-0.238875</v>
      </c>
      <c r="BS145" s="249">
        <v>-0.24483333333333335</v>
      </c>
      <c r="BT145" s="249">
        <v>-0.25079166666666669</v>
      </c>
      <c r="BU145" s="249">
        <v>-0.25674999999999998</v>
      </c>
      <c r="BV145" s="249">
        <v>-0.26270833333333332</v>
      </c>
      <c r="BW145" s="249">
        <v>-0.26866666666666661</v>
      </c>
      <c r="BX145" s="249">
        <v>-0.27462499999999995</v>
      </c>
      <c r="BY145" s="249">
        <v>-0.2805833333333333</v>
      </c>
      <c r="BZ145" s="249">
        <v>-0.28654166666666658</v>
      </c>
      <c r="CA145" s="249">
        <v>-0.29249999999999998</v>
      </c>
      <c r="CB145" s="249">
        <v>-0.29845833333333333</v>
      </c>
      <c r="CC145" s="249">
        <v>-0.30441666666666667</v>
      </c>
      <c r="CD145" s="249">
        <v>-0.31037499999999996</v>
      </c>
      <c r="CE145" s="249">
        <v>-0.31633333333333324</v>
      </c>
      <c r="CF145" s="249">
        <v>-0.32229166666666653</v>
      </c>
      <c r="CG145" s="249">
        <v>-0.32824999999999988</v>
      </c>
      <c r="CH145" s="249">
        <v>-0.33420833333333316</v>
      </c>
      <c r="CI145" s="249">
        <v>-0.34016666666666651</v>
      </c>
      <c r="CJ145" s="249">
        <v>-0.34612499999999979</v>
      </c>
      <c r="CK145" s="249">
        <v>-0.35208333333333314</v>
      </c>
      <c r="CL145" s="249">
        <v>-0.35804166666666648</v>
      </c>
      <c r="CM145" s="249">
        <v>-0.36399999999999999</v>
      </c>
      <c r="CN145" s="249">
        <v>-0.36887499999999995</v>
      </c>
      <c r="CO145" s="249">
        <v>-0.37374999999999997</v>
      </c>
      <c r="CP145" s="249">
        <v>-0.37862499999999993</v>
      </c>
      <c r="CQ145" s="249">
        <v>-0.38349999999999995</v>
      </c>
      <c r="CR145" s="249">
        <v>-0.38837499999999991</v>
      </c>
      <c r="CS145" s="249">
        <v>-0.39324999999999988</v>
      </c>
      <c r="CT145" s="249">
        <v>-0.3981249999999999</v>
      </c>
      <c r="CU145" s="249">
        <v>-0.40299999999999991</v>
      </c>
      <c r="CV145" s="249">
        <v>-0.40787499999999988</v>
      </c>
      <c r="CW145" s="249">
        <v>-0.41274999999999984</v>
      </c>
      <c r="CX145" s="249">
        <v>-0.41762499999999986</v>
      </c>
      <c r="CY145" s="249">
        <v>-0.42249999999999999</v>
      </c>
    </row>
    <row r="146" spans="1:103">
      <c r="A146" s="229"/>
      <c r="B146" s="230"/>
      <c r="C146" s="230"/>
      <c r="D146" s="230" t="s">
        <v>107</v>
      </c>
      <c r="E146" s="230"/>
      <c r="F146" s="232"/>
      <c r="G146" s="232" t="s">
        <v>736</v>
      </c>
      <c r="H146" s="203"/>
      <c r="I146" s="203"/>
      <c r="J146" s="203"/>
      <c r="K146" s="203"/>
      <c r="L146" s="229"/>
      <c r="M146" s="229"/>
      <c r="N146" s="229"/>
      <c r="O146" s="229"/>
      <c r="P146" s="229"/>
      <c r="Q146" s="229"/>
      <c r="R146" s="229"/>
      <c r="S146" s="229"/>
      <c r="T146" s="237"/>
      <c r="U146" s="237"/>
      <c r="V146" s="237"/>
      <c r="W146" s="237"/>
      <c r="X146" s="237"/>
      <c r="Y146" s="237"/>
      <c r="Z146" s="237"/>
      <c r="AA146" s="237"/>
      <c r="AB146" s="237"/>
      <c r="AC146" s="237"/>
      <c r="AD146" s="237"/>
      <c r="AE146" s="249">
        <f t="shared" si="67"/>
        <v>0</v>
      </c>
      <c r="AF146" s="249">
        <f t="shared" si="67"/>
        <v>-1.2872099251217125E-2</v>
      </c>
      <c r="AG146" s="249">
        <f t="shared" si="67"/>
        <v>-1.4364547389999999E-2</v>
      </c>
      <c r="AH146" s="249">
        <f t="shared" si="67"/>
        <v>-1.0941245725355353E-2</v>
      </c>
      <c r="AI146" s="249">
        <f t="shared" si="67"/>
        <v>-1.7387059241937348E-2</v>
      </c>
      <c r="AJ146" s="249">
        <f t="shared" si="67"/>
        <v>-2.1198714380000001E-2</v>
      </c>
      <c r="AK146" s="249">
        <f t="shared" si="67"/>
        <v>-2.0558578092501723E-2</v>
      </c>
      <c r="AL146" s="249">
        <f t="shared" si="67"/>
        <v>-2.4943232021438576E-2</v>
      </c>
      <c r="AM146" s="249">
        <f t="shared" si="67"/>
        <v>-2.5313494725232144E-2</v>
      </c>
      <c r="AN146" s="249">
        <f t="shared" si="67"/>
        <v>-4.0796203445819572E-2</v>
      </c>
      <c r="AO146" s="249">
        <f t="shared" si="67"/>
        <v>-81.12</v>
      </c>
      <c r="AP146" s="249">
        <f t="shared" si="67"/>
        <v>-148.91853166666667</v>
      </c>
      <c r="AQ146" s="249">
        <f t="shared" si="67"/>
        <v>-163.67613166666666</v>
      </c>
      <c r="AR146" s="249">
        <v>-5.6067200000000005E-2</v>
      </c>
      <c r="AS146" s="249">
        <v>-6.1379200000000009E-2</v>
      </c>
      <c r="AT146" s="249">
        <v>-6.7043200000000011E-2</v>
      </c>
      <c r="AU146" s="249">
        <v>-7.3059200000000019E-2</v>
      </c>
      <c r="AV146" s="249">
        <v>-7.9427200000000003E-2</v>
      </c>
      <c r="AW146" s="249">
        <v>-8.6147200000000007E-2</v>
      </c>
      <c r="AX146" s="249">
        <v>-9.3219200000000016E-2</v>
      </c>
      <c r="AY146" s="249">
        <v>-0.1006432</v>
      </c>
      <c r="AZ146" s="249">
        <v>-0.10841919999999999</v>
      </c>
      <c r="BA146" s="249">
        <v>-0.1165472</v>
      </c>
      <c r="BB146" s="249">
        <v>-0.1250272</v>
      </c>
      <c r="BC146" s="249">
        <v>-0.13385920000000001</v>
      </c>
      <c r="BD146" s="249">
        <v>-0.14304320000000001</v>
      </c>
      <c r="BE146" s="249">
        <v>-0.15257920000000003</v>
      </c>
      <c r="BF146" s="249">
        <v>-0.16246719999999998</v>
      </c>
      <c r="BG146" s="249">
        <v>-0.17270720000000001</v>
      </c>
      <c r="BH146" s="249">
        <v>-0.1832992</v>
      </c>
      <c r="BI146" s="249">
        <v>-0.1942432</v>
      </c>
      <c r="BJ146" s="249">
        <v>-0.20553919999999998</v>
      </c>
      <c r="BK146" s="249">
        <v>-0.21718719999999997</v>
      </c>
      <c r="BL146" s="249">
        <v>-0.22918720000000001</v>
      </c>
      <c r="BM146" s="249">
        <v>-0.24153920000000001</v>
      </c>
      <c r="BN146" s="249">
        <v>-0.2542432</v>
      </c>
      <c r="BO146" s="249">
        <v>-0.26729920000000001</v>
      </c>
      <c r="BP146" s="249">
        <v>-0.28070720000000005</v>
      </c>
      <c r="BQ146" s="249">
        <v>-0.29446720000000004</v>
      </c>
      <c r="BR146" s="249">
        <v>-0.30857920000000005</v>
      </c>
      <c r="BS146" s="249">
        <v>-0.32304319999999997</v>
      </c>
      <c r="BT146" s="249">
        <v>-0.33785920000000003</v>
      </c>
      <c r="BU146" s="249">
        <v>-0.35302719999999999</v>
      </c>
      <c r="BV146" s="249">
        <v>-0.36854720000000002</v>
      </c>
      <c r="BW146" s="249">
        <v>-0.38441920000000002</v>
      </c>
      <c r="BX146" s="249">
        <v>-0.40064320000000009</v>
      </c>
      <c r="BY146" s="249">
        <v>-0.41721920000000001</v>
      </c>
      <c r="BZ146" s="249">
        <v>-0.43414719999999996</v>
      </c>
      <c r="CA146" s="249">
        <v>-0.45142720000000003</v>
      </c>
      <c r="CB146" s="249">
        <v>-0.46905920000000001</v>
      </c>
      <c r="CC146" s="249">
        <v>-0.48704320000000001</v>
      </c>
      <c r="CD146" s="249">
        <v>-0.50537920000000003</v>
      </c>
      <c r="CE146" s="249">
        <v>-0.52406720000000007</v>
      </c>
      <c r="CF146" s="249">
        <v>-0.54310720000000012</v>
      </c>
      <c r="CG146" s="249">
        <v>-0.56249919999999998</v>
      </c>
      <c r="CH146" s="249">
        <v>-0.58224319999999996</v>
      </c>
      <c r="CI146" s="249">
        <v>-0.60233919999999996</v>
      </c>
      <c r="CJ146" s="249">
        <v>-0.62278719999999999</v>
      </c>
      <c r="CK146" s="249">
        <v>-0.64358720000000003</v>
      </c>
      <c r="CL146" s="249">
        <v>-0.66473919999999997</v>
      </c>
      <c r="CM146" s="249">
        <v>-0.68624320000000005</v>
      </c>
      <c r="CN146" s="249">
        <v>-0.70803519999999998</v>
      </c>
      <c r="CO146" s="249">
        <v>-0.73011519999999996</v>
      </c>
      <c r="CP146" s="249">
        <v>-0.75248320000000002</v>
      </c>
      <c r="CQ146" s="249">
        <v>-0.77513920000000003</v>
      </c>
      <c r="CR146" s="249">
        <v>-0.79808319999999999</v>
      </c>
      <c r="CS146" s="249">
        <v>-0.82131520000000002</v>
      </c>
      <c r="CT146" s="249">
        <v>-0.84483520000000012</v>
      </c>
      <c r="CU146" s="249">
        <v>-0.86864319999999995</v>
      </c>
      <c r="CV146" s="249">
        <v>-0.89273919999999996</v>
      </c>
      <c r="CW146" s="249">
        <v>-0.91712320000000003</v>
      </c>
      <c r="CX146" s="249">
        <v>-0.94179519999999994</v>
      </c>
      <c r="CY146" s="249">
        <v>-0.96675520000000004</v>
      </c>
    </row>
    <row r="147" spans="1:103">
      <c r="A147" s="229"/>
      <c r="B147" s="229"/>
      <c r="C147" s="230"/>
      <c r="D147" s="230" t="s">
        <v>594</v>
      </c>
      <c r="E147" s="230"/>
      <c r="F147" s="232"/>
      <c r="G147" s="232" t="s">
        <v>736</v>
      </c>
      <c r="H147" s="203"/>
      <c r="I147" s="203"/>
      <c r="J147" s="203"/>
      <c r="K147" s="203"/>
      <c r="L147" s="229"/>
      <c r="M147" s="229"/>
      <c r="N147" s="229"/>
      <c r="O147" s="229"/>
      <c r="P147" s="229"/>
      <c r="Q147" s="229"/>
      <c r="R147" s="229"/>
      <c r="S147" s="229"/>
      <c r="T147" s="237"/>
      <c r="U147" s="237"/>
      <c r="V147" s="237"/>
      <c r="W147" s="237"/>
      <c r="X147" s="237"/>
      <c r="Y147" s="237"/>
      <c r="Z147" s="237"/>
      <c r="AA147" s="237"/>
      <c r="AB147" s="237"/>
      <c r="AC147" s="237"/>
      <c r="AD147" s="237"/>
      <c r="AE147" s="249">
        <f t="shared" ref="AE147:AQ149" si="68">AE199+AE251</f>
        <v>0</v>
      </c>
      <c r="AF147" s="249">
        <f t="shared" si="68"/>
        <v>0</v>
      </c>
      <c r="AG147" s="249">
        <f t="shared" si="68"/>
        <v>0</v>
      </c>
      <c r="AH147" s="249">
        <f t="shared" si="68"/>
        <v>0</v>
      </c>
      <c r="AI147" s="249">
        <f t="shared" si="68"/>
        <v>0</v>
      </c>
      <c r="AJ147" s="249">
        <f t="shared" si="68"/>
        <v>0</v>
      </c>
      <c r="AK147" s="249">
        <f t="shared" si="68"/>
        <v>0</v>
      </c>
      <c r="AL147" s="249">
        <f t="shared" si="68"/>
        <v>0</v>
      </c>
      <c r="AM147" s="249">
        <f t="shared" si="68"/>
        <v>0</v>
      </c>
      <c r="AN147" s="249">
        <f t="shared" si="68"/>
        <v>0</v>
      </c>
      <c r="AO147" s="249">
        <f t="shared" si="68"/>
        <v>-0.35770000000000007</v>
      </c>
      <c r="AP147" s="249">
        <f t="shared" si="68"/>
        <v>-0.41591666666666671</v>
      </c>
      <c r="AQ147" s="249">
        <f t="shared" si="68"/>
        <v>-0.84</v>
      </c>
      <c r="AR147" s="249">
        <v>0</v>
      </c>
      <c r="AS147" s="249">
        <v>0</v>
      </c>
      <c r="AT147" s="249">
        <v>0</v>
      </c>
      <c r="AU147" s="249">
        <v>0</v>
      </c>
      <c r="AV147" s="249">
        <v>0</v>
      </c>
      <c r="AW147" s="249">
        <v>0</v>
      </c>
      <c r="AX147" s="249">
        <v>0</v>
      </c>
      <c r="AY147" s="249">
        <v>0</v>
      </c>
      <c r="AZ147" s="249">
        <v>0</v>
      </c>
      <c r="BA147" s="249">
        <v>0</v>
      </c>
      <c r="BB147" s="249">
        <v>0</v>
      </c>
      <c r="BC147" s="249">
        <v>0</v>
      </c>
      <c r="BD147" s="249">
        <v>0</v>
      </c>
      <c r="BE147" s="249">
        <v>0</v>
      </c>
      <c r="BF147" s="249">
        <v>0</v>
      </c>
      <c r="BG147" s="249">
        <v>0</v>
      </c>
      <c r="BH147" s="249">
        <v>0</v>
      </c>
      <c r="BI147" s="249">
        <v>0</v>
      </c>
      <c r="BJ147" s="249">
        <v>0</v>
      </c>
      <c r="BK147" s="249">
        <v>0</v>
      </c>
      <c r="BL147" s="249">
        <v>0</v>
      </c>
      <c r="BM147" s="249">
        <v>0</v>
      </c>
      <c r="BN147" s="249">
        <v>0</v>
      </c>
      <c r="BO147" s="249">
        <v>0</v>
      </c>
      <c r="BP147" s="249">
        <v>0</v>
      </c>
      <c r="BQ147" s="249">
        <v>0</v>
      </c>
      <c r="BR147" s="249">
        <v>0</v>
      </c>
      <c r="BS147" s="249">
        <v>0</v>
      </c>
      <c r="BT147" s="249">
        <v>0</v>
      </c>
      <c r="BU147" s="249">
        <v>0</v>
      </c>
      <c r="BV147" s="249">
        <v>0</v>
      </c>
      <c r="BW147" s="249">
        <v>0</v>
      </c>
      <c r="BX147" s="249">
        <v>0</v>
      </c>
      <c r="BY147" s="249">
        <v>0</v>
      </c>
      <c r="BZ147" s="249">
        <v>0</v>
      </c>
      <c r="CA147" s="249">
        <v>0</v>
      </c>
      <c r="CB147" s="249">
        <v>0</v>
      </c>
      <c r="CC147" s="249">
        <v>0</v>
      </c>
      <c r="CD147" s="249">
        <v>0</v>
      </c>
      <c r="CE147" s="249">
        <v>0</v>
      </c>
      <c r="CF147" s="249">
        <v>0</v>
      </c>
      <c r="CG147" s="249">
        <v>0</v>
      </c>
      <c r="CH147" s="249">
        <v>0</v>
      </c>
      <c r="CI147" s="249">
        <v>0</v>
      </c>
      <c r="CJ147" s="249">
        <v>0</v>
      </c>
      <c r="CK147" s="249">
        <v>0</v>
      </c>
      <c r="CL147" s="249">
        <v>0</v>
      </c>
      <c r="CM147" s="249">
        <v>0</v>
      </c>
      <c r="CN147" s="249">
        <v>0</v>
      </c>
      <c r="CO147" s="249">
        <v>0</v>
      </c>
      <c r="CP147" s="249">
        <v>0</v>
      </c>
      <c r="CQ147" s="249">
        <v>0</v>
      </c>
      <c r="CR147" s="249">
        <v>0</v>
      </c>
      <c r="CS147" s="249">
        <v>0</v>
      </c>
      <c r="CT147" s="249">
        <v>0</v>
      </c>
      <c r="CU147" s="249">
        <v>0</v>
      </c>
      <c r="CV147" s="249">
        <v>0</v>
      </c>
      <c r="CW147" s="249">
        <v>0</v>
      </c>
      <c r="CX147" s="249">
        <v>0</v>
      </c>
      <c r="CY147" s="249">
        <v>0</v>
      </c>
    </row>
    <row r="148" spans="1:103">
      <c r="A148" s="229"/>
      <c r="B148" s="229"/>
      <c r="C148" s="230"/>
      <c r="D148" s="230" t="s">
        <v>872</v>
      </c>
      <c r="E148" s="230"/>
      <c r="F148" s="203"/>
      <c r="G148" s="232" t="s">
        <v>736</v>
      </c>
      <c r="H148" s="203"/>
      <c r="I148" s="203"/>
      <c r="J148" s="203"/>
      <c r="K148" s="203"/>
      <c r="L148" s="229"/>
      <c r="M148" s="229"/>
      <c r="N148" s="229"/>
      <c r="O148" s="229"/>
      <c r="P148" s="229"/>
      <c r="Q148" s="229"/>
      <c r="R148" s="229"/>
      <c r="S148" s="229"/>
      <c r="T148" s="237"/>
      <c r="U148" s="237"/>
      <c r="V148" s="237"/>
      <c r="W148" s="237"/>
      <c r="X148" s="237"/>
      <c r="Y148" s="237"/>
      <c r="Z148" s="237"/>
      <c r="AA148" s="237"/>
      <c r="AB148" s="237"/>
      <c r="AC148" s="237"/>
      <c r="AD148" s="237"/>
      <c r="AE148" s="249">
        <f t="shared" si="68"/>
        <v>0</v>
      </c>
      <c r="AF148" s="249">
        <f t="shared" si="68"/>
        <v>-1.2892181271765441E-2</v>
      </c>
      <c r="AG148" s="249">
        <f t="shared" si="68"/>
        <v>-5.1630475394584662E-3</v>
      </c>
      <c r="AH148" s="249">
        <f t="shared" si="68"/>
        <v>-4.4420637475396469E-3</v>
      </c>
      <c r="AI148" s="249">
        <f t="shared" si="68"/>
        <v>-1.2834830306478136E-2</v>
      </c>
      <c r="AJ148" s="249">
        <f t="shared" si="68"/>
        <v>-2.489790077578832E-2</v>
      </c>
      <c r="AK148" s="249">
        <f t="shared" si="68"/>
        <v>-2.9168773182960833E-2</v>
      </c>
      <c r="AL148" s="249">
        <f t="shared" si="68"/>
        <v>-6.4218712661562889E-3</v>
      </c>
      <c r="AM148" s="249">
        <f t="shared" si="68"/>
        <v>-9.9835361793167932E-2</v>
      </c>
      <c r="AN148" s="249">
        <f t="shared" si="68"/>
        <v>-8.8971984806726547E-3</v>
      </c>
      <c r="AO148" s="249">
        <f t="shared" si="68"/>
        <v>0</v>
      </c>
      <c r="AP148" s="249">
        <f t="shared" si="68"/>
        <v>0</v>
      </c>
      <c r="AQ148" s="249">
        <f t="shared" si="68"/>
        <v>0</v>
      </c>
      <c r="AR148" s="249">
        <v>-0.14600833333333335</v>
      </c>
      <c r="AS148" s="249">
        <v>-0.15984166666666666</v>
      </c>
      <c r="AT148" s="249">
        <v>-0.17459166666666667</v>
      </c>
      <c r="AU148" s="249">
        <v>-0.19025833333333336</v>
      </c>
      <c r="AV148" s="249">
        <v>-0.20684166666666665</v>
      </c>
      <c r="AW148" s="249">
        <v>-0.22434166666666666</v>
      </c>
      <c r="AX148" s="249">
        <v>-0.24275833333333335</v>
      </c>
      <c r="AY148" s="249">
        <v>-0.26209166666666667</v>
      </c>
      <c r="AZ148" s="249">
        <v>-0.28234166666666666</v>
      </c>
      <c r="BA148" s="249">
        <v>-0.30350833333333332</v>
      </c>
      <c r="BB148" s="249">
        <v>-0.32559166666666667</v>
      </c>
      <c r="BC148" s="249">
        <v>-0.34859166666666663</v>
      </c>
      <c r="BD148" s="249">
        <v>-0.27938125000000003</v>
      </c>
      <c r="BE148" s="249">
        <v>-0.29800624999999997</v>
      </c>
      <c r="BF148" s="249">
        <v>-0.31731874999999998</v>
      </c>
      <c r="BG148" s="249">
        <v>-0.33731875</v>
      </c>
      <c r="BH148" s="249">
        <v>-0.35800624999999997</v>
      </c>
      <c r="BI148" s="249">
        <v>-0.37938125</v>
      </c>
      <c r="BJ148" s="249">
        <v>-0.40144374999999999</v>
      </c>
      <c r="BK148" s="249">
        <v>-0.42419375000000004</v>
      </c>
      <c r="BL148" s="249">
        <v>-0.44763125000000004</v>
      </c>
      <c r="BM148" s="249">
        <v>-0.47175624999999993</v>
      </c>
      <c r="BN148" s="249">
        <v>-0.49656874999999995</v>
      </c>
      <c r="BO148" s="249">
        <v>-0.52206874999999997</v>
      </c>
      <c r="BP148" s="249">
        <v>-0.54825625</v>
      </c>
      <c r="BQ148" s="249">
        <v>-0.57513125000000009</v>
      </c>
      <c r="BR148" s="249">
        <v>-0.60269375000000003</v>
      </c>
      <c r="BS148" s="249">
        <v>-0.63094374999999991</v>
      </c>
      <c r="BT148" s="249">
        <v>-0.65988124999999997</v>
      </c>
      <c r="BU148" s="249">
        <v>-0.68950624999999999</v>
      </c>
      <c r="BV148" s="249">
        <v>-0.71981874999999995</v>
      </c>
      <c r="BW148" s="249">
        <v>-0.75081874999999998</v>
      </c>
      <c r="BX148" s="249">
        <v>-0.78250624999999996</v>
      </c>
      <c r="BY148" s="249">
        <v>-0.81488125</v>
      </c>
      <c r="BZ148" s="249">
        <v>-0.84794374999999989</v>
      </c>
      <c r="CA148" s="249">
        <v>-0.88169374999999994</v>
      </c>
      <c r="CB148" s="249">
        <v>-0.91613124999999995</v>
      </c>
      <c r="CC148" s="249">
        <v>-0.95125624999999991</v>
      </c>
      <c r="CD148" s="249">
        <v>-0.98706874999999994</v>
      </c>
      <c r="CE148" s="249">
        <v>-1.0235687500000001</v>
      </c>
      <c r="CF148" s="249">
        <v>-1.0607562500000003</v>
      </c>
      <c r="CG148" s="249">
        <v>-1.0986312499999999</v>
      </c>
      <c r="CH148" s="249">
        <v>-1.13719375</v>
      </c>
      <c r="CI148" s="249">
        <v>-1.17644375</v>
      </c>
      <c r="CJ148" s="249">
        <v>-1.21638125</v>
      </c>
      <c r="CK148" s="249">
        <v>-1.2570062499999999</v>
      </c>
      <c r="CL148" s="249">
        <v>-1.29831875</v>
      </c>
      <c r="CM148" s="249">
        <v>-1.34031875</v>
      </c>
      <c r="CN148" s="249">
        <v>-1.3828812500000001</v>
      </c>
      <c r="CO148" s="249">
        <v>-1.4260062499999999</v>
      </c>
      <c r="CP148" s="249">
        <v>-1.4696937499999998</v>
      </c>
      <c r="CQ148" s="249">
        <v>-1.5139437500000001</v>
      </c>
      <c r="CR148" s="249">
        <v>-1.5587562500000001</v>
      </c>
      <c r="CS148" s="249">
        <v>-1.60413125</v>
      </c>
      <c r="CT148" s="249">
        <v>-1.65006875</v>
      </c>
      <c r="CU148" s="249">
        <v>-1.69656875</v>
      </c>
      <c r="CV148" s="249">
        <v>-1.74363125</v>
      </c>
      <c r="CW148" s="249">
        <v>-1.79125625</v>
      </c>
      <c r="CX148" s="249">
        <v>-1.83944375</v>
      </c>
      <c r="CY148" s="249">
        <v>-1.8881937499999999</v>
      </c>
    </row>
    <row r="149" spans="1:103">
      <c r="A149" s="229"/>
      <c r="B149" s="229"/>
      <c r="C149" s="230"/>
      <c r="D149" s="230" t="s">
        <v>703</v>
      </c>
      <c r="E149" s="230"/>
      <c r="F149" s="203"/>
      <c r="G149" s="232" t="s">
        <v>736</v>
      </c>
      <c r="H149" s="203"/>
      <c r="I149" s="203"/>
      <c r="J149" s="203"/>
      <c r="K149" s="203"/>
      <c r="L149" s="229"/>
      <c r="M149" s="229"/>
      <c r="N149" s="229"/>
      <c r="O149" s="229"/>
      <c r="P149" s="229"/>
      <c r="Q149" s="229"/>
      <c r="R149" s="229"/>
      <c r="S149" s="229"/>
      <c r="T149" s="237"/>
      <c r="U149" s="237"/>
      <c r="V149" s="237"/>
      <c r="W149" s="237"/>
      <c r="X149" s="237"/>
      <c r="Y149" s="237"/>
      <c r="Z149" s="237"/>
      <c r="AA149" s="237"/>
      <c r="AB149" s="237"/>
      <c r="AC149" s="237"/>
      <c r="AD149" s="237"/>
      <c r="AE149" s="249">
        <f t="shared" si="68"/>
        <v>0</v>
      </c>
      <c r="AF149" s="249">
        <f t="shared" si="68"/>
        <v>-1.5836473338391374E-3</v>
      </c>
      <c r="AG149" s="249">
        <f t="shared" si="68"/>
        <v>-1.2507488198381382E-3</v>
      </c>
      <c r="AH149" s="249">
        <f t="shared" si="68"/>
        <v>-1.9339269969123139E-3</v>
      </c>
      <c r="AI149" s="249">
        <f t="shared" si="68"/>
        <v>-3.0770789168911841E-3</v>
      </c>
      <c r="AJ149" s="249">
        <f t="shared" si="68"/>
        <v>-2.2420663378921297E-3</v>
      </c>
      <c r="AK149" s="249">
        <f t="shared" si="68"/>
        <v>-2.2949134724688089E-3</v>
      </c>
      <c r="AL149" s="249">
        <f t="shared" si="68"/>
        <v>0</v>
      </c>
      <c r="AM149" s="249">
        <f t="shared" si="68"/>
        <v>0</v>
      </c>
      <c r="AN149" s="249">
        <f t="shared" si="68"/>
        <v>0</v>
      </c>
      <c r="AO149" s="249">
        <f t="shared" si="68"/>
        <v>0</v>
      </c>
      <c r="AP149" s="249">
        <f t="shared" si="68"/>
        <v>0</v>
      </c>
      <c r="AQ149" s="249">
        <f t="shared" si="68"/>
        <v>0</v>
      </c>
      <c r="AR149" s="249">
        <v>0</v>
      </c>
      <c r="AS149" s="249">
        <v>0</v>
      </c>
      <c r="AT149" s="249">
        <v>0</v>
      </c>
      <c r="AU149" s="249">
        <v>0</v>
      </c>
      <c r="AV149" s="249">
        <v>0</v>
      </c>
      <c r="AW149" s="249">
        <v>0</v>
      </c>
      <c r="AX149" s="249">
        <v>0</v>
      </c>
      <c r="AY149" s="249">
        <v>0</v>
      </c>
      <c r="AZ149" s="249">
        <v>0</v>
      </c>
      <c r="BA149" s="249">
        <v>0</v>
      </c>
      <c r="BB149" s="249">
        <v>0</v>
      </c>
      <c r="BC149" s="249">
        <v>0</v>
      </c>
      <c r="BD149" s="249">
        <v>0</v>
      </c>
      <c r="BE149" s="249">
        <v>0</v>
      </c>
      <c r="BF149" s="249">
        <v>0</v>
      </c>
      <c r="BG149" s="249">
        <v>0</v>
      </c>
      <c r="BH149" s="249">
        <v>0</v>
      </c>
      <c r="BI149" s="249">
        <v>0</v>
      </c>
      <c r="BJ149" s="249">
        <v>0</v>
      </c>
      <c r="BK149" s="249">
        <v>0</v>
      </c>
      <c r="BL149" s="249">
        <v>0</v>
      </c>
      <c r="BM149" s="249">
        <v>0</v>
      </c>
      <c r="BN149" s="249">
        <v>0</v>
      </c>
      <c r="BO149" s="249">
        <v>0</v>
      </c>
      <c r="BP149" s="249">
        <v>0</v>
      </c>
      <c r="BQ149" s="249">
        <v>0</v>
      </c>
      <c r="BR149" s="249">
        <v>0</v>
      </c>
      <c r="BS149" s="249">
        <v>0</v>
      </c>
      <c r="BT149" s="249">
        <v>0</v>
      </c>
      <c r="BU149" s="249">
        <v>0</v>
      </c>
      <c r="BV149" s="249">
        <v>0</v>
      </c>
      <c r="BW149" s="249">
        <v>0</v>
      </c>
      <c r="BX149" s="249">
        <v>0</v>
      </c>
      <c r="BY149" s="249">
        <v>0</v>
      </c>
      <c r="BZ149" s="249">
        <v>0</v>
      </c>
      <c r="CA149" s="249">
        <v>0</v>
      </c>
      <c r="CB149" s="249">
        <v>0</v>
      </c>
      <c r="CC149" s="249">
        <v>0</v>
      </c>
      <c r="CD149" s="249">
        <v>0</v>
      </c>
      <c r="CE149" s="249">
        <v>0</v>
      </c>
      <c r="CF149" s="249">
        <v>0</v>
      </c>
      <c r="CG149" s="249">
        <v>0</v>
      </c>
      <c r="CH149" s="249">
        <v>0</v>
      </c>
      <c r="CI149" s="249">
        <v>0</v>
      </c>
      <c r="CJ149" s="249">
        <v>0</v>
      </c>
      <c r="CK149" s="249">
        <v>0</v>
      </c>
      <c r="CL149" s="249">
        <v>0</v>
      </c>
      <c r="CM149" s="249">
        <v>0</v>
      </c>
      <c r="CN149" s="249">
        <v>0</v>
      </c>
      <c r="CO149" s="249">
        <v>0</v>
      </c>
      <c r="CP149" s="249">
        <v>0</v>
      </c>
      <c r="CQ149" s="249">
        <v>0</v>
      </c>
      <c r="CR149" s="249">
        <v>0</v>
      </c>
      <c r="CS149" s="249">
        <v>0</v>
      </c>
      <c r="CT149" s="249">
        <v>0</v>
      </c>
      <c r="CU149" s="249">
        <v>0</v>
      </c>
      <c r="CV149" s="249">
        <v>0</v>
      </c>
      <c r="CW149" s="249">
        <v>0</v>
      </c>
      <c r="CX149" s="249">
        <v>0</v>
      </c>
      <c r="CY149" s="249">
        <v>0</v>
      </c>
    </row>
    <row r="150" spans="1:103">
      <c r="A150" s="229"/>
      <c r="B150" s="229"/>
      <c r="C150" s="230"/>
      <c r="D150" s="230" t="s">
        <v>152</v>
      </c>
      <c r="E150" s="230"/>
      <c r="F150" s="203"/>
      <c r="G150" s="232" t="s">
        <v>736</v>
      </c>
      <c r="H150" s="203"/>
      <c r="I150" s="203"/>
      <c r="J150" s="203"/>
      <c r="K150" s="203"/>
      <c r="L150" s="229"/>
      <c r="M150" s="229"/>
      <c r="N150" s="229"/>
      <c r="O150" s="229"/>
      <c r="P150" s="229"/>
      <c r="Q150" s="229"/>
      <c r="R150" s="229"/>
      <c r="S150" s="229"/>
      <c r="T150" s="237"/>
      <c r="U150" s="237"/>
      <c r="V150" s="237"/>
      <c r="W150" s="237"/>
      <c r="X150" s="237"/>
      <c r="Y150" s="237"/>
      <c r="Z150" s="237"/>
      <c r="AA150" s="237"/>
      <c r="AB150" s="237"/>
      <c r="AC150" s="237"/>
      <c r="AD150" s="237"/>
      <c r="AE150" s="249"/>
      <c r="AF150" s="249"/>
      <c r="AG150" s="249"/>
      <c r="AH150" s="249"/>
      <c r="AI150" s="249"/>
      <c r="AJ150" s="249"/>
      <c r="AK150" s="249"/>
      <c r="AL150" s="249"/>
      <c r="AM150" s="249"/>
      <c r="AN150" s="249"/>
      <c r="AO150" s="249"/>
      <c r="AP150" s="249"/>
      <c r="AQ150" s="249"/>
      <c r="AR150" s="641">
        <v>-3.3392125984251973E-2</v>
      </c>
      <c r="AS150" s="641">
        <v>-3.5152941176470595E-2</v>
      </c>
      <c r="AT150" s="641">
        <v>-3.6854794520547955E-2</v>
      </c>
      <c r="AU150" s="641">
        <v>-3.850059880239521E-2</v>
      </c>
      <c r="AV150" s="641">
        <v>-4.0093078055964647E-2</v>
      </c>
      <c r="AW150" s="641">
        <v>-4.1634782608695659E-2</v>
      </c>
      <c r="AX150" s="641">
        <v>-1.2862767475035664E-2</v>
      </c>
      <c r="AY150" s="641">
        <v>-1.329438202247191E-2</v>
      </c>
      <c r="AZ150" s="641">
        <v>-1.3712863070539419E-2</v>
      </c>
      <c r="BA150" s="641">
        <v>-1.4118801089918257E-2</v>
      </c>
      <c r="BB150" s="641">
        <v>-1.451275167785235E-2</v>
      </c>
      <c r="BC150" s="641">
        <v>-1.4895238095238095E-2</v>
      </c>
      <c r="BD150" s="641">
        <v>-1.4510037174721191E-2</v>
      </c>
      <c r="BE150" s="641">
        <v>-1.4170629370629372E-2</v>
      </c>
      <c r="BF150" s="641">
        <v>-1.3869306930693073E-2</v>
      </c>
      <c r="BG150" s="641">
        <v>-1.3600000000000004E-2</v>
      </c>
      <c r="BH150" s="641">
        <v>-1.3357863501483686E-2</v>
      </c>
      <c r="BI150" s="641">
        <v>-1.3138983050847465E-2</v>
      </c>
      <c r="BJ150" s="641">
        <v>-1.2940161725067392E-2</v>
      </c>
      <c r="BK150" s="641">
        <v>-1.2758762886597944E-2</v>
      </c>
      <c r="BL150" s="641">
        <v>-1.25925925925926E-2</v>
      </c>
      <c r="BM150" s="641">
        <v>-1.2439810426540293E-2</v>
      </c>
      <c r="BN150" s="641">
        <v>-1.2298861047835999E-2</v>
      </c>
      <c r="BO150" s="641">
        <v>-1.2168421052631578E-2</v>
      </c>
      <c r="BP150" s="641">
        <v>-1.2352023121387284E-2</v>
      </c>
      <c r="BQ150" s="641">
        <v>-1.2531428571428574E-2</v>
      </c>
      <c r="BR150" s="641">
        <v>-1.2706779661016953E-2</v>
      </c>
      <c r="BS150" s="641">
        <v>-1.2878212290502797E-2</v>
      </c>
      <c r="BT150" s="641">
        <v>-1.3045856353591165E-2</v>
      </c>
      <c r="BU150" s="641">
        <v>-1.3209836065573775E-2</v>
      </c>
      <c r="BV150" s="641">
        <v>-1.3370270270270275E-2</v>
      </c>
      <c r="BW150" s="641">
        <v>-1.3527272727272733E-2</v>
      </c>
      <c r="BX150" s="641">
        <v>-1.3680952380952387E-2</v>
      </c>
      <c r="BY150" s="641">
        <v>-1.3831413612565452E-2</v>
      </c>
      <c r="BZ150" s="641">
        <v>-1.3978756476683942E-2</v>
      </c>
      <c r="CA150" s="641">
        <v>-1.4123076923076924E-2</v>
      </c>
      <c r="CB150" s="641">
        <v>-1.4264467005076144E-2</v>
      </c>
      <c r="CC150" s="641">
        <v>-1.4403015075376885E-2</v>
      </c>
      <c r="CD150" s="641">
        <v>-1.4538805970149254E-2</v>
      </c>
      <c r="CE150" s="641">
        <v>-1.4671921182266011E-2</v>
      </c>
      <c r="CF150" s="641">
        <v>-1.4802439024390247E-2</v>
      </c>
      <c r="CG150" s="641">
        <v>-1.4930434782608698E-2</v>
      </c>
      <c r="CH150" s="641">
        <v>-1.5055980861244021E-2</v>
      </c>
      <c r="CI150" s="641">
        <v>-1.517914691943128E-2</v>
      </c>
      <c r="CJ150" s="641">
        <v>-1.5300000000000003E-2</v>
      </c>
      <c r="CK150" s="641">
        <v>-1.5418604651162793E-2</v>
      </c>
      <c r="CL150" s="641">
        <v>-1.5535023041474656E-2</v>
      </c>
      <c r="CM150" s="641">
        <v>-1.5649315068493153E-2</v>
      </c>
      <c r="CN150" s="641">
        <v>-1.5733182332955835E-2</v>
      </c>
      <c r="CO150" s="641">
        <v>-1.5815730337078657E-2</v>
      </c>
      <c r="CP150" s="641">
        <v>-1.5896989966555187E-2</v>
      </c>
      <c r="CQ150" s="641">
        <v>-1.5976991150442477E-2</v>
      </c>
      <c r="CR150" s="641">
        <v>-1.6055762897914379E-2</v>
      </c>
      <c r="CS150" s="641">
        <v>-1.6133333333333336E-2</v>
      </c>
      <c r="CT150" s="641">
        <v>-1.6209729729729734E-2</v>
      </c>
      <c r="CU150" s="641">
        <v>-1.6284978540772533E-2</v>
      </c>
      <c r="CV150" s="641">
        <v>-1.6359105431309907E-2</v>
      </c>
      <c r="CW150" s="641">
        <v>-1.6432135306553915E-2</v>
      </c>
      <c r="CX150" s="641">
        <v>-1.6504092339979015E-2</v>
      </c>
      <c r="CY150" s="641">
        <v>-1.6574999999999999E-2</v>
      </c>
    </row>
    <row r="151" spans="1:103">
      <c r="A151" s="229"/>
      <c r="B151" s="229"/>
      <c r="C151" s="230"/>
      <c r="D151" s="230" t="s">
        <v>163</v>
      </c>
      <c r="E151" s="230"/>
      <c r="F151" s="232"/>
      <c r="G151" s="232" t="s">
        <v>736</v>
      </c>
      <c r="H151" s="203"/>
      <c r="I151" s="203"/>
      <c r="J151" s="203"/>
      <c r="K151" s="203"/>
      <c r="L151" s="229"/>
      <c r="M151" s="229"/>
      <c r="N151" s="229"/>
      <c r="O151" s="229"/>
      <c r="P151" s="229"/>
      <c r="Q151" s="229"/>
      <c r="R151" s="229"/>
      <c r="S151" s="229"/>
      <c r="T151" s="237"/>
      <c r="U151" s="237"/>
      <c r="V151" s="237"/>
      <c r="W151" s="237"/>
      <c r="X151" s="237"/>
      <c r="Y151" s="237"/>
      <c r="Z151" s="237"/>
      <c r="AA151" s="237"/>
      <c r="AB151" s="237"/>
      <c r="AC151" s="237"/>
      <c r="AD151" s="237"/>
      <c r="AE151" s="249">
        <f t="shared" ref="AE151:AQ154" si="69">AE203+AE255</f>
        <v>0</v>
      </c>
      <c r="AF151" s="249">
        <f t="shared" si="69"/>
        <v>-7.7771802222035436E-3</v>
      </c>
      <c r="AG151" s="249">
        <f t="shared" si="69"/>
        <v>-7.055561906198906E-3</v>
      </c>
      <c r="AH151" s="249">
        <f t="shared" si="69"/>
        <v>-3.8699321407585007E-3</v>
      </c>
      <c r="AI151" s="249">
        <f t="shared" si="69"/>
        <v>-3.1402331556829931E-3</v>
      </c>
      <c r="AJ151" s="249">
        <f t="shared" si="69"/>
        <v>-1.5044905681865284E-2</v>
      </c>
      <c r="AK151" s="249">
        <f t="shared" si="69"/>
        <v>-1.7559190132399021E-2</v>
      </c>
      <c r="AL151" s="249">
        <f t="shared" si="69"/>
        <v>-1.5777717167929885E-2</v>
      </c>
      <c r="AM151" s="249">
        <f t="shared" si="69"/>
        <v>-1.2483901295560845E-2</v>
      </c>
      <c r="AN151" s="249">
        <f t="shared" si="69"/>
        <v>-1.2663546867395559E-2</v>
      </c>
      <c r="AO151" s="249">
        <f t="shared" si="69"/>
        <v>0</v>
      </c>
      <c r="AP151" s="249">
        <f t="shared" si="69"/>
        <v>0</v>
      </c>
      <c r="AQ151" s="249">
        <f t="shared" si="69"/>
        <v>0</v>
      </c>
      <c r="AR151" s="249">
        <v>-2.4529399999999996E-2</v>
      </c>
      <c r="AS151" s="249">
        <v>-2.6853399999999999E-2</v>
      </c>
      <c r="AT151" s="249">
        <v>-2.9331400000000001E-2</v>
      </c>
      <c r="AU151" s="249">
        <v>-3.1963399999999996E-2</v>
      </c>
      <c r="AV151" s="249">
        <v>-3.47494E-2</v>
      </c>
      <c r="AW151" s="249">
        <v>-3.7689399999999998E-2</v>
      </c>
      <c r="AX151" s="249">
        <v>-4.0783399999999997E-2</v>
      </c>
      <c r="AY151" s="249">
        <v>-4.4031399999999998E-2</v>
      </c>
      <c r="AZ151" s="249">
        <v>-4.7433399999999994E-2</v>
      </c>
      <c r="BA151" s="249">
        <v>-5.098939999999999E-2</v>
      </c>
      <c r="BB151" s="249">
        <v>-5.4699399999999995E-2</v>
      </c>
      <c r="BC151" s="249">
        <v>-5.8563399999999988E-2</v>
      </c>
      <c r="BD151" s="249">
        <v>-6.2581399999999995E-2</v>
      </c>
      <c r="BE151" s="249">
        <v>-6.6753399999999991E-2</v>
      </c>
      <c r="BF151" s="249">
        <v>-7.1079399999999987E-2</v>
      </c>
      <c r="BG151" s="249">
        <v>-7.5559399999999999E-2</v>
      </c>
      <c r="BH151" s="249">
        <v>-8.0193399999999998E-2</v>
      </c>
      <c r="BI151" s="249">
        <v>-8.4981399999999999E-2</v>
      </c>
      <c r="BJ151" s="249">
        <v>-8.9923399999999987E-2</v>
      </c>
      <c r="BK151" s="249">
        <v>-9.501939999999999E-2</v>
      </c>
      <c r="BL151" s="249">
        <v>-0.10026939999999998</v>
      </c>
      <c r="BM151" s="249">
        <v>-0.10567339999999997</v>
      </c>
      <c r="BN151" s="249">
        <v>-0.11123139999999999</v>
      </c>
      <c r="BO151" s="249">
        <v>-0.11694339999999999</v>
      </c>
      <c r="BP151" s="249">
        <v>-0.1228094</v>
      </c>
      <c r="BQ151" s="249">
        <v>-0.12882939999999998</v>
      </c>
      <c r="BR151" s="249">
        <v>-0.1350034</v>
      </c>
      <c r="BS151" s="249">
        <v>-0.1413314</v>
      </c>
      <c r="BT151" s="249">
        <v>-0.14781339999999998</v>
      </c>
      <c r="BU151" s="249">
        <v>-0.15444939999999999</v>
      </c>
      <c r="BV151" s="249">
        <v>-0.16123939999999998</v>
      </c>
      <c r="BW151" s="249">
        <v>-0.16818339999999998</v>
      </c>
      <c r="BX151" s="249">
        <v>-0.17528139999999998</v>
      </c>
      <c r="BY151" s="249">
        <v>-0.18253339999999998</v>
      </c>
      <c r="BZ151" s="249">
        <v>-0.18993939999999998</v>
      </c>
      <c r="CA151" s="249">
        <v>-0.19749939999999999</v>
      </c>
      <c r="CB151" s="249">
        <v>-0.20521339999999996</v>
      </c>
      <c r="CC151" s="249">
        <v>-0.21308139999999998</v>
      </c>
      <c r="CD151" s="249">
        <v>-0.22110340000000001</v>
      </c>
      <c r="CE151" s="249">
        <v>-0.22927940000000002</v>
      </c>
      <c r="CF151" s="249">
        <v>-0.2376094</v>
      </c>
      <c r="CG151" s="249">
        <v>-0.24609339999999996</v>
      </c>
      <c r="CH151" s="249">
        <v>-0.2547314</v>
      </c>
      <c r="CI151" s="249">
        <v>-0.26352339999999996</v>
      </c>
      <c r="CJ151" s="249">
        <v>-0.27246939999999997</v>
      </c>
      <c r="CK151" s="249">
        <v>-0.28156939999999997</v>
      </c>
      <c r="CL151" s="249">
        <v>-0.29082339999999995</v>
      </c>
      <c r="CM151" s="249">
        <v>-0.30023139999999993</v>
      </c>
      <c r="CN151" s="249">
        <v>-0.30976539999999997</v>
      </c>
      <c r="CO151" s="249">
        <v>-0.31942539999999997</v>
      </c>
      <c r="CP151" s="249">
        <v>-0.32921139999999993</v>
      </c>
      <c r="CQ151" s="249">
        <v>-0.33912339999999996</v>
      </c>
      <c r="CR151" s="249">
        <v>-0.34916139999999996</v>
      </c>
      <c r="CS151" s="249">
        <v>-0.35932539999999996</v>
      </c>
      <c r="CT151" s="249">
        <v>-0.36961539999999998</v>
      </c>
      <c r="CU151" s="249">
        <v>-0.38003139999999996</v>
      </c>
      <c r="CV151" s="249">
        <v>-0.39057339999999996</v>
      </c>
      <c r="CW151" s="249">
        <v>-0.40124139999999997</v>
      </c>
      <c r="CX151" s="249">
        <v>-0.41203539999999994</v>
      </c>
      <c r="CY151" s="249">
        <v>-0.42295539999999993</v>
      </c>
    </row>
    <row r="152" spans="1:103">
      <c r="A152" s="230"/>
      <c r="B152" s="229"/>
      <c r="C152" s="229" t="s">
        <v>670</v>
      </c>
      <c r="D152" s="230"/>
      <c r="E152" s="230"/>
      <c r="F152" s="203"/>
      <c r="G152" s="232" t="s">
        <v>736</v>
      </c>
      <c r="H152" s="203"/>
      <c r="I152" s="232"/>
      <c r="J152" s="232"/>
      <c r="K152" s="232"/>
      <c r="L152" s="230"/>
      <c r="M152" s="230"/>
      <c r="N152" s="230"/>
      <c r="O152" s="230"/>
      <c r="P152" s="230"/>
      <c r="Q152" s="230"/>
      <c r="R152" s="230"/>
      <c r="S152" s="230"/>
      <c r="T152" s="237"/>
      <c r="U152" s="237"/>
      <c r="V152" s="237"/>
      <c r="W152" s="237"/>
      <c r="X152" s="237"/>
      <c r="Y152" s="237"/>
      <c r="Z152" s="237"/>
      <c r="AA152" s="237"/>
      <c r="AB152" s="237"/>
      <c r="AC152" s="237"/>
      <c r="AD152" s="237"/>
      <c r="AE152" s="247">
        <f t="shared" si="69"/>
        <v>0</v>
      </c>
      <c r="AF152" s="247">
        <f t="shared" si="69"/>
        <v>0</v>
      </c>
      <c r="AG152" s="247">
        <f t="shared" si="69"/>
        <v>0</v>
      </c>
      <c r="AH152" s="247">
        <f t="shared" si="69"/>
        <v>0</v>
      </c>
      <c r="AI152" s="247">
        <f t="shared" si="69"/>
        <v>0</v>
      </c>
      <c r="AJ152" s="247">
        <f t="shared" si="69"/>
        <v>0</v>
      </c>
      <c r="AK152" s="247">
        <f t="shared" si="69"/>
        <v>0</v>
      </c>
      <c r="AL152" s="247">
        <f t="shared" si="69"/>
        <v>0</v>
      </c>
      <c r="AM152" s="247">
        <f t="shared" si="69"/>
        <v>0</v>
      </c>
      <c r="AN152" s="247">
        <f t="shared" si="69"/>
        <v>0</v>
      </c>
      <c r="AO152" s="247">
        <f t="shared" si="69"/>
        <v>-0.16326895098318953</v>
      </c>
      <c r="AP152" s="247">
        <f t="shared" si="69"/>
        <v>-0.14044329606995914</v>
      </c>
      <c r="AQ152" s="247">
        <f t="shared" si="69"/>
        <v>-0.15374351274702713</v>
      </c>
      <c r="AR152" s="247">
        <v>-3.9235290466983673E-2</v>
      </c>
      <c r="AS152" s="247">
        <v>-3.9925196161680214E-2</v>
      </c>
      <c r="AT152" s="247">
        <v>-5.3784304063720083E-2</v>
      </c>
      <c r="AU152" s="247">
        <v>-7.2445842550927092E-2</v>
      </c>
      <c r="AV152" s="247">
        <v>-5.9505589359854158E-2</v>
      </c>
      <c r="AW152" s="247">
        <v>-5.1882414563451981E-2</v>
      </c>
      <c r="AX152" s="247">
        <v>-0.11832988454743934</v>
      </c>
      <c r="AY152" s="247">
        <v>-0.19994101955179072</v>
      </c>
      <c r="AZ152" s="247">
        <v>-0.23748935674019686</v>
      </c>
      <c r="BA152" s="247">
        <v>-0.27949747252353901</v>
      </c>
      <c r="BB152" s="247">
        <v>-0.52740234336336855</v>
      </c>
      <c r="BC152" s="247">
        <v>-0.58173311838952213</v>
      </c>
      <c r="BD152" s="247">
        <v>-0.65174945970921494</v>
      </c>
      <c r="BE152" s="247">
        <v>-0.71491563677920822</v>
      </c>
      <c r="BF152" s="247">
        <v>-0.77148732156611011</v>
      </c>
      <c r="BG152" s="247">
        <v>-0.82362879896580932</v>
      </c>
      <c r="BH152" s="247">
        <v>-0.87104850252363497</v>
      </c>
      <c r="BI152" s="247">
        <v>-0.90667958942499083</v>
      </c>
      <c r="BJ152" s="247">
        <v>-0.96568931994155893</v>
      </c>
      <c r="BK152" s="247">
        <v>-0.99686458768134112</v>
      </c>
      <c r="BL152" s="247">
        <v>-1.0255019642680656</v>
      </c>
      <c r="BM152" s="247">
        <v>-1.057785734168541</v>
      </c>
      <c r="BN152" s="247">
        <v>-1.1032076185204758</v>
      </c>
      <c r="BO152" s="247">
        <v>-1.175591432871911</v>
      </c>
      <c r="BP152" s="247">
        <v>-1.2367764693945964</v>
      </c>
      <c r="BQ152" s="247">
        <v>-1.2887775870318361</v>
      </c>
      <c r="BR152" s="247">
        <v>-1.3346758428557757</v>
      </c>
      <c r="BS152" s="247">
        <v>-1.3853729718435304</v>
      </c>
      <c r="BT152" s="247">
        <v>-1.447918538996853</v>
      </c>
      <c r="BU152" s="247">
        <v>-1.50139565267644</v>
      </c>
      <c r="BV152" s="247">
        <v>-1.572717780441887</v>
      </c>
      <c r="BW152" s="247">
        <v>-1.5494170687091688</v>
      </c>
      <c r="BX152" s="247">
        <v>-1.5919360024309208</v>
      </c>
      <c r="BY152" s="247">
        <v>-1.6368591410768487</v>
      </c>
      <c r="BZ152" s="247">
        <v>-1.6927339503505205</v>
      </c>
      <c r="CA152" s="247">
        <v>-1.7713907963295579</v>
      </c>
      <c r="CB152" s="247">
        <v>-1.8402818699372847</v>
      </c>
      <c r="CC152" s="247">
        <v>-1.9012796250466502</v>
      </c>
      <c r="CD152" s="247">
        <v>-1.9570980391356914</v>
      </c>
      <c r="CE152" s="247">
        <v>-2.0170778090646628</v>
      </c>
      <c r="CF152" s="247">
        <v>-2.0872353664177337</v>
      </c>
      <c r="CG152" s="247">
        <v>-2.1497074215929302</v>
      </c>
      <c r="CH152" s="247">
        <v>-2.2274976384964282</v>
      </c>
      <c r="CI152" s="247">
        <v>-2.2827688388755529</v>
      </c>
      <c r="CJ152" s="247">
        <v>-2.3384673185863245</v>
      </c>
      <c r="CK152" s="247">
        <v>-2.3963305255396938</v>
      </c>
      <c r="CL152" s="247">
        <v>-2.4636613952630797</v>
      </c>
      <c r="CM152" s="247">
        <v>-2.5471334499969149</v>
      </c>
      <c r="CN152" s="247">
        <v>-2.6165092791941</v>
      </c>
      <c r="CO152" s="247">
        <v>-2.6864863278223279</v>
      </c>
      <c r="CP152" s="247">
        <v>-2.7568261044663664</v>
      </c>
      <c r="CQ152" s="247">
        <v>-2.8274141087048381</v>
      </c>
      <c r="CR152" s="247">
        <v>-2.8982416251077989</v>
      </c>
      <c r="CS152" s="247">
        <v>-2.9693087712786577</v>
      </c>
      <c r="CT152" s="247">
        <v>-3.0406202261599296</v>
      </c>
      <c r="CU152" s="247">
        <v>-3.1122694872506944</v>
      </c>
      <c r="CV152" s="247">
        <v>-3.1844422173353575</v>
      </c>
      <c r="CW152" s="247">
        <v>-3.2572285343095007</v>
      </c>
      <c r="CX152" s="247">
        <v>-3.3306726336724486</v>
      </c>
      <c r="CY152" s="247">
        <v>-3.4047941264817272</v>
      </c>
    </row>
    <row r="153" spans="1:103">
      <c r="A153" s="230"/>
      <c r="B153" s="229"/>
      <c r="C153" s="230"/>
      <c r="D153" s="230" t="s">
        <v>876</v>
      </c>
      <c r="E153" s="230"/>
      <c r="F153" s="232"/>
      <c r="G153" s="232" t="s">
        <v>736</v>
      </c>
      <c r="H153" s="203"/>
      <c r="I153" s="232"/>
      <c r="J153" s="232"/>
      <c r="K153" s="232"/>
      <c r="L153" s="230"/>
      <c r="M153" s="230"/>
      <c r="N153" s="230"/>
      <c r="O153" s="230"/>
      <c r="P153" s="230"/>
      <c r="Q153" s="230"/>
      <c r="R153" s="230"/>
      <c r="S153" s="230"/>
      <c r="T153" s="237"/>
      <c r="U153" s="237"/>
      <c r="V153" s="237"/>
      <c r="W153" s="237"/>
      <c r="X153" s="237"/>
      <c r="Y153" s="237"/>
      <c r="Z153" s="237"/>
      <c r="AA153" s="237"/>
      <c r="AB153" s="237"/>
      <c r="AC153" s="237"/>
      <c r="AD153" s="237"/>
      <c r="AE153" s="249">
        <f t="shared" si="69"/>
        <v>0</v>
      </c>
      <c r="AF153" s="249">
        <f t="shared" si="69"/>
        <v>0</v>
      </c>
      <c r="AG153" s="249">
        <f t="shared" si="69"/>
        <v>0</v>
      </c>
      <c r="AH153" s="249">
        <f t="shared" si="69"/>
        <v>0</v>
      </c>
      <c r="AI153" s="249">
        <f t="shared" si="69"/>
        <v>0</v>
      </c>
      <c r="AJ153" s="249">
        <f t="shared" si="69"/>
        <v>0</v>
      </c>
      <c r="AK153" s="249">
        <f t="shared" si="69"/>
        <v>0</v>
      </c>
      <c r="AL153" s="249">
        <f t="shared" si="69"/>
        <v>0</v>
      </c>
      <c r="AM153" s="249">
        <f t="shared" si="69"/>
        <v>0</v>
      </c>
      <c r="AN153" s="249">
        <f t="shared" si="69"/>
        <v>0</v>
      </c>
      <c r="AO153" s="249">
        <f t="shared" si="69"/>
        <v>-1.1154076757220361</v>
      </c>
      <c r="AP153" s="249">
        <f t="shared" si="69"/>
        <v>-1.2838231188011957</v>
      </c>
      <c r="AQ153" s="249">
        <f t="shared" si="69"/>
        <v>-1.1017464430049075</v>
      </c>
      <c r="AR153" s="249">
        <v>-1.4021804854142543</v>
      </c>
      <c r="AS153" s="249">
        <v>-1.4366931707466084</v>
      </c>
      <c r="AT153" s="249">
        <v>-1.574056750407165</v>
      </c>
      <c r="AU153" s="249">
        <v>-1.5831317041877417</v>
      </c>
      <c r="AV153" s="249">
        <v>-1.7265122285938164</v>
      </c>
      <c r="AW153" s="249">
        <v>-1.9587811227880574</v>
      </c>
      <c r="AX153" s="249">
        <v>-2.0570638953344389</v>
      </c>
      <c r="AY153" s="249">
        <v>-2.0677090780752581</v>
      </c>
      <c r="AZ153" s="249">
        <v>-2.1912661060225442</v>
      </c>
      <c r="BA153" s="249">
        <v>-2.3268508667158305</v>
      </c>
      <c r="BB153" s="249">
        <v>-2.0751043924090689</v>
      </c>
      <c r="BC153" s="249">
        <v>-2.2513594021582168</v>
      </c>
      <c r="BD153" s="249">
        <v>-2.4456526538253236</v>
      </c>
      <c r="BE153" s="249">
        <v>-2.5818246715526803</v>
      </c>
      <c r="BF153" s="249">
        <v>-2.6918742983318711</v>
      </c>
      <c r="BG153" s="249">
        <v>-2.8733913614594258</v>
      </c>
      <c r="BH153" s="249">
        <v>-3.1042032134429496</v>
      </c>
      <c r="BI153" s="249">
        <v>-3.3429737441691403</v>
      </c>
      <c r="BJ153" s="249">
        <v>-3.5805081218256181</v>
      </c>
      <c r="BK153" s="249">
        <v>-3.8154202981771261</v>
      </c>
      <c r="BL153" s="249">
        <v>-4.0702360235404464</v>
      </c>
      <c r="BM153" s="249">
        <v>-4.3319507958183516</v>
      </c>
      <c r="BN153" s="249">
        <v>-4.600978225024841</v>
      </c>
      <c r="BO153" s="249">
        <v>-4.8773971394677602</v>
      </c>
      <c r="BP153" s="249">
        <v>-5.161714288802699</v>
      </c>
      <c r="BQ153" s="249">
        <v>-5.454479615173236</v>
      </c>
      <c r="BR153" s="249">
        <v>-5.7559584694354289</v>
      </c>
      <c r="BS153" s="249">
        <v>-6.0662082972909115</v>
      </c>
      <c r="BT153" s="249">
        <v>-6.385174186800092</v>
      </c>
      <c r="BU153" s="249">
        <v>-6.7129116719870083</v>
      </c>
      <c r="BV153" s="249">
        <v>-7.0494340222327452</v>
      </c>
      <c r="BW153" s="249">
        <v>-7.3947369875230073</v>
      </c>
      <c r="BX153" s="249">
        <v>-7.7488083426644376</v>
      </c>
      <c r="BY153" s="249">
        <v>-8.1116357474409035</v>
      </c>
      <c r="BZ153" s="249">
        <v>-8.4832109079185045</v>
      </c>
      <c r="CA153" s="249">
        <v>-8.8635295054753982</v>
      </c>
      <c r="CB153" s="249">
        <v>-9.2525896182956497</v>
      </c>
      <c r="CC153" s="249">
        <v>-9.6503901120531097</v>
      </c>
      <c r="CD153" s="249">
        <v>-10.056930657623148</v>
      </c>
      <c r="CE153" s="249">
        <v>-10.47221142046088</v>
      </c>
      <c r="CF153" s="249">
        <v>-10.896232776480524</v>
      </c>
      <c r="CG153" s="249">
        <v>-11.328995112891274</v>
      </c>
      <c r="CH153" s="249">
        <v>-11.77049872962102</v>
      </c>
      <c r="CI153" s="249">
        <v>-12.220743821141316</v>
      </c>
      <c r="CJ153" s="249">
        <v>-12.679730497291079</v>
      </c>
      <c r="CK153" s="249">
        <v>-13.147458811550926</v>
      </c>
      <c r="CL153" s="249">
        <v>-13.623928781035737</v>
      </c>
      <c r="CM153" s="249">
        <v>-14.109140402465641</v>
      </c>
      <c r="CN153" s="249">
        <v>-14.602602038772364</v>
      </c>
      <c r="CO153" s="249">
        <v>-15.10449393889979</v>
      </c>
      <c r="CP153" s="249">
        <v>-15.614921954732411</v>
      </c>
      <c r="CQ153" s="249">
        <v>-16.133942274263926</v>
      </c>
      <c r="CR153" s="249">
        <v>-16.661439876594454</v>
      </c>
      <c r="CS153" s="249">
        <v>-17.197360791133818</v>
      </c>
      <c r="CT153" s="249">
        <v>-17.741680877211525</v>
      </c>
      <c r="CU153" s="249">
        <v>-18.294102235832185</v>
      </c>
      <c r="CV153" s="249">
        <v>-18.854010665180439</v>
      </c>
      <c r="CW153" s="249">
        <v>-19.421111910795815</v>
      </c>
      <c r="CX153" s="249">
        <v>-19.995270487619283</v>
      </c>
      <c r="CY153" s="249">
        <v>-20.576430490236092</v>
      </c>
    </row>
    <row r="154" spans="1:103">
      <c r="A154" s="230"/>
      <c r="B154" s="229"/>
      <c r="C154" s="230"/>
      <c r="D154" s="230" t="s">
        <v>877</v>
      </c>
      <c r="E154" s="230"/>
      <c r="F154" s="232"/>
      <c r="G154" s="232" t="s">
        <v>736</v>
      </c>
      <c r="H154" s="203"/>
      <c r="I154" s="232"/>
      <c r="J154" s="232"/>
      <c r="K154" s="232"/>
      <c r="L154" s="230"/>
      <c r="M154" s="230"/>
      <c r="N154" s="230"/>
      <c r="O154" s="230"/>
      <c r="P154" s="230"/>
      <c r="Q154" s="230"/>
      <c r="R154" s="230"/>
      <c r="S154" s="230"/>
      <c r="T154" s="237"/>
      <c r="U154" s="237"/>
      <c r="V154" s="237"/>
      <c r="W154" s="237"/>
      <c r="X154" s="237"/>
      <c r="Y154" s="237"/>
      <c r="Z154" s="237"/>
      <c r="AA154" s="237"/>
      <c r="AB154" s="237"/>
      <c r="AC154" s="237"/>
      <c r="AD154" s="237"/>
      <c r="AE154" s="249">
        <f t="shared" si="69"/>
        <v>0</v>
      </c>
      <c r="AF154" s="249">
        <f t="shared" si="69"/>
        <v>0</v>
      </c>
      <c r="AG154" s="249">
        <f t="shared" si="69"/>
        <v>0</v>
      </c>
      <c r="AH154" s="249">
        <f t="shared" si="69"/>
        <v>0</v>
      </c>
      <c r="AI154" s="249">
        <f t="shared" si="69"/>
        <v>0</v>
      </c>
      <c r="AJ154" s="249">
        <f t="shared" si="69"/>
        <v>0</v>
      </c>
      <c r="AK154" s="249">
        <f t="shared" si="69"/>
        <v>0</v>
      </c>
      <c r="AL154" s="249">
        <f t="shared" si="69"/>
        <v>0</v>
      </c>
      <c r="AM154" s="249">
        <f t="shared" si="69"/>
        <v>0</v>
      </c>
      <c r="AN154" s="249">
        <f t="shared" si="69"/>
        <v>0</v>
      </c>
      <c r="AO154" s="249">
        <f t="shared" si="69"/>
        <v>8.6082583972480364E-2</v>
      </c>
      <c r="AP154" s="249">
        <f t="shared" si="69"/>
        <v>0.34580696174019532</v>
      </c>
      <c r="AQ154" s="249">
        <f t="shared" si="69"/>
        <v>0</v>
      </c>
      <c r="AR154" s="249">
        <v>0</v>
      </c>
      <c r="AS154" s="249">
        <v>0</v>
      </c>
      <c r="AT154" s="249">
        <v>0</v>
      </c>
      <c r="AU154" s="249">
        <v>0</v>
      </c>
      <c r="AV154" s="249">
        <v>0</v>
      </c>
      <c r="AW154" s="249">
        <v>0</v>
      </c>
      <c r="AX154" s="249">
        <v>0</v>
      </c>
      <c r="AY154" s="249">
        <v>0</v>
      </c>
      <c r="AZ154" s="249">
        <v>0</v>
      </c>
      <c r="BA154" s="249">
        <v>0</v>
      </c>
      <c r="BB154" s="249">
        <v>0</v>
      </c>
      <c r="BC154" s="249">
        <v>0</v>
      </c>
      <c r="BD154" s="249">
        <v>0</v>
      </c>
      <c r="BE154" s="249">
        <v>0</v>
      </c>
      <c r="BF154" s="249">
        <v>0</v>
      </c>
      <c r="BG154" s="249">
        <v>0</v>
      </c>
      <c r="BH154" s="249">
        <v>0</v>
      </c>
      <c r="BI154" s="249">
        <v>0</v>
      </c>
      <c r="BJ154" s="249">
        <v>0</v>
      </c>
      <c r="BK154" s="249">
        <v>0</v>
      </c>
      <c r="BL154" s="249">
        <v>0</v>
      </c>
      <c r="BM154" s="249">
        <v>0</v>
      </c>
      <c r="BN154" s="249">
        <v>0</v>
      </c>
      <c r="BO154" s="249">
        <v>0</v>
      </c>
      <c r="BP154" s="249">
        <v>0</v>
      </c>
      <c r="BQ154" s="249">
        <v>0</v>
      </c>
      <c r="BR154" s="249">
        <v>0</v>
      </c>
      <c r="BS154" s="249">
        <v>0</v>
      </c>
      <c r="BT154" s="249">
        <v>0</v>
      </c>
      <c r="BU154" s="249">
        <v>0</v>
      </c>
      <c r="BV154" s="249">
        <v>0</v>
      </c>
      <c r="BW154" s="249">
        <v>0</v>
      </c>
      <c r="BX154" s="249">
        <v>0</v>
      </c>
      <c r="BY154" s="249">
        <v>0</v>
      </c>
      <c r="BZ154" s="249">
        <v>0</v>
      </c>
      <c r="CA154" s="249">
        <v>0</v>
      </c>
      <c r="CB154" s="249">
        <v>0</v>
      </c>
      <c r="CC154" s="249">
        <v>0</v>
      </c>
      <c r="CD154" s="249">
        <v>0</v>
      </c>
      <c r="CE154" s="249">
        <v>0</v>
      </c>
      <c r="CF154" s="249">
        <v>0</v>
      </c>
      <c r="CG154" s="249">
        <v>0</v>
      </c>
      <c r="CH154" s="249">
        <v>0</v>
      </c>
      <c r="CI154" s="249">
        <v>0</v>
      </c>
      <c r="CJ154" s="249">
        <v>0</v>
      </c>
      <c r="CK154" s="249">
        <v>0</v>
      </c>
      <c r="CL154" s="249">
        <v>0</v>
      </c>
      <c r="CM154" s="249">
        <v>0</v>
      </c>
      <c r="CN154" s="249">
        <v>0</v>
      </c>
      <c r="CO154" s="249">
        <v>0</v>
      </c>
      <c r="CP154" s="249">
        <v>0</v>
      </c>
      <c r="CQ154" s="249">
        <v>0</v>
      </c>
      <c r="CR154" s="249">
        <v>0</v>
      </c>
      <c r="CS154" s="249">
        <v>0</v>
      </c>
      <c r="CT154" s="249">
        <v>0</v>
      </c>
      <c r="CU154" s="249">
        <v>0</v>
      </c>
      <c r="CV154" s="249">
        <v>0</v>
      </c>
      <c r="CW154" s="249">
        <v>0</v>
      </c>
      <c r="CX154" s="249">
        <v>0</v>
      </c>
      <c r="CY154" s="249">
        <v>0</v>
      </c>
    </row>
    <row r="155" spans="1:103">
      <c r="A155" s="230"/>
      <c r="B155" s="229" t="s">
        <v>236</v>
      </c>
      <c r="C155" s="229"/>
      <c r="D155" s="229"/>
      <c r="E155" s="203"/>
      <c r="F155" s="232"/>
      <c r="G155" s="232" t="s">
        <v>736</v>
      </c>
      <c r="H155" s="203"/>
      <c r="I155" s="232"/>
      <c r="J155" s="232"/>
      <c r="K155" s="232"/>
      <c r="L155" s="230"/>
      <c r="M155" s="230"/>
      <c r="N155" s="230"/>
      <c r="O155" s="230"/>
      <c r="P155" s="230"/>
      <c r="Q155" s="230"/>
      <c r="R155" s="230"/>
      <c r="S155" s="230"/>
      <c r="T155" s="247"/>
      <c r="U155" s="247"/>
      <c r="V155" s="247"/>
      <c r="W155" s="247"/>
      <c r="X155" s="247"/>
      <c r="Y155" s="247"/>
      <c r="Z155" s="247"/>
      <c r="AA155" s="247"/>
      <c r="AB155" s="247"/>
      <c r="AC155" s="247"/>
      <c r="AD155" s="247"/>
      <c r="AE155" s="247">
        <f>AE121+AE141+AE142</f>
        <v>0.13099490700517757</v>
      </c>
      <c r="AF155" s="247">
        <f t="shared" ref="AF155:AQ155" si="70">AF121+AF141+AF142</f>
        <v>-0.19529612732149126</v>
      </c>
      <c r="AG155" s="247">
        <f t="shared" si="70"/>
        <v>0.22291270626007739</v>
      </c>
      <c r="AH155" s="247">
        <f t="shared" si="70"/>
        <v>-0.12284109893673767</v>
      </c>
      <c r="AI155" s="247">
        <f t="shared" si="70"/>
        <v>9.5113825624671716E-2</v>
      </c>
      <c r="AJ155" s="247">
        <f t="shared" si="70"/>
        <v>9.2269057270063931E-2</v>
      </c>
      <c r="AK155" s="247">
        <f t="shared" si="70"/>
        <v>-9.9720643876343995E-3</v>
      </c>
      <c r="AL155" s="247">
        <f t="shared" si="70"/>
        <v>-1.5654978985805645E-2</v>
      </c>
      <c r="AM155" s="247">
        <f t="shared" si="70"/>
        <v>0.10709096995422862</v>
      </c>
      <c r="AN155" s="247">
        <f t="shared" si="70"/>
        <v>0.37621727333947935</v>
      </c>
      <c r="AO155" s="247">
        <f t="shared" si="70"/>
        <v>-89.333241158810068</v>
      </c>
      <c r="AP155" s="247">
        <f t="shared" si="70"/>
        <v>-1446.1031578873349</v>
      </c>
      <c r="AQ155" s="247">
        <f t="shared" si="70"/>
        <v>-856.36750941344246</v>
      </c>
      <c r="AR155" s="247">
        <v>-1.6989251051737539</v>
      </c>
      <c r="AS155" s="247">
        <v>-0.37251254426901192</v>
      </c>
      <c r="AT155" s="247">
        <v>-0.47522677516566192</v>
      </c>
      <c r="AU155" s="247">
        <v>-0.48306680319640649</v>
      </c>
      <c r="AV155" s="247">
        <v>-0.53338274435661226</v>
      </c>
      <c r="AW155" s="247">
        <v>-0.58548017093787164</v>
      </c>
      <c r="AX155" s="247">
        <v>-0.51274378694195777</v>
      </c>
      <c r="AY155" s="247">
        <v>-0.41622411595965469</v>
      </c>
      <c r="AZ155" s="247">
        <v>-0.3935629934399163</v>
      </c>
      <c r="BA155" s="247">
        <v>-0.39125336254433307</v>
      </c>
      <c r="BB155" s="247">
        <v>-0.42631159343739444</v>
      </c>
      <c r="BC155" s="247">
        <v>-0.33438665816593538</v>
      </c>
      <c r="BD155" s="247">
        <v>-0.17119693082701026</v>
      </c>
      <c r="BE155" s="247">
        <v>7.0764609762051123E-2</v>
      </c>
      <c r="BF155" s="247">
        <v>0.37424000473193653</v>
      </c>
      <c r="BG155" s="247">
        <v>0.37035679578245384</v>
      </c>
      <c r="BH155" s="247">
        <v>0.37978957677592984</v>
      </c>
      <c r="BI155" s="247">
        <v>0.36829719747959233</v>
      </c>
      <c r="BJ155" s="247">
        <v>0.40056678688943403</v>
      </c>
      <c r="BK155" s="247">
        <v>0.41669373272316612</v>
      </c>
      <c r="BL155" s="247">
        <v>0.40410150325336591</v>
      </c>
      <c r="BM155" s="247">
        <v>0.39820936305232157</v>
      </c>
      <c r="BN155" s="247">
        <v>0.40844528070303054</v>
      </c>
      <c r="BO155" s="247">
        <v>0.45598659017175658</v>
      </c>
      <c r="BP155" s="247">
        <v>0.47913564801852937</v>
      </c>
      <c r="BQ155" s="247">
        <v>0.49528703227908055</v>
      </c>
      <c r="BR155" s="247">
        <v>0.50651666619534863</v>
      </c>
      <c r="BS155" s="247">
        <v>0.52406775842885533</v>
      </c>
      <c r="BT155" s="247">
        <v>0.5467660323536303</v>
      </c>
      <c r="BU155" s="247">
        <v>0.55620915191734044</v>
      </c>
      <c r="BV155" s="247">
        <v>0.58651876530047931</v>
      </c>
      <c r="BW155" s="247">
        <v>0.48551535780074229</v>
      </c>
      <c r="BX155" s="247">
        <v>0.48207651272298913</v>
      </c>
      <c r="BY155" s="247">
        <v>0.481182578730595</v>
      </c>
      <c r="BZ155" s="247">
        <v>0.49107906448785998</v>
      </c>
      <c r="CA155" s="247">
        <v>0.52944167415459997</v>
      </c>
      <c r="CB155" s="247">
        <v>0.54548501010356265</v>
      </c>
      <c r="CC155" s="247">
        <v>0.55490628828796851</v>
      </c>
      <c r="CD155" s="247">
        <v>0.55979855746212515</v>
      </c>
      <c r="CE155" s="247">
        <v>0.56985191177195116</v>
      </c>
      <c r="CF155" s="247">
        <v>0.58398977515554229</v>
      </c>
      <c r="CG155" s="247">
        <v>0.58669504512938531</v>
      </c>
      <c r="CH155" s="247">
        <v>0.60718207935006419</v>
      </c>
      <c r="CI155" s="247">
        <v>0.60332588672129717</v>
      </c>
      <c r="CJ155" s="247">
        <v>0.59851791088091488</v>
      </c>
      <c r="CK155" s="247">
        <v>0.59584388402625432</v>
      </c>
      <c r="CL155" s="247">
        <v>0.60231465926260341</v>
      </c>
      <c r="CM155" s="247">
        <v>0.62958329753172215</v>
      </c>
      <c r="CN155" s="247">
        <v>0.63516161380402814</v>
      </c>
      <c r="CO155" s="247">
        <v>0.64245209002088099</v>
      </c>
      <c r="CP155" s="247">
        <v>0.64847207001032725</v>
      </c>
      <c r="CQ155" s="247">
        <v>0.65294282818856608</v>
      </c>
      <c r="CR155" s="247">
        <v>0.65584768037031527</v>
      </c>
      <c r="CS155" s="247">
        <v>0.65719790427418712</v>
      </c>
      <c r="CT155" s="247">
        <v>0.65701894176977849</v>
      </c>
      <c r="CU155" s="247">
        <v>0.65554508502271069</v>
      </c>
      <c r="CV155" s="247">
        <v>0.65322842176051665</v>
      </c>
      <c r="CW155" s="247">
        <v>0.65028925679898464</v>
      </c>
      <c r="CX155" s="247">
        <v>0.64683553208764621</v>
      </c>
      <c r="CY155" s="247">
        <v>0.64291491667537759</v>
      </c>
    </row>
    <row r="156" spans="1:103">
      <c r="A156" s="230"/>
      <c r="B156" s="229"/>
      <c r="C156" s="230" t="s">
        <v>423</v>
      </c>
      <c r="D156" s="229"/>
      <c r="E156" s="203"/>
      <c r="F156" s="232"/>
      <c r="G156" s="232" t="s">
        <v>736</v>
      </c>
      <c r="H156" s="203"/>
      <c r="I156" s="232"/>
      <c r="J156" s="232"/>
      <c r="K156" s="232"/>
      <c r="L156" s="230"/>
      <c r="M156" s="230"/>
      <c r="N156" s="230"/>
      <c r="O156" s="230"/>
      <c r="P156" s="230"/>
      <c r="Q156" s="230"/>
      <c r="R156" s="230"/>
      <c r="S156" s="230"/>
      <c r="T156" s="247"/>
      <c r="U156" s="247"/>
      <c r="V156" s="247"/>
      <c r="W156" s="247"/>
      <c r="X156" s="247"/>
      <c r="Y156" s="247"/>
      <c r="Z156" s="247"/>
      <c r="AA156" s="247"/>
      <c r="AB156" s="247"/>
      <c r="AC156" s="247"/>
      <c r="AD156" s="247"/>
      <c r="AE156" s="247"/>
      <c r="AF156" s="642" t="e">
        <f t="shared" ref="AF156:AQ157" si="71">AF208+AF260</f>
        <v>#N/A</v>
      </c>
      <c r="AG156" s="642" t="e">
        <f t="shared" si="71"/>
        <v>#N/A</v>
      </c>
      <c r="AH156" s="642" t="e">
        <f t="shared" si="71"/>
        <v>#N/A</v>
      </c>
      <c r="AI156" s="642" t="e">
        <f t="shared" si="71"/>
        <v>#N/A</v>
      </c>
      <c r="AJ156" s="642" t="e">
        <f t="shared" si="71"/>
        <v>#N/A</v>
      </c>
      <c r="AK156" s="642" t="e">
        <f t="shared" si="71"/>
        <v>#N/A</v>
      </c>
      <c r="AL156" s="642" t="e">
        <f t="shared" si="71"/>
        <v>#N/A</v>
      </c>
      <c r="AM156" s="642" t="e">
        <f t="shared" si="71"/>
        <v>#N/A</v>
      </c>
      <c r="AN156" s="642" t="e">
        <f t="shared" si="71"/>
        <v>#N/A</v>
      </c>
      <c r="AO156" s="642" t="e">
        <f t="shared" si="71"/>
        <v>#N/A</v>
      </c>
      <c r="AP156" s="642" t="e">
        <f t="shared" si="71"/>
        <v>#N/A</v>
      </c>
      <c r="AQ156" s="642" t="e">
        <f t="shared" si="71"/>
        <v>#N/A</v>
      </c>
      <c r="AR156" s="642">
        <v>4.5144017476007132</v>
      </c>
      <c r="AS156" s="642">
        <v>5.1969096599611131</v>
      </c>
      <c r="AT156" s="642">
        <v>5.8528586367569826</v>
      </c>
      <c r="AU156" s="642">
        <v>6.4472319570139529</v>
      </c>
      <c r="AV156" s="642">
        <v>6.8758936017968573</v>
      </c>
      <c r="AW156" s="642">
        <v>7.1921426997405096</v>
      </c>
      <c r="AX156" s="642">
        <v>7.5047276499336508</v>
      </c>
      <c r="AY156" s="642">
        <v>7.8552448887498496</v>
      </c>
      <c r="AZ156" s="642">
        <v>8.2781492528592615</v>
      </c>
      <c r="BA156" s="642">
        <v>8.7038138426216793</v>
      </c>
      <c r="BB156" s="642">
        <v>8.594279211199737</v>
      </c>
      <c r="BC156" s="642">
        <v>8.6490938777349164</v>
      </c>
      <c r="BD156" s="642">
        <v>8.7782432596597015</v>
      </c>
      <c r="BE156" s="642">
        <v>8.98845183256784</v>
      </c>
      <c r="BF156" s="642">
        <v>9.8252643920784486</v>
      </c>
      <c r="BG156" s="642">
        <v>10.625331869595705</v>
      </c>
      <c r="BH156" s="642">
        <v>11.446809403837698</v>
      </c>
      <c r="BI156" s="642">
        <v>12.283388608761779</v>
      </c>
      <c r="BJ156" s="642">
        <v>13.129476771086061</v>
      </c>
      <c r="BK156" s="642">
        <v>14.051957181732092</v>
      </c>
      <c r="BL156" s="642">
        <v>14.990397490627938</v>
      </c>
      <c r="BM156" s="642">
        <v>15.948518487051416</v>
      </c>
      <c r="BN156" s="642">
        <v>16.929194957208487</v>
      </c>
      <c r="BO156" s="642">
        <v>17.938251451498267</v>
      </c>
      <c r="BP156" s="642">
        <v>18.978050418867149</v>
      </c>
      <c r="BQ156" s="642">
        <v>20.049685998517973</v>
      </c>
      <c r="BR156" s="642">
        <v>21.153574791878057</v>
      </c>
      <c r="BS156" s="642">
        <v>22.289756051402115</v>
      </c>
      <c r="BT156" s="642">
        <v>23.458573661686884</v>
      </c>
      <c r="BU156" s="642">
        <v>24.660073154072272</v>
      </c>
      <c r="BV156" s="642">
        <v>25.894181982370814</v>
      </c>
      <c r="BW156" s="642">
        <v>27.160791228672995</v>
      </c>
      <c r="BX156" s="642">
        <v>28.459817500506219</v>
      </c>
      <c r="BY156" s="642">
        <v>29.791207664761416</v>
      </c>
      <c r="BZ156" s="642">
        <v>31.154931775148828</v>
      </c>
      <c r="CA156" s="642">
        <v>32.550974518873161</v>
      </c>
      <c r="CB156" s="642">
        <v>33.979328166551852</v>
      </c>
      <c r="CC156" s="642">
        <v>35.439991298845868</v>
      </c>
      <c r="CD156" s="642">
        <v>36.932965935457275</v>
      </c>
      <c r="CE156" s="642">
        <v>38.458255239481979</v>
      </c>
      <c r="CF156" s="642">
        <v>40.015862117542817</v>
      </c>
      <c r="CG156" s="642">
        <v>41.605788721731329</v>
      </c>
      <c r="CH156" s="642">
        <v>43.228036431033004</v>
      </c>
      <c r="CI156" s="642">
        <v>44.882606016565788</v>
      </c>
      <c r="CJ156" s="642">
        <v>46.56949783362262</v>
      </c>
      <c r="CK156" s="642">
        <v>48.288711974186242</v>
      </c>
      <c r="CL156" s="642">
        <v>50.040248389860878</v>
      </c>
      <c r="CM156" s="642">
        <v>51.824106978377088</v>
      </c>
      <c r="CN156" s="642">
        <v>53.640287634807621</v>
      </c>
      <c r="CO156" s="642">
        <v>55.488790274865011</v>
      </c>
      <c r="CP156" s="642">
        <v>57.369614840694126</v>
      </c>
      <c r="CQ156" s="642">
        <v>59.28276129789279</v>
      </c>
      <c r="CR156" s="642">
        <v>61.227393336849687</v>
      </c>
      <c r="CS156" s="642">
        <v>63.20227323876248</v>
      </c>
      <c r="CT156" s="642">
        <v>65.205975292494841</v>
      </c>
      <c r="CU156" s="642">
        <v>67.236991669032633</v>
      </c>
      <c r="CV156" s="642">
        <v>69.294621358395418</v>
      </c>
      <c r="CW156" s="642">
        <v>71.378561452572427</v>
      </c>
      <c r="CX156" s="642">
        <v>73.488706635105018</v>
      </c>
      <c r="CY156" s="642">
        <v>75.625049595012428</v>
      </c>
    </row>
    <row r="157" spans="1:103">
      <c r="A157" s="230"/>
      <c r="B157" s="229"/>
      <c r="C157" s="230" t="s">
        <v>810</v>
      </c>
      <c r="D157" s="229"/>
      <c r="E157" s="203"/>
      <c r="F157" s="232"/>
      <c r="G157" s="232" t="s">
        <v>736</v>
      </c>
      <c r="H157" s="203"/>
      <c r="I157" s="232"/>
      <c r="J157" s="232"/>
      <c r="K157" s="232"/>
      <c r="L157" s="230"/>
      <c r="M157" s="230"/>
      <c r="N157" s="230"/>
      <c r="O157" s="230"/>
      <c r="P157" s="230"/>
      <c r="Q157" s="230"/>
      <c r="R157" s="230"/>
      <c r="S157" s="230"/>
      <c r="T157" s="247"/>
      <c r="U157" s="247"/>
      <c r="V157" s="247"/>
      <c r="W157" s="247"/>
      <c r="X157" s="247"/>
      <c r="Y157" s="247"/>
      <c r="Z157" s="247"/>
      <c r="AA157" s="247"/>
      <c r="AB157" s="247"/>
      <c r="AC157" s="247"/>
      <c r="AD157" s="247"/>
      <c r="AE157" s="247"/>
      <c r="AF157" s="642" t="e">
        <f t="shared" si="71"/>
        <v>#N/A</v>
      </c>
      <c r="AG157" s="642" t="e">
        <f t="shared" si="71"/>
        <v>#N/A</v>
      </c>
      <c r="AH157" s="642" t="e">
        <f t="shared" si="71"/>
        <v>#N/A</v>
      </c>
      <c r="AI157" s="642" t="e">
        <f t="shared" si="71"/>
        <v>#N/A</v>
      </c>
      <c r="AJ157" s="642" t="e">
        <f t="shared" si="71"/>
        <v>#N/A</v>
      </c>
      <c r="AK157" s="642" t="e">
        <f t="shared" si="71"/>
        <v>#N/A</v>
      </c>
      <c r="AL157" s="642" t="e">
        <f t="shared" si="71"/>
        <v>#N/A</v>
      </c>
      <c r="AM157" s="642" t="e">
        <f t="shared" si="71"/>
        <v>#N/A</v>
      </c>
      <c r="AN157" s="642" t="e">
        <f t="shared" si="71"/>
        <v>#N/A</v>
      </c>
      <c r="AO157" s="642" t="e">
        <f t="shared" si="71"/>
        <v>#N/A</v>
      </c>
      <c r="AP157" s="642" t="e">
        <f t="shared" si="71"/>
        <v>#N/A</v>
      </c>
      <c r="AQ157" s="642" t="e">
        <f t="shared" si="71"/>
        <v>#N/A</v>
      </c>
      <c r="AR157" s="642">
        <v>10.186209706414239</v>
      </c>
      <c r="AS157" s="642">
        <v>11.071631392625655</v>
      </c>
      <c r="AT157" s="642">
        <v>11.945799264858218</v>
      </c>
      <c r="AU157" s="642">
        <v>12.903065337850098</v>
      </c>
      <c r="AV157" s="642">
        <v>13.774430672508675</v>
      </c>
      <c r="AW157" s="642">
        <v>14.430014802033012</v>
      </c>
      <c r="AX157" s="642">
        <v>15.087906013978099</v>
      </c>
      <c r="AY157" s="642">
        <v>15.174365110167486</v>
      </c>
      <c r="AZ157" s="642">
        <v>15.563039393237563</v>
      </c>
      <c r="BA157" s="642">
        <v>16.06097727302722</v>
      </c>
      <c r="BB157" s="642">
        <v>16.649529910457769</v>
      </c>
      <c r="BC157" s="642">
        <v>17.434366342772911</v>
      </c>
      <c r="BD157" s="642">
        <v>18.328797883043233</v>
      </c>
      <c r="BE157" s="642">
        <v>19.241271471622383</v>
      </c>
      <c r="BF157" s="642">
        <v>20.789674908467823</v>
      </c>
      <c r="BG157" s="642">
        <v>22.378036266144129</v>
      </c>
      <c r="BH157" s="642">
        <v>23.999496510090019</v>
      </c>
      <c r="BI157" s="642">
        <v>25.650926765628789</v>
      </c>
      <c r="BJ157" s="642">
        <v>27.329567192668996</v>
      </c>
      <c r="BK157" s="642">
        <v>29.108135066549444</v>
      </c>
      <c r="BL157" s="642">
        <v>30.929106488348374</v>
      </c>
      <c r="BM157" s="642">
        <v>32.796944193232477</v>
      </c>
      <c r="BN157" s="642">
        <v>34.714925363615755</v>
      </c>
      <c r="BO157" s="642">
        <v>36.688939321877129</v>
      </c>
      <c r="BP157" s="642">
        <v>38.721741058739447</v>
      </c>
      <c r="BQ157" s="642">
        <v>40.814496318166164</v>
      </c>
      <c r="BR157" s="642">
        <v>42.967560138667324</v>
      </c>
      <c r="BS157" s="642">
        <v>45.180866067093966</v>
      </c>
      <c r="BT157" s="642">
        <v>47.454674034833374</v>
      </c>
      <c r="BU157" s="642">
        <v>49.788978030241339</v>
      </c>
      <c r="BV157" s="642">
        <v>52.183675593715257</v>
      </c>
      <c r="BW157" s="642">
        <v>54.638641666037564</v>
      </c>
      <c r="BX157" s="642">
        <v>57.153784068038696</v>
      </c>
      <c r="BY157" s="642">
        <v>59.729047441325456</v>
      </c>
      <c r="BZ157" s="642">
        <v>62.364403372266153</v>
      </c>
      <c r="CA157" s="642">
        <v>65.059839463974555</v>
      </c>
      <c r="CB157" s="642">
        <v>67.815350789389697</v>
      </c>
      <c r="CC157" s="642">
        <v>70.630938043783459</v>
      </c>
      <c r="CD157" s="642">
        <v>73.506604633214295</v>
      </c>
      <c r="CE157" s="642">
        <v>76.442354521490628</v>
      </c>
      <c r="CF157" s="642">
        <v>79.438191004767816</v>
      </c>
      <c r="CG157" s="642">
        <v>82.494116355673611</v>
      </c>
      <c r="CH157" s="642">
        <v>85.610131924476633</v>
      </c>
      <c r="CI157" s="642">
        <v>88.786238391655544</v>
      </c>
      <c r="CJ157" s="642">
        <v>92.022436013368051</v>
      </c>
      <c r="CK157" s="642">
        <v>95.318724799431678</v>
      </c>
      <c r="CL157" s="642">
        <v>98.675104643625289</v>
      </c>
      <c r="CM157" s="642">
        <v>102.09157540833252</v>
      </c>
      <c r="CN157" s="642">
        <v>105.56813697041383</v>
      </c>
      <c r="CO157" s="642">
        <v>109.10364923875905</v>
      </c>
      <c r="CP157" s="642">
        <v>112.6966757552137</v>
      </c>
      <c r="CQ157" s="642">
        <v>116.34568866007386</v>
      </c>
      <c r="CR157" s="642">
        <v>120.04913433641863</v>
      </c>
      <c r="CS157" s="642">
        <v>123.80545767721034</v>
      </c>
      <c r="CT157" s="642">
        <v>127.61311416185906</v>
      </c>
      <c r="CU157" s="642">
        <v>131.47057574110406</v>
      </c>
      <c r="CV157" s="642">
        <v>135.37716990995935</v>
      </c>
      <c r="CW157" s="642">
        <v>139.33264606523042</v>
      </c>
      <c r="CX157" s="642">
        <v>143.33695417754481</v>
      </c>
      <c r="CY157" s="642">
        <v>147.39013279751737</v>
      </c>
    </row>
    <row r="158" spans="1:103">
      <c r="A158" s="230"/>
      <c r="B158" s="229" t="s">
        <v>811</v>
      </c>
      <c r="C158" s="229"/>
      <c r="D158" s="229"/>
      <c r="E158" s="203"/>
      <c r="F158" s="232"/>
      <c r="G158" s="232" t="s">
        <v>812</v>
      </c>
      <c r="H158" s="203"/>
      <c r="I158" s="232"/>
      <c r="J158" s="232"/>
      <c r="K158" s="232"/>
      <c r="L158" s="230"/>
      <c r="M158" s="230"/>
      <c r="N158" s="230"/>
      <c r="O158" s="230"/>
      <c r="P158" s="230"/>
      <c r="Q158" s="230"/>
      <c r="R158" s="230"/>
      <c r="S158" s="230"/>
      <c r="T158" s="247"/>
      <c r="U158" s="247"/>
      <c r="V158" s="247"/>
      <c r="W158" s="247"/>
      <c r="X158" s="247"/>
      <c r="Y158" s="247"/>
      <c r="Z158" s="247"/>
      <c r="AA158" s="247"/>
      <c r="AB158" s="247"/>
      <c r="AC158" s="247"/>
      <c r="AD158" s="247"/>
      <c r="AE158" s="247"/>
      <c r="AF158" s="643" t="e">
        <f>AF156/AF$112</f>
        <v>#N/A</v>
      </c>
      <c r="AG158" s="643" t="e">
        <f t="shared" ref="AG158:AQ159" si="72">AG156/AG$112</f>
        <v>#N/A</v>
      </c>
      <c r="AH158" s="643" t="e">
        <f t="shared" si="72"/>
        <v>#N/A</v>
      </c>
      <c r="AI158" s="643" t="e">
        <f t="shared" si="72"/>
        <v>#N/A</v>
      </c>
      <c r="AJ158" s="643" t="e">
        <f t="shared" si="72"/>
        <v>#N/A</v>
      </c>
      <c r="AK158" s="643" t="e">
        <f t="shared" si="72"/>
        <v>#N/A</v>
      </c>
      <c r="AL158" s="643" t="e">
        <f t="shared" si="72"/>
        <v>#N/A</v>
      </c>
      <c r="AM158" s="643" t="e">
        <f t="shared" si="72"/>
        <v>#N/A</v>
      </c>
      <c r="AN158" s="643" t="e">
        <f t="shared" si="72"/>
        <v>#N/A</v>
      </c>
      <c r="AO158" s="643" t="e">
        <f t="shared" si="72"/>
        <v>#N/A</v>
      </c>
      <c r="AP158" s="643" t="e">
        <f t="shared" si="72"/>
        <v>#N/A</v>
      </c>
      <c r="AQ158" s="643" t="e">
        <f t="shared" si="72"/>
        <v>#N/A</v>
      </c>
      <c r="AR158" s="643">
        <v>5.4889548974356439E-2</v>
      </c>
      <c r="AS158" s="643">
        <v>5.719117591651493E-2</v>
      </c>
      <c r="AT158" s="643">
        <v>5.8452220538771665E-2</v>
      </c>
      <c r="AU158" s="643">
        <v>5.8511574299924651E-2</v>
      </c>
      <c r="AV158" s="643">
        <v>5.6896176558110037E-2</v>
      </c>
      <c r="AW158" s="643">
        <v>5.4412221383162922E-2</v>
      </c>
      <c r="AX158" s="643">
        <v>5.1994700591377188E-2</v>
      </c>
      <c r="AY158" s="643">
        <v>4.9891345762129675E-2</v>
      </c>
      <c r="AZ158" s="643">
        <v>4.8304519929914629E-2</v>
      </c>
      <c r="BA158" s="643">
        <v>4.6782792361416844E-2</v>
      </c>
      <c r="BB158" s="643">
        <v>4.2649906935391009E-2</v>
      </c>
      <c r="BC158" s="643">
        <v>3.969549499542243E-2</v>
      </c>
      <c r="BD158" s="643">
        <v>3.7493772298825112E-2</v>
      </c>
      <c r="BE158" s="643">
        <v>3.5866896365402162E-2</v>
      </c>
      <c r="BF158" s="643">
        <v>3.6653869266176406E-2</v>
      </c>
      <c r="BG158" s="643">
        <v>3.7189989040207601E-2</v>
      </c>
      <c r="BH158" s="643">
        <v>3.7683946090878266E-2</v>
      </c>
      <c r="BI158" s="643">
        <v>3.8109413013552654E-2</v>
      </c>
      <c r="BJ158" s="643">
        <v>3.8453684811119347E-2</v>
      </c>
      <c r="BK158" s="643">
        <v>3.8902521261127074E-2</v>
      </c>
      <c r="BL158" s="643">
        <v>3.9287291436418924E-2</v>
      </c>
      <c r="BM158" s="643">
        <v>3.9623103606620393E-2</v>
      </c>
      <c r="BN158" s="643">
        <v>3.9921670455539807E-2</v>
      </c>
      <c r="BO158" s="643">
        <v>4.0199561727070759E-2</v>
      </c>
      <c r="BP158" s="643">
        <v>4.0463606386816453E-2</v>
      </c>
      <c r="BQ158" s="643">
        <v>4.0717062520796245E-2</v>
      </c>
      <c r="BR158" s="643">
        <v>4.0961382716511535E-2</v>
      </c>
      <c r="BS158" s="643">
        <v>4.1197109284854719E-2</v>
      </c>
      <c r="BT158" s="643">
        <v>4.1425222063669449E-2</v>
      </c>
      <c r="BU158" s="643">
        <v>4.1646090554706479E-2</v>
      </c>
      <c r="BV158" s="643">
        <v>4.1859869603189576E-2</v>
      </c>
      <c r="BW158" s="643">
        <v>4.2066665622155275E-2</v>
      </c>
      <c r="BX158" s="643">
        <v>4.2266637172077272E-2</v>
      </c>
      <c r="BY158" s="643">
        <v>4.2459993305458917E-2</v>
      </c>
      <c r="BZ158" s="643">
        <v>4.2646974796195586E-2</v>
      </c>
      <c r="CA158" s="643">
        <v>4.2827836180044168E-2</v>
      </c>
      <c r="CB158" s="643">
        <v>4.3002832779186137E-2</v>
      </c>
      <c r="CC158" s="643">
        <v>4.3172216979977057E-2</v>
      </c>
      <c r="CD158" s="643">
        <v>4.3336233572264467E-2</v>
      </c>
      <c r="CE158" s="643">
        <v>4.3495116748785125E-2</v>
      </c>
      <c r="CF158" s="643">
        <v>4.3649088772758443E-2</v>
      </c>
      <c r="CG158" s="643">
        <v>4.3798359965779014E-2</v>
      </c>
      <c r="CH158" s="643">
        <v>4.3943129308800705E-2</v>
      </c>
      <c r="CI158" s="643">
        <v>4.4083585227518172E-2</v>
      </c>
      <c r="CJ158" s="643">
        <v>4.4219906360288719E-2</v>
      </c>
      <c r="CK158" s="643">
        <v>4.4352262237478554E-2</v>
      </c>
      <c r="CL158" s="643">
        <v>4.4480813886861405E-2</v>
      </c>
      <c r="CM158" s="643">
        <v>4.4605714366171632E-2</v>
      </c>
      <c r="CN158" s="643">
        <v>4.4729235147899414E-2</v>
      </c>
      <c r="CO158" s="643">
        <v>4.4852368625526724E-2</v>
      </c>
      <c r="CP158" s="643">
        <v>4.4975499595712475E-2</v>
      </c>
      <c r="CQ158" s="643">
        <v>4.5098729075692637E-2</v>
      </c>
      <c r="CR158" s="643">
        <v>4.5221412266248512E-2</v>
      </c>
      <c r="CS158" s="643">
        <v>4.5342633384184407E-2</v>
      </c>
      <c r="CT158" s="643">
        <v>4.546142235710568E-2</v>
      </c>
      <c r="CU158" s="643">
        <v>4.5576850597425993E-2</v>
      </c>
      <c r="CV158" s="643">
        <v>4.5688595962202823E-2</v>
      </c>
      <c r="CW158" s="643">
        <v>4.5796629876948769E-2</v>
      </c>
      <c r="CX158" s="643">
        <v>4.5901061661656112E-2</v>
      </c>
      <c r="CY158" s="643">
        <v>4.6002060742707754E-2</v>
      </c>
    </row>
    <row r="159" spans="1:103">
      <c r="A159" s="230"/>
      <c r="B159" s="229" t="s">
        <v>813</v>
      </c>
      <c r="C159" s="229"/>
      <c r="D159" s="229"/>
      <c r="E159" s="229"/>
      <c r="F159" s="203"/>
      <c r="G159" s="232" t="s">
        <v>812</v>
      </c>
      <c r="H159" s="203"/>
      <c r="I159" s="232"/>
      <c r="J159" s="232"/>
      <c r="K159" s="232"/>
      <c r="L159" s="230"/>
      <c r="M159" s="230"/>
      <c r="N159" s="230"/>
      <c r="O159" s="230"/>
      <c r="P159" s="230"/>
      <c r="Q159" s="230"/>
      <c r="R159" s="230"/>
      <c r="S159" s="230"/>
      <c r="T159" s="247"/>
      <c r="U159" s="247"/>
      <c r="V159" s="247"/>
      <c r="W159" s="247"/>
      <c r="X159" s="247"/>
      <c r="Y159" s="247"/>
      <c r="Z159" s="247"/>
      <c r="AA159" s="247"/>
      <c r="AB159" s="247"/>
      <c r="AC159" s="247"/>
      <c r="AD159" s="247"/>
      <c r="AE159" s="247"/>
      <c r="AF159" s="643" t="e">
        <f>AF157/AF$112</f>
        <v>#N/A</v>
      </c>
      <c r="AG159" s="643" t="e">
        <f t="shared" si="72"/>
        <v>#N/A</v>
      </c>
      <c r="AH159" s="643" t="e">
        <f t="shared" si="72"/>
        <v>#N/A</v>
      </c>
      <c r="AI159" s="643" t="e">
        <f t="shared" si="72"/>
        <v>#N/A</v>
      </c>
      <c r="AJ159" s="643" t="e">
        <f t="shared" si="72"/>
        <v>#N/A</v>
      </c>
      <c r="AK159" s="643" t="e">
        <f t="shared" si="72"/>
        <v>#N/A</v>
      </c>
      <c r="AL159" s="643" t="e">
        <f t="shared" si="72"/>
        <v>#N/A</v>
      </c>
      <c r="AM159" s="643" t="e">
        <f t="shared" si="72"/>
        <v>#N/A</v>
      </c>
      <c r="AN159" s="643" t="e">
        <f t="shared" si="72"/>
        <v>#N/A</v>
      </c>
      <c r="AO159" s="643" t="e">
        <f t="shared" si="72"/>
        <v>#N/A</v>
      </c>
      <c r="AP159" s="643" t="e">
        <f t="shared" si="72"/>
        <v>#N/A</v>
      </c>
      <c r="AQ159" s="643" t="e">
        <f t="shared" si="72"/>
        <v>#N/A</v>
      </c>
      <c r="AR159" s="643">
        <v>0.12385172782649331</v>
      </c>
      <c r="AS159" s="643">
        <v>0.12184156741012139</v>
      </c>
      <c r="AT159" s="643">
        <v>0.1193021284943058</v>
      </c>
      <c r="AU159" s="643">
        <v>0.11710121044909141</v>
      </c>
      <c r="AV159" s="643">
        <v>0.11397972175219447</v>
      </c>
      <c r="AW159" s="643">
        <v>0.1091704089796309</v>
      </c>
      <c r="AX159" s="643">
        <v>0.10453292808761237</v>
      </c>
      <c r="AY159" s="643">
        <v>9.6377580477016736E-2</v>
      </c>
      <c r="AZ159" s="643">
        <v>9.0813190675564551E-2</v>
      </c>
      <c r="BA159" s="643">
        <v>8.6327370790727373E-2</v>
      </c>
      <c r="BB159" s="643">
        <v>8.2624834933644739E-2</v>
      </c>
      <c r="BC159" s="643">
        <v>8.0015989153437925E-2</v>
      </c>
      <c r="BD159" s="643">
        <v>7.8286253184176563E-2</v>
      </c>
      <c r="BE159" s="643">
        <v>7.6779038555974871E-2</v>
      </c>
      <c r="BF159" s="643">
        <v>7.7557406678609345E-2</v>
      </c>
      <c r="BG159" s="643">
        <v>7.8325922775241766E-2</v>
      </c>
      <c r="BH159" s="643">
        <v>7.9008542973664123E-2</v>
      </c>
      <c r="BI159" s="643">
        <v>7.958241763958003E-2</v>
      </c>
      <c r="BJ159" s="643">
        <v>8.0042988854328104E-2</v>
      </c>
      <c r="BK159" s="643">
        <v>8.0585204513028363E-2</v>
      </c>
      <c r="BL159" s="643">
        <v>8.1059946624862808E-2</v>
      </c>
      <c r="BM159" s="643">
        <v>8.148197080525528E-2</v>
      </c>
      <c r="BN159" s="643">
        <v>8.1863184502156072E-2</v>
      </c>
      <c r="BO159" s="643">
        <v>8.221979076156645E-2</v>
      </c>
      <c r="BP159" s="643">
        <v>8.2559654665865845E-2</v>
      </c>
      <c r="BQ159" s="643">
        <v>8.2886405226716267E-2</v>
      </c>
      <c r="BR159" s="643">
        <v>8.3201571958912396E-2</v>
      </c>
      <c r="BS159" s="643">
        <v>8.3505672859679858E-2</v>
      </c>
      <c r="BT159" s="643">
        <v>8.3799656287826527E-2</v>
      </c>
      <c r="BU159" s="643">
        <v>8.4083947144792212E-2</v>
      </c>
      <c r="BV159" s="643">
        <v>8.4358789833764339E-2</v>
      </c>
      <c r="BW159" s="643">
        <v>8.4624392922233005E-2</v>
      </c>
      <c r="BX159" s="643">
        <v>8.4881017039974818E-2</v>
      </c>
      <c r="BY159" s="643">
        <v>8.5128974395352941E-2</v>
      </c>
      <c r="BZ159" s="643">
        <v>8.5368607384283202E-2</v>
      </c>
      <c r="CA159" s="643">
        <v>8.5600268122465184E-2</v>
      </c>
      <c r="CB159" s="643">
        <v>8.5824303987523748E-2</v>
      </c>
      <c r="CC159" s="643">
        <v>8.604105336856667E-2</v>
      </c>
      <c r="CD159" s="643">
        <v>8.6250841404287334E-2</v>
      </c>
      <c r="CE159" s="643">
        <v>8.6453977533824347E-2</v>
      </c>
      <c r="CF159" s="643">
        <v>8.665075466646896E-2</v>
      </c>
      <c r="CG159" s="643">
        <v>8.6841449572556018E-2</v>
      </c>
      <c r="CH159" s="643">
        <v>8.7026323837371328E-2</v>
      </c>
      <c r="CI159" s="643">
        <v>8.7205624952451807E-2</v>
      </c>
      <c r="CJ159" s="643">
        <v>8.7379587344806303E-2</v>
      </c>
      <c r="CK159" s="643">
        <v>8.7548433279943313E-2</v>
      </c>
      <c r="CL159" s="643">
        <v>8.7712373662177837E-2</v>
      </c>
      <c r="CM159" s="643">
        <v>8.7871608742946444E-2</v>
      </c>
      <c r="CN159" s="643">
        <v>8.8030512715057879E-2</v>
      </c>
      <c r="CO159" s="643">
        <v>8.8190012249440661E-2</v>
      </c>
      <c r="CP159" s="643">
        <v>8.8349718033516225E-2</v>
      </c>
      <c r="CQ159" s="643">
        <v>8.8508743134272039E-2</v>
      </c>
      <c r="CR159" s="643">
        <v>8.8666054525076782E-2</v>
      </c>
      <c r="CS159" s="643">
        <v>8.8820626074822884E-2</v>
      </c>
      <c r="CT159" s="643">
        <v>8.8971503841390492E-2</v>
      </c>
      <c r="CU159" s="643">
        <v>8.9117829929170111E-2</v>
      </c>
      <c r="CV159" s="643">
        <v>8.9259349387775314E-2</v>
      </c>
      <c r="CW159" s="643">
        <v>8.9396108464095347E-2</v>
      </c>
      <c r="CX159" s="643">
        <v>8.9528291806329985E-2</v>
      </c>
      <c r="CY159" s="643">
        <v>8.9656137458907839E-2</v>
      </c>
    </row>
    <row r="160" spans="1:103">
      <c r="A160" s="230"/>
      <c r="B160" s="230" t="s">
        <v>814</v>
      </c>
      <c r="C160" s="229"/>
      <c r="D160" s="126"/>
      <c r="E160" s="609"/>
      <c r="F160" s="251"/>
      <c r="G160" s="609" t="s">
        <v>736</v>
      </c>
      <c r="H160" s="203"/>
      <c r="I160" s="232"/>
      <c r="J160" s="232"/>
      <c r="K160" s="232"/>
      <c r="L160" s="230"/>
      <c r="M160" s="230"/>
      <c r="N160" s="230"/>
      <c r="O160" s="230"/>
      <c r="P160" s="230"/>
      <c r="Q160" s="230"/>
      <c r="R160" s="230"/>
      <c r="S160" s="230"/>
      <c r="T160" s="247"/>
      <c r="U160" s="247"/>
      <c r="V160" s="247"/>
      <c r="W160" s="247"/>
      <c r="X160" s="247"/>
      <c r="Y160" s="247"/>
      <c r="Z160" s="247"/>
      <c r="AA160" s="247"/>
      <c r="AB160" s="247"/>
      <c r="AC160" s="247"/>
      <c r="AD160" s="247"/>
      <c r="AE160" s="247"/>
      <c r="AF160" s="610">
        <f>AF141</f>
        <v>-0.23689211299999999</v>
      </c>
      <c r="AG160" s="610">
        <f t="shared" ref="AG160:AQ160" si="73">AF160+AG141</f>
        <v>-0.20529149199999999</v>
      </c>
      <c r="AH160" s="610">
        <f t="shared" si="73"/>
        <v>-0.47801630500000003</v>
      </c>
      <c r="AI160" s="610">
        <f t="shared" si="73"/>
        <v>-0.63241304700000001</v>
      </c>
      <c r="AJ160" s="610">
        <f t="shared" si="73"/>
        <v>-0.82218206100000002</v>
      </c>
      <c r="AK160" s="610">
        <f t="shared" si="73"/>
        <v>-1.1418504519999999</v>
      </c>
      <c r="AL160" s="610">
        <f t="shared" si="73"/>
        <v>-1.5292643849999998</v>
      </c>
      <c r="AM160" s="610">
        <f t="shared" si="73"/>
        <v>-1.8988286179999998</v>
      </c>
      <c r="AN160" s="610">
        <f t="shared" si="73"/>
        <v>-2.4112109479999999</v>
      </c>
      <c r="AO160" s="267">
        <f t="shared" si="73"/>
        <v>-10.377246229702887</v>
      </c>
      <c r="AP160" s="267">
        <f t="shared" si="73"/>
        <v>-19.829016208876659</v>
      </c>
      <c r="AQ160" s="267">
        <f t="shared" si="73"/>
        <v>-30.681212910231288</v>
      </c>
      <c r="AR160" s="267">
        <v>-2.6393241221134618</v>
      </c>
      <c r="AS160" s="267">
        <v>-4.000272278683572</v>
      </c>
      <c r="AT160" s="267">
        <v>-5.5114632020203569</v>
      </c>
      <c r="AU160" s="267">
        <v>-7.1450075369260668</v>
      </c>
      <c r="AV160" s="267">
        <v>-9.0129964260499325</v>
      </c>
      <c r="AW160" s="267">
        <v>-11.09660193755821</v>
      </c>
      <c r="AX160" s="267">
        <v>-13.294202553963004</v>
      </c>
      <c r="AY160" s="267">
        <v>-15.488309874605736</v>
      </c>
      <c r="AZ160" s="267">
        <v>-17.809886889986217</v>
      </c>
      <c r="BA160" s="267">
        <v>-20.294567488000418</v>
      </c>
      <c r="BB160" s="267">
        <v>-22.816410221296263</v>
      </c>
      <c r="BC160" s="267">
        <v>-25.455918795901752</v>
      </c>
      <c r="BD160" s="267">
        <v>-2.8072200351702108</v>
      </c>
      <c r="BE160" s="267">
        <v>-5.5990287914925867</v>
      </c>
      <c r="BF160" s="267">
        <v>-8.2872011200918294</v>
      </c>
      <c r="BG160" s="267">
        <v>-11.201107299238082</v>
      </c>
      <c r="BH160" s="267">
        <v>-14.361698148383486</v>
      </c>
      <c r="BI160" s="267">
        <v>-17.779907119346962</v>
      </c>
      <c r="BJ160" s="267">
        <v>-21.441208316155784</v>
      </c>
      <c r="BK160" s="267">
        <v>-25.332955750814829</v>
      </c>
      <c r="BL160" s="267">
        <v>-29.494896940914671</v>
      </c>
      <c r="BM160" s="267">
        <v>-33.932444037723513</v>
      </c>
      <c r="BN160" s="267">
        <v>-38.651105289216375</v>
      </c>
      <c r="BO160" s="267">
        <v>-43.656053135401585</v>
      </c>
      <c r="BP160" s="267">
        <v>-5.2986147151607224</v>
      </c>
      <c r="BQ160" s="267">
        <v>-10.899448985823092</v>
      </c>
      <c r="BR160" s="267">
        <v>-16.811648055763474</v>
      </c>
      <c r="BS160" s="267">
        <v>-23.044475001826893</v>
      </c>
      <c r="BT160" s="267">
        <v>-29.607091165019852</v>
      </c>
      <c r="BU160" s="267">
        <v>-36.508833162566233</v>
      </c>
      <c r="BV160" s="267">
        <v>-43.759094145121963</v>
      </c>
      <c r="BW160" s="267">
        <v>-51.367266595711499</v>
      </c>
      <c r="BX160" s="267">
        <v>-59.342711860152377</v>
      </c>
      <c r="BY160" s="267">
        <v>-67.694761606728719</v>
      </c>
      <c r="BZ160" s="267">
        <v>-76.43272727619204</v>
      </c>
      <c r="CA160" s="267">
        <v>-85.565909171083703</v>
      </c>
      <c r="CB160" s="267">
        <v>-9.5376926749322983</v>
      </c>
      <c r="CC160" s="267">
        <v>-19.489186878179964</v>
      </c>
      <c r="CD160" s="267">
        <v>-29.863771824547385</v>
      </c>
      <c r="CE160" s="267">
        <v>-40.670736734738483</v>
      </c>
      <c r="CF160" s="267">
        <v>-51.919371585563844</v>
      </c>
      <c r="CG160" s="267">
        <v>-63.618967245111662</v>
      </c>
      <c r="CH160" s="267">
        <v>-75.778815316328703</v>
      </c>
      <c r="CI160" s="267">
        <v>-88.408207907599234</v>
      </c>
      <c r="CJ160" s="267">
        <v>-101.51643743535014</v>
      </c>
      <c r="CK160" s="267">
        <v>-115.11279648298958</v>
      </c>
      <c r="CL160" s="267">
        <v>-129.20657770258822</v>
      </c>
      <c r="CM160" s="267">
        <v>-143.80707375488763</v>
      </c>
      <c r="CN160" s="267">
        <v>-15.116011899926251</v>
      </c>
      <c r="CO160" s="267">
        <v>-30.756520895274306</v>
      </c>
      <c r="CP160" s="267">
        <v>-46.930614069839571</v>
      </c>
      <c r="CQ160" s="267">
        <v>-63.647434682905697</v>
      </c>
      <c r="CR160" s="267">
        <v>-80.91601096436662</v>
      </c>
      <c r="CS160" s="267">
        <v>-98.745317168515015</v>
      </c>
      <c r="CT160" s="267">
        <v>-117.1443034065346</v>
      </c>
      <c r="CU160" s="267">
        <v>-136.12162188983282</v>
      </c>
      <c r="CV160" s="267">
        <v>-155.68531062812758</v>
      </c>
      <c r="CW160" s="267">
        <v>-175.84311337718322</v>
      </c>
      <c r="CX160" s="267">
        <v>-196.60263840827812</v>
      </c>
      <c r="CY160" s="267">
        <v>-217.9714380877615</v>
      </c>
    </row>
    <row r="161" spans="1:103">
      <c r="A161" s="230"/>
      <c r="B161" s="230" t="s">
        <v>815</v>
      </c>
      <c r="C161" s="229"/>
      <c r="D161" s="126"/>
      <c r="E161" s="609"/>
      <c r="F161" s="251"/>
      <c r="G161" s="609" t="s">
        <v>812</v>
      </c>
      <c r="H161" s="203"/>
      <c r="I161" s="232"/>
      <c r="J161" s="232"/>
      <c r="K161" s="232"/>
      <c r="L161" s="230"/>
      <c r="M161" s="230"/>
      <c r="N161" s="230"/>
      <c r="O161" s="230"/>
      <c r="P161" s="230"/>
      <c r="Q161" s="230"/>
      <c r="R161" s="230"/>
      <c r="S161" s="230"/>
      <c r="T161" s="247"/>
      <c r="U161" s="247"/>
      <c r="V161" s="247"/>
      <c r="W161" s="247"/>
      <c r="X161" s="247"/>
      <c r="Y161" s="247"/>
      <c r="Z161" s="247"/>
      <c r="AA161" s="247"/>
      <c r="AB161" s="247"/>
      <c r="AC161" s="247"/>
      <c r="AD161" s="247"/>
      <c r="AE161" s="247"/>
      <c r="AF161" s="607">
        <f>AF160/AVERAGE($AE117:AF117)</f>
        <v>-1.9186881862006858E-2</v>
      </c>
      <c r="AG161" s="607">
        <f>AG160/AVERAGE($AE117:AG117)</f>
        <v>-1.5338504112312527E-2</v>
      </c>
      <c r="AH161" s="607">
        <f>AH160/AVERAGE($AE117:AH117)</f>
        <v>-3.1312867860169132E-2</v>
      </c>
      <c r="AI161" s="607">
        <f>AI160/AVERAGE($AE117:AI117)</f>
        <v>-3.6663928752516339E-2</v>
      </c>
      <c r="AJ161" s="607">
        <f>AJ160/AVERAGE($AE117:AJ117)</f>
        <v>-4.3247851488840937E-2</v>
      </c>
      <c r="AK161" s="607">
        <f>AK160/AVERAGE($AE117:AK117)</f>
        <v>-5.458096872228093E-2</v>
      </c>
      <c r="AL161" s="607">
        <f>AL160/AVERAGE($AE117:AL117)</f>
        <v>-6.5936479419127947E-2</v>
      </c>
      <c r="AM161" s="607">
        <f>AM160/AVERAGE($AE117:AM117)</f>
        <v>-7.2561490322846298E-2</v>
      </c>
      <c r="AN161" s="607">
        <f>AN160/AVERAGE($AE117:AN117)</f>
        <v>-8.2741256222213566E-2</v>
      </c>
      <c r="AO161" s="611">
        <f>AO160/AVERAGE($AE117:AO117)</f>
        <v>-0.31798448985744215</v>
      </c>
      <c r="AP161" s="611">
        <f>AP160/AVERAGE($AE117:AP117)</f>
        <v>-0.60280830270374153</v>
      </c>
      <c r="AQ161" s="611">
        <f>AQ160/AVERAGE($AE117:AQ117)</f>
        <v>-0.96428420092383382</v>
      </c>
      <c r="AR161" s="611">
        <v>-3.2641048581885546E-2</v>
      </c>
      <c r="AS161" s="611">
        <v>-4.7511583535969258E-2</v>
      </c>
      <c r="AT161" s="611">
        <v>-6.2502803187792125E-2</v>
      </c>
      <c r="AU161" s="611">
        <v>-7.7175724167958981E-2</v>
      </c>
      <c r="AV161" s="611">
        <v>-9.2638149302900916E-2</v>
      </c>
      <c r="AW161" s="611">
        <v>-0.10849636858435295</v>
      </c>
      <c r="AX161" s="611">
        <v>-0.12362816410198989</v>
      </c>
      <c r="AY161" s="611">
        <v>-0.13696809730186693</v>
      </c>
      <c r="AZ161" s="611">
        <v>-0.14977727196277832</v>
      </c>
      <c r="BA161" s="611">
        <v>-0.16234015779660202</v>
      </c>
      <c r="BB161" s="611">
        <v>-0.17365779376745299</v>
      </c>
      <c r="BC161" s="611">
        <v>-0.18440845761439686</v>
      </c>
      <c r="BD161" s="611">
        <v>-1.2421014309845008E-2</v>
      </c>
      <c r="BE161" s="611">
        <v>-2.3906455253641396E-2</v>
      </c>
      <c r="BF161" s="611">
        <v>-3.4150348793709748E-2</v>
      </c>
      <c r="BG161" s="611">
        <v>-4.4577029702652177E-2</v>
      </c>
      <c r="BH161" s="611">
        <v>-5.5232526663375914E-2</v>
      </c>
      <c r="BI161" s="611">
        <v>-6.6115485149559533E-2</v>
      </c>
      <c r="BJ161" s="611">
        <v>-7.7130464577395905E-2</v>
      </c>
      <c r="BK161" s="611">
        <v>-8.8196454874091126E-2</v>
      </c>
      <c r="BL161" s="611">
        <v>-9.9421297163080624E-2</v>
      </c>
      <c r="BM161" s="611">
        <v>-0.11078622327832988</v>
      </c>
      <c r="BN161" s="611">
        <v>-0.1222741674866531</v>
      </c>
      <c r="BO161" s="611">
        <v>-0.13386835537659386</v>
      </c>
      <c r="BP161" s="611">
        <v>-1.1578567140308823E-2</v>
      </c>
      <c r="BQ161" s="611">
        <v>-2.3228864254666942E-2</v>
      </c>
      <c r="BR161" s="611">
        <v>-3.494986304635906E-2</v>
      </c>
      <c r="BS161" s="611">
        <v>-4.6740723408151455E-2</v>
      </c>
      <c r="BT161" s="611">
        <v>-5.860032236004066E-2</v>
      </c>
      <c r="BU161" s="611">
        <v>-7.0527827025828577E-2</v>
      </c>
      <c r="BV161" s="611">
        <v>-8.252243852709025E-2</v>
      </c>
      <c r="BW161" s="611">
        <v>-9.4583283353731035E-2</v>
      </c>
      <c r="BX161" s="611">
        <v>-0.10670936790695848</v>
      </c>
      <c r="BY161" s="611">
        <v>-0.11889959682292686</v>
      </c>
      <c r="BZ161" s="611">
        <v>-0.13115280386846964</v>
      </c>
      <c r="CA161" s="611">
        <v>-0.14346777893799759</v>
      </c>
      <c r="CB161" s="611">
        <v>-1.2305054110733502E-2</v>
      </c>
      <c r="CC161" s="611">
        <v>-2.4658355178320185E-2</v>
      </c>
      <c r="CD161" s="611">
        <v>-3.7059324896765576E-2</v>
      </c>
      <c r="CE161" s="611">
        <v>-4.9507357245030061E-2</v>
      </c>
      <c r="CF161" s="611">
        <v>-6.2001823472043041E-2</v>
      </c>
      <c r="CG161" s="611">
        <v>-7.4542075876272873E-2</v>
      </c>
      <c r="CH161" s="611">
        <v>-8.7127450888398392E-2</v>
      </c>
      <c r="CI161" s="611">
        <v>-9.9757271781979698E-2</v>
      </c>
      <c r="CJ161" s="611">
        <v>-0.11243085116704891</v>
      </c>
      <c r="CK161" s="611">
        <v>-0.12514749331176486</v>
      </c>
      <c r="CL161" s="611">
        <v>-0.13790649628974319</v>
      </c>
      <c r="CM161" s="611">
        <v>-0.1507071539609213</v>
      </c>
      <c r="CN161" s="611">
        <v>-1.5556001001664602E-2</v>
      </c>
      <c r="CO161" s="611">
        <v>-3.1085689191086983E-2</v>
      </c>
      <c r="CP161" s="611">
        <v>-4.6590680058084512E-2</v>
      </c>
      <c r="CQ161" s="611">
        <v>-6.207279547015894E-2</v>
      </c>
      <c r="CR161" s="611">
        <v>-7.7533828047432682E-2</v>
      </c>
      <c r="CS161" s="611">
        <v>-9.2975555776658378E-2</v>
      </c>
      <c r="CT161" s="611">
        <v>-0.10839973563228464</v>
      </c>
      <c r="CU161" s="611">
        <v>-0.12380782968516089</v>
      </c>
      <c r="CV161" s="611">
        <v>-0.13920072237058237</v>
      </c>
      <c r="CW161" s="611">
        <v>-0.15457903396529096</v>
      </c>
      <c r="CX161" s="611">
        <v>-0.1699432694270519</v>
      </c>
      <c r="CY161" s="611">
        <v>-0.18529388854040396</v>
      </c>
    </row>
    <row r="162" spans="1:103">
      <c r="A162" s="230"/>
      <c r="B162" s="230"/>
      <c r="C162" s="229"/>
      <c r="D162" s="229"/>
      <c r="E162" s="229"/>
      <c r="F162" s="203"/>
      <c r="G162" s="232"/>
      <c r="H162" s="203"/>
      <c r="I162" s="232"/>
      <c r="J162" s="232"/>
      <c r="K162" s="232"/>
      <c r="L162" s="230"/>
      <c r="M162" s="230"/>
      <c r="N162" s="230"/>
      <c r="O162" s="230"/>
      <c r="P162" s="230"/>
      <c r="Q162" s="230"/>
      <c r="R162" s="230"/>
      <c r="S162" s="230"/>
      <c r="T162" s="247"/>
      <c r="U162" s="247"/>
      <c r="V162" s="247"/>
      <c r="W162" s="247"/>
      <c r="X162" s="247"/>
      <c r="Y162" s="247"/>
      <c r="Z162" s="247"/>
      <c r="AA162" s="247"/>
      <c r="AB162" s="247"/>
      <c r="AC162" s="247"/>
      <c r="AD162" s="247"/>
      <c r="AE162" s="644"/>
      <c r="AF162" s="644"/>
      <c r="AG162" s="644"/>
      <c r="AH162" s="644"/>
      <c r="AI162" s="644"/>
      <c r="AJ162" s="644"/>
      <c r="AK162" s="247"/>
      <c r="AL162" s="247"/>
      <c r="AM162" s="247"/>
      <c r="AN162" s="247"/>
      <c r="AO162" s="247"/>
      <c r="AP162" s="247"/>
      <c r="AQ162" s="247"/>
      <c r="AR162" s="247"/>
      <c r="AS162" s="247"/>
      <c r="AT162" s="247"/>
      <c r="AU162" s="247"/>
      <c r="AV162" s="247"/>
      <c r="AW162" s="247"/>
      <c r="AX162" s="247"/>
      <c r="AY162" s="247"/>
      <c r="AZ162" s="247"/>
      <c r="BA162" s="247"/>
      <c r="BB162" s="247"/>
      <c r="BC162" s="247"/>
      <c r="BD162" s="247"/>
      <c r="BE162" s="247"/>
      <c r="BF162" s="247"/>
      <c r="BG162" s="247"/>
      <c r="BH162" s="247"/>
      <c r="BI162" s="247"/>
      <c r="BJ162" s="247"/>
      <c r="BK162" s="247"/>
      <c r="BL162" s="247"/>
      <c r="BM162" s="247"/>
      <c r="BN162" s="247"/>
      <c r="BO162" s="247"/>
      <c r="BP162" s="247"/>
      <c r="BQ162" s="247"/>
      <c r="BR162" s="247"/>
      <c r="BS162" s="247"/>
      <c r="BT162" s="247"/>
      <c r="BU162" s="247"/>
      <c r="BV162" s="247"/>
      <c r="BW162" s="247"/>
      <c r="BX162" s="247"/>
      <c r="BY162" s="247"/>
      <c r="BZ162" s="247"/>
      <c r="CA162" s="247"/>
      <c r="CB162" s="247"/>
      <c r="CC162" s="247"/>
      <c r="CD162" s="247"/>
      <c r="CE162" s="247"/>
      <c r="CF162" s="247"/>
      <c r="CG162" s="247"/>
      <c r="CH162" s="247"/>
      <c r="CI162" s="247"/>
      <c r="CJ162" s="247"/>
      <c r="CK162" s="247"/>
      <c r="CL162" s="247"/>
      <c r="CM162" s="247"/>
      <c r="CN162" s="247"/>
      <c r="CO162" s="247"/>
      <c r="CP162" s="247"/>
      <c r="CQ162" s="247"/>
      <c r="CR162" s="247"/>
      <c r="CS162" s="247"/>
      <c r="CT162" s="247"/>
      <c r="CU162" s="247"/>
      <c r="CV162" s="247"/>
      <c r="CW162" s="247"/>
      <c r="CX162" s="247"/>
      <c r="CY162" s="247"/>
    </row>
    <row r="163" spans="1:103" ht="18">
      <c r="A163" s="229"/>
      <c r="B163" s="585" t="s">
        <v>880</v>
      </c>
      <c r="C163" s="272"/>
      <c r="D163" s="272"/>
      <c r="E163" s="219"/>
      <c r="F163" s="219"/>
      <c r="G163" s="220"/>
      <c r="H163" s="203"/>
      <c r="I163" s="203"/>
      <c r="J163" s="203"/>
      <c r="K163" s="203"/>
      <c r="L163" s="229"/>
      <c r="M163" s="229"/>
      <c r="N163" s="229"/>
      <c r="O163" s="229"/>
      <c r="P163" s="229"/>
      <c r="Q163" s="229"/>
      <c r="R163" s="229"/>
      <c r="S163" s="229"/>
      <c r="T163" s="275"/>
      <c r="U163" s="275"/>
      <c r="V163" s="275"/>
      <c r="W163" s="275"/>
      <c r="X163" s="275"/>
      <c r="Y163" s="275"/>
      <c r="Z163" s="237"/>
      <c r="AA163" s="237"/>
      <c r="AB163" s="237"/>
      <c r="AC163" s="237"/>
      <c r="AD163" s="237"/>
      <c r="AE163" s="237"/>
      <c r="AF163" s="237"/>
      <c r="AG163" s="237"/>
      <c r="AH163" s="237"/>
      <c r="AI163" s="237"/>
      <c r="AJ163" s="237"/>
      <c r="AK163" s="237"/>
      <c r="AL163" s="237"/>
      <c r="AM163" s="237"/>
      <c r="AN163" s="237"/>
      <c r="AO163" s="237"/>
      <c r="AP163" s="237"/>
      <c r="AQ163" s="237"/>
      <c r="AR163" s="237"/>
      <c r="AS163" s="237"/>
      <c r="AT163" s="237"/>
      <c r="AU163" s="237"/>
      <c r="AV163" s="237"/>
      <c r="AW163" s="237"/>
      <c r="AX163" s="237"/>
      <c r="AY163" s="237"/>
      <c r="AZ163" s="237"/>
      <c r="BA163" s="237"/>
      <c r="BB163" s="237"/>
      <c r="BC163" s="237"/>
      <c r="BD163" s="237"/>
      <c r="BE163" s="237"/>
      <c r="BF163" s="237"/>
      <c r="BG163" s="237"/>
      <c r="BH163" s="237"/>
      <c r="BI163" s="237"/>
      <c r="BJ163" s="237"/>
      <c r="BK163" s="237"/>
      <c r="BL163" s="237"/>
      <c r="BM163" s="237"/>
      <c r="BN163" s="237"/>
      <c r="BO163" s="237"/>
      <c r="BP163" s="237"/>
      <c r="BQ163" s="237"/>
      <c r="BR163" s="237"/>
      <c r="BS163" s="237"/>
      <c r="BT163" s="237"/>
      <c r="BU163" s="237"/>
      <c r="BV163" s="237"/>
      <c r="BW163" s="237"/>
      <c r="BX163" s="237"/>
      <c r="BY163" s="237"/>
      <c r="BZ163" s="237"/>
      <c r="CA163" s="237"/>
      <c r="CB163" s="237"/>
      <c r="CC163" s="237"/>
      <c r="CD163" s="237"/>
      <c r="CE163" s="237"/>
      <c r="CF163" s="237"/>
      <c r="CG163" s="237"/>
      <c r="CH163" s="237"/>
      <c r="CI163" s="237"/>
      <c r="CJ163" s="237"/>
      <c r="CK163" s="237"/>
      <c r="CL163" s="237"/>
      <c r="CM163" s="237"/>
      <c r="CN163" s="237"/>
      <c r="CO163" s="237"/>
      <c r="CP163" s="237"/>
      <c r="CQ163" s="237"/>
      <c r="CR163" s="237"/>
      <c r="CS163" s="237"/>
      <c r="CT163" s="237"/>
      <c r="CU163" s="237"/>
      <c r="CV163" s="237"/>
      <c r="CW163" s="237"/>
      <c r="CX163" s="237"/>
      <c r="CY163" s="237"/>
    </row>
    <row r="164" spans="1:103">
      <c r="A164" s="229"/>
      <c r="B164" s="230" t="s">
        <v>416</v>
      </c>
      <c r="C164" s="230"/>
      <c r="D164" s="230"/>
      <c r="E164" s="232"/>
      <c r="F164" s="232"/>
      <c r="G164" s="587" t="s">
        <v>743</v>
      </c>
      <c r="H164" s="203"/>
      <c r="I164" s="203"/>
      <c r="J164" s="203"/>
      <c r="K164" s="203"/>
      <c r="L164" s="229"/>
      <c r="M164" s="229"/>
      <c r="N164" s="229"/>
      <c r="O164" s="229"/>
      <c r="P164" s="229"/>
      <c r="Q164" s="229"/>
      <c r="R164" s="229"/>
      <c r="S164" s="229"/>
      <c r="T164" s="594"/>
      <c r="U164" s="594"/>
      <c r="V164" s="594"/>
      <c r="W164" s="594"/>
      <c r="X164" s="594"/>
      <c r="Y164" s="594"/>
      <c r="Z164" s="594"/>
      <c r="AA164" s="594"/>
      <c r="AB164" s="594"/>
      <c r="AC164" s="594"/>
      <c r="AD164" s="594"/>
      <c r="AE164" s="594">
        <v>0.112</v>
      </c>
      <c r="AF164" s="594">
        <v>0.41600000000000004</v>
      </c>
      <c r="AG164" s="594">
        <v>0.47499999999999998</v>
      </c>
      <c r="AH164" s="594">
        <v>0.33700000000000002</v>
      </c>
      <c r="AI164" s="594">
        <v>0.246</v>
      </c>
      <c r="AJ164" s="594">
        <v>0.504</v>
      </c>
      <c r="AK164" s="601">
        <v>0.58699999999999997</v>
      </c>
      <c r="AL164" s="601">
        <v>1.02</v>
      </c>
      <c r="AM164" s="601">
        <v>0.78799999999999992</v>
      </c>
      <c r="AN164" s="601">
        <v>0.57099999999999995</v>
      </c>
      <c r="AO164" s="601">
        <v>0.373</v>
      </c>
      <c r="AP164" s="642">
        <f>AO164+($AQ164-$AK164)/6</f>
        <v>0.39183333333333331</v>
      </c>
      <c r="AQ164" s="645">
        <v>0.7</v>
      </c>
      <c r="AR164" s="642">
        <v>0.72499999999999998</v>
      </c>
      <c r="AS164" s="617">
        <v>0.75</v>
      </c>
      <c r="AT164" s="617">
        <v>0.77500000000000002</v>
      </c>
      <c r="AU164" s="617">
        <v>0.8</v>
      </c>
      <c r="AV164" s="617">
        <v>0.82500000000000007</v>
      </c>
      <c r="AW164" s="617">
        <v>0.85000000000000009</v>
      </c>
      <c r="AX164" s="617">
        <v>0.87500000000000011</v>
      </c>
      <c r="AY164" s="617">
        <v>0.90000000000000013</v>
      </c>
      <c r="AZ164" s="617">
        <v>0.92500000000000016</v>
      </c>
      <c r="BA164" s="617">
        <v>0.95000000000000018</v>
      </c>
      <c r="BB164" s="617">
        <v>0.9750000000000002</v>
      </c>
      <c r="BC164" s="618">
        <v>1</v>
      </c>
      <c r="BD164" s="617">
        <v>1.0416666666666667</v>
      </c>
      <c r="BE164" s="617">
        <v>1.0833333333333335</v>
      </c>
      <c r="BF164" s="617">
        <v>1.1250000000000002</v>
      </c>
      <c r="BG164" s="617">
        <v>1.166666666666667</v>
      </c>
      <c r="BH164" s="617">
        <v>1.2083333333333337</v>
      </c>
      <c r="BI164" s="617">
        <v>1.2500000000000004</v>
      </c>
      <c r="BJ164" s="617">
        <v>1.2916666666666672</v>
      </c>
      <c r="BK164" s="617">
        <v>1.3333333333333339</v>
      </c>
      <c r="BL164" s="617">
        <v>1.3750000000000007</v>
      </c>
      <c r="BM164" s="617">
        <v>1.4166666666666674</v>
      </c>
      <c r="BN164" s="617">
        <v>1.4583333333333341</v>
      </c>
      <c r="BO164" s="618">
        <v>1.5</v>
      </c>
      <c r="BP164" s="617">
        <v>1.5416666666666667</v>
      </c>
      <c r="BQ164" s="617">
        <v>1.5833333333333335</v>
      </c>
      <c r="BR164" s="617">
        <v>1.6250000000000002</v>
      </c>
      <c r="BS164" s="617">
        <v>1.666666666666667</v>
      </c>
      <c r="BT164" s="617">
        <v>1.7083333333333337</v>
      </c>
      <c r="BU164" s="617">
        <v>1.7500000000000004</v>
      </c>
      <c r="BV164" s="617">
        <v>1.7916666666666672</v>
      </c>
      <c r="BW164" s="617">
        <v>1.8333333333333339</v>
      </c>
      <c r="BX164" s="617">
        <v>1.8750000000000007</v>
      </c>
      <c r="BY164" s="617">
        <v>1.9166666666666674</v>
      </c>
      <c r="BZ164" s="617">
        <v>1.9583333333333341</v>
      </c>
      <c r="CA164" s="618">
        <v>2</v>
      </c>
      <c r="CB164" s="617">
        <v>2.0416666666666665</v>
      </c>
      <c r="CC164" s="617">
        <v>2.083333333333333</v>
      </c>
      <c r="CD164" s="617">
        <v>2.1249999999999996</v>
      </c>
      <c r="CE164" s="617">
        <v>2.1666666666666661</v>
      </c>
      <c r="CF164" s="617">
        <v>2.2083333333333326</v>
      </c>
      <c r="CG164" s="617">
        <v>2.2499999999999991</v>
      </c>
      <c r="CH164" s="617">
        <v>2.2916666666666656</v>
      </c>
      <c r="CI164" s="617">
        <v>2.3333333333333321</v>
      </c>
      <c r="CJ164" s="617">
        <v>2.3749999999999987</v>
      </c>
      <c r="CK164" s="617">
        <v>2.4166666666666652</v>
      </c>
      <c r="CL164" s="617">
        <v>2.4583333333333317</v>
      </c>
      <c r="CM164" s="618">
        <v>2.5</v>
      </c>
      <c r="CN164" s="617">
        <v>2.5416666666666665</v>
      </c>
      <c r="CO164" s="617">
        <v>2.583333333333333</v>
      </c>
      <c r="CP164" s="617">
        <v>2.6249999999999996</v>
      </c>
      <c r="CQ164" s="617">
        <v>2.6666666666666661</v>
      </c>
      <c r="CR164" s="617">
        <v>2.7083333333333326</v>
      </c>
      <c r="CS164" s="617">
        <v>2.7499999999999991</v>
      </c>
      <c r="CT164" s="617">
        <v>2.7916666666666656</v>
      </c>
      <c r="CU164" s="617">
        <v>2.8333333333333321</v>
      </c>
      <c r="CV164" s="617">
        <v>2.8749999999999987</v>
      </c>
      <c r="CW164" s="617">
        <v>2.9166666666666652</v>
      </c>
      <c r="CX164" s="617">
        <v>2.9583333333333317</v>
      </c>
      <c r="CY164" s="618">
        <v>3</v>
      </c>
    </row>
    <row r="165" spans="1:103">
      <c r="A165" s="229"/>
      <c r="B165" s="229" t="s">
        <v>862</v>
      </c>
      <c r="C165" s="230" t="s">
        <v>417</v>
      </c>
      <c r="D165" s="230"/>
      <c r="E165" s="232"/>
      <c r="F165" s="232"/>
      <c r="G165" s="587" t="s">
        <v>743</v>
      </c>
      <c r="H165" s="203"/>
      <c r="I165" s="203"/>
      <c r="J165" s="203"/>
      <c r="K165" s="203"/>
      <c r="L165" s="229"/>
      <c r="M165" s="229"/>
      <c r="N165" s="229"/>
      <c r="O165" s="229"/>
      <c r="P165" s="229"/>
      <c r="Q165" s="229"/>
      <c r="R165" s="229"/>
      <c r="S165" s="229"/>
      <c r="T165" s="615"/>
      <c r="U165" s="615"/>
      <c r="V165" s="615"/>
      <c r="W165" s="615"/>
      <c r="X165" s="615"/>
      <c r="Y165" s="615"/>
      <c r="Z165" s="615"/>
      <c r="AA165" s="615"/>
      <c r="AB165" s="615"/>
      <c r="AC165" s="615"/>
      <c r="AD165" s="615"/>
      <c r="AE165" s="594">
        <v>3.7450000000000001</v>
      </c>
      <c r="AF165" s="594">
        <v>4.1579999999999995</v>
      </c>
      <c r="AG165" s="594">
        <v>4.633</v>
      </c>
      <c r="AH165" s="594">
        <v>4.9700000000000006</v>
      </c>
      <c r="AI165" s="594">
        <v>5.2159999999999993</v>
      </c>
      <c r="AJ165" s="594">
        <v>5.7200000000000006</v>
      </c>
      <c r="AK165" s="601">
        <v>6.3069999999999995</v>
      </c>
      <c r="AL165" s="601">
        <v>7.327</v>
      </c>
      <c r="AM165" s="601">
        <v>8.1150000000000002</v>
      </c>
      <c r="AN165" s="601">
        <v>8.6859999999999999</v>
      </c>
      <c r="AO165" s="601">
        <v>9.0590000000000011</v>
      </c>
      <c r="AP165" s="642">
        <f t="shared" ref="AP165:AQ165" si="74">AO165+AP164</f>
        <v>9.4508333333333336</v>
      </c>
      <c r="AQ165" s="642">
        <f t="shared" si="74"/>
        <v>10.150833333333333</v>
      </c>
      <c r="AR165" s="642">
        <v>10.875833333333333</v>
      </c>
      <c r="AS165" s="642">
        <v>11.625833333333333</v>
      </c>
      <c r="AT165" s="642">
        <v>12.400833333333333</v>
      </c>
      <c r="AU165" s="642">
        <v>13.200833333333334</v>
      </c>
      <c r="AV165" s="642">
        <v>14.025833333333333</v>
      </c>
      <c r="AW165" s="642">
        <v>14.875833333333333</v>
      </c>
      <c r="AX165" s="642">
        <v>15.750833333333333</v>
      </c>
      <c r="AY165" s="642">
        <v>16.650833333333331</v>
      </c>
      <c r="AZ165" s="642">
        <v>17.575833333333332</v>
      </c>
      <c r="BA165" s="642">
        <v>18.525833333333331</v>
      </c>
      <c r="BB165" s="642">
        <v>19.500833333333333</v>
      </c>
      <c r="BC165" s="642">
        <v>20.500833333333333</v>
      </c>
      <c r="BD165" s="642">
        <v>21.5425</v>
      </c>
      <c r="BE165" s="642">
        <v>22.625833333333333</v>
      </c>
      <c r="BF165" s="642">
        <v>23.750833333333333</v>
      </c>
      <c r="BG165" s="642">
        <v>24.9175</v>
      </c>
      <c r="BH165" s="642">
        <v>26.125833333333333</v>
      </c>
      <c r="BI165" s="642">
        <v>27.375833333333333</v>
      </c>
      <c r="BJ165" s="642">
        <v>28.6675</v>
      </c>
      <c r="BK165" s="642">
        <v>30.000833333333333</v>
      </c>
      <c r="BL165" s="642">
        <v>31.375833333333333</v>
      </c>
      <c r="BM165" s="642">
        <v>32.792499999999997</v>
      </c>
      <c r="BN165" s="642">
        <v>34.250833333333333</v>
      </c>
      <c r="BO165" s="642">
        <v>35.750833333333333</v>
      </c>
      <c r="BP165" s="642">
        <v>37.292499999999997</v>
      </c>
      <c r="BQ165" s="642">
        <v>38.875833333333333</v>
      </c>
      <c r="BR165" s="642">
        <v>40.500833333333333</v>
      </c>
      <c r="BS165" s="642">
        <v>42.167499999999997</v>
      </c>
      <c r="BT165" s="642">
        <v>43.875833333333333</v>
      </c>
      <c r="BU165" s="642">
        <v>45.625833333333333</v>
      </c>
      <c r="BV165" s="642">
        <v>47.417499999999997</v>
      </c>
      <c r="BW165" s="642">
        <v>49.250833333333333</v>
      </c>
      <c r="BX165" s="642">
        <v>51.125833333333333</v>
      </c>
      <c r="BY165" s="642">
        <v>53.042499999999997</v>
      </c>
      <c r="BZ165" s="642">
        <v>55.000833333333333</v>
      </c>
      <c r="CA165" s="642">
        <v>57.000833333333333</v>
      </c>
      <c r="CB165" s="642">
        <v>59.042499999999997</v>
      </c>
      <c r="CC165" s="642">
        <v>61.125833333333333</v>
      </c>
      <c r="CD165" s="642">
        <v>63.250833333333333</v>
      </c>
      <c r="CE165" s="642">
        <v>65.417500000000004</v>
      </c>
      <c r="CF165" s="642">
        <v>67.625833333333333</v>
      </c>
      <c r="CG165" s="642">
        <v>69.875833333333333</v>
      </c>
      <c r="CH165" s="642">
        <v>72.167500000000004</v>
      </c>
      <c r="CI165" s="642">
        <v>74.500833333333333</v>
      </c>
      <c r="CJ165" s="642">
        <v>76.875833333333333</v>
      </c>
      <c r="CK165" s="642">
        <v>79.292500000000004</v>
      </c>
      <c r="CL165" s="642">
        <v>81.750833333333333</v>
      </c>
      <c r="CM165" s="642">
        <v>84.250833333333333</v>
      </c>
      <c r="CN165" s="642">
        <v>86.792500000000004</v>
      </c>
      <c r="CO165" s="642">
        <v>89.375833333333333</v>
      </c>
      <c r="CP165" s="642">
        <v>92.000833333333333</v>
      </c>
      <c r="CQ165" s="642">
        <v>94.667500000000004</v>
      </c>
      <c r="CR165" s="642">
        <v>97.375833333333333</v>
      </c>
      <c r="CS165" s="642">
        <v>100.12583333333333</v>
      </c>
      <c r="CT165" s="642">
        <v>102.9175</v>
      </c>
      <c r="CU165" s="642">
        <v>105.75083333333333</v>
      </c>
      <c r="CV165" s="642">
        <v>108.62583333333333</v>
      </c>
      <c r="CW165" s="642">
        <v>111.5425</v>
      </c>
      <c r="CX165" s="642">
        <v>114.50083333333333</v>
      </c>
      <c r="CY165" s="642">
        <v>117.50083333333333</v>
      </c>
    </row>
    <row r="166" spans="1:103">
      <c r="A166" s="229"/>
      <c r="B166" s="230" t="s">
        <v>863</v>
      </c>
      <c r="C166" s="230"/>
      <c r="D166" s="230"/>
      <c r="E166" s="232"/>
      <c r="F166" s="232"/>
      <c r="G166" s="587" t="s">
        <v>743</v>
      </c>
      <c r="H166" s="203"/>
      <c r="I166" s="203"/>
      <c r="J166" s="203"/>
      <c r="K166" s="203"/>
      <c r="L166" s="229"/>
      <c r="M166" s="229"/>
      <c r="N166" s="229"/>
      <c r="O166" s="229"/>
      <c r="P166" s="229"/>
      <c r="Q166" s="229"/>
      <c r="R166" s="229"/>
      <c r="S166" s="229"/>
      <c r="T166" s="231"/>
      <c r="U166" s="231"/>
      <c r="V166" s="231"/>
      <c r="W166" s="231"/>
      <c r="X166" s="231"/>
      <c r="Y166" s="231"/>
      <c r="Z166" s="231"/>
      <c r="AA166" s="231"/>
      <c r="AB166" s="231"/>
      <c r="AC166" s="231"/>
      <c r="AD166" s="231"/>
      <c r="AE166" s="594">
        <v>2.1030000000000002</v>
      </c>
      <c r="AF166" s="594">
        <v>2.6179999999999999</v>
      </c>
      <c r="AG166" s="594">
        <v>2.9790000000000001</v>
      </c>
      <c r="AH166" s="594">
        <v>3.2370000000000001</v>
      </c>
      <c r="AI166" s="594">
        <v>3.5139999999999998</v>
      </c>
      <c r="AJ166" s="594">
        <v>3.8419999999999996</v>
      </c>
      <c r="AK166" s="594">
        <v>3.6719999999999997</v>
      </c>
      <c r="AL166" s="594">
        <v>4.2469999999999999</v>
      </c>
      <c r="AM166" s="646">
        <v>4.7450000000000001</v>
      </c>
      <c r="AN166" s="594">
        <v>5.0340000000000007</v>
      </c>
      <c r="AO166" s="601">
        <v>4.944</v>
      </c>
      <c r="AP166" s="253">
        <f t="shared" ref="AP166:AQ166" si="75">AP165*AP167</f>
        <v>8.9404883333333327</v>
      </c>
      <c r="AQ166" s="253">
        <f t="shared" si="75"/>
        <v>9.602688333333333</v>
      </c>
      <c r="AR166" s="253">
        <v>6.5254999999999992</v>
      </c>
      <c r="AS166" s="253">
        <v>6.9754999999999994</v>
      </c>
      <c r="AT166" s="253">
        <v>7.4404999999999992</v>
      </c>
      <c r="AU166" s="253">
        <v>7.9204999999999997</v>
      </c>
      <c r="AV166" s="253">
        <v>8.4154999999999998</v>
      </c>
      <c r="AW166" s="253">
        <v>8.9254999999999995</v>
      </c>
      <c r="AX166" s="253">
        <v>9.4504999999999999</v>
      </c>
      <c r="AY166" s="253">
        <v>9.990499999999999</v>
      </c>
      <c r="AZ166" s="253">
        <v>10.545499999999999</v>
      </c>
      <c r="BA166" s="253">
        <v>11.115499999999999</v>
      </c>
      <c r="BB166" s="253">
        <v>11.7005</v>
      </c>
      <c r="BC166" s="253">
        <v>12.3005</v>
      </c>
      <c r="BD166" s="253">
        <v>12.9255</v>
      </c>
      <c r="BE166" s="253">
        <v>13.5755</v>
      </c>
      <c r="BF166" s="253">
        <v>14.250499999999999</v>
      </c>
      <c r="BG166" s="253">
        <v>14.9505</v>
      </c>
      <c r="BH166" s="253">
        <v>15.6755</v>
      </c>
      <c r="BI166" s="253">
        <v>16.4255</v>
      </c>
      <c r="BJ166" s="253">
        <v>17.200499999999998</v>
      </c>
      <c r="BK166" s="253">
        <v>18.000499999999999</v>
      </c>
      <c r="BL166" s="253">
        <v>18.825499999999998</v>
      </c>
      <c r="BM166" s="253">
        <v>19.675499999999996</v>
      </c>
      <c r="BN166" s="253">
        <v>20.5505</v>
      </c>
      <c r="BO166" s="253">
        <v>21.450499999999998</v>
      </c>
      <c r="BP166" s="253">
        <v>22.375499999999999</v>
      </c>
      <c r="BQ166" s="253">
        <v>23.325499999999998</v>
      </c>
      <c r="BR166" s="253">
        <v>24.3005</v>
      </c>
      <c r="BS166" s="253">
        <v>25.300499999999996</v>
      </c>
      <c r="BT166" s="253">
        <v>26.325499999999998</v>
      </c>
      <c r="BU166" s="253">
        <v>27.375499999999999</v>
      </c>
      <c r="BV166" s="253">
        <v>28.450499999999998</v>
      </c>
      <c r="BW166" s="253">
        <v>29.5505</v>
      </c>
      <c r="BX166" s="253">
        <v>30.6755</v>
      </c>
      <c r="BY166" s="253">
        <v>31.825499999999998</v>
      </c>
      <c r="BZ166" s="253">
        <v>33.000499999999995</v>
      </c>
      <c r="CA166" s="253">
        <v>34.200499999999998</v>
      </c>
      <c r="CB166" s="253">
        <v>35.4255</v>
      </c>
      <c r="CC166" s="253">
        <v>36.6755</v>
      </c>
      <c r="CD166" s="253">
        <v>37.950499999999998</v>
      </c>
      <c r="CE166" s="253">
        <v>39.250500000000002</v>
      </c>
      <c r="CF166" s="253">
        <v>40.575499999999998</v>
      </c>
      <c r="CG166" s="253">
        <v>41.9255</v>
      </c>
      <c r="CH166" s="253">
        <v>43.3005</v>
      </c>
      <c r="CI166" s="253">
        <v>44.700499999999998</v>
      </c>
      <c r="CJ166" s="253">
        <v>46.125499999999995</v>
      </c>
      <c r="CK166" s="253">
        <v>47.575499999999998</v>
      </c>
      <c r="CL166" s="253">
        <v>49.0505</v>
      </c>
      <c r="CM166" s="253">
        <v>50.5505</v>
      </c>
      <c r="CN166" s="253">
        <v>52.075499999999998</v>
      </c>
      <c r="CO166" s="253">
        <v>53.625499999999995</v>
      </c>
      <c r="CP166" s="253">
        <v>55.200499999999998</v>
      </c>
      <c r="CQ166" s="253">
        <v>56.8005</v>
      </c>
      <c r="CR166" s="253">
        <v>58.4255</v>
      </c>
      <c r="CS166" s="253">
        <v>60.075499999999998</v>
      </c>
      <c r="CT166" s="253">
        <v>61.750500000000002</v>
      </c>
      <c r="CU166" s="253">
        <v>63.450499999999998</v>
      </c>
      <c r="CV166" s="253">
        <v>65.1755</v>
      </c>
      <c r="CW166" s="253">
        <v>66.9255</v>
      </c>
      <c r="CX166" s="253">
        <v>68.700499999999991</v>
      </c>
      <c r="CY166" s="253">
        <v>70.500500000000002</v>
      </c>
    </row>
    <row r="167" spans="1:103">
      <c r="A167" s="229"/>
      <c r="B167" s="230" t="s">
        <v>419</v>
      </c>
      <c r="C167" s="230"/>
      <c r="D167" s="230"/>
      <c r="E167" s="232"/>
      <c r="F167" s="232"/>
      <c r="G167" s="232" t="s">
        <v>812</v>
      </c>
      <c r="H167" s="203"/>
      <c r="I167" s="203"/>
      <c r="J167" s="203"/>
      <c r="K167" s="203"/>
      <c r="L167" s="229"/>
      <c r="M167" s="229"/>
      <c r="N167" s="229"/>
      <c r="O167" s="229"/>
      <c r="P167" s="229"/>
      <c r="Q167" s="229"/>
      <c r="R167" s="229"/>
      <c r="S167" s="229"/>
      <c r="T167" s="622"/>
      <c r="U167" s="622"/>
      <c r="V167" s="622"/>
      <c r="W167" s="622"/>
      <c r="X167" s="622"/>
      <c r="Y167" s="622"/>
      <c r="Z167" s="622"/>
      <c r="AA167" s="622"/>
      <c r="AB167" s="622"/>
      <c r="AC167" s="622"/>
      <c r="AD167" s="622"/>
      <c r="AE167" s="622">
        <f t="shared" ref="AE167:AL167" si="76">AE166/AE165</f>
        <v>0.56154873164218966</v>
      </c>
      <c r="AF167" s="622">
        <f t="shared" si="76"/>
        <v>0.62962962962962965</v>
      </c>
      <c r="AG167" s="622">
        <f t="shared" si="76"/>
        <v>0.64299589898553855</v>
      </c>
      <c r="AH167" s="622">
        <f t="shared" si="76"/>
        <v>0.6513078470824949</v>
      </c>
      <c r="AI167" s="622">
        <f t="shared" si="76"/>
        <v>0.67369631901840499</v>
      </c>
      <c r="AJ167" s="622">
        <f t="shared" si="76"/>
        <v>0.67167832167832153</v>
      </c>
      <c r="AK167" s="622">
        <f t="shared" si="76"/>
        <v>0.58221024258760112</v>
      </c>
      <c r="AL167" s="622">
        <f t="shared" si="76"/>
        <v>0.57963695919202951</v>
      </c>
      <c r="AM167" s="622">
        <f>AM166/AM165</f>
        <v>0.58471965495995071</v>
      </c>
      <c r="AN167" s="622">
        <f>AN166/AN165</f>
        <v>0.57955330416762618</v>
      </c>
      <c r="AO167" s="622">
        <f>AO166/AO165</f>
        <v>0.5457556021635942</v>
      </c>
      <c r="AP167" s="623">
        <v>0.94599999999999995</v>
      </c>
      <c r="AQ167" s="623">
        <v>0.94599999999999995</v>
      </c>
      <c r="AR167" s="623">
        <v>0.6</v>
      </c>
      <c r="AS167" s="623">
        <v>0.6</v>
      </c>
      <c r="AT167" s="623">
        <v>0.6</v>
      </c>
      <c r="AU167" s="623">
        <v>0.6</v>
      </c>
      <c r="AV167" s="623">
        <v>0.6</v>
      </c>
      <c r="AW167" s="623">
        <v>0.6</v>
      </c>
      <c r="AX167" s="623">
        <v>0.6</v>
      </c>
      <c r="AY167" s="623">
        <v>0.6</v>
      </c>
      <c r="AZ167" s="623">
        <v>0.6</v>
      </c>
      <c r="BA167" s="623">
        <v>0.6</v>
      </c>
      <c r="BB167" s="623">
        <v>0.6</v>
      </c>
      <c r="BC167" s="623">
        <v>0.6</v>
      </c>
      <c r="BD167" s="623">
        <v>0.6</v>
      </c>
      <c r="BE167" s="623">
        <v>0.6</v>
      </c>
      <c r="BF167" s="623">
        <v>0.6</v>
      </c>
      <c r="BG167" s="623">
        <v>0.6</v>
      </c>
      <c r="BH167" s="623">
        <v>0.6</v>
      </c>
      <c r="BI167" s="623">
        <v>0.6</v>
      </c>
      <c r="BJ167" s="623">
        <v>0.6</v>
      </c>
      <c r="BK167" s="623">
        <v>0.6</v>
      </c>
      <c r="BL167" s="623">
        <v>0.6</v>
      </c>
      <c r="BM167" s="623">
        <v>0.6</v>
      </c>
      <c r="BN167" s="623">
        <v>0.6</v>
      </c>
      <c r="BO167" s="623">
        <v>0.6</v>
      </c>
      <c r="BP167" s="623">
        <v>0.6</v>
      </c>
      <c r="BQ167" s="623">
        <v>0.6</v>
      </c>
      <c r="BR167" s="623">
        <v>0.6</v>
      </c>
      <c r="BS167" s="623">
        <v>0.6</v>
      </c>
      <c r="BT167" s="623">
        <v>0.6</v>
      </c>
      <c r="BU167" s="623">
        <v>0.6</v>
      </c>
      <c r="BV167" s="623">
        <v>0.6</v>
      </c>
      <c r="BW167" s="623">
        <v>0.6</v>
      </c>
      <c r="BX167" s="623">
        <v>0.6</v>
      </c>
      <c r="BY167" s="623">
        <v>0.6</v>
      </c>
      <c r="BZ167" s="623">
        <v>0.6</v>
      </c>
      <c r="CA167" s="623">
        <v>0.6</v>
      </c>
      <c r="CB167" s="623">
        <v>0.6</v>
      </c>
      <c r="CC167" s="623">
        <v>0.6</v>
      </c>
      <c r="CD167" s="623">
        <v>0.6</v>
      </c>
      <c r="CE167" s="623">
        <v>0.6</v>
      </c>
      <c r="CF167" s="623">
        <v>0.6</v>
      </c>
      <c r="CG167" s="623">
        <v>0.6</v>
      </c>
      <c r="CH167" s="623">
        <v>0.6</v>
      </c>
      <c r="CI167" s="623">
        <v>0.6</v>
      </c>
      <c r="CJ167" s="623">
        <v>0.6</v>
      </c>
      <c r="CK167" s="623">
        <v>0.6</v>
      </c>
      <c r="CL167" s="623">
        <v>0.6</v>
      </c>
      <c r="CM167" s="623">
        <v>0.6</v>
      </c>
      <c r="CN167" s="623">
        <v>0.6</v>
      </c>
      <c r="CO167" s="623">
        <v>0.6</v>
      </c>
      <c r="CP167" s="623">
        <v>0.6</v>
      </c>
      <c r="CQ167" s="623">
        <v>0.6</v>
      </c>
      <c r="CR167" s="623">
        <v>0.6</v>
      </c>
      <c r="CS167" s="623">
        <v>0.6</v>
      </c>
      <c r="CT167" s="623">
        <v>0.6</v>
      </c>
      <c r="CU167" s="623">
        <v>0.6</v>
      </c>
      <c r="CV167" s="623">
        <v>0.6</v>
      </c>
      <c r="CW167" s="623">
        <v>0.6</v>
      </c>
      <c r="CX167" s="623">
        <v>0.6</v>
      </c>
      <c r="CY167" s="623">
        <v>0.6</v>
      </c>
    </row>
    <row r="168" spans="1:103">
      <c r="A168" s="230"/>
      <c r="B168" s="230" t="s">
        <v>864</v>
      </c>
      <c r="C168" s="230"/>
      <c r="D168" s="230"/>
      <c r="E168" s="232"/>
      <c r="F168" s="232"/>
      <c r="G168" s="232" t="s">
        <v>736</v>
      </c>
      <c r="H168" s="203"/>
      <c r="I168" s="232"/>
      <c r="J168" s="232"/>
      <c r="K168" s="232"/>
      <c r="L168" s="230"/>
      <c r="M168" s="230"/>
      <c r="N168" s="230"/>
      <c r="O168" s="230"/>
      <c r="P168" s="230"/>
      <c r="Q168" s="230"/>
      <c r="R168" s="230"/>
      <c r="S168" s="230"/>
      <c r="T168" s="610"/>
      <c r="U168" s="610"/>
      <c r="V168" s="610"/>
      <c r="W168" s="610"/>
      <c r="X168" s="610"/>
      <c r="Y168" s="610"/>
      <c r="Z168" s="610"/>
      <c r="AA168" s="610"/>
      <c r="AB168" s="610"/>
      <c r="AC168" s="610"/>
      <c r="AD168" s="610"/>
      <c r="AE168" s="594">
        <v>8.0338795189999992</v>
      </c>
      <c r="AF168" s="594">
        <v>7.7412164499999996</v>
      </c>
      <c r="AG168" s="594">
        <v>10.101705221</v>
      </c>
      <c r="AH168" s="594">
        <v>13.238015520999999</v>
      </c>
      <c r="AI168" s="594">
        <v>11.537212712999999</v>
      </c>
      <c r="AJ168" s="594">
        <v>16.05886125</v>
      </c>
      <c r="AK168" s="594">
        <v>16.324787946000001</v>
      </c>
      <c r="AL168" s="594">
        <v>24.754154243999999</v>
      </c>
      <c r="AM168" s="594">
        <v>26.879770000000001</v>
      </c>
      <c r="AN168" s="594">
        <v>24.392230000000001</v>
      </c>
      <c r="AO168" s="601">
        <v>29.113239999999998</v>
      </c>
      <c r="AP168" s="253">
        <v>0</v>
      </c>
      <c r="AQ168" s="253">
        <v>0</v>
      </c>
      <c r="AR168" s="253">
        <v>34.204495833333333</v>
      </c>
      <c r="AS168" s="253">
        <v>36.853891666666669</v>
      </c>
      <c r="AT168" s="253">
        <v>39.620662500000009</v>
      </c>
      <c r="AU168" s="253">
        <v>42.506683333333342</v>
      </c>
      <c r="AV168" s="253">
        <v>45.513829166666675</v>
      </c>
      <c r="AW168" s="253">
        <v>48.643975000000012</v>
      </c>
      <c r="AX168" s="253">
        <v>51.898995833333359</v>
      </c>
      <c r="AY168" s="253">
        <v>55.280766666666686</v>
      </c>
      <c r="AZ168" s="253">
        <v>58.79116250000002</v>
      </c>
      <c r="BA168" s="253">
        <v>62.432058333333366</v>
      </c>
      <c r="BB168" s="253">
        <v>66.205329166666701</v>
      </c>
      <c r="BC168" s="253">
        <v>70.112849999999995</v>
      </c>
      <c r="BD168" s="253">
        <v>73.675349999999995</v>
      </c>
      <c r="BE168" s="253">
        <v>77.380350000000007</v>
      </c>
      <c r="BF168" s="253">
        <v>81.227849999999989</v>
      </c>
      <c r="BG168" s="253">
        <v>85.217850000000013</v>
      </c>
      <c r="BH168" s="253">
        <v>89.350349999999992</v>
      </c>
      <c r="BI168" s="253">
        <v>93.625349999999997</v>
      </c>
      <c r="BJ168" s="253">
        <v>98.042849999999987</v>
      </c>
      <c r="BK168" s="253">
        <v>102.60284999999999</v>
      </c>
      <c r="BL168" s="253">
        <v>107.30534999999999</v>
      </c>
      <c r="BM168" s="253">
        <v>112.15034999999997</v>
      </c>
      <c r="BN168" s="253">
        <v>117.13784999999999</v>
      </c>
      <c r="BO168" s="253">
        <v>122.26785</v>
      </c>
      <c r="BP168" s="253">
        <v>127.54034999999999</v>
      </c>
      <c r="BQ168" s="253">
        <v>132.95534999999998</v>
      </c>
      <c r="BR168" s="253">
        <v>138.51285000000001</v>
      </c>
      <c r="BS168" s="253">
        <v>144.21284999999997</v>
      </c>
      <c r="BT168" s="253">
        <v>150.05534999999998</v>
      </c>
      <c r="BU168" s="253">
        <v>156.04035000000002</v>
      </c>
      <c r="BV168" s="253">
        <v>162.16784999999999</v>
      </c>
      <c r="BW168" s="253">
        <v>168.43785</v>
      </c>
      <c r="BX168" s="253">
        <v>174.85034999999999</v>
      </c>
      <c r="BY168" s="253">
        <v>181.40534999999997</v>
      </c>
      <c r="BZ168" s="253">
        <v>188.10284999999999</v>
      </c>
      <c r="CA168" s="253">
        <v>194.94284999999996</v>
      </c>
      <c r="CB168" s="253">
        <v>201.92535000000001</v>
      </c>
      <c r="CC168" s="253">
        <v>209.05035000000001</v>
      </c>
      <c r="CD168" s="253">
        <v>216.31784999999996</v>
      </c>
      <c r="CE168" s="253">
        <v>223.72785000000002</v>
      </c>
      <c r="CF168" s="253">
        <v>231.28034999999997</v>
      </c>
      <c r="CG168" s="253">
        <v>238.97534999999999</v>
      </c>
      <c r="CH168" s="253">
        <v>246.81285</v>
      </c>
      <c r="CI168" s="253">
        <v>254.79284999999999</v>
      </c>
      <c r="CJ168" s="253">
        <v>262.91534999999999</v>
      </c>
      <c r="CK168" s="253">
        <v>271.18034999999998</v>
      </c>
      <c r="CL168" s="253">
        <v>279.58785</v>
      </c>
      <c r="CM168" s="253">
        <v>288.13784999999996</v>
      </c>
      <c r="CN168" s="253">
        <v>296.83034999999995</v>
      </c>
      <c r="CO168" s="253">
        <v>305.66534999999999</v>
      </c>
      <c r="CP168" s="253">
        <v>314.64284999999995</v>
      </c>
      <c r="CQ168" s="253">
        <v>323.76284999999996</v>
      </c>
      <c r="CR168" s="253">
        <v>333.02535</v>
      </c>
      <c r="CS168" s="253">
        <v>342.43034999999998</v>
      </c>
      <c r="CT168" s="253">
        <v>351.97785000000005</v>
      </c>
      <c r="CU168" s="253">
        <v>361.66784999999999</v>
      </c>
      <c r="CV168" s="253">
        <v>371.50034999999997</v>
      </c>
      <c r="CW168" s="253">
        <v>381.47534999999999</v>
      </c>
      <c r="CX168" s="253">
        <v>391.59285</v>
      </c>
      <c r="CY168" s="253">
        <v>401.85285000000005</v>
      </c>
    </row>
    <row r="169" spans="1:103">
      <c r="A169" s="230"/>
      <c r="B169" s="230" t="s">
        <v>874</v>
      </c>
      <c r="C169" s="230"/>
      <c r="D169" s="230"/>
      <c r="E169" s="232"/>
      <c r="F169" s="232"/>
      <c r="G169" s="232" t="s">
        <v>736</v>
      </c>
      <c r="H169" s="203"/>
      <c r="I169" s="232"/>
      <c r="J169" s="232"/>
      <c r="K169" s="232"/>
      <c r="L169" s="230"/>
      <c r="M169" s="230"/>
      <c r="N169" s="230"/>
      <c r="O169" s="230"/>
      <c r="P169" s="230"/>
      <c r="Q169" s="230"/>
      <c r="R169" s="230"/>
      <c r="S169" s="230"/>
      <c r="T169" s="619"/>
      <c r="U169" s="619"/>
      <c r="V169" s="619"/>
      <c r="W169" s="619"/>
      <c r="X169" s="619"/>
      <c r="Y169" s="619"/>
      <c r="Z169" s="619"/>
      <c r="AA169" s="619"/>
      <c r="AB169" s="619"/>
      <c r="AC169" s="619"/>
      <c r="AD169" s="619"/>
      <c r="AE169" s="601">
        <v>11.648362013</v>
      </c>
      <c r="AF169" s="601">
        <v>13.044273303999999</v>
      </c>
      <c r="AG169" s="601">
        <v>15.454380349999999</v>
      </c>
      <c r="AH169" s="601">
        <v>20.862368195999998</v>
      </c>
      <c r="AI169" s="601">
        <v>23.613345883000001</v>
      </c>
      <c r="AJ169" s="601">
        <v>25.009294726999997</v>
      </c>
      <c r="AK169" s="601">
        <v>28.461700758999999</v>
      </c>
      <c r="AL169" s="601">
        <v>34.713293622000002</v>
      </c>
      <c r="AM169" s="601">
        <v>44.732775016999994</v>
      </c>
      <c r="AN169" s="601">
        <v>49.314785741000001</v>
      </c>
      <c r="AO169" s="601">
        <v>51.753813221000001</v>
      </c>
      <c r="AP169" s="253">
        <v>27.395021007130001</v>
      </c>
      <c r="AQ169" s="253">
        <v>14.485861133778901</v>
      </c>
      <c r="AR169" s="642">
        <v>61.448690396819018</v>
      </c>
      <c r="AS169" s="642">
        <v>66.776098422255942</v>
      </c>
      <c r="AT169" s="642">
        <v>72.052065347969418</v>
      </c>
      <c r="AU169" s="642">
        <v>77.515920800473282</v>
      </c>
      <c r="AV169" s="642">
        <v>83.076165545202514</v>
      </c>
      <c r="AW169" s="642">
        <v>88.986398430002581</v>
      </c>
      <c r="AX169" s="642">
        <v>95.074031836121108</v>
      </c>
      <c r="AY169" s="642">
        <v>101.51346398457738</v>
      </c>
      <c r="AZ169" s="642">
        <v>108.22403861015978</v>
      </c>
      <c r="BA169" s="642">
        <v>115.14662823775252</v>
      </c>
      <c r="BB169" s="642">
        <v>122.31484781463837</v>
      </c>
      <c r="BC169" s="642">
        <v>129.81586353443433</v>
      </c>
      <c r="BD169" s="642">
        <v>137.07215236470387</v>
      </c>
      <c r="BE169" s="642">
        <v>144.34906888184668</v>
      </c>
      <c r="BF169" s="642">
        <v>152.13194744640819</v>
      </c>
      <c r="BG169" s="642">
        <v>159.91456810421354</v>
      </c>
      <c r="BH169" s="642">
        <v>167.83829610972833</v>
      </c>
      <c r="BI169" s="642">
        <v>175.97261531365487</v>
      </c>
      <c r="BJ169" s="642">
        <v>184.35165214531528</v>
      </c>
      <c r="BK169" s="642">
        <v>193.03694798589268</v>
      </c>
      <c r="BL169" s="642">
        <v>201.98031056517286</v>
      </c>
      <c r="BM169" s="642">
        <v>211.19489569586761</v>
      </c>
      <c r="BN169" s="642">
        <v>220.68605340442306</v>
      </c>
      <c r="BO169" s="642">
        <v>230.45808590245542</v>
      </c>
      <c r="BP169" s="642">
        <v>240.51103732277335</v>
      </c>
      <c r="BQ169" s="642">
        <v>250.84391366227712</v>
      </c>
      <c r="BR169" s="642">
        <v>261.45572371444513</v>
      </c>
      <c r="BS169" s="642">
        <v>272.34573203022296</v>
      </c>
      <c r="BT169" s="642">
        <v>283.51378401833472</v>
      </c>
      <c r="BU169" s="642">
        <v>294.95965612867047</v>
      </c>
      <c r="BV169" s="642">
        <v>306.68319044398481</v>
      </c>
      <c r="BW169" s="642">
        <v>318.68430152074654</v>
      </c>
      <c r="BX169" s="642">
        <v>330.96297155705588</v>
      </c>
      <c r="BY169" s="642">
        <v>343.51921631098617</v>
      </c>
      <c r="BZ169" s="642">
        <v>356.35306063326033</v>
      </c>
      <c r="CA169" s="642">
        <v>369.46452643707653</v>
      </c>
      <c r="CB169" s="642">
        <v>382.8536286795358</v>
      </c>
      <c r="CC169" s="642">
        <v>396.52037768425316</v>
      </c>
      <c r="CD169" s="642">
        <v>410.46477978877596</v>
      </c>
      <c r="CE169" s="642">
        <v>424.68683817268283</v>
      </c>
      <c r="CF169" s="642">
        <v>439.1865538175316</v>
      </c>
      <c r="CG169" s="642">
        <v>453.96392648882818</v>
      </c>
      <c r="CH169" s="642">
        <v>469.01895547166356</v>
      </c>
      <c r="CI169" s="642">
        <v>484.35164000151326</v>
      </c>
      <c r="CJ169" s="642">
        <v>499.96197945465372</v>
      </c>
      <c r="CK169" s="642">
        <v>515.84997338995015</v>
      </c>
      <c r="CL169" s="642">
        <v>532.01562153441228</v>
      </c>
      <c r="CM169" s="642">
        <v>548.45892374584446</v>
      </c>
      <c r="CN169" s="642">
        <v>565.17987997052023</v>
      </c>
      <c r="CO169" s="642">
        <v>582.17849020571578</v>
      </c>
      <c r="CP169" s="642">
        <v>599.45475447206968</v>
      </c>
      <c r="CQ169" s="642">
        <v>617.00867279633667</v>
      </c>
      <c r="CR169" s="642">
        <v>634.84024520250978</v>
      </c>
      <c r="CS169" s="642">
        <v>652.94947170850685</v>
      </c>
      <c r="CT169" s="642">
        <v>671.33635232591644</v>
      </c>
      <c r="CU169" s="642">
        <v>690.00088706114354</v>
      </c>
      <c r="CV169" s="642">
        <v>708.94307591696429</v>
      </c>
      <c r="CW169" s="642">
        <v>728.16291889396018</v>
      </c>
      <c r="CX169" s="642">
        <v>747.66041599161042</v>
      </c>
      <c r="CY169" s="642">
        <v>767.43556720900733</v>
      </c>
    </row>
    <row r="170" spans="1:103">
      <c r="A170" s="229"/>
      <c r="B170" s="230" t="s">
        <v>875</v>
      </c>
      <c r="C170" s="230"/>
      <c r="D170" s="230"/>
      <c r="E170" s="232"/>
      <c r="F170" s="232"/>
      <c r="G170" s="232" t="s">
        <v>736</v>
      </c>
      <c r="H170" s="203"/>
      <c r="I170" s="203"/>
      <c r="J170" s="203"/>
      <c r="K170" s="203"/>
      <c r="L170" s="229"/>
      <c r="M170" s="229"/>
      <c r="N170" s="229"/>
      <c r="O170" s="229"/>
      <c r="P170" s="229"/>
      <c r="Q170" s="229"/>
      <c r="R170" s="229"/>
      <c r="S170" s="229"/>
      <c r="T170" s="619"/>
      <c r="U170" s="619"/>
      <c r="V170" s="619"/>
      <c r="W170" s="619"/>
      <c r="X170" s="619"/>
      <c r="Y170" s="619"/>
      <c r="Z170" s="619"/>
      <c r="AA170" s="619"/>
      <c r="AB170" s="619"/>
      <c r="AC170" s="619"/>
      <c r="AD170" s="619"/>
      <c r="AE170" s="601">
        <v>6.8570000000000002</v>
      </c>
      <c r="AF170" s="601">
        <v>7.9649999999999999</v>
      </c>
      <c r="AG170" s="601">
        <v>9.8149999999999995</v>
      </c>
      <c r="AH170" s="601">
        <v>12.684000000000001</v>
      </c>
      <c r="AI170" s="601">
        <v>14.807</v>
      </c>
      <c r="AJ170" s="601">
        <v>15.201000000000001</v>
      </c>
      <c r="AK170" s="601">
        <v>17.197728024</v>
      </c>
      <c r="AL170" s="601">
        <v>20.429728023999999</v>
      </c>
      <c r="AM170" s="647">
        <v>26.504999999999999</v>
      </c>
      <c r="AN170" s="601">
        <v>32.29</v>
      </c>
      <c r="AO170" s="601">
        <v>34.026000000000003</v>
      </c>
      <c r="AP170" s="253">
        <v>23.334759305084479</v>
      </c>
      <c r="AQ170" s="253">
        <v>12.351867071694773</v>
      </c>
      <c r="AR170" s="642">
        <v>33.547228348131668</v>
      </c>
      <c r="AS170" s="642">
        <v>33.796779718250463</v>
      </c>
      <c r="AT170" s="642">
        <v>36.726854132240774</v>
      </c>
      <c r="AU170" s="642">
        <v>39.62863594138318</v>
      </c>
      <c r="AV170" s="642">
        <v>42.633756440260306</v>
      </c>
      <c r="AW170" s="642">
        <v>45.69189104986139</v>
      </c>
      <c r="AX170" s="642">
        <v>48.942519136501424</v>
      </c>
      <c r="AY170" s="642">
        <v>52.29071750986661</v>
      </c>
      <c r="AZ170" s="642">
        <v>55.832405191517566</v>
      </c>
      <c r="BA170" s="642">
        <v>59.523221235587883</v>
      </c>
      <c r="BB170" s="642">
        <v>63.330645530763896</v>
      </c>
      <c r="BC170" s="642">
        <v>67.273166298051109</v>
      </c>
      <c r="BD170" s="642">
        <v>71.398724943938888</v>
      </c>
      <c r="BE170" s="642">
        <v>75.389683800587136</v>
      </c>
      <c r="BF170" s="642">
        <v>79.391987885015681</v>
      </c>
      <c r="BG170" s="642">
        <v>83.672571095524518</v>
      </c>
      <c r="BH170" s="642">
        <v>87.953012457317456</v>
      </c>
      <c r="BI170" s="642">
        <v>92.311062860350589</v>
      </c>
      <c r="BJ170" s="642">
        <v>96.78493842251018</v>
      </c>
      <c r="BK170" s="642">
        <v>101.39340867992341</v>
      </c>
      <c r="BL170" s="642">
        <v>106.17032139224098</v>
      </c>
      <c r="BM170" s="642">
        <v>111.08917081084508</v>
      </c>
      <c r="BN170" s="642">
        <v>116.1571926327272</v>
      </c>
      <c r="BO170" s="642">
        <v>121.3773293724327</v>
      </c>
      <c r="BP170" s="642">
        <v>126.7519472463505</v>
      </c>
      <c r="BQ170" s="642">
        <v>132.28107052752534</v>
      </c>
      <c r="BR170" s="642">
        <v>137.96415251425242</v>
      </c>
      <c r="BS170" s="642">
        <v>143.80064804294483</v>
      </c>
      <c r="BT170" s="642">
        <v>149.79015261662263</v>
      </c>
      <c r="BU170" s="642">
        <v>155.93258121008409</v>
      </c>
      <c r="BV170" s="642">
        <v>162.22781087076876</v>
      </c>
      <c r="BW170" s="642">
        <v>168.67575474419166</v>
      </c>
      <c r="BX170" s="642">
        <v>175.2763658364106</v>
      </c>
      <c r="BY170" s="642">
        <v>182.02963435638074</v>
      </c>
      <c r="BZ170" s="642">
        <v>188.93556897104241</v>
      </c>
      <c r="CA170" s="642">
        <v>195.99418334829321</v>
      </c>
      <c r="CB170" s="642">
        <v>203.20548954039211</v>
      </c>
      <c r="CC170" s="642">
        <v>210.56949577374471</v>
      </c>
      <c r="CD170" s="642">
        <v>218.08620772633927</v>
      </c>
      <c r="CE170" s="642">
        <v>225.7556288838268</v>
      </c>
      <c r="CF170" s="642">
        <v>233.57776099497556</v>
      </c>
      <c r="CG170" s="642">
        <v>241.55260459964239</v>
      </c>
      <c r="CH170" s="642">
        <v>249.68015956885552</v>
      </c>
      <c r="CI170" s="642">
        <v>257.96042550941496</v>
      </c>
      <c r="CJ170" s="642">
        <v>266.39340200083234</v>
      </c>
      <c r="CK170" s="642">
        <v>274.97908870005955</v>
      </c>
      <c r="CL170" s="642">
        <v>283.71748536447262</v>
      </c>
      <c r="CM170" s="642">
        <v>292.60859184392677</v>
      </c>
      <c r="CN170" s="642">
        <v>301.6524080602145</v>
      </c>
      <c r="CO170" s="642">
        <v>310.84893398378614</v>
      </c>
      <c r="CP170" s="642">
        <v>320.1981696131437</v>
      </c>
      <c r="CQ170" s="642">
        <v>329.70011495963837</v>
      </c>
      <c r="CR170" s="642">
        <v>339.35477003798519</v>
      </c>
      <c r="CS170" s="642">
        <v>349.16213486138042</v>
      </c>
      <c r="CT170" s="642">
        <v>359.12220943967878</v>
      </c>
      <c r="CU170" s="642">
        <v>369.23499377925407</v>
      </c>
      <c r="CV170" s="642">
        <v>379.50048788362898</v>
      </c>
      <c r="CW170" s="642">
        <v>389.91869175433038</v>
      </c>
      <c r="CX170" s="642">
        <v>400.48960539167814</v>
      </c>
      <c r="CY170" s="642">
        <v>411.21322879538576</v>
      </c>
    </row>
    <row r="171" spans="1:103">
      <c r="A171" s="229"/>
      <c r="B171" s="230" t="s">
        <v>215</v>
      </c>
      <c r="C171" s="230"/>
      <c r="D171" s="230"/>
      <c r="E171" s="232"/>
      <c r="F171" s="230"/>
      <c r="G171" s="232" t="s">
        <v>736</v>
      </c>
      <c r="H171" s="203"/>
      <c r="I171" s="203"/>
      <c r="J171" s="203"/>
      <c r="K171" s="203"/>
      <c r="L171" s="229"/>
      <c r="M171" s="229"/>
      <c r="N171" s="229"/>
      <c r="O171" s="229"/>
      <c r="P171" s="229"/>
      <c r="Q171" s="229"/>
      <c r="R171" s="229"/>
      <c r="S171" s="229"/>
      <c r="T171" s="590"/>
      <c r="U171" s="590"/>
      <c r="V171" s="590"/>
      <c r="W171" s="590"/>
      <c r="X171" s="590"/>
      <c r="Y171" s="590"/>
      <c r="Z171" s="590"/>
      <c r="AA171" s="590"/>
      <c r="AB171" s="590"/>
      <c r="AC171" s="590"/>
      <c r="AD171" s="590"/>
      <c r="AE171" s="648">
        <f t="shared" ref="AE171:AQ171" si="77">AE175+AE178</f>
        <v>0.27752348011000461</v>
      </c>
      <c r="AF171" s="648">
        <f t="shared" si="77"/>
        <v>0.3306835392463926</v>
      </c>
      <c r="AG171" s="648">
        <f t="shared" si="77"/>
        <v>0.47245319795443386</v>
      </c>
      <c r="AH171" s="648">
        <f t="shared" si="77"/>
        <v>0.42676374777158371</v>
      </c>
      <c r="AI171" s="648">
        <f t="shared" si="77"/>
        <v>0.60356755310269217</v>
      </c>
      <c r="AJ171" s="648">
        <f t="shared" si="77"/>
        <v>0.67047166550183168</v>
      </c>
      <c r="AK171" s="648">
        <f t="shared" si="77"/>
        <v>0.74462463562505365</v>
      </c>
      <c r="AL171" s="648">
        <f t="shared" si="77"/>
        <v>0.85186546642700711</v>
      </c>
      <c r="AM171" s="648">
        <f t="shared" si="77"/>
        <v>1.106999353602736</v>
      </c>
      <c r="AN171" s="648">
        <f t="shared" si="77"/>
        <v>1.3294924483061692</v>
      </c>
      <c r="AO171" s="648">
        <f t="shared" si="77"/>
        <v>0.40845738847712626</v>
      </c>
      <c r="AP171" s="648">
        <f t="shared" si="77"/>
        <v>-3.8167211632666575E-4</v>
      </c>
      <c r="AQ171" s="648">
        <f t="shared" si="77"/>
        <v>2.4751104775171222E-3</v>
      </c>
      <c r="AR171" s="648">
        <v>1.585855542429373</v>
      </c>
      <c r="AS171" s="648">
        <v>1.6674240702712695</v>
      </c>
      <c r="AT171" s="648">
        <v>1.7498932543795489</v>
      </c>
      <c r="AU171" s="648">
        <v>1.8824787788766673</v>
      </c>
      <c r="AV171" s="648">
        <v>2.060898222026224</v>
      </c>
      <c r="AW171" s="648">
        <v>2.2241936142813108</v>
      </c>
      <c r="AX171" s="648">
        <v>2.4365330333306399</v>
      </c>
      <c r="AY171" s="648">
        <v>2.5888368265502351</v>
      </c>
      <c r="AZ171" s="648">
        <v>2.7500239103474771</v>
      </c>
      <c r="BA171" s="648">
        <v>2.9196473106305323</v>
      </c>
      <c r="BB171" s="648">
        <v>3.1200264292359918</v>
      </c>
      <c r="BC171" s="648">
        <v>3.3682449918760642</v>
      </c>
      <c r="BD171" s="648">
        <v>3.633831593220707</v>
      </c>
      <c r="BE171" s="648">
        <v>3.8484118823314359</v>
      </c>
      <c r="BF171" s="648">
        <v>4.0345050147066193</v>
      </c>
      <c r="BG171" s="648">
        <v>4.2310034306577862</v>
      </c>
      <c r="BH171" s="648">
        <v>4.4685330855513765</v>
      </c>
      <c r="BI171" s="648">
        <v>4.6917882225579213</v>
      </c>
      <c r="BJ171" s="648">
        <v>4.9557618305642128</v>
      </c>
      <c r="BK171" s="648">
        <v>5.159604027773482</v>
      </c>
      <c r="BL171" s="648">
        <v>5.3739823250654197</v>
      </c>
      <c r="BM171" s="648">
        <v>5.597819361939564</v>
      </c>
      <c r="BN171" s="648">
        <v>5.8501887721995898</v>
      </c>
      <c r="BO171" s="648">
        <v>6.1472275772495664</v>
      </c>
      <c r="BP171" s="648">
        <v>6.4409192200300813</v>
      </c>
      <c r="BQ171" s="648">
        <v>6.7216892001021691</v>
      </c>
      <c r="BR171" s="648">
        <v>6.9938270462205754</v>
      </c>
      <c r="BS171" s="648">
        <v>7.2777096061523014</v>
      </c>
      <c r="BT171" s="648">
        <v>7.5981646248157819</v>
      </c>
      <c r="BU171" s="648">
        <v>7.9105133820268057</v>
      </c>
      <c r="BV171" s="648">
        <v>8.2599823826964069</v>
      </c>
      <c r="BW171" s="648">
        <v>8.5601718174259336</v>
      </c>
      <c r="BX171" s="648">
        <v>8.8703998209983528</v>
      </c>
      <c r="BY171" s="648">
        <v>9.1895337934959063</v>
      </c>
      <c r="BZ171" s="648">
        <v>9.5341840943585101</v>
      </c>
      <c r="CA171" s="648">
        <v>9.9180511118520442</v>
      </c>
      <c r="CB171" s="648">
        <v>10.300054437195882</v>
      </c>
      <c r="CC171" s="648">
        <v>10.672024355256317</v>
      </c>
      <c r="CD171" s="648">
        <v>11.037649412290309</v>
      </c>
      <c r="CE171" s="648">
        <v>11.414360521272728</v>
      </c>
      <c r="CF171" s="648">
        <v>11.823383342161407</v>
      </c>
      <c r="CG171" s="648">
        <v>12.226526572134437</v>
      </c>
      <c r="CH171" s="648">
        <v>12.662469368693035</v>
      </c>
      <c r="CI171" s="648">
        <v>13.057346691182961</v>
      </c>
      <c r="CJ171" s="648">
        <v>13.46189938902692</v>
      </c>
      <c r="CK171" s="648">
        <v>13.8751309092964</v>
      </c>
      <c r="CL171" s="648">
        <v>14.311237298624755</v>
      </c>
      <c r="CM171" s="648">
        <v>14.775047262301246</v>
      </c>
      <c r="CN171" s="648">
        <v>15.226717018590747</v>
      </c>
      <c r="CO171" s="648">
        <v>15.686229694732253</v>
      </c>
      <c r="CP171" s="648">
        <v>16.1530836891035</v>
      </c>
      <c r="CQ171" s="648">
        <v>16.627278984219899</v>
      </c>
      <c r="CR171" s="648">
        <v>17.108815564045248</v>
      </c>
      <c r="CS171" s="648">
        <v>17.597693413735588</v>
      </c>
      <c r="CT171" s="648">
        <v>18.093912519501721</v>
      </c>
      <c r="CU171" s="648">
        <v>18.597472868533956</v>
      </c>
      <c r="CV171" s="648">
        <v>19.108374448952027</v>
      </c>
      <c r="CW171" s="648">
        <v>19.626617249760866</v>
      </c>
      <c r="CX171" s="648">
        <v>20.152201260804222</v>
      </c>
      <c r="CY171" s="648">
        <v>20.685126472714078</v>
      </c>
    </row>
    <row r="172" spans="1:103">
      <c r="A172" s="229"/>
      <c r="B172" s="230" t="s">
        <v>99</v>
      </c>
      <c r="C172" s="230"/>
      <c r="D172" s="230"/>
      <c r="E172" s="232"/>
      <c r="F172" s="230"/>
      <c r="G172" s="232" t="s">
        <v>736</v>
      </c>
      <c r="H172" s="203"/>
      <c r="I172" s="203"/>
      <c r="J172" s="203"/>
      <c r="K172" s="203"/>
      <c r="L172" s="229"/>
      <c r="M172" s="229"/>
      <c r="N172" s="229"/>
      <c r="O172" s="229"/>
      <c r="P172" s="229"/>
      <c r="Q172" s="229"/>
      <c r="R172" s="229"/>
      <c r="S172" s="229"/>
      <c r="T172" s="231"/>
      <c r="U172" s="231"/>
      <c r="V172" s="231"/>
      <c r="W172" s="231"/>
      <c r="X172" s="231"/>
      <c r="Y172" s="231"/>
      <c r="Z172" s="231"/>
      <c r="AA172" s="231"/>
      <c r="AB172" s="231"/>
      <c r="AC172" s="231"/>
      <c r="AD172" s="231"/>
      <c r="AE172" s="262">
        <f t="shared" ref="AE172:AQ172" si="78">AE176+AE188</f>
        <v>-0.19159358610482705</v>
      </c>
      <c r="AF172" s="262">
        <f t="shared" si="78"/>
        <v>-0.20022592175149975</v>
      </c>
      <c r="AG172" s="262">
        <f t="shared" si="78"/>
        <v>-0.18711544435095498</v>
      </c>
      <c r="AH172" s="262">
        <f t="shared" si="78"/>
        <v>-0.19209629103522252</v>
      </c>
      <c r="AI172" s="262">
        <f t="shared" si="78"/>
        <v>-0.23658492492061792</v>
      </c>
      <c r="AJ172" s="262">
        <f t="shared" si="78"/>
        <v>-0.253629657284279</v>
      </c>
      <c r="AK172" s="262">
        <f t="shared" si="78"/>
        <v>-0.28048876560612002</v>
      </c>
      <c r="AL172" s="262">
        <f>AL176+AL188</f>
        <v>-0.31672747192705475</v>
      </c>
      <c r="AM172" s="262">
        <f t="shared" si="78"/>
        <v>-0.36229321054396507</v>
      </c>
      <c r="AN172" s="262">
        <f t="shared" si="78"/>
        <v>-0.27948898682026335</v>
      </c>
      <c r="AO172" s="262">
        <f t="shared" si="78"/>
        <v>-0.40081797131483765</v>
      </c>
      <c r="AP172" s="262">
        <f t="shared" si="78"/>
        <v>-986.06255975878628</v>
      </c>
      <c r="AQ172" s="262">
        <f t="shared" si="78"/>
        <v>-521.76599000549004</v>
      </c>
      <c r="AR172" s="262">
        <v>-0.53779554681825881</v>
      </c>
      <c r="AS172" s="262">
        <v>-0.57030032779371342</v>
      </c>
      <c r="AT172" s="262">
        <v>-0.61464994018176644</v>
      </c>
      <c r="AU172" s="262">
        <v>-0.66011592209018122</v>
      </c>
      <c r="AV172" s="262">
        <v>-0.70704685775050713</v>
      </c>
      <c r="AW172" s="262">
        <v>-0.75582403169317836</v>
      </c>
      <c r="AX172" s="262">
        <v>-0.80664290090153357</v>
      </c>
      <c r="AY172" s="262">
        <v>-0.85951742092243422</v>
      </c>
      <c r="AZ172" s="262">
        <v>-0.91467222332127274</v>
      </c>
      <c r="BA172" s="262">
        <v>-0.97179677660979924</v>
      </c>
      <c r="BB172" s="262">
        <v>-1.0308424208283959</v>
      </c>
      <c r="BC172" s="262">
        <v>-1.0920957523416248</v>
      </c>
      <c r="BD172" s="262">
        <v>-1.1520464502688583</v>
      </c>
      <c r="BE172" s="262">
        <v>-1.212528862523345</v>
      </c>
      <c r="BF172" s="262">
        <v>-1.2752633179189172</v>
      </c>
      <c r="BG172" s="262">
        <v>-1.3402019536368415</v>
      </c>
      <c r="BH172" s="262">
        <v>-1.4065086443236166</v>
      </c>
      <c r="BI172" s="262">
        <v>-1.4746665858452532</v>
      </c>
      <c r="BJ172" s="262">
        <v>-1.5449132184268066</v>
      </c>
      <c r="BK172" s="262">
        <v>-1.617467780800685</v>
      </c>
      <c r="BL172" s="262">
        <v>-1.6923608646795252</v>
      </c>
      <c r="BM172" s="262">
        <v>-1.769512178181551</v>
      </c>
      <c r="BN172" s="262">
        <v>-1.8489641305214994</v>
      </c>
      <c r="BO172" s="262">
        <v>-1.9307388414115967</v>
      </c>
      <c r="BP172" s="262">
        <v>-2.0148462712244823</v>
      </c>
      <c r="BQ172" s="262">
        <v>-2.1012842431740739</v>
      </c>
      <c r="BR172" s="262">
        <v>-2.190048207821655</v>
      </c>
      <c r="BS172" s="262">
        <v>-2.281134208248198</v>
      </c>
      <c r="BT172" s="262">
        <v>-2.3745402047779445</v>
      </c>
      <c r="BU172" s="262">
        <v>-2.4702653308368872</v>
      </c>
      <c r="BV172" s="262">
        <v>-2.5683087122290016</v>
      </c>
      <c r="BW172" s="262">
        <v>-2.7528887162525093</v>
      </c>
      <c r="BX172" s="262">
        <v>-2.8587735063032973</v>
      </c>
      <c r="BY172" s="262">
        <v>-2.9670470026975959</v>
      </c>
      <c r="BZ172" s="262">
        <v>-3.0777092984972318</v>
      </c>
      <c r="CA172" s="262">
        <v>-3.1907605008695219</v>
      </c>
      <c r="CB172" s="262">
        <v>-3.3062006943089033</v>
      </c>
      <c r="CC172" s="262">
        <v>-3.4240299367503502</v>
      </c>
      <c r="CD172" s="262">
        <v>-3.5442482663756918</v>
      </c>
      <c r="CE172" s="262">
        <v>-3.6668557049950099</v>
      </c>
      <c r="CF172" s="262">
        <v>-3.7918522621442414</v>
      </c>
      <c r="CG172" s="262">
        <v>-3.919237939535408</v>
      </c>
      <c r="CH172" s="262">
        <v>-4.049012734992794</v>
      </c>
      <c r="CI172" s="262">
        <v>-4.1811766451260306</v>
      </c>
      <c r="CJ172" s="262">
        <v>-4.3157296667537164</v>
      </c>
      <c r="CK172" s="262">
        <v>-4.452671797435551</v>
      </c>
      <c r="CL172" s="262">
        <v>-4.5920030355349972</v>
      </c>
      <c r="CM172" s="262">
        <v>-4.7337233801005887</v>
      </c>
      <c r="CN172" s="262">
        <v>-4.8778328306833352</v>
      </c>
      <c r="CO172" s="262">
        <v>-5.0243313871538735</v>
      </c>
      <c r="CP172" s="262">
        <v>-5.173219049553258</v>
      </c>
      <c r="CQ172" s="262">
        <v>-5.3244958179900976</v>
      </c>
      <c r="CR172" s="262">
        <v>-5.4781616925806897</v>
      </c>
      <c r="CS172" s="262">
        <v>-5.6342166734210792</v>
      </c>
      <c r="CT172" s="262">
        <v>-5.7926607605788867</v>
      </c>
      <c r="CU172" s="262">
        <v>-5.9534939540953458</v>
      </c>
      <c r="CV172" s="262">
        <v>-6.1167162539914965</v>
      </c>
      <c r="CW172" s="262">
        <v>-6.2823276602750351</v>
      </c>
      <c r="CX172" s="262">
        <v>-6.4503281729460991</v>
      </c>
      <c r="CY172" s="262">
        <v>-6.6207177920014164</v>
      </c>
    </row>
    <row r="173" spans="1:103">
      <c r="A173" s="245"/>
      <c r="B173" s="229" t="s">
        <v>217</v>
      </c>
      <c r="C173" s="229"/>
      <c r="D173" s="229"/>
      <c r="E173" s="203"/>
      <c r="F173" s="229"/>
      <c r="G173" s="232" t="s">
        <v>736</v>
      </c>
      <c r="H173" s="203"/>
      <c r="I173" s="216"/>
      <c r="J173" s="216"/>
      <c r="K173" s="216"/>
      <c r="L173" s="245"/>
      <c r="M173" s="245"/>
      <c r="N173" s="245"/>
      <c r="O173" s="245"/>
      <c r="P173" s="245"/>
      <c r="Q173" s="245"/>
      <c r="R173" s="245"/>
      <c r="S173" s="245"/>
      <c r="T173" s="234"/>
      <c r="U173" s="234"/>
      <c r="V173" s="238"/>
      <c r="W173" s="238"/>
      <c r="X173" s="234"/>
      <c r="Y173" s="234"/>
      <c r="Z173" s="234"/>
      <c r="AA173" s="234"/>
      <c r="AB173" s="234"/>
      <c r="AC173" s="234"/>
      <c r="AD173" s="234"/>
      <c r="AE173" s="245">
        <f t="shared" ref="AE173:AQ173" si="79">AE174+AE177</f>
        <v>8.5929894005177559E-2</v>
      </c>
      <c r="AF173" s="245">
        <f t="shared" si="79"/>
        <v>0.13045761749489282</v>
      </c>
      <c r="AG173" s="245">
        <f t="shared" si="79"/>
        <v>0.28533775360347891</v>
      </c>
      <c r="AH173" s="245">
        <f t="shared" si="79"/>
        <v>0.23466745673636119</v>
      </c>
      <c r="AI173" s="245">
        <f t="shared" si="79"/>
        <v>0.36698262818207428</v>
      </c>
      <c r="AJ173" s="245">
        <f t="shared" si="79"/>
        <v>0.4168420082175528</v>
      </c>
      <c r="AK173" s="649">
        <f t="shared" si="79"/>
        <v>0.46413587001893353</v>
      </c>
      <c r="AL173" s="626">
        <f t="shared" si="79"/>
        <v>0.53513799449995225</v>
      </c>
      <c r="AM173" s="626">
        <f t="shared" si="79"/>
        <v>0.74470614305877114</v>
      </c>
      <c r="AN173" s="626">
        <f t="shared" si="79"/>
        <v>1.0500034614859057</v>
      </c>
      <c r="AO173" s="234">
        <f t="shared" si="79"/>
        <v>7.6394171622886364E-3</v>
      </c>
      <c r="AP173" s="234">
        <f t="shared" si="79"/>
        <v>-986.06294143090258</v>
      </c>
      <c r="AQ173" s="234">
        <f t="shared" si="79"/>
        <v>-521.76351489501258</v>
      </c>
      <c r="AR173" s="234">
        <v>1.0480599956111143</v>
      </c>
      <c r="AS173" s="234">
        <v>1.0971237424775562</v>
      </c>
      <c r="AT173" s="234">
        <v>1.1352433141977825</v>
      </c>
      <c r="AU173" s="234">
        <v>1.2223628567864862</v>
      </c>
      <c r="AV173" s="234">
        <v>1.3538513642757171</v>
      </c>
      <c r="AW173" s="234">
        <v>1.4683695825881324</v>
      </c>
      <c r="AX173" s="234">
        <v>1.6298901324291064</v>
      </c>
      <c r="AY173" s="234">
        <v>1.7293194056278007</v>
      </c>
      <c r="AZ173" s="234">
        <v>1.8353516870262041</v>
      </c>
      <c r="BA173" s="234">
        <v>1.9478505340207333</v>
      </c>
      <c r="BB173" s="234">
        <v>2.0891840084075959</v>
      </c>
      <c r="BC173" s="234">
        <v>2.2761492395344392</v>
      </c>
      <c r="BD173" s="234">
        <v>2.4817851429518489</v>
      </c>
      <c r="BE173" s="234">
        <v>2.6358830198080909</v>
      </c>
      <c r="BF173" s="234">
        <v>2.7592416967877016</v>
      </c>
      <c r="BG173" s="234">
        <v>2.8908014770209443</v>
      </c>
      <c r="BH173" s="234">
        <v>3.0620244412277606</v>
      </c>
      <c r="BI173" s="234">
        <v>3.2171216367126676</v>
      </c>
      <c r="BJ173" s="234">
        <v>3.4108486121374062</v>
      </c>
      <c r="BK173" s="234">
        <v>3.5421362469727971</v>
      </c>
      <c r="BL173" s="234">
        <v>3.6816214603858946</v>
      </c>
      <c r="BM173" s="234">
        <v>3.8283071837580129</v>
      </c>
      <c r="BN173" s="234">
        <v>4.0012246416780908</v>
      </c>
      <c r="BO173" s="234">
        <v>4.2164887358379701</v>
      </c>
      <c r="BP173" s="234">
        <v>4.426072948805599</v>
      </c>
      <c r="BQ173" s="234">
        <v>4.6204049569280947</v>
      </c>
      <c r="BR173" s="234">
        <v>4.8037788383989195</v>
      </c>
      <c r="BS173" s="234">
        <v>4.9965753979041043</v>
      </c>
      <c r="BT173" s="234">
        <v>5.2236244200378366</v>
      </c>
      <c r="BU173" s="234">
        <v>5.4402480511899185</v>
      </c>
      <c r="BV173" s="234">
        <v>5.6916736704674058</v>
      </c>
      <c r="BW173" s="234">
        <v>5.8072831011734243</v>
      </c>
      <c r="BX173" s="234">
        <v>6.0116263146950555</v>
      </c>
      <c r="BY173" s="234">
        <v>6.2224867907983104</v>
      </c>
      <c r="BZ173" s="234">
        <v>6.4564747958612783</v>
      </c>
      <c r="CA173" s="234">
        <v>6.7272906109825223</v>
      </c>
      <c r="CB173" s="234">
        <v>6.99385374288698</v>
      </c>
      <c r="CC173" s="234">
        <v>7.2479944185059679</v>
      </c>
      <c r="CD173" s="234">
        <v>7.4934011459146159</v>
      </c>
      <c r="CE173" s="234">
        <v>7.7475048162777185</v>
      </c>
      <c r="CF173" s="234">
        <v>8.0315310800171655</v>
      </c>
      <c r="CG173" s="234">
        <v>8.3072886325990289</v>
      </c>
      <c r="CH173" s="234">
        <v>8.6134566337002418</v>
      </c>
      <c r="CI173" s="234">
        <v>8.8761700460569308</v>
      </c>
      <c r="CJ173" s="234">
        <v>9.1461697222732035</v>
      </c>
      <c r="CK173" s="234">
        <v>9.4224591118608494</v>
      </c>
      <c r="CL173" s="234">
        <v>9.7192342630897581</v>
      </c>
      <c r="CM173" s="234">
        <v>10.041323882200659</v>
      </c>
      <c r="CN173" s="234">
        <v>10.348884187907412</v>
      </c>
      <c r="CO173" s="234">
        <v>10.66189830757838</v>
      </c>
      <c r="CP173" s="234">
        <v>10.979864639550241</v>
      </c>
      <c r="CQ173" s="234">
        <v>11.302783166229801</v>
      </c>
      <c r="CR173" s="234">
        <v>11.630653871464558</v>
      </c>
      <c r="CS173" s="234">
        <v>11.963476740314508</v>
      </c>
      <c r="CT173" s="234">
        <v>12.301251758922833</v>
      </c>
      <c r="CU173" s="234">
        <v>12.643978914438611</v>
      </c>
      <c r="CV173" s="234">
        <v>12.991658194960531</v>
      </c>
      <c r="CW173" s="234">
        <v>13.344289589485831</v>
      </c>
      <c r="CX173" s="234">
        <v>13.701873087858125</v>
      </c>
      <c r="CY173" s="234">
        <v>14.064408680712663</v>
      </c>
    </row>
    <row r="174" spans="1:103">
      <c r="A174" s="229"/>
      <c r="B174" s="230"/>
      <c r="C174" s="229" t="s">
        <v>218</v>
      </c>
      <c r="D174" s="230"/>
      <c r="E174" s="203"/>
      <c r="F174" s="230"/>
      <c r="G174" s="232" t="s">
        <v>736</v>
      </c>
      <c r="H174" s="203"/>
      <c r="I174" s="203"/>
      <c r="J174" s="203"/>
      <c r="K174" s="203"/>
      <c r="L174" s="229"/>
      <c r="M174" s="229"/>
      <c r="N174" s="229"/>
      <c r="O174" s="229"/>
      <c r="P174" s="229"/>
      <c r="Q174" s="229"/>
      <c r="R174" s="229"/>
      <c r="S174" s="229"/>
      <c r="T174" s="234"/>
      <c r="U174" s="234"/>
      <c r="V174" s="234"/>
      <c r="W174" s="234"/>
      <c r="X174" s="234"/>
      <c r="Y174" s="234"/>
      <c r="Z174" s="234"/>
      <c r="AA174" s="234"/>
      <c r="AB174" s="234"/>
      <c r="AC174" s="234"/>
      <c r="AD174" s="234"/>
      <c r="AE174" s="245">
        <f t="shared" ref="AE174:AQ174" si="80">AE175+AE176</f>
        <v>0.12307867943903067</v>
      </c>
      <c r="AF174" s="245">
        <f t="shared" si="80"/>
        <v>0.15370782447669284</v>
      </c>
      <c r="AG174" s="245">
        <f t="shared" si="80"/>
        <v>0.23345067072937561</v>
      </c>
      <c r="AH174" s="245">
        <f t="shared" si="80"/>
        <v>0.20686788607203982</v>
      </c>
      <c r="AI174" s="245">
        <f t="shared" si="80"/>
        <v>0.337485869843627</v>
      </c>
      <c r="AJ174" s="245">
        <f t="shared" si="80"/>
        <v>0.3319502809544459</v>
      </c>
      <c r="AK174" s="649">
        <f t="shared" si="80"/>
        <v>0.40379423999999997</v>
      </c>
      <c r="AL174" s="626">
        <f t="shared" si="80"/>
        <v>0.38890078174262727</v>
      </c>
      <c r="AM174" s="626">
        <f t="shared" si="80"/>
        <v>0.56447547254935715</v>
      </c>
      <c r="AN174" s="626">
        <f t="shared" si="80"/>
        <v>0.80323773313047686</v>
      </c>
      <c r="AO174" s="234">
        <f t="shared" si="80"/>
        <v>-0.19484008895726848</v>
      </c>
      <c r="AP174" s="234">
        <f t="shared" si="80"/>
        <v>-986.06255975878628</v>
      </c>
      <c r="AQ174" s="234">
        <f t="shared" si="80"/>
        <v>-521.76599000549004</v>
      </c>
      <c r="AR174" s="234">
        <v>0.74033899227549371</v>
      </c>
      <c r="AS174" s="234">
        <v>0.75557461142784466</v>
      </c>
      <c r="AT174" s="234">
        <v>0.78633536684162286</v>
      </c>
      <c r="AU174" s="234">
        <v>0.85858337043684818</v>
      </c>
      <c r="AV174" s="234">
        <v>0.93453858698137071</v>
      </c>
      <c r="AW174" s="234">
        <v>1.0134773420737304</v>
      </c>
      <c r="AX174" s="234">
        <v>1.0972003092576021</v>
      </c>
      <c r="AY174" s="234">
        <v>1.1950821490473609</v>
      </c>
      <c r="AZ174" s="234">
        <v>1.2924582654928032</v>
      </c>
      <c r="BA174" s="234">
        <v>1.3937359526950373</v>
      </c>
      <c r="BB174" s="234">
        <v>1.4979758868437774</v>
      </c>
      <c r="BC174" s="234">
        <v>1.6029944296940482</v>
      </c>
      <c r="BD174" s="234">
        <v>1.7330607191073493</v>
      </c>
      <c r="BE174" s="234">
        <v>1.8435956563780285</v>
      </c>
      <c r="BF174" s="234">
        <v>1.9426139870479648</v>
      </c>
      <c r="BG174" s="234">
        <v>2.0452413485044869</v>
      </c>
      <c r="BH174" s="234">
        <v>2.1524313052750537</v>
      </c>
      <c r="BI174" s="234">
        <v>2.2604345313817977</v>
      </c>
      <c r="BJ174" s="234">
        <v>2.371035157226951</v>
      </c>
      <c r="BK174" s="234">
        <v>2.484052845099074</v>
      </c>
      <c r="BL174" s="234">
        <v>2.6010318718293362</v>
      </c>
      <c r="BM174" s="234">
        <v>2.7221283465424144</v>
      </c>
      <c r="BN174" s="234">
        <v>2.8469339170527306</v>
      </c>
      <c r="BO174" s="234">
        <v>2.9755173427772936</v>
      </c>
      <c r="BP174" s="234">
        <v>3.1079178125624543</v>
      </c>
      <c r="BQ174" s="234">
        <v>3.2441597195827061</v>
      </c>
      <c r="BR174" s="234">
        <v>3.3842327371669638</v>
      </c>
      <c r="BS174" s="234">
        <v>3.5281227676681701</v>
      </c>
      <c r="BT174" s="234">
        <v>3.6758125447289451</v>
      </c>
      <c r="BU174" s="234">
        <v>3.8272947121911063</v>
      </c>
      <c r="BV174" s="234">
        <v>3.9825679411098109</v>
      </c>
      <c r="BW174" s="234">
        <v>4.1416308812808751</v>
      </c>
      <c r="BX174" s="234">
        <v>4.304482700622227</v>
      </c>
      <c r="BY174" s="234">
        <v>4.4711231178095989</v>
      </c>
      <c r="BZ174" s="234">
        <v>4.6415523054045575</v>
      </c>
      <c r="CA174" s="234">
        <v>4.8157705854503838</v>
      </c>
      <c r="CB174" s="234">
        <v>4.9937782526141357</v>
      </c>
      <c r="CC174" s="234">
        <v>5.175575464109742</v>
      </c>
      <c r="CD174" s="234">
        <v>5.3611622591675028</v>
      </c>
      <c r="CE174" s="234">
        <v>5.550538613107971</v>
      </c>
      <c r="CF174" s="234">
        <v>5.7437044637883856</v>
      </c>
      <c r="CG174" s="234">
        <v>5.9406597284036735</v>
      </c>
      <c r="CH174" s="234">
        <v>6.1414043156713936</v>
      </c>
      <c r="CI174" s="234">
        <v>6.3459381349603428</v>
      </c>
      <c r="CJ174" s="234">
        <v>6.5542611016412096</v>
      </c>
      <c r="CK174" s="234">
        <v>6.766373139275089</v>
      </c>
      <c r="CL174" s="234">
        <v>6.9822741794472378</v>
      </c>
      <c r="CM174" s="234">
        <v>7.2019641606053995</v>
      </c>
      <c r="CN174" s="234">
        <v>7.425443026826013</v>
      </c>
      <c r="CO174" s="234">
        <v>7.652710726757384</v>
      </c>
      <c r="CP174" s="234">
        <v>7.8837672127898806</v>
      </c>
      <c r="CQ174" s="234">
        <v>8.1186124404417122</v>
      </c>
      <c r="CR174" s="234">
        <v>8.3572463679301272</v>
      </c>
      <c r="CS174" s="234">
        <v>8.5996689558836117</v>
      </c>
      <c r="CT174" s="234">
        <v>8.8458801671485787</v>
      </c>
      <c r="CU174" s="234">
        <v>9.0958799666495</v>
      </c>
      <c r="CV174" s="234">
        <v>9.3496683212740059</v>
      </c>
      <c r="CW174" s="234">
        <v>9.6072451997680002</v>
      </c>
      <c r="CX174" s="234">
        <v>9.8686105726342088</v>
      </c>
      <c r="CY174" s="234">
        <v>10.133764412032034</v>
      </c>
    </row>
    <row r="175" spans="1:103">
      <c r="A175" s="93"/>
      <c r="B175" s="230"/>
      <c r="C175" s="230"/>
      <c r="D175" s="230" t="s">
        <v>737</v>
      </c>
      <c r="E175" s="232"/>
      <c r="F175" s="230"/>
      <c r="G175" s="232" t="s">
        <v>736</v>
      </c>
      <c r="H175" s="203"/>
      <c r="I175" s="94"/>
      <c r="J175" s="94"/>
      <c r="K175" s="94"/>
      <c r="L175" s="93"/>
      <c r="M175" s="93"/>
      <c r="N175" s="93"/>
      <c r="O175" s="93"/>
      <c r="P175" s="93"/>
      <c r="Q175" s="93"/>
      <c r="R175" s="93"/>
      <c r="S175" s="93"/>
      <c r="T175" s="600"/>
      <c r="U175" s="600"/>
      <c r="V175" s="600"/>
      <c r="W175" s="600"/>
      <c r="X175" s="600"/>
      <c r="Y175" s="600"/>
      <c r="Z175" s="600"/>
      <c r="AA175" s="600"/>
      <c r="AB175" s="600"/>
      <c r="AC175" s="600"/>
      <c r="AD175" s="600"/>
      <c r="AE175" s="597">
        <v>0.17392893400000001</v>
      </c>
      <c r="AF175" s="597">
        <v>0.210361411</v>
      </c>
      <c r="AG175" s="597">
        <v>0.28551592200000003</v>
      </c>
      <c r="AH175" s="597">
        <v>0.26773574299999997</v>
      </c>
      <c r="AI175" s="597">
        <v>0.41305944500000003</v>
      </c>
      <c r="AJ175" s="597">
        <v>0.41981847999999999</v>
      </c>
      <c r="AK175" s="650">
        <v>0.510217947</v>
      </c>
      <c r="AL175" s="594">
        <v>0.53149753799999999</v>
      </c>
      <c r="AM175" s="646">
        <v>0.72548847799999994</v>
      </c>
      <c r="AN175" s="594">
        <v>0.89448178699999992</v>
      </c>
      <c r="AO175" s="253">
        <v>0</v>
      </c>
      <c r="AP175" s="253">
        <v>0</v>
      </c>
      <c r="AQ175" s="253">
        <v>0</v>
      </c>
      <c r="AR175" s="253">
        <v>1.0209390258854192</v>
      </c>
      <c r="AS175" s="253">
        <v>1.0494230858048914</v>
      </c>
      <c r="AT175" s="253">
        <v>1.1044832421483892</v>
      </c>
      <c r="AU175" s="253">
        <v>1.201343338693696</v>
      </c>
      <c r="AV175" s="253">
        <v>1.3025621181902112</v>
      </c>
      <c r="AW175" s="253">
        <v>1.4077873845169087</v>
      </c>
      <c r="AX175" s="253">
        <v>1.5190054619508022</v>
      </c>
      <c r="AY175" s="253">
        <v>1.6455951603031282</v>
      </c>
      <c r="AZ175" s="253">
        <v>1.773106708939076</v>
      </c>
      <c r="BA175" s="253">
        <v>1.905627064221503</v>
      </c>
      <c r="BB175" s="253">
        <v>2.0421584361305065</v>
      </c>
      <c r="BC175" s="253">
        <v>2.1807939765356732</v>
      </c>
      <c r="BD175" s="253">
        <v>2.3446790888762075</v>
      </c>
      <c r="BE175" s="253">
        <v>2.4885192884013736</v>
      </c>
      <c r="BF175" s="253">
        <v>2.6220496494668821</v>
      </c>
      <c r="BG175" s="253">
        <v>2.7603479466413283</v>
      </c>
      <c r="BH175" s="253">
        <v>2.9035316190986702</v>
      </c>
      <c r="BI175" s="253">
        <v>3.0483345367270509</v>
      </c>
      <c r="BJ175" s="253">
        <v>3.1967782701537577</v>
      </c>
      <c r="BK175" s="253">
        <v>3.3489017203997591</v>
      </c>
      <c r="BL175" s="253">
        <v>3.5062797560088614</v>
      </c>
      <c r="BM175" s="253">
        <v>3.6689881942239655</v>
      </c>
      <c r="BN175" s="253">
        <v>3.8366610920742299</v>
      </c>
      <c r="BO175" s="253">
        <v>4.00938932868889</v>
      </c>
      <c r="BP175" s="253">
        <v>4.1872220532869369</v>
      </c>
      <c r="BQ175" s="253">
        <v>4.3701814822567799</v>
      </c>
      <c r="BR175" s="253">
        <v>4.5582527394886192</v>
      </c>
      <c r="BS175" s="253">
        <v>4.751417770416368</v>
      </c>
      <c r="BT175" s="253">
        <v>4.9496572690068898</v>
      </c>
      <c r="BU175" s="253">
        <v>5.1529630125279935</v>
      </c>
      <c r="BV175" s="253">
        <v>5.3613327978388128</v>
      </c>
      <c r="BW175" s="253">
        <v>5.5747647170333847</v>
      </c>
      <c r="BX175" s="253">
        <v>5.7932577014255244</v>
      </c>
      <c r="BY175" s="253">
        <v>6.0168114650071951</v>
      </c>
      <c r="BZ175" s="253">
        <v>6.2454262734017894</v>
      </c>
      <c r="CA175" s="253">
        <v>6.4791025558199058</v>
      </c>
      <c r="CB175" s="253">
        <v>6.7178406914230386</v>
      </c>
      <c r="CC175" s="253">
        <v>6.9616408953600919</v>
      </c>
      <c r="CD175" s="253">
        <v>7.2105032450431947</v>
      </c>
      <c r="CE175" s="253">
        <v>7.4644277376029811</v>
      </c>
      <c r="CF175" s="253">
        <v>7.7234143204326271</v>
      </c>
      <c r="CG175" s="253">
        <v>7.9874629124390815</v>
      </c>
      <c r="CH175" s="253">
        <v>8.2565734201641874</v>
      </c>
      <c r="CI175" s="253">
        <v>8.530745749586373</v>
      </c>
      <c r="CJ175" s="253">
        <v>8.8099798128949249</v>
      </c>
      <c r="CK175" s="253">
        <v>9.0942755312106396</v>
      </c>
      <c r="CL175" s="253">
        <v>9.3836328344822348</v>
      </c>
      <c r="CM175" s="253">
        <v>9.6780516602059876</v>
      </c>
      <c r="CN175" s="253">
        <v>9.9775319520093486</v>
      </c>
      <c r="CO175" s="253">
        <v>10.282073658411258</v>
      </c>
      <c r="CP175" s="253">
        <v>10.591676731843139</v>
      </c>
      <c r="CQ175" s="253">
        <v>10.90634112793181</v>
      </c>
      <c r="CR175" s="253">
        <v>11.226066805010817</v>
      </c>
      <c r="CS175" s="253">
        <v>11.550853723804691</v>
      </c>
      <c r="CT175" s="253">
        <v>11.880701847227465</v>
      </c>
      <c r="CU175" s="253">
        <v>12.215611140244846</v>
      </c>
      <c r="CV175" s="253">
        <v>12.555581569765502</v>
      </c>
      <c r="CW175" s="253">
        <v>12.900613104543035</v>
      </c>
      <c r="CX175" s="253">
        <v>13.250705715080308</v>
      </c>
      <c r="CY175" s="253">
        <v>13.60585937353345</v>
      </c>
    </row>
    <row r="176" spans="1:103">
      <c r="A176" s="229"/>
      <c r="B176" s="230"/>
      <c r="C176" s="230"/>
      <c r="D176" s="230" t="s">
        <v>798</v>
      </c>
      <c r="E176" s="232"/>
      <c r="F176" s="230"/>
      <c r="G176" s="232" t="s">
        <v>736</v>
      </c>
      <c r="H176" s="203"/>
      <c r="I176" s="203"/>
      <c r="J176" s="203"/>
      <c r="K176" s="203"/>
      <c r="L176" s="229"/>
      <c r="M176" s="229"/>
      <c r="N176" s="229"/>
      <c r="O176" s="229"/>
      <c r="P176" s="229"/>
      <c r="Q176" s="229"/>
      <c r="R176" s="229"/>
      <c r="S176" s="229"/>
      <c r="T176" s="600"/>
      <c r="U176" s="600"/>
      <c r="V176" s="600"/>
      <c r="W176" s="600"/>
      <c r="X176" s="600"/>
      <c r="Y176" s="600"/>
      <c r="Z176" s="600"/>
      <c r="AA176" s="600"/>
      <c r="AB176" s="600"/>
      <c r="AC176" s="600"/>
      <c r="AD176" s="600"/>
      <c r="AE176" s="600">
        <v>-5.0850254560969338E-2</v>
      </c>
      <c r="AF176" s="651">
        <v>-5.665358652330716E-2</v>
      </c>
      <c r="AG176" s="651">
        <v>-5.2065251270624412E-2</v>
      </c>
      <c r="AH176" s="651">
        <v>-6.0867856927960165E-2</v>
      </c>
      <c r="AI176" s="651">
        <v>-7.557357515637303E-2</v>
      </c>
      <c r="AJ176" s="651">
        <v>-8.7868199045554124E-2</v>
      </c>
      <c r="AK176" s="650">
        <v>-0.10642370700000001</v>
      </c>
      <c r="AL176" s="594">
        <v>-0.14259675625737273</v>
      </c>
      <c r="AM176" s="646">
        <v>-0.16101300545064279</v>
      </c>
      <c r="AN176" s="594">
        <v>-9.1244053869523029E-2</v>
      </c>
      <c r="AO176" s="601">
        <v>-0.19484008895726848</v>
      </c>
      <c r="AP176" s="253">
        <v>-986.06255975878628</v>
      </c>
      <c r="AQ176" s="253">
        <v>-521.76599000549004</v>
      </c>
      <c r="AR176" s="253">
        <v>-0.28060003360992553</v>
      </c>
      <c r="AS176" s="253">
        <v>-0.29384847437704675</v>
      </c>
      <c r="AT176" s="253">
        <v>-0.31814787530676641</v>
      </c>
      <c r="AU176" s="253">
        <v>-0.34275996825684785</v>
      </c>
      <c r="AV176" s="253">
        <v>-0.3680235312088404</v>
      </c>
      <c r="AW176" s="253">
        <v>-0.3943100424431783</v>
      </c>
      <c r="AX176" s="253">
        <v>-0.42180515269320012</v>
      </c>
      <c r="AY176" s="253">
        <v>-0.45051301125576743</v>
      </c>
      <c r="AZ176" s="253">
        <v>-0.48064844344627272</v>
      </c>
      <c r="BA176" s="253">
        <v>-0.51189111152646571</v>
      </c>
      <c r="BB176" s="253">
        <v>-0.54418254928672904</v>
      </c>
      <c r="BC176" s="253">
        <v>-0.57779954684162493</v>
      </c>
      <c r="BD176" s="253">
        <v>-0.61161836976885831</v>
      </c>
      <c r="BE176" s="253">
        <v>-0.64492363202334502</v>
      </c>
      <c r="BF176" s="253">
        <v>-0.6794356624189174</v>
      </c>
      <c r="BG176" s="253">
        <v>-0.71510659813684141</v>
      </c>
      <c r="BH176" s="253">
        <v>-0.75110031382361664</v>
      </c>
      <c r="BI176" s="253">
        <v>-0.78790000534525317</v>
      </c>
      <c r="BJ176" s="253">
        <v>-0.82574311292680658</v>
      </c>
      <c r="BK176" s="253">
        <v>-0.86484887530068499</v>
      </c>
      <c r="BL176" s="253">
        <v>-0.90524788417952518</v>
      </c>
      <c r="BM176" s="253">
        <v>-0.94685984768155107</v>
      </c>
      <c r="BN176" s="253">
        <v>-0.98972717502149943</v>
      </c>
      <c r="BO176" s="253">
        <v>-1.0338719859115966</v>
      </c>
      <c r="BP176" s="253">
        <v>-1.0793042407244826</v>
      </c>
      <c r="BQ176" s="253">
        <v>-1.1260217626740741</v>
      </c>
      <c r="BR176" s="253">
        <v>-1.1740200023216552</v>
      </c>
      <c r="BS176" s="253">
        <v>-1.2232950027481979</v>
      </c>
      <c r="BT176" s="253">
        <v>-1.2738447242779447</v>
      </c>
      <c r="BU176" s="253">
        <v>-1.325668300336887</v>
      </c>
      <c r="BV176" s="253">
        <v>-1.3787648567290018</v>
      </c>
      <c r="BW176" s="253">
        <v>-1.4331338357525094</v>
      </c>
      <c r="BX176" s="253">
        <v>-1.4887750008032972</v>
      </c>
      <c r="BY176" s="253">
        <v>-1.5456883471975964</v>
      </c>
      <c r="BZ176" s="253">
        <v>-1.6038739679972318</v>
      </c>
      <c r="CA176" s="253">
        <v>-1.663331970369522</v>
      </c>
      <c r="CB176" s="253">
        <v>-1.7240624388089032</v>
      </c>
      <c r="CC176" s="253">
        <v>-1.7860654312503499</v>
      </c>
      <c r="CD176" s="253">
        <v>-1.849340985875692</v>
      </c>
      <c r="CE176" s="253">
        <v>-1.9138891244950098</v>
      </c>
      <c r="CF176" s="253">
        <v>-1.9797098566442415</v>
      </c>
      <c r="CG176" s="253">
        <v>-2.046803184035408</v>
      </c>
      <c r="CH176" s="253">
        <v>-2.1151691044927938</v>
      </c>
      <c r="CI176" s="253">
        <v>-2.1848076146260302</v>
      </c>
      <c r="CJ176" s="253">
        <v>-2.2557187112537158</v>
      </c>
      <c r="CK176" s="253">
        <v>-2.3279023919355506</v>
      </c>
      <c r="CL176" s="253">
        <v>-2.4013586550349975</v>
      </c>
      <c r="CM176" s="253">
        <v>-2.4760874996005886</v>
      </c>
      <c r="CN176" s="253">
        <v>-2.5520889251833356</v>
      </c>
      <c r="CO176" s="253">
        <v>-2.629362931653874</v>
      </c>
      <c r="CP176" s="253">
        <v>-2.7079095190532585</v>
      </c>
      <c r="CQ176" s="253">
        <v>-2.7877286874900982</v>
      </c>
      <c r="CR176" s="253">
        <v>-2.8688204370806898</v>
      </c>
      <c r="CS176" s="253">
        <v>-2.9511847679210796</v>
      </c>
      <c r="CT176" s="253">
        <v>-3.0348216800788865</v>
      </c>
      <c r="CU176" s="253">
        <v>-3.1197311735953459</v>
      </c>
      <c r="CV176" s="253">
        <v>-3.2059132484914969</v>
      </c>
      <c r="CW176" s="253">
        <v>-3.2933679047750353</v>
      </c>
      <c r="CX176" s="253">
        <v>-3.3820951424460994</v>
      </c>
      <c r="CY176" s="253">
        <v>-3.4720949615014161</v>
      </c>
    </row>
    <row r="177" spans="1:103">
      <c r="A177" s="229"/>
      <c r="B177" s="230"/>
      <c r="C177" s="229" t="s">
        <v>220</v>
      </c>
      <c r="D177" s="229"/>
      <c r="E177" s="203"/>
      <c r="F177" s="229"/>
      <c r="G177" s="232" t="s">
        <v>736</v>
      </c>
      <c r="H177" s="203"/>
      <c r="I177" s="203"/>
      <c r="J177" s="203"/>
      <c r="K177" s="203"/>
      <c r="L177" s="229"/>
      <c r="M177" s="229"/>
      <c r="N177" s="229"/>
      <c r="O177" s="229"/>
      <c r="P177" s="229"/>
      <c r="Q177" s="229"/>
      <c r="R177" s="229"/>
      <c r="S177" s="229"/>
      <c r="T177" s="234"/>
      <c r="U177" s="234"/>
      <c r="V177" s="234"/>
      <c r="W177" s="234"/>
      <c r="X177" s="234"/>
      <c r="Y177" s="234"/>
      <c r="Z177" s="234"/>
      <c r="AA177" s="234"/>
      <c r="AB177" s="234"/>
      <c r="AC177" s="234"/>
      <c r="AD177" s="234"/>
      <c r="AE177" s="245">
        <f>AE178+AE188</f>
        <v>-3.714878543385311E-2</v>
      </c>
      <c r="AF177" s="245">
        <f t="shared" ref="AF177:AQ177" si="81">AF178+AF188</f>
        <v>-2.3250206981800012E-2</v>
      </c>
      <c r="AG177" s="245">
        <f t="shared" si="81"/>
        <v>5.1887082874103263E-2</v>
      </c>
      <c r="AH177" s="245">
        <f t="shared" si="81"/>
        <v>2.7799570664321371E-2</v>
      </c>
      <c r="AI177" s="245">
        <f t="shared" si="81"/>
        <v>2.9496758338447254E-2</v>
      </c>
      <c r="AJ177" s="245">
        <f t="shared" si="81"/>
        <v>8.4891727263106898E-2</v>
      </c>
      <c r="AK177" s="649">
        <f t="shared" si="81"/>
        <v>6.0341630018933584E-2</v>
      </c>
      <c r="AL177" s="649">
        <f t="shared" si="81"/>
        <v>0.14623721275732501</v>
      </c>
      <c r="AM177" s="593">
        <f t="shared" si="81"/>
        <v>0.18023067050941394</v>
      </c>
      <c r="AN177" s="649">
        <f t="shared" si="81"/>
        <v>0.24676572835542882</v>
      </c>
      <c r="AO177" s="277">
        <f t="shared" si="81"/>
        <v>0.20247950611955712</v>
      </c>
      <c r="AP177" s="277">
        <f t="shared" si="81"/>
        <v>-3.8167211632666575E-4</v>
      </c>
      <c r="AQ177" s="277">
        <f t="shared" si="81"/>
        <v>2.4751104775171222E-3</v>
      </c>
      <c r="AR177" s="277">
        <v>0.30772100333562064</v>
      </c>
      <c r="AS177" s="277">
        <v>0.34154913104971141</v>
      </c>
      <c r="AT177" s="277">
        <v>0.34890794735615965</v>
      </c>
      <c r="AU177" s="277">
        <v>0.36377948634963786</v>
      </c>
      <c r="AV177" s="277">
        <v>0.41931277729434629</v>
      </c>
      <c r="AW177" s="277">
        <v>0.45489224051440208</v>
      </c>
      <c r="AX177" s="277">
        <v>0.53268982317150426</v>
      </c>
      <c r="AY177" s="277">
        <v>0.53423725658043986</v>
      </c>
      <c r="AZ177" s="277">
        <v>0.54289342153340081</v>
      </c>
      <c r="BA177" s="277">
        <v>0.55411458132569602</v>
      </c>
      <c r="BB177" s="277">
        <v>0.59120812156381852</v>
      </c>
      <c r="BC177" s="277">
        <v>0.67315480984039111</v>
      </c>
      <c r="BD177" s="277">
        <v>0.74872442384449978</v>
      </c>
      <c r="BE177" s="277">
        <v>0.79228736343006256</v>
      </c>
      <c r="BF177" s="277">
        <v>0.81662770973973697</v>
      </c>
      <c r="BG177" s="277">
        <v>0.84556012851645745</v>
      </c>
      <c r="BH177" s="277">
        <v>0.90959313595270685</v>
      </c>
      <c r="BI177" s="277">
        <v>0.95668710533086998</v>
      </c>
      <c r="BJ177" s="277">
        <v>1.039813454910455</v>
      </c>
      <c r="BK177" s="277">
        <v>1.0580834018737231</v>
      </c>
      <c r="BL177" s="277">
        <v>1.0805895885565584</v>
      </c>
      <c r="BM177" s="277">
        <v>1.1061788372155985</v>
      </c>
      <c r="BN177" s="277">
        <v>1.15429072462536</v>
      </c>
      <c r="BO177" s="277">
        <v>1.2409713930606765</v>
      </c>
      <c r="BP177" s="277">
        <v>1.3181551362431447</v>
      </c>
      <c r="BQ177" s="277">
        <v>1.3762452373453888</v>
      </c>
      <c r="BR177" s="277">
        <v>1.4195461012319557</v>
      </c>
      <c r="BS177" s="277">
        <v>1.468452630235934</v>
      </c>
      <c r="BT177" s="277">
        <v>1.5478118753088916</v>
      </c>
      <c r="BU177" s="277">
        <v>1.612953338998812</v>
      </c>
      <c r="BV177" s="277">
        <v>1.7091057293575944</v>
      </c>
      <c r="BW177" s="277">
        <v>1.6656522198925492</v>
      </c>
      <c r="BX177" s="277">
        <v>1.707143614072828</v>
      </c>
      <c r="BY177" s="277">
        <v>1.7513636729887119</v>
      </c>
      <c r="BZ177" s="277">
        <v>1.8149224904567209</v>
      </c>
      <c r="CA177" s="277">
        <v>1.9115200255321387</v>
      </c>
      <c r="CB177" s="277">
        <v>2.0000754902728444</v>
      </c>
      <c r="CC177" s="277">
        <v>2.0724189543962259</v>
      </c>
      <c r="CD177" s="277">
        <v>2.1322388867471136</v>
      </c>
      <c r="CE177" s="277">
        <v>2.1969662031697474</v>
      </c>
      <c r="CF177" s="277">
        <v>2.2878266162287795</v>
      </c>
      <c r="CG177" s="277">
        <v>2.3666289041953559</v>
      </c>
      <c r="CH177" s="277">
        <v>2.4720523180288483</v>
      </c>
      <c r="CI177" s="277">
        <v>2.5302319110965872</v>
      </c>
      <c r="CJ177" s="277">
        <v>2.5919086206319948</v>
      </c>
      <c r="CK177" s="277">
        <v>2.6560859725857608</v>
      </c>
      <c r="CL177" s="277">
        <v>2.7369600836425203</v>
      </c>
      <c r="CM177" s="277">
        <v>2.83935972159526</v>
      </c>
      <c r="CN177" s="277">
        <v>2.9234411610813997</v>
      </c>
      <c r="CO177" s="277">
        <v>3.0091875808209947</v>
      </c>
      <c r="CP177" s="277">
        <v>3.0960974267603611</v>
      </c>
      <c r="CQ177" s="277">
        <v>3.1841707257880887</v>
      </c>
      <c r="CR177" s="277">
        <v>3.2734075035344308</v>
      </c>
      <c r="CS177" s="277">
        <v>3.3638077844308967</v>
      </c>
      <c r="CT177" s="277">
        <v>3.455371591774254</v>
      </c>
      <c r="CU177" s="277">
        <v>3.5480989477891107</v>
      </c>
      <c r="CV177" s="277">
        <v>3.6419898736865242</v>
      </c>
      <c r="CW177" s="277">
        <v>3.7370443897178309</v>
      </c>
      <c r="CX177" s="277">
        <v>3.8332625152239155</v>
      </c>
      <c r="CY177" s="277">
        <v>3.9306442686806289</v>
      </c>
    </row>
    <row r="178" spans="1:103">
      <c r="A178" s="229"/>
      <c r="B178" s="230"/>
      <c r="C178" s="230"/>
      <c r="D178" s="229" t="s">
        <v>22</v>
      </c>
      <c r="E178" s="232"/>
      <c r="F178" s="230"/>
      <c r="G178" s="232" t="s">
        <v>736</v>
      </c>
      <c r="H178" s="203"/>
      <c r="I178" s="203"/>
      <c r="J178" s="203"/>
      <c r="K178" s="203"/>
      <c r="L178" s="229"/>
      <c r="M178" s="229"/>
      <c r="N178" s="229"/>
      <c r="O178" s="229"/>
      <c r="P178" s="229"/>
      <c r="Q178" s="229"/>
      <c r="R178" s="229"/>
      <c r="S178" s="229"/>
      <c r="T178" s="193"/>
      <c r="U178" s="193"/>
      <c r="V178" s="193"/>
      <c r="W178" s="193"/>
      <c r="X178" s="193"/>
      <c r="Y178" s="193"/>
      <c r="Z178" s="193"/>
      <c r="AA178" s="193"/>
      <c r="AB178" s="193"/>
      <c r="AC178" s="193"/>
      <c r="AD178" s="193"/>
      <c r="AE178" s="240">
        <f t="shared" ref="AE178:AQ178" si="82">SUM(AE179:AE187)</f>
        <v>0.1035945461100046</v>
      </c>
      <c r="AF178" s="240">
        <f t="shared" si="82"/>
        <v>0.12032212824639259</v>
      </c>
      <c r="AG178" s="240">
        <f t="shared" si="82"/>
        <v>0.18693727595443382</v>
      </c>
      <c r="AH178" s="240">
        <f t="shared" si="82"/>
        <v>0.15902800477158374</v>
      </c>
      <c r="AI178" s="240">
        <f t="shared" si="82"/>
        <v>0.19050810810269214</v>
      </c>
      <c r="AJ178" s="240">
        <f t="shared" si="82"/>
        <v>0.25065318550183174</v>
      </c>
      <c r="AK178" s="652">
        <f t="shared" si="82"/>
        <v>0.23440668862505359</v>
      </c>
      <c r="AL178" s="652">
        <f t="shared" si="82"/>
        <v>0.32036792842700706</v>
      </c>
      <c r="AM178" s="652">
        <f t="shared" si="82"/>
        <v>0.38151087560273622</v>
      </c>
      <c r="AN178" s="652">
        <f t="shared" si="82"/>
        <v>0.43501066130616917</v>
      </c>
      <c r="AO178" s="262">
        <f t="shared" si="82"/>
        <v>0.40845738847712626</v>
      </c>
      <c r="AP178" s="262">
        <f t="shared" si="82"/>
        <v>-3.8167211632666575E-4</v>
      </c>
      <c r="AQ178" s="262">
        <f t="shared" si="82"/>
        <v>2.4751104775171222E-3</v>
      </c>
      <c r="AR178" s="262">
        <v>0.56491651654395392</v>
      </c>
      <c r="AS178" s="262">
        <v>0.61800098446637808</v>
      </c>
      <c r="AT178" s="262">
        <v>0.64541001223115968</v>
      </c>
      <c r="AU178" s="262">
        <v>0.68113544018297123</v>
      </c>
      <c r="AV178" s="262">
        <v>0.75833610383601302</v>
      </c>
      <c r="AW178" s="262">
        <v>0.81640622976440214</v>
      </c>
      <c r="AX178" s="262">
        <v>0.91752757137983776</v>
      </c>
      <c r="AY178" s="262">
        <v>0.94324166624710659</v>
      </c>
      <c r="AZ178" s="262">
        <v>0.97691720140840088</v>
      </c>
      <c r="BA178" s="262">
        <v>1.0140202464090295</v>
      </c>
      <c r="BB178" s="262">
        <v>1.0778679931054853</v>
      </c>
      <c r="BC178" s="262">
        <v>1.187451015340391</v>
      </c>
      <c r="BD178" s="262">
        <v>1.2891525043444998</v>
      </c>
      <c r="BE178" s="262">
        <v>1.3598925939300626</v>
      </c>
      <c r="BF178" s="262">
        <v>1.4124553652397369</v>
      </c>
      <c r="BG178" s="262">
        <v>1.4706554840164576</v>
      </c>
      <c r="BH178" s="262">
        <v>1.5650014664527068</v>
      </c>
      <c r="BI178" s="262">
        <v>1.6434536858308699</v>
      </c>
      <c r="BJ178" s="262">
        <v>1.7589835604104549</v>
      </c>
      <c r="BK178" s="262">
        <v>1.8107023073737232</v>
      </c>
      <c r="BL178" s="262">
        <v>1.8677025690565583</v>
      </c>
      <c r="BM178" s="262">
        <v>1.9288311677155983</v>
      </c>
      <c r="BN178" s="262">
        <v>2.0135276801253599</v>
      </c>
      <c r="BO178" s="262">
        <v>2.1378382485606764</v>
      </c>
      <c r="BP178" s="262">
        <v>2.2536971667431445</v>
      </c>
      <c r="BQ178" s="262">
        <v>2.3515077178453887</v>
      </c>
      <c r="BR178" s="262">
        <v>2.4355743067319557</v>
      </c>
      <c r="BS178" s="262">
        <v>2.5262918357359339</v>
      </c>
      <c r="BT178" s="262">
        <v>2.6485073558088916</v>
      </c>
      <c r="BU178" s="262">
        <v>2.7575503694988122</v>
      </c>
      <c r="BV178" s="262">
        <v>2.8986495848575942</v>
      </c>
      <c r="BW178" s="262">
        <v>2.9854071003925493</v>
      </c>
      <c r="BX178" s="262">
        <v>3.0771421195728279</v>
      </c>
      <c r="BY178" s="262">
        <v>3.1727223284887116</v>
      </c>
      <c r="BZ178" s="262">
        <v>3.2887578209567208</v>
      </c>
      <c r="CA178" s="262">
        <v>3.4389485560321384</v>
      </c>
      <c r="CB178" s="262">
        <v>3.5822137457728447</v>
      </c>
      <c r="CC178" s="262">
        <v>3.7103834598962258</v>
      </c>
      <c r="CD178" s="262">
        <v>3.8271461672471134</v>
      </c>
      <c r="CE178" s="262">
        <v>3.9499327836697478</v>
      </c>
      <c r="CF178" s="262">
        <v>4.0999690217287794</v>
      </c>
      <c r="CG178" s="262">
        <v>4.2390636596953559</v>
      </c>
      <c r="CH178" s="262">
        <v>4.4058959485288485</v>
      </c>
      <c r="CI178" s="262">
        <v>4.5266009415965875</v>
      </c>
      <c r="CJ178" s="262">
        <v>4.6519195761319949</v>
      </c>
      <c r="CK178" s="262">
        <v>4.7808553780857608</v>
      </c>
      <c r="CL178" s="262">
        <v>4.9276044641425205</v>
      </c>
      <c r="CM178" s="262">
        <v>5.0969956020952596</v>
      </c>
      <c r="CN178" s="262">
        <v>5.2491850665813997</v>
      </c>
      <c r="CO178" s="262">
        <v>5.4041560363209946</v>
      </c>
      <c r="CP178" s="262">
        <v>5.5614069572603606</v>
      </c>
      <c r="CQ178" s="262">
        <v>5.7209378562880886</v>
      </c>
      <c r="CR178" s="262">
        <v>5.8827487590344303</v>
      </c>
      <c r="CS178" s="262">
        <v>6.0468396899308967</v>
      </c>
      <c r="CT178" s="262">
        <v>6.2132106722742542</v>
      </c>
      <c r="CU178" s="262">
        <v>6.3818617282891106</v>
      </c>
      <c r="CV178" s="262">
        <v>6.5527928791865238</v>
      </c>
      <c r="CW178" s="262">
        <v>6.7260041452178312</v>
      </c>
      <c r="CX178" s="262">
        <v>6.9014955457239155</v>
      </c>
      <c r="CY178" s="262">
        <v>7.0792670991806288</v>
      </c>
    </row>
    <row r="179" spans="1:103">
      <c r="A179" s="229"/>
      <c r="B179" s="230"/>
      <c r="C179" s="230"/>
      <c r="D179" s="230"/>
      <c r="E179" s="230" t="s">
        <v>865</v>
      </c>
      <c r="F179" s="230"/>
      <c r="G179" s="232" t="s">
        <v>736</v>
      </c>
      <c r="H179" s="203"/>
      <c r="I179" s="203"/>
      <c r="J179" s="203"/>
      <c r="K179" s="203"/>
      <c r="L179" s="229"/>
      <c r="M179" s="229"/>
      <c r="N179" s="229"/>
      <c r="O179" s="229"/>
      <c r="P179" s="229"/>
      <c r="Q179" s="229"/>
      <c r="R179" s="229"/>
      <c r="S179" s="229"/>
      <c r="T179" s="597"/>
      <c r="U179" s="597"/>
      <c r="V179" s="597"/>
      <c r="W179" s="597"/>
      <c r="X179" s="597"/>
      <c r="Y179" s="597"/>
      <c r="Z179" s="597"/>
      <c r="AA179" s="597"/>
      <c r="AB179" s="597"/>
      <c r="AC179" s="597"/>
      <c r="AD179" s="597"/>
      <c r="AE179" s="597">
        <v>1.0752975999999999E-2</v>
      </c>
      <c r="AF179" s="650">
        <v>1.8884019000000002E-2</v>
      </c>
      <c r="AG179" s="650">
        <v>3.0579757999999999E-2</v>
      </c>
      <c r="AH179" s="650">
        <v>3.2252731E-2</v>
      </c>
      <c r="AI179" s="650">
        <v>2.0453491000000001E-2</v>
      </c>
      <c r="AJ179" s="650">
        <v>2.8377347000000001E-2</v>
      </c>
      <c r="AK179" s="650">
        <v>3.1939593000000002E-2</v>
      </c>
      <c r="AL179" s="650">
        <v>7.3387374000000005E-2</v>
      </c>
      <c r="AM179" s="650">
        <v>0.12066365599999999</v>
      </c>
      <c r="AN179" s="650">
        <v>9.8927421000000001E-2</v>
      </c>
      <c r="AO179" s="601">
        <v>9.3732082999999994E-2</v>
      </c>
      <c r="AP179" s="253">
        <v>0</v>
      </c>
      <c r="AQ179" s="253">
        <v>0</v>
      </c>
      <c r="AR179" s="253">
        <v>5.5684919216666663E-2</v>
      </c>
      <c r="AS179" s="253">
        <v>5.9998135633333331E-2</v>
      </c>
      <c r="AT179" s="253">
        <v>6.4502438549999999E-2</v>
      </c>
      <c r="AU179" s="253">
        <v>6.920088046666667E-2</v>
      </c>
      <c r="AV179" s="253">
        <v>7.409651388333334E-2</v>
      </c>
      <c r="AW179" s="253">
        <v>7.9192391300000012E-2</v>
      </c>
      <c r="AX179" s="253">
        <v>8.4491565216666703E-2</v>
      </c>
      <c r="AY179" s="253">
        <v>8.9997088133333361E-2</v>
      </c>
      <c r="AZ179" s="253">
        <v>9.5712012550000031E-2</v>
      </c>
      <c r="BA179" s="253">
        <v>0.1016393909666667</v>
      </c>
      <c r="BB179" s="253">
        <v>0.10778227588333339</v>
      </c>
      <c r="BC179" s="253">
        <v>0.11414371979999999</v>
      </c>
      <c r="BD179" s="253">
        <v>0.12966861599999999</v>
      </c>
      <c r="BE179" s="253">
        <v>0.13618941600000001</v>
      </c>
      <c r="BF179" s="253">
        <v>0.14296101599999997</v>
      </c>
      <c r="BG179" s="253">
        <v>0.14998341600000001</v>
      </c>
      <c r="BH179" s="253">
        <v>0.15725661599999996</v>
      </c>
      <c r="BI179" s="253">
        <v>0.16478061600000002</v>
      </c>
      <c r="BJ179" s="253">
        <v>0.17255541599999999</v>
      </c>
      <c r="BK179" s="253">
        <v>0.18058101599999998</v>
      </c>
      <c r="BL179" s="253">
        <v>0.18885741599999997</v>
      </c>
      <c r="BM179" s="253">
        <v>0.19738461599999993</v>
      </c>
      <c r="BN179" s="253">
        <v>0.20616261599999999</v>
      </c>
      <c r="BO179" s="253">
        <v>0.21519141599999997</v>
      </c>
      <c r="BP179" s="253">
        <v>0.22447101599999997</v>
      </c>
      <c r="BQ179" s="253">
        <v>0.23400141599999993</v>
      </c>
      <c r="BR179" s="253">
        <v>0.24378261600000004</v>
      </c>
      <c r="BS179" s="253">
        <v>0.25381461599999994</v>
      </c>
      <c r="BT179" s="253">
        <v>0.26409741599999992</v>
      </c>
      <c r="BU179" s="253">
        <v>0.27463101600000001</v>
      </c>
      <c r="BV179" s="253">
        <v>0.28541541599999998</v>
      </c>
      <c r="BW179" s="253">
        <v>0.296450616</v>
      </c>
      <c r="BX179" s="253">
        <v>0.30773661599999996</v>
      </c>
      <c r="BY179" s="253">
        <v>0.31927341599999992</v>
      </c>
      <c r="BZ179" s="253">
        <v>0.33106101599999999</v>
      </c>
      <c r="CA179" s="253">
        <v>0.34309941599999993</v>
      </c>
      <c r="CB179" s="253">
        <v>0.35538861599999999</v>
      </c>
      <c r="CC179" s="253">
        <v>0.36792861600000004</v>
      </c>
      <c r="CD179" s="253">
        <v>0.38071941599999987</v>
      </c>
      <c r="CE179" s="253">
        <v>0.39376101600000002</v>
      </c>
      <c r="CF179" s="253">
        <v>0.40705341599999989</v>
      </c>
      <c r="CG179" s="253">
        <v>0.42059661599999998</v>
      </c>
      <c r="CH179" s="253">
        <v>0.43439061599999995</v>
      </c>
      <c r="CI179" s="253">
        <v>0.44843541599999998</v>
      </c>
      <c r="CJ179" s="253">
        <v>0.462731016</v>
      </c>
      <c r="CK179" s="253">
        <v>0.47727741599999995</v>
      </c>
      <c r="CL179" s="253">
        <v>0.49207461599999996</v>
      </c>
      <c r="CM179" s="253">
        <v>0.50712261599999997</v>
      </c>
      <c r="CN179" s="253">
        <v>0.52242141599999992</v>
      </c>
      <c r="CO179" s="253">
        <v>0.53797101599999997</v>
      </c>
      <c r="CP179" s="253">
        <v>0.55377141599999991</v>
      </c>
      <c r="CQ179" s="253">
        <v>0.56982261599999984</v>
      </c>
      <c r="CR179" s="253">
        <v>0.58612461599999999</v>
      </c>
      <c r="CS179" s="253">
        <v>0.60267741599999991</v>
      </c>
      <c r="CT179" s="253">
        <v>0.61948101600000005</v>
      </c>
      <c r="CU179" s="253">
        <v>0.63653541599999997</v>
      </c>
      <c r="CV179" s="253">
        <v>0.65384061599999999</v>
      </c>
      <c r="CW179" s="253">
        <v>0.671396616</v>
      </c>
      <c r="CX179" s="253">
        <v>0.68920341600000001</v>
      </c>
      <c r="CY179" s="253">
        <v>0.70726101600000013</v>
      </c>
    </row>
    <row r="180" spans="1:103">
      <c r="A180" s="229"/>
      <c r="B180" s="230"/>
      <c r="C180" s="230"/>
      <c r="D180" s="230"/>
      <c r="E180" s="230" t="s">
        <v>866</v>
      </c>
      <c r="F180" s="230"/>
      <c r="G180" s="232" t="s">
        <v>736</v>
      </c>
      <c r="H180" s="203"/>
      <c r="I180" s="203"/>
      <c r="J180" s="203"/>
      <c r="K180" s="203"/>
      <c r="L180" s="229"/>
      <c r="M180" s="229"/>
      <c r="N180" s="229"/>
      <c r="O180" s="229"/>
      <c r="P180" s="229"/>
      <c r="Q180" s="229"/>
      <c r="R180" s="229"/>
      <c r="S180" s="229"/>
      <c r="T180" s="610"/>
      <c r="U180" s="610"/>
      <c r="V180" s="597"/>
      <c r="W180" s="597"/>
      <c r="X180" s="597"/>
      <c r="Y180" s="597"/>
      <c r="Z180" s="597"/>
      <c r="AA180" s="597"/>
      <c r="AB180" s="597"/>
      <c r="AC180" s="597"/>
      <c r="AD180" s="597"/>
      <c r="AE180" s="597">
        <v>2.4854575E-2</v>
      </c>
      <c r="AF180" s="650">
        <v>4.6130715000000003E-2</v>
      </c>
      <c r="AG180" s="650">
        <v>5.6724561999999999E-2</v>
      </c>
      <c r="AH180" s="650">
        <v>7.7854971000000009E-2</v>
      </c>
      <c r="AI180" s="650">
        <v>8.792660599999999E-2</v>
      </c>
      <c r="AJ180" s="650">
        <v>8.3456356999999995E-2</v>
      </c>
      <c r="AK180" s="650">
        <v>0.119436536</v>
      </c>
      <c r="AL180" s="650">
        <v>7.7174871000000006E-2</v>
      </c>
      <c r="AM180" s="650">
        <v>0.128674023</v>
      </c>
      <c r="AN180" s="650">
        <v>0.168697867</v>
      </c>
      <c r="AO180" s="601">
        <v>0.129405463</v>
      </c>
      <c r="AP180" s="253">
        <v>4.7941286762477513E-3</v>
      </c>
      <c r="AQ180" s="253">
        <v>2.5350256984113082E-3</v>
      </c>
      <c r="AR180" s="253">
        <v>0.15362172599204757</v>
      </c>
      <c r="AS180" s="253">
        <v>0.1669402460556399</v>
      </c>
      <c r="AT180" s="253">
        <v>0.18013016336992357</v>
      </c>
      <c r="AU180" s="253">
        <v>0.19378980200118323</v>
      </c>
      <c r="AV180" s="253">
        <v>0.20769041386300632</v>
      </c>
      <c r="AW180" s="253">
        <v>0.2224659960750065</v>
      </c>
      <c r="AX180" s="253">
        <v>0.23768507959030283</v>
      </c>
      <c r="AY180" s="253">
        <v>0.25378365996144353</v>
      </c>
      <c r="AZ180" s="253">
        <v>0.27056009652539953</v>
      </c>
      <c r="BA180" s="253">
        <v>0.28786657059438137</v>
      </c>
      <c r="BB180" s="253">
        <v>0.30578711953659599</v>
      </c>
      <c r="BC180" s="253">
        <v>0.32453965883608588</v>
      </c>
      <c r="BD180" s="253">
        <v>0.34268038091175973</v>
      </c>
      <c r="BE180" s="253">
        <v>0.36087267220461677</v>
      </c>
      <c r="BF180" s="253">
        <v>0.38032986861602053</v>
      </c>
      <c r="BG180" s="253">
        <v>0.39978642026053396</v>
      </c>
      <c r="BH180" s="253">
        <v>0.41959574027432089</v>
      </c>
      <c r="BI180" s="253">
        <v>0.43993153828413728</v>
      </c>
      <c r="BJ180" s="253">
        <v>0.46087913036328831</v>
      </c>
      <c r="BK180" s="253">
        <v>0.48259236996473182</v>
      </c>
      <c r="BL180" s="253">
        <v>0.50495077641293229</v>
      </c>
      <c r="BM180" s="253">
        <v>0.52798723923966917</v>
      </c>
      <c r="BN180" s="253">
        <v>0.55171513351105772</v>
      </c>
      <c r="BO180" s="253">
        <v>0.57614521475613867</v>
      </c>
      <c r="BP180" s="253">
        <v>0.60127759330693353</v>
      </c>
      <c r="BQ180" s="253">
        <v>0.62710978415569296</v>
      </c>
      <c r="BR180" s="253">
        <v>0.65363930928611291</v>
      </c>
      <c r="BS180" s="253">
        <v>0.68086433007555758</v>
      </c>
      <c r="BT180" s="253">
        <v>0.70878446004583695</v>
      </c>
      <c r="BU180" s="253">
        <v>0.73739914032167631</v>
      </c>
      <c r="BV180" s="253">
        <v>0.76670797610996222</v>
      </c>
      <c r="BW180" s="253">
        <v>0.79671075380186651</v>
      </c>
      <c r="BX180" s="253">
        <v>0.82740742889263985</v>
      </c>
      <c r="BY180" s="253">
        <v>0.85879804077746558</v>
      </c>
      <c r="BZ180" s="253">
        <v>0.89088265158315094</v>
      </c>
      <c r="CA180" s="253">
        <v>0.92366131609269153</v>
      </c>
      <c r="CB180" s="253">
        <v>0.95713407169883968</v>
      </c>
      <c r="CC180" s="253">
        <v>0.99130094421063308</v>
      </c>
      <c r="CD180" s="253">
        <v>1.0261619494719401</v>
      </c>
      <c r="CE180" s="253">
        <v>1.0617170954317072</v>
      </c>
      <c r="CF180" s="253">
        <v>1.0979663845438292</v>
      </c>
      <c r="CG180" s="253">
        <v>1.1349098162220708</v>
      </c>
      <c r="CH180" s="253">
        <v>1.1725473886791591</v>
      </c>
      <c r="CI180" s="253">
        <v>1.2108791000037833</v>
      </c>
      <c r="CJ180" s="253">
        <v>1.2499049486366345</v>
      </c>
      <c r="CK180" s="253">
        <v>1.2896249334748757</v>
      </c>
      <c r="CL180" s="253">
        <v>1.3300390538360309</v>
      </c>
      <c r="CM180" s="253">
        <v>1.3711473093646114</v>
      </c>
      <c r="CN180" s="253">
        <v>1.4129496999263009</v>
      </c>
      <c r="CO180" s="253">
        <v>1.4554462255142897</v>
      </c>
      <c r="CP180" s="253">
        <v>1.4986368861801744</v>
      </c>
      <c r="CQ180" s="253">
        <v>1.5425216819908421</v>
      </c>
      <c r="CR180" s="253">
        <v>1.5871006130062748</v>
      </c>
      <c r="CS180" s="253">
        <v>1.6323736792712675</v>
      </c>
      <c r="CT180" s="253">
        <v>1.6783408808147915</v>
      </c>
      <c r="CU180" s="253">
        <v>1.7250022176528592</v>
      </c>
      <c r="CV180" s="253">
        <v>1.7723576897924112</v>
      </c>
      <c r="CW180" s="253">
        <v>1.8204072972349008</v>
      </c>
      <c r="CX180" s="253">
        <v>1.8691510399790263</v>
      </c>
      <c r="CY180" s="253">
        <v>1.9185889180225186</v>
      </c>
    </row>
    <row r="181" spans="1:103">
      <c r="A181" s="95"/>
      <c r="B181" s="230"/>
      <c r="C181" s="230"/>
      <c r="D181" s="230"/>
      <c r="E181" s="230" t="s">
        <v>425</v>
      </c>
      <c r="F181" s="230"/>
      <c r="G181" s="232" t="s">
        <v>736</v>
      </c>
      <c r="H181" s="203"/>
      <c r="I181" s="214"/>
      <c r="J181" s="214"/>
      <c r="K181" s="214"/>
      <c r="L181" s="95"/>
      <c r="M181" s="95"/>
      <c r="N181" s="95"/>
      <c r="O181" s="95"/>
      <c r="P181" s="95"/>
      <c r="Q181" s="95"/>
      <c r="R181" s="95"/>
      <c r="S181" s="95"/>
      <c r="T181" s="267"/>
      <c r="U181" s="267"/>
      <c r="V181" s="267"/>
      <c r="W181" s="267"/>
      <c r="X181" s="267"/>
      <c r="Y181" s="267"/>
      <c r="Z181" s="267"/>
      <c r="AA181" s="267"/>
      <c r="AB181" s="267"/>
      <c r="AC181" s="267"/>
      <c r="AD181" s="597"/>
      <c r="AE181" s="597">
        <v>0</v>
      </c>
      <c r="AF181" s="597">
        <v>0</v>
      </c>
      <c r="AG181" s="597">
        <v>3.9899999999999999E-4</v>
      </c>
      <c r="AH181" s="597">
        <v>0</v>
      </c>
      <c r="AI181" s="597">
        <v>0</v>
      </c>
      <c r="AJ181" s="597">
        <v>0</v>
      </c>
      <c r="AK181" s="650">
        <v>0</v>
      </c>
      <c r="AL181" s="594">
        <v>0</v>
      </c>
      <c r="AM181" s="653">
        <v>0</v>
      </c>
      <c r="AN181" s="650">
        <v>0</v>
      </c>
      <c r="AO181" s="601">
        <v>0</v>
      </c>
      <c r="AP181" s="253">
        <v>0</v>
      </c>
      <c r="AQ181" s="253">
        <v>1.1387558910913929E-8</v>
      </c>
      <c r="AR181" s="253">
        <v>4.7839085031711984E-2</v>
      </c>
      <c r="AS181" s="253">
        <v>5.4623955264574975E-2</v>
      </c>
      <c r="AT181" s="253">
        <v>3.8754258787708988E-2</v>
      </c>
      <c r="AU181" s="253">
        <v>2.8289458937021991E-2</v>
      </c>
      <c r="AV181" s="253">
        <v>5.795889148072797E-2</v>
      </c>
      <c r="AW181" s="253">
        <v>6.7503708926958964E-2</v>
      </c>
      <c r="AX181" s="253">
        <v>0.11729775656813995</v>
      </c>
      <c r="AY181" s="253">
        <v>9.0618266838915953E-2</v>
      </c>
      <c r="AZ181" s="253">
        <v>6.5663744118046971E-2</v>
      </c>
      <c r="BA181" s="253">
        <v>4.2894179607760978E-2</v>
      </c>
      <c r="BB181" s="253">
        <v>4.5059971518251148E-2</v>
      </c>
      <c r="BC181" s="253">
        <v>9.150658631253189E-2</v>
      </c>
      <c r="BD181" s="253">
        <v>0.12426073025931493</v>
      </c>
      <c r="BE181" s="253">
        <v>0.13293459875034069</v>
      </c>
      <c r="BF181" s="253">
        <v>0.12224596003816565</v>
      </c>
      <c r="BG181" s="253">
        <v>0.11617680273995222</v>
      </c>
      <c r="BH181" s="253">
        <v>0.14440975211136858</v>
      </c>
      <c r="BI181" s="253">
        <v>0.1554425047286726</v>
      </c>
      <c r="BJ181" s="253">
        <v>0.20087565085420134</v>
      </c>
      <c r="BK181" s="253">
        <v>0.1809480493141031</v>
      </c>
      <c r="BL181" s="253">
        <v>0.16249475035292876</v>
      </c>
      <c r="BM181" s="253">
        <v>0.14590890132505807</v>
      </c>
      <c r="BN181" s="253">
        <v>0.15063491513252086</v>
      </c>
      <c r="BO181" s="253">
        <v>0.19320706226209428</v>
      </c>
      <c r="BP181" s="253">
        <v>0.22599309669078332</v>
      </c>
      <c r="BQ181" s="253">
        <v>0.2381980927380617</v>
      </c>
      <c r="BR181" s="253">
        <v>0.2338542538419201</v>
      </c>
      <c r="BS181" s="253">
        <v>0.23345861414547769</v>
      </c>
      <c r="BT181" s="253">
        <v>0.26238045361275897</v>
      </c>
      <c r="BU181" s="253">
        <v>0.2766015513790327</v>
      </c>
      <c r="BV181" s="253">
        <v>0.32022413254732163</v>
      </c>
      <c r="BW181" s="253">
        <v>0.30798389525178166</v>
      </c>
      <c r="BX181" s="253">
        <v>0.29700372153061372</v>
      </c>
      <c r="BY181" s="253">
        <v>0.2876196283369839</v>
      </c>
      <c r="BZ181" s="253">
        <v>0.2964504541462214</v>
      </c>
      <c r="CA181" s="253">
        <v>0.33762778379514463</v>
      </c>
      <c r="CB181" s="253">
        <v>0.37044107452467262</v>
      </c>
      <c r="CC181" s="253">
        <v>0.38566407059019903</v>
      </c>
      <c r="CD181" s="253">
        <v>0.38674303380344643</v>
      </c>
      <c r="CE181" s="253">
        <v>0.39119646170733924</v>
      </c>
      <c r="CF181" s="253">
        <v>0.42070708486729957</v>
      </c>
      <c r="CG181" s="253">
        <v>0.43765321183868738</v>
      </c>
      <c r="CH181" s="253">
        <v>0.4797283311872203</v>
      </c>
      <c r="CI181" s="253">
        <v>0.47405836501917747</v>
      </c>
      <c r="CJ181" s="253">
        <v>0.4694653556672978</v>
      </c>
      <c r="CK181" s="253">
        <v>0.46623649161589198</v>
      </c>
      <c r="CL181" s="253">
        <v>0.47857563665146979</v>
      </c>
      <c r="CM181" s="253">
        <v>0.51168808205215399</v>
      </c>
      <c r="CN181" s="253">
        <v>0.52587004663923465</v>
      </c>
      <c r="CO181" s="253">
        <v>0.54005201122631519</v>
      </c>
      <c r="CP181" s="253">
        <v>0.55423397581339595</v>
      </c>
      <c r="CQ181" s="253">
        <v>0.56841594040047649</v>
      </c>
      <c r="CR181" s="253">
        <v>0.58259790498755704</v>
      </c>
      <c r="CS181" s="253">
        <v>0.59677986957463769</v>
      </c>
      <c r="CT181" s="253">
        <v>0.61096183416171823</v>
      </c>
      <c r="CU181" s="253">
        <v>0.62514379874879888</v>
      </c>
      <c r="CV181" s="253">
        <v>0.63932576333587943</v>
      </c>
      <c r="CW181" s="253">
        <v>0.65350772792296019</v>
      </c>
      <c r="CX181" s="253">
        <v>0.66768969251004062</v>
      </c>
      <c r="CY181" s="253">
        <v>0.68187165709712128</v>
      </c>
    </row>
    <row r="182" spans="1:103">
      <c r="A182" s="229"/>
      <c r="B182" s="230"/>
      <c r="C182" s="230"/>
      <c r="D182" s="230"/>
      <c r="E182" s="230" t="s">
        <v>392</v>
      </c>
      <c r="F182" s="230"/>
      <c r="G182" s="232" t="s">
        <v>736</v>
      </c>
      <c r="H182" s="203"/>
      <c r="I182" s="203"/>
      <c r="J182" s="203"/>
      <c r="K182" s="203"/>
      <c r="L182" s="229"/>
      <c r="M182" s="229"/>
      <c r="N182" s="229"/>
      <c r="O182" s="229"/>
      <c r="P182" s="229"/>
      <c r="Q182" s="229"/>
      <c r="R182" s="229"/>
      <c r="S182" s="229"/>
      <c r="T182" s="597"/>
      <c r="U182" s="597"/>
      <c r="V182" s="597"/>
      <c r="W182" s="597"/>
      <c r="X182" s="597"/>
      <c r="Y182" s="597"/>
      <c r="Z182" s="597"/>
      <c r="AA182" s="597"/>
      <c r="AB182" s="597"/>
      <c r="AC182" s="597"/>
      <c r="AD182" s="597"/>
      <c r="AE182" s="594">
        <v>5.7898170110004601E-2</v>
      </c>
      <c r="AF182" s="650">
        <v>6.3115902246392575E-2</v>
      </c>
      <c r="AG182" s="650">
        <v>5.7721274954433847E-2</v>
      </c>
      <c r="AH182" s="650">
        <v>0.10373659977158375</v>
      </c>
      <c r="AI182" s="650">
        <v>7.7026936102692151E-2</v>
      </c>
      <c r="AJ182" s="650">
        <v>0.12443300550183176</v>
      </c>
      <c r="AK182" s="650">
        <v>0.10371383262505363</v>
      </c>
      <c r="AL182" s="650">
        <v>0.15371137142700705</v>
      </c>
      <c r="AM182" s="650">
        <v>0.15163303160273622</v>
      </c>
      <c r="AN182" s="650">
        <v>0.17084737630616914</v>
      </c>
      <c r="AO182" s="601">
        <v>0.17997489440595338</v>
      </c>
      <c r="AP182" s="253">
        <v>0</v>
      </c>
      <c r="AQ182" s="253">
        <v>0</v>
      </c>
      <c r="AR182" s="253">
        <v>0.32357453058333335</v>
      </c>
      <c r="AS182" s="253">
        <v>0.3486378151666667</v>
      </c>
      <c r="AT182" s="253">
        <v>0.37481146725000009</v>
      </c>
      <c r="AU182" s="253">
        <v>0.40211322433333335</v>
      </c>
      <c r="AV182" s="253">
        <v>0.43056082391666672</v>
      </c>
      <c r="AW182" s="253">
        <v>0.46017200350000009</v>
      </c>
      <c r="AX182" s="253">
        <v>0.49096450058333352</v>
      </c>
      <c r="AY182" s="253">
        <v>0.52295605266666689</v>
      </c>
      <c r="AZ182" s="253">
        <v>0.55616439725000011</v>
      </c>
      <c r="BA182" s="253">
        <v>0.59060727183333361</v>
      </c>
      <c r="BB182" s="253">
        <v>0.62630241391666697</v>
      </c>
      <c r="BC182" s="253">
        <v>0.66326756099999995</v>
      </c>
      <c r="BD182" s="253">
        <v>0.69696881099999985</v>
      </c>
      <c r="BE182" s="253">
        <v>0.73201811100000003</v>
      </c>
      <c r="BF182" s="253">
        <v>0.76841546099999991</v>
      </c>
      <c r="BG182" s="253">
        <v>0.80616086100000006</v>
      </c>
      <c r="BH182" s="253">
        <v>0.84525431099999992</v>
      </c>
      <c r="BI182" s="253">
        <v>0.88569581099999994</v>
      </c>
      <c r="BJ182" s="253">
        <v>0.92748536099999979</v>
      </c>
      <c r="BK182" s="253">
        <v>0.9706229609999999</v>
      </c>
      <c r="BL182" s="253">
        <v>1.0151086109999998</v>
      </c>
      <c r="BM182" s="253">
        <v>1.0609423109999998</v>
      </c>
      <c r="BN182" s="253">
        <v>1.1081240609999998</v>
      </c>
      <c r="BO182" s="253">
        <v>1.1566538609999999</v>
      </c>
      <c r="BP182" s="253">
        <v>1.2065317109999998</v>
      </c>
      <c r="BQ182" s="253">
        <v>1.2577576109999999</v>
      </c>
      <c r="BR182" s="253">
        <v>1.3103315610000001</v>
      </c>
      <c r="BS182" s="253">
        <v>1.3642535609999997</v>
      </c>
      <c r="BT182" s="253">
        <v>1.4195236109999996</v>
      </c>
      <c r="BU182" s="253">
        <v>1.4761417110000001</v>
      </c>
      <c r="BV182" s="253">
        <v>1.5341078609999996</v>
      </c>
      <c r="BW182" s="253">
        <v>1.5934220610000001</v>
      </c>
      <c r="BX182" s="253">
        <v>1.6540843109999999</v>
      </c>
      <c r="BY182" s="253">
        <v>1.7160946109999997</v>
      </c>
      <c r="BZ182" s="253">
        <v>1.7794529609999998</v>
      </c>
      <c r="CA182" s="253">
        <v>1.8441593609999996</v>
      </c>
      <c r="CB182" s="253">
        <v>1.910213811</v>
      </c>
      <c r="CC182" s="253">
        <v>1.977616311</v>
      </c>
      <c r="CD182" s="253">
        <v>2.0463668609999996</v>
      </c>
      <c r="CE182" s="253">
        <v>2.1164654609999998</v>
      </c>
      <c r="CF182" s="253">
        <v>2.1879121109999997</v>
      </c>
      <c r="CG182" s="253">
        <v>2.2607068109999999</v>
      </c>
      <c r="CH182" s="253">
        <v>2.334849561</v>
      </c>
      <c r="CI182" s="253">
        <v>2.4103403609999998</v>
      </c>
      <c r="CJ182" s="253">
        <v>2.4871792109999999</v>
      </c>
      <c r="CK182" s="253">
        <v>2.5653661109999994</v>
      </c>
      <c r="CL182" s="253">
        <v>2.6449010610000001</v>
      </c>
      <c r="CM182" s="253">
        <v>2.7257840609999993</v>
      </c>
      <c r="CN182" s="253">
        <v>2.8080151109999991</v>
      </c>
      <c r="CO182" s="253">
        <v>2.8915942109999997</v>
      </c>
      <c r="CP182" s="253">
        <v>2.9765213609999996</v>
      </c>
      <c r="CQ182" s="253">
        <v>3.0627965609999994</v>
      </c>
      <c r="CR182" s="253">
        <v>3.1504198109999999</v>
      </c>
      <c r="CS182" s="253">
        <v>3.2393911109999993</v>
      </c>
      <c r="CT182" s="253">
        <v>3.3297104610000003</v>
      </c>
      <c r="CU182" s="253">
        <v>3.4213778609999999</v>
      </c>
      <c r="CV182" s="253">
        <v>3.5143933109999996</v>
      </c>
      <c r="CW182" s="253">
        <v>3.6087568109999997</v>
      </c>
      <c r="CX182" s="253">
        <v>3.704468361</v>
      </c>
      <c r="CY182" s="253">
        <v>3.8015279610000006</v>
      </c>
    </row>
    <row r="183" spans="1:103">
      <c r="A183" s="229"/>
      <c r="B183" s="230"/>
      <c r="C183" s="230"/>
      <c r="D183" s="230"/>
      <c r="E183" s="230" t="s">
        <v>867</v>
      </c>
      <c r="F183" s="230"/>
      <c r="G183" s="232" t="s">
        <v>736</v>
      </c>
      <c r="H183" s="203"/>
      <c r="I183" s="203"/>
      <c r="J183" s="203"/>
      <c r="K183" s="203"/>
      <c r="L183" s="229"/>
      <c r="M183" s="229"/>
      <c r="N183" s="229"/>
      <c r="O183" s="229"/>
      <c r="P183" s="229"/>
      <c r="Q183" s="229"/>
      <c r="R183" s="229"/>
      <c r="S183" s="229"/>
      <c r="T183" s="610"/>
      <c r="U183" s="597"/>
      <c r="V183" s="597"/>
      <c r="W183" s="597"/>
      <c r="X183" s="597"/>
      <c r="Y183" s="597"/>
      <c r="Z183" s="597"/>
      <c r="AA183" s="597"/>
      <c r="AB183" s="597"/>
      <c r="AC183" s="597"/>
      <c r="AD183" s="597"/>
      <c r="AE183" s="594">
        <v>6.7533180000000003E-3</v>
      </c>
      <c r="AF183" s="650">
        <v>7.3820650000000002E-3</v>
      </c>
      <c r="AG183" s="650">
        <v>7.8609839999999997E-3</v>
      </c>
      <c r="AH183" s="650">
        <v>9.3988140000000001E-3</v>
      </c>
      <c r="AI183" s="650">
        <v>6.8669050000000004E-3</v>
      </c>
      <c r="AJ183" s="650">
        <v>6.1070120000000002E-3</v>
      </c>
      <c r="AK183" s="650">
        <v>4.2066639999999997E-3</v>
      </c>
      <c r="AL183" s="650">
        <v>5.997222E-3</v>
      </c>
      <c r="AM183" s="650">
        <v>5.3270740000000002E-3</v>
      </c>
      <c r="AN183" s="650">
        <v>5.7043860000000005E-3</v>
      </c>
      <c r="AO183" s="601">
        <v>5.1983180000000004E-3</v>
      </c>
      <c r="AP183" s="253">
        <v>0</v>
      </c>
      <c r="AQ183" s="253">
        <v>0</v>
      </c>
      <c r="AR183" s="253">
        <v>1.2655663458333332E-2</v>
      </c>
      <c r="AS183" s="253">
        <v>1.3635939916666668E-2</v>
      </c>
      <c r="AT183" s="253">
        <v>1.4659645125000002E-2</v>
      </c>
      <c r="AU183" s="253">
        <v>1.5727472833333336E-2</v>
      </c>
      <c r="AV183" s="253">
        <v>1.6840116791666668E-2</v>
      </c>
      <c r="AW183" s="253">
        <v>1.7998270750000003E-2</v>
      </c>
      <c r="AX183" s="253">
        <v>1.9202628458333343E-2</v>
      </c>
      <c r="AY183" s="253">
        <v>2.0453883666666676E-2</v>
      </c>
      <c r="AZ183" s="253">
        <v>2.1752730125000005E-2</v>
      </c>
      <c r="BA183" s="253">
        <v>2.3099861583333343E-2</v>
      </c>
      <c r="BB183" s="253">
        <v>2.4495971791666678E-2</v>
      </c>
      <c r="BC183" s="253">
        <v>2.5941754499999997E-2</v>
      </c>
      <c r="BD183" s="253">
        <v>2.9470139999999999E-2</v>
      </c>
      <c r="BE183" s="253">
        <v>3.0952140000000003E-2</v>
      </c>
      <c r="BF183" s="253">
        <v>3.2491139999999995E-2</v>
      </c>
      <c r="BG183" s="253">
        <v>3.4087140000000009E-2</v>
      </c>
      <c r="BH183" s="253">
        <v>3.5740139999999997E-2</v>
      </c>
      <c r="BI183" s="253">
        <v>3.745014E-2</v>
      </c>
      <c r="BJ183" s="253">
        <v>3.9217139999999998E-2</v>
      </c>
      <c r="BK183" s="253">
        <v>4.1041140000000004E-2</v>
      </c>
      <c r="BL183" s="253">
        <v>4.2922139999999998E-2</v>
      </c>
      <c r="BM183" s="253">
        <v>4.4860139999999993E-2</v>
      </c>
      <c r="BN183" s="253">
        <v>4.6855139999999997E-2</v>
      </c>
      <c r="BO183" s="253">
        <v>4.8907140000000002E-2</v>
      </c>
      <c r="BP183" s="253">
        <v>5.1016139999999995E-2</v>
      </c>
      <c r="BQ183" s="253">
        <v>5.3182139999999996E-2</v>
      </c>
      <c r="BR183" s="253">
        <v>5.5405140000000012E-2</v>
      </c>
      <c r="BS183" s="253">
        <v>5.7685139999999989E-2</v>
      </c>
      <c r="BT183" s="253">
        <v>6.0022139999999995E-2</v>
      </c>
      <c r="BU183" s="253">
        <v>6.2416140000000016E-2</v>
      </c>
      <c r="BV183" s="253">
        <v>6.486713999999999E-2</v>
      </c>
      <c r="BW183" s="253">
        <v>6.737514E-2</v>
      </c>
      <c r="BX183" s="253">
        <v>6.9940139999999998E-2</v>
      </c>
      <c r="BY183" s="253">
        <v>7.2562139999999997E-2</v>
      </c>
      <c r="BZ183" s="253">
        <v>7.5241139999999998E-2</v>
      </c>
      <c r="CA183" s="253">
        <v>7.7977139999999986E-2</v>
      </c>
      <c r="CB183" s="253">
        <v>8.0770140000000004E-2</v>
      </c>
      <c r="CC183" s="253">
        <v>8.3620140000000009E-2</v>
      </c>
      <c r="CD183" s="253">
        <v>8.6527140000000002E-2</v>
      </c>
      <c r="CE183" s="253">
        <v>8.9491140000000011E-2</v>
      </c>
      <c r="CF183" s="253">
        <v>9.2512139999999993E-2</v>
      </c>
      <c r="CG183" s="253">
        <v>9.559013999999999E-2</v>
      </c>
      <c r="CH183" s="253">
        <v>9.8725140000000003E-2</v>
      </c>
      <c r="CI183" s="253">
        <v>0.10191713999999999</v>
      </c>
      <c r="CJ183" s="253">
        <v>0.10516614000000001</v>
      </c>
      <c r="CK183" s="253">
        <v>0.10847213999999999</v>
      </c>
      <c r="CL183" s="253">
        <v>0.11183514000000001</v>
      </c>
      <c r="CM183" s="253">
        <v>0.11525513999999999</v>
      </c>
      <c r="CN183" s="253">
        <v>0.11873213999999999</v>
      </c>
      <c r="CO183" s="253">
        <v>0.12226614</v>
      </c>
      <c r="CP183" s="253">
        <v>0.12585713999999998</v>
      </c>
      <c r="CQ183" s="253">
        <v>0.12950513999999999</v>
      </c>
      <c r="CR183" s="253">
        <v>0.13321014</v>
      </c>
      <c r="CS183" s="253">
        <v>0.13697213999999999</v>
      </c>
      <c r="CT183" s="253">
        <v>0.14079114000000004</v>
      </c>
      <c r="CU183" s="253">
        <v>0.14466714</v>
      </c>
      <c r="CV183" s="253">
        <v>0.14860013999999999</v>
      </c>
      <c r="CW183" s="253">
        <v>0.15259014000000001</v>
      </c>
      <c r="CX183" s="253">
        <v>0.15663714000000001</v>
      </c>
      <c r="CY183" s="253">
        <v>0.16074114000000003</v>
      </c>
    </row>
    <row r="184" spans="1:103">
      <c r="A184" s="229"/>
      <c r="B184" s="230"/>
      <c r="C184" s="230"/>
      <c r="D184" s="230"/>
      <c r="E184" s="230" t="s">
        <v>868</v>
      </c>
      <c r="F184" s="93"/>
      <c r="G184" s="232" t="s">
        <v>736</v>
      </c>
      <c r="H184" s="203"/>
      <c r="I184" s="203"/>
      <c r="J184" s="203"/>
      <c r="K184" s="203"/>
      <c r="L184" s="229"/>
      <c r="M184" s="229"/>
      <c r="N184" s="229"/>
      <c r="O184" s="229"/>
      <c r="P184" s="229"/>
      <c r="Q184" s="229"/>
      <c r="R184" s="229"/>
      <c r="S184" s="229"/>
      <c r="T184" s="610"/>
      <c r="U184" s="597"/>
      <c r="V184" s="597"/>
      <c r="W184" s="597"/>
      <c r="X184" s="597"/>
      <c r="Y184" s="597"/>
      <c r="Z184" s="597"/>
      <c r="AA184" s="597"/>
      <c r="AB184" s="597"/>
      <c r="AC184" s="597"/>
      <c r="AD184" s="597"/>
      <c r="AE184" s="594">
        <v>0</v>
      </c>
      <c r="AF184" s="650">
        <v>0</v>
      </c>
      <c r="AG184" s="650">
        <v>0</v>
      </c>
      <c r="AH184" s="650">
        <v>0</v>
      </c>
      <c r="AI184" s="650">
        <v>0</v>
      </c>
      <c r="AJ184" s="650">
        <v>7.5000000000000002E-4</v>
      </c>
      <c r="AK184" s="650">
        <v>4.6499999999999996E-3</v>
      </c>
      <c r="AL184" s="650">
        <v>5.3550000000000004E-3</v>
      </c>
      <c r="AM184" s="650">
        <v>5.8789399999999992E-3</v>
      </c>
      <c r="AN184" s="650">
        <v>4.8369440000000001E-3</v>
      </c>
      <c r="AO184" s="601">
        <v>5.7533050000000002E-3</v>
      </c>
      <c r="AP184" s="253"/>
      <c r="AQ184" s="654"/>
      <c r="AR184" s="253"/>
      <c r="AS184" s="253"/>
      <c r="AT184" s="253"/>
      <c r="AU184" s="253"/>
      <c r="AV184" s="253"/>
      <c r="AW184" s="253"/>
      <c r="AX184" s="253"/>
      <c r="AY184" s="253"/>
      <c r="AZ184" s="253"/>
      <c r="BA184" s="253"/>
      <c r="BB184" s="253"/>
      <c r="BC184" s="253"/>
      <c r="BD184" s="253"/>
      <c r="BE184" s="253"/>
      <c r="BF184" s="253"/>
      <c r="BG184" s="253"/>
      <c r="BH184" s="253"/>
      <c r="BI184" s="253"/>
      <c r="BJ184" s="253"/>
      <c r="BK184" s="253"/>
      <c r="BL184" s="253"/>
      <c r="BM184" s="253"/>
      <c r="BN184" s="253"/>
      <c r="BO184" s="253"/>
      <c r="BP184" s="253"/>
      <c r="BQ184" s="253"/>
      <c r="BR184" s="253"/>
      <c r="BS184" s="253"/>
      <c r="BT184" s="253"/>
      <c r="BU184" s="253"/>
      <c r="BV184" s="253"/>
      <c r="BW184" s="253"/>
      <c r="BX184" s="253"/>
      <c r="BY184" s="253"/>
      <c r="BZ184" s="253"/>
      <c r="CA184" s="253"/>
      <c r="CB184" s="253"/>
      <c r="CC184" s="253"/>
      <c r="CD184" s="253"/>
      <c r="CE184" s="253"/>
      <c r="CF184" s="253"/>
      <c r="CG184" s="253"/>
      <c r="CH184" s="253"/>
      <c r="CI184" s="253"/>
      <c r="CJ184" s="253"/>
      <c r="CK184" s="253"/>
      <c r="CL184" s="253"/>
      <c r="CM184" s="253"/>
      <c r="CN184" s="253"/>
      <c r="CO184" s="253"/>
      <c r="CP184" s="253"/>
      <c r="CQ184" s="253"/>
      <c r="CR184" s="253"/>
      <c r="CS184" s="253"/>
      <c r="CT184" s="253"/>
      <c r="CU184" s="253"/>
      <c r="CV184" s="253"/>
      <c r="CW184" s="253"/>
      <c r="CX184" s="253"/>
      <c r="CY184" s="253"/>
    </row>
    <row r="185" spans="1:103">
      <c r="A185" s="229"/>
      <c r="B185" s="230"/>
      <c r="C185" s="230"/>
      <c r="D185" s="230"/>
      <c r="E185" s="230" t="s">
        <v>801</v>
      </c>
      <c r="F185" s="93"/>
      <c r="G185" s="232" t="s">
        <v>736</v>
      </c>
      <c r="H185" s="203"/>
      <c r="I185" s="203"/>
      <c r="J185" s="203"/>
      <c r="K185" s="203"/>
      <c r="L185" s="229"/>
      <c r="M185" s="229"/>
      <c r="N185" s="229"/>
      <c r="O185" s="229"/>
      <c r="P185" s="229"/>
      <c r="Q185" s="229"/>
      <c r="R185" s="229"/>
      <c r="S185" s="229"/>
      <c r="T185" s="610"/>
      <c r="U185" s="597"/>
      <c r="V185" s="597"/>
      <c r="W185" s="597"/>
      <c r="X185" s="597"/>
      <c r="Y185" s="597"/>
      <c r="Z185" s="597"/>
      <c r="AA185" s="597"/>
      <c r="AB185" s="597"/>
      <c r="AC185" s="597"/>
      <c r="AD185" s="597"/>
      <c r="AE185" s="594">
        <v>0</v>
      </c>
      <c r="AF185" s="594">
        <v>0</v>
      </c>
      <c r="AG185" s="594">
        <v>0</v>
      </c>
      <c r="AH185" s="594">
        <v>0</v>
      </c>
      <c r="AI185" s="594">
        <v>0</v>
      </c>
      <c r="AJ185" s="594">
        <v>0</v>
      </c>
      <c r="AK185" s="650">
        <v>0</v>
      </c>
      <c r="AL185" s="650">
        <v>1.2999999999999999E-5</v>
      </c>
      <c r="AM185" s="650">
        <v>7.9000999999999998E-5</v>
      </c>
      <c r="AN185" s="650">
        <v>1.0000000000000001E-5</v>
      </c>
      <c r="AO185" s="601">
        <v>6.0000000000000002E-6</v>
      </c>
      <c r="AP185" s="253"/>
      <c r="AQ185" s="654"/>
      <c r="AR185" s="253">
        <v>0</v>
      </c>
      <c r="AS185" s="253">
        <v>0</v>
      </c>
      <c r="AT185" s="253">
        <v>0</v>
      </c>
      <c r="AU185" s="253">
        <v>0</v>
      </c>
      <c r="AV185" s="253">
        <v>0</v>
      </c>
      <c r="AW185" s="253">
        <v>0</v>
      </c>
      <c r="AX185" s="253">
        <v>0</v>
      </c>
      <c r="AY185" s="253">
        <v>0</v>
      </c>
      <c r="AZ185" s="253">
        <v>0</v>
      </c>
      <c r="BA185" s="253">
        <v>0</v>
      </c>
      <c r="BB185" s="253">
        <v>0</v>
      </c>
      <c r="BC185" s="253">
        <v>0</v>
      </c>
      <c r="BD185" s="253">
        <v>0</v>
      </c>
      <c r="BE185" s="253">
        <v>0</v>
      </c>
      <c r="BF185" s="253">
        <v>0</v>
      </c>
      <c r="BG185" s="253">
        <v>0</v>
      </c>
      <c r="BH185" s="253">
        <v>0</v>
      </c>
      <c r="BI185" s="253">
        <v>0</v>
      </c>
      <c r="BJ185" s="253">
        <v>0</v>
      </c>
      <c r="BK185" s="253">
        <v>0</v>
      </c>
      <c r="BL185" s="253">
        <v>0</v>
      </c>
      <c r="BM185" s="253">
        <v>0</v>
      </c>
      <c r="BN185" s="253">
        <v>0</v>
      </c>
      <c r="BO185" s="253">
        <v>0</v>
      </c>
      <c r="BP185" s="253">
        <v>0</v>
      </c>
      <c r="BQ185" s="253">
        <v>0</v>
      </c>
      <c r="BR185" s="253">
        <v>0</v>
      </c>
      <c r="BS185" s="253">
        <v>0</v>
      </c>
      <c r="BT185" s="253">
        <v>0</v>
      </c>
      <c r="BU185" s="253">
        <v>0</v>
      </c>
      <c r="BV185" s="253">
        <v>0</v>
      </c>
      <c r="BW185" s="253">
        <v>0</v>
      </c>
      <c r="BX185" s="253">
        <v>0</v>
      </c>
      <c r="BY185" s="253">
        <v>0</v>
      </c>
      <c r="BZ185" s="253">
        <v>0</v>
      </c>
      <c r="CA185" s="253">
        <v>0</v>
      </c>
      <c r="CB185" s="253">
        <v>0</v>
      </c>
      <c r="CC185" s="253">
        <v>0</v>
      </c>
      <c r="CD185" s="253">
        <v>0</v>
      </c>
      <c r="CE185" s="253">
        <v>0</v>
      </c>
      <c r="CF185" s="253">
        <v>0</v>
      </c>
      <c r="CG185" s="253">
        <v>0</v>
      </c>
      <c r="CH185" s="253">
        <v>0</v>
      </c>
      <c r="CI185" s="253">
        <v>0</v>
      </c>
      <c r="CJ185" s="253">
        <v>0</v>
      </c>
      <c r="CK185" s="253">
        <v>0</v>
      </c>
      <c r="CL185" s="253">
        <v>0</v>
      </c>
      <c r="CM185" s="253">
        <v>0</v>
      </c>
      <c r="CN185" s="253">
        <v>0</v>
      </c>
      <c r="CO185" s="253">
        <v>0</v>
      </c>
      <c r="CP185" s="253">
        <v>0</v>
      </c>
      <c r="CQ185" s="253">
        <v>0</v>
      </c>
      <c r="CR185" s="253">
        <v>0</v>
      </c>
      <c r="CS185" s="253">
        <v>0</v>
      </c>
      <c r="CT185" s="253">
        <v>0</v>
      </c>
      <c r="CU185" s="253">
        <v>0</v>
      </c>
      <c r="CV185" s="253">
        <v>0</v>
      </c>
      <c r="CW185" s="253">
        <v>0</v>
      </c>
      <c r="CX185" s="253">
        <v>0</v>
      </c>
      <c r="CY185" s="253">
        <v>0</v>
      </c>
    </row>
    <row r="186" spans="1:103">
      <c r="A186" s="229"/>
      <c r="B186" s="230"/>
      <c r="C186" s="230"/>
      <c r="D186" s="230"/>
      <c r="E186" s="230" t="s">
        <v>804</v>
      </c>
      <c r="F186" s="230"/>
      <c r="G186" s="232" t="s">
        <v>736</v>
      </c>
      <c r="H186" s="203"/>
      <c r="I186" s="203"/>
      <c r="J186" s="203"/>
      <c r="K186" s="203"/>
      <c r="L186" s="229"/>
      <c r="M186" s="229"/>
      <c r="N186" s="229"/>
      <c r="O186" s="229"/>
      <c r="P186" s="229"/>
      <c r="Q186" s="229"/>
      <c r="R186" s="229"/>
      <c r="S186" s="229"/>
      <c r="T186" s="610"/>
      <c r="U186" s="597"/>
      <c r="V186" s="597"/>
      <c r="W186" s="597"/>
      <c r="X186" s="597"/>
      <c r="Y186" s="597"/>
      <c r="Z186" s="597"/>
      <c r="AA186" s="597"/>
      <c r="AB186" s="597"/>
      <c r="AC186" s="597"/>
      <c r="AD186" s="597"/>
      <c r="AE186" s="594">
        <v>3.3355070000000001E-3</v>
      </c>
      <c r="AF186" s="650">
        <v>-1.5190573000000001E-2</v>
      </c>
      <c r="AG186" s="650">
        <v>3.3651697000000001E-2</v>
      </c>
      <c r="AH186" s="650">
        <v>-6.4215111000000005E-2</v>
      </c>
      <c r="AI186" s="650">
        <v>-1.7658299999999999E-3</v>
      </c>
      <c r="AJ186" s="650">
        <v>7.5294640000000013E-3</v>
      </c>
      <c r="AK186" s="650">
        <v>-2.9539937000000002E-2</v>
      </c>
      <c r="AL186" s="650">
        <v>4.7290899999999992E-3</v>
      </c>
      <c r="AM186" s="650">
        <v>-3.0744849999999997E-2</v>
      </c>
      <c r="AN186" s="650">
        <v>-1.4013333000000001E-2</v>
      </c>
      <c r="AO186" s="632">
        <v>-5.6126749288271148E-3</v>
      </c>
      <c r="AP186" s="632">
        <v>-5.1758007925744171E-3</v>
      </c>
      <c r="AQ186" s="632">
        <v>-5.9926608453096895E-5</v>
      </c>
      <c r="AR186" s="632">
        <v>-2.8459407738139087E-2</v>
      </c>
      <c r="AS186" s="632">
        <v>-2.5835107570503564E-2</v>
      </c>
      <c r="AT186" s="632">
        <v>-2.7447960851472983E-2</v>
      </c>
      <c r="AU186" s="632">
        <v>-2.7985398388567319E-2</v>
      </c>
      <c r="AV186" s="632">
        <v>-2.8810656099387998E-2</v>
      </c>
      <c r="AW186" s="632">
        <v>-3.0926140787563519E-2</v>
      </c>
      <c r="AX186" s="632">
        <v>-3.2113959036938505E-2</v>
      </c>
      <c r="AY186" s="632">
        <v>-3.4567285019919833E-2</v>
      </c>
      <c r="AZ186" s="632">
        <v>-3.2935779160045808E-2</v>
      </c>
      <c r="BA186" s="632">
        <v>-3.208702817644659E-2</v>
      </c>
      <c r="BB186" s="632">
        <v>-3.1559759541028923E-2</v>
      </c>
      <c r="BC186" s="632">
        <v>-3.1948265108226459E-2</v>
      </c>
      <c r="BD186" s="632">
        <v>-3.3896173826574595E-2</v>
      </c>
      <c r="BE186" s="632">
        <v>-3.3074344024894863E-2</v>
      </c>
      <c r="BF186" s="632">
        <v>-3.3988080414449312E-2</v>
      </c>
      <c r="BG186" s="632">
        <v>-3.5539155984028618E-2</v>
      </c>
      <c r="BH186" s="632">
        <v>-3.7255092932982466E-2</v>
      </c>
      <c r="BI186" s="632">
        <v>-3.9846924181939886E-2</v>
      </c>
      <c r="BJ186" s="632">
        <v>-4.202913780703444E-2</v>
      </c>
      <c r="BK186" s="632">
        <v>-4.5083228905111593E-2</v>
      </c>
      <c r="BL186" s="632">
        <v>-4.663112470930264E-2</v>
      </c>
      <c r="BM186" s="632">
        <v>-4.8252039849128597E-2</v>
      </c>
      <c r="BN186" s="632">
        <v>-4.9964185518218393E-2</v>
      </c>
      <c r="BO186" s="632">
        <v>-5.2266445457556494E-2</v>
      </c>
      <c r="BP186" s="632">
        <v>-5.5592390254572063E-2</v>
      </c>
      <c r="BQ186" s="632">
        <v>-5.8741326048365607E-2</v>
      </c>
      <c r="BR186" s="632">
        <v>-6.1438573396077376E-2</v>
      </c>
      <c r="BS186" s="632">
        <v>-6.3784425485100812E-2</v>
      </c>
      <c r="BT186" s="632">
        <v>-6.6300724849703715E-2</v>
      </c>
      <c r="BU186" s="632">
        <v>-6.9639189201896642E-2</v>
      </c>
      <c r="BV186" s="632">
        <v>-7.2672940799689126E-2</v>
      </c>
      <c r="BW186" s="632">
        <v>-7.6535365661098892E-2</v>
      </c>
      <c r="BX186" s="632">
        <v>-7.9030097850425446E-2</v>
      </c>
      <c r="BY186" s="632">
        <v>-8.162550762573785E-2</v>
      </c>
      <c r="BZ186" s="632">
        <v>-8.4330401772651636E-2</v>
      </c>
      <c r="CA186" s="632">
        <v>-8.7576460855697091E-2</v>
      </c>
      <c r="CB186" s="632">
        <v>-9.1733967450667156E-2</v>
      </c>
      <c r="CC186" s="632">
        <v>-9.5746621904606199E-2</v>
      </c>
      <c r="CD186" s="632">
        <v>-9.9372233028272527E-2</v>
      </c>
      <c r="CE186" s="632">
        <v>-0.10269839046929839</v>
      </c>
      <c r="CF186" s="632">
        <v>-0.10618211468234907</v>
      </c>
      <c r="CG186" s="632">
        <v>-0.11039293536540198</v>
      </c>
      <c r="CH186" s="632">
        <v>-0.11434508833753163</v>
      </c>
      <c r="CI186" s="632">
        <v>-0.11902944042637319</v>
      </c>
      <c r="CJ186" s="632">
        <v>-0.12252709517193688</v>
      </c>
      <c r="CK186" s="632">
        <v>-0.12612171400500527</v>
      </c>
      <c r="CL186" s="632">
        <v>-0.12982104334498093</v>
      </c>
      <c r="CM186" s="632">
        <v>-0.13400160632150571</v>
      </c>
      <c r="CN186" s="632">
        <v>-0.13880334698413457</v>
      </c>
      <c r="CO186" s="632">
        <v>-0.14317356741960996</v>
      </c>
      <c r="CP186" s="632">
        <v>-0.14761382173320964</v>
      </c>
      <c r="CQ186" s="632">
        <v>-0.15212408310322875</v>
      </c>
      <c r="CR186" s="632">
        <v>-0.15670432595940101</v>
      </c>
      <c r="CS186" s="632">
        <v>-0.16135452591500771</v>
      </c>
      <c r="CT186" s="632">
        <v>-0.16607465970225627</v>
      </c>
      <c r="CU186" s="632">
        <v>-0.17086470511254823</v>
      </c>
      <c r="CV186" s="632">
        <v>-0.17572464094176579</v>
      </c>
      <c r="CW186" s="632">
        <v>-0.18065444694003047</v>
      </c>
      <c r="CX186" s="632">
        <v>-0.18565410376515154</v>
      </c>
      <c r="CY186" s="632">
        <v>-0.19072359293901203</v>
      </c>
    </row>
    <row r="187" spans="1:103">
      <c r="A187" s="229"/>
      <c r="B187" s="230"/>
      <c r="C187" s="230"/>
      <c r="D187" s="230"/>
      <c r="E187" s="230" t="s">
        <v>226</v>
      </c>
      <c r="F187" s="230"/>
      <c r="G187" s="232" t="s">
        <v>736</v>
      </c>
      <c r="H187" s="203"/>
      <c r="I187" s="203"/>
      <c r="J187" s="203"/>
      <c r="K187" s="203"/>
      <c r="L187" s="229"/>
      <c r="M187" s="229"/>
      <c r="N187" s="229"/>
      <c r="O187" s="229"/>
      <c r="P187" s="229"/>
      <c r="Q187" s="229"/>
      <c r="R187" s="229"/>
      <c r="S187" s="229"/>
      <c r="T187" s="610"/>
      <c r="U187" s="597"/>
      <c r="V187" s="597"/>
      <c r="W187" s="597"/>
      <c r="X187" s="597"/>
      <c r="Y187" s="597"/>
      <c r="Z187" s="597"/>
      <c r="AA187" s="597"/>
      <c r="AB187" s="597"/>
      <c r="AC187" s="597"/>
      <c r="AD187" s="597"/>
      <c r="AE187" s="655">
        <v>0</v>
      </c>
      <c r="AF187" s="655">
        <v>0</v>
      </c>
      <c r="AG187" s="655">
        <v>0</v>
      </c>
      <c r="AH187" s="253">
        <v>0</v>
      </c>
      <c r="AI187" s="253">
        <v>0</v>
      </c>
      <c r="AJ187" s="253">
        <v>0</v>
      </c>
      <c r="AK187" s="253">
        <v>0</v>
      </c>
      <c r="AL187" s="253">
        <v>0</v>
      </c>
      <c r="AM187" s="253">
        <v>0</v>
      </c>
      <c r="AN187" s="253">
        <v>0</v>
      </c>
      <c r="AO187" s="253"/>
      <c r="AP187" s="253"/>
      <c r="AQ187" s="277"/>
      <c r="AR187" s="253"/>
      <c r="AS187" s="253"/>
      <c r="AT187" s="253"/>
      <c r="AU187" s="253"/>
      <c r="AV187" s="253"/>
      <c r="AW187" s="253"/>
      <c r="AX187" s="253"/>
      <c r="AY187" s="253"/>
      <c r="AZ187" s="253"/>
      <c r="BA187" s="253"/>
      <c r="BB187" s="253"/>
      <c r="BC187" s="253"/>
      <c r="BD187" s="253"/>
      <c r="BE187" s="253"/>
      <c r="BF187" s="253"/>
      <c r="BG187" s="253"/>
      <c r="BH187" s="253"/>
      <c r="BI187" s="253"/>
      <c r="BJ187" s="253"/>
      <c r="BK187" s="253"/>
      <c r="BL187" s="253"/>
      <c r="BM187" s="253"/>
      <c r="BN187" s="253"/>
      <c r="BO187" s="253"/>
      <c r="BP187" s="253"/>
      <c r="BQ187" s="253"/>
      <c r="BR187" s="253"/>
      <c r="BS187" s="253"/>
      <c r="BT187" s="253"/>
      <c r="BU187" s="253"/>
      <c r="BV187" s="253"/>
      <c r="BW187" s="253"/>
      <c r="BX187" s="253"/>
      <c r="BY187" s="253"/>
      <c r="BZ187" s="253"/>
      <c r="CA187" s="253"/>
      <c r="CB187" s="253"/>
      <c r="CC187" s="253"/>
      <c r="CD187" s="253"/>
      <c r="CE187" s="253"/>
      <c r="CF187" s="253"/>
      <c r="CG187" s="253"/>
      <c r="CH187" s="253"/>
      <c r="CI187" s="253"/>
      <c r="CJ187" s="253"/>
      <c r="CK187" s="253"/>
      <c r="CL187" s="253"/>
      <c r="CM187" s="253"/>
      <c r="CN187" s="253"/>
      <c r="CO187" s="253"/>
      <c r="CP187" s="253"/>
      <c r="CQ187" s="253"/>
      <c r="CR187" s="253"/>
      <c r="CS187" s="253"/>
      <c r="CT187" s="253"/>
      <c r="CU187" s="253"/>
      <c r="CV187" s="253"/>
      <c r="CW187" s="253"/>
      <c r="CX187" s="253"/>
      <c r="CY187" s="253"/>
    </row>
    <row r="188" spans="1:103">
      <c r="A188" s="229"/>
      <c r="B188" s="93"/>
      <c r="C188" s="230"/>
      <c r="D188" s="95" t="s">
        <v>786</v>
      </c>
      <c r="E188" s="94"/>
      <c r="F188" s="230"/>
      <c r="G188" s="232" t="s">
        <v>736</v>
      </c>
      <c r="H188" s="203"/>
      <c r="I188" s="203"/>
      <c r="J188" s="203"/>
      <c r="K188" s="203"/>
      <c r="L188" s="229"/>
      <c r="M188" s="229"/>
      <c r="N188" s="229"/>
      <c r="O188" s="229"/>
      <c r="P188" s="229"/>
      <c r="Q188" s="229"/>
      <c r="R188" s="229"/>
      <c r="S188" s="229"/>
      <c r="T188" s="247"/>
      <c r="U188" s="247"/>
      <c r="V188" s="247"/>
      <c r="W188" s="247"/>
      <c r="X188" s="247"/>
      <c r="Y188" s="247"/>
      <c r="Z188" s="247"/>
      <c r="AA188" s="247"/>
      <c r="AB188" s="247"/>
      <c r="AC188" s="247"/>
      <c r="AD188" s="247"/>
      <c r="AE188" s="656">
        <f t="shared" ref="AE188:AQ188" si="83">SUM(AE189:AE192)</f>
        <v>-0.14074333154385771</v>
      </c>
      <c r="AF188" s="656">
        <f t="shared" si="83"/>
        <v>-0.1435723352281926</v>
      </c>
      <c r="AG188" s="656">
        <f t="shared" si="83"/>
        <v>-0.13505019308033056</v>
      </c>
      <c r="AH188" s="656">
        <f t="shared" si="83"/>
        <v>-0.13122843410726237</v>
      </c>
      <c r="AI188" s="656">
        <f t="shared" si="83"/>
        <v>-0.16101134976424489</v>
      </c>
      <c r="AJ188" s="656">
        <f t="shared" si="83"/>
        <v>-0.16576145823872485</v>
      </c>
      <c r="AK188" s="656">
        <f t="shared" si="83"/>
        <v>-0.17406505860612001</v>
      </c>
      <c r="AL188" s="656">
        <f t="shared" si="83"/>
        <v>-0.17413071566968205</v>
      </c>
      <c r="AM188" s="644">
        <f t="shared" si="83"/>
        <v>-0.20128020509332228</v>
      </c>
      <c r="AN188" s="633">
        <f t="shared" si="83"/>
        <v>-0.18824493295074035</v>
      </c>
      <c r="AO188" s="656">
        <f t="shared" si="83"/>
        <v>-0.20597788235756914</v>
      </c>
      <c r="AP188" s="656">
        <f t="shared" si="83"/>
        <v>0</v>
      </c>
      <c r="AQ188" s="656">
        <f t="shared" si="83"/>
        <v>0</v>
      </c>
      <c r="AR188" s="656">
        <v>-0.25719551320833328</v>
      </c>
      <c r="AS188" s="656">
        <v>-0.27645185341666667</v>
      </c>
      <c r="AT188" s="656">
        <v>-0.29650206487500003</v>
      </c>
      <c r="AU188" s="656">
        <v>-0.31735595383333337</v>
      </c>
      <c r="AV188" s="656">
        <v>-0.33902332654166673</v>
      </c>
      <c r="AW188" s="656">
        <v>-0.36151398925000006</v>
      </c>
      <c r="AX188" s="656">
        <v>-0.38483774820833344</v>
      </c>
      <c r="AY188" s="656">
        <v>-0.40900440966666679</v>
      </c>
      <c r="AZ188" s="656">
        <v>-0.43402377987500007</v>
      </c>
      <c r="BA188" s="656">
        <v>-0.45990566508333347</v>
      </c>
      <c r="BB188" s="656">
        <v>-0.48665987154166679</v>
      </c>
      <c r="BC188" s="656">
        <v>-0.51429620549999988</v>
      </c>
      <c r="BD188" s="656">
        <v>-0.54042808050000002</v>
      </c>
      <c r="BE188" s="656">
        <v>-0.5676052305</v>
      </c>
      <c r="BF188" s="656">
        <v>-0.59582765549999994</v>
      </c>
      <c r="BG188" s="656">
        <v>-0.62509535550000017</v>
      </c>
      <c r="BH188" s="656">
        <v>-0.65540833049999991</v>
      </c>
      <c r="BI188" s="656">
        <v>-0.68676658049999995</v>
      </c>
      <c r="BJ188" s="656">
        <v>-0.71917010549999993</v>
      </c>
      <c r="BK188" s="656">
        <v>-0.75261890549999999</v>
      </c>
      <c r="BL188" s="656">
        <v>-0.7871129805</v>
      </c>
      <c r="BM188" s="656">
        <v>-0.82265233049999986</v>
      </c>
      <c r="BN188" s="656">
        <v>-0.8592369554999999</v>
      </c>
      <c r="BO188" s="656">
        <v>-0.8968668555</v>
      </c>
      <c r="BP188" s="656">
        <v>-0.93554203049999984</v>
      </c>
      <c r="BQ188" s="656">
        <v>-0.97526248049999986</v>
      </c>
      <c r="BR188" s="656">
        <v>-1.0160282055000001</v>
      </c>
      <c r="BS188" s="656">
        <v>-1.0578392054999999</v>
      </c>
      <c r="BT188" s="656">
        <v>-1.1006954805</v>
      </c>
      <c r="BU188" s="656">
        <v>-1.1445970305000002</v>
      </c>
      <c r="BV188" s="656">
        <v>-1.1895438554999997</v>
      </c>
      <c r="BW188" s="656">
        <v>-1.3197548805000001</v>
      </c>
      <c r="BX188" s="656">
        <v>-1.3699985054999999</v>
      </c>
      <c r="BY188" s="656">
        <v>-1.4213586554999997</v>
      </c>
      <c r="BZ188" s="656">
        <v>-1.4738353304999998</v>
      </c>
      <c r="CA188" s="656">
        <v>-1.5274285304999997</v>
      </c>
      <c r="CB188" s="656">
        <v>-1.5821382555000001</v>
      </c>
      <c r="CC188" s="656">
        <v>-1.6379645055000001</v>
      </c>
      <c r="CD188" s="656">
        <v>-1.6949072804999998</v>
      </c>
      <c r="CE188" s="656">
        <v>-1.7529665805000001</v>
      </c>
      <c r="CF188" s="656">
        <v>-1.8121424054999999</v>
      </c>
      <c r="CG188" s="656">
        <v>-1.8724347555</v>
      </c>
      <c r="CH188" s="656">
        <v>-1.9338436305</v>
      </c>
      <c r="CI188" s="656">
        <v>-1.9963690305000001</v>
      </c>
      <c r="CJ188" s="656">
        <v>-2.0600109555000001</v>
      </c>
      <c r="CK188" s="656">
        <v>-2.1247694054999999</v>
      </c>
      <c r="CL188" s="656">
        <v>-2.1906443805000002</v>
      </c>
      <c r="CM188" s="656">
        <v>-2.2576358804999996</v>
      </c>
      <c r="CN188" s="656">
        <v>-2.3257439055</v>
      </c>
      <c r="CO188" s="656">
        <v>-2.3949684554999999</v>
      </c>
      <c r="CP188" s="656">
        <v>-2.4653095304999995</v>
      </c>
      <c r="CQ188" s="656">
        <v>-2.5367671304999999</v>
      </c>
      <c r="CR188" s="656">
        <v>-2.6093412554999995</v>
      </c>
      <c r="CS188" s="656">
        <v>-2.6830319055</v>
      </c>
      <c r="CT188" s="656">
        <v>-2.7578390805000002</v>
      </c>
      <c r="CU188" s="656">
        <v>-2.8337627804999999</v>
      </c>
      <c r="CV188" s="656">
        <v>-2.9108030054999996</v>
      </c>
      <c r="CW188" s="656">
        <v>-2.9889597555000003</v>
      </c>
      <c r="CX188" s="656">
        <v>-3.0682330305000001</v>
      </c>
      <c r="CY188" s="656">
        <v>-3.1486228304999999</v>
      </c>
    </row>
    <row r="189" spans="1:103">
      <c r="A189" s="229"/>
      <c r="B189" s="230"/>
      <c r="C189" s="230"/>
      <c r="D189" s="230"/>
      <c r="E189" s="230" t="s">
        <v>332</v>
      </c>
      <c r="F189" s="230"/>
      <c r="G189" s="232" t="s">
        <v>736</v>
      </c>
      <c r="H189" s="203"/>
      <c r="I189" s="203"/>
      <c r="J189" s="203"/>
      <c r="K189" s="203"/>
      <c r="L189" s="229"/>
      <c r="M189" s="229"/>
      <c r="N189" s="229"/>
      <c r="O189" s="229"/>
      <c r="P189" s="229"/>
      <c r="Q189" s="229"/>
      <c r="R189" s="229"/>
      <c r="S189" s="229"/>
      <c r="T189" s="597"/>
      <c r="U189" s="597"/>
      <c r="V189" s="597"/>
      <c r="W189" s="597"/>
      <c r="X189" s="597"/>
      <c r="Y189" s="597"/>
      <c r="Z189" s="597"/>
      <c r="AA189" s="597"/>
      <c r="AB189" s="597"/>
      <c r="AC189" s="597"/>
      <c r="AD189" s="597"/>
      <c r="AE189" s="594">
        <v>-0.111642908</v>
      </c>
      <c r="AF189" s="629">
        <v>-0.115199407</v>
      </c>
      <c r="AG189" s="629">
        <v>-0.105736621</v>
      </c>
      <c r="AH189" s="629">
        <v>-0.100859272</v>
      </c>
      <c r="AI189" s="629">
        <v>-0.13103037400000001</v>
      </c>
      <c r="AJ189" s="629">
        <v>-0.126509396</v>
      </c>
      <c r="AK189" s="629">
        <v>-0.137952984</v>
      </c>
      <c r="AL189" s="629">
        <v>-0.122160635957999</v>
      </c>
      <c r="AM189" s="629">
        <v>-0.1421051248979999</v>
      </c>
      <c r="AN189" s="629">
        <v>-0.140387357661999</v>
      </c>
      <c r="AO189" s="601">
        <v>-0.1430030907759999</v>
      </c>
      <c r="AP189" s="253">
        <v>0</v>
      </c>
      <c r="AQ189" s="253">
        <v>0</v>
      </c>
      <c r="AR189" s="253">
        <v>-0.16178726529166665</v>
      </c>
      <c r="AS189" s="253">
        <v>-0.17431890758333335</v>
      </c>
      <c r="AT189" s="253">
        <v>-0.18740573362500004</v>
      </c>
      <c r="AU189" s="253">
        <v>-0.2010566121666667</v>
      </c>
      <c r="AV189" s="253">
        <v>-0.21528041195833336</v>
      </c>
      <c r="AW189" s="253">
        <v>-0.23008600175000005</v>
      </c>
      <c r="AX189" s="253">
        <v>-0.24548225029166679</v>
      </c>
      <c r="AY189" s="253">
        <v>-0.26147802633333345</v>
      </c>
      <c r="AZ189" s="253">
        <v>-0.27808219862500005</v>
      </c>
      <c r="BA189" s="253">
        <v>-0.29530363591666681</v>
      </c>
      <c r="BB189" s="253">
        <v>-0.31315120695833348</v>
      </c>
      <c r="BC189" s="253">
        <v>-0.33163378049999997</v>
      </c>
      <c r="BD189" s="253">
        <v>-0.34848440549999998</v>
      </c>
      <c r="BE189" s="253">
        <v>-0.36600905550000001</v>
      </c>
      <c r="BF189" s="253">
        <v>-0.38420773049999996</v>
      </c>
      <c r="BG189" s="253">
        <v>-0.40308043050000009</v>
      </c>
      <c r="BH189" s="253">
        <v>-0.42262715549999991</v>
      </c>
      <c r="BI189" s="253">
        <v>-0.44284790549999997</v>
      </c>
      <c r="BJ189" s="253">
        <v>-0.46374268049999995</v>
      </c>
      <c r="BK189" s="253">
        <v>-0.4853114805</v>
      </c>
      <c r="BL189" s="253">
        <v>-0.50755430549999991</v>
      </c>
      <c r="BM189" s="253">
        <v>-0.5304711554999999</v>
      </c>
      <c r="BN189" s="253">
        <v>-0.55406203049999991</v>
      </c>
      <c r="BO189" s="253">
        <v>-0.57832693049999995</v>
      </c>
      <c r="BP189" s="253">
        <v>-0.60326585549999989</v>
      </c>
      <c r="BQ189" s="253">
        <v>-0.62887880549999986</v>
      </c>
      <c r="BR189" s="253">
        <v>-0.65516578050000007</v>
      </c>
      <c r="BS189" s="253">
        <v>-0.68212678049999986</v>
      </c>
      <c r="BT189" s="253">
        <v>-0.7097618054999999</v>
      </c>
      <c r="BU189" s="253">
        <v>-0.73807085550000007</v>
      </c>
      <c r="BV189" s="253">
        <v>-0.76705393049999981</v>
      </c>
      <c r="BW189" s="253">
        <v>-0.79671103049999992</v>
      </c>
      <c r="BX189" s="253">
        <v>-0.82704215549999993</v>
      </c>
      <c r="BY189" s="253">
        <v>-0.85804730549999986</v>
      </c>
      <c r="BZ189" s="253">
        <v>-0.88972648049999992</v>
      </c>
      <c r="CA189" s="253">
        <v>-0.92207968049999989</v>
      </c>
      <c r="CB189" s="253">
        <v>-0.95510690549999999</v>
      </c>
      <c r="CC189" s="253">
        <v>-0.98880815550000001</v>
      </c>
      <c r="CD189" s="253">
        <v>-1.0231834304999998</v>
      </c>
      <c r="CE189" s="253">
        <v>-1.0582327305000001</v>
      </c>
      <c r="CF189" s="253">
        <v>-1.0939560554999999</v>
      </c>
      <c r="CG189" s="253">
        <v>-1.1303534055</v>
      </c>
      <c r="CH189" s="253">
        <v>-1.1674247805</v>
      </c>
      <c r="CI189" s="253">
        <v>-1.2051701804999999</v>
      </c>
      <c r="CJ189" s="253">
        <v>-1.2435896055</v>
      </c>
      <c r="CK189" s="253">
        <v>-1.2826830554999999</v>
      </c>
      <c r="CL189" s="253">
        <v>-1.3224505305000001</v>
      </c>
      <c r="CM189" s="253">
        <v>-1.3628920304999999</v>
      </c>
      <c r="CN189" s="253">
        <v>-1.4040075554999998</v>
      </c>
      <c r="CO189" s="253">
        <v>-1.4457971054999998</v>
      </c>
      <c r="CP189" s="253">
        <v>-1.4882606804999996</v>
      </c>
      <c r="CQ189" s="253">
        <v>-1.5313982804999997</v>
      </c>
      <c r="CR189" s="253">
        <v>-1.5752099055</v>
      </c>
      <c r="CS189" s="253">
        <v>-1.6196955554999999</v>
      </c>
      <c r="CT189" s="253">
        <v>-1.6648552305000002</v>
      </c>
      <c r="CU189" s="253">
        <v>-1.7106889304999999</v>
      </c>
      <c r="CV189" s="253">
        <v>-1.7571966554999998</v>
      </c>
      <c r="CW189" s="253">
        <v>-1.8043784055000001</v>
      </c>
      <c r="CX189" s="253">
        <v>-1.8522341805</v>
      </c>
      <c r="CY189" s="253">
        <v>-1.9007639805000001</v>
      </c>
    </row>
    <row r="190" spans="1:103">
      <c r="A190" s="229"/>
      <c r="B190" s="230"/>
      <c r="C190" s="230"/>
      <c r="D190" s="230"/>
      <c r="E190" s="230" t="s">
        <v>869</v>
      </c>
      <c r="F190" s="95"/>
      <c r="G190" s="232" t="s">
        <v>736</v>
      </c>
      <c r="H190" s="203"/>
      <c r="I190" s="203"/>
      <c r="J190" s="203"/>
      <c r="K190" s="203"/>
      <c r="L190" s="229"/>
      <c r="M190" s="229"/>
      <c r="N190" s="229"/>
      <c r="O190" s="229"/>
      <c r="P190" s="229"/>
      <c r="Q190" s="229"/>
      <c r="R190" s="229"/>
      <c r="S190" s="229"/>
      <c r="T190" s="597"/>
      <c r="U190" s="597"/>
      <c r="V190" s="597"/>
      <c r="W190" s="597"/>
      <c r="X190" s="597"/>
      <c r="Y190" s="597"/>
      <c r="Z190" s="597"/>
      <c r="AA190" s="597"/>
      <c r="AB190" s="597"/>
      <c r="AC190" s="597"/>
      <c r="AD190" s="597"/>
      <c r="AE190" s="594">
        <v>-1.8032359207759942E-2</v>
      </c>
      <c r="AF190" s="629">
        <v>-2.0335043434426478E-2</v>
      </c>
      <c r="AG190" s="629">
        <v>-2.0961363837115322E-2</v>
      </c>
      <c r="AH190" s="629">
        <v>-2.0377175976602633E-2</v>
      </c>
      <c r="AI190" s="629">
        <v>-2.1954250198420594E-2</v>
      </c>
      <c r="AJ190" s="629">
        <v>-2.8473828637115065E-2</v>
      </c>
      <c r="AK190" s="629">
        <v>-2.5024469842605354E-2</v>
      </c>
      <c r="AL190" s="629">
        <v>-3.6341280220930153E-2</v>
      </c>
      <c r="AM190" s="629">
        <v>-3.7842666292471662E-2</v>
      </c>
      <c r="AN190" s="629">
        <v>-3.928701722966265E-2</v>
      </c>
      <c r="AO190" s="601">
        <v>-4.2028144391699551E-2</v>
      </c>
      <c r="AP190" s="253">
        <v>0</v>
      </c>
      <c r="AQ190" s="253">
        <v>0</v>
      </c>
      <c r="AR190" s="253">
        <v>-7.8306000000000001E-2</v>
      </c>
      <c r="AS190" s="253">
        <v>-8.3706000000000003E-2</v>
      </c>
      <c r="AT190" s="253">
        <v>-8.9286000000000004E-2</v>
      </c>
      <c r="AU190" s="253">
        <v>-9.5046000000000005E-2</v>
      </c>
      <c r="AV190" s="253">
        <v>-0.10098600000000001</v>
      </c>
      <c r="AW190" s="253">
        <v>-0.10710599999999999</v>
      </c>
      <c r="AX190" s="253">
        <v>-0.11340599999999999</v>
      </c>
      <c r="AY190" s="253">
        <v>-0.11988599999999998</v>
      </c>
      <c r="AZ190" s="253">
        <v>-0.12654599999999999</v>
      </c>
      <c r="BA190" s="253">
        <v>-0.133386</v>
      </c>
      <c r="BB190" s="253">
        <v>-0.140406</v>
      </c>
      <c r="BC190" s="253">
        <v>-0.14760599999999999</v>
      </c>
      <c r="BD190" s="253">
        <v>-0.15510599999999999</v>
      </c>
      <c r="BE190" s="253">
        <v>-0.162906</v>
      </c>
      <c r="BF190" s="253">
        <v>-0.17100599999999999</v>
      </c>
      <c r="BG190" s="253">
        <v>-0.17940600000000001</v>
      </c>
      <c r="BH190" s="253">
        <v>-0.188106</v>
      </c>
      <c r="BI190" s="253">
        <v>-0.197106</v>
      </c>
      <c r="BJ190" s="253">
        <v>-0.20640600000000001</v>
      </c>
      <c r="BK190" s="253">
        <v>-0.216006</v>
      </c>
      <c r="BL190" s="253">
        <v>-0.225906</v>
      </c>
      <c r="BM190" s="253">
        <v>-0.23610599999999998</v>
      </c>
      <c r="BN190" s="253">
        <v>-0.24660599999999999</v>
      </c>
      <c r="BO190" s="253">
        <v>-0.25740600000000002</v>
      </c>
      <c r="BP190" s="253">
        <v>-0.26850599999999997</v>
      </c>
      <c r="BQ190" s="253">
        <v>-0.27990599999999999</v>
      </c>
      <c r="BR190" s="253">
        <v>-0.29160599999999998</v>
      </c>
      <c r="BS190" s="253">
        <v>-0.30360599999999999</v>
      </c>
      <c r="BT190" s="253">
        <v>-0.31590600000000002</v>
      </c>
      <c r="BU190" s="253">
        <v>-0.32850600000000002</v>
      </c>
      <c r="BV190" s="253">
        <v>-0.34140599999999999</v>
      </c>
      <c r="BW190" s="253">
        <v>-0.35460599999999998</v>
      </c>
      <c r="BX190" s="253">
        <v>-0.36810599999999999</v>
      </c>
      <c r="BY190" s="253">
        <v>-0.38190600000000002</v>
      </c>
      <c r="BZ190" s="253">
        <v>-0.39600600000000002</v>
      </c>
      <c r="CA190" s="253">
        <v>-0.41040599999999999</v>
      </c>
      <c r="CB190" s="253">
        <v>-0.42510599999999998</v>
      </c>
      <c r="CC190" s="253">
        <v>-0.440106</v>
      </c>
      <c r="CD190" s="253">
        <v>-0.45540600000000003</v>
      </c>
      <c r="CE190" s="253">
        <v>-0.47100600000000004</v>
      </c>
      <c r="CF190" s="253">
        <v>-0.48690600000000001</v>
      </c>
      <c r="CG190" s="253">
        <v>-0.50310599999999994</v>
      </c>
      <c r="CH190" s="253">
        <v>-0.51960600000000001</v>
      </c>
      <c r="CI190" s="253">
        <v>-0.53640600000000005</v>
      </c>
      <c r="CJ190" s="253">
        <v>-0.55350599999999994</v>
      </c>
      <c r="CK190" s="253">
        <v>-0.57090600000000002</v>
      </c>
      <c r="CL190" s="253">
        <v>-0.58860599999999996</v>
      </c>
      <c r="CM190" s="253">
        <v>-0.60660599999999998</v>
      </c>
      <c r="CN190" s="253">
        <v>-0.62490600000000007</v>
      </c>
      <c r="CO190" s="253">
        <v>-0.64350600000000002</v>
      </c>
      <c r="CP190" s="253">
        <v>-0.66240600000000005</v>
      </c>
      <c r="CQ190" s="253">
        <v>-0.68160600000000005</v>
      </c>
      <c r="CR190" s="253">
        <v>-0.70110600000000001</v>
      </c>
      <c r="CS190" s="253">
        <v>-0.72090600000000005</v>
      </c>
      <c r="CT190" s="253">
        <v>-0.74100600000000005</v>
      </c>
      <c r="CU190" s="253">
        <v>-0.76140600000000003</v>
      </c>
      <c r="CV190" s="253">
        <v>-0.78210599999999997</v>
      </c>
      <c r="CW190" s="253">
        <v>-0.80310599999999999</v>
      </c>
      <c r="CX190" s="253">
        <v>-0.82440600000000008</v>
      </c>
      <c r="CY190" s="253">
        <v>-0.84600599999999992</v>
      </c>
    </row>
    <row r="191" spans="1:103">
      <c r="A191" s="229"/>
      <c r="B191" s="230"/>
      <c r="C191" s="230"/>
      <c r="D191" s="230"/>
      <c r="E191" s="230" t="s">
        <v>870</v>
      </c>
      <c r="F191" s="232"/>
      <c r="G191" s="232" t="s">
        <v>736</v>
      </c>
      <c r="H191" s="203"/>
      <c r="I191" s="203"/>
      <c r="J191" s="203"/>
      <c r="K191" s="203"/>
      <c r="L191" s="229"/>
      <c r="M191" s="229"/>
      <c r="N191" s="229"/>
      <c r="O191" s="229"/>
      <c r="P191" s="229"/>
      <c r="Q191" s="229"/>
      <c r="R191" s="229"/>
      <c r="S191" s="229"/>
      <c r="T191" s="597"/>
      <c r="U191" s="597"/>
      <c r="V191" s="597"/>
      <c r="W191" s="597"/>
      <c r="X191" s="597"/>
      <c r="Y191" s="597"/>
      <c r="Z191" s="597"/>
      <c r="AA191" s="597"/>
      <c r="AB191" s="597"/>
      <c r="AC191" s="597"/>
      <c r="AD191" s="597"/>
      <c r="AE191" s="594">
        <v>-1.1068064336097772E-2</v>
      </c>
      <c r="AF191" s="629">
        <v>-8.0378847937661434E-3</v>
      </c>
      <c r="AG191" s="629">
        <v>-8.3522082432152152E-3</v>
      </c>
      <c r="AH191" s="629">
        <v>-9.9919861306597274E-3</v>
      </c>
      <c r="AI191" s="629">
        <v>-8.0267255658242886E-3</v>
      </c>
      <c r="AJ191" s="629">
        <v>-1.0778233601609774E-2</v>
      </c>
      <c r="AK191" s="629">
        <v>-1.1087604763514641E-2</v>
      </c>
      <c r="AL191" s="629">
        <v>-1.5628799490752892E-2</v>
      </c>
      <c r="AM191" s="629">
        <v>-2.133241390285074E-2</v>
      </c>
      <c r="AN191" s="629">
        <v>-8.5705580590786975E-3</v>
      </c>
      <c r="AO191" s="601">
        <v>-2.0946647189869678E-2</v>
      </c>
      <c r="AP191" s="253">
        <v>0</v>
      </c>
      <c r="AQ191" s="253">
        <v>0</v>
      </c>
      <c r="AR191" s="253">
        <v>-1.7102247916666667E-2</v>
      </c>
      <c r="AS191" s="253">
        <v>-1.8426945833333336E-2</v>
      </c>
      <c r="AT191" s="253">
        <v>-1.9810331250000004E-2</v>
      </c>
      <c r="AU191" s="253">
        <v>-2.1253341666666672E-2</v>
      </c>
      <c r="AV191" s="253">
        <v>-2.2756914583333336E-2</v>
      </c>
      <c r="AW191" s="253">
        <v>-2.4321987500000006E-2</v>
      </c>
      <c r="AX191" s="253">
        <v>-2.5949497916666679E-2</v>
      </c>
      <c r="AY191" s="253">
        <v>-2.7640383333333345E-2</v>
      </c>
      <c r="AZ191" s="253">
        <v>-2.9395581250000011E-2</v>
      </c>
      <c r="BA191" s="253">
        <v>-3.1216029166666683E-2</v>
      </c>
      <c r="BB191" s="253">
        <v>-3.3102664583333351E-2</v>
      </c>
      <c r="BC191" s="253">
        <v>-3.5056424999999995E-2</v>
      </c>
      <c r="BD191" s="253">
        <v>-3.6837675E-2</v>
      </c>
      <c r="BE191" s="253">
        <v>-3.8690175000000007E-2</v>
      </c>
      <c r="BF191" s="253">
        <v>-4.0613924999999995E-2</v>
      </c>
      <c r="BG191" s="253">
        <v>-4.2608925000000006E-2</v>
      </c>
      <c r="BH191" s="253">
        <v>-4.4675174999999998E-2</v>
      </c>
      <c r="BI191" s="253">
        <v>-4.6812674999999998E-2</v>
      </c>
      <c r="BJ191" s="253">
        <v>-4.9021424999999993E-2</v>
      </c>
      <c r="BK191" s="253">
        <v>-5.1301424999999998E-2</v>
      </c>
      <c r="BL191" s="253">
        <v>-5.3652674999999997E-2</v>
      </c>
      <c r="BM191" s="253">
        <v>-5.6075174999999991E-2</v>
      </c>
      <c r="BN191" s="253">
        <v>-5.8568924999999994E-2</v>
      </c>
      <c r="BO191" s="253">
        <v>-6.1133924999999999E-2</v>
      </c>
      <c r="BP191" s="253">
        <v>-6.3770174999999998E-2</v>
      </c>
      <c r="BQ191" s="253">
        <v>-6.6477674999999986E-2</v>
      </c>
      <c r="BR191" s="253">
        <v>-6.925642500000001E-2</v>
      </c>
      <c r="BS191" s="253">
        <v>-7.2106424999999988E-2</v>
      </c>
      <c r="BT191" s="253">
        <v>-7.5027674999999988E-2</v>
      </c>
      <c r="BU191" s="253">
        <v>-7.8020175000000011E-2</v>
      </c>
      <c r="BV191" s="253">
        <v>-8.1083925000000001E-2</v>
      </c>
      <c r="BW191" s="253">
        <v>-0.16843785</v>
      </c>
      <c r="BX191" s="253">
        <v>-0.17485034999999999</v>
      </c>
      <c r="BY191" s="253">
        <v>-0.18140534999999997</v>
      </c>
      <c r="BZ191" s="253">
        <v>-0.18810284999999999</v>
      </c>
      <c r="CA191" s="253">
        <v>-0.19494284999999997</v>
      </c>
      <c r="CB191" s="253">
        <v>-0.20192535</v>
      </c>
      <c r="CC191" s="253">
        <v>-0.20905035000000002</v>
      </c>
      <c r="CD191" s="253">
        <v>-0.21631784999999998</v>
      </c>
      <c r="CE191" s="253">
        <v>-0.22372785000000003</v>
      </c>
      <c r="CF191" s="253">
        <v>-0.23128034999999997</v>
      </c>
      <c r="CG191" s="253">
        <v>-0.23897535</v>
      </c>
      <c r="CH191" s="253">
        <v>-0.24681285</v>
      </c>
      <c r="CI191" s="253">
        <v>-0.25479285000000002</v>
      </c>
      <c r="CJ191" s="253">
        <v>-0.26291534999999999</v>
      </c>
      <c r="CK191" s="253">
        <v>-0.27118034999999996</v>
      </c>
      <c r="CL191" s="253">
        <v>-0.27958785000000003</v>
      </c>
      <c r="CM191" s="253">
        <v>-0.28813784999999997</v>
      </c>
      <c r="CN191" s="253">
        <v>-0.29683034999999997</v>
      </c>
      <c r="CO191" s="253">
        <v>-0.30566535</v>
      </c>
      <c r="CP191" s="253">
        <v>-0.31464284999999997</v>
      </c>
      <c r="CQ191" s="253">
        <v>-0.32376284999999999</v>
      </c>
      <c r="CR191" s="253">
        <v>-0.33302535</v>
      </c>
      <c r="CS191" s="253">
        <v>-0.34243034999999999</v>
      </c>
      <c r="CT191" s="253">
        <v>-0.35197785000000004</v>
      </c>
      <c r="CU191" s="253">
        <v>-0.36166785000000001</v>
      </c>
      <c r="CV191" s="253">
        <v>-0.37150034999999998</v>
      </c>
      <c r="CW191" s="253">
        <v>-0.38147534999999999</v>
      </c>
      <c r="CX191" s="253">
        <v>-0.39159284999999999</v>
      </c>
      <c r="CY191" s="253">
        <v>-0.40185285000000004</v>
      </c>
    </row>
    <row r="192" spans="1:103">
      <c r="A192" s="229"/>
      <c r="B192" s="230"/>
      <c r="C192" s="230"/>
      <c r="D192" s="230"/>
      <c r="E192" s="230" t="s">
        <v>373</v>
      </c>
      <c r="F192" s="232"/>
      <c r="G192" s="232" t="s">
        <v>736</v>
      </c>
      <c r="H192" s="203"/>
      <c r="I192" s="203"/>
      <c r="J192" s="203"/>
      <c r="K192" s="203"/>
      <c r="L192" s="229"/>
      <c r="M192" s="229"/>
      <c r="N192" s="229"/>
      <c r="O192" s="229"/>
      <c r="P192" s="229"/>
      <c r="Q192" s="229"/>
      <c r="R192" s="229"/>
      <c r="S192" s="229"/>
      <c r="T192" s="610"/>
      <c r="U192" s="610"/>
      <c r="V192" s="610"/>
      <c r="W192" s="610"/>
      <c r="X192" s="610"/>
      <c r="Y192" s="610"/>
      <c r="Z192" s="597"/>
      <c r="AA192" s="597"/>
      <c r="AB192" s="597"/>
      <c r="AC192" s="600"/>
      <c r="AD192" s="600"/>
      <c r="AE192" s="657">
        <v>0</v>
      </c>
      <c r="AF192" s="657">
        <v>0</v>
      </c>
      <c r="AG192" s="657">
        <v>0</v>
      </c>
      <c r="AH192" s="253">
        <v>0</v>
      </c>
      <c r="AI192" s="253">
        <v>0</v>
      </c>
      <c r="AJ192" s="253">
        <v>0</v>
      </c>
      <c r="AK192" s="253">
        <v>0</v>
      </c>
      <c r="AL192" s="253">
        <v>0</v>
      </c>
      <c r="AM192" s="253">
        <v>0</v>
      </c>
      <c r="AN192" s="253">
        <v>0</v>
      </c>
      <c r="AO192" s="253"/>
      <c r="AP192" s="253"/>
      <c r="AQ192" s="277"/>
      <c r="AR192" s="253"/>
      <c r="AS192" s="253"/>
      <c r="AT192" s="253"/>
      <c r="AU192" s="253"/>
      <c r="AV192" s="253"/>
      <c r="AW192" s="253"/>
      <c r="AX192" s="253"/>
      <c r="AY192" s="253"/>
      <c r="AZ192" s="253"/>
      <c r="BA192" s="253"/>
      <c r="BB192" s="253"/>
      <c r="BC192" s="253"/>
      <c r="BD192" s="253"/>
      <c r="BE192" s="253"/>
      <c r="BF192" s="253"/>
      <c r="BG192" s="253"/>
      <c r="BH192" s="253"/>
      <c r="BI192" s="253"/>
      <c r="BJ192" s="253"/>
      <c r="BK192" s="253"/>
      <c r="BL192" s="253"/>
      <c r="BM192" s="253"/>
      <c r="BN192" s="253"/>
      <c r="BO192" s="253"/>
      <c r="BP192" s="253"/>
      <c r="BQ192" s="253"/>
      <c r="BR192" s="253"/>
      <c r="BS192" s="253"/>
      <c r="BT192" s="253"/>
      <c r="BU192" s="253"/>
      <c r="BV192" s="253"/>
      <c r="BW192" s="253"/>
      <c r="BX192" s="253"/>
      <c r="BY192" s="253"/>
      <c r="BZ192" s="253"/>
      <c r="CA192" s="253"/>
      <c r="CB192" s="253"/>
      <c r="CC192" s="253"/>
      <c r="CD192" s="253"/>
      <c r="CE192" s="253"/>
      <c r="CF192" s="253"/>
      <c r="CG192" s="253"/>
      <c r="CH192" s="253"/>
      <c r="CI192" s="253"/>
      <c r="CJ192" s="253"/>
      <c r="CK192" s="253"/>
      <c r="CL192" s="253"/>
      <c r="CM192" s="253"/>
      <c r="CN192" s="253"/>
      <c r="CO192" s="253"/>
      <c r="CP192" s="253"/>
      <c r="CQ192" s="253"/>
      <c r="CR192" s="253"/>
      <c r="CS192" s="253"/>
      <c r="CT192" s="253"/>
      <c r="CU192" s="253"/>
      <c r="CV192" s="253"/>
      <c r="CW192" s="253"/>
      <c r="CX192" s="253"/>
      <c r="CY192" s="253"/>
    </row>
    <row r="193" spans="1:103">
      <c r="A193" s="230"/>
      <c r="B193" s="229" t="s">
        <v>621</v>
      </c>
      <c r="C193" s="230"/>
      <c r="D193" s="230"/>
      <c r="E193" s="232"/>
      <c r="F193" s="232"/>
      <c r="G193" s="232" t="s">
        <v>736</v>
      </c>
      <c r="H193" s="203"/>
      <c r="I193" s="232"/>
      <c r="J193" s="232"/>
      <c r="K193" s="232"/>
      <c r="L193" s="230"/>
      <c r="M193" s="230"/>
      <c r="N193" s="230"/>
      <c r="O193" s="230"/>
      <c r="P193" s="230"/>
      <c r="Q193" s="230"/>
      <c r="R193" s="230"/>
      <c r="S193" s="230"/>
      <c r="T193" s="597"/>
      <c r="U193" s="597"/>
      <c r="V193" s="597"/>
      <c r="W193" s="597"/>
      <c r="X193" s="597"/>
      <c r="Y193" s="597"/>
      <c r="Z193" s="597"/>
      <c r="AA193" s="597"/>
      <c r="AB193" s="597"/>
      <c r="AC193" s="597"/>
      <c r="AD193" s="597"/>
      <c r="AE193" s="635">
        <v>4.5065013000000001E-2</v>
      </c>
      <c r="AF193" s="635">
        <v>-0.236865248</v>
      </c>
      <c r="AG193" s="635">
        <v>3.1577489E-2</v>
      </c>
      <c r="AH193" s="635">
        <v>-0.27269349700000001</v>
      </c>
      <c r="AI193" s="635">
        <v>-0.15406663600000001</v>
      </c>
      <c r="AJ193" s="635">
        <v>-0.16802787699999999</v>
      </c>
      <c r="AK193" s="636">
        <v>-0.30379377899999999</v>
      </c>
      <c r="AL193" s="636">
        <v>-0.35918921700000001</v>
      </c>
      <c r="AM193" s="636">
        <v>-0.33394528899999998</v>
      </c>
      <c r="AN193" s="636">
        <v>-0.45713053800000003</v>
      </c>
      <c r="AO193" s="654">
        <v>-7.1638968388826552</v>
      </c>
      <c r="AP193" s="654">
        <v>-8.4951236160152135</v>
      </c>
      <c r="AQ193" s="654">
        <v>-9.8354014945098722</v>
      </c>
      <c r="AR193" s="654">
        <v>-2.4327676584000142</v>
      </c>
      <c r="AS193" s="654">
        <v>-1.1199143284221877</v>
      </c>
      <c r="AT193" s="654">
        <v>-1.2552973851431668</v>
      </c>
      <c r="AU193" s="654">
        <v>-1.3547312308678181</v>
      </c>
      <c r="AV193" s="654">
        <v>-1.4653325426589907</v>
      </c>
      <c r="AW193" s="654">
        <v>-1.5222737893809508</v>
      </c>
      <c r="AX193" s="654">
        <v>-1.6043321919749411</v>
      </c>
      <c r="AY193" s="654">
        <v>-1.580808615452318</v>
      </c>
      <c r="AZ193" s="654">
        <v>-1.6414403118712275</v>
      </c>
      <c r="BA193" s="654">
        <v>-1.7251870318036211</v>
      </c>
      <c r="BB193" s="654">
        <v>-1.7171753354019126</v>
      </c>
      <c r="BC193" s="654">
        <v>-1.757404791437843</v>
      </c>
      <c r="BD193" s="654">
        <v>-1.8309053237233319</v>
      </c>
      <c r="BE193" s="654">
        <v>-1.7818668259789814</v>
      </c>
      <c r="BF193" s="654">
        <v>-1.6738035417794939</v>
      </c>
      <c r="BG193" s="654">
        <v>-1.7822429044517605</v>
      </c>
      <c r="BH193" s="654">
        <v>-1.8999010634759343</v>
      </c>
      <c r="BI193" s="654">
        <v>-2.0208448135131079</v>
      </c>
      <c r="BJ193" s="654">
        <v>-2.1300375184939466</v>
      </c>
      <c r="BK193" s="654">
        <v>-2.2291179362380236</v>
      </c>
      <c r="BL193" s="654">
        <v>-2.3500607950137655</v>
      </c>
      <c r="BM193" s="654">
        <v>-2.4725513001000312</v>
      </c>
      <c r="BN193" s="654">
        <v>-2.5967661431614659</v>
      </c>
      <c r="BO193" s="654">
        <v>-2.72253053371701</v>
      </c>
      <c r="BP193" s="654">
        <v>-2.8513324231347736</v>
      </c>
      <c r="BQ193" s="654">
        <v>-2.9839405359859845</v>
      </c>
      <c r="BR193" s="654">
        <v>-3.1207282208553222</v>
      </c>
      <c r="BS193" s="654">
        <v>-3.2617623500183965</v>
      </c>
      <c r="BT193" s="654">
        <v>-3.4069711797102662</v>
      </c>
      <c r="BU193" s="654">
        <v>-3.5564497931011334</v>
      </c>
      <c r="BV193" s="654">
        <v>-3.7102244825557209</v>
      </c>
      <c r="BW193" s="654">
        <v>-3.8682893426201042</v>
      </c>
      <c r="BX193" s="654">
        <v>-4.030621460778872</v>
      </c>
      <c r="BY193" s="654">
        <v>-4.1972006546501861</v>
      </c>
      <c r="BZ193" s="654">
        <v>-4.3680138148954128</v>
      </c>
      <c r="CA193" s="654">
        <v>-4.5430541111214522</v>
      </c>
      <c r="CB193" s="654">
        <v>-4.7223183254464161</v>
      </c>
      <c r="CC193" s="654">
        <v>-4.9058045111321844</v>
      </c>
      <c r="CD193" s="654">
        <v>-5.0935120614947849</v>
      </c>
      <c r="CE193" s="654">
        <v>-5.2854412240487365</v>
      </c>
      <c r="CF193" s="654">
        <v>-5.4815926204477261</v>
      </c>
      <c r="CG193" s="654">
        <v>-5.681966884033157</v>
      </c>
      <c r="CH193" s="654">
        <v>-5.8865645021587225</v>
      </c>
      <c r="CI193" s="654">
        <v>-6.0953857914908367</v>
      </c>
      <c r="CJ193" s="654">
        <v>-6.3084309328617838</v>
      </c>
      <c r="CK193" s="654">
        <v>-6.5257000156328333</v>
      </c>
      <c r="CL193" s="654">
        <v>-6.7471930693509661</v>
      </c>
      <c r="CM193" s="654">
        <v>-6.9729100895319345</v>
      </c>
      <c r="CN193" s="654">
        <v>-7.2028510568124302</v>
      </c>
      <c r="CO193" s="654">
        <v>-7.4370159491962546</v>
      </c>
      <c r="CP193" s="654">
        <v>-7.6754047481698926</v>
      </c>
      <c r="CQ193" s="654">
        <v>-7.9180174406168673</v>
      </c>
      <c r="CR193" s="654">
        <v>-8.1648540184739264</v>
      </c>
      <c r="CS193" s="654">
        <v>-8.4159144775365444</v>
      </c>
      <c r="CT193" s="654">
        <v>-8.671198816177661</v>
      </c>
      <c r="CU193" s="654">
        <v>-8.9307070342639889</v>
      </c>
      <c r="CV193" s="654">
        <v>-9.1944391323639501</v>
      </c>
      <c r="CW193" s="654">
        <v>-9.46239511124584</v>
      </c>
      <c r="CX193" s="654">
        <v>-9.7345749716099643</v>
      </c>
      <c r="CY193" s="654">
        <v>-10.010978713983206</v>
      </c>
    </row>
    <row r="194" spans="1:103">
      <c r="A194" s="229"/>
      <c r="B194" s="95" t="s">
        <v>701</v>
      </c>
      <c r="C194" s="95"/>
      <c r="D194" s="95"/>
      <c r="E194" s="214"/>
      <c r="F194" s="232"/>
      <c r="G194" s="232" t="s">
        <v>736</v>
      </c>
      <c r="H194" s="203"/>
      <c r="I194" s="203"/>
      <c r="J194" s="203"/>
      <c r="K194" s="203"/>
      <c r="L194" s="229"/>
      <c r="M194" s="229"/>
      <c r="N194" s="229"/>
      <c r="O194" s="229"/>
      <c r="P194" s="229"/>
      <c r="Q194" s="229"/>
      <c r="R194" s="229"/>
      <c r="S194" s="229"/>
      <c r="T194" s="247"/>
      <c r="U194" s="247"/>
      <c r="V194" s="247"/>
      <c r="W194" s="247"/>
      <c r="X194" s="247"/>
      <c r="Y194" s="247"/>
      <c r="Z194" s="247"/>
      <c r="AA194" s="247"/>
      <c r="AB194" s="247"/>
      <c r="AC194" s="247"/>
      <c r="AD194" s="247"/>
      <c r="AE194" s="644">
        <f>SUM(AE195:AE204)</f>
        <v>0</v>
      </c>
      <c r="AF194" s="644">
        <f>SUM(AF195:AF204)</f>
        <v>-8.9525804478487556E-2</v>
      </c>
      <c r="AG194" s="644">
        <f t="shared" ref="AG194:AQ194" si="84">SUM(AG195:AG204)</f>
        <v>-9.3218909210057155E-2</v>
      </c>
      <c r="AH194" s="644">
        <f t="shared" si="84"/>
        <v>-6.452058937704501E-2</v>
      </c>
      <c r="AI194" s="644">
        <f t="shared" si="84"/>
        <v>-7.2013673881892476E-2</v>
      </c>
      <c r="AJ194" s="644">
        <f t="shared" si="84"/>
        <v>-0.12273910769285437</v>
      </c>
      <c r="AK194" s="644">
        <f t="shared" si="84"/>
        <v>-0.14687847540226007</v>
      </c>
      <c r="AL194" s="644">
        <f t="shared" si="84"/>
        <v>-0.16575506056150249</v>
      </c>
      <c r="AM194" s="644">
        <f t="shared" si="84"/>
        <v>-0.24722572605419049</v>
      </c>
      <c r="AN194" s="644">
        <f t="shared" si="84"/>
        <v>-0.14471320489136733</v>
      </c>
      <c r="AO194" s="644">
        <f t="shared" si="84"/>
        <v>-64.655648174478884</v>
      </c>
      <c r="AP194" s="644">
        <f t="shared" si="84"/>
        <v>-116.63267589699599</v>
      </c>
      <c r="AQ194" s="644">
        <f t="shared" si="84"/>
        <v>-125.47300799586456</v>
      </c>
      <c r="AR194" s="644">
        <v>-0.24070665737368765</v>
      </c>
      <c r="AS194" s="644">
        <v>-0.25449628811274511</v>
      </c>
      <c r="AT194" s="644">
        <v>-0.26866333251997715</v>
      </c>
      <c r="AU194" s="644">
        <v>-0.28320831357285431</v>
      </c>
      <c r="AV194" s="644">
        <v>-0.29813172035929064</v>
      </c>
      <c r="AW194" s="644">
        <v>-0.32857097932396495</v>
      </c>
      <c r="AX194" s="644">
        <v>-0.37549326909624703</v>
      </c>
      <c r="AY194" s="644">
        <v>-0.44420193287899429</v>
      </c>
      <c r="AZ194" s="644">
        <v>-0.48136383223455059</v>
      </c>
      <c r="BA194" s="644">
        <v>-0.52271909234825176</v>
      </c>
      <c r="BB194" s="644">
        <v>-0.75551063322280287</v>
      </c>
      <c r="BC194" s="644">
        <v>-0.81388464256752879</v>
      </c>
      <c r="BD194" s="644">
        <v>-0.82443762638800677</v>
      </c>
      <c r="BE194" s="644">
        <v>-0.86323195272469311</v>
      </c>
      <c r="BF194" s="644">
        <v>-0.88612260860259784</v>
      </c>
      <c r="BG194" s="644">
        <v>-0.93490002440641917</v>
      </c>
      <c r="BH194" s="644">
        <v>-0.98539884631228303</v>
      </c>
      <c r="BI194" s="644">
        <v>-1.0286176433102565</v>
      </c>
      <c r="BJ194" s="644">
        <v>-1.0906335370276805</v>
      </c>
      <c r="BK194" s="644">
        <v>-1.1222883160845492</v>
      </c>
      <c r="BL194" s="644">
        <v>-1.1567172662296894</v>
      </c>
      <c r="BM194" s="644">
        <v>-1.1936862332814142</v>
      </c>
      <c r="BN194" s="644">
        <v>-1.2424655132549192</v>
      </c>
      <c r="BO194" s="644">
        <v>-1.3112361605725458</v>
      </c>
      <c r="BP194" s="644">
        <v>-1.376442271255343</v>
      </c>
      <c r="BQ194" s="644">
        <v>-1.432485173852434</v>
      </c>
      <c r="BR194" s="644">
        <v>-1.4813528017720539</v>
      </c>
      <c r="BS194" s="644">
        <v>-1.533283443972892</v>
      </c>
      <c r="BT194" s="644">
        <v>-1.6009656275644082</v>
      </c>
      <c r="BU194" s="644">
        <v>-1.6623989512805815</v>
      </c>
      <c r="BV194" s="644">
        <v>-1.7396424042808933</v>
      </c>
      <c r="BW194" s="644">
        <v>-1.747958494822873</v>
      </c>
      <c r="BX194" s="644">
        <v>-1.7985260987716338</v>
      </c>
      <c r="BY194" s="644">
        <v>-1.8509725924891294</v>
      </c>
      <c r="BZ194" s="644">
        <v>-1.9136081158680105</v>
      </c>
      <c r="CA194" s="644">
        <v>-1.9934986723470904</v>
      </c>
      <c r="CB194" s="644">
        <v>-2.0702888765500962</v>
      </c>
      <c r="CC194" s="644">
        <v>-2.1393653576403686</v>
      </c>
      <c r="CD194" s="644">
        <v>-2.2024510067389498</v>
      </c>
      <c r="CE194" s="644">
        <v>-2.2683048946194946</v>
      </c>
      <c r="CF194" s="644">
        <v>-2.3477682711615593</v>
      </c>
      <c r="CG194" s="644">
        <v>-2.4220302195959205</v>
      </c>
      <c r="CH194" s="644">
        <v>-2.5099374460054102</v>
      </c>
      <c r="CI194" s="644">
        <v>-2.5750528956541343</v>
      </c>
      <c r="CJ194" s="644">
        <v>-2.6417875872402465</v>
      </c>
      <c r="CK194" s="644">
        <v>-2.7102851188574384</v>
      </c>
      <c r="CL194" s="644">
        <v>-2.7876474280871575</v>
      </c>
      <c r="CM194" s="644">
        <v>-2.8764771658495585</v>
      </c>
      <c r="CN194" s="644">
        <v>-2.9569304168110997</v>
      </c>
      <c r="CO194" s="644">
        <v>-3.0384644431787149</v>
      </c>
      <c r="CP194" s="644">
        <v>-3.1210792446067797</v>
      </c>
      <c r="CQ194" s="644">
        <v>-3.2047748206184776</v>
      </c>
      <c r="CR194" s="644">
        <v>-3.2895511709081759</v>
      </c>
      <c r="CS194" s="644">
        <v>-3.375408295551475</v>
      </c>
      <c r="CT194" s="644">
        <v>-3.4623461951201229</v>
      </c>
      <c r="CU194" s="644">
        <v>-3.5503648707193425</v>
      </c>
      <c r="CV194" s="644">
        <v>-3.639464323972855</v>
      </c>
      <c r="CW194" s="644">
        <v>-3.7296445569794994</v>
      </c>
      <c r="CX194" s="644">
        <v>-3.8209055722589307</v>
      </c>
      <c r="CY194" s="644">
        <v>-3.9132473726966164</v>
      </c>
    </row>
    <row r="195" spans="1:103">
      <c r="A195" s="229"/>
      <c r="B195" s="229"/>
      <c r="C195" s="230"/>
      <c r="D195" s="230" t="s">
        <v>100</v>
      </c>
      <c r="E195" s="230"/>
      <c r="F195" s="232"/>
      <c r="G195" s="232" t="s">
        <v>736</v>
      </c>
      <c r="H195" s="203"/>
      <c r="I195" s="203"/>
      <c r="J195" s="203"/>
      <c r="K195" s="203"/>
      <c r="L195" s="229"/>
      <c r="M195" s="229"/>
      <c r="N195" s="229"/>
      <c r="O195" s="229"/>
      <c r="P195" s="229"/>
      <c r="Q195" s="229"/>
      <c r="R195" s="229"/>
      <c r="S195" s="229"/>
      <c r="T195" s="237"/>
      <c r="U195" s="237"/>
      <c r="V195" s="237"/>
      <c r="W195" s="237"/>
      <c r="X195" s="237"/>
      <c r="Y195" s="237"/>
      <c r="Z195" s="237"/>
      <c r="AA195" s="237"/>
      <c r="AB195" s="237"/>
      <c r="AC195" s="237"/>
      <c r="AD195" s="237"/>
      <c r="AE195" s="594">
        <v>0</v>
      </c>
      <c r="AF195" s="650">
        <v>-2.5592235673583794E-2</v>
      </c>
      <c r="AG195" s="650">
        <v>-2.9449941978963161E-2</v>
      </c>
      <c r="AH195" s="650">
        <v>-2.0477934023907046E-2</v>
      </c>
      <c r="AI195" s="650">
        <v>-2.0679558717248074E-2</v>
      </c>
      <c r="AJ195" s="650">
        <v>-3.023757955335183E-2</v>
      </c>
      <c r="AK195" s="650">
        <v>-4.1037946189210264E-2</v>
      </c>
      <c r="AL195" s="650">
        <v>-4.1756151775873787E-2</v>
      </c>
      <c r="AM195" s="650">
        <v>-6.7571216294009737E-2</v>
      </c>
      <c r="AN195" s="650">
        <v>-4.9904763707488836E-2</v>
      </c>
      <c r="AO195" s="253">
        <v>-1.553545E-5</v>
      </c>
      <c r="AP195" s="253">
        <v>-1.6319858333333334E-5</v>
      </c>
      <c r="AQ195" s="253">
        <v>-2.9154999999999998E-5</v>
      </c>
      <c r="AR195" s="253">
        <v>-6.796875E-6</v>
      </c>
      <c r="AS195" s="253">
        <v>-7.0312499999999998E-6</v>
      </c>
      <c r="AT195" s="253">
        <v>-7.2656249999999996E-6</v>
      </c>
      <c r="AU195" s="253">
        <v>-7.5000000000000002E-6</v>
      </c>
      <c r="AV195" s="253">
        <v>-7.734375E-6</v>
      </c>
      <c r="AW195" s="253">
        <v>-7.9687500000000006E-6</v>
      </c>
      <c r="AX195" s="253">
        <v>-8.2031250000000012E-6</v>
      </c>
      <c r="AY195" s="253">
        <v>-8.4375000000000001E-6</v>
      </c>
      <c r="AZ195" s="253">
        <v>-8.6718750000000007E-6</v>
      </c>
      <c r="BA195" s="253">
        <v>-8.9062500000000013E-6</v>
      </c>
      <c r="BB195" s="253">
        <v>-9.140625000000002E-6</v>
      </c>
      <c r="BC195" s="253">
        <v>-9.3749999999999992E-6</v>
      </c>
      <c r="BD195" s="253">
        <v>-9.7656250000000002E-6</v>
      </c>
      <c r="BE195" s="253">
        <v>-1.0156250000000001E-5</v>
      </c>
      <c r="BF195" s="253">
        <v>-1.0546875000000002E-5</v>
      </c>
      <c r="BG195" s="253">
        <v>-1.0937500000000003E-5</v>
      </c>
      <c r="BH195" s="253">
        <v>-1.1328125000000003E-5</v>
      </c>
      <c r="BI195" s="253">
        <v>-1.1718750000000004E-5</v>
      </c>
      <c r="BJ195" s="253">
        <v>-1.2109375000000005E-5</v>
      </c>
      <c r="BK195" s="253">
        <v>-1.2500000000000006E-5</v>
      </c>
      <c r="BL195" s="253">
        <v>-1.2890625000000007E-5</v>
      </c>
      <c r="BM195" s="253">
        <v>-1.3281250000000006E-5</v>
      </c>
      <c r="BN195" s="253">
        <v>-1.3671875000000007E-5</v>
      </c>
      <c r="BO195" s="253">
        <v>-1.40625E-5</v>
      </c>
      <c r="BP195" s="253">
        <v>-1.4453125000000001E-5</v>
      </c>
      <c r="BQ195" s="253">
        <v>-1.4843750000000002E-5</v>
      </c>
      <c r="BR195" s="253">
        <v>-1.5234375000000001E-5</v>
      </c>
      <c r="BS195" s="253">
        <v>-1.5625000000000004E-5</v>
      </c>
      <c r="BT195" s="253">
        <v>-1.6015625000000001E-5</v>
      </c>
      <c r="BU195" s="253">
        <v>-1.6406250000000006E-5</v>
      </c>
      <c r="BV195" s="253">
        <v>-1.6796875000000003E-5</v>
      </c>
      <c r="BW195" s="253">
        <v>-1.7187500000000004E-5</v>
      </c>
      <c r="BX195" s="253">
        <v>-1.7578125000000009E-5</v>
      </c>
      <c r="BY195" s="253">
        <v>-1.7968750000000006E-5</v>
      </c>
      <c r="BZ195" s="253">
        <v>-1.8359375000000007E-5</v>
      </c>
      <c r="CA195" s="253">
        <v>-1.8749999999999998E-5</v>
      </c>
      <c r="CB195" s="253">
        <v>-1.9140624999999999E-5</v>
      </c>
      <c r="CC195" s="253">
        <v>-1.9531249999999997E-5</v>
      </c>
      <c r="CD195" s="253">
        <v>-1.9921874999999995E-5</v>
      </c>
      <c r="CE195" s="253">
        <v>-2.0312499999999996E-5</v>
      </c>
      <c r="CF195" s="253">
        <v>-2.0703124999999993E-5</v>
      </c>
      <c r="CG195" s="253">
        <v>-2.1093749999999991E-5</v>
      </c>
      <c r="CH195" s="253">
        <v>-2.1484374999999989E-5</v>
      </c>
      <c r="CI195" s="253">
        <v>-2.187499999999999E-5</v>
      </c>
      <c r="CJ195" s="253">
        <v>-2.2265624999999987E-5</v>
      </c>
      <c r="CK195" s="253">
        <v>-2.2656249999999985E-5</v>
      </c>
      <c r="CL195" s="253">
        <v>-2.3046874999999986E-5</v>
      </c>
      <c r="CM195" s="253">
        <v>-2.34375E-5</v>
      </c>
      <c r="CN195" s="253">
        <v>-2.3828124999999998E-5</v>
      </c>
      <c r="CO195" s="253">
        <v>-2.4218749999999999E-5</v>
      </c>
      <c r="CP195" s="253">
        <v>-2.4609374999999997E-5</v>
      </c>
      <c r="CQ195" s="253">
        <v>-2.4999999999999994E-5</v>
      </c>
      <c r="CR195" s="253">
        <v>-2.5390624999999992E-5</v>
      </c>
      <c r="CS195" s="253">
        <v>-2.5781249999999993E-5</v>
      </c>
      <c r="CT195" s="253">
        <v>-2.6171874999999991E-5</v>
      </c>
      <c r="CU195" s="253">
        <v>-2.6562499999999988E-5</v>
      </c>
      <c r="CV195" s="253">
        <v>-2.6953124999999989E-5</v>
      </c>
      <c r="CW195" s="253">
        <v>-2.7343749999999987E-5</v>
      </c>
      <c r="CX195" s="253">
        <v>-2.7734374999999985E-5</v>
      </c>
      <c r="CY195" s="253">
        <v>-2.8124999999999999E-5</v>
      </c>
    </row>
    <row r="196" spans="1:103">
      <c r="A196" s="229"/>
      <c r="B196" s="229"/>
      <c r="C196" s="230"/>
      <c r="D196" s="230" t="s">
        <v>806</v>
      </c>
      <c r="E196" s="230"/>
      <c r="F196" s="232"/>
      <c r="G196" s="232" t="s">
        <v>736</v>
      </c>
      <c r="H196" s="203"/>
      <c r="I196" s="203"/>
      <c r="J196" s="203"/>
      <c r="K196" s="203"/>
      <c r="L196" s="229"/>
      <c r="M196" s="229"/>
      <c r="N196" s="229"/>
      <c r="O196" s="229"/>
      <c r="P196" s="229"/>
      <c r="Q196" s="229"/>
      <c r="R196" s="229"/>
      <c r="S196" s="229"/>
      <c r="T196" s="237"/>
      <c r="U196" s="237"/>
      <c r="V196" s="237"/>
      <c r="W196" s="237"/>
      <c r="X196" s="237"/>
      <c r="Y196" s="237"/>
      <c r="Z196" s="237"/>
      <c r="AA196" s="237"/>
      <c r="AB196" s="237"/>
      <c r="AC196" s="237"/>
      <c r="AD196" s="237"/>
      <c r="AE196" s="594">
        <v>0</v>
      </c>
      <c r="AF196" s="650">
        <v>-3.411428084511961E-3</v>
      </c>
      <c r="AG196" s="650">
        <v>-3.961454815695601E-3</v>
      </c>
      <c r="AH196" s="650">
        <v>-2.8262990280000003E-3</v>
      </c>
      <c r="AI196" s="650">
        <v>-2.2857025109315589E-3</v>
      </c>
      <c r="AJ196" s="650">
        <v>-4.0787166976744187E-3</v>
      </c>
      <c r="AK196" s="650">
        <v>-5.0492539464090415E-3</v>
      </c>
      <c r="AL196" s="650">
        <v>-9.8999779196469427E-3</v>
      </c>
      <c r="AM196" s="650">
        <v>-5.8347058242727004E-4</v>
      </c>
      <c r="AN196" s="650">
        <v>-4.3681618941813637E-4</v>
      </c>
      <c r="AO196" s="253">
        <v>0</v>
      </c>
      <c r="AP196" s="253">
        <v>0</v>
      </c>
      <c r="AQ196" s="253">
        <v>0</v>
      </c>
      <c r="AR196" s="253">
        <v>-6.0392500000000003E-3</v>
      </c>
      <c r="AS196" s="253">
        <v>-6.2475000000000004E-3</v>
      </c>
      <c r="AT196" s="253">
        <v>-6.4557500000000006E-3</v>
      </c>
      <c r="AU196" s="253">
        <v>-6.6640000000000007E-3</v>
      </c>
      <c r="AV196" s="253">
        <v>-6.8722500000000008E-3</v>
      </c>
      <c r="AW196" s="253">
        <v>-7.0805000000000009E-3</v>
      </c>
      <c r="AX196" s="253">
        <v>-7.288750000000001E-3</v>
      </c>
      <c r="AY196" s="253">
        <v>-7.4970000000000011E-3</v>
      </c>
      <c r="AZ196" s="253">
        <v>-7.7052500000000012E-3</v>
      </c>
      <c r="BA196" s="253">
        <v>-7.9135000000000021E-3</v>
      </c>
      <c r="BB196" s="253">
        <v>-8.1217500000000022E-3</v>
      </c>
      <c r="BC196" s="253">
        <v>-8.3300000000000006E-3</v>
      </c>
      <c r="BD196" s="253">
        <v>-8.6770833333333335E-3</v>
      </c>
      <c r="BE196" s="253">
        <v>-9.0241666666666682E-3</v>
      </c>
      <c r="BF196" s="253">
        <v>-9.3712500000000011E-3</v>
      </c>
      <c r="BG196" s="253">
        <v>-9.7183333333333358E-3</v>
      </c>
      <c r="BH196" s="253">
        <v>-1.0065416666666669E-2</v>
      </c>
      <c r="BI196" s="253">
        <v>-1.0412500000000003E-2</v>
      </c>
      <c r="BJ196" s="253">
        <v>-1.0759583333333338E-2</v>
      </c>
      <c r="BK196" s="253">
        <v>-1.1106666666666671E-2</v>
      </c>
      <c r="BL196" s="253">
        <v>-1.1453750000000006E-2</v>
      </c>
      <c r="BM196" s="253">
        <v>-1.180083333333334E-2</v>
      </c>
      <c r="BN196" s="253">
        <v>-1.2147916666666675E-2</v>
      </c>
      <c r="BO196" s="253">
        <v>-1.2495000000000001E-2</v>
      </c>
      <c r="BP196" s="253">
        <v>-1.2842083333333336E-2</v>
      </c>
      <c r="BQ196" s="253">
        <v>-1.3189166666666668E-2</v>
      </c>
      <c r="BR196" s="253">
        <v>-1.3536250000000003E-2</v>
      </c>
      <c r="BS196" s="253">
        <v>-1.3883333333333336E-2</v>
      </c>
      <c r="BT196" s="253">
        <v>-1.4230416666666671E-2</v>
      </c>
      <c r="BU196" s="253">
        <v>-1.4577500000000004E-2</v>
      </c>
      <c r="BV196" s="253">
        <v>-1.4924583333333338E-2</v>
      </c>
      <c r="BW196" s="253">
        <v>-1.5271666666666673E-2</v>
      </c>
      <c r="BX196" s="253">
        <v>-1.5618750000000006E-2</v>
      </c>
      <c r="BY196" s="253">
        <v>-1.5965833333333339E-2</v>
      </c>
      <c r="BZ196" s="253">
        <v>-1.6312916666666673E-2</v>
      </c>
      <c r="CA196" s="253">
        <v>-1.6660000000000001E-2</v>
      </c>
      <c r="CB196" s="253">
        <v>-1.7007083333333336E-2</v>
      </c>
      <c r="CC196" s="253">
        <v>-1.7354166666666664E-2</v>
      </c>
      <c r="CD196" s="253">
        <v>-1.7701249999999998E-2</v>
      </c>
      <c r="CE196" s="253">
        <v>-1.8048333333333329E-2</v>
      </c>
      <c r="CF196" s="253">
        <v>-1.8395416666666664E-2</v>
      </c>
      <c r="CG196" s="253">
        <v>-1.8742499999999992E-2</v>
      </c>
      <c r="CH196" s="253">
        <v>-1.9089583333333326E-2</v>
      </c>
      <c r="CI196" s="253">
        <v>-1.9436666666666658E-2</v>
      </c>
      <c r="CJ196" s="253">
        <v>-1.9783749999999992E-2</v>
      </c>
      <c r="CK196" s="253">
        <v>-2.013083333333332E-2</v>
      </c>
      <c r="CL196" s="253">
        <v>-2.0477916666666655E-2</v>
      </c>
      <c r="CM196" s="253">
        <v>-2.0825E-2</v>
      </c>
      <c r="CN196" s="253">
        <v>-2.1172083333333334E-2</v>
      </c>
      <c r="CO196" s="253">
        <v>-2.1519166666666666E-2</v>
      </c>
      <c r="CP196" s="253">
        <v>-2.1866249999999997E-2</v>
      </c>
      <c r="CQ196" s="253">
        <v>-2.2213333333333328E-2</v>
      </c>
      <c r="CR196" s="253">
        <v>-2.2560416666666663E-2</v>
      </c>
      <c r="CS196" s="253">
        <v>-2.2907499999999994E-2</v>
      </c>
      <c r="CT196" s="253">
        <v>-2.3254583333333325E-2</v>
      </c>
      <c r="CU196" s="253">
        <v>-2.3601666666666656E-2</v>
      </c>
      <c r="CV196" s="253">
        <v>-2.3948749999999991E-2</v>
      </c>
      <c r="CW196" s="253">
        <v>-2.4295833333333322E-2</v>
      </c>
      <c r="CX196" s="253">
        <v>-2.4642916666666653E-2</v>
      </c>
      <c r="CY196" s="253">
        <v>-2.4990000000000002E-2</v>
      </c>
    </row>
    <row r="197" spans="1:103">
      <c r="A197" s="95"/>
      <c r="B197" s="230"/>
      <c r="C197" s="230"/>
      <c r="D197" s="230" t="s">
        <v>871</v>
      </c>
      <c r="E197" s="230"/>
      <c r="F197" s="232"/>
      <c r="G197" s="232" t="s">
        <v>736</v>
      </c>
      <c r="H197" s="203"/>
      <c r="I197" s="214"/>
      <c r="J197" s="214"/>
      <c r="K197" s="214"/>
      <c r="L197" s="95"/>
      <c r="M197" s="95"/>
      <c r="N197" s="95"/>
      <c r="O197" s="95"/>
      <c r="P197" s="95"/>
      <c r="Q197" s="95"/>
      <c r="R197" s="95"/>
      <c r="S197" s="95"/>
      <c r="T197" s="237"/>
      <c r="U197" s="237"/>
      <c r="V197" s="237"/>
      <c r="W197" s="237"/>
      <c r="X197" s="237"/>
      <c r="Y197" s="237"/>
      <c r="Z197" s="237"/>
      <c r="AA197" s="237"/>
      <c r="AB197" s="237"/>
      <c r="AC197" s="237"/>
      <c r="AD197" s="627"/>
      <c r="AE197" s="594">
        <v>0</v>
      </c>
      <c r="AF197" s="650">
        <v>-2.541842081368954E-2</v>
      </c>
      <c r="AG197" s="650">
        <v>-3.2022542766547757E-2</v>
      </c>
      <c r="AH197" s="650">
        <v>-2.1032709199999999E-2</v>
      </c>
      <c r="AI197" s="650">
        <v>-1.5839932984790875E-2</v>
      </c>
      <c r="AJ197" s="650">
        <v>-3.1671613953488373E-2</v>
      </c>
      <c r="AK197" s="650">
        <v>-3.8896663907036097E-2</v>
      </c>
      <c r="AL197" s="650">
        <v>-7.1824866227645001E-2</v>
      </c>
      <c r="AM197" s="650">
        <v>-5.2838944037503659E-2</v>
      </c>
      <c r="AN197" s="650">
        <v>-3.9082813012081663E-2</v>
      </c>
      <c r="AO197" s="253">
        <v>-2.2379999999999999E-4</v>
      </c>
      <c r="AP197" s="253">
        <v>-2.3509999999999997E-4</v>
      </c>
      <c r="AQ197" s="253">
        <v>-4.2000000000000002E-4</v>
      </c>
      <c r="AR197" s="253">
        <v>-4.7125E-2</v>
      </c>
      <c r="AS197" s="253">
        <v>-4.8750000000000002E-2</v>
      </c>
      <c r="AT197" s="253">
        <v>-5.0375000000000003E-2</v>
      </c>
      <c r="AU197" s="253">
        <v>-5.2000000000000005E-2</v>
      </c>
      <c r="AV197" s="253">
        <v>-5.3625000000000006E-2</v>
      </c>
      <c r="AW197" s="253">
        <v>-5.5250000000000007E-2</v>
      </c>
      <c r="AX197" s="253">
        <v>-5.6875000000000009E-2</v>
      </c>
      <c r="AY197" s="253">
        <v>-5.850000000000001E-2</v>
      </c>
      <c r="AZ197" s="253">
        <v>-6.0125000000000012E-2</v>
      </c>
      <c r="BA197" s="253">
        <v>-6.1750000000000013E-2</v>
      </c>
      <c r="BB197" s="253">
        <v>-6.3375000000000015E-2</v>
      </c>
      <c r="BC197" s="253">
        <v>-6.5000000000000002E-2</v>
      </c>
      <c r="BD197" s="253">
        <v>-6.7708333333333343E-2</v>
      </c>
      <c r="BE197" s="253">
        <v>-7.0416666666666669E-2</v>
      </c>
      <c r="BF197" s="253">
        <v>-7.3125000000000009E-2</v>
      </c>
      <c r="BG197" s="253">
        <v>-7.5833333333333364E-2</v>
      </c>
      <c r="BH197" s="253">
        <v>-7.854166666666669E-2</v>
      </c>
      <c r="BI197" s="253">
        <v>-8.1250000000000031E-2</v>
      </c>
      <c r="BJ197" s="253">
        <v>-8.3958333333333371E-2</v>
      </c>
      <c r="BK197" s="253">
        <v>-8.6666666666666697E-2</v>
      </c>
      <c r="BL197" s="253">
        <v>-8.9375000000000038E-2</v>
      </c>
      <c r="BM197" s="253">
        <v>-9.2083333333333392E-2</v>
      </c>
      <c r="BN197" s="253">
        <v>-9.4791666666666718E-2</v>
      </c>
      <c r="BO197" s="253">
        <v>-9.7500000000000003E-2</v>
      </c>
      <c r="BP197" s="253">
        <v>-0.10020833333333334</v>
      </c>
      <c r="BQ197" s="253">
        <v>-0.10291666666666667</v>
      </c>
      <c r="BR197" s="253">
        <v>-0.10562500000000001</v>
      </c>
      <c r="BS197" s="253">
        <v>-0.10833333333333336</v>
      </c>
      <c r="BT197" s="253">
        <v>-0.11104166666666669</v>
      </c>
      <c r="BU197" s="253">
        <v>-0.11375000000000003</v>
      </c>
      <c r="BV197" s="253">
        <v>-0.11645833333333337</v>
      </c>
      <c r="BW197" s="253">
        <v>-0.1191666666666667</v>
      </c>
      <c r="BX197" s="253">
        <v>-0.12187500000000004</v>
      </c>
      <c r="BY197" s="253">
        <v>-0.12458333333333339</v>
      </c>
      <c r="BZ197" s="253">
        <v>-0.12729166666666672</v>
      </c>
      <c r="CA197" s="253">
        <v>-0.13</v>
      </c>
      <c r="CB197" s="253">
        <v>-0.13270833333333332</v>
      </c>
      <c r="CC197" s="253">
        <v>-0.13541666666666666</v>
      </c>
      <c r="CD197" s="253">
        <v>-0.13812499999999997</v>
      </c>
      <c r="CE197" s="253">
        <v>-0.14083333333333328</v>
      </c>
      <c r="CF197" s="253">
        <v>-0.14354166666666662</v>
      </c>
      <c r="CG197" s="253">
        <v>-0.14624999999999994</v>
      </c>
      <c r="CH197" s="253">
        <v>-0.14895833333333325</v>
      </c>
      <c r="CI197" s="253">
        <v>-0.15166666666666662</v>
      </c>
      <c r="CJ197" s="253">
        <v>-0.15437499999999993</v>
      </c>
      <c r="CK197" s="253">
        <v>-0.15708333333333324</v>
      </c>
      <c r="CL197" s="253">
        <v>-0.15979166666666658</v>
      </c>
      <c r="CM197" s="253">
        <v>-0.16250000000000001</v>
      </c>
      <c r="CN197" s="253">
        <v>-0.16520833333333332</v>
      </c>
      <c r="CO197" s="253">
        <v>-0.16791666666666666</v>
      </c>
      <c r="CP197" s="253">
        <v>-0.17062499999999997</v>
      </c>
      <c r="CQ197" s="253">
        <v>-0.17333333333333328</v>
      </c>
      <c r="CR197" s="253">
        <v>-0.17604166666666662</v>
      </c>
      <c r="CS197" s="253">
        <v>-0.17874999999999994</v>
      </c>
      <c r="CT197" s="253">
        <v>-0.18145833333333325</v>
      </c>
      <c r="CU197" s="253">
        <v>-0.18416666666666662</v>
      </c>
      <c r="CV197" s="253">
        <v>-0.18687499999999993</v>
      </c>
      <c r="CW197" s="253">
        <v>-0.18958333333333324</v>
      </c>
      <c r="CX197" s="253">
        <v>-0.19229166666666658</v>
      </c>
      <c r="CY197" s="253">
        <v>-0.19500000000000001</v>
      </c>
    </row>
    <row r="198" spans="1:103">
      <c r="A198" s="229"/>
      <c r="B198" s="230"/>
      <c r="C198" s="230"/>
      <c r="D198" s="230" t="s">
        <v>107</v>
      </c>
      <c r="E198" s="230"/>
      <c r="F198" s="232"/>
      <c r="G198" s="232" t="s">
        <v>736</v>
      </c>
      <c r="H198" s="203"/>
      <c r="I198" s="203"/>
      <c r="J198" s="203"/>
      <c r="K198" s="203"/>
      <c r="L198" s="229"/>
      <c r="M198" s="229"/>
      <c r="N198" s="229"/>
      <c r="O198" s="229"/>
      <c r="P198" s="229"/>
      <c r="Q198" s="229"/>
      <c r="R198" s="229"/>
      <c r="S198" s="229"/>
      <c r="T198" s="237"/>
      <c r="U198" s="237"/>
      <c r="V198" s="237"/>
      <c r="W198" s="237"/>
      <c r="X198" s="237"/>
      <c r="Y198" s="237"/>
      <c r="Z198" s="237"/>
      <c r="AA198" s="237"/>
      <c r="AB198" s="237"/>
      <c r="AC198" s="237"/>
      <c r="AD198" s="237"/>
      <c r="AE198" s="594">
        <v>0</v>
      </c>
      <c r="AF198" s="650">
        <v>-1.2872099251217125E-2</v>
      </c>
      <c r="AG198" s="650">
        <v>-1.435320994E-2</v>
      </c>
      <c r="AH198" s="650">
        <v>-1.0907463415126543E-2</v>
      </c>
      <c r="AI198" s="650">
        <v>-1.7295915237277179E-2</v>
      </c>
      <c r="AJ198" s="650">
        <v>-1.979819872E-2</v>
      </c>
      <c r="AK198" s="650">
        <v>-1.8630207036404636E-2</v>
      </c>
      <c r="AL198" s="650">
        <v>-2.2109862966169496E-2</v>
      </c>
      <c r="AM198" s="650">
        <v>-2.2474725061000244E-2</v>
      </c>
      <c r="AN198" s="650">
        <v>-3.5929287947020043E-2</v>
      </c>
      <c r="AO198" s="253">
        <v>-64.272000000000006</v>
      </c>
      <c r="AP198" s="253">
        <v>-116.22634833333333</v>
      </c>
      <c r="AQ198" s="253">
        <v>-124.83494833333333</v>
      </c>
      <c r="AR198" s="253">
        <v>-4.17632E-2</v>
      </c>
      <c r="AS198" s="253">
        <v>-4.4643200000000001E-2</v>
      </c>
      <c r="AT198" s="253">
        <v>-4.76192E-2</v>
      </c>
      <c r="AU198" s="253">
        <v>-5.0691200000000006E-2</v>
      </c>
      <c r="AV198" s="253">
        <v>-5.3859200000000003E-2</v>
      </c>
      <c r="AW198" s="253">
        <v>-5.7123199999999999E-2</v>
      </c>
      <c r="AX198" s="253">
        <v>-6.0483200000000008E-2</v>
      </c>
      <c r="AY198" s="253">
        <v>-6.3939200000000002E-2</v>
      </c>
      <c r="AZ198" s="253">
        <v>-6.7491199999999987E-2</v>
      </c>
      <c r="BA198" s="253">
        <v>-7.11392E-2</v>
      </c>
      <c r="BB198" s="253">
        <v>-7.4883199999999997E-2</v>
      </c>
      <c r="BC198" s="253">
        <v>-7.8723200000000007E-2</v>
      </c>
      <c r="BD198" s="253">
        <v>-8.2723200000000011E-2</v>
      </c>
      <c r="BE198" s="253">
        <v>-8.6883200000000008E-2</v>
      </c>
      <c r="BF198" s="253">
        <v>-9.1203199999999998E-2</v>
      </c>
      <c r="BG198" s="253">
        <v>-9.5683199999999996E-2</v>
      </c>
      <c r="BH198" s="253">
        <v>-0.1003232</v>
      </c>
      <c r="BI198" s="253">
        <v>-0.1051232</v>
      </c>
      <c r="BJ198" s="253">
        <v>-0.11008319999999999</v>
      </c>
      <c r="BK198" s="253">
        <v>-0.11520319999999999</v>
      </c>
      <c r="BL198" s="253">
        <v>-0.1204832</v>
      </c>
      <c r="BM198" s="253">
        <v>-0.12592319999999999</v>
      </c>
      <c r="BN198" s="253">
        <v>-0.13152320000000001</v>
      </c>
      <c r="BO198" s="253">
        <v>-0.13728319999999999</v>
      </c>
      <c r="BP198" s="253">
        <v>-0.1432032</v>
      </c>
      <c r="BQ198" s="253">
        <v>-0.1492832</v>
      </c>
      <c r="BR198" s="253">
        <v>-0.1555232</v>
      </c>
      <c r="BS198" s="253">
        <v>-0.16192319999999999</v>
      </c>
      <c r="BT198" s="253">
        <v>-0.16848320000000003</v>
      </c>
      <c r="BU198" s="253">
        <v>-0.1752032</v>
      </c>
      <c r="BV198" s="253">
        <v>-0.1820832</v>
      </c>
      <c r="BW198" s="253">
        <v>-0.18912319999999999</v>
      </c>
      <c r="BX198" s="253">
        <v>-0.19632320000000003</v>
      </c>
      <c r="BY198" s="253">
        <v>-0.20368320000000001</v>
      </c>
      <c r="BZ198" s="253">
        <v>-0.21120319999999998</v>
      </c>
      <c r="CA198" s="253">
        <v>-0.2188832</v>
      </c>
      <c r="CB198" s="253">
        <v>-0.22672320000000001</v>
      </c>
      <c r="CC198" s="253">
        <v>-0.23472320000000002</v>
      </c>
      <c r="CD198" s="253">
        <v>-0.24288319999999999</v>
      </c>
      <c r="CE198" s="253">
        <v>-0.25120320000000007</v>
      </c>
      <c r="CF198" s="253">
        <v>-0.2596832</v>
      </c>
      <c r="CG198" s="253">
        <v>-0.26832319999999998</v>
      </c>
      <c r="CH198" s="253">
        <v>-0.27712320000000001</v>
      </c>
      <c r="CI198" s="253">
        <v>-0.28608319999999998</v>
      </c>
      <c r="CJ198" s="253">
        <v>-0.2952032</v>
      </c>
      <c r="CK198" s="253">
        <v>-0.30448320000000001</v>
      </c>
      <c r="CL198" s="253">
        <v>-0.31392320000000001</v>
      </c>
      <c r="CM198" s="253">
        <v>-0.32352320000000001</v>
      </c>
      <c r="CN198" s="253">
        <v>-0.3332832</v>
      </c>
      <c r="CO198" s="253">
        <v>-0.34320319999999999</v>
      </c>
      <c r="CP198" s="253">
        <v>-0.35328320000000002</v>
      </c>
      <c r="CQ198" s="253">
        <v>-0.36352320000000005</v>
      </c>
      <c r="CR198" s="253">
        <v>-0.37392320000000001</v>
      </c>
      <c r="CS198" s="253">
        <v>-0.38448320000000002</v>
      </c>
      <c r="CT198" s="253">
        <v>-0.39520320000000003</v>
      </c>
      <c r="CU198" s="253">
        <v>-0.40608320000000003</v>
      </c>
      <c r="CV198" s="253">
        <v>-0.41712320000000003</v>
      </c>
      <c r="CW198" s="253">
        <v>-0.42832320000000007</v>
      </c>
      <c r="CX198" s="253">
        <v>-0.43968319999999994</v>
      </c>
      <c r="CY198" s="253">
        <v>-0.45120320000000003</v>
      </c>
    </row>
    <row r="199" spans="1:103">
      <c r="A199" s="229"/>
      <c r="B199" s="229"/>
      <c r="C199" s="230"/>
      <c r="D199" s="230" t="s">
        <v>594</v>
      </c>
      <c r="E199" s="230"/>
      <c r="F199" s="232"/>
      <c r="G199" s="232" t="s">
        <v>736</v>
      </c>
      <c r="H199" s="203"/>
      <c r="I199" s="203"/>
      <c r="J199" s="203"/>
      <c r="K199" s="203"/>
      <c r="L199" s="229"/>
      <c r="M199" s="229"/>
      <c r="N199" s="229"/>
      <c r="O199" s="229"/>
      <c r="P199" s="229"/>
      <c r="Q199" s="229"/>
      <c r="R199" s="229"/>
      <c r="S199" s="229"/>
      <c r="T199" s="237"/>
      <c r="U199" s="237"/>
      <c r="V199" s="237"/>
      <c r="W199" s="237"/>
      <c r="X199" s="237"/>
      <c r="Y199" s="237"/>
      <c r="Z199" s="237"/>
      <c r="AA199" s="237"/>
      <c r="AB199" s="237"/>
      <c r="AC199" s="237"/>
      <c r="AD199" s="237"/>
      <c r="AE199" s="594">
        <v>0</v>
      </c>
      <c r="AF199" s="650">
        <v>0</v>
      </c>
      <c r="AG199" s="650">
        <v>0</v>
      </c>
      <c r="AH199" s="650">
        <v>0</v>
      </c>
      <c r="AI199" s="650">
        <v>0</v>
      </c>
      <c r="AJ199" s="650">
        <v>0</v>
      </c>
      <c r="AK199" s="650">
        <v>0</v>
      </c>
      <c r="AL199" s="650">
        <v>0</v>
      </c>
      <c r="AM199" s="658">
        <v>0</v>
      </c>
      <c r="AN199" s="653">
        <v>0</v>
      </c>
      <c r="AO199" s="253">
        <v>-0.26110000000000005</v>
      </c>
      <c r="AP199" s="253">
        <v>-0.27428333333333332</v>
      </c>
      <c r="AQ199" s="253">
        <v>-0.48999999999999994</v>
      </c>
      <c r="AR199" s="253">
        <v>0</v>
      </c>
      <c r="AS199" s="253">
        <v>0</v>
      </c>
      <c r="AT199" s="253">
        <v>0</v>
      </c>
      <c r="AU199" s="253">
        <v>0</v>
      </c>
      <c r="AV199" s="253">
        <v>0</v>
      </c>
      <c r="AW199" s="253">
        <v>0</v>
      </c>
      <c r="AX199" s="253">
        <v>0</v>
      </c>
      <c r="AY199" s="253">
        <v>0</v>
      </c>
      <c r="AZ199" s="253">
        <v>0</v>
      </c>
      <c r="BA199" s="253">
        <v>0</v>
      </c>
      <c r="BB199" s="253">
        <v>0</v>
      </c>
      <c r="BC199" s="253">
        <v>0</v>
      </c>
      <c r="BD199" s="253">
        <v>0</v>
      </c>
      <c r="BE199" s="253">
        <v>0</v>
      </c>
      <c r="BF199" s="253">
        <v>0</v>
      </c>
      <c r="BG199" s="253">
        <v>0</v>
      </c>
      <c r="BH199" s="253">
        <v>0</v>
      </c>
      <c r="BI199" s="253">
        <v>0</v>
      </c>
      <c r="BJ199" s="253">
        <v>0</v>
      </c>
      <c r="BK199" s="253">
        <v>0</v>
      </c>
      <c r="BL199" s="253">
        <v>0</v>
      </c>
      <c r="BM199" s="253">
        <v>0</v>
      </c>
      <c r="BN199" s="253">
        <v>0</v>
      </c>
      <c r="BO199" s="253">
        <v>0</v>
      </c>
      <c r="BP199" s="253">
        <v>0</v>
      </c>
      <c r="BQ199" s="253">
        <v>0</v>
      </c>
      <c r="BR199" s="253">
        <v>0</v>
      </c>
      <c r="BS199" s="253">
        <v>0</v>
      </c>
      <c r="BT199" s="253">
        <v>0</v>
      </c>
      <c r="BU199" s="253">
        <v>0</v>
      </c>
      <c r="BV199" s="253">
        <v>0</v>
      </c>
      <c r="BW199" s="253">
        <v>0</v>
      </c>
      <c r="BX199" s="253">
        <v>0</v>
      </c>
      <c r="BY199" s="253">
        <v>0</v>
      </c>
      <c r="BZ199" s="253">
        <v>0</v>
      </c>
      <c r="CA199" s="253">
        <v>0</v>
      </c>
      <c r="CB199" s="253">
        <v>0</v>
      </c>
      <c r="CC199" s="253">
        <v>0</v>
      </c>
      <c r="CD199" s="253">
        <v>0</v>
      </c>
      <c r="CE199" s="253">
        <v>0</v>
      </c>
      <c r="CF199" s="253">
        <v>0</v>
      </c>
      <c r="CG199" s="253">
        <v>0</v>
      </c>
      <c r="CH199" s="253">
        <v>0</v>
      </c>
      <c r="CI199" s="253">
        <v>0</v>
      </c>
      <c r="CJ199" s="253">
        <v>0</v>
      </c>
      <c r="CK199" s="253">
        <v>0</v>
      </c>
      <c r="CL199" s="253">
        <v>0</v>
      </c>
      <c r="CM199" s="253">
        <v>0</v>
      </c>
      <c r="CN199" s="253">
        <v>0</v>
      </c>
      <c r="CO199" s="253">
        <v>0</v>
      </c>
      <c r="CP199" s="253">
        <v>0</v>
      </c>
      <c r="CQ199" s="253">
        <v>0</v>
      </c>
      <c r="CR199" s="253">
        <v>0</v>
      </c>
      <c r="CS199" s="253">
        <v>0</v>
      </c>
      <c r="CT199" s="253">
        <v>0</v>
      </c>
      <c r="CU199" s="253">
        <v>0</v>
      </c>
      <c r="CV199" s="253">
        <v>0</v>
      </c>
      <c r="CW199" s="253">
        <v>0</v>
      </c>
      <c r="CX199" s="253">
        <v>0</v>
      </c>
      <c r="CY199" s="253">
        <v>0</v>
      </c>
    </row>
    <row r="200" spans="1:103">
      <c r="A200" s="229"/>
      <c r="B200" s="229"/>
      <c r="C200" s="230"/>
      <c r="D200" s="230" t="s">
        <v>872</v>
      </c>
      <c r="E200" s="230"/>
      <c r="F200" s="203"/>
      <c r="G200" s="232" t="s">
        <v>736</v>
      </c>
      <c r="H200" s="203"/>
      <c r="I200" s="203"/>
      <c r="J200" s="203"/>
      <c r="K200" s="203"/>
      <c r="L200" s="229"/>
      <c r="M200" s="229"/>
      <c r="N200" s="229"/>
      <c r="O200" s="229"/>
      <c r="P200" s="229"/>
      <c r="Q200" s="229"/>
      <c r="R200" s="229"/>
      <c r="S200" s="229"/>
      <c r="T200" s="237"/>
      <c r="U200" s="237"/>
      <c r="V200" s="237"/>
      <c r="W200" s="237"/>
      <c r="X200" s="237"/>
      <c r="Y200" s="237"/>
      <c r="Z200" s="237"/>
      <c r="AA200" s="237"/>
      <c r="AB200" s="237"/>
      <c r="AC200" s="237"/>
      <c r="AD200" s="237"/>
      <c r="AE200" s="594">
        <v>0</v>
      </c>
      <c r="AF200" s="650">
        <v>-1.2877424864357849E-2</v>
      </c>
      <c r="AG200" s="650">
        <v>-5.1492194911438808E-3</v>
      </c>
      <c r="AH200" s="650">
        <v>-4.4066688172803665E-3</v>
      </c>
      <c r="AI200" s="650">
        <v>-1.2014276424337819E-2</v>
      </c>
      <c r="AJ200" s="650">
        <v>-2.2699984523155844E-2</v>
      </c>
      <c r="AK200" s="650">
        <v>-2.5927798384854074E-2</v>
      </c>
      <c r="AL200" s="650">
        <v>-5.7165557047507351E-3</v>
      </c>
      <c r="AM200" s="650">
        <v>-9.20925487751314E-2</v>
      </c>
      <c r="AN200" s="650">
        <v>-7.8534976594259419E-3</v>
      </c>
      <c r="AO200" s="253">
        <v>0</v>
      </c>
      <c r="AP200" s="253">
        <v>0</v>
      </c>
      <c r="AQ200" s="253">
        <v>0</v>
      </c>
      <c r="AR200" s="253">
        <v>-0.10875833333333333</v>
      </c>
      <c r="AS200" s="253">
        <v>-0.11625833333333332</v>
      </c>
      <c r="AT200" s="253">
        <v>-0.12400833333333333</v>
      </c>
      <c r="AU200" s="253">
        <v>-0.13200833333333334</v>
      </c>
      <c r="AV200" s="253">
        <v>-0.14025833333333332</v>
      </c>
      <c r="AW200" s="253">
        <v>-0.14875833333333333</v>
      </c>
      <c r="AX200" s="253">
        <v>-0.15750833333333333</v>
      </c>
      <c r="AY200" s="253">
        <v>-0.16650833333333334</v>
      </c>
      <c r="AZ200" s="253">
        <v>-0.17575833333333332</v>
      </c>
      <c r="BA200" s="253">
        <v>-0.18525833333333333</v>
      </c>
      <c r="BB200" s="253">
        <v>-0.19500833333333334</v>
      </c>
      <c r="BC200" s="253">
        <v>-0.20500833333333332</v>
      </c>
      <c r="BD200" s="253">
        <v>-0.16156875000000001</v>
      </c>
      <c r="BE200" s="253">
        <v>-0.16969375</v>
      </c>
      <c r="BF200" s="253">
        <v>-0.17813124999999999</v>
      </c>
      <c r="BG200" s="253">
        <v>-0.18688125</v>
      </c>
      <c r="BH200" s="253">
        <v>-0.19594375</v>
      </c>
      <c r="BI200" s="253">
        <v>-0.20531874999999999</v>
      </c>
      <c r="BJ200" s="253">
        <v>-0.21500625000000001</v>
      </c>
      <c r="BK200" s="253">
        <v>-0.22500624999999999</v>
      </c>
      <c r="BL200" s="253">
        <v>-0.23531874999999999</v>
      </c>
      <c r="BM200" s="253">
        <v>-0.24594374999999993</v>
      </c>
      <c r="BN200" s="253">
        <v>-0.25688124999999995</v>
      </c>
      <c r="BO200" s="253">
        <v>-0.26813124999999999</v>
      </c>
      <c r="BP200" s="253">
        <v>-0.27969374999999996</v>
      </c>
      <c r="BQ200" s="253">
        <v>-0.29156874999999999</v>
      </c>
      <c r="BR200" s="253">
        <v>-0.30375624999999995</v>
      </c>
      <c r="BS200" s="253">
        <v>-0.31625624999999996</v>
      </c>
      <c r="BT200" s="253">
        <v>-0.32906874999999997</v>
      </c>
      <c r="BU200" s="253">
        <v>-0.34219374999999996</v>
      </c>
      <c r="BV200" s="253">
        <v>-0.35563124999999995</v>
      </c>
      <c r="BW200" s="253">
        <v>-0.36938124999999999</v>
      </c>
      <c r="BX200" s="253">
        <v>-0.38344374999999997</v>
      </c>
      <c r="BY200" s="253">
        <v>-0.39781875</v>
      </c>
      <c r="BZ200" s="253">
        <v>-0.41250624999999991</v>
      </c>
      <c r="CA200" s="253">
        <v>-0.42750624999999998</v>
      </c>
      <c r="CB200" s="253">
        <v>-0.44281874999999998</v>
      </c>
      <c r="CC200" s="253">
        <v>-0.45844374999999998</v>
      </c>
      <c r="CD200" s="253">
        <v>-0.47438124999999998</v>
      </c>
      <c r="CE200" s="253">
        <v>-0.49063125000000007</v>
      </c>
      <c r="CF200" s="253">
        <v>-0.50719375</v>
      </c>
      <c r="CG200" s="253">
        <v>-0.52406875000000008</v>
      </c>
      <c r="CH200" s="253">
        <v>-0.54125624999999999</v>
      </c>
      <c r="CI200" s="253">
        <v>-0.55875625000000007</v>
      </c>
      <c r="CJ200" s="253">
        <v>-0.57656874999999996</v>
      </c>
      <c r="CK200" s="253">
        <v>-0.59469375000000002</v>
      </c>
      <c r="CL200" s="253">
        <v>-0.61313125000000002</v>
      </c>
      <c r="CM200" s="253">
        <v>-0.63188125000000006</v>
      </c>
      <c r="CN200" s="253">
        <v>-0.65094375000000004</v>
      </c>
      <c r="CO200" s="253">
        <v>-0.67031874999999996</v>
      </c>
      <c r="CP200" s="253">
        <v>-0.69000624999999993</v>
      </c>
      <c r="CQ200" s="253">
        <v>-0.71000625000000006</v>
      </c>
      <c r="CR200" s="253">
        <v>-0.73031875000000002</v>
      </c>
      <c r="CS200" s="253">
        <v>-0.75094374999999991</v>
      </c>
      <c r="CT200" s="253">
        <v>-0.77188125000000007</v>
      </c>
      <c r="CU200" s="253">
        <v>-0.79313124999999995</v>
      </c>
      <c r="CV200" s="253">
        <v>-0.81469374999999999</v>
      </c>
      <c r="CW200" s="253">
        <v>-0.83656875000000008</v>
      </c>
      <c r="CX200" s="253">
        <v>-0.85875624999999989</v>
      </c>
      <c r="CY200" s="253">
        <v>-0.88125625000000007</v>
      </c>
    </row>
    <row r="201" spans="1:103">
      <c r="A201" s="229"/>
      <c r="B201" s="229"/>
      <c r="C201" s="230"/>
      <c r="D201" s="230" t="s">
        <v>703</v>
      </c>
      <c r="E201" s="230"/>
      <c r="F201" s="203"/>
      <c r="G201" s="232" t="s">
        <v>736</v>
      </c>
      <c r="H201" s="203"/>
      <c r="I201" s="203"/>
      <c r="J201" s="203"/>
      <c r="K201" s="203"/>
      <c r="L201" s="229"/>
      <c r="M201" s="229"/>
      <c r="N201" s="229"/>
      <c r="O201" s="229"/>
      <c r="P201" s="229"/>
      <c r="Q201" s="229"/>
      <c r="R201" s="229"/>
      <c r="S201" s="229"/>
      <c r="T201" s="237"/>
      <c r="U201" s="237"/>
      <c r="V201" s="237"/>
      <c r="W201" s="237"/>
      <c r="X201" s="237"/>
      <c r="Y201" s="237"/>
      <c r="Z201" s="237"/>
      <c r="AA201" s="237"/>
      <c r="AB201" s="237"/>
      <c r="AC201" s="237"/>
      <c r="AD201" s="237"/>
      <c r="AE201" s="594">
        <v>0</v>
      </c>
      <c r="AF201" s="650">
        <v>-1.5831432131173072E-3</v>
      </c>
      <c r="AG201" s="650">
        <v>-1.2433201717793054E-3</v>
      </c>
      <c r="AH201" s="650">
        <v>-1.0099474848570796E-3</v>
      </c>
      <c r="AI201" s="650">
        <v>-7.8307662975690912E-4</v>
      </c>
      <c r="AJ201" s="650">
        <v>-8.320224780505041E-4</v>
      </c>
      <c r="AK201" s="650">
        <v>-1.0766510898331588E-3</v>
      </c>
      <c r="AL201" s="650">
        <v>0</v>
      </c>
      <c r="AM201" s="658">
        <v>0</v>
      </c>
      <c r="AN201" s="653">
        <v>0</v>
      </c>
      <c r="AO201" s="253"/>
      <c r="AP201" s="253"/>
      <c r="AQ201" s="253"/>
      <c r="AR201" s="253"/>
      <c r="AS201" s="253"/>
      <c r="AT201" s="253"/>
      <c r="AU201" s="253"/>
      <c r="AV201" s="253"/>
      <c r="AW201" s="253"/>
      <c r="AX201" s="253"/>
      <c r="AY201" s="253"/>
      <c r="AZ201" s="253"/>
      <c r="BA201" s="253"/>
      <c r="BB201" s="253"/>
      <c r="BC201" s="253"/>
      <c r="BD201" s="253"/>
      <c r="BE201" s="253"/>
      <c r="BF201" s="253"/>
      <c r="BG201" s="253"/>
      <c r="BH201" s="253"/>
      <c r="BI201" s="253"/>
      <c r="BJ201" s="253"/>
      <c r="BK201" s="253"/>
      <c r="BL201" s="253"/>
      <c r="BM201" s="253"/>
      <c r="BN201" s="253"/>
      <c r="BO201" s="253"/>
      <c r="BP201" s="253"/>
      <c r="BQ201" s="253"/>
      <c r="BR201" s="253"/>
      <c r="BS201" s="253"/>
      <c r="BT201" s="253"/>
      <c r="BU201" s="253"/>
      <c r="BV201" s="253"/>
      <c r="BW201" s="253"/>
      <c r="BX201" s="253"/>
      <c r="BY201" s="253"/>
      <c r="BZ201" s="253"/>
      <c r="CA201" s="253"/>
      <c r="CB201" s="253"/>
      <c r="CC201" s="253"/>
      <c r="CD201" s="253"/>
      <c r="CE201" s="253"/>
      <c r="CF201" s="253"/>
      <c r="CG201" s="253"/>
      <c r="CH201" s="253"/>
      <c r="CI201" s="253"/>
      <c r="CJ201" s="253"/>
      <c r="CK201" s="253"/>
      <c r="CL201" s="253"/>
      <c r="CM201" s="253"/>
      <c r="CN201" s="253"/>
      <c r="CO201" s="253"/>
      <c r="CP201" s="253"/>
      <c r="CQ201" s="253"/>
      <c r="CR201" s="253"/>
      <c r="CS201" s="253"/>
      <c r="CT201" s="253"/>
      <c r="CU201" s="253"/>
      <c r="CV201" s="253"/>
      <c r="CW201" s="253"/>
      <c r="CX201" s="253"/>
      <c r="CY201" s="253"/>
    </row>
    <row r="202" spans="1:103">
      <c r="A202" s="229"/>
      <c r="B202" s="229"/>
      <c r="C202" s="230"/>
      <c r="D202" s="230" t="s">
        <v>152</v>
      </c>
      <c r="E202" s="230"/>
      <c r="F202" s="203"/>
      <c r="G202" s="232" t="s">
        <v>736</v>
      </c>
      <c r="H202" s="203"/>
      <c r="I202" s="203"/>
      <c r="J202" s="203"/>
      <c r="K202" s="203"/>
      <c r="L202" s="229"/>
      <c r="M202" s="229"/>
      <c r="N202" s="229"/>
      <c r="O202" s="229"/>
      <c r="P202" s="229"/>
      <c r="Q202" s="229"/>
      <c r="R202" s="229"/>
      <c r="S202" s="229"/>
      <c r="T202" s="237"/>
      <c r="U202" s="237"/>
      <c r="V202" s="237"/>
      <c r="W202" s="237"/>
      <c r="X202" s="237"/>
      <c r="Y202" s="237"/>
      <c r="Z202" s="237"/>
      <c r="AA202" s="237"/>
      <c r="AB202" s="237"/>
      <c r="AC202" s="237"/>
      <c r="AD202" s="237"/>
      <c r="AE202" s="594"/>
      <c r="AF202" s="650"/>
      <c r="AG202" s="650"/>
      <c r="AH202" s="650"/>
      <c r="AI202" s="650"/>
      <c r="AJ202" s="650"/>
      <c r="AK202" s="650"/>
      <c r="AL202" s="650"/>
      <c r="AM202" s="658"/>
      <c r="AN202" s="653"/>
      <c r="AO202" s="253"/>
      <c r="AP202" s="253"/>
      <c r="AQ202" s="253"/>
      <c r="AR202" s="659">
        <v>-1.8742677165354337E-2</v>
      </c>
      <c r="AS202" s="659">
        <v>-1.9058823529411767E-2</v>
      </c>
      <c r="AT202" s="659">
        <v>-1.9364383561643838E-2</v>
      </c>
      <c r="AU202" s="659">
        <v>-1.965988023952096E-2</v>
      </c>
      <c r="AV202" s="659">
        <v>-1.994580265095729E-2</v>
      </c>
      <c r="AW202" s="659">
        <v>-2.0222608695652178E-2</v>
      </c>
      <c r="AX202" s="659">
        <v>-6.1112696148359494E-3</v>
      </c>
      <c r="AY202" s="659">
        <v>-6.1887640449438206E-3</v>
      </c>
      <c r="AZ202" s="659">
        <v>-6.2639004149377606E-3</v>
      </c>
      <c r="BA202" s="659">
        <v>-6.3367847411444156E-3</v>
      </c>
      <c r="BB202" s="659">
        <v>-6.4075167785234916E-3</v>
      </c>
      <c r="BC202" s="659">
        <v>-6.4761904761904765E-3</v>
      </c>
      <c r="BD202" s="659">
        <v>-6.3197026022304842E-3</v>
      </c>
      <c r="BE202" s="659">
        <v>-6.1818181818181824E-3</v>
      </c>
      <c r="BF202" s="659">
        <v>-6.0594059405940622E-3</v>
      </c>
      <c r="BG202" s="659">
        <v>-5.950000000000003E-3</v>
      </c>
      <c r="BH202" s="659">
        <v>-5.8516320474777481E-3</v>
      </c>
      <c r="BI202" s="659">
        <v>-5.7627118644067842E-3</v>
      </c>
      <c r="BJ202" s="659">
        <v>-5.6819407008086289E-3</v>
      </c>
      <c r="BK202" s="659">
        <v>-5.6082474226804161E-3</v>
      </c>
      <c r="BL202" s="659">
        <v>-5.5407407407407454E-3</v>
      </c>
      <c r="BM202" s="659">
        <v>-5.4786729857819955E-3</v>
      </c>
      <c r="BN202" s="659">
        <v>-5.4214123006833754E-3</v>
      </c>
      <c r="BO202" s="659">
        <v>-5.3684210526315787E-3</v>
      </c>
      <c r="BP202" s="659">
        <v>-5.4537572254335261E-3</v>
      </c>
      <c r="BQ202" s="659">
        <v>-5.5371428571428585E-3</v>
      </c>
      <c r="BR202" s="659">
        <v>-5.6186440677966128E-3</v>
      </c>
      <c r="BS202" s="659">
        <v>-5.6983240223463716E-3</v>
      </c>
      <c r="BT202" s="659">
        <v>-5.7762430939226556E-3</v>
      </c>
      <c r="BU202" s="659">
        <v>-5.8524590163934465E-3</v>
      </c>
      <c r="BV202" s="659">
        <v>-5.9270270270270322E-3</v>
      </c>
      <c r="BW202" s="659">
        <v>-6.0000000000000053E-3</v>
      </c>
      <c r="BX202" s="659">
        <v>-6.0714285714285774E-3</v>
      </c>
      <c r="BY202" s="659">
        <v>-6.1413612565445093E-3</v>
      </c>
      <c r="BZ202" s="659">
        <v>-6.2098445595854986E-3</v>
      </c>
      <c r="CA202" s="659">
        <v>-6.2769230769230766E-3</v>
      </c>
      <c r="CB202" s="659">
        <v>-6.3426395939086295E-3</v>
      </c>
      <c r="CC202" s="659">
        <v>-6.4070351758793971E-3</v>
      </c>
      <c r="CD202" s="659">
        <v>-6.4701492537313438E-3</v>
      </c>
      <c r="CE202" s="659">
        <v>-6.5320197044334977E-3</v>
      </c>
      <c r="CF202" s="659">
        <v>-6.5926829268292695E-3</v>
      </c>
      <c r="CG202" s="659">
        <v>-6.6521739130434793E-3</v>
      </c>
      <c r="CH202" s="659">
        <v>-6.7105263157894749E-3</v>
      </c>
      <c r="CI202" s="659">
        <v>-6.7677725118483415E-3</v>
      </c>
      <c r="CJ202" s="659">
        <v>-6.8239436619718314E-3</v>
      </c>
      <c r="CK202" s="659">
        <v>-6.8790697674418607E-3</v>
      </c>
      <c r="CL202" s="659">
        <v>-6.9331797235023052E-3</v>
      </c>
      <c r="CM202" s="659">
        <v>-6.9863013698630147E-3</v>
      </c>
      <c r="CN202" s="659">
        <v>-7.0464326160815409E-3</v>
      </c>
      <c r="CO202" s="659">
        <v>-7.1056179775280913E-3</v>
      </c>
      <c r="CP202" s="659">
        <v>-7.1638795986622089E-3</v>
      </c>
      <c r="CQ202" s="659">
        <v>-7.2212389380530975E-3</v>
      </c>
      <c r="CR202" s="659">
        <v>-7.277716794731064E-3</v>
      </c>
      <c r="CS202" s="659">
        <v>-7.3333333333333332E-3</v>
      </c>
      <c r="CT202" s="659">
        <v>-7.3881081081081093E-3</v>
      </c>
      <c r="CU202" s="659">
        <v>-7.44206008583691E-3</v>
      </c>
      <c r="CV202" s="659">
        <v>-7.4952076677316307E-3</v>
      </c>
      <c r="CW202" s="659">
        <v>-7.5475687103594086E-3</v>
      </c>
      <c r="CX202" s="659">
        <v>-7.5991605456453308E-3</v>
      </c>
      <c r="CY202" s="659">
        <v>-7.6500000000000005E-3</v>
      </c>
    </row>
    <row r="203" spans="1:103">
      <c r="A203" s="229"/>
      <c r="B203" s="229"/>
      <c r="C203" s="230"/>
      <c r="D203" s="230" t="s">
        <v>163</v>
      </c>
      <c r="E203" s="230"/>
      <c r="F203" s="232"/>
      <c r="G203" s="232" t="s">
        <v>736</v>
      </c>
      <c r="H203" s="203"/>
      <c r="I203" s="203"/>
      <c r="J203" s="203"/>
      <c r="K203" s="203"/>
      <c r="L203" s="229"/>
      <c r="M203" s="229"/>
      <c r="N203" s="229"/>
      <c r="O203" s="229"/>
      <c r="P203" s="229"/>
      <c r="Q203" s="229"/>
      <c r="R203" s="229"/>
      <c r="S203" s="229"/>
      <c r="T203" s="237"/>
      <c r="U203" s="237"/>
      <c r="V203" s="237"/>
      <c r="W203" s="237"/>
      <c r="X203" s="237"/>
      <c r="Y203" s="237"/>
      <c r="Z203" s="237"/>
      <c r="AA203" s="237"/>
      <c r="AB203" s="237"/>
      <c r="AC203" s="237"/>
      <c r="AD203" s="237"/>
      <c r="AE203" s="594">
        <v>0</v>
      </c>
      <c r="AF203" s="650">
        <v>-7.7710525780099763E-3</v>
      </c>
      <c r="AG203" s="650">
        <v>-7.0392200459274377E-3</v>
      </c>
      <c r="AH203" s="650">
        <v>-3.8595674078739785E-3</v>
      </c>
      <c r="AI203" s="650">
        <v>-3.1152113775500608E-3</v>
      </c>
      <c r="AJ203" s="650">
        <v>-1.3420991767133386E-2</v>
      </c>
      <c r="AK203" s="650">
        <v>-1.6259954848512802E-2</v>
      </c>
      <c r="AL203" s="650">
        <v>-1.4447645967416517E-2</v>
      </c>
      <c r="AM203" s="650">
        <v>-1.166482130411819E-2</v>
      </c>
      <c r="AN203" s="650">
        <v>-1.1506026375932711E-2</v>
      </c>
      <c r="AO203" s="253">
        <v>0</v>
      </c>
      <c r="AP203" s="253">
        <v>0</v>
      </c>
      <c r="AQ203" s="253">
        <v>0</v>
      </c>
      <c r="AR203" s="253">
        <v>-1.8271399999999997E-2</v>
      </c>
      <c r="AS203" s="253">
        <v>-1.9531399999999997E-2</v>
      </c>
      <c r="AT203" s="253">
        <v>-2.0833399999999998E-2</v>
      </c>
      <c r="AU203" s="253">
        <v>-2.2177399999999996E-2</v>
      </c>
      <c r="AV203" s="253">
        <v>-2.3563399999999998E-2</v>
      </c>
      <c r="AW203" s="253">
        <v>-2.4991399999999997E-2</v>
      </c>
      <c r="AX203" s="253">
        <v>-2.64614E-2</v>
      </c>
      <c r="AY203" s="253">
        <v>-2.7973399999999995E-2</v>
      </c>
      <c r="AZ203" s="253">
        <v>-2.9527399999999995E-2</v>
      </c>
      <c r="BA203" s="253">
        <v>-3.1123399999999996E-2</v>
      </c>
      <c r="BB203" s="253">
        <v>-3.2761400000000003E-2</v>
      </c>
      <c r="BC203" s="253">
        <v>-3.4441399999999997E-2</v>
      </c>
      <c r="BD203" s="253">
        <v>-3.6191399999999999E-2</v>
      </c>
      <c r="BE203" s="253">
        <v>-3.8011400000000001E-2</v>
      </c>
      <c r="BF203" s="253">
        <v>-3.990139999999999E-2</v>
      </c>
      <c r="BG203" s="253">
        <v>-4.18614E-2</v>
      </c>
      <c r="BH203" s="253">
        <v>-4.3891399999999997E-2</v>
      </c>
      <c r="BI203" s="253">
        <v>-4.5991400000000002E-2</v>
      </c>
      <c r="BJ203" s="253">
        <v>-4.8161399999999993E-2</v>
      </c>
      <c r="BK203" s="253">
        <v>-5.0401399999999992E-2</v>
      </c>
      <c r="BL203" s="253">
        <v>-5.2711399999999992E-2</v>
      </c>
      <c r="BM203" s="253">
        <v>-5.5091399999999985E-2</v>
      </c>
      <c r="BN203" s="253">
        <v>-5.7541399999999999E-2</v>
      </c>
      <c r="BO203" s="253">
        <v>-6.0061399999999994E-2</v>
      </c>
      <c r="BP203" s="253">
        <v>-6.2651399999999996E-2</v>
      </c>
      <c r="BQ203" s="253">
        <v>-6.5311399999999992E-2</v>
      </c>
      <c r="BR203" s="253">
        <v>-6.8041399999999988E-2</v>
      </c>
      <c r="BS203" s="253">
        <v>-7.0841399999999985E-2</v>
      </c>
      <c r="BT203" s="253">
        <v>-7.3711399999999996E-2</v>
      </c>
      <c r="BU203" s="253">
        <v>-7.6651399999999995E-2</v>
      </c>
      <c r="BV203" s="253">
        <v>-7.9661399999999993E-2</v>
      </c>
      <c r="BW203" s="253">
        <v>-8.2741399999999993E-2</v>
      </c>
      <c r="BX203" s="253">
        <v>-8.5891399999999993E-2</v>
      </c>
      <c r="BY203" s="253">
        <v>-8.9111399999999993E-2</v>
      </c>
      <c r="BZ203" s="253">
        <v>-9.2401399999999981E-2</v>
      </c>
      <c r="CA203" s="253">
        <v>-9.5761399999999997E-2</v>
      </c>
      <c r="CB203" s="253">
        <v>-9.9191399999999985E-2</v>
      </c>
      <c r="CC203" s="253">
        <v>-0.10269139999999999</v>
      </c>
      <c r="CD203" s="253">
        <v>-0.10626139999999999</v>
      </c>
      <c r="CE203" s="253">
        <v>-0.10990140000000001</v>
      </c>
      <c r="CF203" s="253">
        <v>-0.11361139999999999</v>
      </c>
      <c r="CG203" s="253">
        <v>-0.11739139999999999</v>
      </c>
      <c r="CH203" s="253">
        <v>-0.12124139999999999</v>
      </c>
      <c r="CI203" s="253">
        <v>-0.12516139999999998</v>
      </c>
      <c r="CJ203" s="253">
        <v>-0.12915139999999997</v>
      </c>
      <c r="CK203" s="253">
        <v>-0.13321139999999998</v>
      </c>
      <c r="CL203" s="253">
        <v>-0.13734139999999997</v>
      </c>
      <c r="CM203" s="253">
        <v>-0.14154139999999998</v>
      </c>
      <c r="CN203" s="253">
        <v>-0.14581139999999998</v>
      </c>
      <c r="CO203" s="253">
        <v>-0.15015139999999999</v>
      </c>
      <c r="CP203" s="253">
        <v>-0.15456139999999999</v>
      </c>
      <c r="CQ203" s="253">
        <v>-0.1590414</v>
      </c>
      <c r="CR203" s="253">
        <v>-0.1635914</v>
      </c>
      <c r="CS203" s="253">
        <v>-0.16821139999999998</v>
      </c>
      <c r="CT203" s="253">
        <v>-0.17290139999999998</v>
      </c>
      <c r="CU203" s="253">
        <v>-0.1776614</v>
      </c>
      <c r="CV203" s="253">
        <v>-0.1824914</v>
      </c>
      <c r="CW203" s="253">
        <v>-0.18739139999999999</v>
      </c>
      <c r="CX203" s="253">
        <v>-0.19236139999999996</v>
      </c>
      <c r="CY203" s="253">
        <v>-0.19740139999999998</v>
      </c>
    </row>
    <row r="204" spans="1:103">
      <c r="A204" s="677"/>
      <c r="B204" s="95" t="s">
        <v>670</v>
      </c>
      <c r="C204" s="93"/>
      <c r="D204" s="93"/>
      <c r="E204" s="93"/>
      <c r="F204" s="214"/>
      <c r="G204" s="94" t="s">
        <v>736</v>
      </c>
      <c r="H204" s="214"/>
      <c r="I204" s="94"/>
      <c r="J204" s="94"/>
      <c r="K204" s="94"/>
      <c r="L204" s="93"/>
      <c r="M204" s="93"/>
      <c r="N204" s="93"/>
      <c r="O204" s="93"/>
      <c r="P204" s="93"/>
      <c r="Q204" s="93"/>
      <c r="R204" s="93"/>
      <c r="S204" s="93"/>
      <c r="T204" s="660"/>
      <c r="U204" s="660"/>
      <c r="V204" s="660"/>
      <c r="W204" s="660"/>
      <c r="X204" s="660"/>
      <c r="Y204" s="660"/>
      <c r="Z204" s="660"/>
      <c r="AA204" s="660"/>
      <c r="AB204" s="660"/>
      <c r="AC204" s="660"/>
      <c r="AD204" s="660"/>
      <c r="AE204" s="635">
        <v>0</v>
      </c>
      <c r="AF204" s="661">
        <v>0</v>
      </c>
      <c r="AG204" s="661">
        <v>0</v>
      </c>
      <c r="AH204" s="661">
        <v>0</v>
      </c>
      <c r="AI204" s="661">
        <v>0</v>
      </c>
      <c r="AJ204" s="661">
        <v>0</v>
      </c>
      <c r="AK204" s="661">
        <v>0</v>
      </c>
      <c r="AL204" s="661">
        <v>0</v>
      </c>
      <c r="AM204" s="654">
        <v>0</v>
      </c>
      <c r="AN204" s="654">
        <v>0</v>
      </c>
      <c r="AO204" s="654">
        <v>-0.12230883902887078</v>
      </c>
      <c r="AP204" s="654">
        <v>-0.13179281047099786</v>
      </c>
      <c r="AQ204" s="654">
        <v>-0.147610507531244</v>
      </c>
      <c r="AR204" s="654">
        <v>0</v>
      </c>
      <c r="AS204" s="654">
        <v>0</v>
      </c>
      <c r="AT204" s="654">
        <v>0</v>
      </c>
      <c r="AU204" s="654">
        <v>0</v>
      </c>
      <c r="AV204" s="654">
        <v>0</v>
      </c>
      <c r="AW204" s="654">
        <v>-1.5136968544979479E-2</v>
      </c>
      <c r="AX204" s="654">
        <v>-6.0757113023077736E-2</v>
      </c>
      <c r="AY204" s="654">
        <v>-0.11358679800071714</v>
      </c>
      <c r="AZ204" s="654">
        <v>-0.13448407661127959</v>
      </c>
      <c r="BA204" s="654">
        <v>-0.15918896802377402</v>
      </c>
      <c r="BB204" s="654">
        <v>-0.37494429248594607</v>
      </c>
      <c r="BC204" s="654">
        <v>-0.41589614375800499</v>
      </c>
      <c r="BD204" s="654">
        <v>-0.46123939149410964</v>
      </c>
      <c r="BE204" s="654">
        <v>-0.48301079495954158</v>
      </c>
      <c r="BF204" s="654">
        <v>-0.48832055578700384</v>
      </c>
      <c r="BG204" s="654">
        <v>-0.51896157023975253</v>
      </c>
      <c r="BH204" s="654">
        <v>-0.55077045280647197</v>
      </c>
      <c r="BI204" s="654">
        <v>-0.5747473626958497</v>
      </c>
      <c r="BJ204" s="654">
        <v>-0.61697072028520528</v>
      </c>
      <c r="BK204" s="654">
        <v>-0.62828338532853545</v>
      </c>
      <c r="BL204" s="654">
        <v>-0.64182153486394866</v>
      </c>
      <c r="BM204" s="654">
        <v>-0.65735176237896553</v>
      </c>
      <c r="BN204" s="654">
        <v>-0.68414499574590248</v>
      </c>
      <c r="BO204" s="654">
        <v>-0.73038282701991419</v>
      </c>
      <c r="BP204" s="654">
        <v>-0.77237529423824269</v>
      </c>
      <c r="BQ204" s="654">
        <v>-0.80466400391195791</v>
      </c>
      <c r="BR204" s="654">
        <v>-0.82923682332925708</v>
      </c>
      <c r="BS204" s="654">
        <v>-0.85633197828387897</v>
      </c>
      <c r="BT204" s="654">
        <v>-0.8986379355121521</v>
      </c>
      <c r="BU204" s="654">
        <v>-0.9341542360141879</v>
      </c>
      <c r="BV204" s="654">
        <v>-0.98493981371219963</v>
      </c>
      <c r="BW204" s="654">
        <v>-0.96625712398953967</v>
      </c>
      <c r="BX204" s="654">
        <v>-0.98928499207520537</v>
      </c>
      <c r="BY204" s="654">
        <v>-1.0136507458159181</v>
      </c>
      <c r="BZ204" s="654">
        <v>-1.0476644786000917</v>
      </c>
      <c r="CA204" s="654">
        <v>-1.0983921492701674</v>
      </c>
      <c r="CB204" s="654">
        <v>-1.1454783296645208</v>
      </c>
      <c r="CC204" s="654">
        <v>-1.1843096078811559</v>
      </c>
      <c r="CD204" s="654">
        <v>-1.2166088356102187</v>
      </c>
      <c r="CE204" s="654">
        <v>-1.2511350457483945</v>
      </c>
      <c r="CF204" s="654">
        <v>-1.298729451776397</v>
      </c>
      <c r="CG204" s="654">
        <v>-1.3405811019328771</v>
      </c>
      <c r="CH204" s="654">
        <v>-1.3955366686479542</v>
      </c>
      <c r="CI204" s="654">
        <v>-1.4271590648089529</v>
      </c>
      <c r="CJ204" s="654">
        <v>-1.4598592779532744</v>
      </c>
      <c r="CK204" s="654">
        <v>-1.4937808761733296</v>
      </c>
      <c r="CL204" s="654">
        <v>-1.536025768155322</v>
      </c>
      <c r="CM204" s="654">
        <v>-1.5891965769796959</v>
      </c>
      <c r="CN204" s="654">
        <v>-1.6334413894033517</v>
      </c>
      <c r="CO204" s="654">
        <v>-1.6782254231178535</v>
      </c>
      <c r="CP204" s="654">
        <v>-1.7235486556331177</v>
      </c>
      <c r="CQ204" s="654">
        <v>-1.7694110650137578</v>
      </c>
      <c r="CR204" s="654">
        <v>-1.8158126301551114</v>
      </c>
      <c r="CS204" s="654">
        <v>-1.8627533309681419</v>
      </c>
      <c r="CT204" s="654">
        <v>-1.9102331484703479</v>
      </c>
      <c r="CU204" s="654">
        <v>-1.9582520648001722</v>
      </c>
      <c r="CV204" s="654">
        <v>-2.0068100631801231</v>
      </c>
      <c r="CW204" s="654">
        <v>-2.055907127852473</v>
      </c>
      <c r="CX204" s="654">
        <v>-2.1055432440049522</v>
      </c>
      <c r="CY204" s="654">
        <v>-2.1557183976966163</v>
      </c>
    </row>
    <row r="205" spans="1:103">
      <c r="A205" s="230"/>
      <c r="B205" s="229"/>
      <c r="C205" s="230"/>
      <c r="D205" s="230" t="s">
        <v>876</v>
      </c>
      <c r="E205" s="230"/>
      <c r="F205" s="232"/>
      <c r="G205" s="232" t="s">
        <v>736</v>
      </c>
      <c r="H205" s="203"/>
      <c r="I205" s="232"/>
      <c r="J205" s="232"/>
      <c r="K205" s="232"/>
      <c r="L205" s="230"/>
      <c r="M205" s="230"/>
      <c r="N205" s="230"/>
      <c r="O205" s="230"/>
      <c r="P205" s="230"/>
      <c r="Q205" s="230"/>
      <c r="R205" s="230"/>
      <c r="S205" s="230"/>
      <c r="T205" s="237"/>
      <c r="U205" s="237"/>
      <c r="V205" s="237"/>
      <c r="W205" s="237"/>
      <c r="X205" s="237"/>
      <c r="Y205" s="237"/>
      <c r="Z205" s="237"/>
      <c r="AA205" s="237"/>
      <c r="AB205" s="237"/>
      <c r="AC205" s="237"/>
      <c r="AD205" s="237"/>
      <c r="AE205" s="240">
        <v>0</v>
      </c>
      <c r="AF205" s="246">
        <v>0</v>
      </c>
      <c r="AG205" s="246">
        <v>0</v>
      </c>
      <c r="AH205" s="246">
        <v>0</v>
      </c>
      <c r="AI205" s="246">
        <v>0</v>
      </c>
      <c r="AJ205" s="246">
        <v>0</v>
      </c>
      <c r="AK205" s="653">
        <v>0</v>
      </c>
      <c r="AL205" s="253">
        <v>0</v>
      </c>
      <c r="AM205" s="253">
        <v>0</v>
      </c>
      <c r="AN205" s="253">
        <v>0</v>
      </c>
      <c r="AO205" s="253">
        <v>-0.31326923290180275</v>
      </c>
      <c r="AP205" s="253">
        <v>-0.32717675564263971</v>
      </c>
      <c r="AQ205" s="253">
        <v>-8.4951236160151211E-2</v>
      </c>
      <c r="AR205" s="253">
        <v>-1.1956240217008065</v>
      </c>
      <c r="AS205" s="253">
        <v>-1.1956593425986857</v>
      </c>
      <c r="AT205" s="253">
        <v>-1.3181632122135469</v>
      </c>
      <c r="AU205" s="253">
        <v>-1.3043186001498501</v>
      </c>
      <c r="AV205" s="253">
        <v>-1.323855882128941</v>
      </c>
      <c r="AW205" s="253">
        <v>-1.3974494006607305</v>
      </c>
      <c r="AX205" s="253">
        <v>-1.4637954709045866</v>
      </c>
      <c r="AY205" s="253">
        <v>-1.4544103728848428</v>
      </c>
      <c r="AZ205" s="253">
        <v>-1.5111294025132911</v>
      </c>
      <c r="BA205" s="253">
        <v>-1.5673573005052506</v>
      </c>
      <c r="BB205" s="253">
        <v>-1.270436994515137</v>
      </c>
      <c r="BC205" s="253">
        <v>-1.3692556189905696</v>
      </c>
      <c r="BD205" s="253">
        <v>-1.4693379423784447</v>
      </c>
      <c r="BE205" s="253">
        <v>-1.5718827412092857</v>
      </c>
      <c r="BF205" s="253">
        <v>-1.6775055115121229</v>
      </c>
      <c r="BG205" s="253">
        <v>-1.7417280867649336</v>
      </c>
      <c r="BH205" s="253">
        <v>-1.8435134277734788</v>
      </c>
      <c r="BI205" s="253">
        <v>-1.9456095867187706</v>
      </c>
      <c r="BJ205" s="253">
        <v>-2.0492444435107422</v>
      </c>
      <c r="BK205" s="253">
        <v>-2.1527907997561053</v>
      </c>
      <c r="BL205" s="253">
        <v>-2.2583556284543675</v>
      </c>
      <c r="BM205" s="253">
        <v>-2.3669549991095411</v>
      </c>
      <c r="BN205" s="253">
        <v>-2.4790831166934466</v>
      </c>
      <c r="BO205" s="253">
        <v>-2.5949798269995594</v>
      </c>
      <c r="BP205" s="253">
        <v>-2.7144319967767507</v>
      </c>
      <c r="BQ205" s="253">
        <v>-2.8375858804968508</v>
      </c>
      <c r="BR205" s="253">
        <v>-2.9644876203503703</v>
      </c>
      <c r="BS205" s="253">
        <v>-3.0951437012458887</v>
      </c>
      <c r="BT205" s="253">
        <v>-3.2295292033173997</v>
      </c>
      <c r="BU205" s="253">
        <v>-3.3676194675417634</v>
      </c>
      <c r="BV205" s="253">
        <v>-3.5093975222327334</v>
      </c>
      <c r="BW205" s="253">
        <v>-3.6548538795535768</v>
      </c>
      <c r="BX205" s="253">
        <v>-3.8039845390024305</v>
      </c>
      <c r="BY205" s="253">
        <v>-3.9567866555147457</v>
      </c>
      <c r="BZ205" s="253">
        <v>-4.1132590533505953</v>
      </c>
      <c r="CA205" s="253">
        <v>-4.2734017217051923</v>
      </c>
      <c r="CB205" s="253">
        <v>-4.4372152688097666</v>
      </c>
      <c r="CC205" s="253">
        <v>-4.6047004199376289</v>
      </c>
      <c r="CD205" s="253">
        <v>-4.7758577727505118</v>
      </c>
      <c r="CE205" s="253">
        <v>-4.9506877343185201</v>
      </c>
      <c r="CF205" s="253">
        <v>-5.1291905461028913</v>
      </c>
      <c r="CG205" s="253">
        <v>-5.311366337376608</v>
      </c>
      <c r="CH205" s="253">
        <v>-5.497215160562706</v>
      </c>
      <c r="CI205" s="253">
        <v>-5.6867370213616146</v>
      </c>
      <c r="CJ205" s="253">
        <v>-5.8799319024019585</v>
      </c>
      <c r="CK205" s="253">
        <v>-6.07679977954432</v>
      </c>
      <c r="CL205" s="253">
        <v>-6.2773406307880641</v>
      </c>
      <c r="CM205" s="253">
        <v>-6.4815544396981624</v>
      </c>
      <c r="CN205" s="253">
        <v>-6.689441195658544</v>
      </c>
      <c r="CO205" s="253">
        <v>-6.9010008927479918</v>
      </c>
      <c r="CP205" s="253">
        <v>-7.116233528337041</v>
      </c>
      <c r="CQ205" s="253">
        <v>-7.3351391018146721</v>
      </c>
      <c r="CR205" s="253">
        <v>-7.5577176136074602</v>
      </c>
      <c r="CS205" s="253">
        <v>-7.7839690645219646</v>
      </c>
      <c r="CT205" s="253">
        <v>-8.0138934553696011</v>
      </c>
      <c r="CU205" s="253">
        <v>-8.2474907867979539</v>
      </c>
      <c r="CV205" s="253">
        <v>-8.484761059249637</v>
      </c>
      <c r="CW205" s="253">
        <v>-8.7257042729860128</v>
      </c>
      <c r="CX205" s="253">
        <v>-8.9703204281343449</v>
      </c>
      <c r="CY205" s="253">
        <v>-9.218609524735923</v>
      </c>
    </row>
    <row r="206" spans="1:103">
      <c r="A206" s="230"/>
      <c r="B206" s="229"/>
      <c r="C206" s="230"/>
      <c r="D206" s="230" t="s">
        <v>877</v>
      </c>
      <c r="E206" s="230"/>
      <c r="F206" s="232"/>
      <c r="G206" s="232" t="s">
        <v>736</v>
      </c>
      <c r="H206" s="203"/>
      <c r="I206" s="232"/>
      <c r="J206" s="232"/>
      <c r="K206" s="232"/>
      <c r="L206" s="230"/>
      <c r="M206" s="230"/>
      <c r="N206" s="230"/>
      <c r="O206" s="230"/>
      <c r="P206" s="230"/>
      <c r="Q206" s="230"/>
      <c r="R206" s="230"/>
      <c r="S206" s="230"/>
      <c r="T206" s="237"/>
      <c r="U206" s="237"/>
      <c r="V206" s="237"/>
      <c r="W206" s="237"/>
      <c r="X206" s="237"/>
      <c r="Y206" s="237"/>
      <c r="Z206" s="237"/>
      <c r="AA206" s="237"/>
      <c r="AB206" s="237"/>
      <c r="AC206" s="237"/>
      <c r="AD206" s="237"/>
      <c r="AE206" s="240">
        <v>0</v>
      </c>
      <c r="AF206" s="246">
        <v>0</v>
      </c>
      <c r="AG206" s="246">
        <v>0</v>
      </c>
      <c r="AH206" s="246">
        <v>0</v>
      </c>
      <c r="AI206" s="246">
        <v>0</v>
      </c>
      <c r="AJ206" s="246">
        <v>0</v>
      </c>
      <c r="AK206" s="653">
        <v>0</v>
      </c>
      <c r="AL206" s="253">
        <v>0</v>
      </c>
      <c r="AM206" s="253">
        <v>0</v>
      </c>
      <c r="AN206" s="253">
        <v>0</v>
      </c>
      <c r="AO206" s="253">
        <v>8.6082583972480364E-2</v>
      </c>
      <c r="AP206" s="253">
        <v>9.2719753569525665E-2</v>
      </c>
      <c r="AQ206" s="253">
        <v>0</v>
      </c>
      <c r="AR206" s="253">
        <v>0</v>
      </c>
      <c r="AS206" s="253">
        <v>0</v>
      </c>
      <c r="AT206" s="253">
        <v>0</v>
      </c>
      <c r="AU206" s="253">
        <v>0</v>
      </c>
      <c r="AV206" s="253">
        <v>0</v>
      </c>
      <c r="AW206" s="253">
        <v>0</v>
      </c>
      <c r="AX206" s="253">
        <v>0</v>
      </c>
      <c r="AY206" s="253">
        <v>0</v>
      </c>
      <c r="AZ206" s="253">
        <v>0</v>
      </c>
      <c r="BA206" s="253">
        <v>0</v>
      </c>
      <c r="BB206" s="253">
        <v>0</v>
      </c>
      <c r="BC206" s="253">
        <v>0</v>
      </c>
      <c r="BD206" s="253">
        <v>0</v>
      </c>
      <c r="BE206" s="253">
        <v>0</v>
      </c>
      <c r="BF206" s="253">
        <v>0</v>
      </c>
      <c r="BG206" s="253">
        <v>0</v>
      </c>
      <c r="BH206" s="253">
        <v>0</v>
      </c>
      <c r="BI206" s="253">
        <v>0</v>
      </c>
      <c r="BJ206" s="253">
        <v>0</v>
      </c>
      <c r="BK206" s="253">
        <v>0</v>
      </c>
      <c r="BL206" s="253">
        <v>0</v>
      </c>
      <c r="BM206" s="253">
        <v>0</v>
      </c>
      <c r="BN206" s="253">
        <v>0</v>
      </c>
      <c r="BO206" s="253">
        <v>0</v>
      </c>
      <c r="BP206" s="253">
        <v>0</v>
      </c>
      <c r="BQ206" s="253">
        <v>0</v>
      </c>
      <c r="BR206" s="253">
        <v>0</v>
      </c>
      <c r="BS206" s="253">
        <v>0</v>
      </c>
      <c r="BT206" s="253">
        <v>0</v>
      </c>
      <c r="BU206" s="253">
        <v>0</v>
      </c>
      <c r="BV206" s="253">
        <v>0</v>
      </c>
      <c r="BW206" s="253">
        <v>0</v>
      </c>
      <c r="BX206" s="253">
        <v>0</v>
      </c>
      <c r="BY206" s="253">
        <v>0</v>
      </c>
      <c r="BZ206" s="253">
        <v>0</v>
      </c>
      <c r="CA206" s="253">
        <v>0</v>
      </c>
      <c r="CB206" s="253">
        <v>0</v>
      </c>
      <c r="CC206" s="253">
        <v>0</v>
      </c>
      <c r="CD206" s="253">
        <v>0</v>
      </c>
      <c r="CE206" s="253">
        <v>0</v>
      </c>
      <c r="CF206" s="253">
        <v>0</v>
      </c>
      <c r="CG206" s="253">
        <v>0</v>
      </c>
      <c r="CH206" s="253">
        <v>0</v>
      </c>
      <c r="CI206" s="253">
        <v>0</v>
      </c>
      <c r="CJ206" s="253">
        <v>0</v>
      </c>
      <c r="CK206" s="253">
        <v>0</v>
      </c>
      <c r="CL206" s="253">
        <v>0</v>
      </c>
      <c r="CM206" s="253">
        <v>0</v>
      </c>
      <c r="CN206" s="253">
        <v>0</v>
      </c>
      <c r="CO206" s="253">
        <v>0</v>
      </c>
      <c r="CP206" s="253">
        <v>0</v>
      </c>
      <c r="CQ206" s="253">
        <v>0</v>
      </c>
      <c r="CR206" s="253">
        <v>0</v>
      </c>
      <c r="CS206" s="253">
        <v>0</v>
      </c>
      <c r="CT206" s="253">
        <v>0</v>
      </c>
      <c r="CU206" s="253">
        <v>0</v>
      </c>
      <c r="CV206" s="253">
        <v>0</v>
      </c>
      <c r="CW206" s="253">
        <v>0</v>
      </c>
      <c r="CX206" s="253">
        <v>0</v>
      </c>
      <c r="CY206" s="253">
        <v>0</v>
      </c>
    </row>
    <row r="207" spans="1:103">
      <c r="A207" s="230"/>
      <c r="B207" s="229" t="s">
        <v>236</v>
      </c>
      <c r="C207" s="229"/>
      <c r="D207" s="229"/>
      <c r="E207" s="203"/>
      <c r="F207" s="232"/>
      <c r="G207" s="232" t="s">
        <v>736</v>
      </c>
      <c r="H207" s="203"/>
      <c r="I207" s="232"/>
      <c r="J207" s="232"/>
      <c r="K207" s="232"/>
      <c r="L207" s="230"/>
      <c r="M207" s="230"/>
      <c r="N207" s="230"/>
      <c r="O207" s="230"/>
      <c r="P207" s="230"/>
      <c r="Q207" s="230"/>
      <c r="R207" s="230"/>
      <c r="S207" s="230"/>
      <c r="T207" s="247"/>
      <c r="U207" s="247"/>
      <c r="V207" s="247"/>
      <c r="W207" s="247"/>
      <c r="X207" s="247"/>
      <c r="Y207" s="247"/>
      <c r="Z207" s="247"/>
      <c r="AA207" s="247"/>
      <c r="AB207" s="247"/>
      <c r="AC207" s="247"/>
      <c r="AD207" s="247"/>
      <c r="AE207" s="247">
        <f>AE173+AE193+AE194</f>
        <v>0.13099490700517757</v>
      </c>
      <c r="AF207" s="247">
        <f t="shared" ref="AF207:AQ207" si="85">AF173+AF193+AF194</f>
        <v>-0.19593343498359472</v>
      </c>
      <c r="AG207" s="247">
        <f t="shared" si="85"/>
        <v>0.22369633339342176</v>
      </c>
      <c r="AH207" s="247">
        <f t="shared" si="85"/>
        <v>-0.10254662964068383</v>
      </c>
      <c r="AI207" s="247">
        <f t="shared" si="85"/>
        <v>0.14090231830018179</v>
      </c>
      <c r="AJ207" s="247">
        <f t="shared" si="85"/>
        <v>0.12607502352469843</v>
      </c>
      <c r="AK207" s="247">
        <f t="shared" si="85"/>
        <v>1.3463615616673474E-2</v>
      </c>
      <c r="AL207" s="247">
        <f t="shared" si="85"/>
        <v>1.0193716938449754E-2</v>
      </c>
      <c r="AM207" s="247">
        <f t="shared" si="85"/>
        <v>0.16353512800458067</v>
      </c>
      <c r="AN207" s="247">
        <f t="shared" si="85"/>
        <v>0.4481597185945384</v>
      </c>
      <c r="AO207" s="247">
        <f t="shared" si="85"/>
        <v>-71.811905596199253</v>
      </c>
      <c r="AP207" s="247">
        <f t="shared" si="85"/>
        <v>-1111.1907409439139</v>
      </c>
      <c r="AQ207" s="247">
        <f t="shared" si="85"/>
        <v>-657.07192438538698</v>
      </c>
      <c r="AR207" s="247">
        <v>-1.6254143201625875</v>
      </c>
      <c r="AS207" s="247">
        <v>-0.27728687405737668</v>
      </c>
      <c r="AT207" s="247">
        <v>-0.38871740346536149</v>
      </c>
      <c r="AU207" s="247">
        <v>-0.41557668765418626</v>
      </c>
      <c r="AV207" s="247">
        <v>-0.40961289874256429</v>
      </c>
      <c r="AW207" s="247">
        <v>-0.38247518611678333</v>
      </c>
      <c r="AX207" s="247">
        <v>-0.34993532864208177</v>
      </c>
      <c r="AY207" s="247">
        <v>-0.29569114270351154</v>
      </c>
      <c r="AZ207" s="247">
        <v>-0.28745245707957401</v>
      </c>
      <c r="BA207" s="247">
        <v>-0.30005559013113958</v>
      </c>
      <c r="BB207" s="247">
        <v>-0.38350196021711958</v>
      </c>
      <c r="BC207" s="247">
        <v>-0.29514019447093265</v>
      </c>
      <c r="BD207" s="247">
        <v>-0.17355780715948976</v>
      </c>
      <c r="BE207" s="247">
        <v>-9.2157588955835701E-3</v>
      </c>
      <c r="BF207" s="247">
        <v>0.19931554640560989</v>
      </c>
      <c r="BG207" s="247">
        <v>0.1736585481627646</v>
      </c>
      <c r="BH207" s="247">
        <v>0.17672453143954325</v>
      </c>
      <c r="BI207" s="247">
        <v>0.16765917988930323</v>
      </c>
      <c r="BJ207" s="247">
        <v>0.19017755661577906</v>
      </c>
      <c r="BK207" s="247">
        <v>0.19072999465022433</v>
      </c>
      <c r="BL207" s="247">
        <v>0.17484339914243963</v>
      </c>
      <c r="BM207" s="247">
        <v>0.16206965037656751</v>
      </c>
      <c r="BN207" s="247">
        <v>0.16199298526170569</v>
      </c>
      <c r="BO207" s="247">
        <v>0.18272204154841432</v>
      </c>
      <c r="BP207" s="247">
        <v>0.19829825441548232</v>
      </c>
      <c r="BQ207" s="247">
        <v>0.20397924708967619</v>
      </c>
      <c r="BR207" s="247">
        <v>0.20169781577154344</v>
      </c>
      <c r="BS207" s="247">
        <v>0.20152960391281582</v>
      </c>
      <c r="BT207" s="247">
        <v>0.21568761276316217</v>
      </c>
      <c r="BU207" s="247">
        <v>0.22139930680820363</v>
      </c>
      <c r="BV207" s="247">
        <v>0.24180678363079156</v>
      </c>
      <c r="BW207" s="247">
        <v>0.1910352637304471</v>
      </c>
      <c r="BX207" s="247">
        <v>0.1824787551445497</v>
      </c>
      <c r="BY207" s="247">
        <v>0.17431354365899487</v>
      </c>
      <c r="BZ207" s="247">
        <v>0.17485286509785491</v>
      </c>
      <c r="CA207" s="247">
        <v>0.19073782751397972</v>
      </c>
      <c r="CB207" s="247">
        <v>0.20124654089046778</v>
      </c>
      <c r="CC207" s="247">
        <v>0.20282454973341491</v>
      </c>
      <c r="CD207" s="247">
        <v>0.19743807768088129</v>
      </c>
      <c r="CE207" s="247">
        <v>0.19375869760948738</v>
      </c>
      <c r="CF207" s="247">
        <v>0.20217018840788015</v>
      </c>
      <c r="CG207" s="247">
        <v>0.20329152896995151</v>
      </c>
      <c r="CH207" s="247">
        <v>0.21695468553610908</v>
      </c>
      <c r="CI207" s="247">
        <v>0.20573135891195982</v>
      </c>
      <c r="CJ207" s="247">
        <v>0.19595120217117312</v>
      </c>
      <c r="CK207" s="247">
        <v>0.18647397737057769</v>
      </c>
      <c r="CL207" s="247">
        <v>0.18439376565163457</v>
      </c>
      <c r="CM207" s="247">
        <v>0.19193662681916646</v>
      </c>
      <c r="CN207" s="247">
        <v>0.18910271428388237</v>
      </c>
      <c r="CO207" s="247">
        <v>0.18641791520341</v>
      </c>
      <c r="CP207" s="247">
        <v>0.18338064677356902</v>
      </c>
      <c r="CQ207" s="247">
        <v>0.17999090499445636</v>
      </c>
      <c r="CR207" s="247">
        <v>0.17624868208245559</v>
      </c>
      <c r="CS207" s="247">
        <v>0.1721539672264889</v>
      </c>
      <c r="CT207" s="247">
        <v>0.16770674762504889</v>
      </c>
      <c r="CU207" s="247">
        <v>0.16290700945527936</v>
      </c>
      <c r="CV207" s="247">
        <v>0.15775473862372547</v>
      </c>
      <c r="CW207" s="247">
        <v>0.15224992126049131</v>
      </c>
      <c r="CX207" s="247">
        <v>0.14639254398923018</v>
      </c>
      <c r="CY207" s="247">
        <v>0.1401825940328405</v>
      </c>
    </row>
    <row r="208" spans="1:103">
      <c r="A208" s="230"/>
      <c r="B208" s="229"/>
      <c r="C208" s="230" t="s">
        <v>423</v>
      </c>
      <c r="D208" s="229"/>
      <c r="E208" s="203"/>
      <c r="F208" s="232"/>
      <c r="G208" s="232" t="s">
        <v>736</v>
      </c>
      <c r="H208" s="203"/>
      <c r="I208" s="232"/>
      <c r="J208" s="232"/>
      <c r="K208" s="232"/>
      <c r="L208" s="230"/>
      <c r="M208" s="230"/>
      <c r="N208" s="230"/>
      <c r="O208" s="230"/>
      <c r="P208" s="230"/>
      <c r="Q208" s="230"/>
      <c r="R208" s="230"/>
      <c r="S208" s="230"/>
      <c r="T208" s="247"/>
      <c r="U208" s="247"/>
      <c r="V208" s="247"/>
      <c r="W208" s="247"/>
      <c r="X208" s="247"/>
      <c r="Y208" s="247"/>
      <c r="Z208" s="247"/>
      <c r="AA208" s="247"/>
      <c r="AB208" s="247"/>
      <c r="AC208" s="247"/>
      <c r="AD208" s="247"/>
      <c r="AE208" s="247"/>
      <c r="AF208" s="253" t="e">
        <v>#N/A</v>
      </c>
      <c r="AG208" s="253" t="e">
        <v>#N/A</v>
      </c>
      <c r="AH208" s="253" t="e">
        <v>#N/A</v>
      </c>
      <c r="AI208" s="253" t="e">
        <v>#N/A</v>
      </c>
      <c r="AJ208" s="253" t="e">
        <v>#N/A</v>
      </c>
      <c r="AK208" s="253" t="e">
        <v>#N/A</v>
      </c>
      <c r="AL208" s="253" t="e">
        <v>#N/A</v>
      </c>
      <c r="AM208" s="253" t="e">
        <v>#N/A</v>
      </c>
      <c r="AN208" s="253" t="e">
        <v>#N/A</v>
      </c>
      <c r="AO208" s="253" t="e">
        <v>#N/A</v>
      </c>
      <c r="AP208" s="253" t="e">
        <v>#N/A</v>
      </c>
      <c r="AQ208" s="253" t="e">
        <v>#N/A</v>
      </c>
      <c r="AR208" s="253">
        <v>3.9712040345243516</v>
      </c>
      <c r="AS208" s="253">
        <v>4.3647249343028047</v>
      </c>
      <c r="AT208" s="253">
        <v>4.7262417833577954</v>
      </c>
      <c r="AU208" s="253">
        <v>5.0137651766628899</v>
      </c>
      <c r="AV208" s="253">
        <v>5.1419970370910235</v>
      </c>
      <c r="AW208" s="253">
        <v>5.3437870951530684</v>
      </c>
      <c r="AX208" s="253">
        <v>5.4894193538441076</v>
      </c>
      <c r="AY208" s="253">
        <v>5.6395111265791016</v>
      </c>
      <c r="AZ208" s="253">
        <v>5.8267846469634508</v>
      </c>
      <c r="BA208" s="253">
        <v>5.9966925468079717</v>
      </c>
      <c r="BB208" s="253">
        <v>5.8033340704185203</v>
      </c>
      <c r="BC208" s="253">
        <v>5.7181793165242478</v>
      </c>
      <c r="BD208" s="253">
        <v>5.6763878563894021</v>
      </c>
      <c r="BE208" s="253">
        <v>5.6809132970934373</v>
      </c>
      <c r="BF208" s="253">
        <v>6.0879818140904236</v>
      </c>
      <c r="BG208" s="253">
        <v>6.460454281864787</v>
      </c>
      <c r="BH208" s="253">
        <v>6.8346297672598206</v>
      </c>
      <c r="BI208" s="253">
        <v>7.2083566127693057</v>
      </c>
      <c r="BJ208" s="253">
        <v>7.580095544767925</v>
      </c>
      <c r="BK208" s="253">
        <v>7.9911582577590963</v>
      </c>
      <c r="BL208" s="253">
        <v>8.4060004584399852</v>
      </c>
      <c r="BM208" s="253">
        <v>8.8273458708307562</v>
      </c>
      <c r="BN208" s="253">
        <v>9.2571845440134606</v>
      </c>
      <c r="BO208" s="253">
        <v>9.6993735712569151</v>
      </c>
      <c r="BP208" s="253">
        <v>10.155449939579299</v>
      </c>
      <c r="BQ208" s="253">
        <v>10.626080820966608</v>
      </c>
      <c r="BR208" s="253">
        <v>11.111485324623532</v>
      </c>
      <c r="BS208" s="253">
        <v>11.611649198869861</v>
      </c>
      <c r="BT208" s="253">
        <v>12.126746405410509</v>
      </c>
      <c r="BU208" s="253">
        <v>12.656779992455421</v>
      </c>
      <c r="BV208" s="253">
        <v>13.201689894337784</v>
      </c>
      <c r="BW208" s="253">
        <v>13.761400072645474</v>
      </c>
      <c r="BX208" s="253">
        <v>14.335855408330504</v>
      </c>
      <c r="BY208" s="253">
        <v>14.925022596303487</v>
      </c>
      <c r="BZ208" s="253">
        <v>15.528884127421346</v>
      </c>
      <c r="CA208" s="253">
        <v>16.147431969572963</v>
      </c>
      <c r="CB208" s="253">
        <v>16.780662699380301</v>
      </c>
      <c r="CC208" s="253">
        <v>17.428576463803182</v>
      </c>
      <c r="CD208" s="253">
        <v>18.091175183203099</v>
      </c>
      <c r="CE208" s="253">
        <v>18.768461195816428</v>
      </c>
      <c r="CF208" s="253">
        <v>19.460436473109553</v>
      </c>
      <c r="CG208" s="253">
        <v>20.167102390548532</v>
      </c>
      <c r="CH208" s="253">
        <v>20.888459778360726</v>
      </c>
      <c r="CI208" s="253">
        <v>21.624509065403821</v>
      </c>
      <c r="CJ208" s="253">
        <v>22.375250421702887</v>
      </c>
      <c r="CK208" s="253">
        <v>23.140683863870599</v>
      </c>
      <c r="CL208" s="253">
        <v>23.920809334095956</v>
      </c>
      <c r="CM208" s="253">
        <v>24.715626752432506</v>
      </c>
      <c r="CN208" s="253">
        <v>25.525136045689091</v>
      </c>
      <c r="CO208" s="253">
        <v>26.349337158892762</v>
      </c>
      <c r="CP208" s="253">
        <v>27.188230056441736</v>
      </c>
      <c r="CQ208" s="253">
        <v>28.04181471855825</v>
      </c>
      <c r="CR208" s="253">
        <v>28.910091136507166</v>
      </c>
      <c r="CS208" s="253">
        <v>29.793059308281137</v>
      </c>
      <c r="CT208" s="253">
        <v>30.690719235313697</v>
      </c>
      <c r="CU208" s="253">
        <v>31.603070920296979</v>
      </c>
      <c r="CV208" s="253">
        <v>32.530114365939156</v>
      </c>
      <c r="CW208" s="253">
        <v>33.471849574403208</v>
      </c>
      <c r="CX208" s="253">
        <v>34.428276547167947</v>
      </c>
      <c r="CY208" s="253">
        <v>35.399395285105918</v>
      </c>
    </row>
    <row r="209" spans="1:103">
      <c r="A209" s="230"/>
      <c r="B209" s="229"/>
      <c r="C209" s="230" t="s">
        <v>810</v>
      </c>
      <c r="D209" s="229"/>
      <c r="E209" s="203"/>
      <c r="F209" s="232"/>
      <c r="G209" s="232" t="s">
        <v>736</v>
      </c>
      <c r="H209" s="203"/>
      <c r="I209" s="232"/>
      <c r="J209" s="232"/>
      <c r="K209" s="232"/>
      <c r="L209" s="230"/>
      <c r="M209" s="230"/>
      <c r="N209" s="230"/>
      <c r="O209" s="230"/>
      <c r="P209" s="230"/>
      <c r="Q209" s="230"/>
      <c r="R209" s="230"/>
      <c r="S209" s="230"/>
      <c r="T209" s="247"/>
      <c r="U209" s="247"/>
      <c r="V209" s="247"/>
      <c r="W209" s="247"/>
      <c r="X209" s="247"/>
      <c r="Y209" s="247"/>
      <c r="Z209" s="247"/>
      <c r="AA209" s="247"/>
      <c r="AB209" s="247"/>
      <c r="AC209" s="247"/>
      <c r="AD209" s="247"/>
      <c r="AE209" s="247"/>
      <c r="AF209" s="253" t="e">
        <v>#N/A</v>
      </c>
      <c r="AG209" s="253" t="e">
        <v>#N/A</v>
      </c>
      <c r="AH209" s="253" t="e">
        <v>#N/A</v>
      </c>
      <c r="AI209" s="253" t="e">
        <v>#N/A</v>
      </c>
      <c r="AJ209" s="253" t="e">
        <v>#N/A</v>
      </c>
      <c r="AK209" s="253" t="e">
        <v>#N/A</v>
      </c>
      <c r="AL209" s="253" t="e">
        <v>#N/A</v>
      </c>
      <c r="AM209" s="253" t="e">
        <v>#N/A</v>
      </c>
      <c r="AN209" s="253" t="e">
        <v>#N/A</v>
      </c>
      <c r="AO209" s="253" t="e">
        <v>#N/A</v>
      </c>
      <c r="AP209" s="253" t="e">
        <v>#N/A</v>
      </c>
      <c r="AQ209" s="253" t="e">
        <v>#N/A</v>
      </c>
      <c r="AR209" s="253">
        <v>8.2320807823295592</v>
      </c>
      <c r="AS209" s="253">
        <v>8.7593614298255904</v>
      </c>
      <c r="AT209" s="253">
        <v>9.2208543905703539</v>
      </c>
      <c r="AU209" s="253">
        <v>9.6903720122753541</v>
      </c>
      <c r="AV209" s="253">
        <v>10.042991580034494</v>
      </c>
      <c r="AW209" s="253">
        <v>10.377203175308107</v>
      </c>
      <c r="AX209" s="253">
        <v>10.648394242079574</v>
      </c>
      <c r="AY209" s="253">
        <v>10.520932153731463</v>
      </c>
      <c r="AZ209" s="253">
        <v>10.580634677514579</v>
      </c>
      <c r="BA209" s="253">
        <v>10.68871082618384</v>
      </c>
      <c r="BB209" s="253">
        <v>10.837873365401077</v>
      </c>
      <c r="BC209" s="253">
        <v>11.1032252238703</v>
      </c>
      <c r="BD209" s="253">
        <v>11.422032558444323</v>
      </c>
      <c r="BE209" s="253">
        <v>11.740282862491833</v>
      </c>
      <c r="BF209" s="253">
        <v>12.45962070321773</v>
      </c>
      <c r="BG209" s="253">
        <v>13.184732654159301</v>
      </c>
      <c r="BH209" s="253">
        <v>13.913376982261518</v>
      </c>
      <c r="BI209" s="253">
        <v>14.645784310673571</v>
      </c>
      <c r="BJ209" s="253">
        <v>15.382397064585836</v>
      </c>
      <c r="BK209" s="253">
        <v>16.168409224489253</v>
      </c>
      <c r="BL209" s="253">
        <v>16.97015524839162</v>
      </c>
      <c r="BM209" s="253">
        <v>17.790822542140685</v>
      </c>
      <c r="BN209" s="253">
        <v>18.632616174473789</v>
      </c>
      <c r="BO209" s="253">
        <v>19.499396358848738</v>
      </c>
      <c r="BP209" s="253">
        <v>20.392905715376873</v>
      </c>
      <c r="BQ209" s="253">
        <v>21.313830949742648</v>
      </c>
      <c r="BR209" s="253">
        <v>22.262337610985856</v>
      </c>
      <c r="BS209" s="253">
        <v>23.238336921676193</v>
      </c>
      <c r="BT209" s="253">
        <v>24.241946956595168</v>
      </c>
      <c r="BU209" s="253">
        <v>25.273138079436805</v>
      </c>
      <c r="BV209" s="253">
        <v>26.33183250899426</v>
      </c>
      <c r="BW209" s="253">
        <v>27.417945538168311</v>
      </c>
      <c r="BX209" s="253">
        <v>28.53141790925757</v>
      </c>
      <c r="BY209" s="253">
        <v>29.672215947184235</v>
      </c>
      <c r="BZ209" s="253">
        <v>30.840323767264852</v>
      </c>
      <c r="CA209" s="253">
        <v>32.035735537628554</v>
      </c>
      <c r="CB209" s="253">
        <v>33.258449757870331</v>
      </c>
      <c r="CC209" s="253">
        <v>34.508467940621934</v>
      </c>
      <c r="CD209" s="253">
        <v>35.785792850383523</v>
      </c>
      <c r="CE209" s="253">
        <v>37.090427278204004</v>
      </c>
      <c r="CF209" s="253">
        <v>38.422373389638665</v>
      </c>
      <c r="CG209" s="253">
        <v>39.781632595487238</v>
      </c>
      <c r="CH209" s="253">
        <v>41.168205680358852</v>
      </c>
      <c r="CI209" s="253">
        <v>42.582092999907402</v>
      </c>
      <c r="CJ209" s="253">
        <v>44.023294653978667</v>
      </c>
      <c r="CK209" s="253">
        <v>45.49181060501629</v>
      </c>
      <c r="CL209" s="253">
        <v>46.987640759248968</v>
      </c>
      <c r="CM209" s="253">
        <v>48.510785016126739</v>
      </c>
      <c r="CN209" s="253">
        <v>50.061243292848715</v>
      </c>
      <c r="CO209" s="253">
        <v>51.639015531717718</v>
      </c>
      <c r="CP209" s="253">
        <v>53.244101698067801</v>
      </c>
      <c r="CQ209" s="253">
        <v>54.876501774515759</v>
      </c>
      <c r="CR209" s="253">
        <v>56.536215754886669</v>
      </c>
      <c r="CS209" s="253">
        <v>58.223243639284711</v>
      </c>
      <c r="CT209" s="253">
        <v>59.937585430624452</v>
      </c>
      <c r="CU209" s="253">
        <v>61.679241132496458</v>
      </c>
      <c r="CV209" s="253">
        <v>63.448210748064518</v>
      </c>
      <c r="CW209" s="253">
        <v>65.244494279656323</v>
      </c>
      <c r="CX209" s="253">
        <v>67.068091728751412</v>
      </c>
      <c r="CY209" s="253">
        <v>68.919003096149339</v>
      </c>
    </row>
    <row r="210" spans="1:103">
      <c r="A210" s="230"/>
      <c r="B210" s="229" t="s">
        <v>811</v>
      </c>
      <c r="C210" s="229"/>
      <c r="D210" s="229"/>
      <c r="E210" s="203"/>
      <c r="F210" s="232"/>
      <c r="G210" s="232" t="s">
        <v>812</v>
      </c>
      <c r="H210" s="203"/>
      <c r="I210" s="232"/>
      <c r="J210" s="232"/>
      <c r="K210" s="232"/>
      <c r="L210" s="230"/>
      <c r="M210" s="230"/>
      <c r="N210" s="230"/>
      <c r="O210" s="230"/>
      <c r="P210" s="230"/>
      <c r="Q210" s="230"/>
      <c r="R210" s="230"/>
      <c r="S210" s="230"/>
      <c r="T210" s="247"/>
      <c r="U210" s="247"/>
      <c r="V210" s="247"/>
      <c r="W210" s="247"/>
      <c r="X210" s="247"/>
      <c r="Y210" s="247"/>
      <c r="Z210" s="247"/>
      <c r="AA210" s="247"/>
      <c r="AB210" s="247"/>
      <c r="AC210" s="247"/>
      <c r="AD210" s="247"/>
      <c r="AE210" s="247"/>
      <c r="AF210" s="611" t="e">
        <f t="shared" ref="AF210:AQ211" si="86">AF208/AF$164</f>
        <v>#N/A</v>
      </c>
      <c r="AG210" s="611" t="e">
        <f t="shared" si="86"/>
        <v>#N/A</v>
      </c>
      <c r="AH210" s="611" t="e">
        <f t="shared" si="86"/>
        <v>#N/A</v>
      </c>
      <c r="AI210" s="611" t="e">
        <f t="shared" si="86"/>
        <v>#N/A</v>
      </c>
      <c r="AJ210" s="611" t="e">
        <f t="shared" si="86"/>
        <v>#N/A</v>
      </c>
      <c r="AK210" s="611" t="e">
        <f t="shared" si="86"/>
        <v>#N/A</v>
      </c>
      <c r="AL210" s="611" t="e">
        <f t="shared" si="86"/>
        <v>#N/A</v>
      </c>
      <c r="AM210" s="611" t="e">
        <f t="shared" si="86"/>
        <v>#N/A</v>
      </c>
      <c r="AN210" s="611" t="e">
        <f t="shared" si="86"/>
        <v>#N/A</v>
      </c>
      <c r="AO210" s="611" t="e">
        <f t="shared" si="86"/>
        <v>#N/A</v>
      </c>
      <c r="AP210" s="611" t="e">
        <f t="shared" si="86"/>
        <v>#N/A</v>
      </c>
      <c r="AQ210" s="611" t="e">
        <f t="shared" si="86"/>
        <v>#N/A</v>
      </c>
      <c r="AR210" s="611">
        <v>6.462634124306621E-2</v>
      </c>
      <c r="AS210" s="611">
        <v>6.5363581242836977E-2</v>
      </c>
      <c r="AT210" s="611">
        <v>6.5594813424609086E-2</v>
      </c>
      <c r="AU210" s="611">
        <v>6.4680456929207736E-2</v>
      </c>
      <c r="AV210" s="611">
        <v>6.1894973165236122E-2</v>
      </c>
      <c r="AW210" s="611">
        <v>6.0051729134273646E-2</v>
      </c>
      <c r="AX210" s="611">
        <v>5.7738367121173605E-2</v>
      </c>
      <c r="AY210" s="611">
        <v>5.5554316690797731E-2</v>
      </c>
      <c r="AZ210" s="611">
        <v>5.384002225191814E-2</v>
      </c>
      <c r="BA210" s="611">
        <v>5.2078750707542365E-2</v>
      </c>
      <c r="BB210" s="611">
        <v>4.7445867563136436E-2</v>
      </c>
      <c r="BC210" s="611">
        <v>4.4048386390061423E-2</v>
      </c>
      <c r="BD210" s="611">
        <v>4.141167814514507E-2</v>
      </c>
      <c r="BE210" s="611">
        <v>3.9355385809543439E-2</v>
      </c>
      <c r="BF210" s="611">
        <v>4.0017773493861625E-2</v>
      </c>
      <c r="BG210" s="611">
        <v>4.0399410500578166E-2</v>
      </c>
      <c r="BH210" s="611">
        <v>4.0721515444791676E-2</v>
      </c>
      <c r="BI210" s="611">
        <v>4.0962945285100631E-2</v>
      </c>
      <c r="BJ210" s="611">
        <v>4.1117589436046445E-2</v>
      </c>
      <c r="BK210" s="611">
        <v>4.1397040002637719E-2</v>
      </c>
      <c r="BL210" s="611">
        <v>4.1617920256279764E-2</v>
      </c>
      <c r="BM210" s="611">
        <v>4.1797155379846983E-2</v>
      </c>
      <c r="BN210" s="611">
        <v>4.1947302066474512E-2</v>
      </c>
      <c r="BO210" s="611">
        <v>4.2087364968232482E-2</v>
      </c>
      <c r="BP210" s="611">
        <v>4.2224465257909835E-2</v>
      </c>
      <c r="BQ210" s="611">
        <v>4.2361326076553713E-2</v>
      </c>
      <c r="BR210" s="611">
        <v>4.2498535380159415E-2</v>
      </c>
      <c r="BS210" s="611">
        <v>4.2635693654201577E-2</v>
      </c>
      <c r="BT210" s="611">
        <v>4.2773039933135235E-2</v>
      </c>
      <c r="BU210" s="611">
        <v>4.2910207309619808E-2</v>
      </c>
      <c r="BV210" s="611">
        <v>4.3046669350301582E-2</v>
      </c>
      <c r="BW210" s="611">
        <v>4.3181920185514998E-2</v>
      </c>
      <c r="BX210" s="611">
        <v>4.3315587060648246E-2</v>
      </c>
      <c r="BY210" s="611">
        <v>4.3447416876941002E-2</v>
      </c>
      <c r="BZ210" s="611">
        <v>4.3577243590459433E-2</v>
      </c>
      <c r="CA210" s="611">
        <v>4.3704958972084242E-2</v>
      </c>
      <c r="CB210" s="611">
        <v>4.3830491452456377E-2</v>
      </c>
      <c r="CC210" s="611">
        <v>4.3953797697835986E-2</v>
      </c>
      <c r="CD210" s="611">
        <v>4.4074853858381634E-2</v>
      </c>
      <c r="CE210" s="611">
        <v>4.41936493171586E-2</v>
      </c>
      <c r="CF210" s="611">
        <v>4.4310182777578297E-2</v>
      </c>
      <c r="CG210" s="611">
        <v>4.4424460213238627E-2</v>
      </c>
      <c r="CH210" s="611">
        <v>4.4536493748647078E-2</v>
      </c>
      <c r="CI210" s="611">
        <v>4.4646300909265545E-2</v>
      </c>
      <c r="CJ210" s="611">
        <v>4.4753903979077095E-2</v>
      </c>
      <c r="CK210" s="611">
        <v>4.4859329374003276E-2</v>
      </c>
      <c r="CL210" s="611">
        <v>4.4962607047335901E-2</v>
      </c>
      <c r="CM210" s="611">
        <v>4.5063769923972853E-2</v>
      </c>
      <c r="CN210" s="611">
        <v>4.5162853368064838E-2</v>
      </c>
      <c r="CO210" s="611">
        <v>4.5259894692402818E-2</v>
      </c>
      <c r="CP210" s="611">
        <v>4.5354932717792819E-2</v>
      </c>
      <c r="CQ210" s="611">
        <v>4.54480073861366E-2</v>
      </c>
      <c r="CR210" s="611">
        <v>4.5539159426297937E-2</v>
      </c>
      <c r="CS210" s="611">
        <v>4.5628430068753487E-2</v>
      </c>
      <c r="CT210" s="611">
        <v>4.5715860803578451E-2</v>
      </c>
      <c r="CU210" s="611">
        <v>4.58014931761914E-2</v>
      </c>
      <c r="CV210" s="611">
        <v>4.5885368615616859E-2</v>
      </c>
      <c r="CW210" s="611">
        <v>4.5967528290571463E-2</v>
      </c>
      <c r="CX210" s="611">
        <v>4.6048012989301106E-2</v>
      </c>
      <c r="CY210" s="611">
        <v>4.6126863019713374E-2</v>
      </c>
    </row>
    <row r="211" spans="1:103">
      <c r="A211" s="230"/>
      <c r="B211" s="229" t="s">
        <v>813</v>
      </c>
      <c r="C211" s="229"/>
      <c r="D211" s="229"/>
      <c r="E211" s="229"/>
      <c r="F211" s="203"/>
      <c r="G211" s="232" t="s">
        <v>812</v>
      </c>
      <c r="H211" s="203"/>
      <c r="I211" s="232"/>
      <c r="J211" s="232"/>
      <c r="K211" s="232"/>
      <c r="L211" s="230"/>
      <c r="M211" s="230"/>
      <c r="N211" s="230"/>
      <c r="O211" s="230"/>
      <c r="P211" s="230"/>
      <c r="Q211" s="230"/>
      <c r="R211" s="230"/>
      <c r="S211" s="230"/>
      <c r="T211" s="247"/>
      <c r="U211" s="247"/>
      <c r="V211" s="247"/>
      <c r="W211" s="247"/>
      <c r="X211" s="247"/>
      <c r="Y211" s="247"/>
      <c r="Z211" s="247"/>
      <c r="AA211" s="247"/>
      <c r="AB211" s="247"/>
      <c r="AC211" s="247"/>
      <c r="AD211" s="247"/>
      <c r="AE211" s="247"/>
      <c r="AF211" s="611" t="e">
        <f t="shared" si="86"/>
        <v>#N/A</v>
      </c>
      <c r="AG211" s="611" t="e">
        <f t="shared" si="86"/>
        <v>#N/A</v>
      </c>
      <c r="AH211" s="611" t="e">
        <f t="shared" si="86"/>
        <v>#N/A</v>
      </c>
      <c r="AI211" s="611" t="e">
        <f t="shared" si="86"/>
        <v>#N/A</v>
      </c>
      <c r="AJ211" s="611" t="e">
        <f t="shared" si="86"/>
        <v>#N/A</v>
      </c>
      <c r="AK211" s="611" t="e">
        <f t="shared" si="86"/>
        <v>#N/A</v>
      </c>
      <c r="AL211" s="611" t="e">
        <f t="shared" si="86"/>
        <v>#N/A</v>
      </c>
      <c r="AM211" s="611" t="e">
        <f t="shared" si="86"/>
        <v>#N/A</v>
      </c>
      <c r="AN211" s="611" t="e">
        <f t="shared" si="86"/>
        <v>#N/A</v>
      </c>
      <c r="AO211" s="611" t="e">
        <f t="shared" si="86"/>
        <v>#N/A</v>
      </c>
      <c r="AP211" s="611" t="e">
        <f t="shared" si="86"/>
        <v>#N/A</v>
      </c>
      <c r="AQ211" s="611" t="e">
        <f t="shared" si="86"/>
        <v>#N/A</v>
      </c>
      <c r="AR211" s="611">
        <v>0.13396674085597282</v>
      </c>
      <c r="AS211" s="611">
        <v>0.13117510062412038</v>
      </c>
      <c r="AT211" s="611">
        <v>0.12797487963792584</v>
      </c>
      <c r="AU211" s="611">
        <v>0.12501137717525751</v>
      </c>
      <c r="AV211" s="611">
        <v>0.1208889639299735</v>
      </c>
      <c r="AW211" s="611">
        <v>0.11661561045726443</v>
      </c>
      <c r="AX211" s="611">
        <v>0.11200107996297229</v>
      </c>
      <c r="AY211" s="611">
        <v>0.10364075602158423</v>
      </c>
      <c r="AZ211" s="611">
        <v>9.7766030665587242E-2</v>
      </c>
      <c r="BA211" s="611">
        <v>9.2826954551495824E-2</v>
      </c>
      <c r="BB211" s="611">
        <v>8.8606359399844042E-2</v>
      </c>
      <c r="BC211" s="611">
        <v>8.5530573240959196E-2</v>
      </c>
      <c r="BD211" s="611">
        <v>8.3328614612062521E-2</v>
      </c>
      <c r="BE211" s="611">
        <v>8.133258463968028E-2</v>
      </c>
      <c r="BF211" s="611">
        <v>8.1900093388385137E-2</v>
      </c>
      <c r="BG211" s="611">
        <v>8.2448602466080767E-2</v>
      </c>
      <c r="BH211" s="611">
        <v>8.289751090636259E-2</v>
      </c>
      <c r="BI211" s="611">
        <v>8.3227633371072071E-2</v>
      </c>
      <c r="BJ211" s="611">
        <v>8.3440516456346453E-2</v>
      </c>
      <c r="BK211" s="611">
        <v>8.3758106379048514E-2</v>
      </c>
      <c r="BL211" s="611">
        <v>8.4018859070502674E-2</v>
      </c>
      <c r="BM211" s="611">
        <v>8.4238885052224266E-2</v>
      </c>
      <c r="BN211" s="611">
        <v>8.443041998820007E-2</v>
      </c>
      <c r="BO211" s="611">
        <v>8.4611465388557155E-2</v>
      </c>
      <c r="BP211" s="611">
        <v>8.4789895475811172E-2</v>
      </c>
      <c r="BQ211" s="611">
        <v>8.4968499488643975E-2</v>
      </c>
      <c r="BR211" s="611">
        <v>8.5147639128758099E-2</v>
      </c>
      <c r="BS211" s="611">
        <v>8.5326605812560963E-2</v>
      </c>
      <c r="BT211" s="611">
        <v>8.5505355729114926E-2</v>
      </c>
      <c r="BU211" s="611">
        <v>8.5683372469121291E-2</v>
      </c>
      <c r="BV211" s="611">
        <v>8.5860044924124163E-2</v>
      </c>
      <c r="BW211" s="611">
        <v>8.6034816924872554E-2</v>
      </c>
      <c r="BX211" s="611">
        <v>8.6207281059352395E-2</v>
      </c>
      <c r="BY211" s="611">
        <v>8.6377164764844278E-2</v>
      </c>
      <c r="BZ211" s="611">
        <v>8.6544293214318932E-2</v>
      </c>
      <c r="CA211" s="611">
        <v>8.670855588373938E-2</v>
      </c>
      <c r="CB211" s="611">
        <v>8.6869882551665764E-2</v>
      </c>
      <c r="CC211" s="611">
        <v>8.7028233308354269E-2</v>
      </c>
      <c r="CD211" s="611">
        <v>8.7183589463628988E-2</v>
      </c>
      <c r="CE211" s="611">
        <v>8.7335947207110257E-2</v>
      </c>
      <c r="CF211" s="611">
        <v>8.7485313600019668E-2</v>
      </c>
      <c r="CG211" s="611">
        <v>8.7631704358487703E-2</v>
      </c>
      <c r="CH211" s="611">
        <v>8.7775142561047487E-2</v>
      </c>
      <c r="CI211" s="611">
        <v>8.7915657722918747E-2</v>
      </c>
      <c r="CJ211" s="611">
        <v>8.8053284975785961E-2</v>
      </c>
      <c r="CK211" s="611">
        <v>8.8188064266172483E-2</v>
      </c>
      <c r="CL211" s="611">
        <v>8.8320039595321684E-2</v>
      </c>
      <c r="CM211" s="611">
        <v>8.8449258305087958E-2</v>
      </c>
      <c r="CN211" s="611">
        <v>8.8575770417481797E-2</v>
      </c>
      <c r="CO211" s="611">
        <v>8.8699628035846537E-2</v>
      </c>
      <c r="CP211" s="611">
        <v>8.8820884813832268E-2</v>
      </c>
      <c r="CQ211" s="611">
        <v>8.8939595493545825E-2</v>
      </c>
      <c r="CR211" s="611">
        <v>8.9055815509698821E-2</v>
      </c>
      <c r="CS211" s="611">
        <v>8.9169600653688924E-2</v>
      </c>
      <c r="CT211" s="611">
        <v>8.9281006790358206E-2</v>
      </c>
      <c r="CU211" s="611">
        <v>8.9390089620320773E-2</v>
      </c>
      <c r="CV211" s="611">
        <v>8.949690448136341E-2</v>
      </c>
      <c r="CW211" s="611">
        <v>8.9601506183203006E-2</v>
      </c>
      <c r="CX211" s="611">
        <v>8.9703948870691566E-2</v>
      </c>
      <c r="CY211" s="611">
        <v>8.9804285911314272E-2</v>
      </c>
    </row>
    <row r="212" spans="1:103">
      <c r="A212" s="230"/>
      <c r="B212" s="230" t="s">
        <v>814</v>
      </c>
      <c r="C212" s="229"/>
      <c r="D212" s="126"/>
      <c r="E212" s="609"/>
      <c r="F212" s="251"/>
      <c r="G212" s="609" t="s">
        <v>736</v>
      </c>
      <c r="H212" s="203"/>
      <c r="I212" s="232"/>
      <c r="J212" s="232"/>
      <c r="K212" s="232"/>
      <c r="L212" s="230"/>
      <c r="M212" s="230"/>
      <c r="N212" s="230"/>
      <c r="O212" s="230"/>
      <c r="P212" s="230"/>
      <c r="Q212" s="230"/>
      <c r="R212" s="230"/>
      <c r="S212" s="230"/>
      <c r="T212" s="247"/>
      <c r="U212" s="247"/>
      <c r="V212" s="247"/>
      <c r="W212" s="247"/>
      <c r="X212" s="247"/>
      <c r="Y212" s="247"/>
      <c r="Z212" s="247"/>
      <c r="AA212" s="247"/>
      <c r="AB212" s="247"/>
      <c r="AC212" s="247"/>
      <c r="AD212" s="247"/>
      <c r="AE212" s="247"/>
      <c r="AF212" s="610">
        <f>AF193</f>
        <v>-0.236865248</v>
      </c>
      <c r="AG212" s="610">
        <f t="shared" ref="AG212:AQ212" si="87">AF212+AG193</f>
        <v>-0.20528775900000001</v>
      </c>
      <c r="AH212" s="610">
        <f t="shared" si="87"/>
        <v>-0.47798125600000002</v>
      </c>
      <c r="AI212" s="610">
        <f t="shared" si="87"/>
        <v>-0.632047892</v>
      </c>
      <c r="AJ212" s="610">
        <f t="shared" si="87"/>
        <v>-0.80007576899999999</v>
      </c>
      <c r="AK212" s="610">
        <f t="shared" si="87"/>
        <v>-1.103869548</v>
      </c>
      <c r="AL212" s="610">
        <f t="shared" si="87"/>
        <v>-1.463058765</v>
      </c>
      <c r="AM212" s="610">
        <f t="shared" si="87"/>
        <v>-1.7970040539999999</v>
      </c>
      <c r="AN212" s="610">
        <f t="shared" si="87"/>
        <v>-2.2541345919999998</v>
      </c>
      <c r="AO212" s="267">
        <f t="shared" si="87"/>
        <v>-9.4180314308826549</v>
      </c>
      <c r="AP212" s="267">
        <f t="shared" si="87"/>
        <v>-17.91315504689787</v>
      </c>
      <c r="AQ212" s="267">
        <f t="shared" si="87"/>
        <v>-27.748556541407744</v>
      </c>
      <c r="AR212" s="267">
        <v>-2.4327676584000142</v>
      </c>
      <c r="AS212" s="267">
        <v>-3.5526819868222019</v>
      </c>
      <c r="AT212" s="267">
        <v>-4.8079793719653683</v>
      </c>
      <c r="AU212" s="267">
        <v>-6.1627106028331866</v>
      </c>
      <c r="AV212" s="267">
        <v>-7.6280431454921773</v>
      </c>
      <c r="AW212" s="267">
        <v>-9.1503169348731284</v>
      </c>
      <c r="AX212" s="267">
        <v>-10.754649126848069</v>
      </c>
      <c r="AY212" s="267">
        <v>-12.335457742300386</v>
      </c>
      <c r="AZ212" s="267">
        <v>-13.976898054171613</v>
      </c>
      <c r="BA212" s="267">
        <v>-15.702085085975234</v>
      </c>
      <c r="BB212" s="267">
        <v>-17.419260421377146</v>
      </c>
      <c r="BC212" s="267">
        <v>-19.176665212814989</v>
      </c>
      <c r="BD212" s="267">
        <v>-1.8309053237233319</v>
      </c>
      <c r="BE212" s="267">
        <v>-3.6127721497023133</v>
      </c>
      <c r="BF212" s="267">
        <v>-5.2865756914818069</v>
      </c>
      <c r="BG212" s="267">
        <v>-7.0688185959335677</v>
      </c>
      <c r="BH212" s="267">
        <v>-8.9687196594095013</v>
      </c>
      <c r="BI212" s="267">
        <v>-10.989564472922609</v>
      </c>
      <c r="BJ212" s="267">
        <v>-13.119601991416555</v>
      </c>
      <c r="BK212" s="267">
        <v>-15.348719927654578</v>
      </c>
      <c r="BL212" s="267">
        <v>-17.698780722668342</v>
      </c>
      <c r="BM212" s="267">
        <v>-20.171332022768375</v>
      </c>
      <c r="BN212" s="267">
        <v>-22.768098165929842</v>
      </c>
      <c r="BO212" s="267">
        <v>-25.490628699646852</v>
      </c>
      <c r="BP212" s="267">
        <v>-2.8513324231347736</v>
      </c>
      <c r="BQ212" s="267">
        <v>-5.8352729591207577</v>
      </c>
      <c r="BR212" s="267">
        <v>-8.9560011799760808</v>
      </c>
      <c r="BS212" s="267">
        <v>-12.217763529994478</v>
      </c>
      <c r="BT212" s="267">
        <v>-15.624734709704745</v>
      </c>
      <c r="BU212" s="267">
        <v>-19.181184502805877</v>
      </c>
      <c r="BV212" s="267">
        <v>-22.891408985361597</v>
      </c>
      <c r="BW212" s="267">
        <v>-26.759698327981702</v>
      </c>
      <c r="BX212" s="267">
        <v>-30.790319788760574</v>
      </c>
      <c r="BY212" s="267">
        <v>-34.987520443410759</v>
      </c>
      <c r="BZ212" s="267">
        <v>-39.355534258306172</v>
      </c>
      <c r="CA212" s="267">
        <v>-43.898588369427621</v>
      </c>
      <c r="CB212" s="267">
        <v>-4.7223183254464161</v>
      </c>
      <c r="CC212" s="267">
        <v>-9.6281228365786014</v>
      </c>
      <c r="CD212" s="267">
        <v>-14.721634898073386</v>
      </c>
      <c r="CE212" s="267">
        <v>-20.007076122122122</v>
      </c>
      <c r="CF212" s="267">
        <v>-25.48866874256985</v>
      </c>
      <c r="CG212" s="267">
        <v>-31.170635626603008</v>
      </c>
      <c r="CH212" s="267">
        <v>-37.057200128761728</v>
      </c>
      <c r="CI212" s="267">
        <v>-43.152585920252562</v>
      </c>
      <c r="CJ212" s="267">
        <v>-49.461016853114344</v>
      </c>
      <c r="CK212" s="267">
        <v>-55.98671686874718</v>
      </c>
      <c r="CL212" s="267">
        <v>-62.733909938098144</v>
      </c>
      <c r="CM212" s="267">
        <v>-69.706820027630073</v>
      </c>
      <c r="CN212" s="267">
        <v>-7.2028510568124302</v>
      </c>
      <c r="CO212" s="267">
        <v>-14.639867006008686</v>
      </c>
      <c r="CP212" s="267">
        <v>-22.315271754178578</v>
      </c>
      <c r="CQ212" s="267">
        <v>-30.233289194795447</v>
      </c>
      <c r="CR212" s="267">
        <v>-38.398143213269371</v>
      </c>
      <c r="CS212" s="267">
        <v>-46.814057690805917</v>
      </c>
      <c r="CT212" s="267">
        <v>-55.485256506983575</v>
      </c>
      <c r="CU212" s="267">
        <v>-64.415963541247564</v>
      </c>
      <c r="CV212" s="267">
        <v>-73.610402673611517</v>
      </c>
      <c r="CW212" s="267">
        <v>-83.072797784857357</v>
      </c>
      <c r="CX212" s="267">
        <v>-92.807372756467316</v>
      </c>
      <c r="CY212" s="267">
        <v>-102.81835147045052</v>
      </c>
    </row>
    <row r="213" spans="1:103">
      <c r="A213" s="230"/>
      <c r="B213" s="230" t="s">
        <v>815</v>
      </c>
      <c r="C213" s="229"/>
      <c r="D213" s="126"/>
      <c r="E213" s="609"/>
      <c r="F213" s="251"/>
      <c r="G213" s="609" t="s">
        <v>812</v>
      </c>
      <c r="H213" s="203"/>
      <c r="I213" s="232"/>
      <c r="J213" s="232"/>
      <c r="K213" s="232"/>
      <c r="L213" s="230"/>
      <c r="M213" s="230"/>
      <c r="N213" s="230"/>
      <c r="O213" s="230"/>
      <c r="P213" s="230"/>
      <c r="Q213" s="230"/>
      <c r="R213" s="230"/>
      <c r="S213" s="230"/>
      <c r="T213" s="247"/>
      <c r="U213" s="247"/>
      <c r="V213" s="247"/>
      <c r="W213" s="247"/>
      <c r="X213" s="247"/>
      <c r="Y213" s="247"/>
      <c r="Z213" s="247"/>
      <c r="AA213" s="247"/>
      <c r="AB213" s="247"/>
      <c r="AC213" s="247"/>
      <c r="AD213" s="247"/>
      <c r="AE213" s="247"/>
      <c r="AF213" s="607">
        <f>AF212/AVERAGE($AE169:AF169)</f>
        <v>-1.9185092636663754E-2</v>
      </c>
      <c r="AG213" s="607">
        <f>AG212/AVERAGE($AE169:AG169)</f>
        <v>-1.5340200679131095E-2</v>
      </c>
      <c r="AH213" s="607">
        <f>AH212/AVERAGE($AE169:AH169)</f>
        <v>-3.1338212303427537E-2</v>
      </c>
      <c r="AI213" s="607">
        <f>AI212/AVERAGE($AE169:AI169)</f>
        <v>-3.7345042750164648E-2</v>
      </c>
      <c r="AJ213" s="607">
        <f>AJ212/AVERAGE($AE169:AJ169)</f>
        <v>-4.3786974080573041E-2</v>
      </c>
      <c r="AK213" s="607">
        <f>AK212/AVERAGE($AE169:AK169)</f>
        <v>-5.595537974675064E-2</v>
      </c>
      <c r="AL213" s="607">
        <f>AL212/AVERAGE($AE169:AL169)</f>
        <v>-6.7731450942330018E-2</v>
      </c>
      <c r="AM213" s="607">
        <f>AM212/AVERAGE($AE169:AM169)</f>
        <v>-7.4345186221839152E-2</v>
      </c>
      <c r="AN213" s="607">
        <f>AN212/AVERAGE($AE169:AN169)</f>
        <v>-8.4470523057069355E-2</v>
      </c>
      <c r="AO213" s="611">
        <f>AO212/AVERAGE($AE169:AO169)</f>
        <v>-0.32515887236533259</v>
      </c>
      <c r="AP213" s="611">
        <f>AP212/AVERAGE($AE169:AP169)</f>
        <v>-0.62125936324459252</v>
      </c>
      <c r="AQ213" s="611">
        <f>AQ212/AVERAGE($AE169:AQ169)</f>
        <v>-1.0006711990652404</v>
      </c>
      <c r="AR213" s="611">
        <v>-3.9736934303081478E-2</v>
      </c>
      <c r="AS213" s="611">
        <v>-5.6326287247134961E-2</v>
      </c>
      <c r="AT213" s="611">
        <v>-7.3608848710230879E-2</v>
      </c>
      <c r="AU213" s="611">
        <v>-9.0952386335799468E-2</v>
      </c>
      <c r="AV213" s="611">
        <v>-0.10849057894893788</v>
      </c>
      <c r="AW213" s="611">
        <v>-0.12538353916463094</v>
      </c>
      <c r="AX213" s="611">
        <v>-0.141993296117218</v>
      </c>
      <c r="AY213" s="611">
        <v>-0.15693128131286488</v>
      </c>
      <c r="AZ213" s="611">
        <v>-0.17135652878983934</v>
      </c>
      <c r="BA213" s="611">
        <v>-0.18556227511003728</v>
      </c>
      <c r="BB213" s="611">
        <v>-0.19848684675380249</v>
      </c>
      <c r="BC213" s="611">
        <v>-0.21074342056769929</v>
      </c>
      <c r="BD213" s="611">
        <v>-1.3720401176913574E-2</v>
      </c>
      <c r="BE213" s="611">
        <v>-2.635539655884676E-2</v>
      </c>
      <c r="BF213" s="611">
        <v>-3.7535436909481974E-2</v>
      </c>
      <c r="BG213" s="611">
        <v>-4.8866161162044175E-2</v>
      </c>
      <c r="BH213" s="611">
        <v>-6.0387157100902443E-2</v>
      </c>
      <c r="BI213" s="611">
        <v>-7.2090101170083673E-2</v>
      </c>
      <c r="BJ213" s="611">
        <v>-8.3868422756772865E-2</v>
      </c>
      <c r="BK213" s="611">
        <v>-9.563177181664019E-2</v>
      </c>
      <c r="BL213" s="611">
        <v>-0.10749574197231269</v>
      </c>
      <c r="BM213" s="611">
        <v>-0.11944319904413418</v>
      </c>
      <c r="BN213" s="611">
        <v>-0.13145905064191946</v>
      </c>
      <c r="BO213" s="611">
        <v>-0.14352816198091498</v>
      </c>
      <c r="BP213" s="611">
        <v>-1.2108362448937858E-2</v>
      </c>
      <c r="BQ213" s="611">
        <v>-2.4252566776638236E-2</v>
      </c>
      <c r="BR213" s="611">
        <v>-3.6433583731443973E-2</v>
      </c>
      <c r="BS213" s="611">
        <v>-4.8652526717743179E-2</v>
      </c>
      <c r="BT213" s="611">
        <v>-6.0910068173294959E-2</v>
      </c>
      <c r="BU213" s="611">
        <v>-7.3207117892207824E-2</v>
      </c>
      <c r="BV213" s="611">
        <v>-8.5544535749888434E-2</v>
      </c>
      <c r="BW213" s="611">
        <v>-9.7923012764873502E-2</v>
      </c>
      <c r="BX213" s="611">
        <v>-0.11034302178331688</v>
      </c>
      <c r="BY213" s="611">
        <v>-0.12280484567679634</v>
      </c>
      <c r="BZ213" s="611">
        <v>-0.13530861905566416</v>
      </c>
      <c r="CA213" s="611">
        <v>-0.14785436362636006</v>
      </c>
      <c r="CB213" s="611">
        <v>-1.2554045900206775E-2</v>
      </c>
      <c r="CC213" s="611">
        <v>-2.5142235122733725E-2</v>
      </c>
      <c r="CD213" s="611">
        <v>-3.7764647273465124E-2</v>
      </c>
      <c r="CE213" s="611">
        <v>-5.0421309083703472E-2</v>
      </c>
      <c r="CF213" s="611">
        <v>-6.3112199851696457E-2</v>
      </c>
      <c r="CG213" s="611">
        <v>-7.5837255582871868E-2</v>
      </c>
      <c r="CH213" s="611">
        <v>-8.8596372457120751E-2</v>
      </c>
      <c r="CI213" s="611">
        <v>-0.10138941000647887</v>
      </c>
      <c r="CJ213" s="611">
        <v>-0.11421619416701259</v>
      </c>
      <c r="CK213" s="611">
        <v>-0.12707652023202154</v>
      </c>
      <c r="CL213" s="611">
        <v>-0.13997015567860516</v>
      </c>
      <c r="CM213" s="611">
        <v>-0.15289684285794453</v>
      </c>
      <c r="CN213" s="611">
        <v>-1.5533004106998725E-2</v>
      </c>
      <c r="CO213" s="611">
        <v>-3.1042290012545336E-2</v>
      </c>
      <c r="CP213" s="611">
        <v>-4.6528857806065083E-2</v>
      </c>
      <c r="CQ213" s="611">
        <v>-6.1993668258537006E-2</v>
      </c>
      <c r="CR213" s="611">
        <v>-7.7437644206294592E-2</v>
      </c>
      <c r="CS213" s="611">
        <v>-9.2861671904936868E-2</v>
      </c>
      <c r="CT213" s="611">
        <v>-0.10826660235121953</v>
      </c>
      <c r="CU213" s="611">
        <v>-0.12365325257179786</v>
      </c>
      <c r="CV213" s="611">
        <v>-0.13902240687820427</v>
      </c>
      <c r="CW213" s="611">
        <v>-0.15437481808770206</v>
      </c>
      <c r="CX213" s="611">
        <v>-0.16971120870977727</v>
      </c>
      <c r="CY213" s="611">
        <v>-0.18503227209809969</v>
      </c>
    </row>
    <row r="214" spans="1:103">
      <c r="A214" s="230"/>
      <c r="B214" s="230"/>
      <c r="C214" s="230"/>
      <c r="D214" s="230"/>
      <c r="E214" s="230"/>
      <c r="F214" s="230"/>
      <c r="G214" s="230"/>
      <c r="H214" s="203"/>
      <c r="I214" s="232"/>
      <c r="J214" s="232"/>
      <c r="K214" s="232"/>
      <c r="L214" s="230"/>
      <c r="M214" s="230"/>
      <c r="N214" s="230"/>
      <c r="O214" s="230"/>
      <c r="P214" s="230"/>
      <c r="Q214" s="230"/>
      <c r="R214" s="230"/>
      <c r="S214" s="230"/>
      <c r="T214" s="247"/>
      <c r="U214" s="247"/>
      <c r="V214" s="247"/>
      <c r="W214" s="247"/>
      <c r="X214" s="247"/>
      <c r="Y214" s="247"/>
      <c r="Z214" s="247"/>
      <c r="AA214" s="247"/>
      <c r="AB214" s="247"/>
      <c r="AC214" s="247"/>
      <c r="AD214" s="247"/>
      <c r="AE214" s="247"/>
      <c r="AF214" s="247"/>
      <c r="AG214" s="247"/>
      <c r="AH214" s="247"/>
      <c r="AI214" s="247"/>
      <c r="AJ214" s="247"/>
      <c r="AK214" s="247"/>
      <c r="AL214" s="247"/>
      <c r="AM214" s="247"/>
      <c r="AN214" s="247"/>
      <c r="AO214" s="247"/>
      <c r="AP214" s="247"/>
      <c r="AQ214" s="247"/>
      <c r="AR214" s="247"/>
      <c r="AS214" s="247"/>
      <c r="AT214" s="247"/>
      <c r="AU214" s="247"/>
      <c r="AV214" s="247"/>
      <c r="AW214" s="247"/>
      <c r="AX214" s="247"/>
      <c r="AY214" s="247"/>
      <c r="AZ214" s="247"/>
      <c r="BA214" s="247"/>
      <c r="BB214" s="247"/>
      <c r="BC214" s="247"/>
      <c r="BD214" s="247"/>
      <c r="BE214" s="247"/>
      <c r="BF214" s="247"/>
      <c r="BG214" s="247"/>
      <c r="BH214" s="247"/>
      <c r="BI214" s="247"/>
      <c r="BJ214" s="247"/>
      <c r="BK214" s="247"/>
      <c r="BL214" s="247"/>
      <c r="BM214" s="247"/>
      <c r="BN214" s="247"/>
      <c r="BO214" s="247"/>
      <c r="BP214" s="247"/>
      <c r="BQ214" s="247"/>
      <c r="BR214" s="247"/>
      <c r="BS214" s="247"/>
      <c r="BT214" s="247"/>
      <c r="BU214" s="247"/>
      <c r="BV214" s="247"/>
      <c r="BW214" s="247"/>
      <c r="BX214" s="247"/>
      <c r="BY214" s="247"/>
      <c r="BZ214" s="247"/>
      <c r="CA214" s="247"/>
      <c r="CB214" s="247"/>
      <c r="CC214" s="247"/>
      <c r="CD214" s="247"/>
      <c r="CE214" s="247"/>
      <c r="CF214" s="247"/>
      <c r="CG214" s="247"/>
      <c r="CH214" s="247"/>
      <c r="CI214" s="247"/>
      <c r="CJ214" s="247"/>
      <c r="CK214" s="247"/>
      <c r="CL214" s="247"/>
      <c r="CM214" s="247"/>
      <c r="CN214" s="247"/>
      <c r="CO214" s="247"/>
      <c r="CP214" s="247"/>
      <c r="CQ214" s="247"/>
      <c r="CR214" s="247"/>
      <c r="CS214" s="247"/>
      <c r="CT214" s="247"/>
      <c r="CU214" s="247"/>
      <c r="CV214" s="247"/>
      <c r="CW214" s="247"/>
      <c r="CX214" s="247"/>
      <c r="CY214" s="247"/>
    </row>
    <row r="215" spans="1:103" ht="18">
      <c r="A215" s="229"/>
      <c r="B215" s="585" t="s">
        <v>881</v>
      </c>
      <c r="C215" s="272"/>
      <c r="D215" s="272"/>
      <c r="E215" s="219"/>
      <c r="F215" s="219"/>
      <c r="G215" s="220"/>
      <c r="H215" s="203"/>
      <c r="I215" s="203"/>
      <c r="J215" s="203"/>
      <c r="K215" s="203"/>
      <c r="L215" s="229"/>
      <c r="M215" s="229"/>
      <c r="N215" s="229"/>
      <c r="O215" s="229"/>
      <c r="P215" s="229"/>
      <c r="Q215" s="229"/>
      <c r="R215" s="229"/>
      <c r="S215" s="229"/>
      <c r="T215" s="275"/>
      <c r="U215" s="275"/>
      <c r="V215" s="275"/>
      <c r="W215" s="275"/>
      <c r="X215" s="275"/>
      <c r="Y215" s="275"/>
      <c r="Z215" s="237"/>
      <c r="AA215" s="237"/>
      <c r="AB215" s="237"/>
      <c r="AC215" s="237"/>
      <c r="AD215" s="237"/>
      <c r="AE215" s="237"/>
      <c r="AF215" s="237"/>
      <c r="AG215" s="237"/>
      <c r="AH215" s="237"/>
      <c r="AI215" s="237"/>
      <c r="AJ215" s="237"/>
      <c r="AK215" s="237"/>
      <c r="AL215" s="237"/>
      <c r="AM215" s="237"/>
      <c r="AN215" s="237"/>
      <c r="AO215" s="237"/>
      <c r="AP215" s="237"/>
      <c r="AQ215" s="237"/>
      <c r="AR215" s="237"/>
      <c r="AS215" s="237"/>
      <c r="AT215" s="237"/>
      <c r="AU215" s="237"/>
      <c r="AV215" s="237"/>
      <c r="AW215" s="237"/>
      <c r="AX215" s="237"/>
      <c r="AY215" s="237"/>
      <c r="AZ215" s="237"/>
      <c r="BA215" s="237"/>
      <c r="BB215" s="237"/>
      <c r="BC215" s="237"/>
      <c r="BD215" s="237"/>
      <c r="BE215" s="237"/>
      <c r="BF215" s="237"/>
      <c r="BG215" s="237"/>
      <c r="BH215" s="237"/>
      <c r="BI215" s="237"/>
      <c r="BJ215" s="237"/>
      <c r="BK215" s="237"/>
      <c r="BL215" s="237"/>
      <c r="BM215" s="237"/>
      <c r="BN215" s="237"/>
      <c r="BO215" s="237"/>
      <c r="BP215" s="237"/>
      <c r="BQ215" s="237"/>
      <c r="BR215" s="237"/>
      <c r="BS215" s="237"/>
      <c r="BT215" s="237"/>
      <c r="BU215" s="237"/>
      <c r="BV215" s="237"/>
      <c r="BW215" s="237"/>
      <c r="BX215" s="237"/>
      <c r="BY215" s="237"/>
      <c r="BZ215" s="237"/>
      <c r="CA215" s="237"/>
      <c r="CB215" s="237"/>
      <c r="CC215" s="237"/>
      <c r="CD215" s="237"/>
      <c r="CE215" s="237"/>
      <c r="CF215" s="237"/>
      <c r="CG215" s="237"/>
      <c r="CH215" s="237"/>
      <c r="CI215" s="237"/>
      <c r="CJ215" s="237"/>
      <c r="CK215" s="237"/>
      <c r="CL215" s="237"/>
      <c r="CM215" s="237"/>
      <c r="CN215" s="237"/>
      <c r="CO215" s="237"/>
      <c r="CP215" s="237"/>
      <c r="CQ215" s="237"/>
      <c r="CR215" s="237"/>
      <c r="CS215" s="237"/>
      <c r="CT215" s="237"/>
      <c r="CU215" s="237"/>
      <c r="CV215" s="237"/>
      <c r="CW215" s="237"/>
      <c r="CX215" s="237"/>
      <c r="CY215" s="237"/>
    </row>
    <row r="216" spans="1:103">
      <c r="A216" s="229"/>
      <c r="B216" s="230" t="s">
        <v>416</v>
      </c>
      <c r="C216" s="230"/>
      <c r="D216" s="230"/>
      <c r="E216" s="232"/>
      <c r="F216" s="232"/>
      <c r="G216" s="587" t="s">
        <v>743</v>
      </c>
      <c r="H216" s="203"/>
      <c r="I216" s="203"/>
      <c r="J216" s="203"/>
      <c r="K216" s="203"/>
      <c r="L216" s="229"/>
      <c r="M216" s="229"/>
      <c r="N216" s="229"/>
      <c r="O216" s="229"/>
      <c r="P216" s="229"/>
      <c r="Q216" s="229"/>
      <c r="R216" s="229"/>
      <c r="S216" s="229"/>
      <c r="T216" s="594"/>
      <c r="U216" s="594"/>
      <c r="V216" s="594"/>
      <c r="W216" s="594"/>
      <c r="X216" s="594"/>
      <c r="Y216" s="594"/>
      <c r="Z216" s="594"/>
      <c r="AA216" s="594"/>
      <c r="AB216" s="594"/>
      <c r="AC216" s="594"/>
      <c r="AD216" s="594"/>
      <c r="AE216" s="594"/>
      <c r="AF216" s="594">
        <v>0</v>
      </c>
      <c r="AG216" s="594">
        <v>8.0000000000000002E-3</v>
      </c>
      <c r="AH216" s="594">
        <v>7.0000000000000007E-2</v>
      </c>
      <c r="AI216" s="594">
        <v>0.21299999999999999</v>
      </c>
      <c r="AJ216" s="594">
        <v>0.21299999999999999</v>
      </c>
      <c r="AK216" s="601">
        <v>0.114</v>
      </c>
      <c r="AL216" s="601">
        <v>0.109</v>
      </c>
      <c r="AM216" s="601">
        <v>0.13300000000000001</v>
      </c>
      <c r="AN216" s="601">
        <v>0.11799999999999999</v>
      </c>
      <c r="AO216" s="601">
        <v>0.13800000000000001</v>
      </c>
      <c r="AP216" s="642">
        <f>AO216+($AQ216-$AK216)/6</f>
        <v>0.20233333333333337</v>
      </c>
      <c r="AQ216" s="645">
        <v>0.5</v>
      </c>
      <c r="AR216" s="642">
        <v>0.56666666666666665</v>
      </c>
      <c r="AS216" s="642">
        <v>0.6333333333333333</v>
      </c>
      <c r="AT216" s="642">
        <v>0.7</v>
      </c>
      <c r="AU216" s="642">
        <v>0.76666666666666661</v>
      </c>
      <c r="AV216" s="642">
        <v>0.83333333333333326</v>
      </c>
      <c r="AW216" s="642">
        <v>0.89999999999999991</v>
      </c>
      <c r="AX216" s="642">
        <v>0.96666666666666656</v>
      </c>
      <c r="AY216" s="642">
        <v>1.0333333333333332</v>
      </c>
      <c r="AZ216" s="642">
        <v>1.0999999999999999</v>
      </c>
      <c r="BA216" s="642">
        <v>1.1666666666666665</v>
      </c>
      <c r="BB216" s="642">
        <v>1.2333333333333332</v>
      </c>
      <c r="BC216" s="645">
        <v>1.3</v>
      </c>
      <c r="BD216" s="642">
        <v>1.35</v>
      </c>
      <c r="BE216" s="642">
        <v>1.4000000000000001</v>
      </c>
      <c r="BF216" s="642">
        <v>1.4500000000000002</v>
      </c>
      <c r="BG216" s="642">
        <v>1.5000000000000002</v>
      </c>
      <c r="BH216" s="642">
        <v>1.5500000000000003</v>
      </c>
      <c r="BI216" s="642">
        <v>1.6000000000000003</v>
      </c>
      <c r="BJ216" s="642">
        <v>1.6500000000000004</v>
      </c>
      <c r="BK216" s="642">
        <v>1.7000000000000004</v>
      </c>
      <c r="BL216" s="642">
        <v>1.7500000000000004</v>
      </c>
      <c r="BM216" s="642">
        <v>1.8000000000000005</v>
      </c>
      <c r="BN216" s="642">
        <v>1.8500000000000005</v>
      </c>
      <c r="BO216" s="645">
        <v>1.9</v>
      </c>
      <c r="BP216" s="642">
        <v>1.95</v>
      </c>
      <c r="BQ216" s="642">
        <v>2</v>
      </c>
      <c r="BR216" s="642">
        <v>2.0499999999999998</v>
      </c>
      <c r="BS216" s="642">
        <v>2.0999999999999996</v>
      </c>
      <c r="BT216" s="642">
        <v>2.1499999999999995</v>
      </c>
      <c r="BU216" s="642">
        <v>2.1999999999999993</v>
      </c>
      <c r="BV216" s="642">
        <v>2.2499999999999991</v>
      </c>
      <c r="BW216" s="642">
        <v>2.2999999999999989</v>
      </c>
      <c r="BX216" s="642">
        <v>2.3499999999999988</v>
      </c>
      <c r="BY216" s="642">
        <v>2.3999999999999986</v>
      </c>
      <c r="BZ216" s="642">
        <v>2.4499999999999984</v>
      </c>
      <c r="CA216" s="645">
        <v>2.5</v>
      </c>
      <c r="CB216" s="642">
        <v>2.5499999999999998</v>
      </c>
      <c r="CC216" s="642">
        <v>2.5999999999999996</v>
      </c>
      <c r="CD216" s="642">
        <v>2.6499999999999995</v>
      </c>
      <c r="CE216" s="642">
        <v>2.6999999999999993</v>
      </c>
      <c r="CF216" s="642">
        <v>2.7499999999999991</v>
      </c>
      <c r="CG216" s="642">
        <v>2.7999999999999989</v>
      </c>
      <c r="CH216" s="642">
        <v>2.8499999999999988</v>
      </c>
      <c r="CI216" s="642">
        <v>2.8999999999999986</v>
      </c>
      <c r="CJ216" s="642">
        <v>2.9499999999999984</v>
      </c>
      <c r="CK216" s="642">
        <v>2.9999999999999982</v>
      </c>
      <c r="CL216" s="642">
        <v>3.049999999999998</v>
      </c>
      <c r="CM216" s="645">
        <v>3.1</v>
      </c>
      <c r="CN216" s="617">
        <v>3.1333333333333333</v>
      </c>
      <c r="CO216" s="617">
        <v>3.1666666666666665</v>
      </c>
      <c r="CP216" s="617">
        <v>3.1999999999999997</v>
      </c>
      <c r="CQ216" s="617">
        <v>3.2333333333333329</v>
      </c>
      <c r="CR216" s="617">
        <v>3.2666666666666662</v>
      </c>
      <c r="CS216" s="617">
        <v>3.2999999999999994</v>
      </c>
      <c r="CT216" s="617">
        <v>3.3333333333333326</v>
      </c>
      <c r="CU216" s="617">
        <v>3.3666666666666658</v>
      </c>
      <c r="CV216" s="617">
        <v>3.399999999999999</v>
      </c>
      <c r="CW216" s="617">
        <v>3.4333333333333322</v>
      </c>
      <c r="CX216" s="617">
        <v>3.4666666666666655</v>
      </c>
      <c r="CY216" s="645">
        <v>3.5</v>
      </c>
    </row>
    <row r="217" spans="1:103">
      <c r="A217" s="229"/>
      <c r="B217" s="229" t="s">
        <v>862</v>
      </c>
      <c r="C217" s="230" t="s">
        <v>417</v>
      </c>
      <c r="D217" s="230"/>
      <c r="E217" s="232"/>
      <c r="F217" s="232"/>
      <c r="G217" s="587" t="s">
        <v>743</v>
      </c>
      <c r="H217" s="203"/>
      <c r="I217" s="203"/>
      <c r="J217" s="203"/>
      <c r="K217" s="203"/>
      <c r="L217" s="229"/>
      <c r="M217" s="229"/>
      <c r="N217" s="229"/>
      <c r="O217" s="229"/>
      <c r="P217" s="229"/>
      <c r="Q217" s="229"/>
      <c r="R217" s="229"/>
      <c r="S217" s="229"/>
      <c r="T217" s="615"/>
      <c r="U217" s="615"/>
      <c r="V217" s="615"/>
      <c r="W217" s="615"/>
      <c r="X217" s="615"/>
      <c r="Y217" s="615"/>
      <c r="Z217" s="615"/>
      <c r="AA217" s="615"/>
      <c r="AB217" s="615"/>
      <c r="AC217" s="615"/>
      <c r="AD217" s="615"/>
      <c r="AE217" s="615"/>
      <c r="AF217" s="594">
        <v>3.0000000000000001E-3</v>
      </c>
      <c r="AG217" s="594">
        <v>1.0999999999999999E-2</v>
      </c>
      <c r="AH217" s="594">
        <v>8.1000000000000003E-2</v>
      </c>
      <c r="AI217" s="594">
        <v>0.29399999999999998</v>
      </c>
      <c r="AJ217" s="594">
        <v>0.50700000000000001</v>
      </c>
      <c r="AK217" s="601">
        <v>0.621</v>
      </c>
      <c r="AL217" s="601">
        <v>0.73</v>
      </c>
      <c r="AM217" s="601">
        <v>0.86299999999999999</v>
      </c>
      <c r="AN217" s="601">
        <v>0.98099999999999998</v>
      </c>
      <c r="AO217" s="601">
        <v>2.4560000000000004</v>
      </c>
      <c r="AP217" s="642">
        <f t="shared" ref="AP217:AQ217" si="88">AO217+AP216</f>
        <v>2.6583333333333337</v>
      </c>
      <c r="AQ217" s="642">
        <f t="shared" si="88"/>
        <v>3.1583333333333337</v>
      </c>
      <c r="AR217" s="642">
        <v>3.7250000000000005</v>
      </c>
      <c r="AS217" s="642">
        <v>4.3583333333333343</v>
      </c>
      <c r="AT217" s="642">
        <v>5.0583333333333345</v>
      </c>
      <c r="AU217" s="642">
        <v>5.8250000000000011</v>
      </c>
      <c r="AV217" s="642">
        <v>6.6583333333333341</v>
      </c>
      <c r="AW217" s="642">
        <v>7.5583333333333336</v>
      </c>
      <c r="AX217" s="642">
        <v>8.5250000000000004</v>
      </c>
      <c r="AY217" s="642">
        <v>9.5583333333333336</v>
      </c>
      <c r="AZ217" s="642">
        <v>10.658333333333333</v>
      </c>
      <c r="BA217" s="642">
        <v>11.824999999999999</v>
      </c>
      <c r="BB217" s="642">
        <v>13.058333333333332</v>
      </c>
      <c r="BC217" s="642">
        <v>14.358333333333333</v>
      </c>
      <c r="BD217" s="642">
        <v>15.708333333333332</v>
      </c>
      <c r="BE217" s="642">
        <v>17.108333333333331</v>
      </c>
      <c r="BF217" s="642">
        <v>18.55833333333333</v>
      </c>
      <c r="BG217" s="642">
        <v>20.05833333333333</v>
      </c>
      <c r="BH217" s="642">
        <v>21.608333333333331</v>
      </c>
      <c r="BI217" s="642">
        <v>23.208333333333332</v>
      </c>
      <c r="BJ217" s="642">
        <v>24.858333333333334</v>
      </c>
      <c r="BK217" s="642">
        <v>26.558333333333334</v>
      </c>
      <c r="BL217" s="642">
        <v>28.308333333333334</v>
      </c>
      <c r="BM217" s="642">
        <v>30.108333333333334</v>
      </c>
      <c r="BN217" s="642">
        <v>31.958333333333336</v>
      </c>
      <c r="BO217" s="642">
        <v>33.858333333333334</v>
      </c>
      <c r="BP217" s="642">
        <v>35.808333333333337</v>
      </c>
      <c r="BQ217" s="642">
        <v>37.808333333333337</v>
      </c>
      <c r="BR217" s="642">
        <v>39.858333333333334</v>
      </c>
      <c r="BS217" s="642">
        <v>41.958333333333336</v>
      </c>
      <c r="BT217" s="642">
        <v>44.108333333333334</v>
      </c>
      <c r="BU217" s="642">
        <v>46.308333333333337</v>
      </c>
      <c r="BV217" s="642">
        <v>48.558333333333337</v>
      </c>
      <c r="BW217" s="642">
        <v>50.858333333333334</v>
      </c>
      <c r="BX217" s="642">
        <v>53.208333333333336</v>
      </c>
      <c r="BY217" s="642">
        <v>55.608333333333334</v>
      </c>
      <c r="BZ217" s="642">
        <v>58.05833333333333</v>
      </c>
      <c r="CA217" s="642">
        <v>60.55833333333333</v>
      </c>
      <c r="CB217" s="642">
        <v>63.108333333333327</v>
      </c>
      <c r="CC217" s="642">
        <v>65.708333333333329</v>
      </c>
      <c r="CD217" s="642">
        <v>68.358333333333334</v>
      </c>
      <c r="CE217" s="642">
        <v>71.058333333333337</v>
      </c>
      <c r="CF217" s="642">
        <v>73.808333333333337</v>
      </c>
      <c r="CG217" s="642">
        <v>76.608333333333334</v>
      </c>
      <c r="CH217" s="642">
        <v>79.458333333333329</v>
      </c>
      <c r="CI217" s="642">
        <v>82.35833333333332</v>
      </c>
      <c r="CJ217" s="642">
        <v>85.308333333333323</v>
      </c>
      <c r="CK217" s="642">
        <v>88.308333333333323</v>
      </c>
      <c r="CL217" s="642">
        <v>91.35833333333332</v>
      </c>
      <c r="CM217" s="642">
        <v>94.458333333333314</v>
      </c>
      <c r="CN217" s="642">
        <v>97.591666666666654</v>
      </c>
      <c r="CO217" s="642">
        <v>100.75833333333333</v>
      </c>
      <c r="CP217" s="642">
        <v>103.95833333333333</v>
      </c>
      <c r="CQ217" s="642">
        <v>107.19166666666666</v>
      </c>
      <c r="CR217" s="642">
        <v>110.45833333333333</v>
      </c>
      <c r="CS217" s="642">
        <v>113.75833333333333</v>
      </c>
      <c r="CT217" s="642">
        <v>117.09166666666665</v>
      </c>
      <c r="CU217" s="642">
        <v>120.45833333333331</v>
      </c>
      <c r="CV217" s="642">
        <v>123.85833333333332</v>
      </c>
      <c r="CW217" s="642">
        <v>127.29166666666666</v>
      </c>
      <c r="CX217" s="642">
        <v>130.75833333333333</v>
      </c>
      <c r="CY217" s="642">
        <v>134.25833333333333</v>
      </c>
    </row>
    <row r="218" spans="1:103">
      <c r="A218" s="229"/>
      <c r="B218" s="230" t="s">
        <v>863</v>
      </c>
      <c r="C218" s="230"/>
      <c r="D218" s="230"/>
      <c r="E218" s="232"/>
      <c r="F218" s="232"/>
      <c r="G218" s="587" t="s">
        <v>743</v>
      </c>
      <c r="H218" s="203"/>
      <c r="I218" s="203"/>
      <c r="J218" s="203"/>
      <c r="K218" s="203"/>
      <c r="L218" s="229"/>
      <c r="M218" s="229"/>
      <c r="N218" s="229"/>
      <c r="O218" s="229"/>
      <c r="P218" s="229"/>
      <c r="Q218" s="229"/>
      <c r="R218" s="229"/>
      <c r="S218" s="229"/>
      <c r="T218" s="231"/>
      <c r="U218" s="231"/>
      <c r="V218" s="231"/>
      <c r="W218" s="231"/>
      <c r="X218" s="231"/>
      <c r="Y218" s="231"/>
      <c r="Z218" s="231"/>
      <c r="AA218" s="231"/>
      <c r="AB218" s="231"/>
      <c r="AC218" s="231"/>
      <c r="AD218" s="231"/>
      <c r="AE218" s="231"/>
      <c r="AF218" s="594">
        <v>3.0000000000000001E-3</v>
      </c>
      <c r="AG218" s="594">
        <v>8.0000000000000002E-3</v>
      </c>
      <c r="AH218" s="594">
        <v>2.5999999999999999E-2</v>
      </c>
      <c r="AI218" s="594">
        <v>0.24</v>
      </c>
      <c r="AJ218" s="594">
        <v>0.372</v>
      </c>
      <c r="AK218" s="594">
        <v>0.45900000000000002</v>
      </c>
      <c r="AL218" s="594">
        <v>0.52400000000000002</v>
      </c>
      <c r="AM218" s="646">
        <v>0.59399999999999997</v>
      </c>
      <c r="AN218" s="594">
        <v>0.66900000000000004</v>
      </c>
      <c r="AO218" s="601">
        <v>1.296</v>
      </c>
      <c r="AP218" s="253">
        <f t="shared" ref="AP218:AQ218" si="89">AP217*AP219</f>
        <v>2.5147833333333334</v>
      </c>
      <c r="AQ218" s="253">
        <f t="shared" si="89"/>
        <v>2.9877833333333337</v>
      </c>
      <c r="AR218" s="253">
        <v>2.2350000000000003</v>
      </c>
      <c r="AS218" s="253">
        <v>2.6150000000000007</v>
      </c>
      <c r="AT218" s="253">
        <v>3.0350000000000006</v>
      </c>
      <c r="AU218" s="253">
        <v>3.4950000000000006</v>
      </c>
      <c r="AV218" s="253">
        <v>3.9950000000000001</v>
      </c>
      <c r="AW218" s="253">
        <v>4.5350000000000001</v>
      </c>
      <c r="AX218" s="253">
        <v>5.1150000000000002</v>
      </c>
      <c r="AY218" s="253">
        <v>5.7350000000000003</v>
      </c>
      <c r="AZ218" s="253">
        <v>6.3949999999999996</v>
      </c>
      <c r="BA218" s="253">
        <v>7.0949999999999998</v>
      </c>
      <c r="BB218" s="253">
        <v>7.8349999999999991</v>
      </c>
      <c r="BC218" s="253">
        <v>8.6149999999999984</v>
      </c>
      <c r="BD218" s="253">
        <v>9.4249999999999989</v>
      </c>
      <c r="BE218" s="253">
        <v>10.264999999999999</v>
      </c>
      <c r="BF218" s="253">
        <v>11.134999999999998</v>
      </c>
      <c r="BG218" s="253">
        <v>12.034999999999998</v>
      </c>
      <c r="BH218" s="253">
        <v>12.964999999999998</v>
      </c>
      <c r="BI218" s="253">
        <v>13.924999999999999</v>
      </c>
      <c r="BJ218" s="253">
        <v>14.914999999999999</v>
      </c>
      <c r="BK218" s="253">
        <v>15.934999999999999</v>
      </c>
      <c r="BL218" s="253">
        <v>16.984999999999999</v>
      </c>
      <c r="BM218" s="253">
        <v>18.065000000000001</v>
      </c>
      <c r="BN218" s="253">
        <v>19.175000000000001</v>
      </c>
      <c r="BO218" s="253">
        <v>20.315000000000001</v>
      </c>
      <c r="BP218" s="253">
        <v>21.485000000000003</v>
      </c>
      <c r="BQ218" s="253">
        <v>22.685000000000002</v>
      </c>
      <c r="BR218" s="253">
        <v>23.914999999999999</v>
      </c>
      <c r="BS218" s="253">
        <v>25.175000000000001</v>
      </c>
      <c r="BT218" s="253">
        <v>26.465</v>
      </c>
      <c r="BU218" s="253">
        <v>27.785</v>
      </c>
      <c r="BV218" s="253">
        <v>29.135000000000002</v>
      </c>
      <c r="BW218" s="253">
        <v>30.515000000000001</v>
      </c>
      <c r="BX218" s="253">
        <v>31.925000000000001</v>
      </c>
      <c r="BY218" s="253">
        <v>33.365000000000002</v>
      </c>
      <c r="BZ218" s="253">
        <v>34.834999999999994</v>
      </c>
      <c r="CA218" s="253">
        <v>36.334999999999994</v>
      </c>
      <c r="CB218" s="253">
        <v>37.864999999999995</v>
      </c>
      <c r="CC218" s="253">
        <v>39.424999999999997</v>
      </c>
      <c r="CD218" s="253">
        <v>41.015000000000001</v>
      </c>
      <c r="CE218" s="253">
        <v>42.634999999999998</v>
      </c>
      <c r="CF218" s="253">
        <v>44.285000000000004</v>
      </c>
      <c r="CG218" s="253">
        <v>45.964999999999996</v>
      </c>
      <c r="CH218" s="253">
        <v>47.674999999999997</v>
      </c>
      <c r="CI218" s="253">
        <v>49.414999999999992</v>
      </c>
      <c r="CJ218" s="253">
        <v>51.184999999999995</v>
      </c>
      <c r="CK218" s="253">
        <v>52.984999999999992</v>
      </c>
      <c r="CL218" s="253">
        <v>54.814999999999991</v>
      </c>
      <c r="CM218" s="253">
        <v>56.67499999999999</v>
      </c>
      <c r="CN218" s="253">
        <v>58.554999999999993</v>
      </c>
      <c r="CO218" s="253">
        <v>60.454999999999991</v>
      </c>
      <c r="CP218" s="253">
        <v>62.374999999999993</v>
      </c>
      <c r="CQ218" s="253">
        <v>64.314999999999998</v>
      </c>
      <c r="CR218" s="253">
        <v>66.274999999999991</v>
      </c>
      <c r="CS218" s="253">
        <v>68.254999999999995</v>
      </c>
      <c r="CT218" s="253">
        <v>70.254999999999995</v>
      </c>
      <c r="CU218" s="253">
        <v>72.274999999999991</v>
      </c>
      <c r="CV218" s="253">
        <v>74.314999999999984</v>
      </c>
      <c r="CW218" s="253">
        <v>76.374999999999986</v>
      </c>
      <c r="CX218" s="253">
        <v>78.454999999999998</v>
      </c>
      <c r="CY218" s="253">
        <v>80.554999999999993</v>
      </c>
    </row>
    <row r="219" spans="1:103">
      <c r="A219" s="229"/>
      <c r="B219" s="230" t="s">
        <v>419</v>
      </c>
      <c r="C219" s="230"/>
      <c r="D219" s="230"/>
      <c r="E219" s="232"/>
      <c r="F219" s="232"/>
      <c r="G219" s="232" t="s">
        <v>812</v>
      </c>
      <c r="H219" s="203"/>
      <c r="I219" s="203"/>
      <c r="J219" s="203"/>
      <c r="K219" s="203"/>
      <c r="L219" s="229"/>
      <c r="M219" s="229"/>
      <c r="N219" s="229"/>
      <c r="O219" s="229"/>
      <c r="P219" s="229"/>
      <c r="Q219" s="229"/>
      <c r="R219" s="229"/>
      <c r="S219" s="229"/>
      <c r="T219" s="622"/>
      <c r="U219" s="622"/>
      <c r="V219" s="622"/>
      <c r="W219" s="622"/>
      <c r="X219" s="622"/>
      <c r="Y219" s="622"/>
      <c r="Z219" s="622"/>
      <c r="AA219" s="622"/>
      <c r="AB219" s="622"/>
      <c r="AC219" s="622"/>
      <c r="AD219" s="622"/>
      <c r="AE219" s="622"/>
      <c r="AF219" s="622">
        <f t="shared" ref="AF219:AL219" si="90">AF218/AF217</f>
        <v>1</v>
      </c>
      <c r="AG219" s="622">
        <f t="shared" si="90"/>
        <v>0.72727272727272729</v>
      </c>
      <c r="AH219" s="622">
        <f t="shared" si="90"/>
        <v>0.32098765432098764</v>
      </c>
      <c r="AI219" s="622">
        <f t="shared" si="90"/>
        <v>0.81632653061224492</v>
      </c>
      <c r="AJ219" s="622">
        <f t="shared" si="90"/>
        <v>0.73372781065088755</v>
      </c>
      <c r="AK219" s="622">
        <f t="shared" si="90"/>
        <v>0.73913043478260876</v>
      </c>
      <c r="AL219" s="622">
        <f t="shared" si="90"/>
        <v>0.71780821917808224</v>
      </c>
      <c r="AM219" s="622">
        <f>AM218/AM217</f>
        <v>0.6882966396292004</v>
      </c>
      <c r="AN219" s="622">
        <f>AN218/AN217</f>
        <v>0.68195718654434256</v>
      </c>
      <c r="AO219" s="622">
        <f>AO218/AO217</f>
        <v>0.52768729641693801</v>
      </c>
      <c r="AP219" s="623">
        <v>0.94599999999999995</v>
      </c>
      <c r="AQ219" s="623">
        <v>0.94599999999999995</v>
      </c>
      <c r="AR219" s="623">
        <v>0.6</v>
      </c>
      <c r="AS219" s="623">
        <v>0.6</v>
      </c>
      <c r="AT219" s="623">
        <v>0.6</v>
      </c>
      <c r="AU219" s="623">
        <v>0.6</v>
      </c>
      <c r="AV219" s="623">
        <v>0.6</v>
      </c>
      <c r="AW219" s="623">
        <v>0.6</v>
      </c>
      <c r="AX219" s="623">
        <v>0.6</v>
      </c>
      <c r="AY219" s="623">
        <v>0.6</v>
      </c>
      <c r="AZ219" s="623">
        <v>0.6</v>
      </c>
      <c r="BA219" s="623">
        <v>0.6</v>
      </c>
      <c r="BB219" s="623">
        <v>0.6</v>
      </c>
      <c r="BC219" s="623">
        <v>0.6</v>
      </c>
      <c r="BD219" s="623">
        <v>0.6</v>
      </c>
      <c r="BE219" s="623">
        <v>0.6</v>
      </c>
      <c r="BF219" s="623">
        <v>0.6</v>
      </c>
      <c r="BG219" s="623">
        <v>0.6</v>
      </c>
      <c r="BH219" s="623">
        <v>0.6</v>
      </c>
      <c r="BI219" s="623">
        <v>0.6</v>
      </c>
      <c r="BJ219" s="623">
        <v>0.6</v>
      </c>
      <c r="BK219" s="623">
        <v>0.6</v>
      </c>
      <c r="BL219" s="623">
        <v>0.6</v>
      </c>
      <c r="BM219" s="623">
        <v>0.6</v>
      </c>
      <c r="BN219" s="623">
        <v>0.6</v>
      </c>
      <c r="BO219" s="623">
        <v>0.6</v>
      </c>
      <c r="BP219" s="623">
        <v>0.6</v>
      </c>
      <c r="BQ219" s="623">
        <v>0.6</v>
      </c>
      <c r="BR219" s="623">
        <v>0.6</v>
      </c>
      <c r="BS219" s="623">
        <v>0.6</v>
      </c>
      <c r="BT219" s="623">
        <v>0.6</v>
      </c>
      <c r="BU219" s="623">
        <v>0.6</v>
      </c>
      <c r="BV219" s="623">
        <v>0.6</v>
      </c>
      <c r="BW219" s="623">
        <v>0.6</v>
      </c>
      <c r="BX219" s="623">
        <v>0.6</v>
      </c>
      <c r="BY219" s="623">
        <v>0.6</v>
      </c>
      <c r="BZ219" s="623">
        <v>0.6</v>
      </c>
      <c r="CA219" s="623">
        <v>0.6</v>
      </c>
      <c r="CB219" s="623">
        <v>0.6</v>
      </c>
      <c r="CC219" s="623">
        <v>0.6</v>
      </c>
      <c r="CD219" s="623">
        <v>0.6</v>
      </c>
      <c r="CE219" s="623">
        <v>0.6</v>
      </c>
      <c r="CF219" s="623">
        <v>0.6</v>
      </c>
      <c r="CG219" s="623">
        <v>0.6</v>
      </c>
      <c r="CH219" s="623">
        <v>0.6</v>
      </c>
      <c r="CI219" s="623">
        <v>0.6</v>
      </c>
      <c r="CJ219" s="623">
        <v>0.6</v>
      </c>
      <c r="CK219" s="623">
        <v>0.6</v>
      </c>
      <c r="CL219" s="623">
        <v>0.6</v>
      </c>
      <c r="CM219" s="623">
        <v>0.6</v>
      </c>
      <c r="CN219" s="623">
        <v>0.6</v>
      </c>
      <c r="CO219" s="623">
        <v>0.6</v>
      </c>
      <c r="CP219" s="623">
        <v>0.6</v>
      </c>
      <c r="CQ219" s="623">
        <v>0.6</v>
      </c>
      <c r="CR219" s="623">
        <v>0.6</v>
      </c>
      <c r="CS219" s="623">
        <v>0.6</v>
      </c>
      <c r="CT219" s="623">
        <v>0.6</v>
      </c>
      <c r="CU219" s="623">
        <v>0.6</v>
      </c>
      <c r="CV219" s="623">
        <v>0.6</v>
      </c>
      <c r="CW219" s="623">
        <v>0.6</v>
      </c>
      <c r="CX219" s="623">
        <v>0.6</v>
      </c>
      <c r="CY219" s="623">
        <v>0.6</v>
      </c>
    </row>
    <row r="220" spans="1:103">
      <c r="A220" s="230"/>
      <c r="B220" s="230" t="s">
        <v>864</v>
      </c>
      <c r="C220" s="230"/>
      <c r="D220" s="230"/>
      <c r="E220" s="232"/>
      <c r="F220" s="232"/>
      <c r="G220" s="232" t="s">
        <v>736</v>
      </c>
      <c r="H220" s="203"/>
      <c r="I220" s="232"/>
      <c r="J220" s="232"/>
      <c r="K220" s="232"/>
      <c r="L220" s="230"/>
      <c r="M220" s="230"/>
      <c r="N220" s="230"/>
      <c r="O220" s="230"/>
      <c r="P220" s="230"/>
      <c r="Q220" s="230"/>
      <c r="R220" s="230"/>
      <c r="S220" s="230"/>
      <c r="T220" s="610"/>
      <c r="U220" s="610"/>
      <c r="V220" s="610"/>
      <c r="W220" s="610"/>
      <c r="X220" s="610"/>
      <c r="Y220" s="610"/>
      <c r="Z220" s="610"/>
      <c r="AA220" s="610"/>
      <c r="AB220" s="610"/>
      <c r="AC220" s="610"/>
      <c r="AD220" s="610"/>
      <c r="AE220" s="610"/>
      <c r="AF220" s="594">
        <v>2.5403299999999999E-3</v>
      </c>
      <c r="AG220" s="594">
        <v>7.4560609999999999E-3</v>
      </c>
      <c r="AH220" s="594">
        <v>0.14222517400000001</v>
      </c>
      <c r="AI220" s="594">
        <v>1.814555473</v>
      </c>
      <c r="AJ220" s="594">
        <v>3.1437224279999998</v>
      </c>
      <c r="AK220" s="594">
        <v>2.8750752070000001</v>
      </c>
      <c r="AL220" s="594">
        <v>3.2614998640000001</v>
      </c>
      <c r="AM220" s="594">
        <v>4.3211599999999999</v>
      </c>
      <c r="AN220" s="594">
        <v>4.0616000000000003</v>
      </c>
      <c r="AO220" s="601">
        <v>12.17188</v>
      </c>
      <c r="AP220" s="253">
        <v>0</v>
      </c>
      <c r="AQ220" s="253">
        <v>0</v>
      </c>
      <c r="AR220" s="253">
        <v>11.715125000000002</v>
      </c>
      <c r="AS220" s="253">
        <v>13.815916666666672</v>
      </c>
      <c r="AT220" s="253">
        <v>16.161375000000007</v>
      </c>
      <c r="AU220" s="253">
        <v>18.756500000000006</v>
      </c>
      <c r="AV220" s="253">
        <v>21.606291666666671</v>
      </c>
      <c r="AW220" s="253">
        <v>24.715750000000007</v>
      </c>
      <c r="AX220" s="253">
        <v>28.08987500000001</v>
      </c>
      <c r="AY220" s="253">
        <v>31.733666666666682</v>
      </c>
      <c r="AZ220" s="253">
        <v>35.652125000000012</v>
      </c>
      <c r="BA220" s="253">
        <v>39.850250000000024</v>
      </c>
      <c r="BB220" s="253">
        <v>44.333041666666688</v>
      </c>
      <c r="BC220" s="253">
        <v>49.105499999999992</v>
      </c>
      <c r="BD220" s="253">
        <v>53.722499999999989</v>
      </c>
      <c r="BE220" s="253">
        <v>58.510499999999993</v>
      </c>
      <c r="BF220" s="253">
        <v>63.469499999999982</v>
      </c>
      <c r="BG220" s="253">
        <v>68.599499999999992</v>
      </c>
      <c r="BH220" s="253">
        <v>73.90049999999998</v>
      </c>
      <c r="BI220" s="253">
        <v>79.372500000000002</v>
      </c>
      <c r="BJ220" s="253">
        <v>85.015500000000003</v>
      </c>
      <c r="BK220" s="253">
        <v>90.829499999999982</v>
      </c>
      <c r="BL220" s="253">
        <v>96.814499999999995</v>
      </c>
      <c r="BM220" s="253">
        <v>102.97050000000002</v>
      </c>
      <c r="BN220" s="253">
        <v>109.2975</v>
      </c>
      <c r="BO220" s="253">
        <v>115.79550000000002</v>
      </c>
      <c r="BP220" s="253">
        <v>122.46450000000002</v>
      </c>
      <c r="BQ220" s="253">
        <v>129.30450000000002</v>
      </c>
      <c r="BR220" s="253">
        <v>136.31549999999999</v>
      </c>
      <c r="BS220" s="253">
        <v>143.4975</v>
      </c>
      <c r="BT220" s="253">
        <v>150.85050000000001</v>
      </c>
      <c r="BU220" s="253">
        <v>158.37450000000001</v>
      </c>
      <c r="BV220" s="253">
        <v>166.06950000000001</v>
      </c>
      <c r="BW220" s="253">
        <v>173.93549999999999</v>
      </c>
      <c r="BX220" s="253">
        <v>181.9725</v>
      </c>
      <c r="BY220" s="253">
        <v>190.18049999999999</v>
      </c>
      <c r="BZ220" s="253">
        <v>198.55949999999996</v>
      </c>
      <c r="CA220" s="253">
        <v>207.10949999999997</v>
      </c>
      <c r="CB220" s="253">
        <v>215.83049999999997</v>
      </c>
      <c r="CC220" s="253">
        <v>224.72249999999997</v>
      </c>
      <c r="CD220" s="253">
        <v>233.78550000000001</v>
      </c>
      <c r="CE220" s="253">
        <v>243.01949999999999</v>
      </c>
      <c r="CF220" s="253">
        <v>252.42450000000002</v>
      </c>
      <c r="CG220" s="253">
        <v>262.00049999999999</v>
      </c>
      <c r="CH220" s="253">
        <v>271.7475</v>
      </c>
      <c r="CI220" s="253">
        <v>281.66549999999995</v>
      </c>
      <c r="CJ220" s="253">
        <v>291.75450000000001</v>
      </c>
      <c r="CK220" s="253">
        <v>302.01449999999994</v>
      </c>
      <c r="CL220" s="253">
        <v>312.44549999999992</v>
      </c>
      <c r="CM220" s="253">
        <v>323.04749999999996</v>
      </c>
      <c r="CN220" s="253">
        <v>333.76349999999996</v>
      </c>
      <c r="CO220" s="253">
        <v>344.59349999999995</v>
      </c>
      <c r="CP220" s="253">
        <v>355.53749999999997</v>
      </c>
      <c r="CQ220" s="253">
        <v>366.59550000000002</v>
      </c>
      <c r="CR220" s="253">
        <v>377.76749999999993</v>
      </c>
      <c r="CS220" s="253">
        <v>389.05349999999999</v>
      </c>
      <c r="CT220" s="253">
        <v>400.45350000000002</v>
      </c>
      <c r="CU220" s="253">
        <v>411.96749999999992</v>
      </c>
      <c r="CV220" s="253">
        <v>423.5954999999999</v>
      </c>
      <c r="CW220" s="253">
        <v>435.33749999999992</v>
      </c>
      <c r="CX220" s="253">
        <v>447.19349999999997</v>
      </c>
      <c r="CY220" s="253">
        <v>459.16349999999994</v>
      </c>
    </row>
    <row r="221" spans="1:103">
      <c r="A221" s="230"/>
      <c r="B221" s="230" t="s">
        <v>874</v>
      </c>
      <c r="C221" s="230"/>
      <c r="D221" s="230"/>
      <c r="E221" s="232"/>
      <c r="F221" s="232"/>
      <c r="G221" s="232" t="s">
        <v>736</v>
      </c>
      <c r="H221" s="203"/>
      <c r="I221" s="232"/>
      <c r="J221" s="232"/>
      <c r="K221" s="232"/>
      <c r="L221" s="230"/>
      <c r="M221" s="230"/>
      <c r="N221" s="230"/>
      <c r="O221" s="230"/>
      <c r="P221" s="230"/>
      <c r="Q221" s="230"/>
      <c r="R221" s="230"/>
      <c r="S221" s="230"/>
      <c r="T221" s="619"/>
      <c r="U221" s="619"/>
      <c r="V221" s="619"/>
      <c r="W221" s="619"/>
      <c r="X221" s="619"/>
      <c r="Y221" s="619"/>
      <c r="Z221" s="619"/>
      <c r="AA221" s="619"/>
      <c r="AB221" s="619"/>
      <c r="AC221" s="619"/>
      <c r="AD221" s="619"/>
      <c r="AE221" s="619"/>
      <c r="AF221" s="594">
        <v>4.9770000000000001E-4</v>
      </c>
      <c r="AG221" s="594">
        <v>4.6730189999999996E-3</v>
      </c>
      <c r="AH221" s="594">
        <v>4.8687167000000003E-2</v>
      </c>
      <c r="AI221" s="594">
        <v>1.5679950570000001</v>
      </c>
      <c r="AJ221" s="594">
        <v>2.8117280689999999</v>
      </c>
      <c r="AK221" s="601">
        <v>3.9148209500000002</v>
      </c>
      <c r="AL221" s="601">
        <v>4.3885328159999997</v>
      </c>
      <c r="AM221" s="601">
        <v>5.2401755100000003</v>
      </c>
      <c r="AN221" s="601">
        <v>6.5841113690000004</v>
      </c>
      <c r="AO221" s="601">
        <v>15.809241925</v>
      </c>
      <c r="AP221" s="253">
        <v>8.3588982202500013</v>
      </c>
      <c r="AQ221" s="253">
        <v>4.4102160567325015</v>
      </c>
      <c r="AR221" s="642">
        <v>20.796506219931707</v>
      </c>
      <c r="AS221" s="642">
        <v>24.092983681377056</v>
      </c>
      <c r="AT221" s="642">
        <v>28.078581234990612</v>
      </c>
      <c r="AU221" s="642">
        <v>32.671371784854671</v>
      </c>
      <c r="AV221" s="642">
        <v>37.77367037961168</v>
      </c>
      <c r="AW221" s="642">
        <v>43.192412081968435</v>
      </c>
      <c r="AX221" s="642">
        <v>49.262363307545428</v>
      </c>
      <c r="AY221" s="642">
        <v>55.933579560846873</v>
      </c>
      <c r="AZ221" s="642">
        <v>63.150177816586357</v>
      </c>
      <c r="BA221" s="642">
        <v>70.900706760574181</v>
      </c>
      <c r="BB221" s="642">
        <v>79.192724622012875</v>
      </c>
      <c r="BC221" s="642">
        <v>88.07016808533271</v>
      </c>
      <c r="BD221" s="642">
        <v>97.053216235104173</v>
      </c>
      <c r="BE221" s="642">
        <v>106.25671927991516</v>
      </c>
      <c r="BF221" s="642">
        <v>115.92336537004915</v>
      </c>
      <c r="BG221" s="642">
        <v>125.78951903892138</v>
      </c>
      <c r="BH221" s="642">
        <v>135.91995086983889</v>
      </c>
      <c r="BI221" s="642">
        <v>146.34640346507842</v>
      </c>
      <c r="BJ221" s="642">
        <v>157.08446342011717</v>
      </c>
      <c r="BK221" s="642">
        <v>168.17247305421247</v>
      </c>
      <c r="BL221" s="642">
        <v>179.57812582863747</v>
      </c>
      <c r="BM221" s="642">
        <v>191.31063858506312</v>
      </c>
      <c r="BN221" s="642">
        <v>203.37423174978386</v>
      </c>
      <c r="BO221" s="642">
        <v>215.77193952139103</v>
      </c>
      <c r="BP221" s="642">
        <v>228.50426095401184</v>
      </c>
      <c r="BQ221" s="642">
        <v>241.57093056371761</v>
      </c>
      <c r="BR221" s="642">
        <v>254.97153994213673</v>
      </c>
      <c r="BS221" s="642">
        <v>268.70572615052112</v>
      </c>
      <c r="BT221" s="642">
        <v>282.77343166953034</v>
      </c>
      <c r="BU221" s="642">
        <v>297.1745112232133</v>
      </c>
      <c r="BV221" s="642">
        <v>311.90884598218139</v>
      </c>
      <c r="BW221" s="642">
        <v>326.97636178526568</v>
      </c>
      <c r="BX221" s="642">
        <v>342.3770290831585</v>
      </c>
      <c r="BY221" s="642">
        <v>358.11084402468691</v>
      </c>
      <c r="BZ221" s="642">
        <v>374.17781345650201</v>
      </c>
      <c r="CA221" s="642">
        <v>390.57794645443147</v>
      </c>
      <c r="CB221" s="642">
        <v>407.31125048159322</v>
      </c>
      <c r="CC221" s="642">
        <v>424.37773174762208</v>
      </c>
      <c r="CD221" s="642">
        <v>441.77739473870008</v>
      </c>
      <c r="CE221" s="642">
        <v>459.51024219395782</v>
      </c>
      <c r="CF221" s="642">
        <v>477.57627543348508</v>
      </c>
      <c r="CG221" s="642">
        <v>495.97549485569687</v>
      </c>
      <c r="CH221" s="642">
        <v>514.70790037552604</v>
      </c>
      <c r="CI221" s="642">
        <v>533.77349172095933</v>
      </c>
      <c r="CJ221" s="642">
        <v>553.17226859621803</v>
      </c>
      <c r="CK221" s="642">
        <v>572.90423075031379</v>
      </c>
      <c r="CL221" s="642">
        <v>592.96937800134492</v>
      </c>
      <c r="CM221" s="642">
        <v>613.36771023537915</v>
      </c>
      <c r="CN221" s="642">
        <v>634.04222739267016</v>
      </c>
      <c r="CO221" s="642">
        <v>654.96442945014394</v>
      </c>
      <c r="CP221" s="642">
        <v>676.12006640581069</v>
      </c>
      <c r="CQ221" s="642">
        <v>697.50201326743252</v>
      </c>
      <c r="CR221" s="642">
        <v>719.10670754552291</v>
      </c>
      <c r="CS221" s="642">
        <v>740.93236799971669</v>
      </c>
      <c r="CT221" s="642">
        <v>762.97810401231698</v>
      </c>
      <c r="CU221" s="642">
        <v>785.24347027560339</v>
      </c>
      <c r="CV221" s="642">
        <v>807.72908042860035</v>
      </c>
      <c r="CW221" s="642">
        <v>830.43564271111643</v>
      </c>
      <c r="CX221" s="642">
        <v>853.36369924131702</v>
      </c>
      <c r="CY221" s="642">
        <v>876.51360319854882</v>
      </c>
    </row>
    <row r="222" spans="1:103">
      <c r="A222" s="229"/>
      <c r="B222" s="230" t="s">
        <v>875</v>
      </c>
      <c r="C222" s="230"/>
      <c r="D222" s="230"/>
      <c r="E222" s="232"/>
      <c r="F222" s="232"/>
      <c r="G222" s="232" t="s">
        <v>736</v>
      </c>
      <c r="H222" s="203"/>
      <c r="I222" s="203"/>
      <c r="J222" s="203"/>
      <c r="K222" s="203"/>
      <c r="L222" s="229"/>
      <c r="M222" s="229"/>
      <c r="N222" s="229"/>
      <c r="O222" s="229"/>
      <c r="P222" s="229"/>
      <c r="Q222" s="229"/>
      <c r="R222" s="229"/>
      <c r="S222" s="229"/>
      <c r="T222" s="619"/>
      <c r="U222" s="619"/>
      <c r="V222" s="619"/>
      <c r="W222" s="619"/>
      <c r="X222" s="619"/>
      <c r="Y222" s="619"/>
      <c r="Z222" s="619"/>
      <c r="AA222" s="619"/>
      <c r="AB222" s="619"/>
      <c r="AC222" s="619"/>
      <c r="AD222" s="619"/>
      <c r="AE222" s="619"/>
      <c r="AF222" s="601">
        <v>0</v>
      </c>
      <c r="AG222" s="601">
        <v>0</v>
      </c>
      <c r="AH222" s="601">
        <v>0</v>
      </c>
      <c r="AI222" s="601">
        <v>0.27300000000000002</v>
      </c>
      <c r="AJ222" s="601">
        <v>0.92100000000000004</v>
      </c>
      <c r="AK222" s="601">
        <v>1.5429999999999999</v>
      </c>
      <c r="AL222" s="601">
        <v>1.95</v>
      </c>
      <c r="AM222" s="647">
        <v>2.4049999999999998</v>
      </c>
      <c r="AN222" s="601">
        <v>3.0419999999999998</v>
      </c>
      <c r="AO222" s="601">
        <v>7.77</v>
      </c>
      <c r="AP222" s="253">
        <v>7.1280709991439997</v>
      </c>
      <c r="AQ222" s="253">
        <v>3.7688600295463202</v>
      </c>
      <c r="AR222" s="642">
        <v>10.162866584291667</v>
      </c>
      <c r="AS222" s="642">
        <v>11.438078420962441</v>
      </c>
      <c r="AT222" s="642">
        <v>13.251141024757382</v>
      </c>
      <c r="AU222" s="642">
        <v>15.443219679244837</v>
      </c>
      <c r="AV222" s="642">
        <v>17.96925448167007</v>
      </c>
      <c r="AW222" s="642">
        <v>20.775518708786425</v>
      </c>
      <c r="AX222" s="642">
        <v>23.755826645082642</v>
      </c>
      <c r="AY222" s="642">
        <v>27.094299819149988</v>
      </c>
      <c r="AZ222" s="642">
        <v>30.763468758465784</v>
      </c>
      <c r="BA222" s="642">
        <v>34.732597799122502</v>
      </c>
      <c r="BB222" s="642">
        <v>38.995388718315802</v>
      </c>
      <c r="BC222" s="642">
        <v>43.555998542107083</v>
      </c>
      <c r="BD222" s="642">
        <v>48.438592446932994</v>
      </c>
      <c r="BE222" s="642">
        <v>53.379268929307301</v>
      </c>
      <c r="BF222" s="642">
        <v>58.441195603953339</v>
      </c>
      <c r="BG222" s="642">
        <v>63.75785095352704</v>
      </c>
      <c r="BH222" s="642">
        <v>69.184235471406765</v>
      </c>
      <c r="BI222" s="642">
        <v>74.755972978411393</v>
      </c>
      <c r="BJ222" s="642">
        <v>80.490521905793145</v>
      </c>
      <c r="BK222" s="642">
        <v>86.396454881064457</v>
      </c>
      <c r="BL222" s="642">
        <v>92.494860179816868</v>
      </c>
      <c r="BM222" s="642">
        <v>98.767969205750617</v>
      </c>
      <c r="BN222" s="642">
        <v>105.22085122178473</v>
      </c>
      <c r="BO222" s="642">
        <v>111.85582746238113</v>
      </c>
      <c r="BP222" s="642">
        <v>118.67456673676507</v>
      </c>
      <c r="BQ222" s="642">
        <v>125.67734352470653</v>
      </c>
      <c r="BR222" s="642">
        <v>132.8640118100447</v>
      </c>
      <c r="BS222" s="642">
        <v>140.2343469681752</v>
      </c>
      <c r="BT222" s="642">
        <v>147.78814938278663</v>
      </c>
      <c r="BU222" s="642">
        <v>155.52538741824171</v>
      </c>
      <c r="BV222" s="642">
        <v>163.44598117276732</v>
      </c>
      <c r="BW222" s="642">
        <v>171.54986529019979</v>
      </c>
      <c r="BX222" s="642">
        <v>179.83699898189613</v>
      </c>
      <c r="BY222" s="642">
        <v>188.3073659957372</v>
      </c>
      <c r="BZ222" s="642">
        <v>196.96096421357782</v>
      </c>
      <c r="CA222" s="642">
        <v>205.79779740107611</v>
      </c>
      <c r="CB222" s="642">
        <v>214.81787054993734</v>
      </c>
      <c r="CC222" s="642">
        <v>224.02118776487629</v>
      </c>
      <c r="CD222" s="642">
        <v>233.40775246119216</v>
      </c>
      <c r="CE222" s="642">
        <v>242.97756710628505</v>
      </c>
      <c r="CF222" s="642">
        <v>252.73063320667683</v>
      </c>
      <c r="CG222" s="642">
        <v>262.66695148841683</v>
      </c>
      <c r="CH222" s="642">
        <v>272.7865221706333</v>
      </c>
      <c r="CI222" s="642">
        <v>283.08934520653935</v>
      </c>
      <c r="CJ222" s="642">
        <v>293.57542044652763</v>
      </c>
      <c r="CK222" s="642">
        <v>304.24474772791996</v>
      </c>
      <c r="CL222" s="642">
        <v>315.0973269126726</v>
      </c>
      <c r="CM222" s="642">
        <v>326.13315790073972</v>
      </c>
      <c r="CN222" s="642">
        <v>337.35224062945855</v>
      </c>
      <c r="CO222" s="642">
        <v>348.72322506596862</v>
      </c>
      <c r="CP222" s="642">
        <v>360.23043619757919</v>
      </c>
      <c r="CQ222" s="642">
        <v>371.86603652319593</v>
      </c>
      <c r="CR222" s="642">
        <v>383.62610729708791</v>
      </c>
      <c r="CS222" s="642">
        <v>395.50868915003764</v>
      </c>
      <c r="CT222" s="642">
        <v>407.51280239984419</v>
      </c>
      <c r="CU222" s="642">
        <v>419.63795720677439</v>
      </c>
      <c r="CV222" s="642">
        <v>431.88390865158192</v>
      </c>
      <c r="CW222" s="642">
        <v>444.25099423573022</v>
      </c>
      <c r="CX222" s="642">
        <v>456.73960349111405</v>
      </c>
      <c r="CY222" s="642">
        <v>469.35003458272439</v>
      </c>
    </row>
    <row r="223" spans="1:103">
      <c r="A223" s="229"/>
      <c r="B223" s="230" t="s">
        <v>215</v>
      </c>
      <c r="C223" s="230"/>
      <c r="D223" s="230"/>
      <c r="E223" s="232"/>
      <c r="F223" s="230"/>
      <c r="G223" s="232" t="s">
        <v>736</v>
      </c>
      <c r="H223" s="203"/>
      <c r="I223" s="203"/>
      <c r="J223" s="203"/>
      <c r="K223" s="203"/>
      <c r="L223" s="229"/>
      <c r="M223" s="229"/>
      <c r="N223" s="229"/>
      <c r="O223" s="229"/>
      <c r="P223" s="229"/>
      <c r="Q223" s="229"/>
      <c r="R223" s="229"/>
      <c r="S223" s="229"/>
      <c r="T223" s="590"/>
      <c r="U223" s="590"/>
      <c r="V223" s="590"/>
      <c r="W223" s="590"/>
      <c r="X223" s="590"/>
      <c r="Y223" s="590"/>
      <c r="Z223" s="590"/>
      <c r="AA223" s="590"/>
      <c r="AB223" s="590"/>
      <c r="AC223" s="590"/>
      <c r="AD223" s="590"/>
      <c r="AE223" s="590"/>
      <c r="AF223" s="590">
        <f t="shared" ref="AF223:AQ223" si="91">AF227+AF230</f>
        <v>1.0765026872384691E-3</v>
      </c>
      <c r="AG223" s="590">
        <f t="shared" si="91"/>
        <v>1.852548462804471E-4</v>
      </c>
      <c r="AH223" s="590">
        <f t="shared" si="91"/>
        <v>2.4523253535681782E-3</v>
      </c>
      <c r="AI223" s="590">
        <f t="shared" si="91"/>
        <v>3.42289500454597E-2</v>
      </c>
      <c r="AJ223" s="590">
        <f t="shared" si="91"/>
        <v>8.3867697845103686E-2</v>
      </c>
      <c r="AK223" s="648">
        <f t="shared" si="91"/>
        <v>0.10024291812318763</v>
      </c>
      <c r="AL223" s="648">
        <f t="shared" si="91"/>
        <v>0.11372387577974688</v>
      </c>
      <c r="AM223" s="648">
        <f t="shared" si="91"/>
        <v>0.11779650162947189</v>
      </c>
      <c r="AN223" s="648">
        <f t="shared" si="91"/>
        <v>0.15713810231533759</v>
      </c>
      <c r="AO223" s="648">
        <f t="shared" si="91"/>
        <v>0.39401988976378244</v>
      </c>
      <c r="AP223" s="648">
        <f t="shared" si="91"/>
        <v>-1.8440059560433718E-2</v>
      </c>
      <c r="AQ223" s="648">
        <f t="shared" si="91"/>
        <v>6.9864745050100038E-4</v>
      </c>
      <c r="AR223" s="648">
        <v>0.52105679259338822</v>
      </c>
      <c r="AS223" s="648">
        <v>0.58575346360219283</v>
      </c>
      <c r="AT223" s="648">
        <v>0.68099904236595066</v>
      </c>
      <c r="AU223" s="648">
        <v>0.80515502027995167</v>
      </c>
      <c r="AV223" s="648">
        <v>0.92869582599259082</v>
      </c>
      <c r="AW223" s="648">
        <v>1.0590173353788761</v>
      </c>
      <c r="AX223" s="648">
        <v>1.2148101420321731</v>
      </c>
      <c r="AY223" s="648">
        <v>1.3895396838696066</v>
      </c>
      <c r="AZ223" s="648">
        <v>1.5766616343400477</v>
      </c>
      <c r="BA223" s="648">
        <v>1.782885399301918</v>
      </c>
      <c r="BB223" s="648">
        <v>2.0087059719521707</v>
      </c>
      <c r="BC223" s="648">
        <v>2.208796235844209</v>
      </c>
      <c r="BD223" s="648">
        <v>2.4342037546346225</v>
      </c>
      <c r="BE223" s="648">
        <v>2.690336969231427</v>
      </c>
      <c r="BF223" s="648">
        <v>2.9479560909047815</v>
      </c>
      <c r="BG223" s="648">
        <v>3.2189539961441294</v>
      </c>
      <c r="BH223" s="648">
        <v>3.4833715957179354</v>
      </c>
      <c r="BI223" s="648">
        <v>3.7458897433070928</v>
      </c>
      <c r="BJ223" s="648">
        <v>4.0262531975477174</v>
      </c>
      <c r="BK223" s="648">
        <v>4.3164142187310244</v>
      </c>
      <c r="BL223" s="648">
        <v>4.6108610712261715</v>
      </c>
      <c r="BM223" s="648">
        <v>4.9178042520629628</v>
      </c>
      <c r="BN223" s="648">
        <v>5.2372575614784704</v>
      </c>
      <c r="BO223" s="648">
        <v>5.5877867411066484</v>
      </c>
      <c r="BP223" s="648">
        <v>5.9200794211041021</v>
      </c>
      <c r="BQ223" s="648">
        <v>6.2639720709280846</v>
      </c>
      <c r="BR223" s="648">
        <v>6.6209187478711868</v>
      </c>
      <c r="BS223" s="648">
        <v>6.9927997921845453</v>
      </c>
      <c r="BT223" s="648">
        <v>7.360558138155147</v>
      </c>
      <c r="BU223" s="648">
        <v>7.7297273473950172</v>
      </c>
      <c r="BV223" s="648">
        <v>8.1161712035716622</v>
      </c>
      <c r="BW223" s="648">
        <v>8.5128272689536946</v>
      </c>
      <c r="BX223" s="648">
        <v>8.9145173744791606</v>
      </c>
      <c r="BY223" s="648">
        <v>9.3280280488201885</v>
      </c>
      <c r="BZ223" s="648">
        <v>9.7535218793531655</v>
      </c>
      <c r="CA223" s="648">
        <v>10.206793649445594</v>
      </c>
      <c r="CB223" s="648">
        <v>10.645585027694629</v>
      </c>
      <c r="CC223" s="648">
        <v>11.095631770343644</v>
      </c>
      <c r="CD223" s="648">
        <v>11.558050971426926</v>
      </c>
      <c r="CE223" s="648">
        <v>12.034442634736262</v>
      </c>
      <c r="CF223" s="648">
        <v>12.50852180909375</v>
      </c>
      <c r="CG223" s="648">
        <v>12.98510037744976</v>
      </c>
      <c r="CH223" s="648">
        <v>13.477718009671083</v>
      </c>
      <c r="CI223" s="648">
        <v>13.980278147951001</v>
      </c>
      <c r="CJ223" s="648">
        <v>14.488378052963473</v>
      </c>
      <c r="CK223" s="648">
        <v>15.007837685581503</v>
      </c>
      <c r="CL223" s="648">
        <v>15.538774916006926</v>
      </c>
      <c r="CM223" s="648">
        <v>16.094687689071712</v>
      </c>
      <c r="CN223" s="648">
        <v>16.638491177539201</v>
      </c>
      <c r="CO223" s="648">
        <v>17.191204414964748</v>
      </c>
      <c r="CP223" s="648">
        <v>17.750115753503167</v>
      </c>
      <c r="CQ223" s="648">
        <v>18.314839205798016</v>
      </c>
      <c r="CR223" s="648">
        <v>18.88520989586041</v>
      </c>
      <c r="CS223" s="648">
        <v>19.461173040427905</v>
      </c>
      <c r="CT223" s="648">
        <v>20.042728535325438</v>
      </c>
      <c r="CU223" s="648">
        <v>20.629903248250272</v>
      </c>
      <c r="CV223" s="648">
        <v>21.222721151350211</v>
      </c>
      <c r="CW223" s="648">
        <v>21.821201478596695</v>
      </c>
      <c r="CX223" s="648">
        <v>22.42536378268618</v>
      </c>
      <c r="CY223" s="648">
        <v>23.035221523352508</v>
      </c>
    </row>
    <row r="224" spans="1:103">
      <c r="A224" s="229"/>
      <c r="B224" s="230" t="s">
        <v>99</v>
      </c>
      <c r="C224" s="230"/>
      <c r="D224" s="230"/>
      <c r="E224" s="232"/>
      <c r="F224" s="230"/>
      <c r="G224" s="232" t="s">
        <v>736</v>
      </c>
      <c r="H224" s="203"/>
      <c r="I224" s="203"/>
      <c r="J224" s="203"/>
      <c r="K224" s="203"/>
      <c r="L224" s="229"/>
      <c r="M224" s="229"/>
      <c r="N224" s="229"/>
      <c r="O224" s="229"/>
      <c r="P224" s="229"/>
      <c r="Q224" s="229"/>
      <c r="R224" s="229"/>
      <c r="S224" s="229"/>
      <c r="T224" s="231"/>
      <c r="U224" s="231"/>
      <c r="V224" s="231"/>
      <c r="W224" s="231"/>
      <c r="X224" s="231"/>
      <c r="Y224" s="231"/>
      <c r="Z224" s="231"/>
      <c r="AA224" s="231"/>
      <c r="AB224" s="231"/>
      <c r="AC224" s="231"/>
      <c r="AD224" s="231"/>
      <c r="AE224" s="231"/>
      <c r="AF224" s="231">
        <f t="shared" ref="AF224:AQ224" si="92">AF228+AF240</f>
        <v>-3.8456452022450047E-4</v>
      </c>
      <c r="AG224" s="231">
        <f t="shared" si="92"/>
        <v>-2.0207778863832245E-4</v>
      </c>
      <c r="AH224" s="231">
        <f t="shared" si="92"/>
        <v>-6.1391579269086936E-4</v>
      </c>
      <c r="AI224" s="231">
        <f t="shared" si="92"/>
        <v>-2.0075164914886281E-2</v>
      </c>
      <c r="AJ224" s="231">
        <f t="shared" si="92"/>
        <v>-4.5347638418106302E-2</v>
      </c>
      <c r="AK224" s="262">
        <f t="shared" si="92"/>
        <v>-6.7626339498343666E-2</v>
      </c>
      <c r="AL224" s="262">
        <f t="shared" si="92"/>
        <v>-7.4086601772488797E-2</v>
      </c>
      <c r="AM224" s="262">
        <f t="shared" si="92"/>
        <v>-9.8373368079949119E-2</v>
      </c>
      <c r="AN224" s="262">
        <f t="shared" si="92"/>
        <v>-0.13961609951533765</v>
      </c>
      <c r="AO224" s="262">
        <f t="shared" si="92"/>
        <v>-0.12757683109345763</v>
      </c>
      <c r="AP224" s="262">
        <f t="shared" si="92"/>
        <v>-301.09474597623961</v>
      </c>
      <c r="AQ224" s="262">
        <f t="shared" si="92"/>
        <v>-159.08188203407369</v>
      </c>
      <c r="AR224" s="262">
        <v>-0.17809404127189213</v>
      </c>
      <c r="AS224" s="262">
        <v>-0.20650899185716592</v>
      </c>
      <c r="AT224" s="262">
        <v>-0.24050382751667598</v>
      </c>
      <c r="AU224" s="262">
        <v>-0.27925513733714546</v>
      </c>
      <c r="AV224" s="262">
        <v>-0.32237746037690207</v>
      </c>
      <c r="AW224" s="262">
        <v>-0.36923064480778783</v>
      </c>
      <c r="AX224" s="262">
        <v>-0.42016557318430264</v>
      </c>
      <c r="AY224" s="262">
        <v>-0.47586111240673246</v>
      </c>
      <c r="AZ224" s="262">
        <v>-0.53610089107328451</v>
      </c>
      <c r="BA224" s="262">
        <v>-0.60075675132265971</v>
      </c>
      <c r="BB224" s="262">
        <v>-0.66984592150176203</v>
      </c>
      <c r="BC224" s="262">
        <v>-0.74351256078766692</v>
      </c>
      <c r="BD224" s="262">
        <v>-0.81830976406766776</v>
      </c>
      <c r="BE224" s="262">
        <v>-0.89510851722191931</v>
      </c>
      <c r="BF224" s="262">
        <v>-0.97472817898950148</v>
      </c>
      <c r="BG224" s="262">
        <v>-1.0571207451038909</v>
      </c>
      <c r="BH224" s="262">
        <v>-1.141830483540909</v>
      </c>
      <c r="BI224" s="262">
        <v>-1.2290785703508522</v>
      </c>
      <c r="BJ224" s="262">
        <v>-1.3189734682785734</v>
      </c>
      <c r="BK224" s="262">
        <v>-1.4116387644203388</v>
      </c>
      <c r="BL224" s="262">
        <v>-1.5070882907731977</v>
      </c>
      <c r="BM224" s="262">
        <v>-1.605269133448064</v>
      </c>
      <c r="BN224" s="262">
        <v>-1.7062120861840244</v>
      </c>
      <c r="BO224" s="262">
        <v>-1.8099337741631092</v>
      </c>
      <c r="BP224" s="262">
        <v>-1.9164422944227986</v>
      </c>
      <c r="BQ224" s="262">
        <v>-2.02573818222813</v>
      </c>
      <c r="BR224" s="262">
        <v>-2.1378198932425825</v>
      </c>
      <c r="BS224" s="262">
        <v>-2.2526856597956741</v>
      </c>
      <c r="BT224" s="262">
        <v>-2.3703345183376179</v>
      </c>
      <c r="BU224" s="262">
        <v>-2.4907660041292043</v>
      </c>
      <c r="BV224" s="262">
        <v>-2.6139795119290294</v>
      </c>
      <c r="BW224" s="262">
        <v>-2.8269423494670662</v>
      </c>
      <c r="BX224" s="262">
        <v>-2.9597372790734724</v>
      </c>
      <c r="BY224" s="262">
        <v>-3.0953989742054793</v>
      </c>
      <c r="BZ224" s="262">
        <v>-3.2339274417277242</v>
      </c>
      <c r="CA224" s="262">
        <v>-3.375322718129222</v>
      </c>
      <c r="CB224" s="262">
        <v>-3.5195848413117234</v>
      </c>
      <c r="CC224" s="262">
        <v>-3.6667138426086181</v>
      </c>
      <c r="CD224" s="262">
        <v>-3.816709746531155</v>
      </c>
      <c r="CE224" s="262">
        <v>-3.9695725696373412</v>
      </c>
      <c r="CF224" s="262">
        <v>-4.1253023212295563</v>
      </c>
      <c r="CG224" s="262">
        <v>-4.2838990052460417</v>
      </c>
      <c r="CH224" s="262">
        <v>-4.4453626224048861</v>
      </c>
      <c r="CI224" s="262">
        <v>-4.6096931718877787</v>
      </c>
      <c r="CJ224" s="262">
        <v>-4.7768906523935311</v>
      </c>
      <c r="CK224" s="262">
        <v>-4.9469550626691348</v>
      </c>
      <c r="CL224" s="262">
        <v>-5.1198864017225514</v>
      </c>
      <c r="CM224" s="262">
        <v>-5.2956846688758255</v>
      </c>
      <c r="CN224" s="262">
        <v>-5.4737726287309449</v>
      </c>
      <c r="CO224" s="262">
        <v>-5.6539543435981159</v>
      </c>
      <c r="CP224" s="262">
        <v>-5.8361318446698958</v>
      </c>
      <c r="CQ224" s="262">
        <v>-6.020256147584516</v>
      </c>
      <c r="CR224" s="262">
        <v>-6.2063027601963565</v>
      </c>
      <c r="CS224" s="262">
        <v>-6.3942594364578405</v>
      </c>
      <c r="CT224" s="262">
        <v>-6.5841200533609108</v>
      </c>
      <c r="CU224" s="262">
        <v>-6.7758815494098155</v>
      </c>
      <c r="CV224" s="262">
        <v>-6.9695443103637986</v>
      </c>
      <c r="CW224" s="262">
        <v>-7.1651113655285172</v>
      </c>
      <c r="CX224" s="262">
        <v>-7.3625855803076599</v>
      </c>
      <c r="CY224" s="262">
        <v>-7.5619690064246923</v>
      </c>
    </row>
    <row r="225" spans="1:103">
      <c r="A225" s="245"/>
      <c r="B225" s="229" t="s">
        <v>217</v>
      </c>
      <c r="C225" s="229"/>
      <c r="D225" s="229"/>
      <c r="E225" s="203"/>
      <c r="F225" s="229"/>
      <c r="G225" s="232" t="s">
        <v>736</v>
      </c>
      <c r="H225" s="203"/>
      <c r="I225" s="216"/>
      <c r="J225" s="216"/>
      <c r="K225" s="216"/>
      <c r="L225" s="245"/>
      <c r="M225" s="245"/>
      <c r="N225" s="245"/>
      <c r="O225" s="245"/>
      <c r="P225" s="245"/>
      <c r="Q225" s="245"/>
      <c r="R225" s="245"/>
      <c r="S225" s="245"/>
      <c r="T225" s="234"/>
      <c r="U225" s="234"/>
      <c r="V225" s="238"/>
      <c r="W225" s="238"/>
      <c r="X225" s="234"/>
      <c r="Y225" s="234"/>
      <c r="Z225" s="234"/>
      <c r="AA225" s="234"/>
      <c r="AB225" s="234"/>
      <c r="AC225" s="234"/>
      <c r="AD225" s="234"/>
      <c r="AE225" s="234"/>
      <c r="AF225" s="626">
        <f t="shared" ref="AF225:AQ225" si="93">AF226+AF229</f>
        <v>6.9193816701396853E-4</v>
      </c>
      <c r="AG225" s="626">
        <f t="shared" si="93"/>
        <v>-1.6822942357875357E-5</v>
      </c>
      <c r="AH225" s="626">
        <f t="shared" si="93"/>
        <v>1.8384095608773088E-3</v>
      </c>
      <c r="AI225" s="626">
        <f t="shared" si="93"/>
        <v>1.4153785130573417E-2</v>
      </c>
      <c r="AJ225" s="626">
        <f t="shared" si="93"/>
        <v>3.8520059426997391E-2</v>
      </c>
      <c r="AK225" s="626">
        <f t="shared" si="93"/>
        <v>3.2616578624843962E-2</v>
      </c>
      <c r="AL225" s="626">
        <f t="shared" si="93"/>
        <v>3.9637274007258083E-2</v>
      </c>
      <c r="AM225" s="626">
        <f t="shared" si="93"/>
        <v>1.9423133549522763E-2</v>
      </c>
      <c r="AN225" s="626">
        <f t="shared" si="93"/>
        <v>1.7522002799999915E-2</v>
      </c>
      <c r="AO225" s="256">
        <f t="shared" si="93"/>
        <v>0.26644305867032481</v>
      </c>
      <c r="AP225" s="256">
        <f t="shared" si="93"/>
        <v>-301.11318603580003</v>
      </c>
      <c r="AQ225" s="256">
        <f t="shared" si="93"/>
        <v>-159.0811833866232</v>
      </c>
      <c r="AR225" s="256">
        <v>0.34296275132149601</v>
      </c>
      <c r="AS225" s="256">
        <v>0.3792444717450269</v>
      </c>
      <c r="AT225" s="256">
        <v>0.44049521484927473</v>
      </c>
      <c r="AU225" s="256">
        <v>0.52589988294280621</v>
      </c>
      <c r="AV225" s="256">
        <v>0.60631836561568875</v>
      </c>
      <c r="AW225" s="256">
        <v>0.6897866905710881</v>
      </c>
      <c r="AX225" s="256">
        <v>0.7946445688478706</v>
      </c>
      <c r="AY225" s="256">
        <v>0.91367857146287412</v>
      </c>
      <c r="AZ225" s="256">
        <v>1.0405607432667632</v>
      </c>
      <c r="BA225" s="256">
        <v>1.1821286479792583</v>
      </c>
      <c r="BB225" s="256">
        <v>1.3388600504504087</v>
      </c>
      <c r="BC225" s="256">
        <v>1.4652836750565421</v>
      </c>
      <c r="BD225" s="256">
        <v>1.6158939905669545</v>
      </c>
      <c r="BE225" s="256">
        <v>1.7952284520095074</v>
      </c>
      <c r="BF225" s="256">
        <v>1.9732279119152798</v>
      </c>
      <c r="BG225" s="256">
        <v>2.1618332510402389</v>
      </c>
      <c r="BH225" s="256">
        <v>2.3415411121770262</v>
      </c>
      <c r="BI225" s="256">
        <v>2.5168111729562406</v>
      </c>
      <c r="BJ225" s="256">
        <v>2.707279729269144</v>
      </c>
      <c r="BK225" s="256">
        <v>2.9047754543106858</v>
      </c>
      <c r="BL225" s="256">
        <v>3.1037727804529744</v>
      </c>
      <c r="BM225" s="256">
        <v>3.3125351186148988</v>
      </c>
      <c r="BN225" s="256">
        <v>3.5310454752944462</v>
      </c>
      <c r="BO225" s="256">
        <v>3.7778529669435388</v>
      </c>
      <c r="BP225" s="256">
        <v>4.0036371266813049</v>
      </c>
      <c r="BQ225" s="256">
        <v>4.2382338886999547</v>
      </c>
      <c r="BR225" s="256">
        <v>4.4830988546286044</v>
      </c>
      <c r="BS225" s="256">
        <v>4.7401141323888707</v>
      </c>
      <c r="BT225" s="256">
        <v>4.9902236198175292</v>
      </c>
      <c r="BU225" s="256">
        <v>5.2389613432658129</v>
      </c>
      <c r="BV225" s="256">
        <v>5.5021916916426328</v>
      </c>
      <c r="BW225" s="256">
        <v>5.6858849194866279</v>
      </c>
      <c r="BX225" s="256">
        <v>5.9547800954056882</v>
      </c>
      <c r="BY225" s="256">
        <v>6.2326290746147093</v>
      </c>
      <c r="BZ225" s="256">
        <v>6.5195944376254413</v>
      </c>
      <c r="CA225" s="256">
        <v>6.8314709313163711</v>
      </c>
      <c r="CB225" s="256">
        <v>7.1260001863829068</v>
      </c>
      <c r="CC225" s="256">
        <v>7.428917927735025</v>
      </c>
      <c r="CD225" s="256">
        <v>7.7413412248957716</v>
      </c>
      <c r="CE225" s="256">
        <v>8.0648700650989209</v>
      </c>
      <c r="CF225" s="256">
        <v>8.3832194878641939</v>
      </c>
      <c r="CG225" s="256">
        <v>8.7012013722037178</v>
      </c>
      <c r="CH225" s="256">
        <v>9.0323553872661968</v>
      </c>
      <c r="CI225" s="256">
        <v>9.3705849760632223</v>
      </c>
      <c r="CJ225" s="256">
        <v>9.7114874005699399</v>
      </c>
      <c r="CK225" s="256">
        <v>10.060882622912368</v>
      </c>
      <c r="CL225" s="256">
        <v>10.418888514284374</v>
      </c>
      <c r="CM225" s="256">
        <v>10.799003020195887</v>
      </c>
      <c r="CN225" s="256">
        <v>11.164718548808256</v>
      </c>
      <c r="CO225" s="256">
        <v>11.537250071366632</v>
      </c>
      <c r="CP225" s="256">
        <v>11.913983908833274</v>
      </c>
      <c r="CQ225" s="256">
        <v>12.294583058213501</v>
      </c>
      <c r="CR225" s="256">
        <v>12.678907135664053</v>
      </c>
      <c r="CS225" s="256">
        <v>13.066913603970066</v>
      </c>
      <c r="CT225" s="256">
        <v>13.458608481964525</v>
      </c>
      <c r="CU225" s="256">
        <v>13.854021698840455</v>
      </c>
      <c r="CV225" s="256">
        <v>14.253176840986411</v>
      </c>
      <c r="CW225" s="256">
        <v>14.656090113068178</v>
      </c>
      <c r="CX225" s="256">
        <v>15.062778202378519</v>
      </c>
      <c r="CY225" s="256">
        <v>15.473252516927815</v>
      </c>
    </row>
    <row r="226" spans="1:103">
      <c r="A226" s="229"/>
      <c r="B226" s="230"/>
      <c r="C226" s="229" t="s">
        <v>218</v>
      </c>
      <c r="D226" s="230"/>
      <c r="E226" s="203"/>
      <c r="F226" s="230"/>
      <c r="G226" s="232" t="s">
        <v>736</v>
      </c>
      <c r="H226" s="203"/>
      <c r="I226" s="203"/>
      <c r="J226" s="203"/>
      <c r="K226" s="203"/>
      <c r="L226" s="229"/>
      <c r="M226" s="229"/>
      <c r="N226" s="229"/>
      <c r="O226" s="229"/>
      <c r="P226" s="229"/>
      <c r="Q226" s="229"/>
      <c r="R226" s="229"/>
      <c r="S226" s="229"/>
      <c r="T226" s="234"/>
      <c r="U226" s="234"/>
      <c r="V226" s="234"/>
      <c r="W226" s="234"/>
      <c r="X226" s="234"/>
      <c r="Y226" s="234"/>
      <c r="Z226" s="234"/>
      <c r="AA226" s="234"/>
      <c r="AB226" s="234"/>
      <c r="AC226" s="234"/>
      <c r="AD226" s="234"/>
      <c r="AE226" s="234"/>
      <c r="AF226" s="626">
        <f t="shared" ref="AF226:AQ226" si="94">AF227+AF228</f>
        <v>-2.1615991443542953E-6</v>
      </c>
      <c r="AG226" s="626">
        <f t="shared" si="94"/>
        <v>4.8555524015648966E-7</v>
      </c>
      <c r="AH226" s="626">
        <f t="shared" si="94"/>
        <v>-5.4537957457543299E-5</v>
      </c>
      <c r="AI226" s="626">
        <f t="shared" si="94"/>
        <v>-6.2755273015905992E-4</v>
      </c>
      <c r="AJ226" s="626">
        <f t="shared" si="94"/>
        <v>1.7830204402286842E-2</v>
      </c>
      <c r="AK226" s="626">
        <f t="shared" si="94"/>
        <v>3.4665997337948208E-2</v>
      </c>
      <c r="AL226" s="626">
        <f t="shared" si="94"/>
        <v>4.3597696843678292E-2</v>
      </c>
      <c r="AM226" s="626">
        <f t="shared" si="94"/>
        <v>4.4377524749941395E-2</v>
      </c>
      <c r="AN226" s="626">
        <f t="shared" si="94"/>
        <v>-2.2459218431186118E-2</v>
      </c>
      <c r="AO226" s="256">
        <f t="shared" si="94"/>
        <v>-5.9517819293054608E-2</v>
      </c>
      <c r="AP226" s="256">
        <f t="shared" si="94"/>
        <v>-301.09474597623961</v>
      </c>
      <c r="AQ226" s="256">
        <f t="shared" si="94"/>
        <v>-159.08188203407369</v>
      </c>
      <c r="AR226" s="256">
        <v>0.25485864902006006</v>
      </c>
      <c r="AS226" s="256">
        <v>0.27567533044906739</v>
      </c>
      <c r="AT226" s="256">
        <v>0.31275907695036165</v>
      </c>
      <c r="AU226" s="256">
        <v>0.36274656935567418</v>
      </c>
      <c r="AV226" s="256">
        <v>0.42286707822908154</v>
      </c>
      <c r="AW226" s="256">
        <v>0.49452884542540387</v>
      </c>
      <c r="AX226" s="256">
        <v>0.57194436883367805</v>
      </c>
      <c r="AY226" s="256">
        <v>0.65859629288657939</v>
      </c>
      <c r="AZ226" s="256">
        <v>0.75402357055658431</v>
      </c>
      <c r="BA226" s="256">
        <v>0.8579893855662637</v>
      </c>
      <c r="BB226" s="256">
        <v>0.96998573375597341</v>
      </c>
      <c r="BC226" s="256">
        <v>1.0226204833275379</v>
      </c>
      <c r="BD226" s="256">
        <v>1.1564402518482635</v>
      </c>
      <c r="BE226" s="256">
        <v>1.284861554680758</v>
      </c>
      <c r="BF226" s="256">
        <v>1.4104249469918915</v>
      </c>
      <c r="BG226" s="256">
        <v>1.540449306733596</v>
      </c>
      <c r="BH226" s="256">
        <v>1.6753880076417946</v>
      </c>
      <c r="BI226" s="256">
        <v>1.8132755931130515</v>
      </c>
      <c r="BJ226" s="256">
        <v>1.9550161245574409</v>
      </c>
      <c r="BK226" s="256">
        <v>2.100386176155014</v>
      </c>
      <c r="BL226" s="256">
        <v>2.2503560121995667</v>
      </c>
      <c r="BM226" s="256">
        <v>2.405024138298129</v>
      </c>
      <c r="BN226" s="256">
        <v>2.5641285932172999</v>
      </c>
      <c r="BO226" s="256">
        <v>2.7277395586199598</v>
      </c>
      <c r="BP226" s="256">
        <v>2.895895583258052</v>
      </c>
      <c r="BQ226" s="256">
        <v>3.0686182726130591</v>
      </c>
      <c r="BR226" s="256">
        <v>3.2459066063356188</v>
      </c>
      <c r="BS226" s="256">
        <v>3.4277551280628327</v>
      </c>
      <c r="BT226" s="256">
        <v>3.6141544559831562</v>
      </c>
      <c r="BU226" s="256">
        <v>3.8051004878608894</v>
      </c>
      <c r="BV226" s="256">
        <v>4.0005924255643857</v>
      </c>
      <c r="BW226" s="256">
        <v>4.2006291691804378</v>
      </c>
      <c r="BX226" s="256">
        <v>4.4052099813001613</v>
      </c>
      <c r="BY226" s="256">
        <v>4.6143345752150227</v>
      </c>
      <c r="BZ226" s="256">
        <v>4.8280030342241718</v>
      </c>
      <c r="CA226" s="256">
        <v>5.0462156069240658</v>
      </c>
      <c r="CB226" s="256">
        <v>5.2689725755072931</v>
      </c>
      <c r="CC226" s="256">
        <v>5.4962741629670111</v>
      </c>
      <c r="CD226" s="256">
        <v>5.7281205275735916</v>
      </c>
      <c r="CE226" s="256">
        <v>5.9645117853215162</v>
      </c>
      <c r="CF226" s="256">
        <v>6.2054480194633221</v>
      </c>
      <c r="CG226" s="256">
        <v>6.4509292884723903</v>
      </c>
      <c r="CH226" s="256">
        <v>6.7009556337391363</v>
      </c>
      <c r="CI226" s="256">
        <v>6.9555270864380558</v>
      </c>
      <c r="CJ226" s="256">
        <v>7.2146436724081111</v>
      </c>
      <c r="CK226" s="256">
        <v>7.478305415038065</v>
      </c>
      <c r="CL226" s="256">
        <v>7.746512336450758</v>
      </c>
      <c r="CM226" s="256">
        <v>8.0192644577843204</v>
      </c>
      <c r="CN226" s="256">
        <v>8.2965747154317526</v>
      </c>
      <c r="CO226" s="256">
        <v>8.5780789162381428</v>
      </c>
      <c r="CP226" s="256">
        <v>8.8630880183002905</v>
      </c>
      <c r="CQ226" s="256">
        <v>9.1512766152696052</v>
      </c>
      <c r="CR226" s="256">
        <v>9.4425007047353606</v>
      </c>
      <c r="CS226" s="256">
        <v>9.7367067742756426</v>
      </c>
      <c r="CT226" s="256">
        <v>10.033886342158588</v>
      </c>
      <c r="CU226" s="256">
        <v>10.334053226610028</v>
      </c>
      <c r="CV226" s="256">
        <v>10.637212157244969</v>
      </c>
      <c r="CW226" s="256">
        <v>10.943369324852599</v>
      </c>
      <c r="CX226" s="256">
        <v>11.252536611951959</v>
      </c>
      <c r="CY226" s="256">
        <v>11.564723529748568</v>
      </c>
    </row>
    <row r="227" spans="1:103">
      <c r="A227" s="93"/>
      <c r="B227" s="230"/>
      <c r="C227" s="230"/>
      <c r="D227" s="230" t="s">
        <v>737</v>
      </c>
      <c r="E227" s="232"/>
      <c r="F227" s="230"/>
      <c r="G227" s="232" t="s">
        <v>736</v>
      </c>
      <c r="H227" s="203"/>
      <c r="I227" s="94"/>
      <c r="J227" s="94"/>
      <c r="K227" s="94"/>
      <c r="L227" s="93"/>
      <c r="M227" s="93"/>
      <c r="N227" s="93"/>
      <c r="O227" s="93"/>
      <c r="P227" s="93"/>
      <c r="Q227" s="93"/>
      <c r="R227" s="93"/>
      <c r="S227" s="93"/>
      <c r="T227" s="600"/>
      <c r="U227" s="600"/>
      <c r="V227" s="600"/>
      <c r="W227" s="600"/>
      <c r="X227" s="600"/>
      <c r="Y227" s="600"/>
      <c r="Z227" s="600"/>
      <c r="AA227" s="600"/>
      <c r="AB227" s="600"/>
      <c r="AC227" s="600"/>
      <c r="AD227" s="600"/>
      <c r="AE227" s="597"/>
      <c r="AF227" s="629">
        <v>0</v>
      </c>
      <c r="AG227" s="629">
        <v>8.2479999999999996E-6</v>
      </c>
      <c r="AH227" s="629">
        <v>0</v>
      </c>
      <c r="AI227" s="629">
        <v>1.85739E-3</v>
      </c>
      <c r="AJ227" s="629">
        <v>2.4543781000000001E-2</v>
      </c>
      <c r="AK227" s="629">
        <v>5.1387704999999999E-2</v>
      </c>
      <c r="AL227" s="629">
        <v>6.1644691000000001E-2</v>
      </c>
      <c r="AM227" s="629">
        <v>6.4077546999999999E-2</v>
      </c>
      <c r="AN227" s="629">
        <v>8.0426669000000006E-2</v>
      </c>
      <c r="AO227" s="632">
        <v>0</v>
      </c>
      <c r="AP227" s="632">
        <v>0</v>
      </c>
      <c r="AQ227" s="632">
        <v>0</v>
      </c>
      <c r="AR227" s="632">
        <v>0.34486258654195218</v>
      </c>
      <c r="AS227" s="632">
        <v>0.37854707813956662</v>
      </c>
      <c r="AT227" s="632">
        <v>0.43231891321703758</v>
      </c>
      <c r="AU227" s="632">
        <v>0.5019652116928196</v>
      </c>
      <c r="AV227" s="632">
        <v>0.58430363318931688</v>
      </c>
      <c r="AW227" s="632">
        <v>0.68007611773319165</v>
      </c>
      <c r="AX227" s="632">
        <v>0.78381989576798061</v>
      </c>
      <c r="AY227" s="632">
        <v>0.89967032862664509</v>
      </c>
      <c r="AZ227" s="632">
        <v>1.0269238478798688</v>
      </c>
      <c r="BA227" s="632">
        <v>1.1651893293889233</v>
      </c>
      <c r="BB227" s="632">
        <v>1.3139498473410687</v>
      </c>
      <c r="BC227" s="632">
        <v>1.4059312791152048</v>
      </c>
      <c r="BD227" s="632">
        <v>1.5806813409159313</v>
      </c>
      <c r="BE227" s="632">
        <v>1.7507801569026773</v>
      </c>
      <c r="BF227" s="632">
        <v>1.9195876409813932</v>
      </c>
      <c r="BG227" s="632">
        <v>2.0943746668374867</v>
      </c>
      <c r="BH227" s="632">
        <v>2.2751388761827038</v>
      </c>
      <c r="BI227" s="632">
        <v>2.4601359884639038</v>
      </c>
      <c r="BJ227" s="632">
        <v>2.6503785278360144</v>
      </c>
      <c r="BK227" s="632">
        <v>2.8457666555753529</v>
      </c>
      <c r="BL227" s="632">
        <v>3.0472844679727644</v>
      </c>
      <c r="BM227" s="632">
        <v>3.2549775567461929</v>
      </c>
      <c r="BN227" s="632">
        <v>3.4686147544013242</v>
      </c>
      <c r="BO227" s="632">
        <v>3.688282867783069</v>
      </c>
      <c r="BP227" s="632">
        <v>3.9140285426808501</v>
      </c>
      <c r="BQ227" s="632">
        <v>4.1458739198411889</v>
      </c>
      <c r="BR227" s="632">
        <v>4.3838164345782014</v>
      </c>
      <c r="BS227" s="632">
        <v>4.6278488628585066</v>
      </c>
      <c r="BT227" s="632">
        <v>4.8779608593207744</v>
      </c>
      <c r="BU227" s="632">
        <v>5.1341478569900936</v>
      </c>
      <c r="BV227" s="632">
        <v>5.3964084524934153</v>
      </c>
      <c r="BW227" s="632">
        <v>5.6647411036475042</v>
      </c>
      <c r="BX227" s="632">
        <v>5.9391448353736331</v>
      </c>
      <c r="BY227" s="632">
        <v>6.219619284420502</v>
      </c>
      <c r="BZ227" s="632">
        <v>6.5061645409518967</v>
      </c>
      <c r="CA227" s="632">
        <v>6.7987808900532878</v>
      </c>
      <c r="CB227" s="632">
        <v>7.0974686518190166</v>
      </c>
      <c r="CC227" s="632">
        <v>7.4022280805756298</v>
      </c>
      <c r="CD227" s="632">
        <v>7.7130593591047463</v>
      </c>
      <c r="CE227" s="632">
        <v>8.029962619958857</v>
      </c>
      <c r="CF227" s="632">
        <v>8.3529379556928784</v>
      </c>
      <c r="CG227" s="632">
        <v>8.6819854287184324</v>
      </c>
      <c r="CH227" s="632">
        <v>9.0171050811440221</v>
      </c>
      <c r="CI227" s="632">
        <v>9.3582969433258345</v>
      </c>
      <c r="CJ227" s="632">
        <v>9.7055610398016423</v>
      </c>
      <c r="CK227" s="632">
        <v>10.0588973927072</v>
      </c>
      <c r="CL227" s="632">
        <v>10.41830602317331</v>
      </c>
      <c r="CM227" s="632">
        <v>10.783786951660145</v>
      </c>
      <c r="CN227" s="632">
        <v>11.155222489162698</v>
      </c>
      <c r="CO227" s="632">
        <v>11.532052504836258</v>
      </c>
      <c r="CP227" s="632">
        <v>11.913489987970186</v>
      </c>
      <c r="CQ227" s="632">
        <v>12.299160547854122</v>
      </c>
      <c r="CR227" s="632">
        <v>12.688895689931718</v>
      </c>
      <c r="CS227" s="632">
        <v>13.082629655733482</v>
      </c>
      <c r="CT227" s="632">
        <v>13.480347840519499</v>
      </c>
      <c r="CU227" s="632">
        <v>13.882061001019844</v>
      </c>
      <c r="CV227" s="632">
        <v>14.287774252608768</v>
      </c>
      <c r="CW227" s="632">
        <v>14.697496815381117</v>
      </c>
      <c r="CX227" s="632">
        <v>15.111243437259619</v>
      </c>
      <c r="CY227" s="632">
        <v>15.529025681173261</v>
      </c>
    </row>
    <row r="228" spans="1:103">
      <c r="A228" s="229"/>
      <c r="B228" s="230"/>
      <c r="C228" s="230"/>
      <c r="D228" s="230" t="s">
        <v>798</v>
      </c>
      <c r="E228" s="232"/>
      <c r="F228" s="230"/>
      <c r="G228" s="232" t="s">
        <v>736</v>
      </c>
      <c r="H228" s="203"/>
      <c r="I228" s="203"/>
      <c r="J228" s="203"/>
      <c r="K228" s="203"/>
      <c r="L228" s="229"/>
      <c r="M228" s="229"/>
      <c r="N228" s="229"/>
      <c r="O228" s="229"/>
      <c r="P228" s="229"/>
      <c r="Q228" s="229"/>
      <c r="R228" s="229"/>
      <c r="S228" s="229"/>
      <c r="T228" s="600"/>
      <c r="U228" s="600"/>
      <c r="V228" s="600"/>
      <c r="W228" s="600"/>
      <c r="X228" s="600"/>
      <c r="Y228" s="600"/>
      <c r="Z228" s="600"/>
      <c r="AA228" s="600"/>
      <c r="AB228" s="600"/>
      <c r="AC228" s="600"/>
      <c r="AD228" s="600"/>
      <c r="AE228" s="600"/>
      <c r="AF228" s="629">
        <v>-2.1615991443542953E-6</v>
      </c>
      <c r="AG228" s="629">
        <v>-7.76244475984351E-6</v>
      </c>
      <c r="AH228" s="629">
        <v>-5.4537957457543299E-5</v>
      </c>
      <c r="AI228" s="629">
        <v>-2.4849427301590599E-3</v>
      </c>
      <c r="AJ228" s="629">
        <v>-6.71357659771316E-3</v>
      </c>
      <c r="AK228" s="629">
        <v>-1.6721707662051791E-2</v>
      </c>
      <c r="AL228" s="629">
        <v>-1.8046994156321709E-2</v>
      </c>
      <c r="AM228" s="629">
        <v>-1.9700022250058603E-2</v>
      </c>
      <c r="AN228" s="629">
        <v>-0.10288588743118612</v>
      </c>
      <c r="AO228" s="601">
        <v>-5.9517819293054608E-2</v>
      </c>
      <c r="AP228" s="632">
        <v>-301.09474597623961</v>
      </c>
      <c r="AQ228" s="632">
        <v>-159.08188203407369</v>
      </c>
      <c r="AR228" s="632">
        <v>-9.0003937521892119E-2</v>
      </c>
      <c r="AS228" s="632">
        <v>-0.10287174769049924</v>
      </c>
      <c r="AT228" s="632">
        <v>-0.11955983626667592</v>
      </c>
      <c r="AU228" s="632">
        <v>-0.13921864233714543</v>
      </c>
      <c r="AV228" s="632">
        <v>-0.16143655496023537</v>
      </c>
      <c r="AW228" s="632">
        <v>-0.18554727230778778</v>
      </c>
      <c r="AX228" s="632">
        <v>-0.21187552693430259</v>
      </c>
      <c r="AY228" s="632">
        <v>-0.2410740357400657</v>
      </c>
      <c r="AZ228" s="632">
        <v>-0.27290027732328448</v>
      </c>
      <c r="BA228" s="632">
        <v>-0.30719994382265953</v>
      </c>
      <c r="BB228" s="632">
        <v>-0.34396411358509532</v>
      </c>
      <c r="BC228" s="632">
        <v>-0.38331079578766697</v>
      </c>
      <c r="BD228" s="632">
        <v>-0.42424108906766783</v>
      </c>
      <c r="BE228" s="632">
        <v>-0.46591860222191928</v>
      </c>
      <c r="BF228" s="632">
        <v>-0.50916269398950165</v>
      </c>
      <c r="BG228" s="632">
        <v>-0.55392536010389082</v>
      </c>
      <c r="BH228" s="632">
        <v>-0.59975086854090909</v>
      </c>
      <c r="BI228" s="632">
        <v>-0.64686039535085216</v>
      </c>
      <c r="BJ228" s="632">
        <v>-0.69536240327857335</v>
      </c>
      <c r="BK228" s="632">
        <v>-0.74538047942033892</v>
      </c>
      <c r="BL228" s="632">
        <v>-0.79692845577319782</v>
      </c>
      <c r="BM228" s="632">
        <v>-0.84995341844806382</v>
      </c>
      <c r="BN228" s="632">
        <v>-0.90448616118402436</v>
      </c>
      <c r="BO228" s="632">
        <v>-0.96054330916310926</v>
      </c>
      <c r="BP228" s="632">
        <v>-1.0181329594227984</v>
      </c>
      <c r="BQ228" s="632">
        <v>-1.0772556472281301</v>
      </c>
      <c r="BR228" s="632">
        <v>-1.1379098282425828</v>
      </c>
      <c r="BS228" s="632">
        <v>-1.2000937347956742</v>
      </c>
      <c r="BT228" s="632">
        <v>-1.263806403337618</v>
      </c>
      <c r="BU228" s="632">
        <v>-1.3290473691292042</v>
      </c>
      <c r="BV228" s="632">
        <v>-1.3958160269290296</v>
      </c>
      <c r="BW228" s="632">
        <v>-1.4641119344670663</v>
      </c>
      <c r="BX228" s="632">
        <v>-1.5339348540734721</v>
      </c>
      <c r="BY228" s="632">
        <v>-1.6052847092054792</v>
      </c>
      <c r="BZ228" s="632">
        <v>-1.6781615067277247</v>
      </c>
      <c r="CA228" s="632">
        <v>-1.7525652831292222</v>
      </c>
      <c r="CB228" s="632">
        <v>-1.8284960763117235</v>
      </c>
      <c r="CC228" s="632">
        <v>-1.9059539176086184</v>
      </c>
      <c r="CD228" s="632">
        <v>-1.9849388315311549</v>
      </c>
      <c r="CE228" s="632">
        <v>-2.0654508346373412</v>
      </c>
      <c r="CF228" s="632">
        <v>-2.1474899362295568</v>
      </c>
      <c r="CG228" s="632">
        <v>-2.231056140246042</v>
      </c>
      <c r="CH228" s="632">
        <v>-2.3161494474048858</v>
      </c>
      <c r="CI228" s="632">
        <v>-2.4027698568877787</v>
      </c>
      <c r="CJ228" s="632">
        <v>-2.4909173673935312</v>
      </c>
      <c r="CK228" s="632">
        <v>-2.5805919776691355</v>
      </c>
      <c r="CL228" s="632">
        <v>-2.6717936867225514</v>
      </c>
      <c r="CM228" s="632">
        <v>-2.7645224938758255</v>
      </c>
      <c r="CN228" s="632">
        <v>-2.8586477737309459</v>
      </c>
      <c r="CO228" s="632">
        <v>-2.953973588598116</v>
      </c>
      <c r="CP228" s="632">
        <v>-3.0504019696698959</v>
      </c>
      <c r="CQ228" s="632">
        <v>-3.147883932584516</v>
      </c>
      <c r="CR228" s="632">
        <v>-3.2463949851963565</v>
      </c>
      <c r="CS228" s="632">
        <v>-3.3459228814578403</v>
      </c>
      <c r="CT228" s="632">
        <v>-3.4464614983609105</v>
      </c>
      <c r="CU228" s="632">
        <v>-3.5480077744098169</v>
      </c>
      <c r="CV228" s="632">
        <v>-3.6505620953637998</v>
      </c>
      <c r="CW228" s="632">
        <v>-3.7541274905285178</v>
      </c>
      <c r="CX228" s="632">
        <v>-3.8587068253076602</v>
      </c>
      <c r="CY228" s="632">
        <v>-3.9643021514246928</v>
      </c>
    </row>
    <row r="229" spans="1:103">
      <c r="A229" s="229"/>
      <c r="B229" s="230"/>
      <c r="C229" s="229" t="s">
        <v>220</v>
      </c>
      <c r="D229" s="229"/>
      <c r="E229" s="203"/>
      <c r="F229" s="229"/>
      <c r="G229" s="232" t="s">
        <v>736</v>
      </c>
      <c r="H229" s="203"/>
      <c r="I229" s="203"/>
      <c r="J229" s="203"/>
      <c r="K229" s="203"/>
      <c r="L229" s="229"/>
      <c r="M229" s="229"/>
      <c r="N229" s="229"/>
      <c r="O229" s="229"/>
      <c r="P229" s="229"/>
      <c r="Q229" s="229"/>
      <c r="R229" s="229"/>
      <c r="S229" s="229"/>
      <c r="T229" s="234"/>
      <c r="U229" s="234"/>
      <c r="V229" s="234"/>
      <c r="W229" s="234"/>
      <c r="X229" s="234"/>
      <c r="Y229" s="234"/>
      <c r="Z229" s="234"/>
      <c r="AA229" s="234"/>
      <c r="AB229" s="234"/>
      <c r="AC229" s="234"/>
      <c r="AD229" s="234"/>
      <c r="AE229" s="234"/>
      <c r="AF229" s="662">
        <f t="shared" ref="AF229:AQ229" si="95">AF230+AF240</f>
        <v>6.9409976615832287E-4</v>
      </c>
      <c r="AG229" s="662">
        <f t="shared" si="95"/>
        <v>-1.7308497598031848E-5</v>
      </c>
      <c r="AH229" s="662">
        <f t="shared" si="95"/>
        <v>1.8929475183348521E-3</v>
      </c>
      <c r="AI229" s="662">
        <f t="shared" si="95"/>
        <v>1.4781337860732477E-2</v>
      </c>
      <c r="AJ229" s="662">
        <f t="shared" si="95"/>
        <v>2.0689855024710546E-2</v>
      </c>
      <c r="AK229" s="662">
        <f>AK230+AK240</f>
        <v>-2.0494187131042466E-3</v>
      </c>
      <c r="AL229" s="626">
        <f t="shared" si="95"/>
        <v>-3.960422836420209E-3</v>
      </c>
      <c r="AM229" s="626">
        <f t="shared" si="95"/>
        <v>-2.4954391200418632E-2</v>
      </c>
      <c r="AN229" s="626">
        <f t="shared" si="95"/>
        <v>3.9981221231186033E-2</v>
      </c>
      <c r="AO229" s="626">
        <f t="shared" si="95"/>
        <v>0.32596087796337941</v>
      </c>
      <c r="AP229" s="626">
        <f t="shared" si="95"/>
        <v>-1.8440059560433718E-2</v>
      </c>
      <c r="AQ229" s="626">
        <f t="shared" si="95"/>
        <v>6.9864745050100038E-4</v>
      </c>
      <c r="AR229" s="626">
        <v>8.8104102301435977E-2</v>
      </c>
      <c r="AS229" s="626">
        <v>0.10356914129595951</v>
      </c>
      <c r="AT229" s="626">
        <v>0.12773613789891308</v>
      </c>
      <c r="AU229" s="626">
        <v>0.16315331358713203</v>
      </c>
      <c r="AV229" s="626">
        <v>0.18345128738660724</v>
      </c>
      <c r="AW229" s="626">
        <v>0.19525784514568428</v>
      </c>
      <c r="AX229" s="626">
        <v>0.22270020001419252</v>
      </c>
      <c r="AY229" s="626">
        <v>0.25508227857629467</v>
      </c>
      <c r="AZ229" s="626">
        <v>0.28653717271017887</v>
      </c>
      <c r="BA229" s="626">
        <v>0.32413926241299462</v>
      </c>
      <c r="BB229" s="626">
        <v>0.36887431669443527</v>
      </c>
      <c r="BC229" s="626">
        <v>0.44266319172900431</v>
      </c>
      <c r="BD229" s="626">
        <v>0.45945373871869105</v>
      </c>
      <c r="BE229" s="626">
        <v>0.5103668973287494</v>
      </c>
      <c r="BF229" s="626">
        <v>0.56280296492338833</v>
      </c>
      <c r="BG229" s="626">
        <v>0.62138394430664268</v>
      </c>
      <c r="BH229" s="626">
        <v>0.66615310453523147</v>
      </c>
      <c r="BI229" s="626">
        <v>0.70353557984318893</v>
      </c>
      <c r="BJ229" s="626">
        <v>0.75226360471170306</v>
      </c>
      <c r="BK229" s="626">
        <v>0.80438927815567163</v>
      </c>
      <c r="BL229" s="626">
        <v>0.85341676825340762</v>
      </c>
      <c r="BM229" s="626">
        <v>0.90751098031676958</v>
      </c>
      <c r="BN229" s="626">
        <v>0.96691688207714643</v>
      </c>
      <c r="BO229" s="626">
        <v>1.050113408323579</v>
      </c>
      <c r="BP229" s="626">
        <v>1.1077415434232525</v>
      </c>
      <c r="BQ229" s="626">
        <v>1.1696156160868956</v>
      </c>
      <c r="BR229" s="626">
        <v>1.2371922482929851</v>
      </c>
      <c r="BS229" s="626">
        <v>1.3123590043260382</v>
      </c>
      <c r="BT229" s="626">
        <v>1.3760691638343725</v>
      </c>
      <c r="BU229" s="626">
        <v>1.4338608554049237</v>
      </c>
      <c r="BV229" s="626">
        <v>1.5015992660782467</v>
      </c>
      <c r="BW229" s="626">
        <v>1.4852557503061901</v>
      </c>
      <c r="BX229" s="626">
        <v>1.5495701141055269</v>
      </c>
      <c r="BY229" s="626">
        <v>1.6182944993996864</v>
      </c>
      <c r="BZ229" s="626">
        <v>1.69159140340127</v>
      </c>
      <c r="CA229" s="626">
        <v>1.7852553243923051</v>
      </c>
      <c r="CB229" s="626">
        <v>1.8570276108756136</v>
      </c>
      <c r="CC229" s="626">
        <v>1.9326437647680144</v>
      </c>
      <c r="CD229" s="626">
        <v>2.01322069732218</v>
      </c>
      <c r="CE229" s="626">
        <v>2.1003582797774043</v>
      </c>
      <c r="CF229" s="626">
        <v>2.1777714684008718</v>
      </c>
      <c r="CG229" s="626">
        <v>2.250272083731327</v>
      </c>
      <c r="CH229" s="626">
        <v>2.3313997535270601</v>
      </c>
      <c r="CI229" s="626">
        <v>2.415057889625166</v>
      </c>
      <c r="CJ229" s="626">
        <v>2.4968437281618296</v>
      </c>
      <c r="CK229" s="626">
        <v>2.5825772078743028</v>
      </c>
      <c r="CL229" s="626">
        <v>2.6723761778336161</v>
      </c>
      <c r="CM229" s="626">
        <v>2.7797385624115658</v>
      </c>
      <c r="CN229" s="626">
        <v>2.8681438333765046</v>
      </c>
      <c r="CO229" s="626">
        <v>2.9591711551284892</v>
      </c>
      <c r="CP229" s="626">
        <v>3.0508958905329826</v>
      </c>
      <c r="CQ229" s="626">
        <v>3.1433064429438953</v>
      </c>
      <c r="CR229" s="626">
        <v>3.2364064309286924</v>
      </c>
      <c r="CS229" s="626">
        <v>3.3302068296944238</v>
      </c>
      <c r="CT229" s="626">
        <v>3.4247221398059366</v>
      </c>
      <c r="CU229" s="626">
        <v>3.5199684722304285</v>
      </c>
      <c r="CV229" s="626">
        <v>3.6159646837414425</v>
      </c>
      <c r="CW229" s="626">
        <v>3.7127207882155799</v>
      </c>
      <c r="CX229" s="626">
        <v>3.8102415904265605</v>
      </c>
      <c r="CY229" s="626">
        <v>3.9085289871792477</v>
      </c>
    </row>
    <row r="230" spans="1:103">
      <c r="A230" s="229"/>
      <c r="B230" s="230"/>
      <c r="C230" s="230"/>
      <c r="D230" s="229" t="s">
        <v>22</v>
      </c>
      <c r="E230" s="232"/>
      <c r="F230" s="230"/>
      <c r="G230" s="232" t="s">
        <v>736</v>
      </c>
      <c r="H230" s="203"/>
      <c r="I230" s="203"/>
      <c r="J230" s="203"/>
      <c r="K230" s="203"/>
      <c r="L230" s="229"/>
      <c r="M230" s="229"/>
      <c r="N230" s="229"/>
      <c r="O230" s="229"/>
      <c r="P230" s="229"/>
      <c r="Q230" s="229"/>
      <c r="R230" s="229"/>
      <c r="S230" s="229"/>
      <c r="T230" s="193"/>
      <c r="U230" s="193"/>
      <c r="V230" s="193"/>
      <c r="W230" s="193"/>
      <c r="X230" s="193"/>
      <c r="Y230" s="193"/>
      <c r="Z230" s="193"/>
      <c r="AA230" s="193"/>
      <c r="AB230" s="193"/>
      <c r="AC230" s="193"/>
      <c r="AD230" s="193"/>
      <c r="AE230" s="193"/>
      <c r="AF230" s="663">
        <f t="shared" ref="AF230:AQ230" si="96">SUM(AF231:AF239)</f>
        <v>1.0765026872384691E-3</v>
      </c>
      <c r="AG230" s="663">
        <f t="shared" si="96"/>
        <v>1.7700684628044709E-4</v>
      </c>
      <c r="AH230" s="663">
        <f t="shared" si="96"/>
        <v>2.4523253535681782E-3</v>
      </c>
      <c r="AI230" s="663">
        <f t="shared" si="96"/>
        <v>3.2371560045459699E-2</v>
      </c>
      <c r="AJ230" s="663">
        <f t="shared" si="96"/>
        <v>5.9323916845103686E-2</v>
      </c>
      <c r="AK230" s="627">
        <f>SUM(AK231:AK239)</f>
        <v>4.8855213123187628E-2</v>
      </c>
      <c r="AL230" s="627">
        <f t="shared" si="96"/>
        <v>5.2079184779746886E-2</v>
      </c>
      <c r="AM230" s="627">
        <f t="shared" si="96"/>
        <v>5.3718954629471891E-2</v>
      </c>
      <c r="AN230" s="627">
        <f t="shared" si="96"/>
        <v>7.6711433315337571E-2</v>
      </c>
      <c r="AO230" s="627">
        <f t="shared" si="96"/>
        <v>0.39401988976378244</v>
      </c>
      <c r="AP230" s="627">
        <f t="shared" si="96"/>
        <v>-1.8440059560433718E-2</v>
      </c>
      <c r="AQ230" s="627">
        <f t="shared" si="96"/>
        <v>6.9864745050100038E-4</v>
      </c>
      <c r="AR230" s="627">
        <v>0.17619420605143599</v>
      </c>
      <c r="AS230" s="627">
        <v>0.20720638546262621</v>
      </c>
      <c r="AT230" s="627">
        <v>0.24868012914891313</v>
      </c>
      <c r="AU230" s="627">
        <v>0.30318980858713207</v>
      </c>
      <c r="AV230" s="627">
        <v>0.34439219280327393</v>
      </c>
      <c r="AW230" s="627">
        <v>0.37894121764568434</v>
      </c>
      <c r="AX230" s="627">
        <v>0.43099024626419258</v>
      </c>
      <c r="AY230" s="627">
        <v>0.48986935524296144</v>
      </c>
      <c r="AZ230" s="627">
        <v>0.5497377864601789</v>
      </c>
      <c r="BA230" s="627">
        <v>0.61769606991299475</v>
      </c>
      <c r="BB230" s="627">
        <v>0.69475612461110203</v>
      </c>
      <c r="BC230" s="627">
        <v>0.80286495672900426</v>
      </c>
      <c r="BD230" s="627">
        <v>0.85352241371869098</v>
      </c>
      <c r="BE230" s="627">
        <v>0.93955681232874944</v>
      </c>
      <c r="BF230" s="627">
        <v>1.0283684499233883</v>
      </c>
      <c r="BG230" s="627">
        <v>1.1245793293066426</v>
      </c>
      <c r="BH230" s="627">
        <v>1.2082327195352314</v>
      </c>
      <c r="BI230" s="627">
        <v>1.285753754843189</v>
      </c>
      <c r="BJ230" s="627">
        <v>1.375874669711703</v>
      </c>
      <c r="BK230" s="627">
        <v>1.4706475631556715</v>
      </c>
      <c r="BL230" s="627">
        <v>1.5635766032534075</v>
      </c>
      <c r="BM230" s="627">
        <v>1.6628266953167696</v>
      </c>
      <c r="BN230" s="627">
        <v>1.7686428070771465</v>
      </c>
      <c r="BO230" s="627">
        <v>1.8995038733235792</v>
      </c>
      <c r="BP230" s="627">
        <v>2.0060508784232525</v>
      </c>
      <c r="BQ230" s="627">
        <v>2.1180981510868957</v>
      </c>
      <c r="BR230" s="627">
        <v>2.237102313292985</v>
      </c>
      <c r="BS230" s="627">
        <v>2.3649509293260382</v>
      </c>
      <c r="BT230" s="627">
        <v>2.4825972788343726</v>
      </c>
      <c r="BU230" s="627">
        <v>2.5955794904049236</v>
      </c>
      <c r="BV230" s="627">
        <v>2.7197627510782465</v>
      </c>
      <c r="BW230" s="627">
        <v>2.84808616530619</v>
      </c>
      <c r="BX230" s="627">
        <v>2.975372539105527</v>
      </c>
      <c r="BY230" s="627">
        <v>3.1084087643996865</v>
      </c>
      <c r="BZ230" s="627">
        <v>3.2473573384012697</v>
      </c>
      <c r="CA230" s="627">
        <v>3.4080127593923049</v>
      </c>
      <c r="CB230" s="627">
        <v>3.5481163758756136</v>
      </c>
      <c r="CC230" s="627">
        <v>3.6934036897680143</v>
      </c>
      <c r="CD230" s="627">
        <v>3.8449916123221799</v>
      </c>
      <c r="CE230" s="627">
        <v>4.0044800147774042</v>
      </c>
      <c r="CF230" s="627">
        <v>4.1555838534008718</v>
      </c>
      <c r="CG230" s="627">
        <v>4.3031149487313272</v>
      </c>
      <c r="CH230" s="627">
        <v>4.4606129285270599</v>
      </c>
      <c r="CI230" s="627">
        <v>4.6219812046251656</v>
      </c>
      <c r="CJ230" s="627">
        <v>4.7828170131618295</v>
      </c>
      <c r="CK230" s="627">
        <v>4.948940292874302</v>
      </c>
      <c r="CL230" s="627">
        <v>5.1204688928336157</v>
      </c>
      <c r="CM230" s="627">
        <v>5.3109007374115658</v>
      </c>
      <c r="CN230" s="627">
        <v>5.4832686883765041</v>
      </c>
      <c r="CO230" s="627">
        <v>5.6591519101284886</v>
      </c>
      <c r="CP230" s="627">
        <v>5.8366257655329825</v>
      </c>
      <c r="CQ230" s="627">
        <v>6.0156786579438952</v>
      </c>
      <c r="CR230" s="627">
        <v>6.196314205928692</v>
      </c>
      <c r="CS230" s="627">
        <v>6.3785433846944235</v>
      </c>
      <c r="CT230" s="627">
        <v>6.5623806948059373</v>
      </c>
      <c r="CU230" s="627">
        <v>6.7478422472304276</v>
      </c>
      <c r="CV230" s="627">
        <v>6.9349468987414413</v>
      </c>
      <c r="CW230" s="627">
        <v>7.1237046632155794</v>
      </c>
      <c r="CX230" s="627">
        <v>7.3141203454265602</v>
      </c>
      <c r="CY230" s="627">
        <v>7.5061958421792472</v>
      </c>
    </row>
    <row r="231" spans="1:103">
      <c r="A231" s="229"/>
      <c r="B231" s="230"/>
      <c r="C231" s="230"/>
      <c r="D231" s="230"/>
      <c r="E231" s="230" t="s">
        <v>865</v>
      </c>
      <c r="F231" s="230"/>
      <c r="G231" s="232" t="s">
        <v>736</v>
      </c>
      <c r="H231" s="203"/>
      <c r="I231" s="203"/>
      <c r="J231" s="203"/>
      <c r="K231" s="203"/>
      <c r="L231" s="229"/>
      <c r="M231" s="229"/>
      <c r="N231" s="229"/>
      <c r="O231" s="229"/>
      <c r="P231" s="229"/>
      <c r="Q231" s="229"/>
      <c r="R231" s="229"/>
      <c r="S231" s="229"/>
      <c r="T231" s="597"/>
      <c r="U231" s="597"/>
      <c r="V231" s="597"/>
      <c r="W231" s="597"/>
      <c r="X231" s="597"/>
      <c r="Y231" s="597"/>
      <c r="Z231" s="597"/>
      <c r="AA231" s="597"/>
      <c r="AB231" s="597"/>
      <c r="AC231" s="597"/>
      <c r="AD231" s="597"/>
      <c r="AE231" s="664"/>
      <c r="AF231" s="665">
        <v>0</v>
      </c>
      <c r="AG231" s="665">
        <v>0</v>
      </c>
      <c r="AH231" s="665">
        <v>0</v>
      </c>
      <c r="AI231" s="665">
        <v>1.2352E-2</v>
      </c>
      <c r="AJ231" s="665">
        <v>6.4805000000000001E-3</v>
      </c>
      <c r="AK231" s="650">
        <v>8.9534999999999997E-3</v>
      </c>
      <c r="AL231" s="629">
        <v>6.434848E-3</v>
      </c>
      <c r="AM231" s="629">
        <v>7.0805809999999999E-3</v>
      </c>
      <c r="AN231" s="629">
        <v>1.3026827E-2</v>
      </c>
      <c r="AO231" s="601">
        <v>8.5909732000000003E-2</v>
      </c>
      <c r="AP231" s="632">
        <v>0</v>
      </c>
      <c r="AQ231" s="632">
        <v>0</v>
      </c>
      <c r="AR231" s="632">
        <v>1.9072223499999999E-2</v>
      </c>
      <c r="AS231" s="632">
        <v>2.2492312333333337E-2</v>
      </c>
      <c r="AT231" s="632">
        <v>2.6310718500000007E-2</v>
      </c>
      <c r="AU231" s="632">
        <v>3.0535582000000006E-2</v>
      </c>
      <c r="AV231" s="632">
        <v>3.5175042833333336E-2</v>
      </c>
      <c r="AW231" s="632">
        <v>4.0237241000000007E-2</v>
      </c>
      <c r="AX231" s="632">
        <v>4.5730316500000007E-2</v>
      </c>
      <c r="AY231" s="632">
        <v>5.1662409333333353E-2</v>
      </c>
      <c r="AZ231" s="632">
        <v>5.8041659500000009E-2</v>
      </c>
      <c r="BA231" s="632">
        <v>6.4876207000000033E-2</v>
      </c>
      <c r="BB231" s="632">
        <v>7.2174191833333359E-2</v>
      </c>
      <c r="BC231" s="632">
        <v>7.9943753999999992E-2</v>
      </c>
      <c r="BD231" s="632">
        <v>9.4551599999999972E-2</v>
      </c>
      <c r="BE231" s="632">
        <v>0.10297847999999998</v>
      </c>
      <c r="BF231" s="632">
        <v>0.11170631999999996</v>
      </c>
      <c r="BG231" s="632">
        <v>0.12073511999999997</v>
      </c>
      <c r="BH231" s="632">
        <v>0.13006487999999997</v>
      </c>
      <c r="BI231" s="632">
        <v>0.1396956</v>
      </c>
      <c r="BJ231" s="632">
        <v>0.14962728</v>
      </c>
      <c r="BK231" s="632">
        <v>0.15985991999999996</v>
      </c>
      <c r="BL231" s="632">
        <v>0.17039351999999997</v>
      </c>
      <c r="BM231" s="632">
        <v>0.18122808000000004</v>
      </c>
      <c r="BN231" s="632">
        <v>0.19236359999999997</v>
      </c>
      <c r="BO231" s="632">
        <v>0.20380008000000005</v>
      </c>
      <c r="BP231" s="632">
        <v>0.21553752000000004</v>
      </c>
      <c r="BQ231" s="632">
        <v>0.22757592000000004</v>
      </c>
      <c r="BR231" s="632">
        <v>0.23991527999999995</v>
      </c>
      <c r="BS231" s="632">
        <v>0.25255559999999999</v>
      </c>
      <c r="BT231" s="632">
        <v>0.26549687999999999</v>
      </c>
      <c r="BU231" s="632">
        <v>0.27873912000000001</v>
      </c>
      <c r="BV231" s="632">
        <v>0.29228231999999998</v>
      </c>
      <c r="BW231" s="632">
        <v>0.30612647999999998</v>
      </c>
      <c r="BX231" s="632">
        <v>0.32027159999999993</v>
      </c>
      <c r="BY231" s="632">
        <v>0.33471767999999996</v>
      </c>
      <c r="BZ231" s="632">
        <v>0.34946471999999995</v>
      </c>
      <c r="CA231" s="632">
        <v>0.36451271999999996</v>
      </c>
      <c r="CB231" s="632">
        <v>0.37986167999999992</v>
      </c>
      <c r="CC231" s="632">
        <v>0.39551159999999991</v>
      </c>
      <c r="CD231" s="632">
        <v>0.41146248000000002</v>
      </c>
      <c r="CE231" s="632">
        <v>0.42771431999999998</v>
      </c>
      <c r="CF231" s="632">
        <v>0.44426712000000002</v>
      </c>
      <c r="CG231" s="632">
        <v>0.46112087999999996</v>
      </c>
      <c r="CH231" s="632">
        <v>0.47827559999999997</v>
      </c>
      <c r="CI231" s="632">
        <v>0.49573127999999989</v>
      </c>
      <c r="CJ231" s="632">
        <v>0.51348791999999999</v>
      </c>
      <c r="CK231" s="632">
        <v>0.53154551999999988</v>
      </c>
      <c r="CL231" s="632">
        <v>0.5499040799999998</v>
      </c>
      <c r="CM231" s="632">
        <v>0.56856359999999995</v>
      </c>
      <c r="CN231" s="632">
        <v>0.58742375999999996</v>
      </c>
      <c r="CO231" s="632">
        <v>0.60648455999999995</v>
      </c>
      <c r="CP231" s="632">
        <v>0.62574599999999991</v>
      </c>
      <c r="CQ231" s="632">
        <v>0.64520808000000007</v>
      </c>
      <c r="CR231" s="632">
        <v>0.66487079999999976</v>
      </c>
      <c r="CS231" s="632">
        <v>0.68473415999999998</v>
      </c>
      <c r="CT231" s="632">
        <v>0.70479816000000006</v>
      </c>
      <c r="CU231" s="632">
        <v>0.72506279999999979</v>
      </c>
      <c r="CV231" s="632">
        <v>0.74552807999999982</v>
      </c>
      <c r="CW231" s="632">
        <v>0.76619399999999982</v>
      </c>
      <c r="CX231" s="632">
        <v>0.78706055999999991</v>
      </c>
      <c r="CY231" s="632">
        <v>0.80812775999999986</v>
      </c>
    </row>
    <row r="232" spans="1:103">
      <c r="A232" s="229"/>
      <c r="B232" s="230"/>
      <c r="C232" s="230"/>
      <c r="D232" s="230"/>
      <c r="E232" s="230" t="s">
        <v>866</v>
      </c>
      <c r="F232" s="230"/>
      <c r="G232" s="232" t="s">
        <v>736</v>
      </c>
      <c r="H232" s="203"/>
      <c r="I232" s="203"/>
      <c r="J232" s="203"/>
      <c r="K232" s="203"/>
      <c r="L232" s="229"/>
      <c r="M232" s="229"/>
      <c r="N232" s="229"/>
      <c r="O232" s="229"/>
      <c r="P232" s="229"/>
      <c r="Q232" s="229"/>
      <c r="R232" s="229"/>
      <c r="S232" s="229"/>
      <c r="T232" s="610"/>
      <c r="U232" s="610"/>
      <c r="V232" s="597"/>
      <c r="W232" s="597"/>
      <c r="X232" s="597"/>
      <c r="Y232" s="597"/>
      <c r="Z232" s="597"/>
      <c r="AA232" s="597"/>
      <c r="AB232" s="597"/>
      <c r="AC232" s="597"/>
      <c r="AD232" s="597"/>
      <c r="AE232" s="664"/>
      <c r="AF232" s="665">
        <v>0</v>
      </c>
      <c r="AG232" s="665">
        <v>1.4999999999999999E-4</v>
      </c>
      <c r="AH232" s="665">
        <v>0</v>
      </c>
      <c r="AI232" s="665">
        <v>0</v>
      </c>
      <c r="AJ232" s="665">
        <v>5.1895769999999999E-3</v>
      </c>
      <c r="AK232" s="650">
        <v>7.4403400000000001E-3</v>
      </c>
      <c r="AL232" s="629">
        <v>5.7888669999999996E-3</v>
      </c>
      <c r="AM232" s="629">
        <v>1.1996753000000001E-2</v>
      </c>
      <c r="AN232" s="629">
        <v>1.5708400000000001E-2</v>
      </c>
      <c r="AO232" s="601">
        <v>1.7628528000000001E-2</v>
      </c>
      <c r="AP232" s="632">
        <v>1.4628071885437505E-3</v>
      </c>
      <c r="AQ232" s="632">
        <v>7.717878099281879E-4</v>
      </c>
      <c r="AR232" s="632">
        <v>5.1991265549829281E-2</v>
      </c>
      <c r="AS232" s="632">
        <v>6.0232459203442654E-2</v>
      </c>
      <c r="AT232" s="632">
        <v>7.0196453087476546E-2</v>
      </c>
      <c r="AU232" s="632">
        <v>8.1678429462136687E-2</v>
      </c>
      <c r="AV232" s="632">
        <v>9.4434175949029212E-2</v>
      </c>
      <c r="AW232" s="632">
        <v>0.10798103020492111</v>
      </c>
      <c r="AX232" s="632">
        <v>0.12315590826886359</v>
      </c>
      <c r="AY232" s="632">
        <v>0.1398339489021172</v>
      </c>
      <c r="AZ232" s="632">
        <v>0.15787544454146593</v>
      </c>
      <c r="BA232" s="632">
        <v>0.17725176690143549</v>
      </c>
      <c r="BB232" s="632">
        <v>0.19798181155503222</v>
      </c>
      <c r="BC232" s="632">
        <v>0.22017542021333181</v>
      </c>
      <c r="BD232" s="632">
        <v>0.24263304058776047</v>
      </c>
      <c r="BE232" s="632">
        <v>0.26564179819978795</v>
      </c>
      <c r="BF232" s="632">
        <v>0.28980841342512292</v>
      </c>
      <c r="BG232" s="632">
        <v>0.31447379759730354</v>
      </c>
      <c r="BH232" s="632">
        <v>0.33979987717459725</v>
      </c>
      <c r="BI232" s="632">
        <v>0.36586600866269614</v>
      </c>
      <c r="BJ232" s="632">
        <v>0.39271115855029304</v>
      </c>
      <c r="BK232" s="632">
        <v>0.42043118263553125</v>
      </c>
      <c r="BL232" s="632">
        <v>0.44894531457159376</v>
      </c>
      <c r="BM232" s="632">
        <v>0.47827659646265791</v>
      </c>
      <c r="BN232" s="632">
        <v>0.50843557937445971</v>
      </c>
      <c r="BO232" s="632">
        <v>0.53942984880347766</v>
      </c>
      <c r="BP232" s="632">
        <v>0.57126065238502977</v>
      </c>
      <c r="BQ232" s="632">
        <v>0.60392732640929414</v>
      </c>
      <c r="BR232" s="632">
        <v>0.63742884985534198</v>
      </c>
      <c r="BS232" s="632">
        <v>0.67176431537630288</v>
      </c>
      <c r="BT232" s="632">
        <v>0.70693357917382593</v>
      </c>
      <c r="BU232" s="632">
        <v>0.74293627805803342</v>
      </c>
      <c r="BV232" s="632">
        <v>0.77977211495545362</v>
      </c>
      <c r="BW232" s="632">
        <v>0.81744090446316431</v>
      </c>
      <c r="BX232" s="632">
        <v>0.85594257270789642</v>
      </c>
      <c r="BY232" s="632">
        <v>0.89527711006171751</v>
      </c>
      <c r="BZ232" s="632">
        <v>0.93544453364125524</v>
      </c>
      <c r="CA232" s="632">
        <v>0.97644486613607884</v>
      </c>
      <c r="CB232" s="632">
        <v>1.0182781262039833</v>
      </c>
      <c r="CC232" s="632">
        <v>1.0609443293690555</v>
      </c>
      <c r="CD232" s="632">
        <v>1.1044434868467503</v>
      </c>
      <c r="CE232" s="632">
        <v>1.1487756054848948</v>
      </c>
      <c r="CF232" s="632">
        <v>1.1939406885837129</v>
      </c>
      <c r="CG232" s="632">
        <v>1.2399387371392423</v>
      </c>
      <c r="CH232" s="632">
        <v>1.2867697509388154</v>
      </c>
      <c r="CI232" s="632">
        <v>1.3344337293023987</v>
      </c>
      <c r="CJ232" s="632">
        <v>1.3829306714905454</v>
      </c>
      <c r="CK232" s="632">
        <v>1.4322605768757848</v>
      </c>
      <c r="CL232" s="632">
        <v>1.4824234450033626</v>
      </c>
      <c r="CM232" s="632">
        <v>1.5334192755884481</v>
      </c>
      <c r="CN232" s="632">
        <v>1.5851055684816757</v>
      </c>
      <c r="CO232" s="632">
        <v>1.6374110736253602</v>
      </c>
      <c r="CP232" s="632">
        <v>1.6903001660145272</v>
      </c>
      <c r="CQ232" s="632">
        <v>1.7437550331685816</v>
      </c>
      <c r="CR232" s="632">
        <v>1.7977667688638077</v>
      </c>
      <c r="CS232" s="632">
        <v>1.8523309199992921</v>
      </c>
      <c r="CT232" s="632">
        <v>1.9074452600307927</v>
      </c>
      <c r="CU232" s="632">
        <v>1.9631086756890088</v>
      </c>
      <c r="CV232" s="632">
        <v>2.0193227010715011</v>
      </c>
      <c r="CW232" s="632">
        <v>2.0760891067777916</v>
      </c>
      <c r="CX232" s="632">
        <v>2.1334092481032929</v>
      </c>
      <c r="CY232" s="632">
        <v>2.1912840079963725</v>
      </c>
    </row>
    <row r="233" spans="1:103">
      <c r="A233" s="95"/>
      <c r="B233" s="230"/>
      <c r="C233" s="230"/>
      <c r="D233" s="230"/>
      <c r="E233" s="230" t="s">
        <v>425</v>
      </c>
      <c r="F233" s="230"/>
      <c r="G233" s="232" t="s">
        <v>736</v>
      </c>
      <c r="H233" s="203"/>
      <c r="I233" s="214"/>
      <c r="J233" s="214"/>
      <c r="K233" s="214"/>
      <c r="L233" s="95"/>
      <c r="M233" s="95"/>
      <c r="N233" s="95"/>
      <c r="O233" s="95"/>
      <c r="P233" s="95"/>
      <c r="Q233" s="95"/>
      <c r="R233" s="95"/>
      <c r="S233" s="95"/>
      <c r="T233" s="267"/>
      <c r="U233" s="267"/>
      <c r="V233" s="267"/>
      <c r="W233" s="267"/>
      <c r="X233" s="267"/>
      <c r="Y233" s="267"/>
      <c r="Z233" s="267"/>
      <c r="AA233" s="267"/>
      <c r="AB233" s="267"/>
      <c r="AC233" s="267"/>
      <c r="AD233" s="597"/>
      <c r="AE233" s="664"/>
      <c r="AF233" s="665">
        <v>7.9799999999999999E-4</v>
      </c>
      <c r="AG233" s="665">
        <v>0</v>
      </c>
      <c r="AH233" s="665">
        <v>1.9949999999999998E-3</v>
      </c>
      <c r="AI233" s="665">
        <v>5.5859999999999998E-3</v>
      </c>
      <c r="AJ233" s="665">
        <v>3.02043E-2</v>
      </c>
      <c r="AK233" s="628">
        <v>1.6602390000000002E-2</v>
      </c>
      <c r="AL233" s="629">
        <v>1.4767921E-2</v>
      </c>
      <c r="AM233" s="629">
        <v>1.2788793E-2</v>
      </c>
      <c r="AN233" s="629">
        <v>2.0665599999999999E-2</v>
      </c>
      <c r="AO233" s="601">
        <v>0.20978922799999999</v>
      </c>
      <c r="AP233" s="632">
        <v>0</v>
      </c>
      <c r="AQ233" s="632">
        <v>0</v>
      </c>
      <c r="AR233" s="632">
        <v>0</v>
      </c>
      <c r="AS233" s="632">
        <v>9.1998240445599979E-4</v>
      </c>
      <c r="AT233" s="632">
        <v>8.0498460389899981E-3</v>
      </c>
      <c r="AU233" s="632">
        <v>2.4494531518640991E-2</v>
      </c>
      <c r="AV233" s="632">
        <v>2.4494531518640991E-2</v>
      </c>
      <c r="AW233" s="632">
        <v>1.3109749263497996E-2</v>
      </c>
      <c r="AX233" s="632">
        <v>1.2534760260712995E-2</v>
      </c>
      <c r="AY233" s="632">
        <v>1.5294707474080994E-2</v>
      </c>
      <c r="AZ233" s="632">
        <v>1.3569740465725995E-2</v>
      </c>
      <c r="BA233" s="632">
        <v>1.5869696476865997E-2</v>
      </c>
      <c r="BB233" s="632">
        <v>2.3267888312699662E-2</v>
      </c>
      <c r="BC233" s="632">
        <v>5.7498900278499979E-2</v>
      </c>
      <c r="BD233" s="632">
        <v>6.5165420315633299E-2</v>
      </c>
      <c r="BE233" s="632">
        <v>7.3618235061526052E-2</v>
      </c>
      <c r="BF233" s="632">
        <v>8.7378539091544916E-2</v>
      </c>
      <c r="BG233" s="632">
        <v>0.10910007704775292</v>
      </c>
      <c r="BH233" s="632">
        <v>0.11676659708488625</v>
      </c>
      <c r="BI233" s="632">
        <v>0.11470272010112173</v>
      </c>
      <c r="BJ233" s="632">
        <v>0.1218778059452804</v>
      </c>
      <c r="BK233" s="632">
        <v>0.13190321010869202</v>
      </c>
      <c r="BL233" s="632">
        <v>0.13809542756690141</v>
      </c>
      <c r="BM233" s="632">
        <v>0.14772768437593331</v>
      </c>
      <c r="BN233" s="632">
        <v>0.16171732436267366</v>
      </c>
      <c r="BO233" s="632">
        <v>0.19864056002156386</v>
      </c>
      <c r="BP233" s="632">
        <v>0.21094290595574239</v>
      </c>
      <c r="BQ233" s="632">
        <v>0.22391728579625267</v>
      </c>
      <c r="BR233" s="632">
        <v>0.24142789450450244</v>
      </c>
      <c r="BS233" s="632">
        <v>0.26574284651436147</v>
      </c>
      <c r="BT233" s="632">
        <v>0.27804519244854004</v>
      </c>
      <c r="BU233" s="632">
        <v>0.28203111879186282</v>
      </c>
      <c r="BV233" s="632">
        <v>0.29391344353458393</v>
      </c>
      <c r="BW233" s="632">
        <v>0.30823189118775784</v>
      </c>
      <c r="BX233" s="632">
        <v>0.31927417354756427</v>
      </c>
      <c r="BY233" s="632">
        <v>0.33325660424757225</v>
      </c>
      <c r="BZ233" s="632">
        <v>0.35096322284516884</v>
      </c>
      <c r="CA233" s="632">
        <v>0.38827083037744203</v>
      </c>
      <c r="CB233" s="632">
        <v>0.40453534488780324</v>
      </c>
      <c r="CC233" s="632">
        <v>0.42137423636678495</v>
      </c>
      <c r="CD233" s="632">
        <v>0.44209017238395476</v>
      </c>
      <c r="CE233" s="632">
        <v>0.46862167520840664</v>
      </c>
      <c r="CF233" s="632">
        <v>0.48488618971876779</v>
      </c>
      <c r="CG233" s="632">
        <v>0.49404278924245071</v>
      </c>
      <c r="CH233" s="632">
        <v>0.50994831814742414</v>
      </c>
      <c r="CI233" s="632">
        <v>0.52793596356364669</v>
      </c>
      <c r="CJ233" s="632">
        <v>0.54312352125784447</v>
      </c>
      <c r="CK233" s="632">
        <v>0.56082397818975682</v>
      </c>
      <c r="CL233" s="632">
        <v>0.58170744082277415</v>
      </c>
      <c r="CM233" s="632">
        <v>0.61934356504055532</v>
      </c>
      <c r="CN233" s="632">
        <v>0.63899448365122891</v>
      </c>
      <c r="CO233" s="632">
        <v>0.65864540226190293</v>
      </c>
      <c r="CP233" s="632">
        <v>0.67829632087257674</v>
      </c>
      <c r="CQ233" s="632">
        <v>0.69794723948325044</v>
      </c>
      <c r="CR233" s="632">
        <v>0.71759815809392424</v>
      </c>
      <c r="CS233" s="632">
        <v>0.73724907670459805</v>
      </c>
      <c r="CT233" s="632">
        <v>0.75689999531527186</v>
      </c>
      <c r="CU233" s="632">
        <v>0.77655091392594566</v>
      </c>
      <c r="CV233" s="632">
        <v>0.79620183253661936</v>
      </c>
      <c r="CW233" s="632">
        <v>0.81585275114729328</v>
      </c>
      <c r="CX233" s="632">
        <v>0.83550366975796697</v>
      </c>
      <c r="CY233" s="632">
        <v>0.85515458836864111</v>
      </c>
    </row>
    <row r="234" spans="1:103">
      <c r="A234" s="229"/>
      <c r="B234" s="230"/>
      <c r="C234" s="230"/>
      <c r="D234" s="230"/>
      <c r="E234" s="230" t="s">
        <v>392</v>
      </c>
      <c r="F234" s="230"/>
      <c r="G234" s="232" t="s">
        <v>736</v>
      </c>
      <c r="H234" s="203"/>
      <c r="I234" s="203"/>
      <c r="J234" s="203"/>
      <c r="K234" s="203"/>
      <c r="L234" s="229"/>
      <c r="M234" s="229"/>
      <c r="N234" s="229"/>
      <c r="O234" s="229"/>
      <c r="P234" s="229"/>
      <c r="Q234" s="229"/>
      <c r="R234" s="229"/>
      <c r="S234" s="229"/>
      <c r="T234" s="597"/>
      <c r="U234" s="597"/>
      <c r="V234" s="597"/>
      <c r="W234" s="597"/>
      <c r="X234" s="597"/>
      <c r="Y234" s="597"/>
      <c r="Z234" s="597"/>
      <c r="AA234" s="597"/>
      <c r="AB234" s="597"/>
      <c r="AC234" s="597"/>
      <c r="AD234" s="597"/>
      <c r="AE234" s="664"/>
      <c r="AF234" s="665">
        <v>6.5729687238469048E-5</v>
      </c>
      <c r="AG234" s="665">
        <v>2.7006846280447106E-5</v>
      </c>
      <c r="AH234" s="665">
        <v>4.2936535356817817E-4</v>
      </c>
      <c r="AI234" s="665">
        <v>1.35473900454597E-2</v>
      </c>
      <c r="AJ234" s="665">
        <v>1.7930046845103687E-2</v>
      </c>
      <c r="AK234" s="650">
        <v>1.8265785123187619E-2</v>
      </c>
      <c r="AL234" s="629">
        <v>2.255484277974688E-2</v>
      </c>
      <c r="AM234" s="666">
        <v>2.4376346629471891E-2</v>
      </c>
      <c r="AN234" s="629">
        <v>2.8448145315337577E-2</v>
      </c>
      <c r="AO234" s="601">
        <v>7.5245242979549376E-2</v>
      </c>
      <c r="AP234" s="632">
        <v>0</v>
      </c>
      <c r="AQ234" s="632">
        <v>0</v>
      </c>
      <c r="AR234" s="632">
        <v>0.11082508250000002</v>
      </c>
      <c r="AS234" s="632">
        <v>0.13069857166666671</v>
      </c>
      <c r="AT234" s="632">
        <v>0.15288660750000005</v>
      </c>
      <c r="AU234" s="632">
        <v>0.17743649000000006</v>
      </c>
      <c r="AV234" s="632">
        <v>0.20439551916666671</v>
      </c>
      <c r="AW234" s="632">
        <v>0.23381099500000005</v>
      </c>
      <c r="AX234" s="632">
        <v>0.26573021750000009</v>
      </c>
      <c r="AY234" s="632">
        <v>0.30020048666666677</v>
      </c>
      <c r="AZ234" s="632">
        <v>0.33726910250000008</v>
      </c>
      <c r="BA234" s="632">
        <v>0.37698336500000018</v>
      </c>
      <c r="BB234" s="632">
        <v>0.41939057416666686</v>
      </c>
      <c r="BC234" s="632">
        <v>0.46453802999999994</v>
      </c>
      <c r="BD234" s="632">
        <v>0.50821484999999988</v>
      </c>
      <c r="BE234" s="632">
        <v>0.55350932999999991</v>
      </c>
      <c r="BF234" s="632">
        <v>0.60042146999999979</v>
      </c>
      <c r="BG234" s="632">
        <v>0.64895126999999986</v>
      </c>
      <c r="BH234" s="632">
        <v>0.69909872999999978</v>
      </c>
      <c r="BI234" s="632">
        <v>0.75086385</v>
      </c>
      <c r="BJ234" s="632">
        <v>0.80424662999999996</v>
      </c>
      <c r="BK234" s="632">
        <v>0.85924706999999989</v>
      </c>
      <c r="BL234" s="632">
        <v>0.9158651699999999</v>
      </c>
      <c r="BM234" s="632">
        <v>0.97410093000000009</v>
      </c>
      <c r="BN234" s="632">
        <v>1.0339543499999999</v>
      </c>
      <c r="BO234" s="632">
        <v>1.0954254300000001</v>
      </c>
      <c r="BP234" s="632">
        <v>1.1585141700000001</v>
      </c>
      <c r="BQ234" s="632">
        <v>1.2232205700000003</v>
      </c>
      <c r="BR234" s="632">
        <v>1.2895446299999997</v>
      </c>
      <c r="BS234" s="632">
        <v>1.3574863500000001</v>
      </c>
      <c r="BT234" s="632">
        <v>1.4270457300000001</v>
      </c>
      <c r="BU234" s="632">
        <v>1.4982227700000001</v>
      </c>
      <c r="BV234" s="632">
        <v>1.5710174699999999</v>
      </c>
      <c r="BW234" s="632">
        <v>1.6454298299999999</v>
      </c>
      <c r="BX234" s="632">
        <v>1.72145985</v>
      </c>
      <c r="BY234" s="632">
        <v>1.7991075300000001</v>
      </c>
      <c r="BZ234" s="632">
        <v>1.8783728699999995</v>
      </c>
      <c r="CA234" s="632">
        <v>1.9592558699999996</v>
      </c>
      <c r="CB234" s="632">
        <v>2.0417565299999998</v>
      </c>
      <c r="CC234" s="632">
        <v>2.1258748499999998</v>
      </c>
      <c r="CD234" s="632">
        <v>2.2116108300000001</v>
      </c>
      <c r="CE234" s="632">
        <v>2.29896447</v>
      </c>
      <c r="CF234" s="632">
        <v>2.3879357699999999</v>
      </c>
      <c r="CG234" s="632">
        <v>2.4785247299999997</v>
      </c>
      <c r="CH234" s="632">
        <v>2.57073135</v>
      </c>
      <c r="CI234" s="632">
        <v>2.6645556299999993</v>
      </c>
      <c r="CJ234" s="632">
        <v>2.7599975699999999</v>
      </c>
      <c r="CK234" s="632">
        <v>2.8570571699999996</v>
      </c>
      <c r="CL234" s="632">
        <v>2.9557344299999992</v>
      </c>
      <c r="CM234" s="632">
        <v>3.0560293499999993</v>
      </c>
      <c r="CN234" s="632">
        <v>3.1574027099999995</v>
      </c>
      <c r="CO234" s="632">
        <v>3.2598545099999998</v>
      </c>
      <c r="CP234" s="632">
        <v>3.3633847499999998</v>
      </c>
      <c r="CQ234" s="632">
        <v>3.4679934300000004</v>
      </c>
      <c r="CR234" s="632">
        <v>3.5736805499999993</v>
      </c>
      <c r="CS234" s="632">
        <v>3.6804461099999997</v>
      </c>
      <c r="CT234" s="632">
        <v>3.7882901099999997</v>
      </c>
      <c r="CU234" s="632">
        <v>3.8972125499999994</v>
      </c>
      <c r="CV234" s="632">
        <v>4.0072134299999984</v>
      </c>
      <c r="CW234" s="632">
        <v>4.1182927499999993</v>
      </c>
      <c r="CX234" s="632">
        <v>4.2304505099999998</v>
      </c>
      <c r="CY234" s="632">
        <v>4.3436867099999992</v>
      </c>
    </row>
    <row r="235" spans="1:103">
      <c r="A235" s="229"/>
      <c r="B235" s="230"/>
      <c r="C235" s="230"/>
      <c r="D235" s="230"/>
      <c r="E235" s="230" t="s">
        <v>867</v>
      </c>
      <c r="F235" s="230"/>
      <c r="G235" s="232" t="s">
        <v>736</v>
      </c>
      <c r="H235" s="203"/>
      <c r="I235" s="203"/>
      <c r="J235" s="203"/>
      <c r="K235" s="203"/>
      <c r="L235" s="229"/>
      <c r="M235" s="229"/>
      <c r="N235" s="229"/>
      <c r="O235" s="229"/>
      <c r="P235" s="229"/>
      <c r="Q235" s="229"/>
      <c r="R235" s="229"/>
      <c r="S235" s="229"/>
      <c r="T235" s="610"/>
      <c r="U235" s="597"/>
      <c r="V235" s="597"/>
      <c r="W235" s="597"/>
      <c r="X235" s="597"/>
      <c r="Y235" s="597"/>
      <c r="Z235" s="597"/>
      <c r="AA235" s="597"/>
      <c r="AB235" s="597"/>
      <c r="AC235" s="597"/>
      <c r="AD235" s="597"/>
      <c r="AE235" s="597"/>
      <c r="AF235" s="650">
        <v>2.12773E-4</v>
      </c>
      <c r="AG235" s="650">
        <v>0</v>
      </c>
      <c r="AH235" s="650">
        <v>2.796E-5</v>
      </c>
      <c r="AI235" s="650">
        <v>1.19417E-3</v>
      </c>
      <c r="AJ235" s="650">
        <v>6.9376599999999996E-4</v>
      </c>
      <c r="AK235" s="650">
        <v>1.4049900000000001E-3</v>
      </c>
      <c r="AL235" s="629">
        <v>1.563975E-3</v>
      </c>
      <c r="AM235" s="629">
        <v>1.1244810000000001E-3</v>
      </c>
      <c r="AN235" s="629">
        <v>1.9999319999999998E-3</v>
      </c>
      <c r="AO235" s="601">
        <v>7.2346040000000004E-3</v>
      </c>
      <c r="AP235" s="632">
        <v>0</v>
      </c>
      <c r="AQ235" s="632">
        <v>0</v>
      </c>
      <c r="AR235" s="632">
        <v>4.3345962500000003E-3</v>
      </c>
      <c r="AS235" s="632">
        <v>5.1118891666666689E-3</v>
      </c>
      <c r="AT235" s="632">
        <v>5.9797087500000025E-3</v>
      </c>
      <c r="AU235" s="632">
        <v>6.9399050000000023E-3</v>
      </c>
      <c r="AV235" s="632">
        <v>7.9943279166666686E-3</v>
      </c>
      <c r="AW235" s="632">
        <v>9.1448275000000027E-3</v>
      </c>
      <c r="AX235" s="632">
        <v>1.0393253750000003E-2</v>
      </c>
      <c r="AY235" s="632">
        <v>1.1741456666666672E-2</v>
      </c>
      <c r="AZ235" s="632">
        <v>1.3191286250000003E-2</v>
      </c>
      <c r="BA235" s="632">
        <v>1.4744592500000009E-2</v>
      </c>
      <c r="BB235" s="632">
        <v>1.6403225416666674E-2</v>
      </c>
      <c r="BC235" s="632">
        <v>1.8169034999999997E-2</v>
      </c>
      <c r="BD235" s="632">
        <v>2.1488999999999998E-2</v>
      </c>
      <c r="BE235" s="632">
        <v>2.34042E-2</v>
      </c>
      <c r="BF235" s="632">
        <v>2.5387799999999992E-2</v>
      </c>
      <c r="BG235" s="632">
        <v>2.7439799999999997E-2</v>
      </c>
      <c r="BH235" s="632">
        <v>2.9560199999999991E-2</v>
      </c>
      <c r="BI235" s="632">
        <v>3.1748999999999999E-2</v>
      </c>
      <c r="BJ235" s="632">
        <v>3.40062E-2</v>
      </c>
      <c r="BK235" s="632">
        <v>3.6331799999999997E-2</v>
      </c>
      <c r="BL235" s="632">
        <v>3.8725799999999998E-2</v>
      </c>
      <c r="BM235" s="632">
        <v>4.1188200000000001E-2</v>
      </c>
      <c r="BN235" s="632">
        <v>4.3719000000000001E-2</v>
      </c>
      <c r="BO235" s="632">
        <v>4.6318200000000011E-2</v>
      </c>
      <c r="BP235" s="632">
        <v>4.898580000000001E-2</v>
      </c>
      <c r="BQ235" s="632">
        <v>5.1721800000000012E-2</v>
      </c>
      <c r="BR235" s="632">
        <v>5.4526199999999997E-2</v>
      </c>
      <c r="BS235" s="632">
        <v>5.7399000000000006E-2</v>
      </c>
      <c r="BT235" s="632">
        <v>6.034020000000001E-2</v>
      </c>
      <c r="BU235" s="632">
        <v>6.3349800000000012E-2</v>
      </c>
      <c r="BV235" s="632">
        <v>6.6427800000000009E-2</v>
      </c>
      <c r="BW235" s="632">
        <v>6.9574200000000003E-2</v>
      </c>
      <c r="BX235" s="632">
        <v>7.2789000000000006E-2</v>
      </c>
      <c r="BY235" s="632">
        <v>7.6072200000000006E-2</v>
      </c>
      <c r="BZ235" s="632">
        <v>7.9423799999999989E-2</v>
      </c>
      <c r="CA235" s="632">
        <v>8.2843799999999995E-2</v>
      </c>
      <c r="CB235" s="632">
        <v>8.6332199999999998E-2</v>
      </c>
      <c r="CC235" s="632">
        <v>8.9888999999999997E-2</v>
      </c>
      <c r="CD235" s="632">
        <v>9.3514200000000006E-2</v>
      </c>
      <c r="CE235" s="632">
        <v>9.7207799999999997E-2</v>
      </c>
      <c r="CF235" s="632">
        <v>0.1009698</v>
      </c>
      <c r="CG235" s="632">
        <v>0.1048002</v>
      </c>
      <c r="CH235" s="632">
        <v>0.10869899999999999</v>
      </c>
      <c r="CI235" s="632">
        <v>0.11266619999999998</v>
      </c>
      <c r="CJ235" s="632">
        <v>0.11670180000000001</v>
      </c>
      <c r="CK235" s="632">
        <v>0.12080579999999998</v>
      </c>
      <c r="CL235" s="632">
        <v>0.12497819999999997</v>
      </c>
      <c r="CM235" s="632">
        <v>0.129219</v>
      </c>
      <c r="CN235" s="632">
        <v>0.1335054</v>
      </c>
      <c r="CO235" s="632">
        <v>0.13783739999999997</v>
      </c>
      <c r="CP235" s="632">
        <v>0.14221499999999998</v>
      </c>
      <c r="CQ235" s="632">
        <v>0.14663820000000002</v>
      </c>
      <c r="CR235" s="632">
        <v>0.15110699999999999</v>
      </c>
      <c r="CS235" s="632">
        <v>0.15562139999999999</v>
      </c>
      <c r="CT235" s="632">
        <v>0.16018140000000003</v>
      </c>
      <c r="CU235" s="632">
        <v>0.16478699999999996</v>
      </c>
      <c r="CV235" s="632">
        <v>0.16943819999999996</v>
      </c>
      <c r="CW235" s="632">
        <v>0.17413499999999996</v>
      </c>
      <c r="CX235" s="632">
        <v>0.17887740000000002</v>
      </c>
      <c r="CY235" s="632">
        <v>0.18366539999999998</v>
      </c>
    </row>
    <row r="236" spans="1:103">
      <c r="A236" s="229"/>
      <c r="B236" s="230"/>
      <c r="C236" s="230"/>
      <c r="D236" s="230"/>
      <c r="E236" s="230" t="s">
        <v>868</v>
      </c>
      <c r="F236" s="93"/>
      <c r="G236" s="232" t="s">
        <v>736</v>
      </c>
      <c r="H236" s="203"/>
      <c r="I236" s="203"/>
      <c r="J236" s="203"/>
      <c r="K236" s="203"/>
      <c r="L236" s="229"/>
      <c r="M236" s="229"/>
      <c r="N236" s="229"/>
      <c r="O236" s="229"/>
      <c r="P236" s="229"/>
      <c r="Q236" s="229"/>
      <c r="R236" s="229"/>
      <c r="S236" s="229"/>
      <c r="T236" s="610"/>
      <c r="U236" s="597"/>
      <c r="V236" s="597"/>
      <c r="W236" s="597"/>
      <c r="X236" s="597"/>
      <c r="Y236" s="597"/>
      <c r="Z236" s="597"/>
      <c r="AA236" s="597"/>
      <c r="AB236" s="597"/>
      <c r="AC236" s="597"/>
      <c r="AD236" s="597"/>
      <c r="AE236" s="667"/>
      <c r="AF236" s="668"/>
      <c r="AG236" s="668"/>
      <c r="AH236" s="669"/>
      <c r="AI236" s="670"/>
      <c r="AJ236" s="670"/>
      <c r="AK236" s="650">
        <v>5.9999999999999995E-4</v>
      </c>
      <c r="AL236" s="629">
        <v>1.4999999999999999E-4</v>
      </c>
      <c r="AM236" s="666">
        <v>7.5000000000000002E-4</v>
      </c>
      <c r="AN236" s="629">
        <v>8.9999999999999998E-4</v>
      </c>
      <c r="AO236" s="601">
        <v>2.2499999999999998E-3</v>
      </c>
      <c r="AP236" s="632"/>
      <c r="AQ236" s="671"/>
      <c r="AR236" s="632"/>
      <c r="AS236" s="632"/>
      <c r="AT236" s="632"/>
      <c r="AU236" s="632"/>
      <c r="AV236" s="632"/>
      <c r="AW236" s="632"/>
      <c r="AX236" s="632"/>
      <c r="AY236" s="632"/>
      <c r="AZ236" s="632"/>
      <c r="BA236" s="632"/>
      <c r="BB236" s="632"/>
      <c r="BC236" s="632"/>
      <c r="BD236" s="632"/>
      <c r="BE236" s="632"/>
      <c r="BF236" s="632"/>
      <c r="BG236" s="632"/>
      <c r="BH236" s="632"/>
      <c r="BI236" s="632"/>
      <c r="BJ236" s="632"/>
      <c r="BK236" s="632"/>
      <c r="BL236" s="632"/>
      <c r="BM236" s="632"/>
      <c r="BN236" s="632"/>
      <c r="BO236" s="632"/>
      <c r="BP236" s="632"/>
      <c r="BQ236" s="632"/>
      <c r="BR236" s="632"/>
      <c r="BS236" s="632"/>
      <c r="BT236" s="632"/>
      <c r="BU236" s="632"/>
      <c r="BV236" s="632"/>
      <c r="BW236" s="632"/>
      <c r="BX236" s="632"/>
      <c r="BY236" s="632"/>
      <c r="BZ236" s="632"/>
      <c r="CA236" s="632"/>
      <c r="CB236" s="632"/>
      <c r="CC236" s="632"/>
      <c r="CD236" s="632"/>
      <c r="CE236" s="632"/>
      <c r="CF236" s="632"/>
      <c r="CG236" s="632"/>
      <c r="CH236" s="632"/>
      <c r="CI236" s="632"/>
      <c r="CJ236" s="632"/>
      <c r="CK236" s="632"/>
      <c r="CL236" s="632"/>
      <c r="CM236" s="632"/>
      <c r="CN236" s="632"/>
      <c r="CO236" s="632"/>
      <c r="CP236" s="632"/>
      <c r="CQ236" s="632"/>
      <c r="CR236" s="632"/>
      <c r="CS236" s="632"/>
      <c r="CT236" s="632"/>
      <c r="CU236" s="632"/>
      <c r="CV236" s="632"/>
      <c r="CW236" s="632"/>
      <c r="CX236" s="632"/>
      <c r="CY236" s="632"/>
    </row>
    <row r="237" spans="1:103">
      <c r="A237" s="229"/>
      <c r="B237" s="230"/>
      <c r="C237" s="230"/>
      <c r="D237" s="230"/>
      <c r="E237" s="230" t="s">
        <v>801</v>
      </c>
      <c r="F237" s="93"/>
      <c r="G237" s="232" t="s">
        <v>736</v>
      </c>
      <c r="H237" s="203"/>
      <c r="I237" s="203"/>
      <c r="J237" s="203"/>
      <c r="K237" s="203"/>
      <c r="L237" s="229"/>
      <c r="M237" s="229"/>
      <c r="N237" s="229"/>
      <c r="O237" s="229"/>
      <c r="P237" s="229"/>
      <c r="Q237" s="229"/>
      <c r="R237" s="229"/>
      <c r="S237" s="229"/>
      <c r="T237" s="610"/>
      <c r="U237" s="597"/>
      <c r="V237" s="597"/>
      <c r="W237" s="597"/>
      <c r="X237" s="597"/>
      <c r="Y237" s="597"/>
      <c r="Z237" s="597"/>
      <c r="AA237" s="597"/>
      <c r="AB237" s="597"/>
      <c r="AC237" s="597"/>
      <c r="AD237" s="597"/>
      <c r="AE237" s="667"/>
      <c r="AF237" s="668"/>
      <c r="AG237" s="668"/>
      <c r="AH237" s="669"/>
      <c r="AI237" s="670"/>
      <c r="AJ237" s="670"/>
      <c r="AK237" s="650"/>
      <c r="AL237" s="629"/>
      <c r="AM237" s="666">
        <v>0</v>
      </c>
      <c r="AN237" s="632"/>
      <c r="AO237" s="632"/>
      <c r="AP237" s="632"/>
      <c r="AQ237" s="671"/>
      <c r="AR237" s="632">
        <v>0</v>
      </c>
      <c r="AS237" s="632">
        <v>0</v>
      </c>
      <c r="AT237" s="632">
        <v>0</v>
      </c>
      <c r="AU237" s="632">
        <v>0</v>
      </c>
      <c r="AV237" s="632">
        <v>0</v>
      </c>
      <c r="AW237" s="632">
        <v>0</v>
      </c>
      <c r="AX237" s="632">
        <v>0</v>
      </c>
      <c r="AY237" s="632">
        <v>0</v>
      </c>
      <c r="AZ237" s="632">
        <v>0</v>
      </c>
      <c r="BA237" s="632">
        <v>0</v>
      </c>
      <c r="BB237" s="632">
        <v>0</v>
      </c>
      <c r="BC237" s="632">
        <v>0</v>
      </c>
      <c r="BD237" s="632">
        <v>0</v>
      </c>
      <c r="BE237" s="632">
        <v>0</v>
      </c>
      <c r="BF237" s="632">
        <v>0</v>
      </c>
      <c r="BG237" s="632">
        <v>0</v>
      </c>
      <c r="BH237" s="632">
        <v>0</v>
      </c>
      <c r="BI237" s="632">
        <v>0</v>
      </c>
      <c r="BJ237" s="632">
        <v>0</v>
      </c>
      <c r="BK237" s="632">
        <v>0</v>
      </c>
      <c r="BL237" s="632">
        <v>0</v>
      </c>
      <c r="BM237" s="632">
        <v>0</v>
      </c>
      <c r="BN237" s="632">
        <v>0</v>
      </c>
      <c r="BO237" s="632">
        <v>0</v>
      </c>
      <c r="BP237" s="632">
        <v>0</v>
      </c>
      <c r="BQ237" s="632">
        <v>0</v>
      </c>
      <c r="BR237" s="632">
        <v>0</v>
      </c>
      <c r="BS237" s="632">
        <v>0</v>
      </c>
      <c r="BT237" s="632">
        <v>0</v>
      </c>
      <c r="BU237" s="632">
        <v>0</v>
      </c>
      <c r="BV237" s="632">
        <v>0</v>
      </c>
      <c r="BW237" s="632">
        <v>0</v>
      </c>
      <c r="BX237" s="632">
        <v>0</v>
      </c>
      <c r="BY237" s="632">
        <v>0</v>
      </c>
      <c r="BZ237" s="632">
        <v>0</v>
      </c>
      <c r="CA237" s="632">
        <v>0</v>
      </c>
      <c r="CB237" s="632">
        <v>0</v>
      </c>
      <c r="CC237" s="632">
        <v>0</v>
      </c>
      <c r="CD237" s="632">
        <v>0</v>
      </c>
      <c r="CE237" s="632">
        <v>0</v>
      </c>
      <c r="CF237" s="632">
        <v>0</v>
      </c>
      <c r="CG237" s="632">
        <v>0</v>
      </c>
      <c r="CH237" s="632">
        <v>0</v>
      </c>
      <c r="CI237" s="632">
        <v>0</v>
      </c>
      <c r="CJ237" s="632">
        <v>0</v>
      </c>
      <c r="CK237" s="632">
        <v>0</v>
      </c>
      <c r="CL237" s="632">
        <v>0</v>
      </c>
      <c r="CM237" s="632">
        <v>0</v>
      </c>
      <c r="CN237" s="632">
        <v>0</v>
      </c>
      <c r="CO237" s="632">
        <v>0</v>
      </c>
      <c r="CP237" s="632">
        <v>0</v>
      </c>
      <c r="CQ237" s="632">
        <v>0</v>
      </c>
      <c r="CR237" s="632">
        <v>0</v>
      </c>
      <c r="CS237" s="632">
        <v>0</v>
      </c>
      <c r="CT237" s="632">
        <v>0</v>
      </c>
      <c r="CU237" s="632">
        <v>0</v>
      </c>
      <c r="CV237" s="632">
        <v>0</v>
      </c>
      <c r="CW237" s="632">
        <v>0</v>
      </c>
      <c r="CX237" s="632">
        <v>0</v>
      </c>
      <c r="CY237" s="632">
        <v>0</v>
      </c>
    </row>
    <row r="238" spans="1:103">
      <c r="A238" s="229"/>
      <c r="B238" s="230"/>
      <c r="C238" s="230"/>
      <c r="D238" s="230"/>
      <c r="E238" s="230" t="s">
        <v>804</v>
      </c>
      <c r="F238" s="230"/>
      <c r="G238" s="232" t="s">
        <v>736</v>
      </c>
      <c r="H238" s="203"/>
      <c r="I238" s="203"/>
      <c r="J238" s="203"/>
      <c r="K238" s="203"/>
      <c r="L238" s="229"/>
      <c r="M238" s="229"/>
      <c r="N238" s="229"/>
      <c r="O238" s="229"/>
      <c r="P238" s="229"/>
      <c r="Q238" s="229"/>
      <c r="R238" s="229"/>
      <c r="S238" s="229"/>
      <c r="T238" s="610"/>
      <c r="U238" s="597"/>
      <c r="V238" s="597"/>
      <c r="W238" s="597"/>
      <c r="X238" s="597"/>
      <c r="Y238" s="597"/>
      <c r="Z238" s="597"/>
      <c r="AA238" s="597"/>
      <c r="AB238" s="597"/>
      <c r="AC238" s="597"/>
      <c r="AD238" s="597"/>
      <c r="AE238" s="597"/>
      <c r="AF238" s="670">
        <v>0</v>
      </c>
      <c r="AG238" s="670">
        <v>0</v>
      </c>
      <c r="AH238" s="670">
        <v>0</v>
      </c>
      <c r="AI238" s="670">
        <v>-3.0800000000000001E-4</v>
      </c>
      <c r="AJ238" s="670">
        <v>-1.174273E-3</v>
      </c>
      <c r="AK238" s="650">
        <v>-4.4117920000000003E-3</v>
      </c>
      <c r="AL238" s="629">
        <v>8.1873099999999995E-4</v>
      </c>
      <c r="AM238" s="666">
        <v>-4.398E-3</v>
      </c>
      <c r="AN238" s="629">
        <v>-4.0374709999999999E-3</v>
      </c>
      <c r="AO238" s="632">
        <v>-4.0374452157668789E-3</v>
      </c>
      <c r="AP238" s="632">
        <v>-1.9902866748977469E-2</v>
      </c>
      <c r="AQ238" s="632">
        <v>-7.3140359427187524E-5</v>
      </c>
      <c r="AR238" s="632">
        <v>-1.0028961748393291E-2</v>
      </c>
      <c r="AS238" s="632">
        <v>-1.2248829311939161E-2</v>
      </c>
      <c r="AT238" s="632">
        <v>-1.4743204727553406E-2</v>
      </c>
      <c r="AU238" s="632">
        <v>-1.7895129393645681E-2</v>
      </c>
      <c r="AV238" s="632">
        <v>-2.2101404581062953E-2</v>
      </c>
      <c r="AW238" s="632">
        <v>-2.5342625322734826E-2</v>
      </c>
      <c r="AX238" s="632">
        <v>-2.6554210015384109E-2</v>
      </c>
      <c r="AY238" s="632">
        <v>-2.8863653799903563E-2</v>
      </c>
      <c r="AZ238" s="632">
        <v>-3.020944679701314E-2</v>
      </c>
      <c r="BA238" s="632">
        <v>-3.2029557965306939E-2</v>
      </c>
      <c r="BB238" s="632">
        <v>-3.4461566673296834E-2</v>
      </c>
      <c r="BC238" s="632">
        <v>-3.7460182762827518E-2</v>
      </c>
      <c r="BD238" s="632">
        <v>-7.8531497184702689E-2</v>
      </c>
      <c r="BE238" s="632">
        <v>-7.9595230932564431E-2</v>
      </c>
      <c r="BF238" s="632">
        <v>-8.6334092593279427E-2</v>
      </c>
      <c r="BG238" s="632">
        <v>-9.6120735338413671E-2</v>
      </c>
      <c r="BH238" s="632">
        <v>-0.10705756472425167</v>
      </c>
      <c r="BI238" s="632">
        <v>-0.11712342392062898</v>
      </c>
      <c r="BJ238" s="632">
        <v>-0.12659440478387052</v>
      </c>
      <c r="BK238" s="632">
        <v>-0.1371256195885516</v>
      </c>
      <c r="BL238" s="632">
        <v>-0.14844862888508739</v>
      </c>
      <c r="BM238" s="632">
        <v>-0.15969479552182184</v>
      </c>
      <c r="BN238" s="632">
        <v>-0.17154704665998693</v>
      </c>
      <c r="BO238" s="632">
        <v>-0.18411024550146243</v>
      </c>
      <c r="BP238" s="632">
        <v>-0.19919016991751998</v>
      </c>
      <c r="BQ238" s="632">
        <v>-0.2122647511186517</v>
      </c>
      <c r="BR238" s="632">
        <v>-0.22574054106685942</v>
      </c>
      <c r="BS238" s="632">
        <v>-0.23999718256462627</v>
      </c>
      <c r="BT238" s="632">
        <v>-0.25526430278799356</v>
      </c>
      <c r="BU238" s="632">
        <v>-0.2696995964449726</v>
      </c>
      <c r="BV238" s="632">
        <v>-0.28365039741179138</v>
      </c>
      <c r="BW238" s="632">
        <v>-0.29871714034473212</v>
      </c>
      <c r="BX238" s="632">
        <v>-0.314364657149934</v>
      </c>
      <c r="BY238" s="632">
        <v>-0.3300223599096036</v>
      </c>
      <c r="BZ238" s="632">
        <v>-0.34631180808515338</v>
      </c>
      <c r="CA238" s="632">
        <v>-0.36331532712121528</v>
      </c>
      <c r="CB238" s="632">
        <v>-0.38264750521617302</v>
      </c>
      <c r="CC238" s="632">
        <v>-0.40019032596782628</v>
      </c>
      <c r="CD238" s="632">
        <v>-0.41812955690852593</v>
      </c>
      <c r="CE238" s="632">
        <v>-0.43680385591589704</v>
      </c>
      <c r="CF238" s="632">
        <v>-0.45641571490160771</v>
      </c>
      <c r="CG238" s="632">
        <v>-0.47531238765036599</v>
      </c>
      <c r="CH238" s="632">
        <v>-0.49381109055917977</v>
      </c>
      <c r="CI238" s="632">
        <v>-0.51334159824087888</v>
      </c>
      <c r="CJ238" s="632">
        <v>-0.53342446958656031</v>
      </c>
      <c r="CK238" s="632">
        <v>-0.55355275219123867</v>
      </c>
      <c r="CL238" s="632">
        <v>-0.57427870299252015</v>
      </c>
      <c r="CM238" s="632">
        <v>-0.59567405321743627</v>
      </c>
      <c r="CN238" s="632">
        <v>-0.61916323375639937</v>
      </c>
      <c r="CO238" s="632">
        <v>-0.64108103575877362</v>
      </c>
      <c r="CP238" s="632">
        <v>-0.6633164713541212</v>
      </c>
      <c r="CQ238" s="632">
        <v>-0.68586332470793765</v>
      </c>
      <c r="CR238" s="632">
        <v>-0.70870907102903957</v>
      </c>
      <c r="CS238" s="632">
        <v>-0.7318382820094661</v>
      </c>
      <c r="CT238" s="632">
        <v>-0.75523423054012706</v>
      </c>
      <c r="CU238" s="632">
        <v>-0.77887969238452648</v>
      </c>
      <c r="CV238" s="632">
        <v>-0.80275734486667683</v>
      </c>
      <c r="CW238" s="632">
        <v>-0.82685894470950372</v>
      </c>
      <c r="CX238" s="632">
        <v>-0.85118104243469905</v>
      </c>
      <c r="CY238" s="632">
        <v>-0.87572262418576563</v>
      </c>
    </row>
    <row r="239" spans="1:103">
      <c r="A239" s="229"/>
      <c r="B239" s="230"/>
      <c r="C239" s="230"/>
      <c r="D239" s="230"/>
      <c r="E239" s="230" t="s">
        <v>226</v>
      </c>
      <c r="F239" s="230"/>
      <c r="G239" s="232" t="s">
        <v>736</v>
      </c>
      <c r="H239" s="203"/>
      <c r="I239" s="203"/>
      <c r="J239" s="203"/>
      <c r="K239" s="203"/>
      <c r="L239" s="229"/>
      <c r="M239" s="229"/>
      <c r="N239" s="229"/>
      <c r="O239" s="229"/>
      <c r="P239" s="229"/>
      <c r="Q239" s="229"/>
      <c r="R239" s="229"/>
      <c r="S239" s="229"/>
      <c r="T239" s="610"/>
      <c r="U239" s="597"/>
      <c r="V239" s="597"/>
      <c r="W239" s="597"/>
      <c r="X239" s="597"/>
      <c r="Y239" s="597"/>
      <c r="Z239" s="597"/>
      <c r="AA239" s="597"/>
      <c r="AB239" s="597"/>
      <c r="AC239" s="597"/>
      <c r="AD239" s="597"/>
      <c r="AE239" s="667"/>
      <c r="AF239" s="667"/>
      <c r="AG239" s="667"/>
      <c r="AH239" s="246"/>
      <c r="AI239" s="246"/>
      <c r="AJ239" s="246"/>
      <c r="AK239" s="632"/>
      <c r="AL239" s="632"/>
      <c r="AM239" s="632"/>
      <c r="AN239" s="632"/>
      <c r="AO239" s="632"/>
      <c r="AP239" s="632"/>
      <c r="AQ239" s="626"/>
      <c r="AR239" s="632"/>
      <c r="AS239" s="632"/>
      <c r="AT239" s="632"/>
      <c r="AU239" s="632"/>
      <c r="AV239" s="632"/>
      <c r="AW239" s="632"/>
      <c r="AX239" s="632"/>
      <c r="AY239" s="632"/>
      <c r="AZ239" s="632"/>
      <c r="BA239" s="632"/>
      <c r="BB239" s="632"/>
      <c r="BC239" s="632"/>
      <c r="BD239" s="632"/>
      <c r="BE239" s="632"/>
      <c r="BF239" s="632"/>
      <c r="BG239" s="632"/>
      <c r="BH239" s="632"/>
      <c r="BI239" s="632"/>
      <c r="BJ239" s="632"/>
      <c r="BK239" s="632"/>
      <c r="BL239" s="632"/>
      <c r="BM239" s="632"/>
      <c r="BN239" s="632"/>
      <c r="BO239" s="632"/>
      <c r="BP239" s="632"/>
      <c r="BQ239" s="632"/>
      <c r="BR239" s="632"/>
      <c r="BS239" s="632"/>
      <c r="BT239" s="632"/>
      <c r="BU239" s="632"/>
      <c r="BV239" s="632"/>
      <c r="BW239" s="632"/>
      <c r="BX239" s="632"/>
      <c r="BY239" s="632"/>
      <c r="BZ239" s="632"/>
      <c r="CA239" s="632"/>
      <c r="CB239" s="632"/>
      <c r="CC239" s="632"/>
      <c r="CD239" s="632"/>
      <c r="CE239" s="632"/>
      <c r="CF239" s="632"/>
      <c r="CG239" s="632"/>
      <c r="CH239" s="632"/>
      <c r="CI239" s="632"/>
      <c r="CJ239" s="632"/>
      <c r="CK239" s="632"/>
      <c r="CL239" s="632"/>
      <c r="CM239" s="632"/>
      <c r="CN239" s="632"/>
      <c r="CO239" s="632"/>
      <c r="CP239" s="632"/>
      <c r="CQ239" s="632"/>
      <c r="CR239" s="632"/>
      <c r="CS239" s="632"/>
      <c r="CT239" s="632"/>
      <c r="CU239" s="632"/>
      <c r="CV239" s="632"/>
      <c r="CW239" s="632"/>
      <c r="CX239" s="632"/>
      <c r="CY239" s="632"/>
    </row>
    <row r="240" spans="1:103">
      <c r="A240" s="229"/>
      <c r="B240" s="93"/>
      <c r="C240" s="230"/>
      <c r="D240" s="95" t="s">
        <v>786</v>
      </c>
      <c r="E240" s="94"/>
      <c r="F240" s="230"/>
      <c r="G240" s="232" t="s">
        <v>736</v>
      </c>
      <c r="H240" s="203"/>
      <c r="I240" s="203"/>
      <c r="J240" s="203"/>
      <c r="K240" s="203"/>
      <c r="L240" s="229"/>
      <c r="M240" s="229"/>
      <c r="N240" s="229"/>
      <c r="O240" s="229"/>
      <c r="P240" s="229"/>
      <c r="Q240" s="229"/>
      <c r="R240" s="229"/>
      <c r="S240" s="229"/>
      <c r="T240" s="247"/>
      <c r="U240" s="247"/>
      <c r="V240" s="247"/>
      <c r="W240" s="247"/>
      <c r="X240" s="247"/>
      <c r="Y240" s="247"/>
      <c r="Z240" s="247"/>
      <c r="AA240" s="247"/>
      <c r="AB240" s="247"/>
      <c r="AC240" s="247"/>
      <c r="AD240" s="247"/>
      <c r="AE240" s="247"/>
      <c r="AF240" s="633">
        <f t="shared" ref="AF240:AQ240" si="97">SUM(AF241:AF244)</f>
        <v>-3.8240292108014618E-4</v>
      </c>
      <c r="AG240" s="633">
        <f t="shared" si="97"/>
        <v>-1.9431534387847894E-4</v>
      </c>
      <c r="AH240" s="633">
        <f t="shared" si="97"/>
        <v>-5.5937783523332609E-4</v>
      </c>
      <c r="AI240" s="633">
        <f t="shared" si="97"/>
        <v>-1.7590222184727222E-2</v>
      </c>
      <c r="AJ240" s="633">
        <f t="shared" si="97"/>
        <v>-3.863406182039314E-2</v>
      </c>
      <c r="AK240" s="633">
        <f t="shared" si="97"/>
        <v>-5.0904631836291875E-2</v>
      </c>
      <c r="AL240" s="633">
        <f>SUM(AL241:AL244)</f>
        <v>-5.6039607616167095E-2</v>
      </c>
      <c r="AM240" s="633">
        <f t="shared" si="97"/>
        <v>-7.8673345829890523E-2</v>
      </c>
      <c r="AN240" s="633">
        <f t="shared" si="97"/>
        <v>-3.6730212084151538E-2</v>
      </c>
      <c r="AO240" s="633">
        <f t="shared" si="97"/>
        <v>-6.8059011800403024E-2</v>
      </c>
      <c r="AP240" s="633">
        <f t="shared" si="97"/>
        <v>0</v>
      </c>
      <c r="AQ240" s="633">
        <f t="shared" si="97"/>
        <v>0</v>
      </c>
      <c r="AR240" s="633">
        <v>-8.8090103750000009E-2</v>
      </c>
      <c r="AS240" s="633">
        <v>-0.1036372441666667</v>
      </c>
      <c r="AT240" s="633">
        <v>-0.12094399125000005</v>
      </c>
      <c r="AU240" s="633">
        <v>-0.14003649500000004</v>
      </c>
      <c r="AV240" s="633">
        <v>-0.1609409054166667</v>
      </c>
      <c r="AW240" s="633">
        <v>-0.18368337250000005</v>
      </c>
      <c r="AX240" s="633">
        <v>-0.20829004625000005</v>
      </c>
      <c r="AY240" s="633">
        <v>-0.23478707666666676</v>
      </c>
      <c r="AZ240" s="633">
        <v>-0.26320061375000003</v>
      </c>
      <c r="BA240" s="633">
        <v>-0.29355680750000013</v>
      </c>
      <c r="BB240" s="633">
        <v>-0.32588180791666677</v>
      </c>
      <c r="BC240" s="633">
        <v>-0.36020176499999995</v>
      </c>
      <c r="BD240" s="633">
        <v>-0.39406867499999992</v>
      </c>
      <c r="BE240" s="633">
        <v>-0.42918991499999998</v>
      </c>
      <c r="BF240" s="633">
        <v>-0.46556548499999989</v>
      </c>
      <c r="BG240" s="633">
        <v>-0.50319538499999994</v>
      </c>
      <c r="BH240" s="633">
        <v>-0.5420796149999999</v>
      </c>
      <c r="BI240" s="633">
        <v>-0.58221817500000006</v>
      </c>
      <c r="BJ240" s="633">
        <v>-0.62361106499999996</v>
      </c>
      <c r="BK240" s="633">
        <v>-0.66625828499999984</v>
      </c>
      <c r="BL240" s="633">
        <v>-0.71015983499999991</v>
      </c>
      <c r="BM240" s="633">
        <v>-0.75531571500000005</v>
      </c>
      <c r="BN240" s="633">
        <v>-0.80172592500000006</v>
      </c>
      <c r="BO240" s="633">
        <v>-0.84939046500000004</v>
      </c>
      <c r="BP240" s="633">
        <v>-0.8983093350000001</v>
      </c>
      <c r="BQ240" s="633">
        <v>-0.94848253500000002</v>
      </c>
      <c r="BR240" s="633">
        <v>-0.9999100649999999</v>
      </c>
      <c r="BS240" s="633">
        <v>-1.052591925</v>
      </c>
      <c r="BT240" s="633">
        <v>-1.1065281150000001</v>
      </c>
      <c r="BU240" s="633">
        <v>-1.1617186349999999</v>
      </c>
      <c r="BV240" s="633">
        <v>-1.2181634849999998</v>
      </c>
      <c r="BW240" s="633">
        <v>-1.3628304149999999</v>
      </c>
      <c r="BX240" s="633">
        <v>-1.4258024250000001</v>
      </c>
      <c r="BY240" s="633">
        <v>-1.4901142650000001</v>
      </c>
      <c r="BZ240" s="633">
        <v>-1.5557659349999997</v>
      </c>
      <c r="CA240" s="633">
        <v>-1.6227574349999998</v>
      </c>
      <c r="CB240" s="633">
        <v>-1.6910887649999999</v>
      </c>
      <c r="CC240" s="633">
        <v>-1.7607599249999999</v>
      </c>
      <c r="CD240" s="633">
        <v>-1.8317709150000001</v>
      </c>
      <c r="CE240" s="633">
        <v>-1.9041217349999999</v>
      </c>
      <c r="CF240" s="633">
        <v>-1.977812385</v>
      </c>
      <c r="CG240" s="633">
        <v>-2.0528428650000001</v>
      </c>
      <c r="CH240" s="633">
        <v>-2.1292131749999998</v>
      </c>
      <c r="CI240" s="633">
        <v>-2.2069233149999996</v>
      </c>
      <c r="CJ240" s="633">
        <v>-2.2859732849999999</v>
      </c>
      <c r="CK240" s="633">
        <v>-2.3663630849999993</v>
      </c>
      <c r="CL240" s="633">
        <v>-2.4480927149999996</v>
      </c>
      <c r="CM240" s="633">
        <v>-2.531162175</v>
      </c>
      <c r="CN240" s="633">
        <v>-2.6151248549999995</v>
      </c>
      <c r="CO240" s="633">
        <v>-2.6999807549999995</v>
      </c>
      <c r="CP240" s="633">
        <v>-2.7857298749999999</v>
      </c>
      <c r="CQ240" s="633">
        <v>-2.872372215</v>
      </c>
      <c r="CR240" s="633">
        <v>-2.9599077749999996</v>
      </c>
      <c r="CS240" s="633">
        <v>-3.0483365549999997</v>
      </c>
      <c r="CT240" s="633">
        <v>-3.1376585550000007</v>
      </c>
      <c r="CU240" s="633">
        <v>-3.2278737749999991</v>
      </c>
      <c r="CV240" s="633">
        <v>-3.3189822149999988</v>
      </c>
      <c r="CW240" s="633">
        <v>-3.4109838749999994</v>
      </c>
      <c r="CX240" s="633">
        <v>-3.5038787549999997</v>
      </c>
      <c r="CY240" s="633">
        <v>-3.5976668549999995</v>
      </c>
    </row>
    <row r="241" spans="1:103">
      <c r="A241" s="229"/>
      <c r="B241" s="230"/>
      <c r="C241" s="230"/>
      <c r="D241" s="230"/>
      <c r="E241" s="230" t="s">
        <v>332</v>
      </c>
      <c r="F241" s="230"/>
      <c r="G241" s="232" t="s">
        <v>736</v>
      </c>
      <c r="H241" s="203"/>
      <c r="I241" s="203"/>
      <c r="J241" s="203"/>
      <c r="K241" s="203"/>
      <c r="L241" s="229"/>
      <c r="M241" s="229"/>
      <c r="N241" s="229"/>
      <c r="O241" s="229"/>
      <c r="P241" s="229"/>
      <c r="Q241" s="229"/>
      <c r="R241" s="229"/>
      <c r="S241" s="229"/>
      <c r="T241" s="597"/>
      <c r="U241" s="597"/>
      <c r="V241" s="597"/>
      <c r="W241" s="597"/>
      <c r="X241" s="597"/>
      <c r="Y241" s="597"/>
      <c r="Z241" s="597"/>
      <c r="AA241" s="597"/>
      <c r="AB241" s="597"/>
      <c r="AC241" s="597"/>
      <c r="AD241" s="597"/>
      <c r="AE241" s="597"/>
      <c r="AF241" s="629">
        <v>-3.5285500000000001E-4</v>
      </c>
      <c r="AG241" s="629">
        <v>-1.806E-4</v>
      </c>
      <c r="AH241" s="629">
        <v>-4.3367999999999998E-4</v>
      </c>
      <c r="AI241" s="629">
        <v>-1.231721E-2</v>
      </c>
      <c r="AJ241" s="629">
        <v>-3.2978076000000002E-2</v>
      </c>
      <c r="AK241" s="629">
        <v>-4.4544675999999998E-2</v>
      </c>
      <c r="AL241" s="629">
        <v>-4.8645264070010762E-2</v>
      </c>
      <c r="AM241" s="629">
        <v>-6.9160429999999898E-2</v>
      </c>
      <c r="AN241" s="629">
        <v>-2.8761349549124942E-2</v>
      </c>
      <c r="AO241" s="601">
        <v>-4.3265980399999904E-2</v>
      </c>
      <c r="AP241" s="632">
        <v>0</v>
      </c>
      <c r="AQ241" s="632">
        <v>0</v>
      </c>
      <c r="AR241" s="632">
        <v>-5.5412541250000009E-2</v>
      </c>
      <c r="AS241" s="632">
        <v>-6.5349285833333354E-2</v>
      </c>
      <c r="AT241" s="632">
        <v>-7.6443303750000038E-2</v>
      </c>
      <c r="AU241" s="632">
        <v>-8.8718245000000029E-2</v>
      </c>
      <c r="AV241" s="632">
        <v>-0.10219775958333335</v>
      </c>
      <c r="AW241" s="632">
        <v>-0.11690549750000004</v>
      </c>
      <c r="AX241" s="632">
        <v>-0.13286510875000004</v>
      </c>
      <c r="AY241" s="632">
        <v>-0.15010024333333341</v>
      </c>
      <c r="AZ241" s="632">
        <v>-0.16863455125000004</v>
      </c>
      <c r="BA241" s="632">
        <v>-0.18849168250000012</v>
      </c>
      <c r="BB241" s="632">
        <v>-0.20969528708333343</v>
      </c>
      <c r="BC241" s="632">
        <v>-0.23226901499999994</v>
      </c>
      <c r="BD241" s="632">
        <v>-0.25410742499999994</v>
      </c>
      <c r="BE241" s="632">
        <v>-0.27675466499999996</v>
      </c>
      <c r="BF241" s="632">
        <v>-0.3002107349999999</v>
      </c>
      <c r="BG241" s="632">
        <v>-0.32447563499999993</v>
      </c>
      <c r="BH241" s="632">
        <v>-0.34954936499999989</v>
      </c>
      <c r="BI241" s="632">
        <v>-0.375431925</v>
      </c>
      <c r="BJ241" s="632">
        <v>-0.40212331499999998</v>
      </c>
      <c r="BK241" s="632">
        <v>-0.42962353499999989</v>
      </c>
      <c r="BL241" s="632">
        <v>-0.45793258499999995</v>
      </c>
      <c r="BM241" s="632">
        <v>-0.48705046500000004</v>
      </c>
      <c r="BN241" s="632">
        <v>-0.51697717499999996</v>
      </c>
      <c r="BO241" s="632">
        <v>-0.54771271500000007</v>
      </c>
      <c r="BP241" s="632">
        <v>-0.57925708500000006</v>
      </c>
      <c r="BQ241" s="632">
        <v>-0.61161028500000003</v>
      </c>
      <c r="BR241" s="632">
        <v>-0.64477231499999987</v>
      </c>
      <c r="BS241" s="632">
        <v>-0.67874317500000003</v>
      </c>
      <c r="BT241" s="632">
        <v>-0.71352286500000006</v>
      </c>
      <c r="BU241" s="632">
        <v>-0.74911138500000007</v>
      </c>
      <c r="BV241" s="632">
        <v>-0.78550873499999996</v>
      </c>
      <c r="BW241" s="632">
        <v>-0.82271491499999994</v>
      </c>
      <c r="BX241" s="632">
        <v>-0.86072992500000001</v>
      </c>
      <c r="BY241" s="632">
        <v>-0.89955376499999995</v>
      </c>
      <c r="BZ241" s="632">
        <v>-0.93918643499999976</v>
      </c>
      <c r="CA241" s="632">
        <v>-0.97962793499999978</v>
      </c>
      <c r="CB241" s="632">
        <v>-1.0208782649999999</v>
      </c>
      <c r="CC241" s="632">
        <v>-1.0629374249999999</v>
      </c>
      <c r="CD241" s="632">
        <v>-1.1058054150000001</v>
      </c>
      <c r="CE241" s="632">
        <v>-1.1494822349999998</v>
      </c>
      <c r="CF241" s="632">
        <v>-1.193967885</v>
      </c>
      <c r="CG241" s="632">
        <v>-1.2392623649999999</v>
      </c>
      <c r="CH241" s="632">
        <v>-1.2853656749999998</v>
      </c>
      <c r="CI241" s="632">
        <v>-1.3322778149999996</v>
      </c>
      <c r="CJ241" s="632">
        <v>-1.379998785</v>
      </c>
      <c r="CK241" s="632">
        <v>-1.4285285849999996</v>
      </c>
      <c r="CL241" s="632">
        <v>-1.4778672149999996</v>
      </c>
      <c r="CM241" s="632">
        <v>-1.5280146749999999</v>
      </c>
      <c r="CN241" s="632">
        <v>-1.5787013549999998</v>
      </c>
      <c r="CO241" s="632">
        <v>-1.6299272549999997</v>
      </c>
      <c r="CP241" s="632">
        <v>-1.6816923749999997</v>
      </c>
      <c r="CQ241" s="632">
        <v>-1.733996715</v>
      </c>
      <c r="CR241" s="632">
        <v>-1.7868402749999996</v>
      </c>
      <c r="CS241" s="632">
        <v>-1.8402230549999998</v>
      </c>
      <c r="CT241" s="632">
        <v>-1.8941450550000003</v>
      </c>
      <c r="CU241" s="632">
        <v>-1.9486062749999995</v>
      </c>
      <c r="CV241" s="632">
        <v>-2.0036067149999992</v>
      </c>
      <c r="CW241" s="632">
        <v>-2.0591463749999992</v>
      </c>
      <c r="CX241" s="632">
        <v>-2.1152252549999999</v>
      </c>
      <c r="CY241" s="632">
        <v>-2.1718433549999996</v>
      </c>
    </row>
    <row r="242" spans="1:103">
      <c r="A242" s="229"/>
      <c r="B242" s="230"/>
      <c r="C242" s="230"/>
      <c r="D242" s="230"/>
      <c r="E242" s="230" t="s">
        <v>869</v>
      </c>
      <c r="F242" s="95"/>
      <c r="G242" s="232" t="s">
        <v>736</v>
      </c>
      <c r="H242" s="203"/>
      <c r="I242" s="203"/>
      <c r="J242" s="203"/>
      <c r="K242" s="203"/>
      <c r="L242" s="229"/>
      <c r="M242" s="229"/>
      <c r="N242" s="229"/>
      <c r="O242" s="229"/>
      <c r="P242" s="229"/>
      <c r="Q242" s="229"/>
      <c r="R242" s="229"/>
      <c r="S242" s="229"/>
      <c r="T242" s="597"/>
      <c r="U242" s="597"/>
      <c r="V242" s="597"/>
      <c r="W242" s="597"/>
      <c r="X242" s="597"/>
      <c r="Y242" s="597"/>
      <c r="Z242" s="597"/>
      <c r="AA242" s="597"/>
      <c r="AB242" s="597"/>
      <c r="AC242" s="597"/>
      <c r="AD242" s="597"/>
      <c r="AE242" s="597"/>
      <c r="AF242" s="629">
        <v>-2.1177167676501536E-5</v>
      </c>
      <c r="AG242" s="629">
        <v>-9.8074814082742566E-6</v>
      </c>
      <c r="AH242" s="629">
        <v>-8.4341046334464814E-5</v>
      </c>
      <c r="AI242" s="629">
        <v>-3.8612828919625227E-3</v>
      </c>
      <c r="AJ242" s="629">
        <v>-4.1029072573145588E-3</v>
      </c>
      <c r="AK242" s="629">
        <v>-4.4072384309544917E-3</v>
      </c>
      <c r="AL242" s="629">
        <v>-5.1010511756727746E-3</v>
      </c>
      <c r="AM242" s="666">
        <v>-6.0835422280911197E-3</v>
      </c>
      <c r="AN242" s="629">
        <v>-6.5417614207474188E-3</v>
      </c>
      <c r="AO242" s="601">
        <v>-1.7279655421850761E-2</v>
      </c>
      <c r="AP242" s="632">
        <v>0</v>
      </c>
      <c r="AQ242" s="632">
        <v>0</v>
      </c>
      <c r="AR242" s="632">
        <v>-2.6820000000000004E-2</v>
      </c>
      <c r="AS242" s="632">
        <v>-3.1380000000000005E-2</v>
      </c>
      <c r="AT242" s="632">
        <v>-3.6420000000000008E-2</v>
      </c>
      <c r="AU242" s="632">
        <v>-4.1940000000000012E-2</v>
      </c>
      <c r="AV242" s="632">
        <v>-4.7940000000000003E-2</v>
      </c>
      <c r="AW242" s="632">
        <v>-5.4420000000000003E-2</v>
      </c>
      <c r="AX242" s="632">
        <v>-6.1380000000000004E-2</v>
      </c>
      <c r="AY242" s="632">
        <v>-6.8820000000000006E-2</v>
      </c>
      <c r="AZ242" s="632">
        <v>-7.6739999999999989E-2</v>
      </c>
      <c r="BA242" s="632">
        <v>-8.5140000000000007E-2</v>
      </c>
      <c r="BB242" s="632">
        <v>-9.4019999999999992E-2</v>
      </c>
      <c r="BC242" s="632">
        <v>-0.10338</v>
      </c>
      <c r="BD242" s="632">
        <v>-0.11309999999999999</v>
      </c>
      <c r="BE242" s="632">
        <v>-0.12317999999999998</v>
      </c>
      <c r="BF242" s="632">
        <v>-0.13361999999999999</v>
      </c>
      <c r="BG242" s="632">
        <v>-0.14441999999999999</v>
      </c>
      <c r="BH242" s="632">
        <v>-0.15558</v>
      </c>
      <c r="BI242" s="632">
        <v>-0.1671</v>
      </c>
      <c r="BJ242" s="632">
        <v>-0.17898000000000003</v>
      </c>
      <c r="BK242" s="632">
        <v>-0.19122</v>
      </c>
      <c r="BL242" s="632">
        <v>-0.20382</v>
      </c>
      <c r="BM242" s="632">
        <v>-0.21678</v>
      </c>
      <c r="BN242" s="632">
        <v>-0.23010000000000003</v>
      </c>
      <c r="BO242" s="632">
        <v>-0.24378</v>
      </c>
      <c r="BP242" s="632">
        <v>-0.25782000000000005</v>
      </c>
      <c r="BQ242" s="632">
        <v>-0.27222000000000002</v>
      </c>
      <c r="BR242" s="632">
        <v>-0.28698000000000001</v>
      </c>
      <c r="BS242" s="632">
        <v>-0.30210000000000004</v>
      </c>
      <c r="BT242" s="632">
        <v>-0.31758000000000003</v>
      </c>
      <c r="BU242" s="632">
        <v>-0.33341999999999999</v>
      </c>
      <c r="BV242" s="632">
        <v>-0.34962000000000004</v>
      </c>
      <c r="BW242" s="632">
        <v>-0.36618000000000001</v>
      </c>
      <c r="BX242" s="632">
        <v>-0.3831</v>
      </c>
      <c r="BY242" s="632">
        <v>-0.40038000000000001</v>
      </c>
      <c r="BZ242" s="632">
        <v>-0.41802</v>
      </c>
      <c r="CA242" s="632">
        <v>-0.43601999999999996</v>
      </c>
      <c r="CB242" s="632">
        <v>-0.45437999999999995</v>
      </c>
      <c r="CC242" s="632">
        <v>-0.47309999999999997</v>
      </c>
      <c r="CD242" s="632">
        <v>-0.49218000000000001</v>
      </c>
      <c r="CE242" s="632">
        <v>-0.51162000000000007</v>
      </c>
      <c r="CF242" s="632">
        <v>-0.53142000000000011</v>
      </c>
      <c r="CG242" s="632">
        <v>-0.55158000000000007</v>
      </c>
      <c r="CH242" s="632">
        <v>-0.57210000000000005</v>
      </c>
      <c r="CI242" s="632">
        <v>-0.59297999999999995</v>
      </c>
      <c r="CJ242" s="632">
        <v>-0.61421999999999988</v>
      </c>
      <c r="CK242" s="632">
        <v>-0.63581999999999994</v>
      </c>
      <c r="CL242" s="632">
        <v>-0.65777999999999992</v>
      </c>
      <c r="CM242" s="632">
        <v>-0.68009999999999993</v>
      </c>
      <c r="CN242" s="632">
        <v>-0.70265999999999995</v>
      </c>
      <c r="CO242" s="632">
        <v>-0.72545999999999988</v>
      </c>
      <c r="CP242" s="632">
        <v>-0.74850000000000005</v>
      </c>
      <c r="CQ242" s="632">
        <v>-0.77178000000000002</v>
      </c>
      <c r="CR242" s="632">
        <v>-0.79530000000000001</v>
      </c>
      <c r="CS242" s="632">
        <v>-0.8190599999999999</v>
      </c>
      <c r="CT242" s="632">
        <v>-0.84305999999999992</v>
      </c>
      <c r="CU242" s="632">
        <v>-0.86729999999999985</v>
      </c>
      <c r="CV242" s="632">
        <v>-0.89178000000000002</v>
      </c>
      <c r="CW242" s="632">
        <v>-0.91649999999999998</v>
      </c>
      <c r="CX242" s="632">
        <v>-0.94145999999999996</v>
      </c>
      <c r="CY242" s="632">
        <v>-0.96665999999999996</v>
      </c>
    </row>
    <row r="243" spans="1:103">
      <c r="A243" s="229"/>
      <c r="B243" s="230"/>
      <c r="C243" s="230"/>
      <c r="D243" s="230"/>
      <c r="E243" s="230" t="s">
        <v>870</v>
      </c>
      <c r="F243" s="232"/>
      <c r="G243" s="232" t="s">
        <v>736</v>
      </c>
      <c r="H243" s="203"/>
      <c r="I243" s="203"/>
      <c r="J243" s="203"/>
      <c r="K243" s="203"/>
      <c r="L243" s="229"/>
      <c r="M243" s="229"/>
      <c r="N243" s="229"/>
      <c r="O243" s="229"/>
      <c r="P243" s="229"/>
      <c r="Q243" s="229"/>
      <c r="R243" s="229"/>
      <c r="S243" s="229"/>
      <c r="T243" s="597"/>
      <c r="U243" s="597"/>
      <c r="V243" s="597"/>
      <c r="W243" s="597"/>
      <c r="X243" s="597"/>
      <c r="Y243" s="597"/>
      <c r="Z243" s="597"/>
      <c r="AA243" s="597"/>
      <c r="AB243" s="597"/>
      <c r="AC243" s="597"/>
      <c r="AD243" s="597"/>
      <c r="AE243" s="597"/>
      <c r="AF243" s="629">
        <v>-8.3707534036446683E-6</v>
      </c>
      <c r="AG243" s="629">
        <v>-3.9078624702046642E-6</v>
      </c>
      <c r="AH243" s="629">
        <v>-4.1356788898861244E-5</v>
      </c>
      <c r="AI243" s="629">
        <v>-1.4117292927646975E-3</v>
      </c>
      <c r="AJ243" s="629">
        <v>-1.5530785630785795E-3</v>
      </c>
      <c r="AK243" s="629">
        <v>-1.952717405337379E-3</v>
      </c>
      <c r="AL243" s="629">
        <v>-2.2932923704835576E-3</v>
      </c>
      <c r="AM243" s="666">
        <v>-3.4293736017995138E-3</v>
      </c>
      <c r="AN243" s="629">
        <v>-1.4271011142791795E-3</v>
      </c>
      <c r="AO243" s="601">
        <v>-7.5133759785523651E-3</v>
      </c>
      <c r="AP243" s="632">
        <v>0</v>
      </c>
      <c r="AQ243" s="632">
        <v>0</v>
      </c>
      <c r="AR243" s="632">
        <v>-5.8575625000000017E-3</v>
      </c>
      <c r="AS243" s="632">
        <v>-6.9079583333333363E-3</v>
      </c>
      <c r="AT243" s="632">
        <v>-8.0806875000000028E-3</v>
      </c>
      <c r="AU243" s="632">
        <v>-9.3782500000000029E-3</v>
      </c>
      <c r="AV243" s="632">
        <v>-1.0803145833333336E-2</v>
      </c>
      <c r="AW243" s="632">
        <v>-1.2357875000000004E-2</v>
      </c>
      <c r="AX243" s="632">
        <v>-1.4044937500000005E-2</v>
      </c>
      <c r="AY243" s="632">
        <v>-1.586683333333334E-2</v>
      </c>
      <c r="AZ243" s="632">
        <v>-1.7826062500000007E-2</v>
      </c>
      <c r="BA243" s="632">
        <v>-1.9925125000000012E-2</v>
      </c>
      <c r="BB243" s="632">
        <v>-2.2166520833333345E-2</v>
      </c>
      <c r="BC243" s="632">
        <v>-2.4552749999999998E-2</v>
      </c>
      <c r="BD243" s="632">
        <v>-2.6861249999999996E-2</v>
      </c>
      <c r="BE243" s="632">
        <v>-2.9255249999999997E-2</v>
      </c>
      <c r="BF243" s="632">
        <v>-3.1734749999999992E-2</v>
      </c>
      <c r="BG243" s="632">
        <v>-3.4299749999999997E-2</v>
      </c>
      <c r="BH243" s="632">
        <v>-3.695024999999999E-2</v>
      </c>
      <c r="BI243" s="632">
        <v>-3.9686249999999999E-2</v>
      </c>
      <c r="BJ243" s="632">
        <v>-4.2507750000000004E-2</v>
      </c>
      <c r="BK243" s="632">
        <v>-4.541474999999999E-2</v>
      </c>
      <c r="BL243" s="632">
        <v>-4.8407249999999999E-2</v>
      </c>
      <c r="BM243" s="632">
        <v>-5.148525000000001E-2</v>
      </c>
      <c r="BN243" s="632">
        <v>-5.4648750000000003E-2</v>
      </c>
      <c r="BO243" s="632">
        <v>-5.7897750000000012E-2</v>
      </c>
      <c r="BP243" s="632">
        <v>-6.1232250000000009E-2</v>
      </c>
      <c r="BQ243" s="632">
        <v>-6.4652250000000008E-2</v>
      </c>
      <c r="BR243" s="632">
        <v>-6.8157749999999989E-2</v>
      </c>
      <c r="BS243" s="632">
        <v>-7.174875E-2</v>
      </c>
      <c r="BT243" s="632">
        <v>-7.5425250000000013E-2</v>
      </c>
      <c r="BU243" s="632">
        <v>-7.9187250000000001E-2</v>
      </c>
      <c r="BV243" s="632">
        <v>-8.3034750000000004E-2</v>
      </c>
      <c r="BW243" s="632">
        <v>-0.17393549999999999</v>
      </c>
      <c r="BX243" s="632">
        <v>-0.18197250000000001</v>
      </c>
      <c r="BY243" s="632">
        <v>-0.1901805</v>
      </c>
      <c r="BZ243" s="632">
        <v>-0.19855949999999997</v>
      </c>
      <c r="CA243" s="632">
        <v>-0.20710949999999997</v>
      </c>
      <c r="CB243" s="632">
        <v>-0.21583049999999998</v>
      </c>
      <c r="CC243" s="632">
        <v>-0.22472249999999996</v>
      </c>
      <c r="CD243" s="632">
        <v>-0.23378550000000001</v>
      </c>
      <c r="CE243" s="632">
        <v>-0.2430195</v>
      </c>
      <c r="CF243" s="632">
        <v>-0.25242450000000005</v>
      </c>
      <c r="CG243" s="632">
        <v>-0.26200049999999997</v>
      </c>
      <c r="CH243" s="632">
        <v>-0.27174750000000003</v>
      </c>
      <c r="CI243" s="632">
        <v>-0.28166549999999996</v>
      </c>
      <c r="CJ243" s="632">
        <v>-0.29175450000000003</v>
      </c>
      <c r="CK243" s="632">
        <v>-0.30201449999999996</v>
      </c>
      <c r="CL243" s="632">
        <v>-0.31244549999999993</v>
      </c>
      <c r="CM243" s="632">
        <v>-0.32304749999999999</v>
      </c>
      <c r="CN243" s="632">
        <v>-0.33376349999999999</v>
      </c>
      <c r="CO243" s="632">
        <v>-0.34459349999999994</v>
      </c>
      <c r="CP243" s="632">
        <v>-0.35553749999999995</v>
      </c>
      <c r="CQ243" s="632">
        <v>-0.36659550000000002</v>
      </c>
      <c r="CR243" s="632">
        <v>-0.37776749999999992</v>
      </c>
      <c r="CS243" s="632">
        <v>-0.3890535</v>
      </c>
      <c r="CT243" s="632">
        <v>-0.40045350000000002</v>
      </c>
      <c r="CU243" s="632">
        <v>-0.41196749999999993</v>
      </c>
      <c r="CV243" s="632">
        <v>-0.4235954999999999</v>
      </c>
      <c r="CW243" s="632">
        <v>-0.43533749999999993</v>
      </c>
      <c r="CX243" s="632">
        <v>-0.44719349999999997</v>
      </c>
      <c r="CY243" s="632">
        <v>-0.45916349999999995</v>
      </c>
    </row>
    <row r="244" spans="1:103">
      <c r="A244" s="229"/>
      <c r="B244" s="230"/>
      <c r="C244" s="230"/>
      <c r="D244" s="230"/>
      <c r="E244" s="230" t="s">
        <v>373</v>
      </c>
      <c r="F244" s="232"/>
      <c r="G244" s="232" t="s">
        <v>736</v>
      </c>
      <c r="H244" s="203"/>
      <c r="I244" s="203"/>
      <c r="J244" s="203"/>
      <c r="K244" s="203"/>
      <c r="L244" s="229"/>
      <c r="M244" s="229"/>
      <c r="N244" s="229"/>
      <c r="O244" s="229"/>
      <c r="P244" s="229"/>
      <c r="Q244" s="229"/>
      <c r="R244" s="229"/>
      <c r="S244" s="229"/>
      <c r="T244" s="610"/>
      <c r="U244" s="610"/>
      <c r="V244" s="610"/>
      <c r="W244" s="610"/>
      <c r="X244" s="610"/>
      <c r="Y244" s="610"/>
      <c r="Z244" s="597"/>
      <c r="AA244" s="597"/>
      <c r="AB244" s="597"/>
      <c r="AC244" s="600"/>
      <c r="AD244" s="600"/>
      <c r="AE244" s="634"/>
      <c r="AF244" s="634"/>
      <c r="AG244" s="634"/>
      <c r="AH244" s="246"/>
      <c r="AI244" s="246"/>
      <c r="AJ244" s="246"/>
      <c r="AK244" s="632"/>
      <c r="AL244" s="632"/>
      <c r="AM244" s="632"/>
      <c r="AN244" s="632"/>
      <c r="AO244" s="632"/>
      <c r="AP244" s="632"/>
      <c r="AQ244" s="626"/>
      <c r="AR244" s="632"/>
      <c r="AS244" s="632"/>
      <c r="AT244" s="632"/>
      <c r="AU244" s="632"/>
      <c r="AV244" s="632"/>
      <c r="AW244" s="632"/>
      <c r="AX244" s="632"/>
      <c r="AY244" s="632"/>
      <c r="AZ244" s="632"/>
      <c r="BA244" s="632"/>
      <c r="BB244" s="632"/>
      <c r="BC244" s="632"/>
      <c r="BD244" s="632"/>
      <c r="BE244" s="632"/>
      <c r="BF244" s="632"/>
      <c r="BG244" s="632"/>
      <c r="BH244" s="632"/>
      <c r="BI244" s="632"/>
      <c r="BJ244" s="632"/>
      <c r="BK244" s="632"/>
      <c r="BL244" s="632"/>
      <c r="BM244" s="632"/>
      <c r="BN244" s="632"/>
      <c r="BO244" s="632"/>
      <c r="BP244" s="632"/>
      <c r="BQ244" s="632"/>
      <c r="BR244" s="632"/>
      <c r="BS244" s="632"/>
      <c r="BT244" s="632"/>
      <c r="BU244" s="632"/>
      <c r="BV244" s="632"/>
      <c r="BW244" s="632"/>
      <c r="BX244" s="632"/>
      <c r="BY244" s="632"/>
      <c r="BZ244" s="632"/>
      <c r="CA244" s="632"/>
      <c r="CB244" s="632"/>
      <c r="CC244" s="632"/>
      <c r="CD244" s="632"/>
      <c r="CE244" s="632"/>
      <c r="CF244" s="632"/>
      <c r="CG244" s="632"/>
      <c r="CH244" s="632"/>
      <c r="CI244" s="632"/>
      <c r="CJ244" s="632"/>
      <c r="CK244" s="632"/>
      <c r="CL244" s="632"/>
      <c r="CM244" s="632"/>
      <c r="CN244" s="632"/>
      <c r="CO244" s="632"/>
      <c r="CP244" s="632"/>
      <c r="CQ244" s="632"/>
      <c r="CR244" s="632"/>
      <c r="CS244" s="632"/>
      <c r="CT244" s="632"/>
      <c r="CU244" s="632"/>
      <c r="CV244" s="632"/>
      <c r="CW244" s="632"/>
      <c r="CX244" s="632"/>
      <c r="CY244" s="632"/>
    </row>
    <row r="245" spans="1:103">
      <c r="A245" s="230"/>
      <c r="B245" s="229" t="s">
        <v>621</v>
      </c>
      <c r="C245" s="230"/>
      <c r="D245" s="230"/>
      <c r="E245" s="232"/>
      <c r="F245" s="232"/>
      <c r="G245" s="232" t="s">
        <v>736</v>
      </c>
      <c r="H245" s="203"/>
      <c r="I245" s="232"/>
      <c r="J245" s="232"/>
      <c r="K245" s="232"/>
      <c r="L245" s="230"/>
      <c r="M245" s="230"/>
      <c r="N245" s="230"/>
      <c r="O245" s="230"/>
      <c r="P245" s="230"/>
      <c r="Q245" s="230"/>
      <c r="R245" s="230"/>
      <c r="S245" s="230"/>
      <c r="T245" s="597"/>
      <c r="U245" s="597"/>
      <c r="V245" s="597"/>
      <c r="W245" s="597"/>
      <c r="X245" s="597"/>
      <c r="Y245" s="597"/>
      <c r="Z245" s="597"/>
      <c r="AA245" s="597"/>
      <c r="AB245" s="597"/>
      <c r="AC245" s="597"/>
      <c r="AD245" s="597"/>
      <c r="AE245" s="597"/>
      <c r="AF245" s="635">
        <v>-2.6865000000000001E-5</v>
      </c>
      <c r="AG245" s="635">
        <v>2.3132000000000001E-5</v>
      </c>
      <c r="AH245" s="635">
        <v>-3.1316000000000003E-5</v>
      </c>
      <c r="AI245" s="635">
        <v>-3.3010599999999999E-4</v>
      </c>
      <c r="AJ245" s="635">
        <v>-2.1741137000000001E-2</v>
      </c>
      <c r="AK245" s="595">
        <v>-1.5874612E-2</v>
      </c>
      <c r="AL245" s="595">
        <v>-2.8224716E-2</v>
      </c>
      <c r="AM245" s="595">
        <v>-3.5618944E-2</v>
      </c>
      <c r="AN245" s="595">
        <v>-5.5251792000000001E-2</v>
      </c>
      <c r="AO245" s="672">
        <v>-0.80213844282023339</v>
      </c>
      <c r="AP245" s="672">
        <v>-0.956646363158556</v>
      </c>
      <c r="AQ245" s="672">
        <v>-1.0167952068447563</v>
      </c>
      <c r="AR245" s="672">
        <v>-0.20655646371344777</v>
      </c>
      <c r="AS245" s="672">
        <v>-0.24103382814792268</v>
      </c>
      <c r="AT245" s="672">
        <v>-0.25589353819361804</v>
      </c>
      <c r="AU245" s="672">
        <v>-0.27881310403789156</v>
      </c>
      <c r="AV245" s="672">
        <v>-0.40265634646487536</v>
      </c>
      <c r="AW245" s="672">
        <v>-0.56133172212732685</v>
      </c>
      <c r="AX245" s="672">
        <v>-0.59326842442985239</v>
      </c>
      <c r="AY245" s="672">
        <v>-0.61329870519041518</v>
      </c>
      <c r="AZ245" s="672">
        <v>-0.68013670350925293</v>
      </c>
      <c r="BA245" s="672">
        <v>-0.75949356621057984</v>
      </c>
      <c r="BB245" s="672">
        <v>-0.80466739789393193</v>
      </c>
      <c r="BC245" s="672">
        <v>-0.88210378316764715</v>
      </c>
      <c r="BD245" s="672">
        <v>-0.97631471144687898</v>
      </c>
      <c r="BE245" s="672">
        <v>-1.0099419303433947</v>
      </c>
      <c r="BF245" s="672">
        <v>-1.0143687868197482</v>
      </c>
      <c r="BG245" s="672">
        <v>-1.1316632746944921</v>
      </c>
      <c r="BH245" s="672">
        <v>-1.2606897856694705</v>
      </c>
      <c r="BI245" s="672">
        <v>-1.3973641574503697</v>
      </c>
      <c r="BJ245" s="672">
        <v>-1.5312636783148756</v>
      </c>
      <c r="BK245" s="672">
        <v>-1.6626294984210208</v>
      </c>
      <c r="BL245" s="672">
        <v>-1.8118803950860787</v>
      </c>
      <c r="BM245" s="672">
        <v>-1.9649957967088107</v>
      </c>
      <c r="BN245" s="672">
        <v>-2.1218951083313948</v>
      </c>
      <c r="BO245" s="672">
        <v>-2.2824173124682008</v>
      </c>
      <c r="BP245" s="672">
        <v>-2.4472822920259487</v>
      </c>
      <c r="BQ245" s="672">
        <v>-2.6168937346763848</v>
      </c>
      <c r="BR245" s="672">
        <v>-2.7914708490850586</v>
      </c>
      <c r="BS245" s="672">
        <v>-2.9710645960450224</v>
      </c>
      <c r="BT245" s="672">
        <v>-3.1556449834826923</v>
      </c>
      <c r="BU245" s="672">
        <v>-3.3452922044452449</v>
      </c>
      <c r="BV245" s="672">
        <v>-3.5400365000000114</v>
      </c>
      <c r="BW245" s="672">
        <v>-3.739883107969431</v>
      </c>
      <c r="BX245" s="672">
        <v>-3.9448238036620076</v>
      </c>
      <c r="BY245" s="672">
        <v>-4.1548490919261578</v>
      </c>
      <c r="BZ245" s="672">
        <v>-4.3699518545679101</v>
      </c>
      <c r="CA245" s="672">
        <v>-4.5901277837702059</v>
      </c>
      <c r="CB245" s="672">
        <v>-4.8153743494858832</v>
      </c>
      <c r="CC245" s="672">
        <v>-5.0456896921154799</v>
      </c>
      <c r="CD245" s="672">
        <v>-5.2810728848726374</v>
      </c>
      <c r="CE245" s="672">
        <v>-5.5215236861423591</v>
      </c>
      <c r="CF245" s="672">
        <v>-5.7670422303776334</v>
      </c>
      <c r="CG245" s="672">
        <v>-6.0176287755146651</v>
      </c>
      <c r="CH245" s="672">
        <v>-6.2732835690583135</v>
      </c>
      <c r="CI245" s="672">
        <v>-6.5340067997797</v>
      </c>
      <c r="CJ245" s="672">
        <v>-6.7997985948891211</v>
      </c>
      <c r="CK245" s="672">
        <v>-7.0706590320066054</v>
      </c>
      <c r="CL245" s="672">
        <v>-7.3465881502476718</v>
      </c>
      <c r="CM245" s="672">
        <v>-7.6275859627674798</v>
      </c>
      <c r="CN245" s="672">
        <v>-7.913160843113821</v>
      </c>
      <c r="CO245" s="672">
        <v>-8.2034930461517988</v>
      </c>
      <c r="CP245" s="672">
        <v>-8.4986884263953701</v>
      </c>
      <c r="CQ245" s="672">
        <v>-8.7988031724492544</v>
      </c>
      <c r="CR245" s="672">
        <v>-9.1037222629869934</v>
      </c>
      <c r="CS245" s="672">
        <v>-9.4133917266118541</v>
      </c>
      <c r="CT245" s="672">
        <v>-9.7277874218419242</v>
      </c>
      <c r="CU245" s="672">
        <v>-10.046611449034231</v>
      </c>
      <c r="CV245" s="672">
        <v>-10.369249605930804</v>
      </c>
      <c r="CW245" s="672">
        <v>-10.695407637809801</v>
      </c>
      <c r="CX245" s="672">
        <v>-11.024950059484938</v>
      </c>
      <c r="CY245" s="672">
        <v>-11.357820965500169</v>
      </c>
    </row>
    <row r="246" spans="1:103">
      <c r="A246" s="229"/>
      <c r="B246" s="95" t="s">
        <v>701</v>
      </c>
      <c r="C246" s="95"/>
      <c r="D246" s="95"/>
      <c r="E246" s="214"/>
      <c r="F246" s="232"/>
      <c r="G246" s="232" t="s">
        <v>736</v>
      </c>
      <c r="H246" s="203"/>
      <c r="I246" s="203"/>
      <c r="J246" s="203"/>
      <c r="K246" s="203"/>
      <c r="L246" s="229"/>
      <c r="M246" s="229"/>
      <c r="N246" s="229"/>
      <c r="O246" s="229"/>
      <c r="P246" s="229"/>
      <c r="Q246" s="229"/>
      <c r="R246" s="229"/>
      <c r="S246" s="229"/>
      <c r="T246" s="247"/>
      <c r="U246" s="247"/>
      <c r="V246" s="247"/>
      <c r="W246" s="247"/>
      <c r="X246" s="247"/>
      <c r="Y246" s="247"/>
      <c r="Z246" s="247"/>
      <c r="AA246" s="247"/>
      <c r="AB246" s="247"/>
      <c r="AC246" s="247"/>
      <c r="AD246" s="247"/>
      <c r="AE246" s="247"/>
      <c r="AF246" s="656">
        <f>SUM(AF247:AF256)</f>
        <v>-2.7765504910475628E-5</v>
      </c>
      <c r="AG246" s="656">
        <f t="shared" ref="AG246:AQ246" si="98">SUM(AG247:AG256)</f>
        <v>-7.8993619098648323E-4</v>
      </c>
      <c r="AH246" s="656">
        <f t="shared" si="98"/>
        <v>-2.2101562856931115E-2</v>
      </c>
      <c r="AI246" s="656">
        <f t="shared" si="98"/>
        <v>-5.9612171806083449E-2</v>
      </c>
      <c r="AJ246" s="656">
        <f t="shared" si="98"/>
        <v>-5.0584888681631815E-2</v>
      </c>
      <c r="AK246" s="656">
        <f t="shared" si="98"/>
        <v>-4.0177646629152027E-2</v>
      </c>
      <c r="AL246" s="656">
        <f t="shared" si="98"/>
        <v>-3.7261253931513562E-2</v>
      </c>
      <c r="AM246" s="656">
        <f t="shared" si="98"/>
        <v>-4.0248347599874744E-2</v>
      </c>
      <c r="AN246" s="656">
        <f t="shared" si="98"/>
        <v>-3.4212656055058834E-2</v>
      </c>
      <c r="AO246" s="656">
        <f t="shared" si="98"/>
        <v>-16.985640178460919</v>
      </c>
      <c r="AP246" s="656">
        <f t="shared" si="98"/>
        <v>-32.842584544462504</v>
      </c>
      <c r="AQ246" s="656">
        <f t="shared" si="98"/>
        <v>-39.197606434587527</v>
      </c>
      <c r="AR246" s="656">
        <v>-0.20991707261921469</v>
      </c>
      <c r="AS246" s="656">
        <v>-0.23343631380873903</v>
      </c>
      <c r="AT246" s="656">
        <v>-0.27111104835595756</v>
      </c>
      <c r="AU246" s="656">
        <v>-0.31457689444713466</v>
      </c>
      <c r="AV246" s="656">
        <v>-0.32743186476486152</v>
      </c>
      <c r="AW246" s="656">
        <v>-0.33145995326484934</v>
      </c>
      <c r="AX246" s="656">
        <v>-0.36418460271789466</v>
      </c>
      <c r="AY246" s="656">
        <v>-0.42091283952860165</v>
      </c>
      <c r="AZ246" s="656">
        <v>-0.46653457611785221</v>
      </c>
      <c r="BA246" s="656">
        <v>-0.51383285418187219</v>
      </c>
      <c r="BB246" s="656">
        <v>-0.57700228577675128</v>
      </c>
      <c r="BC246" s="656">
        <v>-0.62242635558389803</v>
      </c>
      <c r="BD246" s="656">
        <v>-0.63721840278759601</v>
      </c>
      <c r="BE246" s="656">
        <v>-0.70530615300847788</v>
      </c>
      <c r="BF246" s="656">
        <v>-0.78393466676920531</v>
      </c>
      <c r="BG246" s="656">
        <v>-0.8334717287260569</v>
      </c>
      <c r="BH246" s="656">
        <v>-0.87778628117116897</v>
      </c>
      <c r="BI246" s="656">
        <v>-0.91880899791558179</v>
      </c>
      <c r="BJ246" s="656">
        <v>-0.96562682068061245</v>
      </c>
      <c r="BK246" s="656">
        <v>-1.0161822178167235</v>
      </c>
      <c r="BL246" s="656">
        <v>-1.0626342812559688</v>
      </c>
      <c r="BM246" s="656">
        <v>-1.1113996092303342</v>
      </c>
      <c r="BN246" s="656">
        <v>-1.1626980715217259</v>
      </c>
      <c r="BO246" s="656">
        <v>-1.2221711058519968</v>
      </c>
      <c r="BP246" s="656">
        <v>-1.2755174410523076</v>
      </c>
      <c r="BQ246" s="656">
        <v>-1.3300323688341642</v>
      </c>
      <c r="BR246" s="656">
        <v>-1.386809155119739</v>
      </c>
      <c r="BS246" s="656">
        <v>-1.4465113818278077</v>
      </c>
      <c r="BT246" s="656">
        <v>-1.5035002167443692</v>
      </c>
      <c r="BU246" s="656">
        <v>-1.5588592937114323</v>
      </c>
      <c r="BV246" s="656">
        <v>-1.6174432099729303</v>
      </c>
      <c r="BW246" s="656">
        <v>-1.6515217174469017</v>
      </c>
      <c r="BX246" s="656">
        <v>-1.710358534165239</v>
      </c>
      <c r="BY246" s="656">
        <v>-1.7709109476169513</v>
      </c>
      <c r="BZ246" s="656">
        <v>-1.8334163836675268</v>
      </c>
      <c r="CA246" s="656">
        <v>-1.9026393009055442</v>
      </c>
      <c r="CB246" s="656">
        <v>-1.9663873676839314</v>
      </c>
      <c r="CC246" s="656">
        <v>-2.0311464970649915</v>
      </c>
      <c r="CD246" s="656">
        <v>-2.0979078602418904</v>
      </c>
      <c r="CE246" s="656">
        <v>-2.1672531647941007</v>
      </c>
      <c r="CF246" s="656">
        <v>-2.2343576707388979</v>
      </c>
      <c r="CG246" s="656">
        <v>-2.300169080529618</v>
      </c>
      <c r="CH246" s="656">
        <v>-2.3688444243939286</v>
      </c>
      <c r="CI246" s="656">
        <v>-2.4389836484741823</v>
      </c>
      <c r="CJ246" s="656">
        <v>-2.5091220969710779</v>
      </c>
      <c r="CK246" s="656">
        <v>-2.5808536842500849</v>
      </c>
      <c r="CL246" s="656">
        <v>-2.6543794704257295</v>
      </c>
      <c r="CM246" s="656">
        <v>-2.7337703867158489</v>
      </c>
      <c r="CN246" s="656">
        <v>-2.8054988061742892</v>
      </c>
      <c r="CO246" s="656">
        <v>-2.8777228503973582</v>
      </c>
      <c r="CP246" s="656">
        <v>-2.9502040592011411</v>
      </c>
      <c r="CQ246" s="656">
        <v>-3.022827962570136</v>
      </c>
      <c r="CR246" s="656">
        <v>-3.095585874389204</v>
      </c>
      <c r="CS246" s="656">
        <v>-3.1684779403105159</v>
      </c>
      <c r="CT246" s="656">
        <v>-3.2415088659778699</v>
      </c>
      <c r="CU246" s="656">
        <v>-3.314772174238791</v>
      </c>
      <c r="CV246" s="656">
        <v>-3.388453551918813</v>
      </c>
      <c r="CW246" s="656">
        <v>-3.4626431397198885</v>
      </c>
      <c r="CX246" s="656">
        <v>-3.5373851547951629</v>
      </c>
      <c r="CY246" s="656">
        <v>-3.612699228785111</v>
      </c>
    </row>
    <row r="247" spans="1:103">
      <c r="A247" s="229"/>
      <c r="B247" s="229"/>
      <c r="C247" s="230"/>
      <c r="D247" s="230" t="s">
        <v>100</v>
      </c>
      <c r="E247" s="230"/>
      <c r="F247" s="232"/>
      <c r="G247" s="232" t="s">
        <v>736</v>
      </c>
      <c r="H247" s="203"/>
      <c r="I247" s="203"/>
      <c r="J247" s="203"/>
      <c r="K247" s="203"/>
      <c r="L247" s="229"/>
      <c r="M247" s="229"/>
      <c r="N247" s="229"/>
      <c r="O247" s="229"/>
      <c r="P247" s="229"/>
      <c r="Q247" s="229"/>
      <c r="R247" s="229"/>
      <c r="S247" s="229"/>
      <c r="T247" s="237"/>
      <c r="U247" s="237"/>
      <c r="V247" s="237"/>
      <c r="W247" s="237"/>
      <c r="X247" s="237"/>
      <c r="Y247" s="237"/>
      <c r="Z247" s="237"/>
      <c r="AA247" s="237"/>
      <c r="AB247" s="237"/>
      <c r="AC247" s="237"/>
      <c r="AD247" s="237"/>
      <c r="AE247" s="237"/>
      <c r="AF247" s="638">
        <v>-6.3773325874866167E-6</v>
      </c>
      <c r="AG247" s="638">
        <v>-1.3495390927223446E-4</v>
      </c>
      <c r="AH247" s="638">
        <v>-1.614216429150327E-2</v>
      </c>
      <c r="AI247" s="638">
        <v>-4.0687302046743888E-2</v>
      </c>
      <c r="AJ247" s="638">
        <v>-2.884372830256535E-2</v>
      </c>
      <c r="AK247" s="638">
        <v>-2.3956161481011068E-2</v>
      </c>
      <c r="AL247" s="638">
        <v>-2.3673757325757959E-2</v>
      </c>
      <c r="AM247" s="638">
        <v>-1.9845766483521186E-2</v>
      </c>
      <c r="AN247" s="638">
        <v>-1.8977590616970113E-2</v>
      </c>
      <c r="AO247" s="673">
        <v>-6.6266506602641068E-5</v>
      </c>
      <c r="AP247" s="673">
        <v>-9.7158863545418177E-5</v>
      </c>
      <c r="AQ247" s="673">
        <v>-2.4009603841536616E-4</v>
      </c>
      <c r="AR247" s="673">
        <v>-5.6666666666666671E-2</v>
      </c>
      <c r="AS247" s="673">
        <v>-6.3333333333333339E-2</v>
      </c>
      <c r="AT247" s="673">
        <v>-7.0000000000000007E-2</v>
      </c>
      <c r="AU247" s="673">
        <v>-7.6666666666666675E-2</v>
      </c>
      <c r="AV247" s="673">
        <v>-8.3333333333333329E-2</v>
      </c>
      <c r="AW247" s="673">
        <v>-8.9999999999999983E-2</v>
      </c>
      <c r="AX247" s="673">
        <v>-9.6666666666666665E-2</v>
      </c>
      <c r="AY247" s="673">
        <v>-0.10333333333333333</v>
      </c>
      <c r="AZ247" s="673">
        <v>-0.10999999999999999</v>
      </c>
      <c r="BA247" s="673">
        <v>-0.11666666666666664</v>
      </c>
      <c r="BB247" s="673">
        <v>-0.12333333333333332</v>
      </c>
      <c r="BC247" s="673">
        <v>-0.13</v>
      </c>
      <c r="BD247" s="673">
        <v>-0.13500000000000001</v>
      </c>
      <c r="BE247" s="673">
        <v>-0.14000000000000004</v>
      </c>
      <c r="BF247" s="673">
        <v>-0.14500000000000002</v>
      </c>
      <c r="BG247" s="673">
        <v>-0.15000000000000002</v>
      </c>
      <c r="BH247" s="673">
        <v>-0.15500000000000003</v>
      </c>
      <c r="BI247" s="673">
        <v>-0.16000000000000003</v>
      </c>
      <c r="BJ247" s="673">
        <v>-0.16500000000000006</v>
      </c>
      <c r="BK247" s="673">
        <v>-0.17000000000000007</v>
      </c>
      <c r="BL247" s="673">
        <v>-0.17500000000000007</v>
      </c>
      <c r="BM247" s="673">
        <v>-0.18000000000000005</v>
      </c>
      <c r="BN247" s="673">
        <v>-0.18500000000000005</v>
      </c>
      <c r="BO247" s="673">
        <v>-0.19</v>
      </c>
      <c r="BP247" s="673">
        <v>-0.19500000000000001</v>
      </c>
      <c r="BQ247" s="673">
        <v>-0.2</v>
      </c>
      <c r="BR247" s="673">
        <v>-0.20499999999999999</v>
      </c>
      <c r="BS247" s="673">
        <v>-0.20999999999999996</v>
      </c>
      <c r="BT247" s="673">
        <v>-0.21499999999999997</v>
      </c>
      <c r="BU247" s="673">
        <v>-0.21999999999999992</v>
      </c>
      <c r="BV247" s="673">
        <v>-0.22499999999999992</v>
      </c>
      <c r="BW247" s="673">
        <v>-0.22999999999999993</v>
      </c>
      <c r="BX247" s="673">
        <v>-0.23499999999999988</v>
      </c>
      <c r="BY247" s="673">
        <v>-0.23999999999999985</v>
      </c>
      <c r="BZ247" s="673">
        <v>-0.24499999999999986</v>
      </c>
      <c r="CA247" s="673">
        <v>-0.25</v>
      </c>
      <c r="CB247" s="673">
        <v>-0.255</v>
      </c>
      <c r="CC247" s="673">
        <v>-0.25999999999999995</v>
      </c>
      <c r="CD247" s="673">
        <v>-0.26499999999999996</v>
      </c>
      <c r="CE247" s="673">
        <v>-0.26999999999999996</v>
      </c>
      <c r="CF247" s="673">
        <v>-0.27499999999999997</v>
      </c>
      <c r="CG247" s="673">
        <v>-0.27999999999999997</v>
      </c>
      <c r="CH247" s="673">
        <v>-0.28499999999999986</v>
      </c>
      <c r="CI247" s="673">
        <v>-0.28999999999999987</v>
      </c>
      <c r="CJ247" s="673">
        <v>-0.29499999999999987</v>
      </c>
      <c r="CK247" s="673">
        <v>-0.29999999999999982</v>
      </c>
      <c r="CL247" s="673">
        <v>-0.30499999999999983</v>
      </c>
      <c r="CM247" s="673">
        <v>-0.31</v>
      </c>
      <c r="CN247" s="673">
        <v>-0.31333333333333335</v>
      </c>
      <c r="CO247" s="673">
        <v>-0.31666666666666671</v>
      </c>
      <c r="CP247" s="673">
        <v>-0.31999999999999995</v>
      </c>
      <c r="CQ247" s="673">
        <v>-0.32333333333333331</v>
      </c>
      <c r="CR247" s="673">
        <v>-0.32666666666666666</v>
      </c>
      <c r="CS247" s="673">
        <v>-0.32999999999999996</v>
      </c>
      <c r="CT247" s="673">
        <v>-0.33333333333333326</v>
      </c>
      <c r="CU247" s="673">
        <v>-0.33666666666666656</v>
      </c>
      <c r="CV247" s="673">
        <v>-0.33999999999999997</v>
      </c>
      <c r="CW247" s="673">
        <v>-0.34333333333333327</v>
      </c>
      <c r="CX247" s="673">
        <v>-0.34666666666666651</v>
      </c>
      <c r="CY247" s="673">
        <v>-0.35000000000000003</v>
      </c>
    </row>
    <row r="248" spans="1:103">
      <c r="A248" s="229"/>
      <c r="B248" s="229"/>
      <c r="C248" s="230"/>
      <c r="D248" s="230" t="s">
        <v>806</v>
      </c>
      <c r="E248" s="230"/>
      <c r="F248" s="232"/>
      <c r="G248" s="232" t="s">
        <v>736</v>
      </c>
      <c r="H248" s="203"/>
      <c r="I248" s="203"/>
      <c r="J248" s="203"/>
      <c r="K248" s="203"/>
      <c r="L248" s="229"/>
      <c r="M248" s="229"/>
      <c r="N248" s="229"/>
      <c r="O248" s="229"/>
      <c r="P248" s="229"/>
      <c r="Q248" s="229"/>
      <c r="R248" s="229"/>
      <c r="S248" s="229"/>
      <c r="T248" s="237"/>
      <c r="U248" s="237"/>
      <c r="V248" s="237"/>
      <c r="W248" s="237"/>
      <c r="X248" s="237"/>
      <c r="Y248" s="237"/>
      <c r="Z248" s="237"/>
      <c r="AA248" s="237"/>
      <c r="AB248" s="237"/>
      <c r="AC248" s="237"/>
      <c r="AD248" s="237"/>
      <c r="AE248" s="237"/>
      <c r="AF248" s="638">
        <v>0</v>
      </c>
      <c r="AG248" s="638">
        <v>-6.6719239001189061E-5</v>
      </c>
      <c r="AH248" s="638">
        <v>-5.8706508000000012E-4</v>
      </c>
      <c r="AI248" s="638">
        <v>-1.9790838814163496E-3</v>
      </c>
      <c r="AJ248" s="638">
        <v>-1.7237433662790698E-3</v>
      </c>
      <c r="AK248" s="638">
        <v>-9.8060468465184123E-4</v>
      </c>
      <c r="AL248" s="638">
        <v>-1.0433384171820157E-3</v>
      </c>
      <c r="AM248" s="638">
        <v>-8.3670273875991808E-5</v>
      </c>
      <c r="AN248" s="638">
        <v>-9.0270245799195018E-5</v>
      </c>
      <c r="AO248" s="673">
        <v>0</v>
      </c>
      <c r="AP248" s="673">
        <v>0</v>
      </c>
      <c r="AQ248" s="673">
        <v>0</v>
      </c>
      <c r="AR248" s="673">
        <v>-4.7203333333333333E-3</v>
      </c>
      <c r="AS248" s="673">
        <v>-5.2756666666666664E-3</v>
      </c>
      <c r="AT248" s="673">
        <v>-5.8309999999999994E-3</v>
      </c>
      <c r="AU248" s="673">
        <v>-6.3863333333333333E-3</v>
      </c>
      <c r="AV248" s="673">
        <v>-6.9416666666666663E-3</v>
      </c>
      <c r="AW248" s="673">
        <v>-7.4969999999999993E-3</v>
      </c>
      <c r="AX248" s="673">
        <v>-8.0523333333333332E-3</v>
      </c>
      <c r="AY248" s="673">
        <v>-8.6076666666666645E-3</v>
      </c>
      <c r="AZ248" s="673">
        <v>-9.1629999999999993E-3</v>
      </c>
      <c r="BA248" s="673">
        <v>-9.7183333333333323E-3</v>
      </c>
      <c r="BB248" s="673">
        <v>-1.0273666666666665E-2</v>
      </c>
      <c r="BC248" s="673">
        <v>-1.0829E-2</v>
      </c>
      <c r="BD248" s="673">
        <v>-1.1245500000000002E-2</v>
      </c>
      <c r="BE248" s="673">
        <v>-1.1662E-2</v>
      </c>
      <c r="BF248" s="673">
        <v>-1.2078500000000002E-2</v>
      </c>
      <c r="BG248" s="673">
        <v>-1.2495000000000003E-2</v>
      </c>
      <c r="BH248" s="673">
        <v>-1.2911500000000003E-2</v>
      </c>
      <c r="BI248" s="673">
        <v>-1.3328000000000003E-2</v>
      </c>
      <c r="BJ248" s="673">
        <v>-1.3744500000000005E-2</v>
      </c>
      <c r="BK248" s="673">
        <v>-1.4161000000000003E-2</v>
      </c>
      <c r="BL248" s="673">
        <v>-1.4577500000000004E-2</v>
      </c>
      <c r="BM248" s="673">
        <v>-1.4994000000000004E-2</v>
      </c>
      <c r="BN248" s="673">
        <v>-1.5410500000000004E-2</v>
      </c>
      <c r="BO248" s="673">
        <v>-1.5827000000000001E-2</v>
      </c>
      <c r="BP248" s="673">
        <v>-1.6243500000000001E-2</v>
      </c>
      <c r="BQ248" s="673">
        <v>-1.6660000000000001E-2</v>
      </c>
      <c r="BR248" s="673">
        <v>-1.7076500000000001E-2</v>
      </c>
      <c r="BS248" s="673">
        <v>-1.7492999999999998E-2</v>
      </c>
      <c r="BT248" s="673">
        <v>-1.7909499999999995E-2</v>
      </c>
      <c r="BU248" s="673">
        <v>-1.8325999999999995E-2</v>
      </c>
      <c r="BV248" s="673">
        <v>-1.8742499999999992E-2</v>
      </c>
      <c r="BW248" s="673">
        <v>-1.9158999999999992E-2</v>
      </c>
      <c r="BX248" s="673">
        <v>-1.9575499999999992E-2</v>
      </c>
      <c r="BY248" s="673">
        <v>-1.9991999999999985E-2</v>
      </c>
      <c r="BZ248" s="673">
        <v>-2.0408499999999986E-2</v>
      </c>
      <c r="CA248" s="673">
        <v>-2.0825E-2</v>
      </c>
      <c r="CB248" s="673">
        <v>-2.12415E-2</v>
      </c>
      <c r="CC248" s="673">
        <v>-2.1657999999999997E-2</v>
      </c>
      <c r="CD248" s="673">
        <v>-2.2074499999999997E-2</v>
      </c>
      <c r="CE248" s="673">
        <v>-2.2490999999999994E-2</v>
      </c>
      <c r="CF248" s="673">
        <v>-2.2907499999999994E-2</v>
      </c>
      <c r="CG248" s="673">
        <v>-2.3323999999999991E-2</v>
      </c>
      <c r="CH248" s="673">
        <v>-2.3740499999999991E-2</v>
      </c>
      <c r="CI248" s="673">
        <v>-2.4156999999999991E-2</v>
      </c>
      <c r="CJ248" s="673">
        <v>-2.4573499999999988E-2</v>
      </c>
      <c r="CK248" s="673">
        <v>-2.4989999999999984E-2</v>
      </c>
      <c r="CL248" s="673">
        <v>-2.5406499999999985E-2</v>
      </c>
      <c r="CM248" s="673">
        <v>-2.5823000000000002E-2</v>
      </c>
      <c r="CN248" s="673">
        <v>-2.6100666666666664E-2</v>
      </c>
      <c r="CO248" s="673">
        <v>-2.6378333333333333E-2</v>
      </c>
      <c r="CP248" s="673">
        <v>-2.6655999999999999E-2</v>
      </c>
      <c r="CQ248" s="673">
        <v>-2.6933666666666665E-2</v>
      </c>
      <c r="CR248" s="673">
        <v>-2.721133333333333E-2</v>
      </c>
      <c r="CS248" s="673">
        <v>-2.7488999999999993E-2</v>
      </c>
      <c r="CT248" s="673">
        <v>-2.7766666666666662E-2</v>
      </c>
      <c r="CU248" s="673">
        <v>-2.8044333333333327E-2</v>
      </c>
      <c r="CV248" s="673">
        <v>-2.8321999999999993E-2</v>
      </c>
      <c r="CW248" s="673">
        <v>-2.8599666666666659E-2</v>
      </c>
      <c r="CX248" s="673">
        <v>-2.8877333333333324E-2</v>
      </c>
      <c r="CY248" s="673">
        <v>-2.9155E-2</v>
      </c>
    </row>
    <row r="249" spans="1:103">
      <c r="A249" s="95"/>
      <c r="B249" s="230"/>
      <c r="C249" s="230"/>
      <c r="D249" s="230" t="s">
        <v>871</v>
      </c>
      <c r="E249" s="230"/>
      <c r="F249" s="232"/>
      <c r="G249" s="232" t="s">
        <v>736</v>
      </c>
      <c r="H249" s="203"/>
      <c r="I249" s="214"/>
      <c r="J249" s="214"/>
      <c r="K249" s="214"/>
      <c r="L249" s="95"/>
      <c r="M249" s="95"/>
      <c r="N249" s="95"/>
      <c r="O249" s="95"/>
      <c r="P249" s="95"/>
      <c r="Q249" s="95"/>
      <c r="R249" s="95"/>
      <c r="S249" s="95"/>
      <c r="T249" s="237"/>
      <c r="U249" s="237"/>
      <c r="V249" s="237"/>
      <c r="W249" s="237"/>
      <c r="X249" s="237"/>
      <c r="Y249" s="237"/>
      <c r="Z249" s="237"/>
      <c r="AA249" s="237"/>
      <c r="AB249" s="237"/>
      <c r="AC249" s="237"/>
      <c r="AD249" s="627"/>
      <c r="AE249" s="237"/>
      <c r="AF249" s="638">
        <v>0</v>
      </c>
      <c r="AG249" s="638">
        <v>-5.3932703606817279E-4</v>
      </c>
      <c r="AH249" s="638">
        <v>-4.3688119999999997E-3</v>
      </c>
      <c r="AI249" s="638">
        <v>-1.3715063925855513E-2</v>
      </c>
      <c r="AJ249" s="638">
        <v>-1.3385027325581396E-2</v>
      </c>
      <c r="AK249" s="638">
        <v>-7.5540369427633978E-3</v>
      </c>
      <c r="AL249" s="638">
        <v>-7.6754023713855929E-3</v>
      </c>
      <c r="AM249" s="638">
        <v>-8.9182481687664801E-3</v>
      </c>
      <c r="AN249" s="638">
        <v>-8.0766583807804458E-3</v>
      </c>
      <c r="AO249" s="673">
        <v>-1.3800000000000002E-5</v>
      </c>
      <c r="AP249" s="673">
        <v>-2.0233333333333338E-5</v>
      </c>
      <c r="AQ249" s="673">
        <v>-5.0000000000000002E-5</v>
      </c>
      <c r="AR249" s="673">
        <v>-3.6833333333333336E-2</v>
      </c>
      <c r="AS249" s="673">
        <v>-4.1166666666666664E-2</v>
      </c>
      <c r="AT249" s="673">
        <v>-4.5499999999999999E-2</v>
      </c>
      <c r="AU249" s="673">
        <v>-4.9833333333333327E-2</v>
      </c>
      <c r="AV249" s="673">
        <v>-5.4166666666666669E-2</v>
      </c>
      <c r="AW249" s="673">
        <v>-5.8499999999999996E-2</v>
      </c>
      <c r="AX249" s="673">
        <v>-6.2833333333333324E-2</v>
      </c>
      <c r="AY249" s="673">
        <v>-6.7166666666666652E-2</v>
      </c>
      <c r="AZ249" s="673">
        <v>-7.1499999999999994E-2</v>
      </c>
      <c r="BA249" s="673">
        <v>-7.5833333333333336E-2</v>
      </c>
      <c r="BB249" s="673">
        <v>-8.0166666666666664E-2</v>
      </c>
      <c r="BC249" s="673">
        <v>-8.4500000000000006E-2</v>
      </c>
      <c r="BD249" s="673">
        <v>-8.7750000000000009E-2</v>
      </c>
      <c r="BE249" s="673">
        <v>-9.1000000000000011E-2</v>
      </c>
      <c r="BF249" s="673">
        <v>-9.4250000000000014E-2</v>
      </c>
      <c r="BG249" s="673">
        <v>-9.7500000000000017E-2</v>
      </c>
      <c r="BH249" s="673">
        <v>-0.10075000000000002</v>
      </c>
      <c r="BI249" s="673">
        <v>-0.10400000000000002</v>
      </c>
      <c r="BJ249" s="673">
        <v>-0.10725000000000003</v>
      </c>
      <c r="BK249" s="673">
        <v>-0.11050000000000003</v>
      </c>
      <c r="BL249" s="673">
        <v>-0.11375000000000003</v>
      </c>
      <c r="BM249" s="673">
        <v>-0.11700000000000003</v>
      </c>
      <c r="BN249" s="673">
        <v>-0.12025000000000004</v>
      </c>
      <c r="BO249" s="673">
        <v>-0.1235</v>
      </c>
      <c r="BP249" s="673">
        <v>-0.12675</v>
      </c>
      <c r="BQ249" s="673">
        <v>-0.13</v>
      </c>
      <c r="BR249" s="673">
        <v>-0.13325000000000001</v>
      </c>
      <c r="BS249" s="673">
        <v>-0.13649999999999998</v>
      </c>
      <c r="BT249" s="673">
        <v>-0.13974999999999999</v>
      </c>
      <c r="BU249" s="673">
        <v>-0.14299999999999993</v>
      </c>
      <c r="BV249" s="673">
        <v>-0.14624999999999994</v>
      </c>
      <c r="BW249" s="673">
        <v>-0.14949999999999994</v>
      </c>
      <c r="BX249" s="673">
        <v>-0.15274999999999991</v>
      </c>
      <c r="BY249" s="673">
        <v>-0.15599999999999992</v>
      </c>
      <c r="BZ249" s="673">
        <v>-0.15924999999999989</v>
      </c>
      <c r="CA249" s="673">
        <v>-0.16250000000000001</v>
      </c>
      <c r="CB249" s="673">
        <v>-0.16575000000000001</v>
      </c>
      <c r="CC249" s="673">
        <v>-0.16899999999999998</v>
      </c>
      <c r="CD249" s="673">
        <v>-0.17224999999999999</v>
      </c>
      <c r="CE249" s="673">
        <v>-0.17549999999999993</v>
      </c>
      <c r="CF249" s="673">
        <v>-0.17874999999999994</v>
      </c>
      <c r="CG249" s="673">
        <v>-0.18199999999999994</v>
      </c>
      <c r="CH249" s="673">
        <v>-0.18524999999999991</v>
      </c>
      <c r="CI249" s="673">
        <v>-0.18849999999999992</v>
      </c>
      <c r="CJ249" s="673">
        <v>-0.19174999999999989</v>
      </c>
      <c r="CK249" s="673">
        <v>-0.1949999999999999</v>
      </c>
      <c r="CL249" s="673">
        <v>-0.1982499999999999</v>
      </c>
      <c r="CM249" s="673">
        <v>-0.20150000000000001</v>
      </c>
      <c r="CN249" s="673">
        <v>-0.20366666666666666</v>
      </c>
      <c r="CO249" s="673">
        <v>-0.20583333333333331</v>
      </c>
      <c r="CP249" s="673">
        <v>-0.20799999999999996</v>
      </c>
      <c r="CQ249" s="673">
        <v>-0.21016666666666664</v>
      </c>
      <c r="CR249" s="673">
        <v>-0.21233333333333332</v>
      </c>
      <c r="CS249" s="673">
        <v>-0.21449999999999997</v>
      </c>
      <c r="CT249" s="673">
        <v>-0.21666666666666665</v>
      </c>
      <c r="CU249" s="673">
        <v>-0.2188333333333333</v>
      </c>
      <c r="CV249" s="673">
        <v>-0.22099999999999995</v>
      </c>
      <c r="CW249" s="673">
        <v>-0.2231666666666666</v>
      </c>
      <c r="CX249" s="673">
        <v>-0.22533333333333327</v>
      </c>
      <c r="CY249" s="673">
        <v>-0.22750000000000001</v>
      </c>
    </row>
    <row r="250" spans="1:103">
      <c r="A250" s="229"/>
      <c r="B250" s="230"/>
      <c r="C250" s="230"/>
      <c r="D250" s="230" t="s">
        <v>107</v>
      </c>
      <c r="E250" s="230"/>
      <c r="F250" s="232"/>
      <c r="G250" s="232" t="s">
        <v>736</v>
      </c>
      <c r="H250" s="203"/>
      <c r="I250" s="203"/>
      <c r="J250" s="203"/>
      <c r="K250" s="203"/>
      <c r="L250" s="229"/>
      <c r="M250" s="229"/>
      <c r="N250" s="229"/>
      <c r="O250" s="229"/>
      <c r="P250" s="229"/>
      <c r="Q250" s="229"/>
      <c r="R250" s="229"/>
      <c r="S250" s="229"/>
      <c r="T250" s="237"/>
      <c r="U250" s="237"/>
      <c r="V250" s="237"/>
      <c r="W250" s="237"/>
      <c r="X250" s="237"/>
      <c r="Y250" s="237"/>
      <c r="Z250" s="237"/>
      <c r="AA250" s="237"/>
      <c r="AB250" s="237"/>
      <c r="AC250" s="237"/>
      <c r="AD250" s="237"/>
      <c r="AE250" s="237"/>
      <c r="AF250" s="638">
        <v>0</v>
      </c>
      <c r="AG250" s="638">
        <v>-1.1337450000000001E-5</v>
      </c>
      <c r="AH250" s="638">
        <v>-3.3782310228808499E-5</v>
      </c>
      <c r="AI250" s="638">
        <v>-9.1144004660171127E-5</v>
      </c>
      <c r="AJ250" s="638">
        <v>-1.4005156599999999E-3</v>
      </c>
      <c r="AK250" s="638">
        <v>-1.9283710560970867E-3</v>
      </c>
      <c r="AL250" s="638">
        <v>-2.8333690552690793E-3</v>
      </c>
      <c r="AM250" s="638">
        <v>-2.8387696642319005E-3</v>
      </c>
      <c r="AN250" s="638">
        <v>-4.866915498799528E-3</v>
      </c>
      <c r="AO250" s="673">
        <v>-16.847999999999999</v>
      </c>
      <c r="AP250" s="673">
        <v>-32.692183333333332</v>
      </c>
      <c r="AQ250" s="673">
        <v>-38.841183333333333</v>
      </c>
      <c r="AR250" s="673">
        <v>-1.4304000000000002E-2</v>
      </c>
      <c r="AS250" s="673">
        <v>-1.6736000000000004E-2</v>
      </c>
      <c r="AT250" s="673">
        <v>-1.9424000000000007E-2</v>
      </c>
      <c r="AU250" s="673">
        <v>-2.2368000000000006E-2</v>
      </c>
      <c r="AV250" s="673">
        <v>-2.5568E-2</v>
      </c>
      <c r="AW250" s="673">
        <v>-2.9024000000000001E-2</v>
      </c>
      <c r="AX250" s="673">
        <v>-3.2736000000000008E-2</v>
      </c>
      <c r="AY250" s="673">
        <v>-3.6704000000000001E-2</v>
      </c>
      <c r="AZ250" s="673">
        <v>-4.0927999999999999E-2</v>
      </c>
      <c r="BA250" s="673">
        <v>-4.5408000000000004E-2</v>
      </c>
      <c r="BB250" s="673">
        <v>-5.0144000000000001E-2</v>
      </c>
      <c r="BC250" s="673">
        <v>-5.5135999999999998E-2</v>
      </c>
      <c r="BD250" s="673">
        <v>-6.0319999999999992E-2</v>
      </c>
      <c r="BE250" s="673">
        <v>-6.5696000000000004E-2</v>
      </c>
      <c r="BF250" s="673">
        <v>-7.1263999999999994E-2</v>
      </c>
      <c r="BG250" s="673">
        <v>-7.7024000000000009E-2</v>
      </c>
      <c r="BH250" s="673">
        <v>-8.2975999999999994E-2</v>
      </c>
      <c r="BI250" s="673">
        <v>-8.9120000000000005E-2</v>
      </c>
      <c r="BJ250" s="673">
        <v>-9.5455999999999999E-2</v>
      </c>
      <c r="BK250" s="673">
        <v>-0.10198399999999999</v>
      </c>
      <c r="BL250" s="673">
        <v>-0.10870400000000001</v>
      </c>
      <c r="BM250" s="673">
        <v>-0.11561600000000001</v>
      </c>
      <c r="BN250" s="673">
        <v>-0.12272000000000001</v>
      </c>
      <c r="BO250" s="673">
        <v>-0.13001600000000002</v>
      </c>
      <c r="BP250" s="673">
        <v>-0.13750400000000002</v>
      </c>
      <c r="BQ250" s="673">
        <v>-0.14518400000000004</v>
      </c>
      <c r="BR250" s="673">
        <v>-0.15305600000000003</v>
      </c>
      <c r="BS250" s="673">
        <v>-0.16112000000000001</v>
      </c>
      <c r="BT250" s="673">
        <v>-0.169376</v>
      </c>
      <c r="BU250" s="673">
        <v>-0.17782400000000001</v>
      </c>
      <c r="BV250" s="673">
        <v>-0.18646400000000002</v>
      </c>
      <c r="BW250" s="673">
        <v>-0.19529600000000003</v>
      </c>
      <c r="BX250" s="673">
        <v>-0.20432000000000003</v>
      </c>
      <c r="BY250" s="673">
        <v>-0.21353600000000003</v>
      </c>
      <c r="BZ250" s="673">
        <v>-0.22294399999999998</v>
      </c>
      <c r="CA250" s="673">
        <v>-0.232544</v>
      </c>
      <c r="CB250" s="673">
        <v>-0.242336</v>
      </c>
      <c r="CC250" s="673">
        <v>-0.25231999999999999</v>
      </c>
      <c r="CD250" s="673">
        <v>-0.26249600000000006</v>
      </c>
      <c r="CE250" s="673">
        <v>-0.272864</v>
      </c>
      <c r="CF250" s="673">
        <v>-0.28342400000000006</v>
      </c>
      <c r="CG250" s="673">
        <v>-0.29417599999999999</v>
      </c>
      <c r="CH250" s="673">
        <v>-0.30512</v>
      </c>
      <c r="CI250" s="673">
        <v>-0.31625599999999998</v>
      </c>
      <c r="CJ250" s="673">
        <v>-0.32758399999999999</v>
      </c>
      <c r="CK250" s="673">
        <v>-0.33910400000000002</v>
      </c>
      <c r="CL250" s="673">
        <v>-0.35081599999999996</v>
      </c>
      <c r="CM250" s="673">
        <v>-0.36271999999999999</v>
      </c>
      <c r="CN250" s="673">
        <v>-0.37475199999999997</v>
      </c>
      <c r="CO250" s="673">
        <v>-0.38691199999999998</v>
      </c>
      <c r="CP250" s="673">
        <v>-0.3992</v>
      </c>
      <c r="CQ250" s="673">
        <v>-0.41161599999999998</v>
      </c>
      <c r="CR250" s="673">
        <v>-0.42415999999999998</v>
      </c>
      <c r="CS250" s="673">
        <v>-0.436832</v>
      </c>
      <c r="CT250" s="673">
        <v>-0.44963200000000003</v>
      </c>
      <c r="CU250" s="673">
        <v>-0.46255999999999997</v>
      </c>
      <c r="CV250" s="673">
        <v>-0.47561599999999993</v>
      </c>
      <c r="CW250" s="673">
        <v>-0.48879999999999996</v>
      </c>
      <c r="CX250" s="673">
        <v>-0.502112</v>
      </c>
      <c r="CY250" s="673">
        <v>-0.51555200000000001</v>
      </c>
    </row>
    <row r="251" spans="1:103">
      <c r="A251" s="229"/>
      <c r="B251" s="229"/>
      <c r="C251" s="230"/>
      <c r="D251" s="230" t="s">
        <v>594</v>
      </c>
      <c r="E251" s="230"/>
      <c r="F251" s="232"/>
      <c r="G251" s="232" t="s">
        <v>736</v>
      </c>
      <c r="H251" s="203"/>
      <c r="I251" s="203"/>
      <c r="J251" s="203"/>
      <c r="K251" s="203"/>
      <c r="L251" s="229"/>
      <c r="M251" s="229"/>
      <c r="N251" s="229"/>
      <c r="O251" s="229"/>
      <c r="P251" s="229"/>
      <c r="Q251" s="229"/>
      <c r="R251" s="229"/>
      <c r="S251" s="229"/>
      <c r="T251" s="237"/>
      <c r="U251" s="237"/>
      <c r="V251" s="237"/>
      <c r="W251" s="237"/>
      <c r="X251" s="237"/>
      <c r="Y251" s="237"/>
      <c r="Z251" s="237"/>
      <c r="AA251" s="237"/>
      <c r="AB251" s="237"/>
      <c r="AC251" s="237"/>
      <c r="AD251" s="237"/>
      <c r="AE251" s="237"/>
      <c r="AF251" s="603"/>
      <c r="AG251" s="603"/>
      <c r="AH251" s="603"/>
      <c r="AI251" s="603"/>
      <c r="AJ251" s="603"/>
      <c r="AK251" s="603"/>
      <c r="AL251" s="638"/>
      <c r="AM251" s="673"/>
      <c r="AN251" s="673"/>
      <c r="AO251" s="673">
        <v>-9.6600000000000005E-2</v>
      </c>
      <c r="AP251" s="673">
        <v>-0.14163333333333336</v>
      </c>
      <c r="AQ251" s="673">
        <v>-0.35000000000000003</v>
      </c>
      <c r="AR251" s="673">
        <v>0</v>
      </c>
      <c r="AS251" s="673">
        <v>0</v>
      </c>
      <c r="AT251" s="673">
        <v>0</v>
      </c>
      <c r="AU251" s="673">
        <v>0</v>
      </c>
      <c r="AV251" s="673">
        <v>0</v>
      </c>
      <c r="AW251" s="673">
        <v>0</v>
      </c>
      <c r="AX251" s="673">
        <v>0</v>
      </c>
      <c r="AY251" s="673">
        <v>0</v>
      </c>
      <c r="AZ251" s="673">
        <v>0</v>
      </c>
      <c r="BA251" s="673">
        <v>0</v>
      </c>
      <c r="BB251" s="673">
        <v>0</v>
      </c>
      <c r="BC251" s="673">
        <v>0</v>
      </c>
      <c r="BD251" s="673">
        <v>0</v>
      </c>
      <c r="BE251" s="673">
        <v>0</v>
      </c>
      <c r="BF251" s="673">
        <v>0</v>
      </c>
      <c r="BG251" s="673">
        <v>0</v>
      </c>
      <c r="BH251" s="673">
        <v>0</v>
      </c>
      <c r="BI251" s="673">
        <v>0</v>
      </c>
      <c r="BJ251" s="673">
        <v>0</v>
      </c>
      <c r="BK251" s="673">
        <v>0</v>
      </c>
      <c r="BL251" s="673">
        <v>0</v>
      </c>
      <c r="BM251" s="673">
        <v>0</v>
      </c>
      <c r="BN251" s="673">
        <v>0</v>
      </c>
      <c r="BO251" s="673">
        <v>0</v>
      </c>
      <c r="BP251" s="673">
        <v>0</v>
      </c>
      <c r="BQ251" s="673">
        <v>0</v>
      </c>
      <c r="BR251" s="673">
        <v>0</v>
      </c>
      <c r="BS251" s="673">
        <v>0</v>
      </c>
      <c r="BT251" s="673">
        <v>0</v>
      </c>
      <c r="BU251" s="673">
        <v>0</v>
      </c>
      <c r="BV251" s="673">
        <v>0</v>
      </c>
      <c r="BW251" s="673">
        <v>0</v>
      </c>
      <c r="BX251" s="673">
        <v>0</v>
      </c>
      <c r="BY251" s="673">
        <v>0</v>
      </c>
      <c r="BZ251" s="673">
        <v>0</v>
      </c>
      <c r="CA251" s="673">
        <v>0</v>
      </c>
      <c r="CB251" s="673">
        <v>0</v>
      </c>
      <c r="CC251" s="673">
        <v>0</v>
      </c>
      <c r="CD251" s="673">
        <v>0</v>
      </c>
      <c r="CE251" s="673">
        <v>0</v>
      </c>
      <c r="CF251" s="673">
        <v>0</v>
      </c>
      <c r="CG251" s="673">
        <v>0</v>
      </c>
      <c r="CH251" s="673">
        <v>0</v>
      </c>
      <c r="CI251" s="673">
        <v>0</v>
      </c>
      <c r="CJ251" s="673">
        <v>0</v>
      </c>
      <c r="CK251" s="673">
        <v>0</v>
      </c>
      <c r="CL251" s="673">
        <v>0</v>
      </c>
      <c r="CM251" s="673">
        <v>0</v>
      </c>
      <c r="CN251" s="673">
        <v>0</v>
      </c>
      <c r="CO251" s="673">
        <v>0</v>
      </c>
      <c r="CP251" s="673">
        <v>0</v>
      </c>
      <c r="CQ251" s="673">
        <v>0</v>
      </c>
      <c r="CR251" s="673">
        <v>0</v>
      </c>
      <c r="CS251" s="673">
        <v>0</v>
      </c>
      <c r="CT251" s="673">
        <v>0</v>
      </c>
      <c r="CU251" s="673">
        <v>0</v>
      </c>
      <c r="CV251" s="673">
        <v>0</v>
      </c>
      <c r="CW251" s="673">
        <v>0</v>
      </c>
      <c r="CX251" s="673">
        <v>0</v>
      </c>
      <c r="CY251" s="673">
        <v>0</v>
      </c>
    </row>
    <row r="252" spans="1:103">
      <c r="A252" s="229"/>
      <c r="B252" s="229"/>
      <c r="C252" s="230"/>
      <c r="D252" s="230" t="s">
        <v>872</v>
      </c>
      <c r="E252" s="230"/>
      <c r="F252" s="203"/>
      <c r="G252" s="232" t="s">
        <v>736</v>
      </c>
      <c r="H252" s="203"/>
      <c r="I252" s="203"/>
      <c r="J252" s="203"/>
      <c r="K252" s="203"/>
      <c r="L252" s="229"/>
      <c r="M252" s="229"/>
      <c r="N252" s="229"/>
      <c r="O252" s="229"/>
      <c r="P252" s="229"/>
      <c r="Q252" s="229"/>
      <c r="R252" s="229"/>
      <c r="S252" s="229"/>
      <c r="T252" s="237"/>
      <c r="U252" s="237"/>
      <c r="V252" s="237"/>
      <c r="W252" s="237"/>
      <c r="X252" s="237"/>
      <c r="Y252" s="237"/>
      <c r="Z252" s="237"/>
      <c r="AA252" s="237"/>
      <c r="AB252" s="237"/>
      <c r="AC252" s="237"/>
      <c r="AD252" s="237"/>
      <c r="AE252" s="237"/>
      <c r="AF252" s="638">
        <v>-1.475640740759112E-5</v>
      </c>
      <c r="AG252" s="638">
        <v>-1.382804831458578E-5</v>
      </c>
      <c r="AH252" s="638">
        <v>-3.5394930259280049E-5</v>
      </c>
      <c r="AI252" s="638">
        <v>-8.2055388214031773E-4</v>
      </c>
      <c r="AJ252" s="638">
        <v>-2.1979162526324764E-3</v>
      </c>
      <c r="AK252" s="638">
        <v>-3.2409747981067588E-3</v>
      </c>
      <c r="AL252" s="638">
        <v>-7.0531556140555332E-4</v>
      </c>
      <c r="AM252" s="638">
        <v>-7.7428130180365266E-3</v>
      </c>
      <c r="AN252" s="638">
        <v>-1.0437008212467135E-3</v>
      </c>
      <c r="AO252" s="673">
        <v>0</v>
      </c>
      <c r="AP252" s="673">
        <v>0</v>
      </c>
      <c r="AQ252" s="673">
        <v>0</v>
      </c>
      <c r="AR252" s="673">
        <v>-3.7250000000000005E-2</v>
      </c>
      <c r="AS252" s="673">
        <v>-4.3583333333333342E-2</v>
      </c>
      <c r="AT252" s="673">
        <v>-5.0583333333333341E-2</v>
      </c>
      <c r="AU252" s="673">
        <v>-5.825000000000001E-2</v>
      </c>
      <c r="AV252" s="673">
        <v>-6.6583333333333328E-2</v>
      </c>
      <c r="AW252" s="673">
        <v>-7.5583333333333336E-2</v>
      </c>
      <c r="AX252" s="673">
        <v>-8.5250000000000006E-2</v>
      </c>
      <c r="AY252" s="673">
        <v>-9.5583333333333326E-2</v>
      </c>
      <c r="AZ252" s="673">
        <v>-0.10658333333333334</v>
      </c>
      <c r="BA252" s="673">
        <v>-0.11825000000000001</v>
      </c>
      <c r="BB252" s="673">
        <v>-0.13058333333333333</v>
      </c>
      <c r="BC252" s="673">
        <v>-0.14358333333333331</v>
      </c>
      <c r="BD252" s="673">
        <v>-0.11781249999999999</v>
      </c>
      <c r="BE252" s="673">
        <v>-0.12831249999999997</v>
      </c>
      <c r="BF252" s="673">
        <v>-0.13918749999999996</v>
      </c>
      <c r="BG252" s="673">
        <v>-0.15043749999999997</v>
      </c>
      <c r="BH252" s="673">
        <v>-0.16206249999999997</v>
      </c>
      <c r="BI252" s="673">
        <v>-0.17406250000000001</v>
      </c>
      <c r="BJ252" s="673">
        <v>-0.18643750000000001</v>
      </c>
      <c r="BK252" s="673">
        <v>-0.19918750000000002</v>
      </c>
      <c r="BL252" s="673">
        <v>-0.21231250000000002</v>
      </c>
      <c r="BM252" s="673">
        <v>-0.2258125</v>
      </c>
      <c r="BN252" s="673">
        <v>-0.2396875</v>
      </c>
      <c r="BO252" s="673">
        <v>-0.25393749999999998</v>
      </c>
      <c r="BP252" s="673">
        <v>-0.26856250000000004</v>
      </c>
      <c r="BQ252" s="673">
        <v>-0.28356250000000005</v>
      </c>
      <c r="BR252" s="673">
        <v>-0.29893750000000002</v>
      </c>
      <c r="BS252" s="673">
        <v>-0.31468750000000001</v>
      </c>
      <c r="BT252" s="673">
        <v>-0.33081250000000001</v>
      </c>
      <c r="BU252" s="673">
        <v>-0.34731250000000002</v>
      </c>
      <c r="BV252" s="673">
        <v>-0.3641875</v>
      </c>
      <c r="BW252" s="673">
        <v>-0.38143749999999998</v>
      </c>
      <c r="BX252" s="673">
        <v>-0.39906249999999999</v>
      </c>
      <c r="BY252" s="673">
        <v>-0.4170625</v>
      </c>
      <c r="BZ252" s="673">
        <v>-0.43543749999999998</v>
      </c>
      <c r="CA252" s="673">
        <v>-0.45418749999999997</v>
      </c>
      <c r="CB252" s="673">
        <v>-0.47331249999999997</v>
      </c>
      <c r="CC252" s="673">
        <v>-0.49281249999999999</v>
      </c>
      <c r="CD252" s="673">
        <v>-0.51268749999999996</v>
      </c>
      <c r="CE252" s="673">
        <v>-0.53293750000000006</v>
      </c>
      <c r="CF252" s="673">
        <v>-0.55356250000000018</v>
      </c>
      <c r="CG252" s="673">
        <v>-0.57456249999999986</v>
      </c>
      <c r="CH252" s="673">
        <v>-0.59593750000000001</v>
      </c>
      <c r="CI252" s="673">
        <v>-0.61768749999999994</v>
      </c>
      <c r="CJ252" s="673">
        <v>-0.6398124999999999</v>
      </c>
      <c r="CK252" s="673">
        <v>-0.66231249999999986</v>
      </c>
      <c r="CL252" s="673">
        <v>-0.68518749999999995</v>
      </c>
      <c r="CM252" s="673">
        <v>-0.70843749999999994</v>
      </c>
      <c r="CN252" s="673">
        <v>-0.73193749999999991</v>
      </c>
      <c r="CO252" s="673">
        <v>-0.75568749999999996</v>
      </c>
      <c r="CP252" s="673">
        <v>-0.77968749999999987</v>
      </c>
      <c r="CQ252" s="673">
        <v>-0.80393749999999997</v>
      </c>
      <c r="CR252" s="673">
        <v>-0.82843749999999994</v>
      </c>
      <c r="CS252" s="673">
        <v>-0.85318749999999999</v>
      </c>
      <c r="CT252" s="673">
        <v>-0.87818750000000001</v>
      </c>
      <c r="CU252" s="673">
        <v>-0.90343749999999989</v>
      </c>
      <c r="CV252" s="673">
        <v>-0.92893749999999986</v>
      </c>
      <c r="CW252" s="673">
        <v>-0.95468749999999991</v>
      </c>
      <c r="CX252" s="673">
        <v>-0.98068750000000005</v>
      </c>
      <c r="CY252" s="673">
        <v>-1.0069374999999998</v>
      </c>
    </row>
    <row r="253" spans="1:103">
      <c r="A253" s="229"/>
      <c r="B253" s="229"/>
      <c r="C253" s="230"/>
      <c r="D253" s="230" t="s">
        <v>703</v>
      </c>
      <c r="E253" s="230"/>
      <c r="F253" s="203"/>
      <c r="G253" s="232" t="s">
        <v>736</v>
      </c>
      <c r="H253" s="203"/>
      <c r="I253" s="203"/>
      <c r="J253" s="203"/>
      <c r="K253" s="203"/>
      <c r="L253" s="229"/>
      <c r="M253" s="229"/>
      <c r="N253" s="229"/>
      <c r="O253" s="229"/>
      <c r="P253" s="229"/>
      <c r="Q253" s="229"/>
      <c r="R253" s="229"/>
      <c r="S253" s="229"/>
      <c r="T253" s="237"/>
      <c r="U253" s="237"/>
      <c r="V253" s="237"/>
      <c r="W253" s="237"/>
      <c r="X253" s="237"/>
      <c r="Y253" s="237"/>
      <c r="Z253" s="237"/>
      <c r="AA253" s="237"/>
      <c r="AB253" s="237"/>
      <c r="AC253" s="237"/>
      <c r="AD253" s="237"/>
      <c r="AE253" s="237"/>
      <c r="AF253" s="603">
        <v>-5.0412072183030432E-7</v>
      </c>
      <c r="AG253" s="603">
        <v>-7.4286480588326994E-6</v>
      </c>
      <c r="AH253" s="603">
        <v>-9.2397951205523438E-4</v>
      </c>
      <c r="AI253" s="603">
        <v>-2.294002287134275E-3</v>
      </c>
      <c r="AJ253" s="603">
        <v>-1.4100438598416256E-3</v>
      </c>
      <c r="AK253" s="603">
        <v>-1.2182623826356498E-3</v>
      </c>
      <c r="AL253" s="638"/>
      <c r="AM253" s="673"/>
      <c r="AN253" s="673"/>
      <c r="AO253" s="673"/>
      <c r="AP253" s="673"/>
      <c r="AQ253" s="673"/>
      <c r="AR253" s="673"/>
      <c r="AS253" s="673"/>
      <c r="AT253" s="673"/>
      <c r="AU253" s="673"/>
      <c r="AV253" s="673"/>
      <c r="AW253" s="673"/>
      <c r="AX253" s="673"/>
      <c r="AY253" s="673"/>
      <c r="AZ253" s="673"/>
      <c r="BA253" s="673"/>
      <c r="BB253" s="673"/>
      <c r="BC253" s="673"/>
      <c r="BD253" s="673"/>
      <c r="BE253" s="673"/>
      <c r="BF253" s="673"/>
      <c r="BG253" s="673"/>
      <c r="BH253" s="673"/>
      <c r="BI253" s="673"/>
      <c r="BJ253" s="673"/>
      <c r="BK253" s="673"/>
      <c r="BL253" s="673"/>
      <c r="BM253" s="673"/>
      <c r="BN253" s="673"/>
      <c r="BO253" s="673"/>
      <c r="BP253" s="673"/>
      <c r="BQ253" s="673"/>
      <c r="BR253" s="673"/>
      <c r="BS253" s="673"/>
      <c r="BT253" s="673"/>
      <c r="BU253" s="673"/>
      <c r="BV253" s="673"/>
      <c r="BW253" s="673"/>
      <c r="BX253" s="673"/>
      <c r="BY253" s="673"/>
      <c r="BZ253" s="673"/>
      <c r="CA253" s="673"/>
      <c r="CB253" s="673"/>
      <c r="CC253" s="673"/>
      <c r="CD253" s="673"/>
      <c r="CE253" s="673"/>
      <c r="CF253" s="673"/>
      <c r="CG253" s="673"/>
      <c r="CH253" s="673"/>
      <c r="CI253" s="673"/>
      <c r="CJ253" s="673"/>
      <c r="CK253" s="673"/>
      <c r="CL253" s="673"/>
      <c r="CM253" s="673"/>
      <c r="CN253" s="673"/>
      <c r="CO253" s="673"/>
      <c r="CP253" s="673"/>
      <c r="CQ253" s="673"/>
      <c r="CR253" s="673"/>
      <c r="CS253" s="673"/>
      <c r="CT253" s="673"/>
      <c r="CU253" s="673"/>
      <c r="CV253" s="673"/>
      <c r="CW253" s="673"/>
      <c r="CX253" s="673"/>
      <c r="CY253" s="673"/>
    </row>
    <row r="254" spans="1:103">
      <c r="A254" s="229"/>
      <c r="B254" s="229"/>
      <c r="C254" s="230"/>
      <c r="D254" s="230" t="s">
        <v>152</v>
      </c>
      <c r="E254" s="230"/>
      <c r="F254" s="203"/>
      <c r="G254" s="232" t="s">
        <v>736</v>
      </c>
      <c r="H254" s="203"/>
      <c r="I254" s="203"/>
      <c r="J254" s="203"/>
      <c r="K254" s="203"/>
      <c r="L254" s="229"/>
      <c r="M254" s="229"/>
      <c r="N254" s="229"/>
      <c r="O254" s="229"/>
      <c r="P254" s="229"/>
      <c r="Q254" s="229"/>
      <c r="R254" s="229"/>
      <c r="S254" s="229"/>
      <c r="T254" s="237"/>
      <c r="U254" s="237"/>
      <c r="V254" s="237"/>
      <c r="W254" s="237"/>
      <c r="X254" s="237"/>
      <c r="Y254" s="237"/>
      <c r="Z254" s="237"/>
      <c r="AA254" s="237"/>
      <c r="AB254" s="237"/>
      <c r="AC254" s="237"/>
      <c r="AD254" s="237"/>
      <c r="AE254" s="237"/>
      <c r="AF254" s="603"/>
      <c r="AG254" s="603"/>
      <c r="AH254" s="603"/>
      <c r="AI254" s="603"/>
      <c r="AJ254" s="603"/>
      <c r="AK254" s="603"/>
      <c r="AL254" s="638"/>
      <c r="AM254" s="673"/>
      <c r="AN254" s="673"/>
      <c r="AO254" s="673"/>
      <c r="AP254" s="673"/>
      <c r="AQ254" s="673"/>
      <c r="AR254" s="674">
        <v>-1.4649448818897641E-2</v>
      </c>
      <c r="AS254" s="674">
        <v>-1.6094117647058825E-2</v>
      </c>
      <c r="AT254" s="674">
        <v>-1.7490410958904114E-2</v>
      </c>
      <c r="AU254" s="674">
        <v>-1.884071856287425E-2</v>
      </c>
      <c r="AV254" s="674">
        <v>-2.0147275405007357E-2</v>
      </c>
      <c r="AW254" s="674">
        <v>-2.1412173913043481E-2</v>
      </c>
      <c r="AX254" s="674">
        <v>-6.7514978601997139E-3</v>
      </c>
      <c r="AY254" s="674">
        <v>-7.1056179775280896E-3</v>
      </c>
      <c r="AZ254" s="674">
        <v>-7.4489626556016588E-3</v>
      </c>
      <c r="BA254" s="674">
        <v>-7.7820163487738415E-3</v>
      </c>
      <c r="BB254" s="674">
        <v>-8.1052348993288573E-3</v>
      </c>
      <c r="BC254" s="674">
        <v>-8.4190476190476194E-3</v>
      </c>
      <c r="BD254" s="674">
        <v>-8.1903345724907064E-3</v>
      </c>
      <c r="BE254" s="674">
        <v>-7.9888111888111908E-3</v>
      </c>
      <c r="BF254" s="674">
        <v>-7.809900990099013E-3</v>
      </c>
      <c r="BG254" s="674">
        <v>-7.6500000000000023E-3</v>
      </c>
      <c r="BH254" s="674">
        <v>-7.5062314540059382E-3</v>
      </c>
      <c r="BI254" s="674">
        <v>-7.3762711864406817E-3</v>
      </c>
      <c r="BJ254" s="674">
        <v>-7.2582210242587639E-3</v>
      </c>
      <c r="BK254" s="674">
        <v>-7.150515463917529E-3</v>
      </c>
      <c r="BL254" s="674">
        <v>-7.0518518518518552E-3</v>
      </c>
      <c r="BM254" s="674">
        <v>-6.9611374407582988E-3</v>
      </c>
      <c r="BN254" s="674">
        <v>-6.8774487471526232E-3</v>
      </c>
      <c r="BO254" s="674">
        <v>-6.7999999999999996E-3</v>
      </c>
      <c r="BP254" s="674">
        <v>-6.8982658959537571E-3</v>
      </c>
      <c r="BQ254" s="674">
        <v>-6.994285714285715E-3</v>
      </c>
      <c r="BR254" s="674">
        <v>-7.0881355932203407E-3</v>
      </c>
      <c r="BS254" s="674">
        <v>-7.1798882681564247E-3</v>
      </c>
      <c r="BT254" s="674">
        <v>-7.2696132596685083E-3</v>
      </c>
      <c r="BU254" s="674">
        <v>-7.3573770491803282E-3</v>
      </c>
      <c r="BV254" s="674">
        <v>-7.4432432432432446E-3</v>
      </c>
      <c r="BW254" s="674">
        <v>-7.5272727272727288E-3</v>
      </c>
      <c r="BX254" s="674">
        <v>-7.6095238095238091E-3</v>
      </c>
      <c r="BY254" s="674">
        <v>-7.6900523560209421E-3</v>
      </c>
      <c r="BZ254" s="674">
        <v>-7.7689119170984448E-3</v>
      </c>
      <c r="CA254" s="674">
        <v>-7.8461538461538465E-3</v>
      </c>
      <c r="CB254" s="674">
        <v>-7.9218274111675126E-3</v>
      </c>
      <c r="CC254" s="674">
        <v>-7.9959798994974872E-3</v>
      </c>
      <c r="CD254" s="674">
        <v>-8.0686567164179115E-3</v>
      </c>
      <c r="CE254" s="674">
        <v>-8.1399014778325129E-3</v>
      </c>
      <c r="CF254" s="674">
        <v>-8.209756097560977E-3</v>
      </c>
      <c r="CG254" s="674">
        <v>-8.2782608695652193E-3</v>
      </c>
      <c r="CH254" s="674">
        <v>-8.3454545454545465E-3</v>
      </c>
      <c r="CI254" s="674">
        <v>-8.4113744075829389E-3</v>
      </c>
      <c r="CJ254" s="674">
        <v>-8.4760563380281706E-3</v>
      </c>
      <c r="CK254" s="674">
        <v>-8.5395348837209312E-3</v>
      </c>
      <c r="CL254" s="674">
        <v>-8.601843317972353E-3</v>
      </c>
      <c r="CM254" s="674">
        <v>-8.6630136986301388E-3</v>
      </c>
      <c r="CN254" s="674">
        <v>-8.6867497168742931E-3</v>
      </c>
      <c r="CO254" s="674">
        <v>-8.7101123595505654E-3</v>
      </c>
      <c r="CP254" s="674">
        <v>-8.7331103678929788E-3</v>
      </c>
      <c r="CQ254" s="674">
        <v>-8.7557522123893807E-3</v>
      </c>
      <c r="CR254" s="674">
        <v>-8.7780461031833137E-3</v>
      </c>
      <c r="CS254" s="674">
        <v>-8.8000000000000005E-3</v>
      </c>
      <c r="CT254" s="674">
        <v>-8.8216216216216239E-3</v>
      </c>
      <c r="CU254" s="674">
        <v>-8.8429184549356239E-3</v>
      </c>
      <c r="CV254" s="674">
        <v>-8.8638977635782778E-3</v>
      </c>
      <c r="CW254" s="674">
        <v>-8.8845665961945052E-3</v>
      </c>
      <c r="CX254" s="674">
        <v>-8.9049317943336852E-3</v>
      </c>
      <c r="CY254" s="674">
        <v>-8.9249999999999989E-3</v>
      </c>
    </row>
    <row r="255" spans="1:103">
      <c r="A255" s="229"/>
      <c r="B255" s="229"/>
      <c r="C255" s="230"/>
      <c r="D255" s="230" t="s">
        <v>163</v>
      </c>
      <c r="E255" s="230"/>
      <c r="F255" s="232"/>
      <c r="G255" s="232" t="s">
        <v>736</v>
      </c>
      <c r="H255" s="203"/>
      <c r="I255" s="203"/>
      <c r="J255" s="203"/>
      <c r="K255" s="203"/>
      <c r="L255" s="229"/>
      <c r="M255" s="229"/>
      <c r="N255" s="229"/>
      <c r="O255" s="229"/>
      <c r="P255" s="229"/>
      <c r="Q255" s="229"/>
      <c r="R255" s="229"/>
      <c r="S255" s="229"/>
      <c r="T255" s="237"/>
      <c r="U255" s="237"/>
      <c r="V255" s="237"/>
      <c r="W255" s="237"/>
      <c r="X255" s="237"/>
      <c r="Y255" s="237"/>
      <c r="Z255" s="237"/>
      <c r="AA255" s="237"/>
      <c r="AB255" s="237"/>
      <c r="AC255" s="237"/>
      <c r="AD255" s="237"/>
      <c r="AE255" s="237"/>
      <c r="AF255" s="638">
        <v>-6.1276441935675884E-6</v>
      </c>
      <c r="AG255" s="638">
        <v>-1.634186027146849E-5</v>
      </c>
      <c r="AH255" s="638">
        <v>-1.0364732884522268E-5</v>
      </c>
      <c r="AI255" s="638">
        <v>-2.5021778132932217E-5</v>
      </c>
      <c r="AJ255" s="638">
        <v>-1.6239139147318973E-3</v>
      </c>
      <c r="AK255" s="638">
        <v>-1.29923528388622E-3</v>
      </c>
      <c r="AL255" s="638">
        <v>-1.3300712005133669E-3</v>
      </c>
      <c r="AM255" s="638">
        <v>-8.1907999144265661E-4</v>
      </c>
      <c r="AN255" s="638">
        <v>-1.1575204914628481E-3</v>
      </c>
      <c r="AO255" s="673">
        <v>0</v>
      </c>
      <c r="AP255" s="673">
        <v>0</v>
      </c>
      <c r="AQ255" s="673">
        <v>0</v>
      </c>
      <c r="AR255" s="673">
        <v>-6.2580000000000005E-3</v>
      </c>
      <c r="AS255" s="673">
        <v>-7.3220000000000013E-3</v>
      </c>
      <c r="AT255" s="673">
        <v>-8.4980000000000021E-3</v>
      </c>
      <c r="AU255" s="673">
        <v>-9.7860000000000013E-3</v>
      </c>
      <c r="AV255" s="673">
        <v>-1.1186E-2</v>
      </c>
      <c r="AW255" s="673">
        <v>-1.2697999999999999E-2</v>
      </c>
      <c r="AX255" s="673">
        <v>-1.4322E-2</v>
      </c>
      <c r="AY255" s="673">
        <v>-1.6057999999999999E-2</v>
      </c>
      <c r="AZ255" s="673">
        <v>-1.7905999999999998E-2</v>
      </c>
      <c r="BA255" s="673">
        <v>-1.9865999999999998E-2</v>
      </c>
      <c r="BB255" s="673">
        <v>-2.1937999999999996E-2</v>
      </c>
      <c r="BC255" s="673">
        <v>-2.4121999999999994E-2</v>
      </c>
      <c r="BD255" s="673">
        <v>-2.6389999999999997E-2</v>
      </c>
      <c r="BE255" s="673">
        <v>-2.8741999999999997E-2</v>
      </c>
      <c r="BF255" s="673">
        <v>-3.117799999999999E-2</v>
      </c>
      <c r="BG255" s="673">
        <v>-3.3697999999999992E-2</v>
      </c>
      <c r="BH255" s="673">
        <v>-3.6301999999999994E-2</v>
      </c>
      <c r="BI255" s="673">
        <v>-3.8989999999999997E-2</v>
      </c>
      <c r="BJ255" s="673">
        <v>-4.1762000000000001E-2</v>
      </c>
      <c r="BK255" s="673">
        <v>-4.4617999999999998E-2</v>
      </c>
      <c r="BL255" s="673">
        <v>-4.7557999999999996E-2</v>
      </c>
      <c r="BM255" s="673">
        <v>-5.0581999999999995E-2</v>
      </c>
      <c r="BN255" s="673">
        <v>-5.3689999999999995E-2</v>
      </c>
      <c r="BO255" s="673">
        <v>-5.6881999999999995E-2</v>
      </c>
      <c r="BP255" s="673">
        <v>-6.0158000000000003E-2</v>
      </c>
      <c r="BQ255" s="673">
        <v>-6.3518000000000005E-2</v>
      </c>
      <c r="BR255" s="673">
        <v>-6.6961999999999994E-2</v>
      </c>
      <c r="BS255" s="673">
        <v>-7.0489999999999997E-2</v>
      </c>
      <c r="BT255" s="673">
        <v>-7.4102000000000001E-2</v>
      </c>
      <c r="BU255" s="673">
        <v>-7.7797999999999992E-2</v>
      </c>
      <c r="BV255" s="673">
        <v>-8.1577999999999998E-2</v>
      </c>
      <c r="BW255" s="673">
        <v>-8.544199999999999E-2</v>
      </c>
      <c r="BX255" s="673">
        <v>-8.9389999999999997E-2</v>
      </c>
      <c r="BY255" s="673">
        <v>-9.3421999999999991E-2</v>
      </c>
      <c r="BZ255" s="673">
        <v>-9.7537999999999986E-2</v>
      </c>
      <c r="CA255" s="673">
        <v>-0.10173799999999998</v>
      </c>
      <c r="CB255" s="673">
        <v>-0.10602199999999998</v>
      </c>
      <c r="CC255" s="673">
        <v>-0.11038999999999997</v>
      </c>
      <c r="CD255" s="673">
        <v>-0.114842</v>
      </c>
      <c r="CE255" s="673">
        <v>-0.119378</v>
      </c>
      <c r="CF255" s="673">
        <v>-0.12399800000000001</v>
      </c>
      <c r="CG255" s="673">
        <v>-0.12870199999999998</v>
      </c>
      <c r="CH255" s="673">
        <v>-0.13349</v>
      </c>
      <c r="CI255" s="673">
        <v>-0.13836199999999996</v>
      </c>
      <c r="CJ255" s="673">
        <v>-0.143318</v>
      </c>
      <c r="CK255" s="673">
        <v>-0.14835799999999996</v>
      </c>
      <c r="CL255" s="673">
        <v>-0.15348199999999995</v>
      </c>
      <c r="CM255" s="673">
        <v>-0.15868999999999997</v>
      </c>
      <c r="CN255" s="673">
        <v>-0.16395399999999996</v>
      </c>
      <c r="CO255" s="673">
        <v>-0.16927399999999995</v>
      </c>
      <c r="CP255" s="673">
        <v>-0.17464999999999997</v>
      </c>
      <c r="CQ255" s="673">
        <v>-0.18008199999999999</v>
      </c>
      <c r="CR255" s="673">
        <v>-0.18556999999999996</v>
      </c>
      <c r="CS255" s="673">
        <v>-0.19111399999999998</v>
      </c>
      <c r="CT255" s="673">
        <v>-0.196714</v>
      </c>
      <c r="CU255" s="673">
        <v>-0.20236999999999997</v>
      </c>
      <c r="CV255" s="673">
        <v>-0.20808199999999993</v>
      </c>
      <c r="CW255" s="673">
        <v>-0.21384999999999996</v>
      </c>
      <c r="CX255" s="673">
        <v>-0.21967399999999998</v>
      </c>
      <c r="CY255" s="673">
        <v>-0.22555399999999995</v>
      </c>
    </row>
    <row r="256" spans="1:103">
      <c r="A256" s="230"/>
      <c r="B256" s="229" t="s">
        <v>670</v>
      </c>
      <c r="C256" s="230"/>
      <c r="D256" s="230"/>
      <c r="E256" s="230"/>
      <c r="F256" s="203"/>
      <c r="G256" s="232" t="s">
        <v>736</v>
      </c>
      <c r="H256" s="203"/>
      <c r="I256" s="232"/>
      <c r="J256" s="232"/>
      <c r="K256" s="232"/>
      <c r="L256" s="230"/>
      <c r="M256" s="230"/>
      <c r="N256" s="230"/>
      <c r="O256" s="230"/>
      <c r="P256" s="230"/>
      <c r="Q256" s="230"/>
      <c r="R256" s="230"/>
      <c r="S256" s="230"/>
      <c r="T256" s="237"/>
      <c r="U256" s="237"/>
      <c r="V256" s="237"/>
      <c r="W256" s="237"/>
      <c r="X256" s="237"/>
      <c r="Y256" s="237"/>
      <c r="Z256" s="237"/>
      <c r="AA256" s="237"/>
      <c r="AB256" s="237"/>
      <c r="AC256" s="237"/>
      <c r="AD256" s="237"/>
      <c r="AE256" s="237"/>
      <c r="AF256" s="603">
        <f>0</f>
        <v>0</v>
      </c>
      <c r="AG256" s="603">
        <f>0</f>
        <v>0</v>
      </c>
      <c r="AH256" s="603">
        <f>0</f>
        <v>0</v>
      </c>
      <c r="AI256" s="603">
        <f>0</f>
        <v>0</v>
      </c>
      <c r="AJ256" s="603">
        <f>0</f>
        <v>0</v>
      </c>
      <c r="AK256" s="603">
        <f>0</f>
        <v>0</v>
      </c>
      <c r="AL256" s="638">
        <v>0</v>
      </c>
      <c r="AM256" s="627"/>
      <c r="AN256" s="627"/>
      <c r="AO256" s="627">
        <v>-4.0960111954318736E-2</v>
      </c>
      <c r="AP256" s="627">
        <v>-8.6504855989612949E-3</v>
      </c>
      <c r="AQ256" s="627">
        <v>-6.1330052157831418E-3</v>
      </c>
      <c r="AR256" s="627">
        <v>-3.9235290466983673E-2</v>
      </c>
      <c r="AS256" s="627">
        <v>-3.9925196161680214E-2</v>
      </c>
      <c r="AT256" s="627">
        <v>-5.3784304063720083E-2</v>
      </c>
      <c r="AU256" s="627">
        <v>-7.2445842550927092E-2</v>
      </c>
      <c r="AV256" s="627">
        <v>-5.9505589359854158E-2</v>
      </c>
      <c r="AW256" s="627">
        <v>-3.6745446018472502E-2</v>
      </c>
      <c r="AX256" s="627">
        <v>-5.7572771524361598E-2</v>
      </c>
      <c r="AY256" s="627">
        <v>-8.6354221551073598E-2</v>
      </c>
      <c r="AZ256" s="627">
        <v>-0.10300528012891727</v>
      </c>
      <c r="BA256" s="627">
        <v>-0.12030850449976499</v>
      </c>
      <c r="BB256" s="627">
        <v>-0.15245805087742242</v>
      </c>
      <c r="BC256" s="627">
        <v>-0.16583697463151714</v>
      </c>
      <c r="BD256" s="627">
        <v>-0.19051006821510533</v>
      </c>
      <c r="BE256" s="627">
        <v>-0.2319048418196667</v>
      </c>
      <c r="BF256" s="627">
        <v>-0.28316676577910627</v>
      </c>
      <c r="BG256" s="627">
        <v>-0.30466722872605684</v>
      </c>
      <c r="BH256" s="627">
        <v>-0.32027804971716306</v>
      </c>
      <c r="BI256" s="627">
        <v>-0.33193222672914108</v>
      </c>
      <c r="BJ256" s="627">
        <v>-0.34871859965635366</v>
      </c>
      <c r="BK256" s="627">
        <v>-0.36858120235280561</v>
      </c>
      <c r="BL256" s="627">
        <v>-0.38368042940411684</v>
      </c>
      <c r="BM256" s="627">
        <v>-0.40043397178957563</v>
      </c>
      <c r="BN256" s="627">
        <v>-0.41906262277457335</v>
      </c>
      <c r="BO256" s="627">
        <v>-0.4452086058519969</v>
      </c>
      <c r="BP256" s="627">
        <v>-0.46440117515635371</v>
      </c>
      <c r="BQ256" s="627">
        <v>-0.48411358311987829</v>
      </c>
      <c r="BR256" s="627">
        <v>-0.50543901952651871</v>
      </c>
      <c r="BS256" s="627">
        <v>-0.5290409935596514</v>
      </c>
      <c r="BT256" s="627">
        <v>-0.54928060348470087</v>
      </c>
      <c r="BU256" s="627">
        <v>-0.56724141666225203</v>
      </c>
      <c r="BV256" s="627">
        <v>-0.5877779667296873</v>
      </c>
      <c r="BW256" s="627">
        <v>-0.58315994471962918</v>
      </c>
      <c r="BX256" s="627">
        <v>-0.60265101035571533</v>
      </c>
      <c r="BY256" s="627">
        <v>-0.62320839526093075</v>
      </c>
      <c r="BZ256" s="627">
        <v>-0.64506947175042895</v>
      </c>
      <c r="CA256" s="627">
        <v>-0.6729986470593905</v>
      </c>
      <c r="CB256" s="627">
        <v>-0.69480354027276392</v>
      </c>
      <c r="CC256" s="627">
        <v>-0.71697001716549436</v>
      </c>
      <c r="CD256" s="627">
        <v>-0.74048920352547265</v>
      </c>
      <c r="CE256" s="627">
        <v>-0.76594276331626854</v>
      </c>
      <c r="CF256" s="627">
        <v>-0.78850591464133679</v>
      </c>
      <c r="CG256" s="627">
        <v>-0.80912631966005299</v>
      </c>
      <c r="CH256" s="627">
        <v>-0.83196096984847412</v>
      </c>
      <c r="CI256" s="627">
        <v>-0.85560977406659988</v>
      </c>
      <c r="CJ256" s="627">
        <v>-0.8786080406330502</v>
      </c>
      <c r="CK256" s="627">
        <v>-0.90254964936636439</v>
      </c>
      <c r="CL256" s="627">
        <v>-0.92763562710775771</v>
      </c>
      <c r="CM256" s="627">
        <v>-0.95793687301721908</v>
      </c>
      <c r="CN256" s="627">
        <v>-0.98306788979074844</v>
      </c>
      <c r="CO256" s="627">
        <v>-1.0082609047044744</v>
      </c>
      <c r="CP256" s="627">
        <v>-1.0332774488332488</v>
      </c>
      <c r="CQ256" s="627">
        <v>-1.0580030436910801</v>
      </c>
      <c r="CR256" s="627">
        <v>-1.0824289949526875</v>
      </c>
      <c r="CS256" s="627">
        <v>-1.106555440310516</v>
      </c>
      <c r="CT256" s="627">
        <v>-1.1303870776895817</v>
      </c>
      <c r="CU256" s="627">
        <v>-1.1540174224505224</v>
      </c>
      <c r="CV256" s="627">
        <v>-1.1776321541552346</v>
      </c>
      <c r="CW256" s="627">
        <v>-1.2013214064570277</v>
      </c>
      <c r="CX256" s="627">
        <v>-1.2251293896674962</v>
      </c>
      <c r="CY256" s="627">
        <v>-1.2490757287851111</v>
      </c>
    </row>
    <row r="257" spans="1:103">
      <c r="A257" s="230"/>
      <c r="B257" s="229"/>
      <c r="C257" s="230"/>
      <c r="D257" s="230" t="s">
        <v>876</v>
      </c>
      <c r="E257" s="230"/>
      <c r="F257" s="232"/>
      <c r="G257" s="232" t="s">
        <v>736</v>
      </c>
      <c r="H257" s="203"/>
      <c r="I257" s="232"/>
      <c r="J257" s="232"/>
      <c r="K257" s="232"/>
      <c r="L257" s="230"/>
      <c r="M257" s="230"/>
      <c r="N257" s="230"/>
      <c r="O257" s="230"/>
      <c r="P257" s="230"/>
      <c r="Q257" s="230"/>
      <c r="R257" s="230"/>
      <c r="S257" s="230"/>
      <c r="T257" s="237"/>
      <c r="U257" s="237"/>
      <c r="V257" s="237"/>
      <c r="W257" s="237"/>
      <c r="X257" s="237"/>
      <c r="Y257" s="237"/>
      <c r="Z257" s="237"/>
      <c r="AA257" s="237"/>
      <c r="AB257" s="237"/>
      <c r="AC257" s="237"/>
      <c r="AD257" s="237"/>
      <c r="AE257" s="237"/>
      <c r="AF257" s="237"/>
      <c r="AG257" s="237"/>
      <c r="AH257" s="237"/>
      <c r="AI257" s="237"/>
      <c r="AJ257" s="237"/>
      <c r="AK257" s="673"/>
      <c r="AL257" s="673"/>
      <c r="AM257" s="673"/>
      <c r="AN257" s="673"/>
      <c r="AO257" s="673">
        <v>-0.80213844282023339</v>
      </c>
      <c r="AP257" s="673">
        <v>-0.956646363158556</v>
      </c>
      <c r="AQ257" s="673">
        <v>-1.0167952068447563</v>
      </c>
      <c r="AR257" s="673">
        <v>-0.20655646371344777</v>
      </c>
      <c r="AS257" s="673">
        <v>-0.24103382814792268</v>
      </c>
      <c r="AT257" s="673">
        <v>-0.25589353819361804</v>
      </c>
      <c r="AU257" s="673">
        <v>-0.27881310403789156</v>
      </c>
      <c r="AV257" s="673">
        <v>-0.40265634646487536</v>
      </c>
      <c r="AW257" s="673">
        <v>-0.56133172212732685</v>
      </c>
      <c r="AX257" s="673">
        <v>-0.59326842442985239</v>
      </c>
      <c r="AY257" s="673">
        <v>-0.61329870519041518</v>
      </c>
      <c r="AZ257" s="673">
        <v>-0.68013670350925293</v>
      </c>
      <c r="BA257" s="673">
        <v>-0.75949356621057984</v>
      </c>
      <c r="BB257" s="673">
        <v>-0.80466739789393193</v>
      </c>
      <c r="BC257" s="673">
        <v>-0.88210378316764715</v>
      </c>
      <c r="BD257" s="673">
        <v>-0.97631471144687898</v>
      </c>
      <c r="BE257" s="673">
        <v>-1.0099419303433947</v>
      </c>
      <c r="BF257" s="673">
        <v>-1.0143687868197482</v>
      </c>
      <c r="BG257" s="673">
        <v>-1.1316632746944921</v>
      </c>
      <c r="BH257" s="673">
        <v>-1.2606897856694705</v>
      </c>
      <c r="BI257" s="673">
        <v>-1.3973641574503697</v>
      </c>
      <c r="BJ257" s="673">
        <v>-1.5312636783148756</v>
      </c>
      <c r="BK257" s="673">
        <v>-1.6626294984210208</v>
      </c>
      <c r="BL257" s="673">
        <v>-1.8118803950860787</v>
      </c>
      <c r="BM257" s="673">
        <v>-1.9649957967088107</v>
      </c>
      <c r="BN257" s="673">
        <v>-2.1218951083313948</v>
      </c>
      <c r="BO257" s="673">
        <v>-2.2824173124682008</v>
      </c>
      <c r="BP257" s="673">
        <v>-2.4472822920259487</v>
      </c>
      <c r="BQ257" s="673">
        <v>-2.6168937346763848</v>
      </c>
      <c r="BR257" s="673">
        <v>-2.7914708490850586</v>
      </c>
      <c r="BS257" s="673">
        <v>-2.9710645960450224</v>
      </c>
      <c r="BT257" s="673">
        <v>-3.1556449834826923</v>
      </c>
      <c r="BU257" s="673">
        <v>-3.3452922044452449</v>
      </c>
      <c r="BV257" s="673">
        <v>-3.5400365000000114</v>
      </c>
      <c r="BW257" s="673">
        <v>-3.739883107969431</v>
      </c>
      <c r="BX257" s="673">
        <v>-3.9448238036620076</v>
      </c>
      <c r="BY257" s="673">
        <v>-4.1548490919261578</v>
      </c>
      <c r="BZ257" s="673">
        <v>-4.3699518545679101</v>
      </c>
      <c r="CA257" s="673">
        <v>-4.5901277837702059</v>
      </c>
      <c r="CB257" s="673">
        <v>-4.8153743494858832</v>
      </c>
      <c r="CC257" s="673">
        <v>-5.0456896921154799</v>
      </c>
      <c r="CD257" s="673">
        <v>-5.2810728848726374</v>
      </c>
      <c r="CE257" s="673">
        <v>-5.5215236861423591</v>
      </c>
      <c r="CF257" s="673">
        <v>-5.7670422303776334</v>
      </c>
      <c r="CG257" s="673">
        <v>-6.0176287755146651</v>
      </c>
      <c r="CH257" s="673">
        <v>-6.2732835690583135</v>
      </c>
      <c r="CI257" s="673">
        <v>-6.5340067997797</v>
      </c>
      <c r="CJ257" s="673">
        <v>-6.7997985948891211</v>
      </c>
      <c r="CK257" s="673">
        <v>-7.0706590320066054</v>
      </c>
      <c r="CL257" s="673">
        <v>-7.3465881502476718</v>
      </c>
      <c r="CM257" s="673">
        <v>-7.6275859627674798</v>
      </c>
      <c r="CN257" s="673">
        <v>-7.913160843113821</v>
      </c>
      <c r="CO257" s="673">
        <v>-8.2034930461517988</v>
      </c>
      <c r="CP257" s="673">
        <v>-8.4986884263953701</v>
      </c>
      <c r="CQ257" s="673">
        <v>-8.7988031724492544</v>
      </c>
      <c r="CR257" s="673">
        <v>-9.1037222629869934</v>
      </c>
      <c r="CS257" s="673">
        <v>-9.4133917266118541</v>
      </c>
      <c r="CT257" s="673">
        <v>-9.7277874218419242</v>
      </c>
      <c r="CU257" s="673">
        <v>-10.046611449034231</v>
      </c>
      <c r="CV257" s="673">
        <v>-10.369249605930804</v>
      </c>
      <c r="CW257" s="673">
        <v>-10.695407637809801</v>
      </c>
      <c r="CX257" s="673">
        <v>-11.024950059484938</v>
      </c>
      <c r="CY257" s="673">
        <v>-11.357820965500169</v>
      </c>
    </row>
    <row r="258" spans="1:103">
      <c r="A258" s="230"/>
      <c r="B258" s="229"/>
      <c r="C258" s="230"/>
      <c r="D258" s="230" t="s">
        <v>877</v>
      </c>
      <c r="E258" s="230"/>
      <c r="F258" s="232"/>
      <c r="G258" s="232" t="s">
        <v>736</v>
      </c>
      <c r="H258" s="203"/>
      <c r="I258" s="232"/>
      <c r="J258" s="232"/>
      <c r="K258" s="232"/>
      <c r="L258" s="230"/>
      <c r="M258" s="230"/>
      <c r="N258" s="230"/>
      <c r="O258" s="230"/>
      <c r="P258" s="230"/>
      <c r="Q258" s="230"/>
      <c r="R258" s="230"/>
      <c r="S258" s="230"/>
      <c r="T258" s="237"/>
      <c r="U258" s="237"/>
      <c r="V258" s="237"/>
      <c r="W258" s="237"/>
      <c r="X258" s="237"/>
      <c r="Y258" s="237"/>
      <c r="Z258" s="237"/>
      <c r="AA258" s="237"/>
      <c r="AB258" s="237"/>
      <c r="AC258" s="237"/>
      <c r="AD258" s="237"/>
      <c r="AE258" s="237"/>
      <c r="AF258" s="237"/>
      <c r="AG258" s="237"/>
      <c r="AH258" s="237"/>
      <c r="AI258" s="237"/>
      <c r="AJ258" s="237"/>
      <c r="AK258" s="673"/>
      <c r="AL258" s="673"/>
      <c r="AM258" s="673"/>
      <c r="AN258" s="673"/>
      <c r="AO258" s="673">
        <v>0</v>
      </c>
      <c r="AP258" s="673">
        <v>0.25308720817066965</v>
      </c>
      <c r="AQ258" s="673">
        <v>0</v>
      </c>
      <c r="AR258" s="673">
        <v>0</v>
      </c>
      <c r="AS258" s="673">
        <v>0</v>
      </c>
      <c r="AT258" s="673">
        <v>0</v>
      </c>
      <c r="AU258" s="673">
        <v>0</v>
      </c>
      <c r="AV258" s="673">
        <v>0</v>
      </c>
      <c r="AW258" s="673">
        <v>0</v>
      </c>
      <c r="AX258" s="673">
        <v>0</v>
      </c>
      <c r="AY258" s="673">
        <v>0</v>
      </c>
      <c r="AZ258" s="673">
        <v>0</v>
      </c>
      <c r="BA258" s="673">
        <v>0</v>
      </c>
      <c r="BB258" s="673">
        <v>0</v>
      </c>
      <c r="BC258" s="673">
        <v>0</v>
      </c>
      <c r="BD258" s="673">
        <v>0</v>
      </c>
      <c r="BE258" s="673">
        <v>0</v>
      </c>
      <c r="BF258" s="673">
        <v>0</v>
      </c>
      <c r="BG258" s="673">
        <v>0</v>
      </c>
      <c r="BH258" s="673">
        <v>0</v>
      </c>
      <c r="BI258" s="673">
        <v>0</v>
      </c>
      <c r="BJ258" s="673">
        <v>0</v>
      </c>
      <c r="BK258" s="673">
        <v>0</v>
      </c>
      <c r="BL258" s="673">
        <v>0</v>
      </c>
      <c r="BM258" s="673">
        <v>0</v>
      </c>
      <c r="BN258" s="673">
        <v>0</v>
      </c>
      <c r="BO258" s="673">
        <v>0</v>
      </c>
      <c r="BP258" s="673">
        <v>0</v>
      </c>
      <c r="BQ258" s="673">
        <v>0</v>
      </c>
      <c r="BR258" s="673">
        <v>0</v>
      </c>
      <c r="BS258" s="673">
        <v>0</v>
      </c>
      <c r="BT258" s="673">
        <v>0</v>
      </c>
      <c r="BU258" s="673">
        <v>0</v>
      </c>
      <c r="BV258" s="673">
        <v>0</v>
      </c>
      <c r="BW258" s="673">
        <v>0</v>
      </c>
      <c r="BX258" s="673">
        <v>0</v>
      </c>
      <c r="BY258" s="673">
        <v>0</v>
      </c>
      <c r="BZ258" s="673">
        <v>0</v>
      </c>
      <c r="CA258" s="673">
        <v>0</v>
      </c>
      <c r="CB258" s="673">
        <v>0</v>
      </c>
      <c r="CC258" s="673">
        <v>0</v>
      </c>
      <c r="CD258" s="673">
        <v>0</v>
      </c>
      <c r="CE258" s="673">
        <v>0</v>
      </c>
      <c r="CF258" s="673">
        <v>0</v>
      </c>
      <c r="CG258" s="673">
        <v>0</v>
      </c>
      <c r="CH258" s="673">
        <v>0</v>
      </c>
      <c r="CI258" s="673">
        <v>0</v>
      </c>
      <c r="CJ258" s="673">
        <v>0</v>
      </c>
      <c r="CK258" s="673">
        <v>0</v>
      </c>
      <c r="CL258" s="673">
        <v>0</v>
      </c>
      <c r="CM258" s="673">
        <v>0</v>
      </c>
      <c r="CN258" s="673">
        <v>0</v>
      </c>
      <c r="CO258" s="673">
        <v>0</v>
      </c>
      <c r="CP258" s="673">
        <v>0</v>
      </c>
      <c r="CQ258" s="673">
        <v>0</v>
      </c>
      <c r="CR258" s="673">
        <v>0</v>
      </c>
      <c r="CS258" s="673">
        <v>0</v>
      </c>
      <c r="CT258" s="673">
        <v>0</v>
      </c>
      <c r="CU258" s="673">
        <v>0</v>
      </c>
      <c r="CV258" s="673">
        <v>0</v>
      </c>
      <c r="CW258" s="673">
        <v>0</v>
      </c>
      <c r="CX258" s="673">
        <v>0</v>
      </c>
      <c r="CY258" s="673">
        <v>0</v>
      </c>
    </row>
    <row r="259" spans="1:103">
      <c r="A259" s="230"/>
      <c r="B259" s="229" t="s">
        <v>236</v>
      </c>
      <c r="C259" s="229"/>
      <c r="D259" s="229"/>
      <c r="E259" s="203"/>
      <c r="F259" s="232"/>
      <c r="G259" s="232" t="s">
        <v>736</v>
      </c>
      <c r="H259" s="203"/>
      <c r="I259" s="232"/>
      <c r="J259" s="232"/>
      <c r="K259" s="232"/>
      <c r="L259" s="230"/>
      <c r="M259" s="230"/>
      <c r="N259" s="230"/>
      <c r="O259" s="230"/>
      <c r="P259" s="230"/>
      <c r="Q259" s="230"/>
      <c r="R259" s="230"/>
      <c r="S259" s="230"/>
      <c r="T259" s="247"/>
      <c r="U259" s="247"/>
      <c r="V259" s="247"/>
      <c r="W259" s="247"/>
      <c r="X259" s="247"/>
      <c r="Y259" s="247"/>
      <c r="Z259" s="247"/>
      <c r="AA259" s="247"/>
      <c r="AB259" s="247"/>
      <c r="AC259" s="247"/>
      <c r="AD259" s="247"/>
      <c r="AE259" s="247"/>
      <c r="AF259" s="644">
        <f>AF225+AF245+AF246</f>
        <v>6.3730766210349284E-4</v>
      </c>
      <c r="AG259" s="644">
        <f t="shared" ref="AG259:AQ259" si="99">AG225+AG245+AG246</f>
        <v>-7.8362713334435862E-4</v>
      </c>
      <c r="AH259" s="644">
        <f t="shared" si="99"/>
        <v>-2.0294469296053805E-2</v>
      </c>
      <c r="AI259" s="644">
        <f t="shared" si="99"/>
        <v>-4.578849267551003E-2</v>
      </c>
      <c r="AJ259" s="644">
        <f t="shared" si="99"/>
        <v>-3.3805966254634424E-2</v>
      </c>
      <c r="AK259" s="644">
        <f t="shared" si="99"/>
        <v>-2.3435680004308065E-2</v>
      </c>
      <c r="AL259" s="644">
        <f t="shared" si="99"/>
        <v>-2.5848695924255479E-2</v>
      </c>
      <c r="AM259" s="644">
        <f t="shared" si="99"/>
        <v>-5.6444158050351981E-2</v>
      </c>
      <c r="AN259" s="644">
        <f t="shared" si="99"/>
        <v>-7.1942445255058912E-2</v>
      </c>
      <c r="AO259" s="644">
        <f t="shared" si="99"/>
        <v>-17.521335562610826</v>
      </c>
      <c r="AP259" s="644">
        <f t="shared" si="99"/>
        <v>-334.91241694342108</v>
      </c>
      <c r="AQ259" s="644">
        <f t="shared" si="99"/>
        <v>-199.29558502805548</v>
      </c>
      <c r="AR259" s="644">
        <v>-7.3510785011166452E-2</v>
      </c>
      <c r="AS259" s="644">
        <v>-9.5225670211634805E-2</v>
      </c>
      <c r="AT259" s="644">
        <v>-8.6509371700300874E-2</v>
      </c>
      <c r="AU259" s="644">
        <v>-6.7490115542220008E-2</v>
      </c>
      <c r="AV259" s="644">
        <v>-0.12376984561404814</v>
      </c>
      <c r="AW259" s="644">
        <v>-0.20300498482108809</v>
      </c>
      <c r="AX259" s="644">
        <v>-0.16280845829987645</v>
      </c>
      <c r="AY259" s="644">
        <v>-0.12053297325614271</v>
      </c>
      <c r="AZ259" s="644">
        <v>-0.10611053636034196</v>
      </c>
      <c r="BA259" s="644">
        <v>-9.1197772413193712E-2</v>
      </c>
      <c r="BB259" s="644">
        <v>-4.2809633220274534E-2</v>
      </c>
      <c r="BC259" s="644">
        <v>-3.9246463695003064E-2</v>
      </c>
      <c r="BD259" s="644">
        <v>2.3608763324795001E-3</v>
      </c>
      <c r="BE259" s="644">
        <v>7.9980368657634804E-2</v>
      </c>
      <c r="BF259" s="644">
        <v>0.1749244583263263</v>
      </c>
      <c r="BG259" s="644">
        <v>0.1966982476196899</v>
      </c>
      <c r="BH259" s="644">
        <v>0.2030650453363867</v>
      </c>
      <c r="BI259" s="644">
        <v>0.2006380175902891</v>
      </c>
      <c r="BJ259" s="644">
        <v>0.21038923027365586</v>
      </c>
      <c r="BK259" s="644">
        <v>0.22596373807294157</v>
      </c>
      <c r="BL259" s="644">
        <v>0.22925810411092695</v>
      </c>
      <c r="BM259" s="644">
        <v>0.23613971267575384</v>
      </c>
      <c r="BN259" s="644">
        <v>0.24645229544132552</v>
      </c>
      <c r="BO259" s="644">
        <v>0.27326454862334115</v>
      </c>
      <c r="BP259" s="644">
        <v>0.2808373936030486</v>
      </c>
      <c r="BQ259" s="644">
        <v>0.2913077851894057</v>
      </c>
      <c r="BR259" s="644">
        <v>0.30481885042380674</v>
      </c>
      <c r="BS259" s="644">
        <v>0.32253815451604062</v>
      </c>
      <c r="BT259" s="644">
        <v>0.33107841959046769</v>
      </c>
      <c r="BU259" s="644">
        <v>0.3348098451091357</v>
      </c>
      <c r="BV259" s="644">
        <v>0.34471198166969108</v>
      </c>
      <c r="BW259" s="644">
        <v>0.29448009407029518</v>
      </c>
      <c r="BX259" s="644">
        <v>0.29959775757844165</v>
      </c>
      <c r="BY259" s="644">
        <v>0.30686903507160013</v>
      </c>
      <c r="BZ259" s="644">
        <v>0.3162261993900044</v>
      </c>
      <c r="CA259" s="644">
        <v>0.33870384664062092</v>
      </c>
      <c r="CB259" s="644">
        <v>0.3442384692130922</v>
      </c>
      <c r="CC259" s="644">
        <v>0.3520817385545536</v>
      </c>
      <c r="CD259" s="644">
        <v>0.36236047978124386</v>
      </c>
      <c r="CE259" s="644">
        <v>0.37609321416246111</v>
      </c>
      <c r="CF259" s="644">
        <v>0.38181958674766259</v>
      </c>
      <c r="CG259" s="644">
        <v>0.38340351615943469</v>
      </c>
      <c r="CH259" s="644">
        <v>0.39022739381395466</v>
      </c>
      <c r="CI259" s="644">
        <v>0.39759452780934001</v>
      </c>
      <c r="CJ259" s="644">
        <v>0.40256670870974087</v>
      </c>
      <c r="CK259" s="644">
        <v>0.40936990665567796</v>
      </c>
      <c r="CL259" s="644">
        <v>0.41792089361097284</v>
      </c>
      <c r="CM259" s="644">
        <v>0.43764667071255792</v>
      </c>
      <c r="CN259" s="644">
        <v>0.44605889952014621</v>
      </c>
      <c r="CO259" s="644">
        <v>0.45603417481747499</v>
      </c>
      <c r="CP259" s="644">
        <v>0.46509142323676222</v>
      </c>
      <c r="CQ259" s="644">
        <v>0.47295192319411061</v>
      </c>
      <c r="CR259" s="644">
        <v>0.47959899828785568</v>
      </c>
      <c r="CS259" s="644">
        <v>0.48504393704769644</v>
      </c>
      <c r="CT259" s="644">
        <v>0.48931219414473093</v>
      </c>
      <c r="CU259" s="644">
        <v>0.49263807556743355</v>
      </c>
      <c r="CV259" s="644">
        <v>0.49547368313679385</v>
      </c>
      <c r="CW259" s="644">
        <v>0.49803933553848845</v>
      </c>
      <c r="CX259" s="644">
        <v>0.50044298809841781</v>
      </c>
      <c r="CY259" s="644">
        <v>0.50273232264253487</v>
      </c>
    </row>
    <row r="260" spans="1:103">
      <c r="A260" s="230"/>
      <c r="B260" s="229"/>
      <c r="C260" s="230" t="s">
        <v>423</v>
      </c>
      <c r="D260" s="229"/>
      <c r="E260" s="203"/>
      <c r="F260" s="232"/>
      <c r="G260" s="232" t="s">
        <v>736</v>
      </c>
      <c r="H260" s="203"/>
      <c r="I260" s="232"/>
      <c r="J260" s="232"/>
      <c r="K260" s="232"/>
      <c r="L260" s="230"/>
      <c r="M260" s="230"/>
      <c r="N260" s="230"/>
      <c r="O260" s="230"/>
      <c r="P260" s="230"/>
      <c r="Q260" s="230"/>
      <c r="R260" s="230"/>
      <c r="S260" s="230"/>
      <c r="T260" s="247"/>
      <c r="U260" s="247"/>
      <c r="V260" s="247"/>
      <c r="W260" s="247"/>
      <c r="X260" s="247"/>
      <c r="Y260" s="247"/>
      <c r="Z260" s="247"/>
      <c r="AA260" s="247"/>
      <c r="AB260" s="247"/>
      <c r="AC260" s="247"/>
      <c r="AD260" s="247"/>
      <c r="AE260" s="247"/>
      <c r="AF260" s="632" t="e">
        <v>#N/A</v>
      </c>
      <c r="AG260" s="632" t="e">
        <v>#N/A</v>
      </c>
      <c r="AH260" s="632" t="e">
        <v>#N/A</v>
      </c>
      <c r="AI260" s="632" t="e">
        <v>#N/A</v>
      </c>
      <c r="AJ260" s="632" t="e">
        <v>#N/A</v>
      </c>
      <c r="AK260" s="632" t="e">
        <v>#N/A</v>
      </c>
      <c r="AL260" s="632" t="e">
        <v>#N/A</v>
      </c>
      <c r="AM260" s="632" t="e">
        <v>#N/A</v>
      </c>
      <c r="AN260" s="632" t="e">
        <v>#N/A</v>
      </c>
      <c r="AO260" s="632" t="e">
        <v>#N/A</v>
      </c>
      <c r="AP260" s="632" t="e">
        <v>#N/A</v>
      </c>
      <c r="AQ260" s="632" t="e">
        <v>#N/A</v>
      </c>
      <c r="AR260" s="632">
        <v>0.543197713076362</v>
      </c>
      <c r="AS260" s="632">
        <v>0.8321847256583087</v>
      </c>
      <c r="AT260" s="632">
        <v>1.1266168533991867</v>
      </c>
      <c r="AU260" s="632">
        <v>1.433466780351063</v>
      </c>
      <c r="AV260" s="632">
        <v>1.7338965647058342</v>
      </c>
      <c r="AW260" s="632">
        <v>1.8483556045874412</v>
      </c>
      <c r="AX260" s="632">
        <v>2.0153082960895432</v>
      </c>
      <c r="AY260" s="632">
        <v>2.2157337621707476</v>
      </c>
      <c r="AZ260" s="632">
        <v>2.4513646058958112</v>
      </c>
      <c r="BA260" s="632">
        <v>2.7071212958137076</v>
      </c>
      <c r="BB260" s="632">
        <v>2.7909451407812176</v>
      </c>
      <c r="BC260" s="632">
        <v>2.9309145612106695</v>
      </c>
      <c r="BD260" s="632">
        <v>3.1018554032702998</v>
      </c>
      <c r="BE260" s="632">
        <v>3.3075385354744027</v>
      </c>
      <c r="BF260" s="632">
        <v>3.737282577988025</v>
      </c>
      <c r="BG260" s="632">
        <v>4.1648775877309188</v>
      </c>
      <c r="BH260" s="632">
        <v>4.6121796365778778</v>
      </c>
      <c r="BI260" s="632">
        <v>5.0750319959924743</v>
      </c>
      <c r="BJ260" s="632">
        <v>5.5493812263181361</v>
      </c>
      <c r="BK260" s="632">
        <v>6.0607989239729951</v>
      </c>
      <c r="BL260" s="632">
        <v>6.5843970321879519</v>
      </c>
      <c r="BM260" s="632">
        <v>7.1211726162206599</v>
      </c>
      <c r="BN260" s="632">
        <v>7.6720104131950251</v>
      </c>
      <c r="BO260" s="632">
        <v>8.238877880241354</v>
      </c>
      <c r="BP260" s="632">
        <v>8.8226004792878516</v>
      </c>
      <c r="BQ260" s="632">
        <v>9.4236051775513658</v>
      </c>
      <c r="BR260" s="632">
        <v>10.042089467254527</v>
      </c>
      <c r="BS260" s="632">
        <v>10.678106852532256</v>
      </c>
      <c r="BT260" s="632">
        <v>11.331827256276377</v>
      </c>
      <c r="BU260" s="632">
        <v>12.003293161616853</v>
      </c>
      <c r="BV260" s="632">
        <v>12.692492088033029</v>
      </c>
      <c r="BW260" s="632">
        <v>13.399391156027521</v>
      </c>
      <c r="BX260" s="632">
        <v>14.123962092175717</v>
      </c>
      <c r="BY260" s="632">
        <v>14.866185068457927</v>
      </c>
      <c r="BZ260" s="632">
        <v>15.626047647727482</v>
      </c>
      <c r="CA260" s="632">
        <v>16.403542549300195</v>
      </c>
      <c r="CB260" s="632">
        <v>17.198665467171555</v>
      </c>
      <c r="CC260" s="632">
        <v>18.011414835042689</v>
      </c>
      <c r="CD260" s="632">
        <v>18.841790752254177</v>
      </c>
      <c r="CE260" s="632">
        <v>19.68979404366555</v>
      </c>
      <c r="CF260" s="632">
        <v>20.555425644433264</v>
      </c>
      <c r="CG260" s="632">
        <v>21.438686331182801</v>
      </c>
      <c r="CH260" s="632">
        <v>22.339576652672278</v>
      </c>
      <c r="CI260" s="632">
        <v>23.258096951161971</v>
      </c>
      <c r="CJ260" s="632">
        <v>24.194247411919729</v>
      </c>
      <c r="CK260" s="632">
        <v>25.148028110315643</v>
      </c>
      <c r="CL260" s="632">
        <v>26.119439055764918</v>
      </c>
      <c r="CM260" s="632">
        <v>27.108480225944582</v>
      </c>
      <c r="CN260" s="632">
        <v>28.115151589118529</v>
      </c>
      <c r="CO260" s="632">
        <v>29.139453115972248</v>
      </c>
      <c r="CP260" s="632">
        <v>30.181384784252394</v>
      </c>
      <c r="CQ260" s="632">
        <v>31.240946579334544</v>
      </c>
      <c r="CR260" s="632">
        <v>32.317302200342517</v>
      </c>
      <c r="CS260" s="632">
        <v>33.409213930481343</v>
      </c>
      <c r="CT260" s="632">
        <v>34.515256057181148</v>
      </c>
      <c r="CU260" s="632">
        <v>35.633920748735655</v>
      </c>
      <c r="CV260" s="632">
        <v>36.764506992456262</v>
      </c>
      <c r="CW260" s="632">
        <v>37.906711878169219</v>
      </c>
      <c r="CX260" s="632">
        <v>39.060430087937064</v>
      </c>
      <c r="CY260" s="632">
        <v>40.225654309906503</v>
      </c>
    </row>
    <row r="261" spans="1:103">
      <c r="A261" s="230"/>
      <c r="B261" s="229"/>
      <c r="C261" s="230" t="s">
        <v>810</v>
      </c>
      <c r="D261" s="229"/>
      <c r="E261" s="203"/>
      <c r="F261" s="232"/>
      <c r="G261" s="232" t="s">
        <v>736</v>
      </c>
      <c r="H261" s="203"/>
      <c r="I261" s="232"/>
      <c r="J261" s="232"/>
      <c r="K261" s="232"/>
      <c r="L261" s="230"/>
      <c r="M261" s="230"/>
      <c r="N261" s="230"/>
      <c r="O261" s="230"/>
      <c r="P261" s="230"/>
      <c r="Q261" s="230"/>
      <c r="R261" s="230"/>
      <c r="S261" s="230"/>
      <c r="T261" s="247"/>
      <c r="U261" s="247"/>
      <c r="V261" s="247"/>
      <c r="W261" s="247"/>
      <c r="X261" s="247"/>
      <c r="Y261" s="247"/>
      <c r="Z261" s="247"/>
      <c r="AA261" s="247"/>
      <c r="AB261" s="247"/>
      <c r="AC261" s="247"/>
      <c r="AD261" s="247"/>
      <c r="AE261" s="247"/>
      <c r="AF261" s="632" t="e">
        <v>#N/A</v>
      </c>
      <c r="AG261" s="632" t="e">
        <v>#N/A</v>
      </c>
      <c r="AH261" s="632" t="e">
        <v>#N/A</v>
      </c>
      <c r="AI261" s="632" t="e">
        <v>#N/A</v>
      </c>
      <c r="AJ261" s="632" t="e">
        <v>#N/A</v>
      </c>
      <c r="AK261" s="632" t="e">
        <v>#N/A</v>
      </c>
      <c r="AL261" s="632" t="e">
        <v>#N/A</v>
      </c>
      <c r="AM261" s="632" t="e">
        <v>#N/A</v>
      </c>
      <c r="AN261" s="632" t="e">
        <v>#N/A</v>
      </c>
      <c r="AO261" s="632" t="e">
        <v>#N/A</v>
      </c>
      <c r="AP261" s="632" t="e">
        <v>#N/A</v>
      </c>
      <c r="AQ261" s="632" t="e">
        <v>#N/A</v>
      </c>
      <c r="AR261" s="632">
        <v>1.9541289240846793</v>
      </c>
      <c r="AS261" s="632">
        <v>2.3122699628000647</v>
      </c>
      <c r="AT261" s="632">
        <v>2.7249448742878637</v>
      </c>
      <c r="AU261" s="632">
        <v>3.2126933255747443</v>
      </c>
      <c r="AV261" s="632">
        <v>3.7314390924741803</v>
      </c>
      <c r="AW261" s="632">
        <v>4.052811626724905</v>
      </c>
      <c r="AX261" s="632">
        <v>4.4395117718985242</v>
      </c>
      <c r="AY261" s="632">
        <v>4.6534329564360215</v>
      </c>
      <c r="AZ261" s="632">
        <v>4.9824047157229838</v>
      </c>
      <c r="BA261" s="632">
        <v>5.3722664468433816</v>
      </c>
      <c r="BB261" s="632">
        <v>5.8116565450566924</v>
      </c>
      <c r="BC261" s="632">
        <v>6.3311411189026092</v>
      </c>
      <c r="BD261" s="632">
        <v>6.9067653245989087</v>
      </c>
      <c r="BE261" s="632">
        <v>7.5009886091305518</v>
      </c>
      <c r="BF261" s="632">
        <v>8.330054205250093</v>
      </c>
      <c r="BG261" s="632">
        <v>9.1933036119848275</v>
      </c>
      <c r="BH261" s="632">
        <v>10.086119527828501</v>
      </c>
      <c r="BI261" s="632">
        <v>11.005142454955216</v>
      </c>
      <c r="BJ261" s="632">
        <v>11.947170128083162</v>
      </c>
      <c r="BK261" s="632">
        <v>12.939725842060191</v>
      </c>
      <c r="BL261" s="632">
        <v>13.958951239956754</v>
      </c>
      <c r="BM261" s="632">
        <v>15.006121651091792</v>
      </c>
      <c r="BN261" s="632">
        <v>16.082309189141966</v>
      </c>
      <c r="BO261" s="632">
        <v>17.189542963028394</v>
      </c>
      <c r="BP261" s="632">
        <v>18.328835343362574</v>
      </c>
      <c r="BQ261" s="632">
        <v>19.500665368423519</v>
      </c>
      <c r="BR261" s="632">
        <v>20.705222527681471</v>
      </c>
      <c r="BS261" s="632">
        <v>21.942529145417772</v>
      </c>
      <c r="BT261" s="632">
        <v>23.212727078238206</v>
      </c>
      <c r="BU261" s="632">
        <v>24.515839950804537</v>
      </c>
      <c r="BV261" s="632">
        <v>25.851843084720997</v>
      </c>
      <c r="BW261" s="632">
        <v>27.220696127869253</v>
      </c>
      <c r="BX261" s="632">
        <v>28.622366158781126</v>
      </c>
      <c r="BY261" s="632">
        <v>30.056831494141221</v>
      </c>
      <c r="BZ261" s="632">
        <v>31.524079605001297</v>
      </c>
      <c r="CA261" s="632">
        <v>33.024103926345994</v>
      </c>
      <c r="CB261" s="632">
        <v>34.556901031519359</v>
      </c>
      <c r="CC261" s="632">
        <v>36.122470103161533</v>
      </c>
      <c r="CD261" s="632">
        <v>37.720811782830772</v>
      </c>
      <c r="CE261" s="632">
        <v>39.351927243286625</v>
      </c>
      <c r="CF261" s="632">
        <v>41.015817615129158</v>
      </c>
      <c r="CG261" s="632">
        <v>42.712483760186373</v>
      </c>
      <c r="CH261" s="632">
        <v>44.441926244117788</v>
      </c>
      <c r="CI261" s="632">
        <v>46.204145391748142</v>
      </c>
      <c r="CJ261" s="632">
        <v>47.999141359389384</v>
      </c>
      <c r="CK261" s="632">
        <v>49.826914194415387</v>
      </c>
      <c r="CL261" s="632">
        <v>51.687463884376321</v>
      </c>
      <c r="CM261" s="632">
        <v>53.58079039220577</v>
      </c>
      <c r="CN261" s="632">
        <v>55.506893677565124</v>
      </c>
      <c r="CO261" s="632">
        <v>57.46463370704133</v>
      </c>
      <c r="CP261" s="632">
        <v>59.45257405714591</v>
      </c>
      <c r="CQ261" s="632">
        <v>61.469186885558102</v>
      </c>
      <c r="CR261" s="632">
        <v>63.512918581531963</v>
      </c>
      <c r="CS261" s="632">
        <v>65.582214037925624</v>
      </c>
      <c r="CT261" s="632">
        <v>67.675528731234607</v>
      </c>
      <c r="CU261" s="632">
        <v>69.791334608607599</v>
      </c>
      <c r="CV261" s="632">
        <v>71.928959161894824</v>
      </c>
      <c r="CW261" s="632">
        <v>74.088151785574098</v>
      </c>
      <c r="CX261" s="632">
        <v>76.268862448793399</v>
      </c>
      <c r="CY261" s="632">
        <v>78.471129701368014</v>
      </c>
    </row>
    <row r="262" spans="1:103">
      <c r="A262" s="230"/>
      <c r="B262" s="229" t="s">
        <v>811</v>
      </c>
      <c r="C262" s="229"/>
      <c r="D262" s="229"/>
      <c r="E262" s="203"/>
      <c r="F262" s="232"/>
      <c r="G262" s="232" t="s">
        <v>812</v>
      </c>
      <c r="H262" s="203"/>
      <c r="I262" s="232"/>
      <c r="J262" s="232"/>
      <c r="K262" s="232"/>
      <c r="L262" s="230"/>
      <c r="M262" s="230"/>
      <c r="N262" s="230"/>
      <c r="O262" s="230"/>
      <c r="P262" s="230"/>
      <c r="Q262" s="230"/>
      <c r="R262" s="230"/>
      <c r="S262" s="230"/>
      <c r="T262" s="247"/>
      <c r="U262" s="247"/>
      <c r="V262" s="247"/>
      <c r="W262" s="247"/>
      <c r="X262" s="247"/>
      <c r="Y262" s="247"/>
      <c r="Z262" s="247"/>
      <c r="AA262" s="247"/>
      <c r="AB262" s="247"/>
      <c r="AC262" s="247"/>
      <c r="AD262" s="247"/>
      <c r="AE262" s="247"/>
      <c r="AF262" s="608" t="e">
        <f t="shared" ref="AF262:AQ263" si="100">AF260/AF$216</f>
        <v>#N/A</v>
      </c>
      <c r="AG262" s="608" t="e">
        <f t="shared" si="100"/>
        <v>#N/A</v>
      </c>
      <c r="AH262" s="608" t="e">
        <f t="shared" si="100"/>
        <v>#N/A</v>
      </c>
      <c r="AI262" s="608" t="e">
        <f t="shared" si="100"/>
        <v>#N/A</v>
      </c>
      <c r="AJ262" s="608" t="e">
        <f t="shared" si="100"/>
        <v>#N/A</v>
      </c>
      <c r="AK262" s="608" t="e">
        <f t="shared" si="100"/>
        <v>#N/A</v>
      </c>
      <c r="AL262" s="608" t="e">
        <f t="shared" si="100"/>
        <v>#N/A</v>
      </c>
      <c r="AM262" s="608" t="e">
        <f t="shared" si="100"/>
        <v>#N/A</v>
      </c>
      <c r="AN262" s="608" t="e">
        <f t="shared" si="100"/>
        <v>#N/A</v>
      </c>
      <c r="AO262" s="608" t="e">
        <f t="shared" si="100"/>
        <v>#N/A</v>
      </c>
      <c r="AP262" s="608" t="e">
        <f t="shared" si="100"/>
        <v>#N/A</v>
      </c>
      <c r="AQ262" s="608" t="e">
        <f t="shared" si="100"/>
        <v>#N/A</v>
      </c>
      <c r="AR262" s="608">
        <v>2.6119661991866331E-2</v>
      </c>
      <c r="AS262" s="608">
        <v>3.4540542452679089E-2</v>
      </c>
      <c r="AT262" s="608">
        <v>4.0123710096692265E-2</v>
      </c>
      <c r="AU262" s="608">
        <v>4.3875316585744624E-2</v>
      </c>
      <c r="AV262" s="608">
        <v>4.5902252740620729E-2</v>
      </c>
      <c r="AW262" s="608">
        <v>4.2793525887827769E-2</v>
      </c>
      <c r="AX262" s="608">
        <v>4.0909695775412827E-2</v>
      </c>
      <c r="AY262" s="608">
        <v>3.961365926456361E-2</v>
      </c>
      <c r="AZ262" s="608">
        <v>3.8818015889291159E-2</v>
      </c>
      <c r="BA262" s="608">
        <v>3.8181866154810451E-2</v>
      </c>
      <c r="BB262" s="608">
        <v>3.5242443723238565E-2</v>
      </c>
      <c r="BC262" s="608">
        <v>3.3279311541347979E-2</v>
      </c>
      <c r="BD262" s="608">
        <v>3.1960356633172121E-2</v>
      </c>
      <c r="BE262" s="608">
        <v>3.1127805920313216E-2</v>
      </c>
      <c r="BF262" s="608">
        <v>3.2239251906273747E-2</v>
      </c>
      <c r="BG262" s="608">
        <v>3.3109893571039377E-2</v>
      </c>
      <c r="BH262" s="608">
        <v>3.3933058444044338E-2</v>
      </c>
      <c r="BI262" s="608">
        <v>3.4678214673061591E-2</v>
      </c>
      <c r="BJ262" s="608">
        <v>3.5327371692237319E-2</v>
      </c>
      <c r="BK262" s="608">
        <v>3.6039185330997786E-2</v>
      </c>
      <c r="BL262" s="608">
        <v>3.6665919091232284E-2</v>
      </c>
      <c r="BM262" s="608">
        <v>3.7223087377100297E-2</v>
      </c>
      <c r="BN262" s="608">
        <v>3.7723611035610852E-2</v>
      </c>
      <c r="BO262" s="608">
        <v>3.8183268401425177E-2</v>
      </c>
      <c r="BP262" s="608">
        <v>3.8610223032398791E-2</v>
      </c>
      <c r="BQ262" s="608">
        <v>3.9009681982682773E-2</v>
      </c>
      <c r="BR262" s="608">
        <v>3.9385138708161231E-2</v>
      </c>
      <c r="BS262" s="608">
        <v>3.9739037219291305E-2</v>
      </c>
      <c r="BT262" s="608">
        <v>4.0073875361528226E-2</v>
      </c>
      <c r="BU262" s="608">
        <v>4.0391395319233671E-2</v>
      </c>
      <c r="BV262" s="608">
        <v>4.0692953250701075E-2</v>
      </c>
      <c r="BW262" s="608">
        <v>4.0979693708951562E-2</v>
      </c>
      <c r="BX262" s="608">
        <v>4.1252656844408819E-2</v>
      </c>
      <c r="BY262" s="608">
        <v>4.1512803414110254E-2</v>
      </c>
      <c r="BZ262" s="608">
        <v>4.1761021326680033E-2</v>
      </c>
      <c r="CA262" s="608">
        <v>4.1998127897920082E-2</v>
      </c>
      <c r="CB262" s="608">
        <v>4.2224872126258098E-2</v>
      </c>
      <c r="CC262" s="608">
        <v>4.2441941430032666E-2</v>
      </c>
      <c r="CD262" s="608">
        <v>4.2649965744396244E-2</v>
      </c>
      <c r="CE262" s="608">
        <v>4.2849521589889937E-2</v>
      </c>
      <c r="CF262" s="608">
        <v>4.3041136467207405E-2</v>
      </c>
      <c r="CG262" s="608">
        <v>4.32252934944303E-2</v>
      </c>
      <c r="CH262" s="608">
        <v>4.3402435898834142E-2</v>
      </c>
      <c r="CI262" s="608">
        <v>4.3572971142075E-2</v>
      </c>
      <c r="CJ262" s="608">
        <v>4.3737274598593535E-2</v>
      </c>
      <c r="CK262" s="608">
        <v>4.3895692788618615E-2</v>
      </c>
      <c r="CL262" s="608">
        <v>4.4048546223082831E-2</v>
      </c>
      <c r="CM262" s="608">
        <v>4.4196131901925083E-2</v>
      </c>
      <c r="CN262" s="608">
        <v>4.4342711533164922E-2</v>
      </c>
      <c r="CO262" s="608">
        <v>4.4490130770056348E-2</v>
      </c>
      <c r="CP262" s="608">
        <v>4.4639090427671724E-2</v>
      </c>
      <c r="CQ262" s="608">
        <v>4.4789758287559676E-2</v>
      </c>
      <c r="CR262" s="608">
        <v>4.494089939815598E-2</v>
      </c>
      <c r="CS262" s="608">
        <v>4.5090773967232212E-2</v>
      </c>
      <c r="CT262" s="608">
        <v>4.5237544663043118E-2</v>
      </c>
      <c r="CU262" s="608">
        <v>4.5379455032244873E-2</v>
      </c>
      <c r="CV262" s="608">
        <v>4.5515888784081089E-2</v>
      </c>
      <c r="CW262" s="608">
        <v>4.5646778544349911E-2</v>
      </c>
      <c r="CX262" s="608">
        <v>4.5772312699337618E-2</v>
      </c>
      <c r="CY262" s="608">
        <v>4.5892789527870619E-2</v>
      </c>
    </row>
    <row r="263" spans="1:103">
      <c r="A263" s="230"/>
      <c r="B263" s="229" t="s">
        <v>813</v>
      </c>
      <c r="C263" s="229"/>
      <c r="D263" s="229"/>
      <c r="E263" s="229"/>
      <c r="F263" s="203"/>
      <c r="G263" s="232" t="s">
        <v>812</v>
      </c>
      <c r="H263" s="203"/>
      <c r="I263" s="232"/>
      <c r="J263" s="232"/>
      <c r="K263" s="232"/>
      <c r="L263" s="230"/>
      <c r="M263" s="230"/>
      <c r="N263" s="230"/>
      <c r="O263" s="230"/>
      <c r="P263" s="230"/>
      <c r="Q263" s="230"/>
      <c r="R263" s="230"/>
      <c r="S263" s="230"/>
      <c r="T263" s="247"/>
      <c r="U263" s="247"/>
      <c r="V263" s="247"/>
      <c r="W263" s="247"/>
      <c r="X263" s="247"/>
      <c r="Y263" s="247"/>
      <c r="Z263" s="247"/>
      <c r="AA263" s="247"/>
      <c r="AB263" s="247"/>
      <c r="AC263" s="247"/>
      <c r="AD263" s="247"/>
      <c r="AE263" s="247"/>
      <c r="AF263" s="608" t="e">
        <f t="shared" si="100"/>
        <v>#N/A</v>
      </c>
      <c r="AG263" s="608" t="e">
        <f t="shared" si="100"/>
        <v>#N/A</v>
      </c>
      <c r="AH263" s="608" t="e">
        <f t="shared" si="100"/>
        <v>#N/A</v>
      </c>
      <c r="AI263" s="608" t="e">
        <f t="shared" si="100"/>
        <v>#N/A</v>
      </c>
      <c r="AJ263" s="608" t="e">
        <f t="shared" si="100"/>
        <v>#N/A</v>
      </c>
      <c r="AK263" s="608" t="e">
        <f t="shared" si="100"/>
        <v>#N/A</v>
      </c>
      <c r="AL263" s="608" t="e">
        <f t="shared" si="100"/>
        <v>#N/A</v>
      </c>
      <c r="AM263" s="608" t="e">
        <f t="shared" si="100"/>
        <v>#N/A</v>
      </c>
      <c r="AN263" s="608" t="e">
        <f t="shared" si="100"/>
        <v>#N/A</v>
      </c>
      <c r="AO263" s="608" t="e">
        <f t="shared" si="100"/>
        <v>#N/A</v>
      </c>
      <c r="AP263" s="608" t="e">
        <f t="shared" si="100"/>
        <v>#N/A</v>
      </c>
      <c r="AQ263" s="608" t="e">
        <f t="shared" si="100"/>
        <v>#N/A</v>
      </c>
      <c r="AR263" s="608">
        <v>9.39642891656393E-2</v>
      </c>
      <c r="AS263" s="608">
        <v>9.5972752622887458E-2</v>
      </c>
      <c r="AT263" s="608">
        <v>9.7047099762010994E-2</v>
      </c>
      <c r="AU263" s="608">
        <v>9.8333591461379627E-2</v>
      </c>
      <c r="AV263" s="608">
        <v>9.8784128070546803E-2</v>
      </c>
      <c r="AW263" s="608">
        <v>9.3831565114577964E-2</v>
      </c>
      <c r="AX263" s="608">
        <v>9.0119748096180605E-2</v>
      </c>
      <c r="AY263" s="608">
        <v>8.3195693766994191E-2</v>
      </c>
      <c r="AZ263" s="608">
        <v>7.8897714749020992E-2</v>
      </c>
      <c r="BA263" s="608">
        <v>7.5771691035254149E-2</v>
      </c>
      <c r="BB263" s="608">
        <v>7.3386243152963201E-2</v>
      </c>
      <c r="BC263" s="608">
        <v>7.1887464921927449E-2</v>
      </c>
      <c r="BD263" s="608">
        <v>7.1164723772448563E-2</v>
      </c>
      <c r="BE263" s="608">
        <v>7.0593075524668508E-2</v>
      </c>
      <c r="BF263" s="608">
        <v>7.1858284813065901E-2</v>
      </c>
      <c r="BG263" s="608">
        <v>7.3084814078510515E-2</v>
      </c>
      <c r="BH263" s="608">
        <v>7.4206321171255266E-2</v>
      </c>
      <c r="BI263" s="608">
        <v>7.5199268272973255E-2</v>
      </c>
      <c r="BJ263" s="608">
        <v>7.6055708298349359E-2</v>
      </c>
      <c r="BK263" s="608">
        <v>7.6943185808351119E-2</v>
      </c>
      <c r="BL263" s="608">
        <v>7.7731912923944269E-2</v>
      </c>
      <c r="BM263" s="608">
        <v>7.8438511115102305E-2</v>
      </c>
      <c r="BN263" s="608">
        <v>7.9077418268644839E-2</v>
      </c>
      <c r="BO263" s="608">
        <v>7.9665330909834409E-2</v>
      </c>
      <c r="BP263" s="608">
        <v>8.0212225657583625E-2</v>
      </c>
      <c r="BQ263" s="608">
        <v>8.0724387337987064E-2</v>
      </c>
      <c r="BR263" s="608">
        <v>8.1206014335483551E-2</v>
      </c>
      <c r="BS263" s="608">
        <v>8.1660072748603083E-2</v>
      </c>
      <c r="BT263" s="608">
        <v>8.2089491014722668E-2</v>
      </c>
      <c r="BU263" s="608">
        <v>8.249644240986144E-2</v>
      </c>
      <c r="BV263" s="608">
        <v>8.2882686457048577E-2</v>
      </c>
      <c r="BW263" s="608">
        <v>8.3249737012322092E-2</v>
      </c>
      <c r="BX263" s="608">
        <v>8.3598967592621878E-2</v>
      </c>
      <c r="BY263" s="608">
        <v>8.3931642941449738E-2</v>
      </c>
      <c r="BZ263" s="608">
        <v>8.4248927839399967E-2</v>
      </c>
      <c r="CA263" s="608">
        <v>8.4551890925052262E-2</v>
      </c>
      <c r="CB263" s="608">
        <v>8.4841508774089261E-2</v>
      </c>
      <c r="CC263" s="608">
        <v>8.5118674710867273E-2</v>
      </c>
      <c r="CD263" s="608">
        <v>8.5384205330699764E-2</v>
      </c>
      <c r="CE263" s="608">
        <v>8.5638846819602113E-2</v>
      </c>
      <c r="CF263" s="608">
        <v>8.5883281320664515E-2</v>
      </c>
      <c r="CG263" s="608">
        <v>8.6118133261026311E-2</v>
      </c>
      <c r="CH263" s="608">
        <v>8.6343975314335325E-2</v>
      </c>
      <c r="CI263" s="608">
        <v>8.6561333802432958E-2</v>
      </c>
      <c r="CJ263" s="608">
        <v>8.677069347889857E-2</v>
      </c>
      <c r="CK263" s="608">
        <v>8.6972501720154374E-2</v>
      </c>
      <c r="CL263" s="608">
        <v>8.716717220473244E-2</v>
      </c>
      <c r="CM263" s="608">
        <v>8.7355088143854537E-2</v>
      </c>
      <c r="CN263" s="608">
        <v>8.7544474609873302E-2</v>
      </c>
      <c r="CO263" s="608">
        <v>8.7737029864788332E-2</v>
      </c>
      <c r="CP263" s="608">
        <v>8.7931976894562655E-2</v>
      </c>
      <c r="CQ263" s="608">
        <v>8.8127612130618913E-2</v>
      </c>
      <c r="CR263" s="608">
        <v>8.8321966566431015E-2</v>
      </c>
      <c r="CS263" s="608">
        <v>8.8513090897860067E-2</v>
      </c>
      <c r="CT263" s="608">
        <v>8.8699175474820841E-2</v>
      </c>
      <c r="CU263" s="608">
        <v>8.8878592755584906E-2</v>
      </c>
      <c r="CV263" s="608">
        <v>8.9050847499173358E-2</v>
      </c>
      <c r="CW263" s="608">
        <v>8.9216006605519871E-2</v>
      </c>
      <c r="CX263" s="608">
        <v>8.9374392790084967E-2</v>
      </c>
      <c r="CY263" s="608">
        <v>8.9526425391475234E-2</v>
      </c>
    </row>
    <row r="264" spans="1:103">
      <c r="A264" s="230"/>
      <c r="B264" s="230" t="s">
        <v>814</v>
      </c>
      <c r="C264" s="229"/>
      <c r="D264" s="126"/>
      <c r="E264" s="609"/>
      <c r="F264" s="251"/>
      <c r="G264" s="609" t="s">
        <v>736</v>
      </c>
      <c r="H264" s="203"/>
      <c r="I264" s="232"/>
      <c r="J264" s="232"/>
      <c r="K264" s="232"/>
      <c r="L264" s="230"/>
      <c r="M264" s="230"/>
      <c r="N264" s="230"/>
      <c r="O264" s="230"/>
      <c r="P264" s="230"/>
      <c r="Q264" s="230"/>
      <c r="R264" s="230"/>
      <c r="S264" s="230"/>
      <c r="T264" s="247"/>
      <c r="U264" s="247"/>
      <c r="V264" s="247"/>
      <c r="W264" s="247"/>
      <c r="X264" s="247"/>
      <c r="Y264" s="247"/>
      <c r="Z264" s="247"/>
      <c r="AA264" s="247"/>
      <c r="AB264" s="247"/>
      <c r="AC264" s="247"/>
      <c r="AD264" s="247"/>
      <c r="AE264" s="247"/>
      <c r="AF264" s="610">
        <f>AF245</f>
        <v>-2.6865000000000001E-5</v>
      </c>
      <c r="AG264" s="610">
        <f t="shared" ref="AG264:AQ264" si="101">AF264+AG245</f>
        <v>-3.7329999999999997E-6</v>
      </c>
      <c r="AH264" s="610">
        <f t="shared" si="101"/>
        <v>-3.5049000000000003E-5</v>
      </c>
      <c r="AI264" s="610">
        <f t="shared" si="101"/>
        <v>-3.6515499999999998E-4</v>
      </c>
      <c r="AJ264" s="610">
        <f t="shared" si="101"/>
        <v>-2.2106292E-2</v>
      </c>
      <c r="AK264" s="610">
        <f t="shared" si="101"/>
        <v>-3.7980903999999996E-2</v>
      </c>
      <c r="AL264" s="610">
        <f t="shared" si="101"/>
        <v>-6.6205619999999993E-2</v>
      </c>
      <c r="AM264" s="610">
        <f t="shared" si="101"/>
        <v>-0.10182456399999999</v>
      </c>
      <c r="AN264" s="610">
        <f t="shared" si="101"/>
        <v>-0.157076356</v>
      </c>
      <c r="AO264" s="267">
        <f t="shared" si="101"/>
        <v>-0.95921479882023342</v>
      </c>
      <c r="AP264" s="267">
        <f t="shared" si="101"/>
        <v>-1.9158611619787895</v>
      </c>
      <c r="AQ264" s="267">
        <f t="shared" si="101"/>
        <v>-2.9326563688235456</v>
      </c>
      <c r="AR264" s="267">
        <v>-0.20655646371344777</v>
      </c>
      <c r="AS264" s="267">
        <v>-0.44759029186137045</v>
      </c>
      <c r="AT264" s="267">
        <v>-0.70348383005498849</v>
      </c>
      <c r="AU264" s="267">
        <v>-0.98229693409287999</v>
      </c>
      <c r="AV264" s="267">
        <v>-1.3849532805577554</v>
      </c>
      <c r="AW264" s="267">
        <v>-1.9462850026850822</v>
      </c>
      <c r="AX264" s="267">
        <v>-2.5395534271149347</v>
      </c>
      <c r="AY264" s="267">
        <v>-3.15285213230535</v>
      </c>
      <c r="AZ264" s="267">
        <v>-3.8329888358146027</v>
      </c>
      <c r="BA264" s="267">
        <v>-4.5924824020251824</v>
      </c>
      <c r="BB264" s="267">
        <v>-5.3971497999191147</v>
      </c>
      <c r="BC264" s="267">
        <v>-6.2792535830867617</v>
      </c>
      <c r="BD264" s="267">
        <v>-0.97631471144687898</v>
      </c>
      <c r="BE264" s="267">
        <v>-1.9862566417902738</v>
      </c>
      <c r="BF264" s="267">
        <v>-3.000625428610022</v>
      </c>
      <c r="BG264" s="267">
        <v>-4.1322887033045141</v>
      </c>
      <c r="BH264" s="267">
        <v>-5.3929784889739842</v>
      </c>
      <c r="BI264" s="267">
        <v>-6.7903426464243539</v>
      </c>
      <c r="BJ264" s="267">
        <v>-8.3216063247392302</v>
      </c>
      <c r="BK264" s="267">
        <v>-9.984235823160251</v>
      </c>
      <c r="BL264" s="267">
        <v>-11.796116218246329</v>
      </c>
      <c r="BM264" s="267">
        <v>-13.76111201495514</v>
      </c>
      <c r="BN264" s="267">
        <v>-15.883007123286536</v>
      </c>
      <c r="BO264" s="267">
        <v>-18.165424435754737</v>
      </c>
      <c r="BP264" s="267">
        <v>-2.4472822920259487</v>
      </c>
      <c r="BQ264" s="267">
        <v>-5.0641760267023335</v>
      </c>
      <c r="BR264" s="267">
        <v>-7.8556468757873921</v>
      </c>
      <c r="BS264" s="267">
        <v>-10.826711471832414</v>
      </c>
      <c r="BT264" s="267">
        <v>-13.982356455315106</v>
      </c>
      <c r="BU264" s="267">
        <v>-17.327648659760349</v>
      </c>
      <c r="BV264" s="267">
        <v>-20.867685159760359</v>
      </c>
      <c r="BW264" s="267">
        <v>-24.607568267729789</v>
      </c>
      <c r="BX264" s="267">
        <v>-28.552392071391797</v>
      </c>
      <c r="BY264" s="267">
        <v>-32.707241163317953</v>
      </c>
      <c r="BZ264" s="267">
        <v>-37.077193017885861</v>
      </c>
      <c r="CA264" s="267">
        <v>-41.667320801656068</v>
      </c>
      <c r="CB264" s="267">
        <v>-4.8153743494858832</v>
      </c>
      <c r="CC264" s="267">
        <v>-9.8610640416013631</v>
      </c>
      <c r="CD264" s="267">
        <v>-15.142136926474</v>
      </c>
      <c r="CE264" s="267">
        <v>-20.663660612616361</v>
      </c>
      <c r="CF264" s="267">
        <v>-26.430702842993995</v>
      </c>
      <c r="CG264" s="267">
        <v>-32.448331618508661</v>
      </c>
      <c r="CH264" s="267">
        <v>-38.721615187566975</v>
      </c>
      <c r="CI264" s="267">
        <v>-45.255621987346672</v>
      </c>
      <c r="CJ264" s="267">
        <v>-52.05542058223579</v>
      </c>
      <c r="CK264" s="267">
        <v>-59.126079614242393</v>
      </c>
      <c r="CL264" s="267">
        <v>-66.472667764490069</v>
      </c>
      <c r="CM264" s="267">
        <v>-74.100253727257552</v>
      </c>
      <c r="CN264" s="267">
        <v>-7.913160843113821</v>
      </c>
      <c r="CO264" s="267">
        <v>-16.116653889265621</v>
      </c>
      <c r="CP264" s="267">
        <v>-24.615342315660989</v>
      </c>
      <c r="CQ264" s="267">
        <v>-33.414145488110243</v>
      </c>
      <c r="CR264" s="267">
        <v>-42.517867751097235</v>
      </c>
      <c r="CS264" s="267">
        <v>-51.931259477709091</v>
      </c>
      <c r="CT264" s="267">
        <v>-61.659046899551015</v>
      </c>
      <c r="CU264" s="267">
        <v>-71.705658348585246</v>
      </c>
      <c r="CV264" s="267">
        <v>-82.07490795451605</v>
      </c>
      <c r="CW264" s="267">
        <v>-92.770315592325858</v>
      </c>
      <c r="CX264" s="267">
        <v>-103.79526565181079</v>
      </c>
      <c r="CY264" s="267">
        <v>-115.15308661731096</v>
      </c>
    </row>
    <row r="265" spans="1:103">
      <c r="A265" s="230"/>
      <c r="B265" s="230" t="s">
        <v>815</v>
      </c>
      <c r="C265" s="229"/>
      <c r="D265" s="126"/>
      <c r="E265" s="609"/>
      <c r="F265" s="251"/>
      <c r="G265" s="609" t="s">
        <v>812</v>
      </c>
      <c r="H265" s="203"/>
      <c r="I265" s="232"/>
      <c r="J265" s="232"/>
      <c r="K265" s="232"/>
      <c r="L265" s="230"/>
      <c r="M265" s="230"/>
      <c r="N265" s="230"/>
      <c r="O265" s="230"/>
      <c r="P265" s="230"/>
      <c r="Q265" s="230"/>
      <c r="R265" s="230"/>
      <c r="S265" s="230"/>
      <c r="T265" s="247"/>
      <c r="U265" s="247"/>
      <c r="V265" s="247"/>
      <c r="W265" s="247"/>
      <c r="X265" s="247"/>
      <c r="Y265" s="247"/>
      <c r="Z265" s="247"/>
      <c r="AA265" s="247"/>
      <c r="AB265" s="247"/>
      <c r="AC265" s="247"/>
      <c r="AD265" s="247"/>
      <c r="AE265" s="247"/>
      <c r="AF265" s="607">
        <f>AF264/AVERAGE($AE221:AF221)</f>
        <v>-5.3978300180831829E-2</v>
      </c>
      <c r="AG265" s="607">
        <f>AG264/AVERAGE($AE221:AG221)</f>
        <v>-1.4438997748668994E-3</v>
      </c>
      <c r="AH265" s="607">
        <f>AH264/AVERAGE($AE221:AH221)</f>
        <v>-1.9523046262900107E-3</v>
      </c>
      <c r="AI265" s="607">
        <f>AI264/AVERAGE($AE221:AI221)</f>
        <v>-9.005871995387191E-4</v>
      </c>
      <c r="AJ265" s="607">
        <f>AJ264/AVERAGE($AE221:AJ221)</f>
        <v>-2.4930515468384092E-2</v>
      </c>
      <c r="AK265" s="607">
        <f>AK264/AVERAGE($AE221:AK221)</f>
        <v>-2.7296891673074898E-2</v>
      </c>
      <c r="AL265" s="607">
        <f>AL264/AVERAGE($AE221:AL221)</f>
        <v>-3.638546856661936E-2</v>
      </c>
      <c r="AM265" s="607">
        <f>AM264/AVERAGE($AE221:AM221)</f>
        <v>-4.5312984064171641E-2</v>
      </c>
      <c r="AN265" s="607">
        <f>AN264/AVERAGE($AE221:AN221)</f>
        <v>-5.7557690889414551E-2</v>
      </c>
      <c r="AO265" s="611">
        <f>AO264/AVERAGE($AE221:AO221)</f>
        <v>-0.23760311715813914</v>
      </c>
      <c r="AP265" s="611">
        <f>AP264/AVERAGE($AE221:AP221)</f>
        <v>-0.43247996695071855</v>
      </c>
      <c r="AQ265" s="611">
        <f>AQ264/AVERAGE($AE221:AQ221)</f>
        <v>-0.66225359409651108</v>
      </c>
      <c r="AR265" s="611">
        <v>-1.0518618978453331E-2</v>
      </c>
      <c r="AS265" s="611">
        <v>-2.1190237535145262E-2</v>
      </c>
      <c r="AT265" s="611">
        <v>-3.0771548244832383E-2</v>
      </c>
      <c r="AU265" s="611">
        <v>-3.957128795967068E-2</v>
      </c>
      <c r="AV265" s="611">
        <v>-5.1329085534484328E-2</v>
      </c>
      <c r="AW265" s="611">
        <v>-6.6431465079747412E-2</v>
      </c>
      <c r="AX265" s="611">
        <v>-7.9877179751325536E-2</v>
      </c>
      <c r="AY265" s="611">
        <v>-9.1451989739856021E-2</v>
      </c>
      <c r="AZ265" s="611">
        <v>-0.10264288065481962</v>
      </c>
      <c r="BA265" s="611">
        <v>-0.11369314071893061</v>
      </c>
      <c r="BB265" s="611">
        <v>-0.12371146164300809</v>
      </c>
      <c r="BC265" s="611">
        <v>-0.13347156019980574</v>
      </c>
      <c r="BD265" s="611">
        <v>-1.0547718917637545E-2</v>
      </c>
      <c r="BE265" s="611">
        <v>-2.0450160638091082E-2</v>
      </c>
      <c r="BF265" s="611">
        <v>-2.9468204002240674E-2</v>
      </c>
      <c r="BG265" s="611">
        <v>-3.875767264108386E-2</v>
      </c>
      <c r="BH265" s="611">
        <v>-4.8366584640433162E-2</v>
      </c>
      <c r="BI265" s="611">
        <v>-5.8296257927590626E-2</v>
      </c>
      <c r="BJ265" s="611">
        <v>-6.8459329169757485E-2</v>
      </c>
      <c r="BK265" s="611">
        <v>-7.8780326107142459E-2</v>
      </c>
      <c r="BL265" s="611">
        <v>-8.9351357472224557E-2</v>
      </c>
      <c r="BM265" s="611">
        <v>-0.1001466934181082</v>
      </c>
      <c r="BN265" s="611">
        <v>-0.1111425674448325</v>
      </c>
      <c r="BO265" s="611">
        <v>-0.12231650952321207</v>
      </c>
      <c r="BP265" s="611">
        <v>-1.1016940765259116E-2</v>
      </c>
      <c r="BQ265" s="611">
        <v>-2.2151478649606576E-2</v>
      </c>
      <c r="BR265" s="611">
        <v>-3.3399196330124239E-2</v>
      </c>
      <c r="BS265" s="611">
        <v>-4.4756068986729326E-2</v>
      </c>
      <c r="BT265" s="611">
        <v>-5.6218093407854629E-2</v>
      </c>
      <c r="BU265" s="611">
        <v>-6.7781735378296099E-2</v>
      </c>
      <c r="BV265" s="611">
        <v>-7.9443692743497482E-2</v>
      </c>
      <c r="BW265" s="611">
        <v>-9.1200784913631108E-2</v>
      </c>
      <c r="BX265" s="611">
        <v>-0.10304989987021265</v>
      </c>
      <c r="BY265" s="611">
        <v>-0.11498799218180283</v>
      </c>
      <c r="BZ265" s="611">
        <v>-0.12701209396813662</v>
      </c>
      <c r="CA265" s="611">
        <v>-0.13911932559788728</v>
      </c>
      <c r="CB265" s="611">
        <v>-1.2070283362595729E-2</v>
      </c>
      <c r="CC265" s="611">
        <v>-2.4203544602703523E-2</v>
      </c>
      <c r="CD265" s="611">
        <v>-3.6398398079522346E-2</v>
      </c>
      <c r="CE265" s="611">
        <v>-4.8653472218688418E-2</v>
      </c>
      <c r="CF265" s="611">
        <v>-6.0967412540447609E-2</v>
      </c>
      <c r="CG265" s="611">
        <v>-7.3338883685165182E-2</v>
      </c>
      <c r="CH265" s="611">
        <v>-8.576657082439007E-2</v>
      </c>
      <c r="CI265" s="611">
        <v>-9.8249180721698207E-2</v>
      </c>
      <c r="CJ265" s="611">
        <v>-0.11078544258468807</v>
      </c>
      <c r="CK265" s="611">
        <v>-0.12337410876485057</v>
      </c>
      <c r="CL265" s="611">
        <v>-0.13601395532130545</v>
      </c>
      <c r="CM265" s="611">
        <v>-0.14870378246709609</v>
      </c>
      <c r="CN265" s="611">
        <v>-1.5576992904237306E-2</v>
      </c>
      <c r="CO265" s="611">
        <v>-3.112521696864062E-2</v>
      </c>
      <c r="CP265" s="611">
        <v>-4.6646867753171353E-2</v>
      </c>
      <c r="CQ265" s="611">
        <v>-6.2144564440313445E-2</v>
      </c>
      <c r="CR265" s="611">
        <v>-7.7620897816663939E-2</v>
      </c>
      <c r="CS265" s="611">
        <v>-9.3078457425218267E-2</v>
      </c>
      <c r="CT265" s="611">
        <v>-0.10851981875637678</v>
      </c>
      <c r="CU265" s="611">
        <v>-0.12394702218207639</v>
      </c>
      <c r="CV265" s="611">
        <v>-0.13936103747192283</v>
      </c>
      <c r="CW265" s="611">
        <v>-0.15476236171089572</v>
      </c>
      <c r="CX265" s="611">
        <v>-0.17015130198739656</v>
      </c>
      <c r="CY265" s="611">
        <v>-0.18552810764772784</v>
      </c>
    </row>
    <row r="268" spans="1:103">
      <c r="A268" s="680" t="s">
        <v>882</v>
      </c>
      <c r="B268" s="680"/>
      <c r="C268" s="680"/>
      <c r="D268" s="272"/>
      <c r="E268" s="272"/>
      <c r="F268" s="272"/>
      <c r="G268" s="586">
        <v>44562</v>
      </c>
      <c r="H268" s="586">
        <v>44593</v>
      </c>
      <c r="I268" s="586">
        <v>44621</v>
      </c>
      <c r="J268" s="586">
        <v>44652</v>
      </c>
      <c r="K268" s="586">
        <v>44682</v>
      </c>
      <c r="L268" s="586">
        <v>44713</v>
      </c>
      <c r="M268" s="586">
        <v>44743</v>
      </c>
      <c r="N268" s="586">
        <v>44774</v>
      </c>
      <c r="O268" s="586">
        <v>44805</v>
      </c>
      <c r="P268" s="586">
        <v>44835</v>
      </c>
      <c r="Q268" s="586">
        <v>44866</v>
      </c>
      <c r="R268" s="586">
        <v>44896</v>
      </c>
      <c r="S268" s="586">
        <v>44927</v>
      </c>
      <c r="T268" s="586">
        <v>44958</v>
      </c>
      <c r="U268" s="586">
        <v>44986</v>
      </c>
      <c r="V268" s="586">
        <v>45017</v>
      </c>
      <c r="W268" s="586">
        <v>45047</v>
      </c>
      <c r="X268" s="586">
        <v>45078</v>
      </c>
      <c r="Y268" s="586">
        <v>45108</v>
      </c>
      <c r="Z268" s="586">
        <v>45139</v>
      </c>
      <c r="AA268" s="586">
        <v>45170</v>
      </c>
      <c r="AB268" s="586">
        <v>45200</v>
      </c>
      <c r="AC268" s="586">
        <v>45231</v>
      </c>
      <c r="AD268" s="586">
        <v>45261</v>
      </c>
      <c r="AE268" s="586">
        <v>45292</v>
      </c>
      <c r="AF268" s="586">
        <v>45323</v>
      </c>
      <c r="AG268" s="586">
        <v>45352</v>
      </c>
      <c r="AH268" s="586">
        <v>45383</v>
      </c>
      <c r="AI268" s="586">
        <v>45413</v>
      </c>
      <c r="AJ268" s="586">
        <v>45444</v>
      </c>
      <c r="AK268" s="586">
        <v>45474</v>
      </c>
      <c r="AL268" s="586">
        <v>45505</v>
      </c>
      <c r="AM268" s="586">
        <v>45536</v>
      </c>
      <c r="AN268" s="586">
        <v>45566</v>
      </c>
      <c r="AO268" s="586">
        <v>45597</v>
      </c>
      <c r="AP268" s="586">
        <v>45627</v>
      </c>
      <c r="AQ268" s="586">
        <v>45658</v>
      </c>
      <c r="AR268" s="586">
        <v>45689</v>
      </c>
      <c r="AS268" s="586">
        <v>45717</v>
      </c>
      <c r="AT268" s="586">
        <v>45748</v>
      </c>
      <c r="AU268" s="586">
        <v>45778</v>
      </c>
      <c r="AV268" s="586">
        <v>45809</v>
      </c>
      <c r="AW268" s="586">
        <v>45839</v>
      </c>
      <c r="AX268" s="586">
        <v>45870</v>
      </c>
      <c r="AY268" s="586">
        <v>45901</v>
      </c>
      <c r="AZ268" s="586">
        <v>45931</v>
      </c>
      <c r="BA268" s="586">
        <v>45962</v>
      </c>
      <c r="BB268" s="586">
        <v>45992</v>
      </c>
    </row>
    <row r="269" spans="1:103">
      <c r="A269" s="764" t="s">
        <v>735</v>
      </c>
      <c r="B269" s="230"/>
      <c r="C269" s="230"/>
      <c r="D269" s="232"/>
      <c r="E269" s="232"/>
      <c r="F269" s="587"/>
      <c r="G269" s="681"/>
      <c r="H269" s="681"/>
      <c r="I269" s="681"/>
      <c r="J269" s="681"/>
      <c r="K269" s="681"/>
      <c r="L269" s="681"/>
      <c r="M269" s="681"/>
      <c r="N269" s="681"/>
      <c r="O269" s="681"/>
      <c r="P269" s="681"/>
      <c r="Q269" s="681"/>
      <c r="R269" s="681"/>
      <c r="S269" s="681"/>
      <c r="T269" s="681"/>
      <c r="U269" s="681"/>
      <c r="V269" s="681"/>
      <c r="W269" s="681"/>
      <c r="X269" s="681"/>
      <c r="Y269" s="681"/>
      <c r="Z269" s="681"/>
      <c r="AA269" s="681"/>
      <c r="AB269" s="681"/>
      <c r="AC269" s="681"/>
      <c r="AD269" s="681"/>
      <c r="AE269" s="594"/>
      <c r="AF269" s="594"/>
      <c r="AG269" s="594"/>
      <c r="AH269" s="594"/>
      <c r="AI269" s="594"/>
      <c r="AJ269" s="594"/>
      <c r="AK269" s="594"/>
      <c r="AL269" s="597"/>
      <c r="AM269" s="597"/>
      <c r="AN269" s="597"/>
      <c r="AO269" s="246"/>
      <c r="AP269" s="246"/>
      <c r="AQ269" s="246"/>
      <c r="AR269" s="246"/>
      <c r="AS269" s="246"/>
      <c r="AT269" s="246"/>
      <c r="AU269" s="246"/>
      <c r="AV269" s="246"/>
      <c r="AW269" s="246"/>
      <c r="AX269" s="246"/>
      <c r="AY269" s="246"/>
      <c r="AZ269" s="246"/>
      <c r="BA269" s="246"/>
      <c r="BB269" s="246"/>
    </row>
    <row r="270" spans="1:103">
      <c r="A270" s="498" t="s">
        <v>883</v>
      </c>
      <c r="B270" s="230"/>
      <c r="C270" s="230"/>
      <c r="D270" s="230"/>
      <c r="E270" s="232"/>
      <c r="F270" s="232"/>
      <c r="G270" s="587" t="s">
        <v>743</v>
      </c>
      <c r="H270" s="266">
        <v>32.680999999999997</v>
      </c>
      <c r="I270" s="681">
        <v>27.259</v>
      </c>
      <c r="J270" s="681">
        <v>42.466000000000001</v>
      </c>
      <c r="K270" s="681">
        <v>32.969000000000001</v>
      </c>
      <c r="L270" s="681">
        <v>29.524999999999999</v>
      </c>
      <c r="M270" s="681">
        <v>22.661999999999999</v>
      </c>
      <c r="N270" s="681">
        <v>24.37</v>
      </c>
      <c r="O270" s="681">
        <v>25.847000000000001</v>
      </c>
      <c r="P270" s="681">
        <v>27.73</v>
      </c>
      <c r="Q270" s="681">
        <v>28.33</v>
      </c>
      <c r="R270" s="681">
        <v>37.451000000000001</v>
      </c>
      <c r="S270" s="681">
        <v>38.463999999999999</v>
      </c>
      <c r="T270" s="681">
        <v>31.22</v>
      </c>
      <c r="U270" s="681">
        <v>25.41</v>
      </c>
      <c r="V270" s="681">
        <v>32.241</v>
      </c>
      <c r="W270" s="681">
        <v>21.951000000000001</v>
      </c>
      <c r="X270" s="681">
        <v>21.834</v>
      </c>
      <c r="Y270" s="681">
        <v>23.385000000000002</v>
      </c>
      <c r="Z270" s="681">
        <v>22.952000000000002</v>
      </c>
      <c r="AA270" s="681">
        <v>17.462</v>
      </c>
      <c r="AB270" s="681">
        <v>14.154</v>
      </c>
      <c r="AC270" s="681">
        <v>12.458</v>
      </c>
      <c r="AD270" s="681">
        <v>10.548999999999999</v>
      </c>
      <c r="AE270" s="681">
        <v>10.098000000000001</v>
      </c>
      <c r="AF270" s="594">
        <v>10.039999999999999</v>
      </c>
      <c r="AG270" s="594">
        <v>7.48</v>
      </c>
      <c r="AH270" s="594">
        <v>8.641</v>
      </c>
      <c r="AI270" s="594">
        <v>6.7549999999999999</v>
      </c>
      <c r="AJ270" s="594">
        <v>7.2679999999999998</v>
      </c>
      <c r="AK270" s="594">
        <v>9.2390000000000008</v>
      </c>
      <c r="AL270" s="594">
        <v>11.504</v>
      </c>
      <c r="AM270" s="597">
        <v>9.8040000000000003</v>
      </c>
      <c r="AN270" s="597">
        <v>18.061</v>
      </c>
      <c r="AO270" s="597">
        <v>6.0339999999999998</v>
      </c>
      <c r="AP270" s="246">
        <v>0</v>
      </c>
      <c r="AQ270" s="246">
        <v>0</v>
      </c>
      <c r="AR270" s="765">
        <v>8.5</v>
      </c>
      <c r="AS270" s="765">
        <v>8.5</v>
      </c>
      <c r="AT270" s="765">
        <v>8.5</v>
      </c>
      <c r="AU270" s="765">
        <v>8.5</v>
      </c>
      <c r="AV270" s="765">
        <v>8.5</v>
      </c>
      <c r="AW270" s="765">
        <v>8.5</v>
      </c>
      <c r="AX270" s="765">
        <v>8.5</v>
      </c>
      <c r="AY270" s="765">
        <v>8.5</v>
      </c>
      <c r="AZ270" s="765">
        <v>8.5</v>
      </c>
      <c r="BA270" s="765">
        <v>8.5</v>
      </c>
      <c r="BB270" s="765">
        <v>8.5</v>
      </c>
      <c r="BC270" s="765">
        <v>8.5</v>
      </c>
    </row>
    <row r="271" spans="1:103">
      <c r="A271" s="498" t="s">
        <v>884</v>
      </c>
      <c r="B271" s="230"/>
      <c r="C271" s="230"/>
      <c r="D271" s="230"/>
      <c r="E271" s="232"/>
      <c r="F271" s="232"/>
      <c r="G271" s="682" t="s">
        <v>743</v>
      </c>
      <c r="H271" s="610">
        <v>211.76300000000003</v>
      </c>
      <c r="I271" s="610">
        <v>239.02200000000005</v>
      </c>
      <c r="J271" s="610">
        <v>281.48800000000006</v>
      </c>
      <c r="K271" s="610">
        <v>314.45700000000005</v>
      </c>
      <c r="L271" s="610">
        <v>343.98200000000003</v>
      </c>
      <c r="M271" s="610">
        <v>366.64400000000001</v>
      </c>
      <c r="N271" s="610">
        <v>391.01400000000001</v>
      </c>
      <c r="O271" s="610">
        <v>416.86099999999999</v>
      </c>
      <c r="P271" s="610">
        <v>444.59100000000001</v>
      </c>
      <c r="Q271" s="610">
        <v>472.92099999999999</v>
      </c>
      <c r="R271" s="610">
        <v>510.37200000000001</v>
      </c>
      <c r="S271" s="610">
        <v>548.83600000000001</v>
      </c>
      <c r="T271" s="681">
        <v>580.05600000000004</v>
      </c>
      <c r="U271" s="681">
        <v>605.46600000000001</v>
      </c>
      <c r="V271" s="681">
        <v>637.70699999999999</v>
      </c>
      <c r="W271" s="681">
        <v>659.65800000000002</v>
      </c>
      <c r="X271" s="681">
        <v>681.49199999999996</v>
      </c>
      <c r="Y271" s="681">
        <v>704.87699999999995</v>
      </c>
      <c r="Z271" s="681">
        <v>727.82899999999995</v>
      </c>
      <c r="AA271" s="681">
        <v>731.40099999999995</v>
      </c>
      <c r="AB271" s="681">
        <v>745.29100000000005</v>
      </c>
      <c r="AC271" s="681">
        <v>757.74900000000002</v>
      </c>
      <c r="AD271" s="681">
        <v>768.298</v>
      </c>
      <c r="AE271" s="681">
        <v>778.39599999999996</v>
      </c>
      <c r="AF271" s="594">
        <v>788.43600000000004</v>
      </c>
      <c r="AG271" s="594">
        <v>795.91600000000005</v>
      </c>
      <c r="AH271" s="594">
        <v>804.55700000000002</v>
      </c>
      <c r="AI271" s="594">
        <v>811.31200000000001</v>
      </c>
      <c r="AJ271" s="594">
        <v>818.58</v>
      </c>
      <c r="AK271" s="594">
        <v>827.81899999999996</v>
      </c>
      <c r="AL271" s="594">
        <v>839.32299999999998</v>
      </c>
      <c r="AM271" s="597">
        <v>849.12699999999995</v>
      </c>
      <c r="AN271" s="597">
        <v>867.18799999999999</v>
      </c>
      <c r="AO271" s="597">
        <v>873.22199999999998</v>
      </c>
      <c r="AP271" s="246">
        <v>873.22199999999998</v>
      </c>
      <c r="AQ271" s="246">
        <v>873.22199999999998</v>
      </c>
      <c r="AR271" s="765">
        <v>898.72199999999998</v>
      </c>
      <c r="AS271" s="765">
        <v>907.22199999999998</v>
      </c>
      <c r="AT271" s="765">
        <v>915.72199999999998</v>
      </c>
      <c r="AU271" s="765">
        <v>924.22199999999998</v>
      </c>
      <c r="AV271" s="765">
        <v>932.72199999999998</v>
      </c>
      <c r="AW271" s="765">
        <v>941.22199999999998</v>
      </c>
      <c r="AX271" s="765">
        <v>949.72199999999998</v>
      </c>
      <c r="AY271" s="765">
        <v>958.22199999999998</v>
      </c>
      <c r="AZ271" s="765">
        <v>966.72199999999998</v>
      </c>
      <c r="BA271" s="765">
        <v>975.22199999999998</v>
      </c>
      <c r="BB271" s="765">
        <v>983.72199999999998</v>
      </c>
      <c r="BC271" s="765">
        <v>992.22199999999998</v>
      </c>
    </row>
    <row r="272" spans="1:103">
      <c r="A272" s="498" t="s">
        <v>885</v>
      </c>
      <c r="B272" s="230"/>
      <c r="C272" s="230"/>
      <c r="D272" s="230"/>
      <c r="E272" s="232"/>
      <c r="F272" s="232"/>
      <c r="G272" s="682" t="s">
        <v>743</v>
      </c>
      <c r="H272" s="610">
        <v>119.26</v>
      </c>
      <c r="I272" s="610">
        <v>131.25399999999999</v>
      </c>
      <c r="J272" s="610">
        <v>145.18199999999999</v>
      </c>
      <c r="K272" s="610">
        <v>156.88300000000001</v>
      </c>
      <c r="L272" s="610">
        <v>165.18799999999999</v>
      </c>
      <c r="M272" s="610">
        <v>173.739</v>
      </c>
      <c r="N272" s="610">
        <v>182.928</v>
      </c>
      <c r="O272" s="610">
        <v>192.392</v>
      </c>
      <c r="P272" s="610">
        <v>201.678</v>
      </c>
      <c r="Q272" s="610">
        <v>210.173</v>
      </c>
      <c r="R272" s="610">
        <v>220.44900000000001</v>
      </c>
      <c r="S272" s="610">
        <v>230.66499999999999</v>
      </c>
      <c r="T272" s="681">
        <v>239.53299999999999</v>
      </c>
      <c r="U272" s="681">
        <v>249.73599999999999</v>
      </c>
      <c r="V272" s="681">
        <v>260.07600000000002</v>
      </c>
      <c r="W272" s="681">
        <v>263.959</v>
      </c>
      <c r="X272" s="681">
        <v>267.49400000000003</v>
      </c>
      <c r="Y272" s="681">
        <v>271.02800000000002</v>
      </c>
      <c r="Z272" s="681">
        <v>274.95600000000002</v>
      </c>
      <c r="AA272" s="681">
        <v>278.52800000000002</v>
      </c>
      <c r="AB272" s="681">
        <v>281.40100000000001</v>
      </c>
      <c r="AC272" s="681">
        <v>284.02800000000002</v>
      </c>
      <c r="AD272" s="681">
        <v>286.25400000000002</v>
      </c>
      <c r="AE272" s="681">
        <v>288.27</v>
      </c>
      <c r="AF272" s="594">
        <v>267.51400000000001</v>
      </c>
      <c r="AG272" s="594">
        <v>268.50200000000001</v>
      </c>
      <c r="AH272" s="594">
        <v>268.74700000000001</v>
      </c>
      <c r="AI272" s="594">
        <v>269.02600000000001</v>
      </c>
      <c r="AJ272" s="594">
        <v>269.37200000000001</v>
      </c>
      <c r="AK272" s="594">
        <v>273.29500000000002</v>
      </c>
      <c r="AL272" s="594">
        <v>280.46100000000001</v>
      </c>
      <c r="AM272" s="597">
        <v>79.546000000000006</v>
      </c>
      <c r="AN272" s="597">
        <v>51.036000000000001</v>
      </c>
      <c r="AO272" s="597">
        <v>56.23</v>
      </c>
      <c r="AP272" s="246">
        <v>56.23</v>
      </c>
      <c r="AQ272" s="246">
        <v>56.23</v>
      </c>
      <c r="AR272" s="765">
        <v>68.97999999999999</v>
      </c>
      <c r="AS272" s="765">
        <v>73.22999999999999</v>
      </c>
      <c r="AT272" s="765">
        <v>77.47999999999999</v>
      </c>
      <c r="AU272" s="765">
        <v>81.72999999999999</v>
      </c>
      <c r="AV272" s="765">
        <v>85.97999999999999</v>
      </c>
      <c r="AW272" s="765">
        <v>90.22999999999999</v>
      </c>
      <c r="AX272" s="765">
        <v>94.47999999999999</v>
      </c>
      <c r="AY272" s="765">
        <v>98.72999999999999</v>
      </c>
      <c r="AZ272" s="765">
        <v>102.97999999999999</v>
      </c>
      <c r="BA272" s="765">
        <v>107.22999999999999</v>
      </c>
      <c r="BB272" s="765">
        <v>111.47999999999999</v>
      </c>
      <c r="BC272" s="765">
        <v>115.72999999999999</v>
      </c>
    </row>
    <row r="273" spans="1:55">
      <c r="A273" s="498" t="s">
        <v>886</v>
      </c>
      <c r="B273" s="230"/>
      <c r="C273" s="230"/>
      <c r="D273" s="230"/>
      <c r="E273" s="232"/>
      <c r="F273" s="232"/>
      <c r="G273" s="683" t="s">
        <v>743</v>
      </c>
      <c r="H273" s="594">
        <v>14.587999999999999</v>
      </c>
      <c r="I273" s="594">
        <v>14.138</v>
      </c>
      <c r="J273" s="594">
        <v>19.628</v>
      </c>
      <c r="K273" s="594">
        <v>20.866</v>
      </c>
      <c r="L273" s="594">
        <v>20.228999999999999</v>
      </c>
      <c r="M273" s="594">
        <v>22.321999999999999</v>
      </c>
      <c r="N273" s="594">
        <v>24.716999999999999</v>
      </c>
      <c r="O273" s="594">
        <v>26.445</v>
      </c>
      <c r="P273" s="594">
        <v>28.297000000000001</v>
      </c>
      <c r="Q273" s="594">
        <v>29.422999999999998</v>
      </c>
      <c r="R273" s="594">
        <v>30.780999999999999</v>
      </c>
      <c r="S273" s="594">
        <v>32.746000000000002</v>
      </c>
      <c r="T273" s="610">
        <v>31.847999999999999</v>
      </c>
      <c r="U273" s="610">
        <v>30.734999999999999</v>
      </c>
      <c r="V273" s="610">
        <v>36.588000000000001</v>
      </c>
      <c r="W273" s="610">
        <v>35.914999999999999</v>
      </c>
      <c r="X273" s="610">
        <v>35.332000000000001</v>
      </c>
      <c r="Y273" s="610">
        <v>35.372999999999998</v>
      </c>
      <c r="Z273" s="610">
        <v>35.433999999999997</v>
      </c>
      <c r="AA273" s="610">
        <v>35.034999999999997</v>
      </c>
      <c r="AB273" s="610">
        <v>34.051000000000002</v>
      </c>
      <c r="AC273" s="610">
        <v>34.087000000000003</v>
      </c>
      <c r="AD273" s="610">
        <v>33.713999999999999</v>
      </c>
      <c r="AE273" s="610">
        <v>33.567999999999998</v>
      </c>
      <c r="AF273" s="594">
        <v>31.803000000000001</v>
      </c>
      <c r="AG273" s="594">
        <v>28.710999999999999</v>
      </c>
      <c r="AH273" s="594">
        <v>30.917999999999999</v>
      </c>
      <c r="AI273" s="594">
        <v>30.472000000000001</v>
      </c>
      <c r="AJ273" s="594">
        <v>30.655000000000001</v>
      </c>
      <c r="AK273" s="594">
        <v>29.131</v>
      </c>
      <c r="AL273" s="594">
        <v>21.131</v>
      </c>
      <c r="AM273" s="597">
        <v>45.758000000000003</v>
      </c>
      <c r="AN273" s="628">
        <v>17.811</v>
      </c>
      <c r="AO273" s="597">
        <v>11.234</v>
      </c>
      <c r="AP273" s="246">
        <v>0</v>
      </c>
      <c r="AQ273" s="246">
        <v>0</v>
      </c>
      <c r="AR273" s="765">
        <v>20.693999999999996</v>
      </c>
      <c r="AS273" s="765">
        <v>21.968999999999998</v>
      </c>
      <c r="AT273" s="765">
        <v>23.243999999999996</v>
      </c>
      <c r="AU273" s="765">
        <v>24.518999999999995</v>
      </c>
      <c r="AV273" s="765">
        <v>25.793999999999997</v>
      </c>
      <c r="AW273" s="765">
        <v>27.068999999999996</v>
      </c>
      <c r="AX273" s="765">
        <v>28.343999999999998</v>
      </c>
      <c r="AY273" s="765">
        <v>29.618999999999996</v>
      </c>
      <c r="AZ273" s="765">
        <v>30.893999999999995</v>
      </c>
      <c r="BA273" s="765">
        <v>32.168999999999997</v>
      </c>
      <c r="BB273" s="765">
        <v>33.443999999999996</v>
      </c>
      <c r="BC273" s="765">
        <v>34.718999999999994</v>
      </c>
    </row>
    <row r="274" spans="1:55">
      <c r="A274" s="498" t="s">
        <v>887</v>
      </c>
      <c r="B274" s="230"/>
      <c r="C274" s="230"/>
      <c r="D274" s="230"/>
      <c r="E274" s="230"/>
      <c r="F274" s="232"/>
      <c r="G274" s="232" t="s">
        <v>736</v>
      </c>
      <c r="H274" s="237">
        <v>51.612227360999995</v>
      </c>
      <c r="I274" s="237">
        <v>51.612227360999995</v>
      </c>
      <c r="J274" s="261">
        <v>51.612227360999995</v>
      </c>
      <c r="K274" s="261">
        <v>51.612227360999995</v>
      </c>
      <c r="L274" s="261">
        <v>51.612227360999995</v>
      </c>
      <c r="M274" s="261">
        <v>51.612227360999995</v>
      </c>
      <c r="N274" s="261">
        <v>51.612227360999995</v>
      </c>
      <c r="O274" s="261">
        <v>51.612227360999995</v>
      </c>
      <c r="P274" s="261">
        <v>51.612227360999995</v>
      </c>
      <c r="Q274" s="261">
        <v>51.612227360999995</v>
      </c>
      <c r="R274" s="261">
        <v>51.612227360999995</v>
      </c>
      <c r="S274" s="261">
        <v>51.612227360999995</v>
      </c>
      <c r="T274" s="237">
        <v>41.632124343000001</v>
      </c>
      <c r="U274" s="237">
        <v>73.630187347000003</v>
      </c>
      <c r="V274" s="237">
        <v>74.555999999999997</v>
      </c>
      <c r="W274" s="237">
        <v>60.948730581999996</v>
      </c>
      <c r="X274" s="237">
        <v>64.029439750999998</v>
      </c>
      <c r="Y274" s="237">
        <v>67.133131130999999</v>
      </c>
      <c r="Z274" s="237">
        <v>70.107725336999991</v>
      </c>
      <c r="AA274" s="237">
        <v>62.553736000000001</v>
      </c>
      <c r="AB274" s="237">
        <v>54.316000000000003</v>
      </c>
      <c r="AC274" s="237">
        <v>99.055850640000003</v>
      </c>
      <c r="AD274" s="237">
        <v>95.429896880999991</v>
      </c>
      <c r="AE274" s="237">
        <v>110.409735086</v>
      </c>
      <c r="AF274" s="262">
        <v>30.881805402999998</v>
      </c>
      <c r="AG274" s="262">
        <v>32.241641640000005</v>
      </c>
      <c r="AH274" s="262">
        <v>24.321499059999997</v>
      </c>
      <c r="AI274" s="262">
        <v>30.614263334</v>
      </c>
      <c r="AJ274" s="262">
        <v>28.716788820999998</v>
      </c>
      <c r="AK274" s="262">
        <v>28.83266047</v>
      </c>
      <c r="AL274" s="262">
        <v>23.385456976</v>
      </c>
      <c r="AM274" s="262">
        <v>20.312174458000001</v>
      </c>
      <c r="AN274" s="262">
        <v>13.623199113</v>
      </c>
      <c r="AO274" s="262">
        <v>11.541861087999999</v>
      </c>
      <c r="AP274" s="262">
        <v>0</v>
      </c>
      <c r="AQ274" s="262">
        <v>0</v>
      </c>
      <c r="AR274" s="766">
        <v>16.555199999999996</v>
      </c>
      <c r="AS274" s="766">
        <v>17.575199999999999</v>
      </c>
      <c r="AT274" s="766">
        <v>18.595199999999998</v>
      </c>
      <c r="AU274" s="766">
        <v>19.615199999999998</v>
      </c>
      <c r="AV274" s="766">
        <v>20.635199999999998</v>
      </c>
      <c r="AW274" s="766">
        <v>21.655199999999997</v>
      </c>
      <c r="AX274" s="766">
        <v>22.675199999999997</v>
      </c>
      <c r="AY274" s="766">
        <v>23.695199999999996</v>
      </c>
      <c r="AZ274" s="766">
        <v>24.715199999999996</v>
      </c>
      <c r="BA274" s="766">
        <v>25.735199999999995</v>
      </c>
      <c r="BB274" s="766">
        <v>26.755199999999999</v>
      </c>
      <c r="BC274" s="766">
        <v>27.775199999999998</v>
      </c>
    </row>
    <row r="275" spans="1:55">
      <c r="A275" s="498" t="s">
        <v>215</v>
      </c>
      <c r="B275" s="230"/>
      <c r="C275" s="230"/>
      <c r="D275" s="230"/>
      <c r="E275" s="230"/>
      <c r="F275" s="232"/>
      <c r="G275" s="232" t="s">
        <v>736</v>
      </c>
      <c r="H275" s="237">
        <v>0.29650492100000003</v>
      </c>
      <c r="I275" s="237">
        <v>0.29899398999999999</v>
      </c>
      <c r="J275" s="261">
        <v>0.90925242899999992</v>
      </c>
      <c r="K275" s="261">
        <v>0.675913184</v>
      </c>
      <c r="L275" s="261">
        <v>0.294334553</v>
      </c>
      <c r="M275" s="261">
        <v>0.40962092099999997</v>
      </c>
      <c r="N275" s="261">
        <v>0.40497237327272695</v>
      </c>
      <c r="O275" s="261">
        <v>0.60910396600003902</v>
      </c>
      <c r="P275" s="261">
        <v>0.59312688472727304</v>
      </c>
      <c r="Q275" s="261">
        <v>0.81349191500000007</v>
      </c>
      <c r="R275" s="261">
        <v>0.89882735699999994</v>
      </c>
      <c r="S275" s="261">
        <v>2.0499677939999996</v>
      </c>
      <c r="T275" s="237">
        <v>0.71553051599999995</v>
      </c>
      <c r="U275" s="237">
        <v>0.87103351299999998</v>
      </c>
      <c r="V275" s="237">
        <v>1.192775608</v>
      </c>
      <c r="W275" s="237">
        <v>0.97976101100000001</v>
      </c>
      <c r="X275" s="237">
        <v>1.2489259700000002</v>
      </c>
      <c r="Y275" s="237">
        <v>1.160902187</v>
      </c>
      <c r="Z275" s="237">
        <v>1.108906379</v>
      </c>
      <c r="AA275" s="237">
        <v>1.1418174780000001</v>
      </c>
      <c r="AB275" s="237">
        <v>0.78278396800000005</v>
      </c>
      <c r="AC275" s="237">
        <v>0.69604069099999999</v>
      </c>
      <c r="AD275" s="237">
        <v>0.85094999500000001</v>
      </c>
      <c r="AE275" s="237">
        <v>0.67968860700000011</v>
      </c>
      <c r="AF275" s="262">
        <v>0.642152995</v>
      </c>
      <c r="AG275" s="262">
        <v>0.49117301800000002</v>
      </c>
      <c r="AH275" s="262">
        <v>0.61922541399999997</v>
      </c>
      <c r="AI275" s="262">
        <v>0.547410709</v>
      </c>
      <c r="AJ275" s="262">
        <v>0.70761497799999995</v>
      </c>
      <c r="AK275" s="262">
        <v>10.318681015000001</v>
      </c>
      <c r="AL275" s="262">
        <v>3.7482269329999998</v>
      </c>
      <c r="AM275" s="262">
        <v>0.73261349099999995</v>
      </c>
      <c r="AN275" s="262">
        <v>0.78458218499999999</v>
      </c>
      <c r="AO275" s="262">
        <v>0.60700706700000007</v>
      </c>
      <c r="AP275" s="262">
        <v>0.18404999999999999</v>
      </c>
      <c r="AQ275" s="262">
        <v>0.18404999999999999</v>
      </c>
      <c r="AR275" s="766">
        <v>0.63104039999999983</v>
      </c>
      <c r="AS275" s="766">
        <v>0.65858039999999995</v>
      </c>
      <c r="AT275" s="766">
        <v>0.68612039999999985</v>
      </c>
      <c r="AU275" s="766">
        <v>0.71366039999999997</v>
      </c>
      <c r="AV275" s="766">
        <v>0.74120039999999987</v>
      </c>
      <c r="AW275" s="766">
        <v>0.76874039999999999</v>
      </c>
      <c r="AX275" s="766">
        <v>0.79628039999999989</v>
      </c>
      <c r="AY275" s="766">
        <v>0.82382040000000001</v>
      </c>
      <c r="AZ275" s="766">
        <v>6.1359211629999981</v>
      </c>
      <c r="BA275" s="766">
        <v>0.87890040000000003</v>
      </c>
      <c r="BB275" s="766">
        <v>0.90644039999999992</v>
      </c>
      <c r="BC275" s="766">
        <v>0.93398040000000004</v>
      </c>
    </row>
    <row r="276" spans="1:55">
      <c r="A276" s="498" t="s">
        <v>99</v>
      </c>
      <c r="B276" s="229"/>
      <c r="C276" s="229"/>
      <c r="D276" s="229"/>
      <c r="E276" s="229"/>
      <c r="F276" s="203"/>
      <c r="G276" s="232" t="s">
        <v>736</v>
      </c>
      <c r="H276" s="275">
        <v>-1.4448912199999999</v>
      </c>
      <c r="I276" s="275">
        <v>-1.0811280233333331</v>
      </c>
      <c r="J276" s="275">
        <v>-2.4998654481111107</v>
      </c>
      <c r="K276" s="275">
        <v>-2.8148273627777782</v>
      </c>
      <c r="L276" s="275">
        <v>-1.728479592444444</v>
      </c>
      <c r="M276" s="275">
        <v>-1.8558428588888887</v>
      </c>
      <c r="N276" s="275">
        <v>-1.9468773855555557</v>
      </c>
      <c r="O276" s="275">
        <v>-2.5197785433333335</v>
      </c>
      <c r="P276" s="275">
        <v>-2.8816610966666665</v>
      </c>
      <c r="Q276" s="275">
        <v>-4.5355737511111105</v>
      </c>
      <c r="R276" s="275">
        <v>-3.0708654859999998</v>
      </c>
      <c r="S276" s="275">
        <v>-4.3449835740000005</v>
      </c>
      <c r="T276" s="275">
        <v>-3.7020295499999998</v>
      </c>
      <c r="U276" s="275">
        <v>-4.6494968679999999</v>
      </c>
      <c r="V276" s="275">
        <v>-4.4617291020000005</v>
      </c>
      <c r="W276" s="275">
        <v>-4.2141998430000003</v>
      </c>
      <c r="X276" s="275">
        <v>-5.3332650919999995</v>
      </c>
      <c r="Y276" s="275">
        <v>-4.0224837549999997</v>
      </c>
      <c r="Z276" s="275">
        <v>-4.8127223539999999</v>
      </c>
      <c r="AA276" s="275">
        <v>-3.8063283050000001</v>
      </c>
      <c r="AB276" s="275">
        <v>-3.4230447540000002</v>
      </c>
      <c r="AC276" s="275">
        <v>-3.7527957980000002</v>
      </c>
      <c r="AD276" s="275">
        <v>-2.7708642709999998</v>
      </c>
      <c r="AE276" s="275">
        <v>-3.3382655249999997</v>
      </c>
      <c r="AF276" s="626">
        <v>-2.6425735240000003</v>
      </c>
      <c r="AG276" s="626">
        <v>-2.3878515199999999</v>
      </c>
      <c r="AH276" s="626">
        <v>-3.0801340719999999</v>
      </c>
      <c r="AI276" s="626">
        <v>-2.5674684909999996</v>
      </c>
      <c r="AJ276" s="626">
        <v>-2.7471483560000003</v>
      </c>
      <c r="AK276" s="626">
        <v>-2.5979802449999996</v>
      </c>
      <c r="AL276" s="277">
        <v>-2.3476377959999999</v>
      </c>
      <c r="AM276" s="277">
        <v>-2.3536398969999999</v>
      </c>
      <c r="AN276" s="277">
        <v>-1.2685225105969773</v>
      </c>
      <c r="AO276" s="277">
        <v>-0.72783825225127774</v>
      </c>
      <c r="AP276" s="277">
        <v>-1.054130038</v>
      </c>
      <c r="AQ276" s="277">
        <v>-0.55413003800000005</v>
      </c>
      <c r="AR276" s="767">
        <v>-0.55413003800000005</v>
      </c>
      <c r="AS276" s="767">
        <v>-0.55413003800000005</v>
      </c>
      <c r="AT276" s="767">
        <v>-0.55413003800000005</v>
      </c>
      <c r="AU276" s="767">
        <v>-0.55413003800000005</v>
      </c>
      <c r="AV276" s="767">
        <v>-0.55413003800000005</v>
      </c>
      <c r="AW276" s="767">
        <v>-0.55413003800000005</v>
      </c>
      <c r="AX276" s="767">
        <v>-0.55413003800000005</v>
      </c>
      <c r="AY276" s="767">
        <v>-0.55413003800000005</v>
      </c>
      <c r="AZ276" s="767">
        <v>-0.55413003800000005</v>
      </c>
      <c r="BA276" s="767">
        <v>-0.55413003800000005</v>
      </c>
      <c r="BB276" s="767">
        <v>-0.55413003800000005</v>
      </c>
      <c r="BC276" s="767">
        <v>-0.55413003800000005</v>
      </c>
    </row>
    <row r="277" spans="1:55">
      <c r="B277" s="230" t="s">
        <v>217</v>
      </c>
      <c r="C277" s="229"/>
      <c r="D277" s="230"/>
      <c r="E277" s="230"/>
      <c r="F277" s="232"/>
      <c r="G277" s="232" t="s">
        <v>736</v>
      </c>
      <c r="H277" s="237">
        <v>-1.1483862989999998</v>
      </c>
      <c r="I277" s="237">
        <v>-0.78213403333333309</v>
      </c>
      <c r="J277" s="237">
        <v>-1.5906130191111107</v>
      </c>
      <c r="K277" s="237">
        <v>-2.1389141787777781</v>
      </c>
      <c r="L277" s="237">
        <v>-1.4341450394444442</v>
      </c>
      <c r="M277" s="237">
        <v>-1.4462219378888888</v>
      </c>
      <c r="N277" s="237">
        <v>-1.5419050122828288</v>
      </c>
      <c r="O277" s="237">
        <v>-1.9106745773332945</v>
      </c>
      <c r="P277" s="237">
        <v>-2.2885342119393934</v>
      </c>
      <c r="Q277" s="237">
        <v>-3.7220818361111103</v>
      </c>
      <c r="R277" s="237">
        <v>-2.1720381289999997</v>
      </c>
      <c r="S277" s="237">
        <v>-2.2950157800000008</v>
      </c>
      <c r="T277" s="237">
        <v>-2.9864990339999999</v>
      </c>
      <c r="U277" s="237">
        <v>-3.778463355</v>
      </c>
      <c r="V277" s="237">
        <v>-3.2689534940000007</v>
      </c>
      <c r="W277" s="237">
        <v>-3.2344388320000004</v>
      </c>
      <c r="X277" s="237">
        <v>-4.0843391219999994</v>
      </c>
      <c r="Y277" s="237">
        <v>-2.8615815679999996</v>
      </c>
      <c r="Z277" s="237">
        <v>-3.7038159749999999</v>
      </c>
      <c r="AA277" s="237">
        <v>-2.664510827</v>
      </c>
      <c r="AB277" s="237">
        <v>-2.6402607860000002</v>
      </c>
      <c r="AC277" s="237">
        <v>-3.0567551070000003</v>
      </c>
      <c r="AD277" s="237">
        <v>-1.9199142759999996</v>
      </c>
      <c r="AE277" s="237">
        <v>-2.6585769179999996</v>
      </c>
      <c r="AF277" s="627">
        <v>-2.0004205290000003</v>
      </c>
      <c r="AG277" s="627">
        <v>-1.8966785019999999</v>
      </c>
      <c r="AH277" s="627">
        <v>-2.4609086580000001</v>
      </c>
      <c r="AI277" s="627">
        <v>-2.0200577819999994</v>
      </c>
      <c r="AJ277" s="627">
        <v>-2.0395333780000002</v>
      </c>
      <c r="AK277" s="627">
        <v>7.7207007700000014</v>
      </c>
      <c r="AL277" s="262">
        <v>1.4005891370000001</v>
      </c>
      <c r="AM277" s="262">
        <v>-1.6210264059999999</v>
      </c>
      <c r="AN277" s="262">
        <v>-0.48394032559697731</v>
      </c>
      <c r="AO277" s="262">
        <v>-0.12083118525127767</v>
      </c>
      <c r="AP277" s="262">
        <v>-0.870080038</v>
      </c>
      <c r="AQ277" s="262">
        <v>-0.37008003800000006</v>
      </c>
      <c r="AR277" s="766">
        <v>7.6910361999999788E-2</v>
      </c>
      <c r="AS277" s="766">
        <v>0.10445036199999991</v>
      </c>
      <c r="AT277" s="766">
        <v>0.13199036199999981</v>
      </c>
      <c r="AU277" s="766">
        <v>0.15953036199999993</v>
      </c>
      <c r="AV277" s="766">
        <v>0.18707036199999982</v>
      </c>
      <c r="AW277" s="766">
        <v>0.21461036199999994</v>
      </c>
      <c r="AX277" s="766">
        <v>0.24215036199999984</v>
      </c>
      <c r="AY277" s="766">
        <v>0.26969036199999996</v>
      </c>
      <c r="AZ277" s="766">
        <v>5.5817911249999979</v>
      </c>
      <c r="BA277" s="766">
        <v>0.32477036199999998</v>
      </c>
      <c r="BB277" s="766">
        <v>0.35231036199999988</v>
      </c>
      <c r="BC277" s="766">
        <v>0.379850362</v>
      </c>
    </row>
    <row r="278" spans="1:55">
      <c r="B278" s="230"/>
      <c r="C278" s="230" t="s">
        <v>22</v>
      </c>
      <c r="D278" s="230"/>
      <c r="E278" s="230"/>
      <c r="F278" s="232"/>
      <c r="G278" s="232" t="s">
        <v>736</v>
      </c>
      <c r="H278" s="684">
        <v>0.29650492100000003</v>
      </c>
      <c r="I278" s="684">
        <v>0.29899398999999999</v>
      </c>
      <c r="J278" s="684">
        <v>0.90925242899999992</v>
      </c>
      <c r="K278" s="684">
        <v>0.675913184</v>
      </c>
      <c r="L278" s="684">
        <v>0.294334553</v>
      </c>
      <c r="M278" s="684">
        <v>0.40962092099999997</v>
      </c>
      <c r="N278" s="684">
        <v>0.40497237327272695</v>
      </c>
      <c r="O278" s="684">
        <v>0.60910396600003902</v>
      </c>
      <c r="P278" s="684">
        <v>0.59312688472727304</v>
      </c>
      <c r="Q278" s="684">
        <v>0.81349191500000007</v>
      </c>
      <c r="R278" s="684">
        <v>0.89882735699999994</v>
      </c>
      <c r="S278" s="684">
        <v>2.0499677939999996</v>
      </c>
      <c r="T278" s="600">
        <v>0.71553051599999995</v>
      </c>
      <c r="U278" s="600">
        <v>0.87103351299999998</v>
      </c>
      <c r="V278" s="600">
        <v>1.192775608</v>
      </c>
      <c r="W278" s="600">
        <v>0.97976101100000001</v>
      </c>
      <c r="X278" s="600">
        <v>1.2489259700000002</v>
      </c>
      <c r="Y278" s="600">
        <v>1.160902187</v>
      </c>
      <c r="Z278" s="600">
        <v>1.108906379</v>
      </c>
      <c r="AA278" s="600">
        <v>1.1418174780000001</v>
      </c>
      <c r="AB278" s="600">
        <v>0.78278396800000005</v>
      </c>
      <c r="AC278" s="600">
        <v>0.69604069099999999</v>
      </c>
      <c r="AD278" s="600">
        <v>0.85094999500000001</v>
      </c>
      <c r="AE278" s="597">
        <v>0.67968860700000011</v>
      </c>
      <c r="AF278" s="594">
        <v>0.642152995</v>
      </c>
      <c r="AG278" s="594">
        <v>0.49117301800000002</v>
      </c>
      <c r="AH278" s="594">
        <v>0.61922541399999997</v>
      </c>
      <c r="AI278" s="594">
        <v>0.547410709</v>
      </c>
      <c r="AJ278" s="594">
        <v>0.70761497799999995</v>
      </c>
      <c r="AK278" s="594">
        <v>10.318681015000001</v>
      </c>
      <c r="AL278" s="594">
        <v>0.74640875099999993</v>
      </c>
      <c r="AM278" s="629">
        <v>0.73261349099999995</v>
      </c>
      <c r="AN278" s="629">
        <v>0.78458218499999999</v>
      </c>
      <c r="AO278" s="629">
        <v>0.60700706700000007</v>
      </c>
      <c r="AP278" s="253">
        <v>0.18404999999999999</v>
      </c>
      <c r="AQ278" s="253">
        <v>0.18404999999999999</v>
      </c>
      <c r="AR278" s="765">
        <v>0.63104039999999983</v>
      </c>
      <c r="AS278" s="765">
        <v>0.65858039999999995</v>
      </c>
      <c r="AT278" s="765">
        <v>0.68612039999999985</v>
      </c>
      <c r="AU278" s="765">
        <v>0.71366039999999997</v>
      </c>
      <c r="AV278" s="765">
        <v>0.74120039999999987</v>
      </c>
      <c r="AW278" s="765">
        <v>0.76874039999999999</v>
      </c>
      <c r="AX278" s="765">
        <v>0.79628039999999989</v>
      </c>
      <c r="AY278" s="765">
        <v>0.82382040000000001</v>
      </c>
      <c r="AZ278" s="765">
        <v>0.85136039999999991</v>
      </c>
      <c r="BA278" s="765">
        <v>0.87890040000000003</v>
      </c>
      <c r="BB278" s="765">
        <v>0.90644039999999992</v>
      </c>
      <c r="BC278" s="765">
        <v>0.93398040000000004</v>
      </c>
    </row>
    <row r="279" spans="1:55">
      <c r="B279" s="230"/>
      <c r="C279" s="230"/>
      <c r="D279" s="230" t="s">
        <v>392</v>
      </c>
      <c r="E279" s="230"/>
      <c r="F279" s="232"/>
      <c r="G279" s="232" t="s">
        <v>736</v>
      </c>
      <c r="H279" s="684">
        <v>0.17002546499999999</v>
      </c>
      <c r="I279" s="684">
        <v>0.17060181999999999</v>
      </c>
      <c r="J279" s="684">
        <v>0.36253442299999999</v>
      </c>
      <c r="K279" s="684">
        <v>0.34532934700000001</v>
      </c>
      <c r="L279" s="684">
        <v>0.18139823499999999</v>
      </c>
      <c r="M279" s="684">
        <v>0.25808394899999998</v>
      </c>
      <c r="N279" s="684">
        <v>0.27339652599999997</v>
      </c>
      <c r="O279" s="684">
        <v>0.37170989100003898</v>
      </c>
      <c r="P279" s="684">
        <v>0.33723643199999997</v>
      </c>
      <c r="Q279" s="684">
        <v>0.42758628199999998</v>
      </c>
      <c r="R279" s="684">
        <v>0.494735808</v>
      </c>
      <c r="S279" s="684">
        <v>1.6174231969999999</v>
      </c>
      <c r="T279" s="600">
        <v>0.425618936</v>
      </c>
      <c r="U279" s="600">
        <v>0.46263188999999999</v>
      </c>
      <c r="V279" s="600">
        <v>0.63332701499999999</v>
      </c>
      <c r="W279" s="600">
        <v>0.49911539700000002</v>
      </c>
      <c r="X279" s="600">
        <v>0.63122164800000002</v>
      </c>
      <c r="Y279" s="600">
        <v>0.60040491699999998</v>
      </c>
      <c r="Z279" s="600">
        <v>0.55169217599999998</v>
      </c>
      <c r="AA279" s="600">
        <v>0.60354440799999998</v>
      </c>
      <c r="AB279" s="600">
        <v>0.43868920300000003</v>
      </c>
      <c r="AC279" s="600">
        <v>0.39373279700000002</v>
      </c>
      <c r="AD279" s="600">
        <v>0.471246096</v>
      </c>
      <c r="AE279" s="597">
        <v>0.37196543500000001</v>
      </c>
      <c r="AF279" s="594">
        <v>0.36745112400000002</v>
      </c>
      <c r="AG279" s="594">
        <v>0.252272418</v>
      </c>
      <c r="AH279" s="594">
        <v>0.32217194900000001</v>
      </c>
      <c r="AI279" s="594">
        <v>0.28494328099999999</v>
      </c>
      <c r="AJ279" s="594">
        <v>0.37439677199999999</v>
      </c>
      <c r="AK279" s="594">
        <v>0.29257476200000004</v>
      </c>
      <c r="AL279" s="594">
        <v>0.29759922799999999</v>
      </c>
      <c r="AM279" s="629">
        <v>0.26856487200000001</v>
      </c>
      <c r="AN279" s="629">
        <v>0.16190944600000001</v>
      </c>
      <c r="AO279" s="629">
        <v>0.12981699399999999</v>
      </c>
      <c r="AP279" s="253">
        <v>0</v>
      </c>
      <c r="AQ279" s="253">
        <v>0</v>
      </c>
      <c r="AR279" s="765">
        <v>0.11588639999999997</v>
      </c>
      <c r="AS279" s="765">
        <v>0.12302639999999999</v>
      </c>
      <c r="AT279" s="765">
        <v>0.13016639999999999</v>
      </c>
      <c r="AU279" s="765">
        <v>0.1373064</v>
      </c>
      <c r="AV279" s="765">
        <v>0.14444639999999997</v>
      </c>
      <c r="AW279" s="765">
        <v>0.15158639999999998</v>
      </c>
      <c r="AX279" s="765">
        <v>0.15872639999999999</v>
      </c>
      <c r="AY279" s="765">
        <v>0.16586639999999997</v>
      </c>
      <c r="AZ279" s="765">
        <v>0.17300639999999998</v>
      </c>
      <c r="BA279" s="765">
        <v>0.18014639999999998</v>
      </c>
      <c r="BB279" s="765">
        <v>0.18728639999999999</v>
      </c>
      <c r="BC279" s="765">
        <v>0.1944264</v>
      </c>
    </row>
    <row r="280" spans="1:55">
      <c r="B280" s="230"/>
      <c r="C280" s="230"/>
      <c r="D280" s="230" t="s">
        <v>41</v>
      </c>
      <c r="E280" s="230"/>
      <c r="F280" s="232"/>
      <c r="G280" s="232" t="s">
        <v>736</v>
      </c>
      <c r="H280" s="684">
        <v>0.11762945599999999</v>
      </c>
      <c r="I280" s="684">
        <v>0.11619217</v>
      </c>
      <c r="J280" s="684">
        <v>0.316718006</v>
      </c>
      <c r="K280" s="684">
        <v>0.31763383699999997</v>
      </c>
      <c r="L280" s="684">
        <v>9.8236318000000003E-2</v>
      </c>
      <c r="M280" s="684">
        <v>0.135336972</v>
      </c>
      <c r="N280" s="684">
        <v>0.10873684727272699</v>
      </c>
      <c r="O280" s="684">
        <v>0.21585889699999999</v>
      </c>
      <c r="P280" s="684">
        <v>0.230038662727273</v>
      </c>
      <c r="Q280" s="684">
        <v>0.35726323300000001</v>
      </c>
      <c r="R280" s="684">
        <v>0.373841549</v>
      </c>
      <c r="S280" s="684">
        <v>0.39419459699999998</v>
      </c>
      <c r="T280" s="600">
        <v>0.25441158000000003</v>
      </c>
      <c r="U280" s="600">
        <v>0.37345162300000001</v>
      </c>
      <c r="V280" s="600">
        <v>0.52049859300000001</v>
      </c>
      <c r="W280" s="600">
        <v>0.44854561399999998</v>
      </c>
      <c r="X280" s="600">
        <v>0.58190432199999997</v>
      </c>
      <c r="Y280" s="600">
        <v>0.51420638100000005</v>
      </c>
      <c r="Z280" s="600">
        <v>0.52086420300000003</v>
      </c>
      <c r="AA280" s="600">
        <v>0.49574404799999999</v>
      </c>
      <c r="AB280" s="600">
        <v>0.31329476499999998</v>
      </c>
      <c r="AC280" s="600">
        <v>0.26565789400000001</v>
      </c>
      <c r="AD280" s="600">
        <v>0.348613899</v>
      </c>
      <c r="AE280" s="597">
        <v>0.27697317199999999</v>
      </c>
      <c r="AF280" s="594">
        <v>0.246601871</v>
      </c>
      <c r="AG280" s="594">
        <v>2.0449999999999999E-2</v>
      </c>
      <c r="AH280" s="594">
        <v>0.27180346500000002</v>
      </c>
      <c r="AI280" s="594">
        <v>0.240067428</v>
      </c>
      <c r="AJ280" s="594">
        <v>0.31296820600000003</v>
      </c>
      <c r="AK280" s="594">
        <v>0.246562004</v>
      </c>
      <c r="AL280" s="594">
        <v>0.312385882</v>
      </c>
      <c r="AM280" s="629">
        <v>0.32139822899999998</v>
      </c>
      <c r="AN280" s="629">
        <v>0.29065242299999999</v>
      </c>
      <c r="AO280" s="629">
        <v>0.29096481800000001</v>
      </c>
      <c r="AP280" s="246">
        <v>0</v>
      </c>
      <c r="AQ280" s="246">
        <v>0</v>
      </c>
      <c r="AR280" s="765">
        <v>0.3311039999999999</v>
      </c>
      <c r="AS280" s="765">
        <v>0.35150399999999998</v>
      </c>
      <c r="AT280" s="765">
        <v>0.37190399999999996</v>
      </c>
      <c r="AU280" s="765">
        <v>0.39230399999999999</v>
      </c>
      <c r="AV280" s="765">
        <v>0.41270399999999996</v>
      </c>
      <c r="AW280" s="765">
        <v>0.43310399999999993</v>
      </c>
      <c r="AX280" s="765">
        <v>0.45350399999999996</v>
      </c>
      <c r="AY280" s="765">
        <v>0.47390399999999994</v>
      </c>
      <c r="AZ280" s="765">
        <v>0.49430399999999991</v>
      </c>
      <c r="BA280" s="765">
        <v>0.51470399999999994</v>
      </c>
      <c r="BB280" s="765">
        <v>0.53510400000000002</v>
      </c>
      <c r="BC280" s="765">
        <v>0.555504</v>
      </c>
    </row>
    <row r="281" spans="1:55">
      <c r="B281" s="230"/>
      <c r="C281" s="230"/>
      <c r="D281" s="230" t="s">
        <v>888</v>
      </c>
      <c r="E281" s="230"/>
      <c r="F281" s="232"/>
      <c r="G281" s="232" t="s">
        <v>736</v>
      </c>
      <c r="H281" s="232">
        <v>8.8500000000000002E-3</v>
      </c>
      <c r="I281" s="232">
        <v>1.2200000000000001E-2</v>
      </c>
      <c r="J281" s="232">
        <v>0.23</v>
      </c>
      <c r="K281" s="232">
        <v>1.295E-2</v>
      </c>
      <c r="L281" s="230">
        <v>1.47E-2</v>
      </c>
      <c r="M281" s="230">
        <v>1.6199999999999999E-2</v>
      </c>
      <c r="N281" s="230">
        <v>2.2839000000000002E-2</v>
      </c>
      <c r="O281" s="230">
        <v>2.1535177999999999E-2</v>
      </c>
      <c r="P281" s="230">
        <v>2.5851789999999999E-2</v>
      </c>
      <c r="Q281" s="230">
        <v>2.8642400000000068E-2</v>
      </c>
      <c r="R281" s="230">
        <v>3.0249999999999999E-2</v>
      </c>
      <c r="S281" s="230">
        <v>3.8350000000000002E-2</v>
      </c>
      <c r="T281" s="600">
        <v>3.5499999999999997E-2</v>
      </c>
      <c r="U281" s="600">
        <v>3.4950000000000002E-2</v>
      </c>
      <c r="V281" s="600">
        <v>3.8949999999999999E-2</v>
      </c>
      <c r="W281" s="600">
        <v>3.2099999999999997E-2</v>
      </c>
      <c r="X281" s="600">
        <v>3.5799999999999998E-2</v>
      </c>
      <c r="Y281" s="600">
        <v>4.6290889000000002E-2</v>
      </c>
      <c r="Z281" s="600">
        <v>3.635E-2</v>
      </c>
      <c r="AA281" s="600">
        <v>4.2529022E-2</v>
      </c>
      <c r="AB281" s="600">
        <v>3.0800000000000001E-2</v>
      </c>
      <c r="AC281" s="600">
        <v>3.6650000000000002E-2</v>
      </c>
      <c r="AD281" s="600">
        <v>3.109E-2</v>
      </c>
      <c r="AE281" s="597">
        <v>3.075E-2</v>
      </c>
      <c r="AF281" s="594">
        <v>2.81E-2</v>
      </c>
      <c r="AG281" s="594">
        <v>0.21845059999999999</v>
      </c>
      <c r="AH281" s="594">
        <v>2.5250000000000002E-2</v>
      </c>
      <c r="AI281" s="594">
        <v>2.24E-2</v>
      </c>
      <c r="AJ281" s="594">
        <v>2.0250000000000001E-2</v>
      </c>
      <c r="AK281" s="594">
        <v>0.11515</v>
      </c>
      <c r="AL281" s="594">
        <v>0.13635</v>
      </c>
      <c r="AM281" s="629">
        <v>0.14069999999999999</v>
      </c>
      <c r="AN281" s="629">
        <v>0.33195000000000002</v>
      </c>
      <c r="AO281" s="629">
        <v>0.18404999999999999</v>
      </c>
      <c r="AP281" s="246">
        <v>0.18404999999999999</v>
      </c>
      <c r="AQ281" s="246">
        <v>0.18404999999999999</v>
      </c>
      <c r="AR281" s="765">
        <v>0.18404999999999999</v>
      </c>
      <c r="AS281" s="765">
        <v>0.18404999999999999</v>
      </c>
      <c r="AT281" s="765">
        <v>0.18404999999999999</v>
      </c>
      <c r="AU281" s="765">
        <v>0.18404999999999999</v>
      </c>
      <c r="AV281" s="765">
        <v>0.18404999999999999</v>
      </c>
      <c r="AW281" s="765">
        <v>0.18404999999999999</v>
      </c>
      <c r="AX281" s="765">
        <v>0.18404999999999999</v>
      </c>
      <c r="AY281" s="765">
        <v>0.18404999999999999</v>
      </c>
      <c r="AZ281" s="765">
        <v>0.18404999999999999</v>
      </c>
      <c r="BA281" s="765">
        <v>0.18404999999999999</v>
      </c>
      <c r="BB281" s="765">
        <v>0.18404999999999999</v>
      </c>
      <c r="BC281" s="765">
        <v>0.18404999999999999</v>
      </c>
    </row>
    <row r="282" spans="1:55">
      <c r="B282" s="230"/>
      <c r="C282" s="230"/>
      <c r="D282" s="230" t="s">
        <v>889</v>
      </c>
      <c r="E282" s="230"/>
      <c r="F282" s="232"/>
      <c r="G282" s="232" t="s">
        <v>736</v>
      </c>
      <c r="H282" s="232"/>
      <c r="I282" s="232"/>
      <c r="J282" s="232"/>
      <c r="K282" s="232"/>
      <c r="L282" s="230"/>
      <c r="M282" s="230"/>
      <c r="N282" s="230"/>
      <c r="O282" s="230"/>
      <c r="P282" s="230"/>
      <c r="Q282" s="230"/>
      <c r="R282" s="230"/>
      <c r="S282" s="230"/>
      <c r="T282" s="237"/>
      <c r="U282" s="237"/>
      <c r="V282" s="237"/>
      <c r="W282" s="237"/>
      <c r="X282" s="237"/>
      <c r="Y282" s="237"/>
      <c r="Z282" s="237"/>
      <c r="AA282" s="237"/>
      <c r="AB282" s="237"/>
      <c r="AC282" s="237"/>
      <c r="AD282" s="237"/>
      <c r="AE282" s="237"/>
      <c r="AF282" s="237"/>
      <c r="AG282" s="237"/>
      <c r="AH282" s="237"/>
      <c r="AI282" s="237"/>
      <c r="AJ282" s="237"/>
      <c r="AK282" s="604">
        <v>2.3088300000000001E-4</v>
      </c>
      <c r="AL282" s="237">
        <v>7.3640999999999995E-5</v>
      </c>
      <c r="AM282" s="237">
        <v>1.95039E-3</v>
      </c>
      <c r="AN282" s="237">
        <v>7.0315999999999996E-5</v>
      </c>
      <c r="AO282" s="237">
        <v>2.1752550000000001E-3</v>
      </c>
      <c r="AP282" s="237"/>
      <c r="AQ282" s="237"/>
      <c r="AR282" s="237"/>
      <c r="AS282" s="237"/>
      <c r="AT282" s="237"/>
      <c r="AU282" s="237"/>
      <c r="AV282" s="237"/>
      <c r="AW282" s="237"/>
      <c r="AX282" s="237"/>
      <c r="AY282" s="237"/>
      <c r="AZ282" s="237"/>
      <c r="BA282" s="237"/>
      <c r="BB282" s="237"/>
      <c r="BC282" s="237"/>
    </row>
    <row r="283" spans="1:55">
      <c r="B283" s="230"/>
      <c r="C283" s="229"/>
      <c r="D283" s="229" t="s">
        <v>890</v>
      </c>
      <c r="E283" s="230"/>
      <c r="F283" s="232"/>
      <c r="G283" s="232" t="s">
        <v>736</v>
      </c>
      <c r="H283" s="237"/>
      <c r="I283" s="237"/>
      <c r="J283" s="237"/>
      <c r="K283" s="237"/>
      <c r="L283" s="237"/>
      <c r="M283" s="237"/>
      <c r="N283" s="237"/>
      <c r="O283" s="237"/>
      <c r="P283" s="237"/>
      <c r="Q283" s="237"/>
      <c r="R283" s="237"/>
      <c r="S283" s="237"/>
      <c r="T283" s="237"/>
      <c r="U283" s="237"/>
      <c r="V283" s="237"/>
      <c r="W283" s="237"/>
      <c r="X283" s="237"/>
      <c r="Y283" s="237"/>
      <c r="Z283" s="237"/>
      <c r="AA283" s="237"/>
      <c r="AB283" s="237"/>
      <c r="AC283" s="237"/>
      <c r="AD283" s="237"/>
      <c r="AE283" s="237"/>
      <c r="AF283" s="663"/>
      <c r="AG283" s="663"/>
      <c r="AH283" s="663"/>
      <c r="AI283" s="663"/>
      <c r="AJ283" s="663"/>
      <c r="AK283" s="663">
        <v>9.6641633660000004</v>
      </c>
      <c r="AL283" s="262"/>
      <c r="AM283" s="262"/>
      <c r="AN283" s="262"/>
      <c r="AO283" s="262"/>
      <c r="AP283" s="262"/>
      <c r="AQ283" s="262"/>
      <c r="AR283" s="262"/>
      <c r="AS283" s="262"/>
      <c r="AT283" s="262"/>
      <c r="AU283" s="262"/>
      <c r="AV283" s="262"/>
      <c r="AW283" s="262"/>
      <c r="AX283" s="262"/>
      <c r="AY283" s="262"/>
      <c r="AZ283" s="262"/>
      <c r="BA283" s="262"/>
      <c r="BB283" s="262"/>
      <c r="BC283" s="262"/>
    </row>
    <row r="284" spans="1:55">
      <c r="B284" s="230"/>
      <c r="C284" s="230" t="s">
        <v>786</v>
      </c>
      <c r="D284" s="230"/>
      <c r="E284" s="230"/>
      <c r="F284" s="232"/>
      <c r="G284" s="232" t="s">
        <v>736</v>
      </c>
      <c r="H284" s="603">
        <v>-1.4448912199999999</v>
      </c>
      <c r="I284" s="603">
        <v>-1.0811280233333331</v>
      </c>
      <c r="J284" s="603">
        <v>-2.4998654481111107</v>
      </c>
      <c r="K284" s="603">
        <v>-2.8148273627777782</v>
      </c>
      <c r="L284" s="603">
        <v>-1.728479592444444</v>
      </c>
      <c r="M284" s="603">
        <v>-1.8558428588888887</v>
      </c>
      <c r="N284" s="603">
        <v>-1.9468773855555557</v>
      </c>
      <c r="O284" s="603">
        <v>-2.5197785433333335</v>
      </c>
      <c r="P284" s="603">
        <v>-2.8816610966666665</v>
      </c>
      <c r="Q284" s="603">
        <v>-4.5355737511111105</v>
      </c>
      <c r="R284" s="603">
        <v>-3.0708654859999998</v>
      </c>
      <c r="S284" s="603">
        <v>-4.3449835740000005</v>
      </c>
      <c r="T284" s="600">
        <v>-3.7020295499999998</v>
      </c>
      <c r="U284" s="600">
        <v>-4.6494968679999999</v>
      </c>
      <c r="V284" s="600">
        <v>-4.4617291020000005</v>
      </c>
      <c r="W284" s="600">
        <v>-4.2141998430000003</v>
      </c>
      <c r="X284" s="600">
        <v>-5.3332650919999995</v>
      </c>
      <c r="Y284" s="600">
        <v>-4.0224837549999997</v>
      </c>
      <c r="Z284" s="600">
        <v>-4.8127223539999999</v>
      </c>
      <c r="AA284" s="600">
        <v>-3.8063283050000001</v>
      </c>
      <c r="AB284" s="600">
        <v>-3.4230447540000002</v>
      </c>
      <c r="AC284" s="600">
        <v>-3.7527957980000002</v>
      </c>
      <c r="AD284" s="600">
        <v>-2.7708642709999998</v>
      </c>
      <c r="AE284" s="597">
        <v>-3.3382655249999997</v>
      </c>
      <c r="AF284" s="594">
        <v>-2.6425735240000003</v>
      </c>
      <c r="AG284" s="594">
        <v>-2.3878515199999999</v>
      </c>
      <c r="AH284" s="594">
        <v>-3.0801340719999999</v>
      </c>
      <c r="AI284" s="594">
        <v>-2.5674684909999996</v>
      </c>
      <c r="AJ284" s="594">
        <v>-2.7471483560000003</v>
      </c>
      <c r="AK284" s="594">
        <v>-2.5979802449999996</v>
      </c>
      <c r="AL284" s="594">
        <v>-2.3476377959999999</v>
      </c>
      <c r="AM284" s="253">
        <v>-2.3536398969999999</v>
      </c>
      <c r="AN284" s="594">
        <v>-1.2685225105969773</v>
      </c>
      <c r="AO284" s="253">
        <v>-0.72783825225127774</v>
      </c>
      <c r="AP284" s="253">
        <v>-1.054130038</v>
      </c>
      <c r="AQ284" s="253">
        <v>-0.55413003800000005</v>
      </c>
      <c r="AR284" s="765">
        <v>-0.55413003800000005</v>
      </c>
      <c r="AS284" s="765">
        <v>-0.55413003800000005</v>
      </c>
      <c r="AT284" s="765">
        <v>-0.55413003800000005</v>
      </c>
      <c r="AU284" s="765">
        <v>-0.55413003800000005</v>
      </c>
      <c r="AV284" s="765">
        <v>-0.55413003800000005</v>
      </c>
      <c r="AW284" s="765">
        <v>-0.55413003800000005</v>
      </c>
      <c r="AX284" s="765">
        <v>-0.55413003800000005</v>
      </c>
      <c r="AY284" s="765">
        <v>-0.55413003800000005</v>
      </c>
      <c r="AZ284" s="765">
        <v>-0.55413003800000005</v>
      </c>
      <c r="BA284" s="765">
        <v>-0.55413003800000005</v>
      </c>
      <c r="BB284" s="765">
        <v>-0.55413003800000005</v>
      </c>
      <c r="BC284" s="765">
        <v>-0.55413003800000005</v>
      </c>
    </row>
    <row r="285" spans="1:55">
      <c r="B285" s="93"/>
      <c r="C285" s="230"/>
      <c r="D285" s="230" t="s">
        <v>398</v>
      </c>
      <c r="E285" s="93"/>
      <c r="F285" s="94"/>
      <c r="G285" s="232" t="s">
        <v>736</v>
      </c>
      <c r="H285" s="603">
        <v>-3.9609999999999999E-2</v>
      </c>
      <c r="I285" s="603">
        <v>-2.8542500000000002E-2</v>
      </c>
      <c r="J285" s="603">
        <v>-5.6923065555555555E-2</v>
      </c>
      <c r="K285" s="603">
        <v>-4.8231000000000003E-2</v>
      </c>
      <c r="L285" s="603">
        <v>-4.4270000000000004E-2</v>
      </c>
      <c r="M285" s="603">
        <v>-3.7933565555555555E-2</v>
      </c>
      <c r="N285" s="603">
        <v>-3.74431E-2</v>
      </c>
      <c r="O285" s="603">
        <v>-4.2522499999999998E-2</v>
      </c>
      <c r="P285" s="603">
        <v>-4.4270000000000004E-2</v>
      </c>
      <c r="Q285" s="603">
        <v>-4.4386499999999995E-2</v>
      </c>
      <c r="R285" s="603">
        <v>-4.4270000000000004E-2</v>
      </c>
      <c r="S285" s="603">
        <v>-5.6525799999999994E-2</v>
      </c>
      <c r="T285" s="604">
        <v>-5.8250000000000003E-2</v>
      </c>
      <c r="U285" s="604">
        <v>-4.7765000000000002E-2</v>
      </c>
      <c r="V285" s="604">
        <v>-5.5919999999999997E-2</v>
      </c>
      <c r="W285" s="604">
        <v>-3.1454999999999997E-2</v>
      </c>
      <c r="X285" s="604">
        <v>-1.0368499999999999E-2</v>
      </c>
      <c r="Y285" s="604">
        <v>-2.7959999999999999E-2</v>
      </c>
      <c r="Z285" s="604">
        <v>-2.9474500000000001E-2</v>
      </c>
      <c r="AA285" s="604">
        <v>-2.50475E-2</v>
      </c>
      <c r="AB285" s="604">
        <v>-2.4465000000000001E-2</v>
      </c>
      <c r="AC285" s="604">
        <v>-2.3E-2</v>
      </c>
      <c r="AD285" s="604">
        <v>-2.3E-2</v>
      </c>
      <c r="AE285" s="597">
        <v>-1.3979999999999999E-2</v>
      </c>
      <c r="AF285" s="594">
        <v>-1.3979999999999999E-2</v>
      </c>
      <c r="AG285" s="594">
        <v>-1.38E-2</v>
      </c>
      <c r="AH285" s="594">
        <v>-1.32E-2</v>
      </c>
      <c r="AI285" s="594">
        <v>-1.2E-2</v>
      </c>
      <c r="AJ285" s="594">
        <v>-9.5999999999999992E-3</v>
      </c>
      <c r="AK285" s="594">
        <v>-1.6800000000000001E-3</v>
      </c>
      <c r="AL285" s="594">
        <v>0</v>
      </c>
      <c r="AM285" s="646">
        <v>0</v>
      </c>
      <c r="AN285" s="594">
        <v>0</v>
      </c>
      <c r="AO285" s="253">
        <v>0</v>
      </c>
      <c r="AP285" s="253">
        <v>0</v>
      </c>
      <c r="AQ285" s="253">
        <v>0</v>
      </c>
      <c r="AR285" s="253">
        <v>0</v>
      </c>
      <c r="AS285" s="253">
        <v>0</v>
      </c>
      <c r="AT285" s="253">
        <v>0</v>
      </c>
      <c r="AU285" s="253">
        <v>0</v>
      </c>
      <c r="AV285" s="253">
        <v>0</v>
      </c>
      <c r="AW285" s="253">
        <v>0</v>
      </c>
      <c r="AX285" s="253">
        <v>0</v>
      </c>
      <c r="AY285" s="253">
        <v>0</v>
      </c>
      <c r="AZ285" s="253">
        <v>0</v>
      </c>
      <c r="BA285" s="253">
        <v>0</v>
      </c>
      <c r="BB285" s="253">
        <v>0</v>
      </c>
      <c r="BC285" s="253">
        <v>0</v>
      </c>
    </row>
    <row r="286" spans="1:55">
      <c r="B286" s="93"/>
      <c r="C286" s="230"/>
      <c r="D286" s="230" t="s">
        <v>400</v>
      </c>
      <c r="E286" s="93"/>
      <c r="F286" s="94"/>
      <c r="G286" s="232" t="s">
        <v>736</v>
      </c>
      <c r="H286" s="232">
        <v>-0.15076605222222222</v>
      </c>
      <c r="I286" s="232">
        <v>-0.138402</v>
      </c>
      <c r="J286" s="232">
        <v>-0.13513883555555556</v>
      </c>
      <c r="K286" s="232">
        <v>-0.23536153666666668</v>
      </c>
      <c r="L286" s="230">
        <v>-0.21925299999999998</v>
      </c>
      <c r="M286" s="230">
        <v>-0.29255109111111105</v>
      </c>
      <c r="N286" s="230">
        <v>-0.21203</v>
      </c>
      <c r="O286" s="230">
        <v>-0.23602899999999999</v>
      </c>
      <c r="P286" s="230">
        <v>-0.29963799999999996</v>
      </c>
      <c r="Q286" s="230">
        <v>-0.31116031555555557</v>
      </c>
      <c r="R286" s="230">
        <v>-0.31834789999999996</v>
      </c>
      <c r="S286" s="230">
        <v>-0.68446011111111105</v>
      </c>
      <c r="T286" s="604">
        <v>-0.35019899999999998</v>
      </c>
      <c r="U286" s="604">
        <v>-0.33998686</v>
      </c>
      <c r="V286" s="604">
        <v>-0.31198700000000001</v>
      </c>
      <c r="W286" s="604">
        <v>-0.36907200000000001</v>
      </c>
      <c r="X286" s="604">
        <v>-0.34623799999999999</v>
      </c>
      <c r="Y286" s="604">
        <v>-0.33715800000000001</v>
      </c>
      <c r="Z286" s="604">
        <v>-0.289644911</v>
      </c>
      <c r="AA286" s="604">
        <v>-0.32177299999999998</v>
      </c>
      <c r="AB286" s="604">
        <v>-0.34924290200000002</v>
      </c>
      <c r="AC286" s="604">
        <v>-0.33272499999999999</v>
      </c>
      <c r="AD286" s="604">
        <v>-0.19492293099999999</v>
      </c>
      <c r="AE286" s="597">
        <v>-0.31986378999999998</v>
      </c>
      <c r="AF286" s="594">
        <v>-0.27272712599999999</v>
      </c>
      <c r="AG286" s="594">
        <v>-0.29578141800000002</v>
      </c>
      <c r="AH286" s="594">
        <v>-0.28116000000000002</v>
      </c>
      <c r="AI286" s="594">
        <v>-0.27360000000000001</v>
      </c>
      <c r="AJ286" s="594">
        <v>-0.221839851</v>
      </c>
      <c r="AK286" s="594">
        <v>-0.203860807</v>
      </c>
      <c r="AL286" s="594">
        <v>-0.16188</v>
      </c>
      <c r="AM286" s="646">
        <v>-0.20085</v>
      </c>
      <c r="AN286" s="594">
        <v>-8.1600000000000006E-2</v>
      </c>
      <c r="AO286" s="594"/>
      <c r="AP286" s="253">
        <v>0</v>
      </c>
      <c r="AQ286" s="253">
        <v>0</v>
      </c>
      <c r="AR286" s="253"/>
      <c r="AS286" s="253">
        <v>0</v>
      </c>
      <c r="AT286" s="253">
        <v>0</v>
      </c>
      <c r="AU286" s="253">
        <v>0</v>
      </c>
      <c r="AV286" s="253">
        <v>0</v>
      </c>
      <c r="AW286" s="253">
        <v>0</v>
      </c>
      <c r="AX286" s="253">
        <v>0</v>
      </c>
      <c r="AY286" s="253">
        <v>0</v>
      </c>
      <c r="AZ286" s="253">
        <v>0</v>
      </c>
      <c r="BA286" s="253">
        <v>0</v>
      </c>
      <c r="BB286" s="253">
        <v>0</v>
      </c>
      <c r="BC286" s="253">
        <v>0</v>
      </c>
    </row>
    <row r="287" spans="1:55">
      <c r="B287" s="230"/>
      <c r="C287" s="230"/>
      <c r="D287" s="230" t="s">
        <v>891</v>
      </c>
      <c r="E287" s="230"/>
      <c r="F287" s="232"/>
      <c r="G287" s="232" t="s">
        <v>736</v>
      </c>
      <c r="H287" s="594"/>
      <c r="I287" s="594"/>
      <c r="J287" s="594"/>
      <c r="K287" s="594"/>
      <c r="L287" s="594"/>
      <c r="M287" s="594"/>
      <c r="N287" s="594"/>
      <c r="O287" s="594"/>
      <c r="P287" s="594"/>
      <c r="Q287" s="594"/>
      <c r="R287" s="594"/>
      <c r="S287" s="594"/>
      <c r="T287" s="600"/>
      <c r="U287" s="600"/>
      <c r="V287" s="600"/>
      <c r="W287" s="600"/>
      <c r="X287" s="600"/>
      <c r="Y287" s="600"/>
      <c r="Z287" s="600"/>
      <c r="AA287" s="600"/>
      <c r="AB287" s="600"/>
      <c r="AC287" s="600"/>
      <c r="AD287" s="600"/>
      <c r="AE287" s="597"/>
      <c r="AF287" s="594"/>
      <c r="AG287" s="594"/>
      <c r="AH287" s="594"/>
      <c r="AI287" s="594"/>
      <c r="AJ287" s="594"/>
      <c r="AK287" s="594">
        <v>-0.04</v>
      </c>
      <c r="AL287" s="594">
        <v>-3.3000000000000002E-2</v>
      </c>
      <c r="AM287" s="646">
        <v>-1.6500000000000001E-2</v>
      </c>
      <c r="AN287" s="594">
        <v>-3.2608948596977237E-2</v>
      </c>
      <c r="AO287" s="594">
        <v>-4.3461013251277721E-2</v>
      </c>
      <c r="AP287" s="253">
        <v>-0.2</v>
      </c>
      <c r="AQ287" s="253">
        <v>-0.2</v>
      </c>
      <c r="AR287" s="765">
        <v>-0.2</v>
      </c>
      <c r="AS287" s="765">
        <v>-0.2</v>
      </c>
      <c r="AT287" s="765">
        <v>-0.2</v>
      </c>
      <c r="AU287" s="765">
        <v>-0.2</v>
      </c>
      <c r="AV287" s="765">
        <v>-0.2</v>
      </c>
      <c r="AW287" s="765">
        <v>-0.2</v>
      </c>
      <c r="AX287" s="765">
        <v>-0.2</v>
      </c>
      <c r="AY287" s="765">
        <v>-0.2</v>
      </c>
      <c r="AZ287" s="765">
        <v>-0.2</v>
      </c>
      <c r="BA287" s="765">
        <v>-0.2</v>
      </c>
      <c r="BB287" s="765">
        <v>-0.2</v>
      </c>
      <c r="BC287" s="765">
        <v>-0.2</v>
      </c>
    </row>
    <row r="288" spans="1:55">
      <c r="B288" s="230"/>
      <c r="C288" s="230"/>
      <c r="D288" s="230" t="s">
        <v>892</v>
      </c>
      <c r="E288" s="230"/>
      <c r="F288" s="232"/>
      <c r="G288" s="232" t="s">
        <v>736</v>
      </c>
      <c r="H288" s="594">
        <v>-1.2177651677777777</v>
      </c>
      <c r="I288" s="594">
        <v>-0.86019352333333321</v>
      </c>
      <c r="J288" s="594">
        <v>-2.1847235469999999</v>
      </c>
      <c r="K288" s="594">
        <v>-2.3834548261111115</v>
      </c>
      <c r="L288" s="594">
        <v>-1.4283665924444442</v>
      </c>
      <c r="M288" s="594">
        <v>-1.4601782022222221</v>
      </c>
      <c r="N288" s="594">
        <v>-1.6972042855555556</v>
      </c>
      <c r="O288" s="594">
        <v>-2.2369970433333335</v>
      </c>
      <c r="P288" s="594">
        <v>-2.1086630966666666</v>
      </c>
      <c r="Q288" s="594">
        <v>-3.3402369355555552</v>
      </c>
      <c r="R288" s="594">
        <v>-2.6651549399999999</v>
      </c>
      <c r="S288" s="594">
        <v>-3.5564018988888888</v>
      </c>
      <c r="T288" s="600">
        <v>-3.2212469179999998</v>
      </c>
      <c r="U288" s="600">
        <v>-4.0247286830000002</v>
      </c>
      <c r="V288" s="600">
        <v>-3.9310105769999999</v>
      </c>
      <c r="W288" s="600">
        <v>-3.607205982</v>
      </c>
      <c r="X288" s="600">
        <v>-4.6891354429999996</v>
      </c>
      <c r="Y288" s="600">
        <v>-3.3638290780000002</v>
      </c>
      <c r="Z288" s="600">
        <v>-4.1634530410000004</v>
      </c>
      <c r="AA288" s="600">
        <v>-3.100339328</v>
      </c>
      <c r="AB288" s="600">
        <v>-2.815893505</v>
      </c>
      <c r="AC288" s="600">
        <v>-3.2104920859999999</v>
      </c>
      <c r="AD288" s="600">
        <v>-2.3895066869999999</v>
      </c>
      <c r="AE288" s="597">
        <v>-2.813682579</v>
      </c>
      <c r="AF288" s="594">
        <v>-2.1653431090000002</v>
      </c>
      <c r="AG288" s="594">
        <v>-1.948770157</v>
      </c>
      <c r="AH288" s="594">
        <v>-2.6059729709999999</v>
      </c>
      <c r="AI288" s="594">
        <v>-2.0925440809999998</v>
      </c>
      <c r="AJ288" s="594">
        <v>-2.473246042</v>
      </c>
      <c r="AK288" s="594">
        <v>-2.3305627499999999</v>
      </c>
      <c r="AL288" s="594">
        <v>-2.1168097590000001</v>
      </c>
      <c r="AM288" s="646">
        <v>-2.0750665549999998</v>
      </c>
      <c r="AN288" s="594">
        <v>-1.100183524</v>
      </c>
      <c r="AO288" s="253">
        <v>-0.68437723900000003</v>
      </c>
      <c r="AP288" s="253">
        <v>-0.8</v>
      </c>
      <c r="AQ288" s="253">
        <v>-0.3</v>
      </c>
      <c r="AR288" s="765">
        <v>-0.3</v>
      </c>
      <c r="AS288" s="765">
        <v>-0.3</v>
      </c>
      <c r="AT288" s="765">
        <v>-0.3</v>
      </c>
      <c r="AU288" s="765">
        <v>-0.3</v>
      </c>
      <c r="AV288" s="765">
        <v>-0.3</v>
      </c>
      <c r="AW288" s="765">
        <v>-0.3</v>
      </c>
      <c r="AX288" s="765">
        <v>-0.3</v>
      </c>
      <c r="AY288" s="765">
        <v>-0.3</v>
      </c>
      <c r="AZ288" s="765">
        <v>-0.3</v>
      </c>
      <c r="BA288" s="765">
        <v>-0.3</v>
      </c>
      <c r="BB288" s="765">
        <v>-0.3</v>
      </c>
      <c r="BC288" s="765">
        <v>-0.3</v>
      </c>
    </row>
    <row r="289" spans="2:55">
      <c r="B289" s="230"/>
      <c r="C289" s="230"/>
      <c r="D289" s="230" t="s">
        <v>404</v>
      </c>
      <c r="E289" s="230"/>
      <c r="F289" s="232"/>
      <c r="G289" s="232" t="s">
        <v>736</v>
      </c>
      <c r="H289" s="232">
        <v>-3.6749999999999998E-2</v>
      </c>
      <c r="I289" s="232">
        <v>-5.3990000000000003E-2</v>
      </c>
      <c r="J289" s="232">
        <v>-0.12307999999999999</v>
      </c>
      <c r="K289" s="232">
        <v>-0.14777999999999999</v>
      </c>
      <c r="L289" s="230">
        <v>-3.6590000000000004E-2</v>
      </c>
      <c r="M289" s="230">
        <v>-6.5180000000000002E-2</v>
      </c>
      <c r="N289" s="230">
        <v>-2.0000000000000001E-4</v>
      </c>
      <c r="O289" s="230">
        <v>-4.2300000000000003E-3</v>
      </c>
      <c r="P289" s="230">
        <v>-0.42908999999999997</v>
      </c>
      <c r="Q289" s="230">
        <v>-0.83978999999999993</v>
      </c>
      <c r="R289" s="230">
        <v>-4.3092646000000005E-2</v>
      </c>
      <c r="S289" s="230">
        <v>-4.7595764000000006E-2</v>
      </c>
      <c r="T289" s="237">
        <v>-7.2333631999999995E-2</v>
      </c>
      <c r="U289" s="237">
        <v>-0.237016325</v>
      </c>
      <c r="V289" s="237">
        <v>-0.16281152500000001</v>
      </c>
      <c r="W289" s="237">
        <v>-0.206466861</v>
      </c>
      <c r="X289" s="237">
        <v>-0.28752314899999998</v>
      </c>
      <c r="Y289" s="237">
        <v>-0.29353667700000002</v>
      </c>
      <c r="Z289" s="237">
        <v>-0.330149902</v>
      </c>
      <c r="AA289" s="237">
        <v>-0.35916847699999999</v>
      </c>
      <c r="AB289" s="237">
        <v>-0.233443347</v>
      </c>
      <c r="AC289" s="237">
        <v>-0.18657871200000001</v>
      </c>
      <c r="AD289" s="237">
        <v>-0.16343465300000001</v>
      </c>
      <c r="AE289" s="237">
        <v>-0.19073915599999999</v>
      </c>
      <c r="AF289" s="262">
        <v>-0.19052328900000001</v>
      </c>
      <c r="AG289" s="262">
        <v>-0.12949994500000001</v>
      </c>
      <c r="AH289" s="262">
        <v>-0.17980110099999999</v>
      </c>
      <c r="AI289" s="262">
        <v>-0.18932441</v>
      </c>
      <c r="AJ289" s="262">
        <v>-4.2462462999999999E-2</v>
      </c>
      <c r="AK289" s="262">
        <v>-2.1876687999999998E-2</v>
      </c>
      <c r="AL289" s="262">
        <v>-3.5948037000000002E-2</v>
      </c>
      <c r="AM289" s="262">
        <v>-6.1223342E-2</v>
      </c>
      <c r="AN289" s="262">
        <v>-5.4130037999999998E-2</v>
      </c>
      <c r="AO289" s="262"/>
      <c r="AP289" s="262">
        <v>-5.4130037999999998E-2</v>
      </c>
      <c r="AQ289" s="262">
        <v>-5.4130037999999998E-2</v>
      </c>
      <c r="AR289" s="766">
        <v>-5.4130037999999998E-2</v>
      </c>
      <c r="AS289" s="766">
        <v>-5.4130037999999998E-2</v>
      </c>
      <c r="AT289" s="766">
        <v>-5.4130037999999998E-2</v>
      </c>
      <c r="AU289" s="766">
        <v>-5.4130037999999998E-2</v>
      </c>
      <c r="AV289" s="766">
        <v>-5.4130037999999998E-2</v>
      </c>
      <c r="AW289" s="766">
        <v>-5.4130037999999998E-2</v>
      </c>
      <c r="AX289" s="766">
        <v>-5.4130037999999998E-2</v>
      </c>
      <c r="AY289" s="766">
        <v>-5.4130037999999998E-2</v>
      </c>
      <c r="AZ289" s="766">
        <v>-5.4130037999999998E-2</v>
      </c>
      <c r="BA289" s="766">
        <v>-5.4130037999999998E-2</v>
      </c>
      <c r="BB289" s="766">
        <v>-5.4130037999999998E-2</v>
      </c>
      <c r="BC289" s="766">
        <v>-5.4130037999999998E-2</v>
      </c>
    </row>
    <row r="290" spans="2:55">
      <c r="B290" s="230"/>
      <c r="C290" s="229"/>
      <c r="D290" s="230" t="s">
        <v>893</v>
      </c>
      <c r="E290" s="230"/>
      <c r="F290" s="232"/>
      <c r="G290" s="232" t="s">
        <v>736</v>
      </c>
      <c r="H290" s="232"/>
      <c r="I290" s="232"/>
      <c r="J290" s="232"/>
      <c r="K290" s="232"/>
      <c r="L290" s="230"/>
      <c r="M290" s="230"/>
      <c r="N290" s="230"/>
      <c r="O290" s="230"/>
      <c r="P290" s="230"/>
      <c r="Q290" s="230"/>
      <c r="R290" s="230"/>
      <c r="S290" s="230"/>
      <c r="T290" s="237"/>
      <c r="U290" s="237"/>
      <c r="V290" s="237"/>
      <c r="W290" s="237"/>
      <c r="X290" s="237"/>
      <c r="Y290" s="237"/>
      <c r="Z290" s="237"/>
      <c r="AA290" s="237"/>
      <c r="AB290" s="237"/>
      <c r="AC290" s="237"/>
      <c r="AD290" s="237"/>
      <c r="AE290" s="237"/>
      <c r="AF290" s="262"/>
      <c r="AG290" s="262"/>
      <c r="AH290" s="262"/>
      <c r="AI290" s="262"/>
      <c r="AJ290" s="594"/>
      <c r="AK290" s="594"/>
      <c r="AL290" s="594"/>
      <c r="AM290" s="262"/>
      <c r="AN290" s="262"/>
      <c r="AO290" s="262"/>
      <c r="AP290" s="262"/>
      <c r="AQ290" s="262"/>
      <c r="AR290" s="262"/>
      <c r="AS290" s="262"/>
      <c r="AT290" s="262"/>
      <c r="AU290" s="262"/>
      <c r="AV290" s="262"/>
      <c r="AW290" s="262"/>
      <c r="AX290" s="262"/>
      <c r="AY290" s="262"/>
      <c r="AZ290" s="253"/>
      <c r="BA290" s="253"/>
      <c r="BB290" s="253"/>
      <c r="BC290" s="253"/>
    </row>
    <row r="291" spans="2:55">
      <c r="B291" s="95"/>
      <c r="C291" s="95" t="s">
        <v>89</v>
      </c>
      <c r="D291" s="230"/>
      <c r="E291" s="95"/>
      <c r="F291" s="214"/>
      <c r="G291" s="232" t="s">
        <v>736</v>
      </c>
      <c r="H291" s="275"/>
      <c r="I291" s="275"/>
      <c r="J291" s="275"/>
      <c r="K291" s="275"/>
      <c r="L291" s="275"/>
      <c r="M291" s="275"/>
      <c r="N291" s="275"/>
      <c r="O291" s="275"/>
      <c r="P291" s="275"/>
      <c r="Q291" s="275"/>
      <c r="R291" s="275"/>
      <c r="S291" s="275"/>
      <c r="T291" s="275"/>
      <c r="U291" s="275"/>
      <c r="V291" s="275"/>
      <c r="W291" s="275"/>
      <c r="X291" s="275"/>
      <c r="Y291" s="275"/>
      <c r="Z291" s="275"/>
      <c r="AA291" s="275"/>
      <c r="AB291" s="275"/>
      <c r="AC291" s="275"/>
      <c r="AD291" s="275"/>
      <c r="AE291" s="275"/>
      <c r="AF291" s="275"/>
      <c r="AG291" s="275"/>
      <c r="AH291" s="275"/>
      <c r="AI291" s="275"/>
      <c r="AJ291" s="275"/>
      <c r="AK291" s="275"/>
      <c r="AL291" s="275">
        <v>3.0018181820000001</v>
      </c>
      <c r="AM291" s="275"/>
      <c r="AN291" s="275"/>
      <c r="AO291" s="275"/>
      <c r="AP291" s="275"/>
      <c r="AQ291" s="275"/>
      <c r="AR291" s="275"/>
      <c r="AS291" s="275"/>
      <c r="AT291" s="275"/>
      <c r="AU291" s="275"/>
      <c r="AV291" s="275"/>
      <c r="AW291" s="275"/>
      <c r="AX291" s="275"/>
      <c r="AY291" s="275"/>
      <c r="AZ291" s="229">
        <v>5.2845607629999982</v>
      </c>
      <c r="BA291" s="275"/>
      <c r="BB291" s="275"/>
      <c r="BC291" s="275"/>
    </row>
    <row r="292" spans="2:55">
      <c r="B292" s="230" t="s">
        <v>701</v>
      </c>
      <c r="C292" s="230"/>
      <c r="D292" s="230"/>
      <c r="E292" s="232"/>
      <c r="F292" s="230"/>
      <c r="G292" s="232" t="s">
        <v>736</v>
      </c>
      <c r="H292" s="232">
        <v>0</v>
      </c>
      <c r="I292" s="232">
        <v>0</v>
      </c>
      <c r="J292" s="232">
        <v>0</v>
      </c>
      <c r="K292" s="232">
        <v>0</v>
      </c>
      <c r="L292" s="230">
        <v>0</v>
      </c>
      <c r="M292" s="230">
        <v>0</v>
      </c>
      <c r="N292" s="267">
        <v>0</v>
      </c>
      <c r="O292" s="267">
        <v>0</v>
      </c>
      <c r="P292" s="267">
        <v>0</v>
      </c>
      <c r="Q292" s="267">
        <v>0</v>
      </c>
      <c r="R292" s="267">
        <v>0</v>
      </c>
      <c r="S292" s="267">
        <v>0</v>
      </c>
      <c r="T292" s="597">
        <v>-0.51023634600000001</v>
      </c>
      <c r="U292" s="597">
        <v>-0.474594615</v>
      </c>
      <c r="V292" s="597">
        <v>-0.47076921100000002</v>
      </c>
      <c r="W292" s="597">
        <v>-0.106565811</v>
      </c>
      <c r="X292" s="597">
        <v>-0.106148034</v>
      </c>
      <c r="Y292" s="597">
        <v>-0.11571577700000001</v>
      </c>
      <c r="Z292" s="597">
        <v>-0.14870760999999999</v>
      </c>
      <c r="AA292" s="597">
        <v>-0.20989407400000001</v>
      </c>
      <c r="AB292" s="597">
        <v>-0.23850760500000001</v>
      </c>
      <c r="AC292" s="597">
        <v>-0.22585263999999999</v>
      </c>
      <c r="AD292" s="597">
        <v>-0.19154204599999999</v>
      </c>
      <c r="AE292" s="597">
        <v>-0.17527932299999999</v>
      </c>
      <c r="AF292" s="597">
        <v>-0.17736540000000001</v>
      </c>
      <c r="AG292" s="597">
        <v>-0.145266532</v>
      </c>
      <c r="AH292" s="597">
        <v>-0.14970840000000002</v>
      </c>
      <c r="AI292" s="597">
        <v>-0.1216487</v>
      </c>
      <c r="AJ292" s="597">
        <v>-0.12755615000000001</v>
      </c>
      <c r="AK292" s="597">
        <v>-0.27985981800000004</v>
      </c>
      <c r="AL292" s="597">
        <v>-0.450212055</v>
      </c>
      <c r="AM292" s="685">
        <v>-0.30658886100000005</v>
      </c>
      <c r="AN292" s="597">
        <v>-0.58889292400000004</v>
      </c>
      <c r="AO292" s="597">
        <v>-8.8548500000000002E-2</v>
      </c>
      <c r="AP292" s="246">
        <v>0</v>
      </c>
      <c r="AQ292" s="246">
        <v>0</v>
      </c>
      <c r="AR292" s="246">
        <v>-0.15194290000000002</v>
      </c>
      <c r="AS292" s="246">
        <v>-0.15238915000000003</v>
      </c>
      <c r="AT292" s="246">
        <v>-0.15283540000000001</v>
      </c>
      <c r="AU292" s="246">
        <v>-0.15328165000000002</v>
      </c>
      <c r="AV292" s="246">
        <v>-0.15372790000000003</v>
      </c>
      <c r="AW292" s="246">
        <v>-0.15417415000000001</v>
      </c>
      <c r="AX292" s="246">
        <v>-0.13062040000000003</v>
      </c>
      <c r="AY292" s="246">
        <v>-0.13106665000000001</v>
      </c>
      <c r="AZ292" s="246">
        <v>-0.13151290000000002</v>
      </c>
      <c r="BA292" s="246">
        <v>-0.13195915000000003</v>
      </c>
      <c r="BB292" s="246">
        <v>-0.13240540000000001</v>
      </c>
      <c r="BC292" s="246">
        <v>-0.13285165000000002</v>
      </c>
    </row>
    <row r="293" spans="2:55">
      <c r="B293" s="230"/>
      <c r="C293" s="230" t="s">
        <v>871</v>
      </c>
      <c r="D293" s="230"/>
      <c r="E293" s="232"/>
      <c r="F293" s="230"/>
      <c r="G293" s="232" t="s">
        <v>736</v>
      </c>
      <c r="H293" s="232"/>
      <c r="I293" s="232"/>
      <c r="J293" s="232"/>
      <c r="K293" s="232"/>
      <c r="L293" s="230"/>
      <c r="M293" s="230"/>
      <c r="N293" s="267"/>
      <c r="O293" s="267"/>
      <c r="P293" s="267"/>
      <c r="Q293" s="267"/>
      <c r="R293" s="267"/>
      <c r="S293" s="267"/>
      <c r="T293" s="597">
        <v>-0.51023634600000001</v>
      </c>
      <c r="U293" s="597">
        <v>-0.474594615</v>
      </c>
      <c r="V293" s="597">
        <v>-0.47076921100000002</v>
      </c>
      <c r="W293" s="597">
        <v>-0.106565811</v>
      </c>
      <c r="X293" s="597">
        <v>-0.106148034</v>
      </c>
      <c r="Y293" s="597">
        <v>-0.11571577700000001</v>
      </c>
      <c r="Z293" s="597">
        <v>-0.12079861</v>
      </c>
      <c r="AA293" s="597">
        <v>-0.179915874</v>
      </c>
      <c r="AB293" s="597">
        <v>-0.21004210500000001</v>
      </c>
      <c r="AC293" s="597">
        <v>-0.20316074000000001</v>
      </c>
      <c r="AD293" s="597">
        <v>-0.17170474599999999</v>
      </c>
      <c r="AE293" s="597">
        <v>-0.155540023</v>
      </c>
      <c r="AF293" s="246">
        <v>-0.16011250000000002</v>
      </c>
      <c r="AG293" s="246">
        <v>-0.132786932</v>
      </c>
      <c r="AH293" s="246">
        <v>-0.13342500000000002</v>
      </c>
      <c r="AI293" s="246">
        <v>-0.10825700000000001</v>
      </c>
      <c r="AJ293" s="246">
        <v>-0.11834750000000001</v>
      </c>
      <c r="AK293" s="597">
        <v>-0.26650931900000002</v>
      </c>
      <c r="AL293" s="597">
        <v>-0.437854456</v>
      </c>
      <c r="AM293" s="246">
        <v>-0.29488950000000003</v>
      </c>
      <c r="AN293" s="597">
        <v>-0.58509</v>
      </c>
      <c r="AO293" s="246">
        <v>-8.8548500000000002E-2</v>
      </c>
      <c r="AP293" s="246">
        <v>0</v>
      </c>
      <c r="AQ293" s="246">
        <v>0</v>
      </c>
      <c r="AR293" s="765">
        <v>-0.11050000000000001</v>
      </c>
      <c r="AS293" s="765">
        <v>-0.11050000000000001</v>
      </c>
      <c r="AT293" s="765">
        <v>-0.11050000000000001</v>
      </c>
      <c r="AU293" s="765">
        <v>-0.11050000000000001</v>
      </c>
      <c r="AV293" s="765">
        <v>-0.11050000000000001</v>
      </c>
      <c r="AW293" s="765">
        <v>-0.11050000000000001</v>
      </c>
      <c r="AX293" s="765">
        <v>-0.11050000000000001</v>
      </c>
      <c r="AY293" s="765">
        <v>-0.11050000000000001</v>
      </c>
      <c r="AZ293" s="765">
        <v>-0.11050000000000001</v>
      </c>
      <c r="BA293" s="765">
        <v>-0.11050000000000001</v>
      </c>
      <c r="BB293" s="765">
        <v>-0.11050000000000001</v>
      </c>
      <c r="BC293" s="765">
        <v>-0.11050000000000001</v>
      </c>
    </row>
    <row r="294" spans="2:55">
      <c r="B294" s="230"/>
      <c r="C294" s="230" t="s">
        <v>594</v>
      </c>
      <c r="D294" s="230"/>
      <c r="E294" s="232"/>
      <c r="F294" s="230"/>
      <c r="G294" s="232" t="s">
        <v>736</v>
      </c>
      <c r="H294" s="232"/>
      <c r="I294" s="232"/>
      <c r="J294" s="232"/>
      <c r="K294" s="232"/>
      <c r="L294" s="230"/>
      <c r="M294" s="230"/>
      <c r="N294" s="267"/>
      <c r="O294" s="267"/>
      <c r="P294" s="267"/>
      <c r="Q294" s="267"/>
      <c r="R294" s="267"/>
      <c r="S294" s="267"/>
      <c r="T294" s="597"/>
      <c r="U294" s="597"/>
      <c r="V294" s="597"/>
      <c r="W294" s="597"/>
      <c r="X294" s="597"/>
      <c r="Y294" s="597"/>
      <c r="Z294" s="597"/>
      <c r="AA294" s="597"/>
      <c r="AB294" s="597"/>
      <c r="AC294" s="597"/>
      <c r="AD294" s="597"/>
      <c r="AE294" s="597"/>
      <c r="AF294" s="246"/>
      <c r="AG294" s="246"/>
      <c r="AH294" s="246"/>
      <c r="AI294" s="246"/>
      <c r="AJ294" s="246"/>
      <c r="AK294" s="597"/>
      <c r="AL294" s="597"/>
      <c r="AM294" s="246"/>
      <c r="AN294" s="597"/>
      <c r="AO294" s="246"/>
      <c r="AP294" s="246"/>
      <c r="AQ294" s="246"/>
      <c r="AR294" s="246"/>
      <c r="AS294" s="246"/>
      <c r="AT294" s="246"/>
      <c r="AU294" s="246"/>
      <c r="AV294" s="246"/>
      <c r="AW294" s="246"/>
      <c r="AX294" s="246"/>
      <c r="AY294" s="246"/>
      <c r="AZ294" s="246"/>
      <c r="BA294" s="246"/>
      <c r="BB294" s="246"/>
      <c r="BC294" s="246"/>
    </row>
    <row r="295" spans="2:55">
      <c r="B295" s="230"/>
      <c r="C295" s="230" t="s">
        <v>319</v>
      </c>
      <c r="D295" s="230"/>
      <c r="E295" s="232"/>
      <c r="F295" s="230"/>
      <c r="G295" s="232" t="s">
        <v>736</v>
      </c>
      <c r="H295" s="232"/>
      <c r="I295" s="232"/>
      <c r="J295" s="232"/>
      <c r="K295" s="232"/>
      <c r="L295" s="230"/>
      <c r="M295" s="230"/>
      <c r="N295" s="267"/>
      <c r="O295" s="267"/>
      <c r="P295" s="267"/>
      <c r="Q295" s="267"/>
      <c r="R295" s="267"/>
      <c r="S295" s="267"/>
      <c r="T295" s="597"/>
      <c r="U295" s="597"/>
      <c r="V295" s="597"/>
      <c r="W295" s="597"/>
      <c r="X295" s="597"/>
      <c r="Y295" s="597"/>
      <c r="Z295" s="597"/>
      <c r="AA295" s="597"/>
      <c r="AB295" s="597"/>
      <c r="AC295" s="597"/>
      <c r="AD295" s="597"/>
      <c r="AE295" s="597"/>
      <c r="AF295" s="246"/>
      <c r="AG295" s="246"/>
      <c r="AH295" s="246"/>
      <c r="AI295" s="246"/>
      <c r="AJ295" s="246"/>
      <c r="AK295" s="597"/>
      <c r="AL295" s="597"/>
      <c r="AM295" s="246"/>
      <c r="AN295" s="597"/>
      <c r="AO295" s="246"/>
      <c r="AP295" s="246"/>
      <c r="AQ295" s="246"/>
      <c r="AR295" s="641"/>
      <c r="AS295" s="641"/>
      <c r="AT295" s="641"/>
      <c r="AU295" s="641"/>
      <c r="AV295" s="641"/>
      <c r="AW295" s="641"/>
      <c r="AX295" s="641"/>
      <c r="AY295" s="641"/>
      <c r="AZ295" s="641"/>
      <c r="BA295" s="641"/>
      <c r="BB295" s="641"/>
      <c r="BC295" s="641"/>
    </row>
    <row r="296" spans="2:55">
      <c r="B296" s="230"/>
      <c r="C296" s="230" t="s">
        <v>152</v>
      </c>
      <c r="D296" s="230"/>
      <c r="E296" s="232"/>
      <c r="F296" s="232"/>
      <c r="G296" s="232" t="s">
        <v>736</v>
      </c>
      <c r="H296" s="232"/>
      <c r="I296" s="232"/>
      <c r="J296" s="232"/>
      <c r="K296" s="232"/>
      <c r="L296" s="686"/>
      <c r="M296" s="686"/>
      <c r="N296" s="686"/>
      <c r="O296" s="686"/>
      <c r="P296" s="686"/>
      <c r="Q296" s="686"/>
      <c r="R296" s="686"/>
      <c r="S296" s="686"/>
      <c r="T296" s="687"/>
      <c r="U296" s="687"/>
      <c r="V296" s="687"/>
      <c r="W296" s="687"/>
      <c r="X296" s="687"/>
      <c r="Y296" s="687"/>
      <c r="Z296" s="688"/>
      <c r="AA296" s="688"/>
      <c r="AB296" s="688"/>
      <c r="AC296" s="688"/>
      <c r="AD296" s="688"/>
      <c r="AE296" s="688"/>
      <c r="AF296" s="688"/>
      <c r="AG296" s="688"/>
      <c r="AH296" s="688"/>
      <c r="AI296" s="688"/>
      <c r="AJ296" s="688"/>
      <c r="AK296" s="688"/>
      <c r="AL296" s="688"/>
      <c r="AM296" s="689"/>
      <c r="AN296" s="690"/>
      <c r="AO296" s="691"/>
      <c r="AP296" s="691"/>
      <c r="AQ296" s="691"/>
      <c r="AR296" s="768">
        <v>-3.4200000000000001E-2</v>
      </c>
      <c r="AS296" s="768">
        <v>-3.4200000000000001E-2</v>
      </c>
      <c r="AT296" s="768">
        <v>-3.4200000000000001E-2</v>
      </c>
      <c r="AU296" s="768">
        <v>-3.4200000000000001E-2</v>
      </c>
      <c r="AV296" s="768">
        <v>-3.4200000000000001E-2</v>
      </c>
      <c r="AW296" s="768">
        <v>-3.4200000000000001E-2</v>
      </c>
      <c r="AX296" s="768">
        <v>-1.0200000000000001E-2</v>
      </c>
      <c r="AY296" s="768">
        <v>-1.0200000000000001E-2</v>
      </c>
      <c r="AZ296" s="768">
        <v>-1.0200000000000001E-2</v>
      </c>
      <c r="BA296" s="768">
        <v>-1.0200000000000001E-2</v>
      </c>
      <c r="BB296" s="768">
        <v>-1.0200000000000001E-2</v>
      </c>
      <c r="BC296" s="768">
        <v>-1.0200000000000001E-2</v>
      </c>
    </row>
    <row r="297" spans="2:55">
      <c r="B297" s="229"/>
      <c r="C297" s="230" t="s">
        <v>163</v>
      </c>
      <c r="D297" s="230"/>
      <c r="E297" s="232"/>
      <c r="F297" s="232"/>
      <c r="G297" s="232" t="s">
        <v>736</v>
      </c>
      <c r="H297" s="232"/>
      <c r="I297" s="232"/>
      <c r="J297" s="232"/>
      <c r="K297" s="232"/>
      <c r="L297" s="267"/>
      <c r="M297" s="267"/>
      <c r="N297" s="267"/>
      <c r="O297" s="267"/>
      <c r="P297" s="267"/>
      <c r="Q297" s="267"/>
      <c r="R297" s="267"/>
      <c r="S297" s="267"/>
      <c r="T297" s="656"/>
      <c r="U297" s="656"/>
      <c r="V297" s="656"/>
      <c r="W297" s="656"/>
      <c r="X297" s="656"/>
      <c r="Y297" s="656"/>
      <c r="Z297" s="656">
        <v>-2.7909E-2</v>
      </c>
      <c r="AA297" s="656">
        <v>-2.99782E-2</v>
      </c>
      <c r="AB297" s="656">
        <v>-2.8465500000000001E-2</v>
      </c>
      <c r="AC297" s="656">
        <v>-2.2691900000000001E-2</v>
      </c>
      <c r="AD297" s="656">
        <v>-1.9837299999999999E-2</v>
      </c>
      <c r="AE297" s="656">
        <v>-1.9739300000000001E-2</v>
      </c>
      <c r="AF297" s="656">
        <v>-1.7252900000000002E-2</v>
      </c>
      <c r="AG297" s="656">
        <v>-1.24796E-2</v>
      </c>
      <c r="AH297" s="656">
        <v>-1.62834E-2</v>
      </c>
      <c r="AI297" s="656">
        <v>-1.3391699999999999E-2</v>
      </c>
      <c r="AJ297" s="656">
        <v>-9.2086500000000005E-3</v>
      </c>
      <c r="AK297" s="656">
        <v>-1.3350499E-2</v>
      </c>
      <c r="AL297" s="656">
        <v>-1.2357599E-2</v>
      </c>
      <c r="AM297" s="656">
        <v>-1.1699361E-2</v>
      </c>
      <c r="AN297" s="656">
        <v>-3.8029240000000001E-3</v>
      </c>
      <c r="AO297" s="656">
        <v>0</v>
      </c>
      <c r="AP297" s="656">
        <v>0</v>
      </c>
      <c r="AQ297" s="656">
        <v>0</v>
      </c>
      <c r="AR297" s="769">
        <v>-7.2428999999999983E-3</v>
      </c>
      <c r="AS297" s="769">
        <v>-7.6891499999999988E-3</v>
      </c>
      <c r="AT297" s="769">
        <v>-8.1353999999999992E-3</v>
      </c>
      <c r="AU297" s="769">
        <v>-8.581649999999998E-3</v>
      </c>
      <c r="AV297" s="769">
        <v>-9.0279000000000002E-3</v>
      </c>
      <c r="AW297" s="769">
        <v>-9.4741499999999972E-3</v>
      </c>
      <c r="AX297" s="769">
        <v>-9.9203999999999994E-3</v>
      </c>
      <c r="AY297" s="769">
        <v>-1.0366649999999998E-2</v>
      </c>
      <c r="AZ297" s="769">
        <v>-1.0812899999999999E-2</v>
      </c>
      <c r="BA297" s="769">
        <v>-1.1259149999999999E-2</v>
      </c>
      <c r="BB297" s="769">
        <v>-1.1705399999999998E-2</v>
      </c>
      <c r="BC297" s="769">
        <v>-1.2151649999999998E-2</v>
      </c>
    </row>
    <row r="298" spans="2:55">
      <c r="B298" s="230" t="s">
        <v>739</v>
      </c>
      <c r="C298" s="498"/>
      <c r="D298" s="230"/>
      <c r="E298" s="203"/>
      <c r="F298" s="229"/>
      <c r="G298" s="232" t="s">
        <v>736</v>
      </c>
      <c r="H298" s="232"/>
      <c r="I298" s="203"/>
      <c r="J298" s="203"/>
      <c r="K298" s="203"/>
      <c r="L298" s="229"/>
      <c r="M298" s="229"/>
      <c r="N298" s="229"/>
      <c r="O298" s="229"/>
      <c r="P298" s="229"/>
      <c r="Q298" s="229"/>
      <c r="R298" s="229"/>
      <c r="S298" s="229"/>
      <c r="T298" s="234">
        <v>0</v>
      </c>
      <c r="U298" s="234">
        <v>0</v>
      </c>
      <c r="V298" s="234">
        <v>0</v>
      </c>
      <c r="W298" s="234">
        <v>0</v>
      </c>
      <c r="X298" s="234">
        <v>0</v>
      </c>
      <c r="Y298" s="234">
        <v>0</v>
      </c>
      <c r="Z298" s="234">
        <v>0</v>
      </c>
      <c r="AA298" s="234">
        <v>0</v>
      </c>
      <c r="AB298" s="234">
        <v>0</v>
      </c>
      <c r="AC298" s="234">
        <v>0</v>
      </c>
      <c r="AD298" s="604">
        <v>-0.87579789410403464</v>
      </c>
      <c r="AE298" s="604">
        <v>-1.8146069825052464</v>
      </c>
      <c r="AF298" s="604">
        <v>-0.78004224567185321</v>
      </c>
      <c r="AG298" s="604">
        <v>-0.75031331079330932</v>
      </c>
      <c r="AH298" s="604">
        <v>-0.83337641666106754</v>
      </c>
      <c r="AI298" s="604">
        <v>-0.85024838107865652</v>
      </c>
      <c r="AJ298" s="604">
        <v>-0.73972533141707186</v>
      </c>
      <c r="AK298" s="604">
        <v>-0.75486098229777787</v>
      </c>
      <c r="AL298" s="604">
        <v>-0.77531784783777791</v>
      </c>
      <c r="AM298" s="601">
        <v>-0.84698462272666686</v>
      </c>
      <c r="AN298" s="601">
        <v>-0.80157390119999994</v>
      </c>
      <c r="AO298" s="642">
        <v>-1.58213237837369</v>
      </c>
      <c r="AP298" s="642">
        <v>-1.58213237837369</v>
      </c>
      <c r="AQ298" s="642">
        <v>-1.58213237837369</v>
      </c>
      <c r="AR298" s="656">
        <v>-1.4273611402229314</v>
      </c>
      <c r="AS298" s="656">
        <v>-1.4273611402229314</v>
      </c>
      <c r="AT298" s="656">
        <v>-1.4273611402229314</v>
      </c>
      <c r="AU298" s="656">
        <v>-1.4273611402229314</v>
      </c>
      <c r="AV298" s="656">
        <v>-1.4273611402229314</v>
      </c>
      <c r="AW298" s="656">
        <v>-1.4273611402229314</v>
      </c>
      <c r="AX298" s="656">
        <v>-1.4273611402229314</v>
      </c>
      <c r="AY298" s="656">
        <v>-1.4273611402229314</v>
      </c>
      <c r="AZ298" s="656">
        <v>-1.4273611402229314</v>
      </c>
      <c r="BA298" s="656">
        <v>-1.4273611402229314</v>
      </c>
      <c r="BB298" s="656">
        <v>-1.4273611402229314</v>
      </c>
      <c r="BC298" s="656">
        <v>-1.4273611402229314</v>
      </c>
    </row>
    <row r="299" spans="2:55">
      <c r="B299" s="230"/>
      <c r="C299" s="230" t="s">
        <v>301</v>
      </c>
      <c r="D299" s="230"/>
      <c r="E299" s="203"/>
      <c r="F299" s="229"/>
      <c r="G299" s="232" t="s">
        <v>736</v>
      </c>
      <c r="H299" s="232"/>
      <c r="I299" s="203"/>
      <c r="J299" s="203"/>
      <c r="K299" s="203"/>
      <c r="L299" s="229"/>
      <c r="M299" s="229"/>
      <c r="N299" s="229"/>
      <c r="O299" s="229"/>
      <c r="P299" s="229"/>
      <c r="Q299" s="229"/>
      <c r="R299" s="229"/>
      <c r="S299" s="229"/>
      <c r="T299" s="234"/>
      <c r="U299" s="234"/>
      <c r="V299" s="234"/>
      <c r="W299" s="234"/>
      <c r="X299" s="234"/>
      <c r="Y299" s="234"/>
      <c r="Z299" s="234"/>
      <c r="AA299" s="234"/>
      <c r="AB299" s="234"/>
      <c r="AC299" s="234"/>
      <c r="AD299" s="604">
        <v>-0.49139348404540539</v>
      </c>
      <c r="AE299" s="604">
        <v>-1.3448502936508546</v>
      </c>
      <c r="AF299" s="604">
        <v>-0.50004107620000005</v>
      </c>
      <c r="AG299" s="604">
        <v>-0.52101756799999999</v>
      </c>
      <c r="AH299" s="604">
        <v>-0.51339022320000005</v>
      </c>
      <c r="AI299" s="604">
        <v>-0.53825519120000009</v>
      </c>
      <c r="AJ299" s="604">
        <v>-0.45113773200000001</v>
      </c>
      <c r="AK299" s="604">
        <v>-0.43682720740000003</v>
      </c>
      <c r="AL299" s="604">
        <v>-0.44686055620000004</v>
      </c>
      <c r="AM299" s="601">
        <v>-0.52658876760000006</v>
      </c>
      <c r="AN299" s="601">
        <v>-0.47680968800000001</v>
      </c>
      <c r="AO299" s="642">
        <v>-1.0575465250000001E-2</v>
      </c>
      <c r="AP299" s="642">
        <v>-1.0575465250000001E-2</v>
      </c>
      <c r="AQ299" s="642">
        <v>-1.0575465250000001E-2</v>
      </c>
      <c r="AR299" s="253">
        <v>-0.89687637216151794</v>
      </c>
      <c r="AS299" s="253">
        <v>-0.89687637216151794</v>
      </c>
      <c r="AT299" s="253">
        <v>-0.89687637216151794</v>
      </c>
      <c r="AU299" s="253">
        <v>-0.89687637216151794</v>
      </c>
      <c r="AV299" s="253">
        <v>-0.89687637216151794</v>
      </c>
      <c r="AW299" s="253">
        <v>-0.89687637216151794</v>
      </c>
      <c r="AX299" s="253">
        <v>-0.89687637216151794</v>
      </c>
      <c r="AY299" s="253">
        <v>-0.89687637216151794</v>
      </c>
      <c r="AZ299" s="253">
        <v>-0.89687637216151794</v>
      </c>
      <c r="BA299" s="253">
        <v>-0.89687637216151794</v>
      </c>
      <c r="BB299" s="253">
        <v>-0.89687637216151794</v>
      </c>
      <c r="BC299" s="253">
        <v>-0.89687637216151794</v>
      </c>
    </row>
    <row r="300" spans="2:55">
      <c r="B300" s="230"/>
      <c r="C300" s="230" t="s">
        <v>303</v>
      </c>
      <c r="D300" s="230"/>
      <c r="E300" s="203"/>
      <c r="F300" s="229"/>
      <c r="G300" s="232" t="s">
        <v>736</v>
      </c>
      <c r="H300" s="232"/>
      <c r="I300" s="203"/>
      <c r="J300" s="203"/>
      <c r="K300" s="203"/>
      <c r="L300" s="229"/>
      <c r="M300" s="229"/>
      <c r="N300" s="229"/>
      <c r="O300" s="229"/>
      <c r="P300" s="229"/>
      <c r="Q300" s="229"/>
      <c r="R300" s="229"/>
      <c r="S300" s="229"/>
      <c r="T300" s="234"/>
      <c r="U300" s="234"/>
      <c r="V300" s="234"/>
      <c r="W300" s="234"/>
      <c r="X300" s="234"/>
      <c r="Y300" s="234"/>
      <c r="Z300" s="234"/>
      <c r="AA300" s="234"/>
      <c r="AB300" s="234"/>
      <c r="AC300" s="234"/>
      <c r="AD300" s="604">
        <v>-0.12952674384196253</v>
      </c>
      <c r="AE300" s="604">
        <v>-0.19931056428772534</v>
      </c>
      <c r="AF300" s="604">
        <v>-8.7249511000000002E-2</v>
      </c>
      <c r="AG300" s="604">
        <v>-9.0483790199999997E-2</v>
      </c>
      <c r="AH300" s="604">
        <v>-9.4619491200000003E-2</v>
      </c>
      <c r="AI300" s="604">
        <v>-9.3602475200000007E-2</v>
      </c>
      <c r="AJ300" s="604">
        <v>-8.0326382200000004E-2</v>
      </c>
      <c r="AK300" s="604">
        <v>-8.0370229000000001E-2</v>
      </c>
      <c r="AL300" s="604">
        <v>-8.0513916800000015E-2</v>
      </c>
      <c r="AM300" s="601">
        <v>-8.5912049599999998E-2</v>
      </c>
      <c r="AN300" s="601">
        <v>-8.4504213199999997E-2</v>
      </c>
      <c r="AO300" s="642">
        <v>-0.91019177054553635</v>
      </c>
      <c r="AP300" s="642">
        <v>-0.91019177054553635</v>
      </c>
      <c r="AQ300" s="642">
        <v>-0.91019177054553635</v>
      </c>
      <c r="AR300" s="253">
        <v>-0.14090744760156423</v>
      </c>
      <c r="AS300" s="253">
        <v>-0.14090744760156423</v>
      </c>
      <c r="AT300" s="253">
        <v>-0.14090744760156423</v>
      </c>
      <c r="AU300" s="253">
        <v>-0.14090744760156423</v>
      </c>
      <c r="AV300" s="253">
        <v>-0.14090744760156423</v>
      </c>
      <c r="AW300" s="253">
        <v>-0.14090744760156423</v>
      </c>
      <c r="AX300" s="253">
        <v>-0.14090744760156423</v>
      </c>
      <c r="AY300" s="253">
        <v>-0.14090744760156423</v>
      </c>
      <c r="AZ300" s="253">
        <v>-0.14090744760156423</v>
      </c>
      <c r="BA300" s="253">
        <v>-0.14090744760156423</v>
      </c>
      <c r="BB300" s="253">
        <v>-0.14090744760156423</v>
      </c>
      <c r="BC300" s="253">
        <v>-0.14090744760156423</v>
      </c>
    </row>
    <row r="301" spans="2:55">
      <c r="B301" s="230"/>
      <c r="C301" s="230" t="s">
        <v>305</v>
      </c>
      <c r="D301" s="230"/>
      <c r="E301" s="203"/>
      <c r="F301" s="230"/>
      <c r="G301" s="232" t="s">
        <v>736</v>
      </c>
      <c r="H301" s="232"/>
      <c r="I301" s="232"/>
      <c r="J301" s="232"/>
      <c r="K301" s="232"/>
      <c r="L301" s="230"/>
      <c r="M301" s="247"/>
      <c r="N301" s="247"/>
      <c r="O301" s="247"/>
      <c r="P301" s="247"/>
      <c r="Q301" s="247"/>
      <c r="R301" s="247"/>
      <c r="S301" s="247"/>
      <c r="T301" s="247"/>
      <c r="U301" s="247"/>
      <c r="V301" s="247"/>
      <c r="W301" s="247"/>
      <c r="X301" s="254"/>
      <c r="Y301" s="254"/>
      <c r="Z301" s="254"/>
      <c r="AA301" s="254"/>
      <c r="AB301" s="254"/>
      <c r="AC301" s="254"/>
      <c r="AD301" s="604">
        <v>-0.12543657077888898</v>
      </c>
      <c r="AE301" s="604">
        <v>-0.14006234551555555</v>
      </c>
      <c r="AF301" s="604">
        <v>-0.1082127884009184</v>
      </c>
      <c r="AG301" s="604">
        <v>-5.9967515154127599E-2</v>
      </c>
      <c r="AH301" s="604">
        <v>-0.1114467389295388</v>
      </c>
      <c r="AI301" s="604">
        <v>-0.12110347463032502</v>
      </c>
      <c r="AJ301" s="604">
        <v>-0.11136</v>
      </c>
      <c r="AK301" s="604">
        <v>-0.12252206864666661</v>
      </c>
      <c r="AL301" s="604">
        <v>-0.12336</v>
      </c>
      <c r="AM301" s="601">
        <v>-0.13488768614888902</v>
      </c>
      <c r="AN301" s="601">
        <v>-0.12894</v>
      </c>
      <c r="AO301" s="642">
        <v>-0.57156679305810909</v>
      </c>
      <c r="AP301" s="642">
        <v>-0.57156679305810909</v>
      </c>
      <c r="AQ301" s="642">
        <v>-0.57156679305810909</v>
      </c>
      <c r="AR301" s="253">
        <v>-0.1733401627546394</v>
      </c>
      <c r="AS301" s="253">
        <v>-0.1733401627546394</v>
      </c>
      <c r="AT301" s="253">
        <v>-0.1733401627546394</v>
      </c>
      <c r="AU301" s="253">
        <v>-0.1733401627546394</v>
      </c>
      <c r="AV301" s="253">
        <v>-0.1733401627546394</v>
      </c>
      <c r="AW301" s="253">
        <v>-0.1733401627546394</v>
      </c>
      <c r="AX301" s="253">
        <v>-0.1733401627546394</v>
      </c>
      <c r="AY301" s="253">
        <v>-0.1733401627546394</v>
      </c>
      <c r="AZ301" s="253">
        <v>-0.1733401627546394</v>
      </c>
      <c r="BA301" s="253">
        <v>-0.1733401627546394</v>
      </c>
      <c r="BB301" s="253">
        <v>-0.1733401627546394</v>
      </c>
      <c r="BC301" s="253">
        <v>-0.1733401627546394</v>
      </c>
    </row>
    <row r="302" spans="2:55">
      <c r="B302" s="229"/>
      <c r="C302" s="229" t="s">
        <v>307</v>
      </c>
      <c r="D302" s="229"/>
      <c r="E302" s="203"/>
      <c r="F302" s="203"/>
      <c r="G302" s="232" t="s">
        <v>736</v>
      </c>
      <c r="H302" s="234"/>
      <c r="I302" s="234"/>
      <c r="J302" s="234"/>
      <c r="K302" s="234"/>
      <c r="L302" s="234"/>
      <c r="M302" s="234"/>
      <c r="N302" s="234"/>
      <c r="O302" s="234"/>
      <c r="P302" s="234"/>
      <c r="Q302" s="234"/>
      <c r="R302" s="234"/>
      <c r="S302" s="234"/>
      <c r="T302" s="234"/>
      <c r="U302" s="234"/>
      <c r="V302" s="234"/>
      <c r="W302" s="234"/>
      <c r="X302" s="234"/>
      <c r="Y302" s="234"/>
      <c r="Z302" s="234"/>
      <c r="AA302" s="234"/>
      <c r="AB302" s="234"/>
      <c r="AC302" s="234"/>
      <c r="AD302" s="234">
        <v>-0.12944109543777774</v>
      </c>
      <c r="AE302" s="234">
        <v>-0.13038377905111084</v>
      </c>
      <c r="AF302" s="234">
        <v>-8.4538870070934802E-2</v>
      </c>
      <c r="AG302" s="234">
        <v>-7.8844437439181805E-2</v>
      </c>
      <c r="AH302" s="234">
        <v>-0.11391996333152862</v>
      </c>
      <c r="AI302" s="234">
        <v>-9.7287240048331405E-2</v>
      </c>
      <c r="AJ302" s="234">
        <v>-9.6901217217071817E-2</v>
      </c>
      <c r="AK302" s="234">
        <v>-0.11514147725111121</v>
      </c>
      <c r="AL302" s="234">
        <v>-0.1245833748377778</v>
      </c>
      <c r="AM302" s="234">
        <v>-9.9596119377777806E-2</v>
      </c>
      <c r="AN302" s="234">
        <v>-0.11132</v>
      </c>
      <c r="AO302" s="234">
        <v>-8.9798349520044632E-2</v>
      </c>
      <c r="AP302" s="234">
        <v>-8.9798349520044632E-2</v>
      </c>
      <c r="AQ302" s="234">
        <v>-8.9798349520044632E-2</v>
      </c>
      <c r="AR302" s="253">
        <v>-0.21623715770520971</v>
      </c>
      <c r="AS302" s="253">
        <v>-0.21623715770520971</v>
      </c>
      <c r="AT302" s="253">
        <v>-0.21623715770520971</v>
      </c>
      <c r="AU302" s="253">
        <v>-0.21623715770520971</v>
      </c>
      <c r="AV302" s="253">
        <v>-0.21623715770520971</v>
      </c>
      <c r="AW302" s="253">
        <v>-0.21623715770520971</v>
      </c>
      <c r="AX302" s="253">
        <v>-0.21623715770520971</v>
      </c>
      <c r="AY302" s="253">
        <v>-0.21623715770520971</v>
      </c>
      <c r="AZ302" s="253">
        <v>-0.21623715770520971</v>
      </c>
      <c r="BA302" s="253">
        <v>-0.21623715770520971</v>
      </c>
      <c r="BB302" s="253">
        <v>-0.21623715770520971</v>
      </c>
      <c r="BC302" s="253">
        <v>-0.21623715770520971</v>
      </c>
    </row>
    <row r="303" spans="2:55">
      <c r="B303" s="229" t="s">
        <v>809</v>
      </c>
      <c r="C303" s="692"/>
      <c r="D303" s="230"/>
      <c r="E303" s="203"/>
      <c r="F303" s="229"/>
      <c r="G303" s="232" t="s">
        <v>736</v>
      </c>
      <c r="H303" s="234">
        <v>-1.1483862989999998</v>
      </c>
      <c r="I303" s="234">
        <v>-0.78213403333333309</v>
      </c>
      <c r="J303" s="234">
        <v>-1.5906130191111107</v>
      </c>
      <c r="K303" s="234">
        <v>-2.1389141787777781</v>
      </c>
      <c r="L303" s="234">
        <v>-1.4341450394444442</v>
      </c>
      <c r="M303" s="234">
        <v>-1.4462219378888888</v>
      </c>
      <c r="N303" s="234">
        <v>-1.5419050122828288</v>
      </c>
      <c r="O303" s="234">
        <v>-1.9106745773332945</v>
      </c>
      <c r="P303" s="234">
        <v>-2.2885342119393934</v>
      </c>
      <c r="Q303" s="234">
        <v>-3.7220818361111103</v>
      </c>
      <c r="R303" s="234">
        <v>-2.1720381289999997</v>
      </c>
      <c r="S303" s="234">
        <v>-2.2950157800000008</v>
      </c>
      <c r="T303" s="234">
        <v>-3.4967353800000001</v>
      </c>
      <c r="U303" s="234">
        <v>-4.2530579700000004</v>
      </c>
      <c r="V303" s="234">
        <v>-3.7397227050000006</v>
      </c>
      <c r="W303" s="234">
        <v>-3.3410046430000002</v>
      </c>
      <c r="X303" s="234">
        <v>-4.1904871559999997</v>
      </c>
      <c r="Y303" s="234">
        <v>-2.9772973449999998</v>
      </c>
      <c r="Z303" s="234">
        <v>-3.8525235850000001</v>
      </c>
      <c r="AA303" s="234">
        <v>-2.8744049010000001</v>
      </c>
      <c r="AB303" s="234">
        <v>-2.8787683910000004</v>
      </c>
      <c r="AC303" s="234">
        <v>-3.2826077470000001</v>
      </c>
      <c r="AD303" s="234">
        <v>-2.1114563219999996</v>
      </c>
      <c r="AE303" s="234">
        <v>-2.8338562409999994</v>
      </c>
      <c r="AF303" s="234">
        <v>-2.1777859290000006</v>
      </c>
      <c r="AG303" s="234">
        <v>-2.0419450339999998</v>
      </c>
      <c r="AH303" s="234">
        <v>-2.6106170580000003</v>
      </c>
      <c r="AI303" s="234">
        <v>-2.1417064819999996</v>
      </c>
      <c r="AJ303" s="234">
        <v>-2.1670895280000004</v>
      </c>
      <c r="AK303" s="234">
        <v>7.4408409520000012</v>
      </c>
      <c r="AL303" s="234">
        <v>0.95037708200000015</v>
      </c>
      <c r="AM303" s="234">
        <v>-1.927615267</v>
      </c>
      <c r="AN303" s="234">
        <v>-1.0728332495969775</v>
      </c>
      <c r="AO303" s="234">
        <v>-0.20937968525127768</v>
      </c>
      <c r="AP303" s="234">
        <v>-0.870080038</v>
      </c>
      <c r="AQ303" s="234">
        <v>-0.37008003800000006</v>
      </c>
      <c r="AR303" s="229">
        <v>-7.5032538000000232E-2</v>
      </c>
      <c r="AS303" s="229">
        <v>-4.7938788000000121E-2</v>
      </c>
      <c r="AT303" s="229">
        <v>-2.0845038000000204E-2</v>
      </c>
      <c r="AU303" s="229">
        <v>6.2487119999999063E-3</v>
      </c>
      <c r="AV303" s="229">
        <v>3.3342461999999795E-2</v>
      </c>
      <c r="AW303" s="229">
        <v>6.0436211999999934E-2</v>
      </c>
      <c r="AX303" s="229">
        <v>0.11152996199999982</v>
      </c>
      <c r="AY303" s="229">
        <v>0.13862371199999995</v>
      </c>
      <c r="AZ303" s="229">
        <v>5.4502782249999981</v>
      </c>
      <c r="BA303" s="229">
        <v>0.19281121199999995</v>
      </c>
      <c r="BB303" s="229">
        <v>0.21990496199999987</v>
      </c>
      <c r="BC303" s="229">
        <v>0.24699871199999998</v>
      </c>
    </row>
    <row r="304" spans="2:55">
      <c r="B304" s="229" t="s">
        <v>579</v>
      </c>
      <c r="C304" s="230"/>
      <c r="D304" s="230"/>
      <c r="E304" s="203"/>
      <c r="F304" s="230"/>
      <c r="G304" s="232" t="s">
        <v>736</v>
      </c>
      <c r="H304" s="247">
        <v>-1.1483862989999998</v>
      </c>
      <c r="I304" s="247">
        <v>-0.78213403333333309</v>
      </c>
      <c r="J304" s="247">
        <v>-1.5906130191111107</v>
      </c>
      <c r="K304" s="247">
        <v>-2.1389141787777781</v>
      </c>
      <c r="L304" s="247">
        <v>-1.4341450394444442</v>
      </c>
      <c r="M304" s="247">
        <v>-1.4462219378888888</v>
      </c>
      <c r="N304" s="247">
        <v>-1.5419050122828288</v>
      </c>
      <c r="O304" s="247">
        <v>-1.9106745773332945</v>
      </c>
      <c r="P304" s="247">
        <v>-2.2885342119393934</v>
      </c>
      <c r="Q304" s="247">
        <v>-3.7220818361111103</v>
      </c>
      <c r="R304" s="247">
        <v>-2.1720381289999997</v>
      </c>
      <c r="S304" s="247">
        <v>-2.2950157800000008</v>
      </c>
      <c r="T304" s="247">
        <v>-3.4967353800000001</v>
      </c>
      <c r="U304" s="247">
        <v>-4.2530579700000004</v>
      </c>
      <c r="V304" s="247">
        <v>-3.7397227050000006</v>
      </c>
      <c r="W304" s="247">
        <v>-3.3410046430000002</v>
      </c>
      <c r="X304" s="247">
        <v>-4.1904871559999997</v>
      </c>
      <c r="Y304" s="247">
        <v>-2.9772973449999998</v>
      </c>
      <c r="Z304" s="247">
        <v>-3.8525235850000001</v>
      </c>
      <c r="AA304" s="247">
        <v>-2.8744049010000001</v>
      </c>
      <c r="AB304" s="247">
        <v>-2.8787683910000004</v>
      </c>
      <c r="AC304" s="247">
        <v>-3.2826077470000001</v>
      </c>
      <c r="AD304" s="247">
        <v>-2.6028498060454051</v>
      </c>
      <c r="AE304" s="247">
        <v>-4.1787065346508543</v>
      </c>
      <c r="AF304" s="247">
        <v>-2.6778270052000006</v>
      </c>
      <c r="AG304" s="247">
        <v>-2.5629626019999998</v>
      </c>
      <c r="AH304" s="247">
        <v>-3.1240072812000004</v>
      </c>
      <c r="AI304" s="247">
        <v>-2.6799616731999998</v>
      </c>
      <c r="AJ304" s="247">
        <v>-2.6182272600000003</v>
      </c>
      <c r="AK304" s="247">
        <v>7.0040137446000008</v>
      </c>
      <c r="AL304" s="247">
        <v>0.50351652580000006</v>
      </c>
      <c r="AM304" s="247">
        <v>-2.4542040346</v>
      </c>
      <c r="AN304" s="247">
        <v>-1.5496429375969774</v>
      </c>
      <c r="AO304" s="247">
        <v>-0.21995515050127767</v>
      </c>
      <c r="AP304" s="247">
        <v>-0.88065550324999997</v>
      </c>
      <c r="AQ304" s="247">
        <v>-0.38065550325000008</v>
      </c>
      <c r="AR304" s="769">
        <v>-0.92666705965658291</v>
      </c>
      <c r="AS304" s="769">
        <v>-0.89957330965658278</v>
      </c>
      <c r="AT304" s="769">
        <v>-0.87247955965658286</v>
      </c>
      <c r="AU304" s="769">
        <v>-0.84538580965658283</v>
      </c>
      <c r="AV304" s="769">
        <v>-0.81829205965658292</v>
      </c>
      <c r="AW304" s="769">
        <v>-0.79119830965658278</v>
      </c>
      <c r="AX304" s="769">
        <v>-0.74010455965658295</v>
      </c>
      <c r="AY304" s="769">
        <v>-0.71301080965658281</v>
      </c>
      <c r="AZ304" s="769">
        <v>4.5986437033434155</v>
      </c>
      <c r="BA304" s="769">
        <v>-0.65882330965658276</v>
      </c>
      <c r="BB304" s="769">
        <v>-0.63172955965658284</v>
      </c>
      <c r="BC304" s="769">
        <v>-0.6046358096565827</v>
      </c>
    </row>
    <row r="305" spans="1:111">
      <c r="B305" t="s">
        <v>543</v>
      </c>
      <c r="G305" t="s">
        <v>736</v>
      </c>
      <c r="H305">
        <v>-1.1483862989999998</v>
      </c>
      <c r="I305">
        <v>-0.78213403333333309</v>
      </c>
      <c r="J305">
        <v>-1.5906130191111107</v>
      </c>
      <c r="K305">
        <v>-2.1389141787777781</v>
      </c>
      <c r="L305">
        <v>-1.4341450394444442</v>
      </c>
      <c r="M305">
        <v>-1.4462219378888888</v>
      </c>
      <c r="N305">
        <v>-1.5419050122828288</v>
      </c>
      <c r="O305">
        <v>-1.9106745773332945</v>
      </c>
      <c r="P305">
        <v>-2.2885342119393934</v>
      </c>
      <c r="Q305">
        <v>-3.7220818361111103</v>
      </c>
      <c r="R305">
        <v>-2.1720381289999997</v>
      </c>
      <c r="S305">
        <v>-2.2950157800000008</v>
      </c>
      <c r="T305">
        <v>-3.4967353800000001</v>
      </c>
      <c r="U305">
        <v>-4.2530579700000004</v>
      </c>
      <c r="V305">
        <v>-3.7397227050000006</v>
      </c>
      <c r="W305">
        <v>-3.3410046430000002</v>
      </c>
      <c r="X305">
        <v>-4.1904871559999997</v>
      </c>
      <c r="Y305">
        <v>-2.9772973449999998</v>
      </c>
      <c r="Z305">
        <v>-3.8525235850000001</v>
      </c>
      <c r="AA305">
        <v>-2.8744049010000001</v>
      </c>
      <c r="AB305">
        <v>-2.8787683910000004</v>
      </c>
      <c r="AC305">
        <v>-3.2826077470000001</v>
      </c>
      <c r="AD305">
        <v>-2.9872542161040343</v>
      </c>
      <c r="AE305">
        <v>-4.6484632235052459</v>
      </c>
      <c r="AF305">
        <v>-2.957828174671854</v>
      </c>
      <c r="AG305">
        <v>-2.7922583447933089</v>
      </c>
      <c r="AH305">
        <v>-3.4439934746610676</v>
      </c>
      <c r="AI305">
        <v>-2.9919548630786563</v>
      </c>
      <c r="AJ305">
        <v>-2.9068148594170724</v>
      </c>
      <c r="AK305">
        <v>6.6859799697022231</v>
      </c>
      <c r="AL305">
        <v>0.17505923416222224</v>
      </c>
      <c r="AM305">
        <v>-2.7745998897266668</v>
      </c>
      <c r="AN305">
        <v>-1.8744071507969773</v>
      </c>
      <c r="AO305">
        <v>-1.7915120636249677</v>
      </c>
      <c r="AP305">
        <v>-2.45221241637369</v>
      </c>
      <c r="AQ305">
        <v>-1.95221241637369</v>
      </c>
      <c r="AR305">
        <v>-1.4268835061241674</v>
      </c>
      <c r="AS305">
        <v>-1.3997897561241672</v>
      </c>
      <c r="AT305">
        <v>-1.3726960061241673</v>
      </c>
      <c r="AU305">
        <v>-1.3456022561241672</v>
      </c>
      <c r="AV305">
        <v>-1.3185085061241673</v>
      </c>
      <c r="AW305">
        <v>-1.2914147561241671</v>
      </c>
      <c r="AX305">
        <v>-1.2403210061241672</v>
      </c>
      <c r="AY305">
        <v>-1.213227256124167</v>
      </c>
      <c r="AZ305">
        <v>4.0984272568758309</v>
      </c>
      <c r="BA305">
        <v>-1.1590397561241672</v>
      </c>
      <c r="BB305">
        <v>-1.1319460061241671</v>
      </c>
      <c r="BC305">
        <v>-1.1048522561241672</v>
      </c>
    </row>
    <row r="308" spans="1:111">
      <c r="A308" s="680" t="s">
        <v>842</v>
      </c>
    </row>
    <row r="309" spans="1:111">
      <c r="B309" s="693" t="s">
        <v>842</v>
      </c>
      <c r="C309" s="694"/>
      <c r="D309" s="694"/>
      <c r="E309" s="694"/>
      <c r="F309" s="695"/>
      <c r="G309" s="695"/>
      <c r="H309" s="609"/>
      <c r="I309" s="609"/>
      <c r="J309" s="609"/>
      <c r="K309" s="609"/>
      <c r="L309" s="126"/>
      <c r="M309" s="696"/>
      <c r="N309" s="696"/>
      <c r="O309" s="696"/>
      <c r="P309" s="696"/>
      <c r="Q309" s="696"/>
      <c r="R309" s="696"/>
      <c r="S309" s="696"/>
      <c r="T309" s="696"/>
      <c r="U309" s="696"/>
      <c r="V309" s="696"/>
      <c r="W309" s="696"/>
      <c r="X309" s="697"/>
      <c r="Y309" s="697"/>
      <c r="Z309" s="697"/>
      <c r="AA309" s="697"/>
      <c r="AB309" s="697"/>
      <c r="AC309" s="697"/>
      <c r="AD309" s="697"/>
      <c r="AE309" s="697"/>
      <c r="AF309" s="697"/>
      <c r="AG309" s="697"/>
      <c r="AH309" s="697"/>
      <c r="AI309" s="697"/>
      <c r="AJ309" s="697"/>
      <c r="AK309" s="697"/>
      <c r="AL309" s="697"/>
      <c r="AM309" s="697"/>
      <c r="AN309" s="697"/>
      <c r="AO309" s="697"/>
      <c r="AP309" s="697"/>
      <c r="AQ309" s="697"/>
      <c r="AR309" s="697"/>
      <c r="AS309" s="697"/>
      <c r="AT309" s="697"/>
      <c r="AU309" s="697"/>
      <c r="AV309" s="697"/>
      <c r="AW309" s="697"/>
      <c r="AX309" s="697"/>
      <c r="AY309" s="697"/>
      <c r="AZ309" s="697"/>
      <c r="BA309" s="697"/>
      <c r="BB309" s="697"/>
      <c r="BC309" s="697"/>
      <c r="BD309" s="697"/>
      <c r="BE309" s="697"/>
      <c r="BF309" s="697"/>
      <c r="BG309" s="697"/>
      <c r="BH309" s="697"/>
      <c r="BI309" s="697"/>
      <c r="BJ309" s="697"/>
      <c r="BK309" s="697"/>
      <c r="BL309" s="697"/>
      <c r="BM309" s="697"/>
      <c r="BN309" s="697"/>
      <c r="BO309" s="697"/>
      <c r="BP309" s="697"/>
      <c r="BQ309" s="697"/>
      <c r="BR309" s="697"/>
      <c r="BS309" s="697"/>
      <c r="BT309" s="697"/>
      <c r="BU309" s="697"/>
      <c r="BV309" s="697"/>
      <c r="BW309" s="697"/>
      <c r="BX309" s="697"/>
      <c r="BY309" s="697"/>
      <c r="BZ309" s="697"/>
      <c r="CA309" s="697"/>
      <c r="CB309" s="697"/>
      <c r="CC309" s="697"/>
      <c r="CD309" s="697"/>
      <c r="CE309" s="697"/>
      <c r="CF309" s="697"/>
      <c r="CG309" s="697"/>
      <c r="CH309" s="697"/>
      <c r="CI309" s="697"/>
      <c r="CJ309" s="697"/>
      <c r="CK309" s="697"/>
      <c r="CL309" s="697"/>
      <c r="CM309" s="697"/>
      <c r="CN309" s="697"/>
      <c r="CO309" s="697"/>
      <c r="CP309" s="697"/>
      <c r="CQ309" s="697"/>
      <c r="CR309" s="697"/>
      <c r="CS309" s="697"/>
      <c r="CT309" s="697"/>
      <c r="CU309" s="697"/>
      <c r="CV309" s="697"/>
      <c r="CW309" s="697"/>
      <c r="CX309" s="697"/>
      <c r="CY309" s="697"/>
      <c r="CZ309" s="126"/>
      <c r="DA309" s="126"/>
      <c r="DB309" s="126"/>
      <c r="DC309" s="126"/>
      <c r="DD309" s="126"/>
      <c r="DE309" s="126"/>
      <c r="DF309" s="126"/>
      <c r="DG309" s="126"/>
    </row>
    <row r="310" spans="1:111">
      <c r="B310" s="126"/>
      <c r="C310" s="698" t="s">
        <v>816</v>
      </c>
      <c r="D310" s="126"/>
      <c r="E310" s="126"/>
      <c r="F310" s="609"/>
      <c r="G310" s="609"/>
      <c r="H310" s="609"/>
      <c r="I310" s="609"/>
      <c r="J310" s="609"/>
      <c r="K310" s="609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  <c r="AP310" s="126"/>
      <c r="AQ310" s="126"/>
      <c r="AR310" s="126"/>
      <c r="AS310" s="126"/>
      <c r="AT310" s="126"/>
      <c r="AU310" s="126"/>
      <c r="AV310" s="126"/>
      <c r="AW310" s="126"/>
      <c r="AX310" s="126"/>
      <c r="AY310" s="126"/>
      <c r="AZ310" s="126"/>
      <c r="BA310" s="126"/>
      <c r="BB310" s="126"/>
      <c r="BC310" s="126"/>
      <c r="BD310" s="126"/>
      <c r="BE310" s="126"/>
      <c r="BF310" s="126"/>
      <c r="BG310" s="126"/>
      <c r="BH310" s="126"/>
      <c r="BI310" s="126"/>
      <c r="BJ310" s="126"/>
      <c r="BK310" s="126"/>
      <c r="BL310" s="126"/>
      <c r="BM310" s="126"/>
      <c r="BN310" s="126"/>
      <c r="BO310" s="126"/>
      <c r="BP310" s="126"/>
      <c r="BQ310" s="126"/>
      <c r="BR310" s="126"/>
      <c r="BS310" s="126"/>
      <c r="BT310" s="126"/>
      <c r="BU310" s="126"/>
      <c r="BV310" s="126"/>
      <c r="BW310" s="126"/>
      <c r="BX310" s="126"/>
      <c r="BY310" s="126"/>
      <c r="BZ310" s="126"/>
      <c r="CA310" s="126"/>
      <c r="CB310" s="126"/>
      <c r="CC310" s="126"/>
      <c r="CD310" s="126"/>
      <c r="CE310" s="126"/>
      <c r="CF310" s="126"/>
      <c r="CG310" s="126"/>
      <c r="CH310" s="126"/>
      <c r="CI310" s="126"/>
      <c r="CJ310" s="126"/>
      <c r="CK310" s="126"/>
      <c r="CL310" s="126"/>
      <c r="CM310" s="126"/>
      <c r="CN310" s="126"/>
      <c r="CO310" s="126"/>
      <c r="CP310" s="126"/>
      <c r="CQ310" s="126"/>
      <c r="CR310" s="126"/>
      <c r="CS310" s="126"/>
      <c r="CT310" s="126"/>
      <c r="CU310" s="126"/>
      <c r="CV310" s="126"/>
      <c r="CW310" s="126"/>
      <c r="CX310" s="126"/>
      <c r="CY310" s="126"/>
      <c r="CZ310" s="126"/>
      <c r="DA310" s="126"/>
      <c r="DB310" s="126"/>
      <c r="DC310" s="126"/>
      <c r="DD310" s="126"/>
      <c r="DE310" s="126"/>
      <c r="DF310" s="126"/>
      <c r="DG310" s="126"/>
    </row>
    <row r="311" spans="1:111">
      <c r="B311" s="126"/>
      <c r="C311" s="698" t="s">
        <v>793</v>
      </c>
      <c r="D311" s="126"/>
      <c r="E311" s="126"/>
      <c r="F311" s="609"/>
      <c r="G311" s="699" t="s">
        <v>743</v>
      </c>
      <c r="H311" s="609"/>
      <c r="I311" s="609"/>
      <c r="J311" s="609"/>
      <c r="K311" s="609"/>
      <c r="L311" s="126"/>
      <c r="M311" s="126"/>
      <c r="N311" s="12"/>
      <c r="O311" s="12"/>
      <c r="P311" s="12"/>
      <c r="Q311" s="12"/>
      <c r="R311" s="12"/>
      <c r="S311" s="12"/>
      <c r="T311" s="700"/>
      <c r="U311" s="700"/>
      <c r="V311" s="700"/>
      <c r="W311" s="700"/>
      <c r="X311" s="700"/>
      <c r="Y311" s="700"/>
      <c r="Z311" s="700"/>
      <c r="AA311" s="700"/>
      <c r="AB311" s="700"/>
      <c r="AC311" s="700"/>
      <c r="AD311" s="700"/>
      <c r="AE311" s="700"/>
      <c r="AF311" s="701"/>
      <c r="AG311" s="701"/>
      <c r="AH311" s="701"/>
      <c r="AI311" s="701">
        <v>0.34699999999999998</v>
      </c>
      <c r="AJ311" s="701">
        <v>5.5110000000000001</v>
      </c>
      <c r="AK311" s="701">
        <v>6.1260000000000003</v>
      </c>
      <c r="AL311" s="701">
        <v>8.577</v>
      </c>
      <c r="AM311" s="701">
        <v>8.1079999999999988</v>
      </c>
      <c r="AN311" s="701">
        <v>5.6420000000000003</v>
      </c>
      <c r="AO311" s="701">
        <v>5.7130000000000001</v>
      </c>
      <c r="AP311" s="701">
        <v>9.4379999999999988</v>
      </c>
      <c r="AQ311" s="701">
        <v>11.375</v>
      </c>
      <c r="AR311" s="701">
        <v>11.639583333333333</v>
      </c>
      <c r="AS311" s="701">
        <v>11.904166666666665</v>
      </c>
      <c r="AT311" s="701">
        <v>12.168749999999999</v>
      </c>
      <c r="AU311" s="701">
        <v>12.433333333333332</v>
      </c>
      <c r="AV311" s="701">
        <v>12.697916666666664</v>
      </c>
      <c r="AW311" s="701">
        <v>12.962499999999999</v>
      </c>
      <c r="AX311" s="701">
        <v>13.227083333333331</v>
      </c>
      <c r="AY311" s="701">
        <v>13.491666666666664</v>
      </c>
      <c r="AZ311" s="701">
        <v>13.756249999999996</v>
      </c>
      <c r="BA311" s="701">
        <v>14.020833333333329</v>
      </c>
      <c r="BB311" s="701">
        <v>14.285416666666663</v>
      </c>
      <c r="BC311" s="701">
        <v>14.55</v>
      </c>
      <c r="BD311" s="701">
        <v>14.4375</v>
      </c>
      <c r="BE311" s="701">
        <v>14.324999999999999</v>
      </c>
      <c r="BF311" s="701">
        <v>14.2125</v>
      </c>
      <c r="BG311" s="701">
        <v>14.1</v>
      </c>
      <c r="BH311" s="701">
        <v>13.987500000000001</v>
      </c>
      <c r="BI311" s="701">
        <v>13.875</v>
      </c>
      <c r="BJ311" s="701">
        <v>13.762500000000001</v>
      </c>
      <c r="BK311" s="701">
        <v>13.650000000000002</v>
      </c>
      <c r="BL311" s="701">
        <v>13.537500000000001</v>
      </c>
      <c r="BM311" s="701">
        <v>13.425000000000001</v>
      </c>
      <c r="BN311" s="701">
        <v>13.3125</v>
      </c>
      <c r="BO311" s="701">
        <v>13.2</v>
      </c>
      <c r="BP311" s="701">
        <v>13.266666666666666</v>
      </c>
      <c r="BQ311" s="701">
        <v>13.333333333333332</v>
      </c>
      <c r="BR311" s="701">
        <v>13.399999999999999</v>
      </c>
      <c r="BS311" s="701">
        <v>13.466666666666665</v>
      </c>
      <c r="BT311" s="701">
        <v>13.533333333333331</v>
      </c>
      <c r="BU311" s="701">
        <v>13.599999999999998</v>
      </c>
      <c r="BV311" s="701">
        <v>13.666666666666664</v>
      </c>
      <c r="BW311" s="701">
        <v>13.733333333333331</v>
      </c>
      <c r="BX311" s="701">
        <v>13.799999999999997</v>
      </c>
      <c r="BY311" s="701">
        <v>13.866666666666664</v>
      </c>
      <c r="BZ311" s="701">
        <v>13.93333333333333</v>
      </c>
      <c r="CA311" s="701">
        <v>14</v>
      </c>
      <c r="CB311" s="701">
        <v>14</v>
      </c>
      <c r="CC311" s="701">
        <v>14</v>
      </c>
      <c r="CD311" s="701">
        <v>14</v>
      </c>
      <c r="CE311" s="701">
        <v>14</v>
      </c>
      <c r="CF311" s="701">
        <v>14</v>
      </c>
      <c r="CG311" s="701">
        <v>14</v>
      </c>
      <c r="CH311" s="701">
        <v>14</v>
      </c>
      <c r="CI311" s="701">
        <v>14</v>
      </c>
      <c r="CJ311" s="701">
        <v>14</v>
      </c>
      <c r="CK311" s="701">
        <v>14</v>
      </c>
      <c r="CL311" s="701">
        <v>14</v>
      </c>
      <c r="CM311" s="701">
        <v>14</v>
      </c>
      <c r="CN311" s="701">
        <v>14</v>
      </c>
      <c r="CO311" s="701">
        <v>14</v>
      </c>
      <c r="CP311" s="701">
        <v>14</v>
      </c>
      <c r="CQ311" s="701">
        <v>14</v>
      </c>
      <c r="CR311" s="701">
        <v>14</v>
      </c>
      <c r="CS311" s="701">
        <v>14</v>
      </c>
      <c r="CT311" s="701">
        <v>14</v>
      </c>
      <c r="CU311" s="701">
        <v>14</v>
      </c>
      <c r="CV311" s="701">
        <v>14</v>
      </c>
      <c r="CW311" s="701">
        <v>14</v>
      </c>
      <c r="CX311" s="701">
        <v>14</v>
      </c>
      <c r="CY311" s="701">
        <v>14</v>
      </c>
      <c r="CZ311" s="126"/>
      <c r="DA311" s="11"/>
      <c r="DB311" s="12"/>
      <c r="DC311" s="12"/>
      <c r="DD311" s="12"/>
      <c r="DE311" s="12"/>
      <c r="DF311" s="12"/>
      <c r="DG311" s="12"/>
    </row>
    <row r="312" spans="1:111">
      <c r="B312" s="126"/>
      <c r="C312" s="698" t="s">
        <v>194</v>
      </c>
      <c r="D312" s="126"/>
      <c r="E312" s="126"/>
      <c r="F312" s="609"/>
      <c r="G312" s="699" t="s">
        <v>743</v>
      </c>
      <c r="H312" s="609"/>
      <c r="I312" s="609"/>
      <c r="J312" s="609"/>
      <c r="K312" s="609"/>
      <c r="L312" s="126"/>
      <c r="M312" s="126"/>
      <c r="N312" s="12"/>
      <c r="O312" s="12"/>
      <c r="P312" s="12"/>
      <c r="Q312" s="12"/>
      <c r="R312" s="12"/>
      <c r="S312" s="12"/>
      <c r="T312" s="700"/>
      <c r="U312" s="700"/>
      <c r="V312" s="700"/>
      <c r="W312" s="700"/>
      <c r="X312" s="700"/>
      <c r="Y312" s="700"/>
      <c r="Z312" s="700"/>
      <c r="AA312" s="700"/>
      <c r="AB312" s="700"/>
      <c r="AC312" s="700"/>
      <c r="AD312" s="700"/>
      <c r="AE312" s="700"/>
      <c r="AF312" s="701"/>
      <c r="AG312" s="701"/>
      <c r="AH312" s="701"/>
      <c r="AI312" s="701">
        <v>0.34699999999999998</v>
      </c>
      <c r="AJ312" s="701">
        <v>5.8579999999999997</v>
      </c>
      <c r="AK312" s="701">
        <v>11.984</v>
      </c>
      <c r="AL312" s="701">
        <v>20.561</v>
      </c>
      <c r="AM312" s="701">
        <v>28.669</v>
      </c>
      <c r="AN312" s="701">
        <v>34.311</v>
      </c>
      <c r="AO312" s="701">
        <v>40.024000000000001</v>
      </c>
      <c r="AP312" s="701">
        <v>49.462000000000003</v>
      </c>
      <c r="AQ312" s="701">
        <v>60.837000000000003</v>
      </c>
      <c r="AR312" s="701">
        <v>72.476583333333338</v>
      </c>
      <c r="AS312" s="701">
        <v>84.380750000000006</v>
      </c>
      <c r="AT312" s="701">
        <v>96.549499999999995</v>
      </c>
      <c r="AU312" s="701">
        <v>108.98283333333333</v>
      </c>
      <c r="AV312" s="701">
        <v>121.68075</v>
      </c>
      <c r="AW312" s="701">
        <v>134.64325000000002</v>
      </c>
      <c r="AX312" s="701">
        <v>147.87033333333332</v>
      </c>
      <c r="AY312" s="701">
        <v>161.36199999999999</v>
      </c>
      <c r="AZ312" s="701">
        <v>175.11825000000002</v>
      </c>
      <c r="BA312" s="701">
        <v>189.13908333333333</v>
      </c>
      <c r="BB312" s="701">
        <v>203.42449999999999</v>
      </c>
      <c r="BC312" s="701">
        <v>217.97450000000001</v>
      </c>
      <c r="BD312" s="701">
        <v>232.41199999999998</v>
      </c>
      <c r="BE312" s="701">
        <v>246.73699999999999</v>
      </c>
      <c r="BF312" s="701">
        <v>260.9495</v>
      </c>
      <c r="BG312" s="701">
        <v>275.04949999999997</v>
      </c>
      <c r="BH312" s="701">
        <v>289.03699999999998</v>
      </c>
      <c r="BI312" s="701">
        <v>302.91200000000003</v>
      </c>
      <c r="BJ312" s="701">
        <v>316.67449999999997</v>
      </c>
      <c r="BK312" s="701">
        <v>330.3245</v>
      </c>
      <c r="BL312" s="701">
        <v>343.86200000000002</v>
      </c>
      <c r="BM312" s="701">
        <v>357.28699999999998</v>
      </c>
      <c r="BN312" s="701">
        <v>370.59949999999998</v>
      </c>
      <c r="BO312" s="701">
        <v>383.79949999999997</v>
      </c>
      <c r="BP312" s="701">
        <v>397.06616666666667</v>
      </c>
      <c r="BQ312" s="701">
        <v>410.39949999999999</v>
      </c>
      <c r="BR312" s="701">
        <v>423.79949999999997</v>
      </c>
      <c r="BS312" s="701">
        <v>437.26616666666666</v>
      </c>
      <c r="BT312" s="701">
        <v>450.79949999999997</v>
      </c>
      <c r="BU312" s="701">
        <v>464.39949999999999</v>
      </c>
      <c r="BV312" s="701">
        <v>478.06616666666662</v>
      </c>
      <c r="BW312" s="701">
        <v>491.79949999999997</v>
      </c>
      <c r="BX312" s="701">
        <v>505.59949999999998</v>
      </c>
      <c r="BY312" s="701">
        <v>519.4661666666666</v>
      </c>
      <c r="BZ312" s="701">
        <v>533.39949999999999</v>
      </c>
      <c r="CA312" s="701">
        <v>547.39949999999999</v>
      </c>
      <c r="CB312" s="701">
        <v>561.39949999999999</v>
      </c>
      <c r="CC312" s="701">
        <v>575.39949999999999</v>
      </c>
      <c r="CD312" s="701">
        <v>589.39949999999999</v>
      </c>
      <c r="CE312" s="701">
        <v>603.39949999999999</v>
      </c>
      <c r="CF312" s="701">
        <v>617.39949999999999</v>
      </c>
      <c r="CG312" s="701">
        <v>631.39949999999999</v>
      </c>
      <c r="CH312" s="701">
        <v>645.39949999999999</v>
      </c>
      <c r="CI312" s="701">
        <v>659.39949999999999</v>
      </c>
      <c r="CJ312" s="701">
        <v>673.39949999999999</v>
      </c>
      <c r="CK312" s="701">
        <v>687.39949999999999</v>
      </c>
      <c r="CL312" s="701">
        <v>701.39949999999999</v>
      </c>
      <c r="CM312" s="701">
        <v>715.39949999999999</v>
      </c>
      <c r="CN312" s="701">
        <v>729.39949999999999</v>
      </c>
      <c r="CO312" s="701">
        <v>743.39949999999999</v>
      </c>
      <c r="CP312" s="701">
        <v>757.39949999999999</v>
      </c>
      <c r="CQ312" s="701">
        <v>771.39949999999999</v>
      </c>
      <c r="CR312" s="701">
        <v>785.39949999999999</v>
      </c>
      <c r="CS312" s="701">
        <v>799.39949999999999</v>
      </c>
      <c r="CT312" s="701">
        <v>813.39949999999999</v>
      </c>
      <c r="CU312" s="701">
        <v>827.39949999999999</v>
      </c>
      <c r="CV312" s="701">
        <v>841.39949999999999</v>
      </c>
      <c r="CW312" s="701">
        <v>855.39949999999999</v>
      </c>
      <c r="CX312" s="701">
        <v>869.39949999999999</v>
      </c>
      <c r="CY312" s="701">
        <v>883.39949999999999</v>
      </c>
      <c r="CZ312" s="126"/>
      <c r="DA312" s="12"/>
      <c r="DB312" s="12"/>
      <c r="DC312" s="12"/>
      <c r="DD312" s="12"/>
      <c r="DE312" s="12"/>
      <c r="DF312" s="12"/>
      <c r="DG312" s="12"/>
    </row>
    <row r="313" spans="1:111">
      <c r="B313" s="126"/>
      <c r="C313" s="698" t="s">
        <v>843</v>
      </c>
      <c r="D313" s="12"/>
      <c r="E313" s="126"/>
      <c r="F313" s="609"/>
      <c r="G313" s="699" t="s">
        <v>743</v>
      </c>
      <c r="H313" s="609"/>
      <c r="I313" s="609"/>
      <c r="J313" s="609"/>
      <c r="K313" s="609"/>
      <c r="L313" s="126"/>
      <c r="M313" s="126"/>
      <c r="N313" s="126"/>
      <c r="O313" s="126"/>
      <c r="P313" s="126"/>
      <c r="Q313" s="126"/>
      <c r="R313" s="126"/>
      <c r="S313" s="126"/>
      <c r="T313" s="700"/>
      <c r="U313" s="700"/>
      <c r="V313" s="700"/>
      <c r="W313" s="700"/>
      <c r="X313" s="700"/>
      <c r="Y313" s="700"/>
      <c r="Z313" s="700"/>
      <c r="AA313" s="700"/>
      <c r="AB313" s="700"/>
      <c r="AC313" s="700"/>
      <c r="AD313" s="700"/>
      <c r="AE313" s="700"/>
      <c r="AF313" s="701"/>
      <c r="AG313" s="701"/>
      <c r="AH313" s="701"/>
      <c r="AI313" s="701">
        <v>3.2000000000000001E-2</v>
      </c>
      <c r="AJ313" s="701">
        <v>1.2809999999999999</v>
      </c>
      <c r="AK313" s="701">
        <v>3.5570000000000004</v>
      </c>
      <c r="AL313" s="701">
        <v>6.931</v>
      </c>
      <c r="AM313" s="701">
        <v>13.348000000000001</v>
      </c>
      <c r="AN313" s="701">
        <v>10.637</v>
      </c>
      <c r="AO313" s="701">
        <v>12.311800000000002</v>
      </c>
      <c r="AP313" s="701">
        <v>15.0824</v>
      </c>
      <c r="AQ313" s="701">
        <v>18.79175</v>
      </c>
      <c r="AR313" s="701">
        <v>22.073183333333333</v>
      </c>
      <c r="AS313" s="701">
        <v>25.779849999999996</v>
      </c>
      <c r="AT313" s="701">
        <v>29.571099999999998</v>
      </c>
      <c r="AU313" s="701">
        <v>33.446933333333334</v>
      </c>
      <c r="AV313" s="701">
        <v>37.407350000000001</v>
      </c>
      <c r="AW313" s="701">
        <v>41.452350000000003</v>
      </c>
      <c r="AX313" s="701">
        <v>45.581933333333332</v>
      </c>
      <c r="AY313" s="701">
        <v>49.796099999999996</v>
      </c>
      <c r="AZ313" s="701">
        <v>54.094850000000001</v>
      </c>
      <c r="BA313" s="701">
        <v>58.478183333333334</v>
      </c>
      <c r="BB313" s="701">
        <v>62.946100000000001</v>
      </c>
      <c r="BC313" s="701">
        <v>67.498599999999996</v>
      </c>
      <c r="BD313" s="701">
        <v>85.751200000000011</v>
      </c>
      <c r="BE313" s="701">
        <v>91.413700000000006</v>
      </c>
      <c r="BF313" s="701">
        <v>97.069950000000006</v>
      </c>
      <c r="BG313" s="701">
        <v>102.71994999999998</v>
      </c>
      <c r="BH313" s="701">
        <v>108.36369999999999</v>
      </c>
      <c r="BI313" s="701">
        <v>114.0012</v>
      </c>
      <c r="BJ313" s="701">
        <v>119.63244999999998</v>
      </c>
      <c r="BK313" s="701">
        <v>125.25745000000001</v>
      </c>
      <c r="BL313" s="701">
        <v>130.87619999999998</v>
      </c>
      <c r="BM313" s="701">
        <v>136.48869999999999</v>
      </c>
      <c r="BN313" s="701">
        <v>142.09494999999998</v>
      </c>
      <c r="BO313" s="701">
        <v>147.69495000000001</v>
      </c>
      <c r="BP313" s="701">
        <v>153.32828333333333</v>
      </c>
      <c r="BQ313" s="701">
        <v>158.99494999999999</v>
      </c>
      <c r="BR313" s="701">
        <v>164.69495000000001</v>
      </c>
      <c r="BS313" s="701">
        <v>170.42828333333333</v>
      </c>
      <c r="BT313" s="701">
        <v>176.19495000000001</v>
      </c>
      <c r="BU313" s="701">
        <v>181.99494999999999</v>
      </c>
      <c r="BV313" s="701">
        <v>187.82828333333333</v>
      </c>
      <c r="BW313" s="701">
        <v>193.69494999999998</v>
      </c>
      <c r="BX313" s="701">
        <v>199.59494999999998</v>
      </c>
      <c r="BY313" s="701">
        <v>205.52828333333332</v>
      </c>
      <c r="BZ313" s="701">
        <v>211.49494999999996</v>
      </c>
      <c r="CA313" s="701">
        <v>217.49494999999996</v>
      </c>
      <c r="CB313" s="701">
        <v>223.49494999999996</v>
      </c>
      <c r="CC313" s="701">
        <v>229.49494999999996</v>
      </c>
      <c r="CD313" s="701">
        <v>235.49494999999996</v>
      </c>
      <c r="CE313" s="701">
        <v>241.49494999999996</v>
      </c>
      <c r="CF313" s="701">
        <v>247.49494999999996</v>
      </c>
      <c r="CG313" s="701">
        <v>253.49494999999996</v>
      </c>
      <c r="CH313" s="701">
        <v>259.49494999999996</v>
      </c>
      <c r="CI313" s="701">
        <v>265.49494999999996</v>
      </c>
      <c r="CJ313" s="701">
        <v>271.49494999999996</v>
      </c>
      <c r="CK313" s="701">
        <v>277.49494999999996</v>
      </c>
      <c r="CL313" s="701">
        <v>283.49494999999996</v>
      </c>
      <c r="CM313" s="701">
        <v>289.49494999999996</v>
      </c>
      <c r="CN313" s="701">
        <v>295.49494999999996</v>
      </c>
      <c r="CO313" s="701">
        <v>301.49494999999996</v>
      </c>
      <c r="CP313" s="701">
        <v>307.49494999999996</v>
      </c>
      <c r="CQ313" s="701">
        <v>313.49494999999996</v>
      </c>
      <c r="CR313" s="701">
        <v>319.49494999999996</v>
      </c>
      <c r="CS313" s="701">
        <v>325.49494999999996</v>
      </c>
      <c r="CT313" s="701">
        <v>331.49494999999996</v>
      </c>
      <c r="CU313" s="701">
        <v>337.49494999999996</v>
      </c>
      <c r="CV313" s="701">
        <v>343.49494999999996</v>
      </c>
      <c r="CW313" s="701">
        <v>349.49494999999996</v>
      </c>
      <c r="CX313" s="701">
        <v>355.49494999999996</v>
      </c>
      <c r="CY313" s="701">
        <v>361.49494999999996</v>
      </c>
      <c r="CZ313" s="126"/>
      <c r="DA313" s="11"/>
      <c r="DB313" s="11"/>
      <c r="DC313" s="11"/>
      <c r="DD313" s="11"/>
      <c r="DE313" s="11"/>
      <c r="DF313" s="11"/>
      <c r="DG313" s="11"/>
    </row>
    <row r="314" spans="1:111">
      <c r="B314" s="126"/>
      <c r="C314" s="698" t="s">
        <v>795</v>
      </c>
      <c r="D314" s="126"/>
      <c r="E314" s="126"/>
      <c r="F314" s="609"/>
      <c r="G314" s="609" t="s">
        <v>736</v>
      </c>
      <c r="H314" s="609"/>
      <c r="I314" s="609"/>
      <c r="J314" s="609"/>
      <c r="K314" s="609"/>
      <c r="L314" s="126"/>
      <c r="M314" s="126"/>
      <c r="N314" s="126"/>
      <c r="O314" s="126"/>
      <c r="P314" s="126"/>
      <c r="Q314" s="126"/>
      <c r="R314" s="126"/>
      <c r="S314" s="126"/>
      <c r="T314" s="700"/>
      <c r="U314" s="700"/>
      <c r="V314" s="700"/>
      <c r="W314" s="700"/>
      <c r="X314" s="700"/>
      <c r="Y314" s="700"/>
      <c r="Z314" s="700"/>
      <c r="AA314" s="700"/>
      <c r="AB314" s="700"/>
      <c r="AC314" s="700"/>
      <c r="AD314" s="700"/>
      <c r="AE314" s="700"/>
      <c r="AF314" s="701"/>
      <c r="AG314" s="701"/>
      <c r="AH314" s="701"/>
      <c r="AI314" s="701">
        <v>2.0056899999999999E-2</v>
      </c>
      <c r="AJ314" s="701">
        <v>1.0980000000000001</v>
      </c>
      <c r="AK314" s="701">
        <v>2.7368178800000003</v>
      </c>
      <c r="AL314" s="701">
        <v>5.0356150660000001</v>
      </c>
      <c r="AM314" s="701">
        <v>7.1883971720000002</v>
      </c>
      <c r="AN314" s="701">
        <v>7.9208724949999993</v>
      </c>
      <c r="AO314" s="701">
        <v>8.6182600000000011</v>
      </c>
      <c r="AP314" s="701">
        <v>11.037839999999999</v>
      </c>
      <c r="AQ314" s="701">
        <v>16.042584999999999</v>
      </c>
      <c r="AR314" s="701">
        <v>19.121505833333334</v>
      </c>
      <c r="AS314" s="701">
        <v>22.702547499999994</v>
      </c>
      <c r="AT314" s="701">
        <v>26.374734999999998</v>
      </c>
      <c r="AU314" s="701">
        <v>30.138068333333329</v>
      </c>
      <c r="AV314" s="701">
        <v>33.992547500000001</v>
      </c>
      <c r="AW314" s="701">
        <v>37.9381725</v>
      </c>
      <c r="AX314" s="701">
        <v>41.974943333333336</v>
      </c>
      <c r="AY314" s="701">
        <v>46.10286</v>
      </c>
      <c r="AZ314" s="701">
        <v>50.321922499999999</v>
      </c>
      <c r="BA314" s="701">
        <v>54.632130833333335</v>
      </c>
      <c r="BB314" s="701">
        <v>59.033484999999999</v>
      </c>
      <c r="BC314" s="701">
        <v>63.525984999999999</v>
      </c>
      <c r="BD314" s="701">
        <v>85.17530166666667</v>
      </c>
      <c r="BE314" s="701">
        <v>91.146135000000001</v>
      </c>
      <c r="BF314" s="701">
        <v>97.154885000000007</v>
      </c>
      <c r="BG314" s="701">
        <v>103.20155166666666</v>
      </c>
      <c r="BH314" s="701">
        <v>109.286135</v>
      </c>
      <c r="BI314" s="701">
        <v>115.408635</v>
      </c>
      <c r="BJ314" s="701">
        <v>121.56905166666667</v>
      </c>
      <c r="BK314" s="701">
        <v>127.767385</v>
      </c>
      <c r="BL314" s="701">
        <v>134.003635</v>
      </c>
      <c r="BM314" s="701">
        <v>140.27780166666665</v>
      </c>
      <c r="BN314" s="701">
        <v>146.58988499999998</v>
      </c>
      <c r="BO314" s="701">
        <v>152.939885</v>
      </c>
      <c r="BP314" s="701">
        <v>159.33988499999998</v>
      </c>
      <c r="BQ314" s="701">
        <v>165.78988499999997</v>
      </c>
      <c r="BR314" s="701">
        <v>172.28988499999997</v>
      </c>
      <c r="BS314" s="701">
        <v>178.83988499999998</v>
      </c>
      <c r="BT314" s="701">
        <v>185.439885</v>
      </c>
      <c r="BU314" s="701">
        <v>192.08988499999998</v>
      </c>
      <c r="BV314" s="701">
        <v>198.78988499999997</v>
      </c>
      <c r="BW314" s="701">
        <v>205.53988499999997</v>
      </c>
      <c r="BX314" s="701">
        <v>212.33988499999998</v>
      </c>
      <c r="BY314" s="701">
        <v>219.18988499999998</v>
      </c>
      <c r="BZ314" s="701">
        <v>226.08988499999998</v>
      </c>
      <c r="CA314" s="701">
        <v>233.03988499999997</v>
      </c>
      <c r="CB314" s="701">
        <v>239.98988499999996</v>
      </c>
      <c r="CC314" s="701">
        <v>246.93988499999998</v>
      </c>
      <c r="CD314" s="701">
        <v>253.88988499999999</v>
      </c>
      <c r="CE314" s="701">
        <v>260.83988499999998</v>
      </c>
      <c r="CF314" s="701">
        <v>267.78988499999997</v>
      </c>
      <c r="CG314" s="701">
        <v>274.73988499999996</v>
      </c>
      <c r="CH314" s="701">
        <v>281.689885</v>
      </c>
      <c r="CI314" s="701">
        <v>288.63988499999999</v>
      </c>
      <c r="CJ314" s="701">
        <v>295.58988499999998</v>
      </c>
      <c r="CK314" s="701">
        <v>302.53988499999997</v>
      </c>
      <c r="CL314" s="701">
        <v>309.48988499999996</v>
      </c>
      <c r="CM314" s="701">
        <v>316.43988499999995</v>
      </c>
      <c r="CN314" s="701">
        <v>323.38988499999994</v>
      </c>
      <c r="CO314" s="701">
        <v>330.33988499999998</v>
      </c>
      <c r="CP314" s="701">
        <v>337.28988499999997</v>
      </c>
      <c r="CQ314" s="701">
        <v>344.23988499999996</v>
      </c>
      <c r="CR314" s="701">
        <v>351.18988499999995</v>
      </c>
      <c r="CS314" s="701">
        <v>358.13988499999994</v>
      </c>
      <c r="CT314" s="701">
        <v>365.08988499999998</v>
      </c>
      <c r="CU314" s="701">
        <v>372.03988499999997</v>
      </c>
      <c r="CV314" s="701">
        <v>378.98988499999996</v>
      </c>
      <c r="CW314" s="701">
        <v>385.93988499999995</v>
      </c>
      <c r="CX314" s="701">
        <v>392.88988499999994</v>
      </c>
      <c r="CY314" s="701">
        <v>399.83988499999998</v>
      </c>
      <c r="CZ314" s="126"/>
      <c r="DA314" s="12"/>
      <c r="DB314" s="12"/>
      <c r="DC314" s="12"/>
      <c r="DD314" s="12"/>
      <c r="DE314" s="12"/>
      <c r="DF314" s="12"/>
      <c r="DG314" s="12"/>
    </row>
    <row r="315" spans="1:111">
      <c r="B315" s="126"/>
      <c r="C315" s="698" t="s">
        <v>796</v>
      </c>
      <c r="D315" s="126"/>
      <c r="E315" s="126"/>
      <c r="F315" s="609"/>
      <c r="G315" s="609" t="s">
        <v>736</v>
      </c>
      <c r="H315" s="609"/>
      <c r="I315" s="609"/>
      <c r="J315" s="609"/>
      <c r="K315" s="609"/>
      <c r="L315" s="126"/>
      <c r="M315" s="126"/>
      <c r="N315" s="126"/>
      <c r="O315" s="126"/>
      <c r="P315" s="126"/>
      <c r="Q315" s="126"/>
      <c r="R315" s="126"/>
      <c r="S315" s="126"/>
      <c r="T315" s="700"/>
      <c r="U315" s="700"/>
      <c r="V315" s="700"/>
      <c r="W315" s="700"/>
      <c r="X315" s="700"/>
      <c r="Y315" s="700"/>
      <c r="Z315" s="700"/>
      <c r="AA315" s="700"/>
      <c r="AB315" s="700"/>
      <c r="AC315" s="700"/>
      <c r="AD315" s="700"/>
      <c r="AE315" s="700"/>
      <c r="AF315" s="701"/>
      <c r="AG315" s="701"/>
      <c r="AH315" s="701"/>
      <c r="AI315" s="701">
        <v>1.9035494E-2</v>
      </c>
      <c r="AJ315" s="701">
        <v>0.932348391</v>
      </c>
      <c r="AK315" s="701">
        <v>2.7813506760000002</v>
      </c>
      <c r="AL315" s="701">
        <v>5.6146401800000003</v>
      </c>
      <c r="AM315" s="701">
        <v>8.6527679000000006</v>
      </c>
      <c r="AN315" s="701">
        <v>11.217143425</v>
      </c>
      <c r="AO315" s="701">
        <v>14.758809007</v>
      </c>
      <c r="AP315" s="701">
        <v>16.20342315245</v>
      </c>
      <c r="AQ315" s="701">
        <v>21.800063103357498</v>
      </c>
      <c r="AR315" s="701">
        <v>30.824735595974531</v>
      </c>
      <c r="AS315" s="701">
        <v>38.998687320212831</v>
      </c>
      <c r="AT315" s="701">
        <v>46.621649036772574</v>
      </c>
      <c r="AU315" s="701">
        <v>54.109035899266097</v>
      </c>
      <c r="AV315" s="701">
        <v>61.906016392118772</v>
      </c>
      <c r="AW315" s="701">
        <v>69.542290195069569</v>
      </c>
      <c r="AX315" s="701">
        <v>77.754458399250225</v>
      </c>
      <c r="AY315" s="701">
        <v>86.27011546506732</v>
      </c>
      <c r="AZ315" s="701">
        <v>94.451184367215021</v>
      </c>
      <c r="BA315" s="701">
        <v>102.70136108796464</v>
      </c>
      <c r="BB315" s="701">
        <v>111.19333979636851</v>
      </c>
      <c r="BC315" s="701">
        <v>120.03094827204075</v>
      </c>
      <c r="BD315" s="701">
        <v>146.13448411280879</v>
      </c>
      <c r="BE315" s="701">
        <v>165.13608786104757</v>
      </c>
      <c r="BF315" s="701">
        <v>180.6061719055682</v>
      </c>
      <c r="BG315" s="701">
        <v>194.51091001941231</v>
      </c>
      <c r="BH315" s="701">
        <v>207.8017151859878</v>
      </c>
      <c r="BI315" s="701">
        <v>220.81578177637067</v>
      </c>
      <c r="BJ315" s="701">
        <v>233.69098189863803</v>
      </c>
      <c r="BK315" s="701">
        <v>246.36767747061316</v>
      </c>
      <c r="BL315" s="701">
        <v>258.70170040575954</v>
      </c>
      <c r="BM315" s="701">
        <v>271.08385976988751</v>
      </c>
      <c r="BN315" s="701">
        <v>283.40700115428632</v>
      </c>
      <c r="BO315" s="701">
        <v>295.9228498047043</v>
      </c>
      <c r="BP315" s="701">
        <v>308.41840067529569</v>
      </c>
      <c r="BQ315" s="701">
        <v>320.95464863143872</v>
      </c>
      <c r="BR315" s="701">
        <v>333.57816735739863</v>
      </c>
      <c r="BS315" s="701">
        <v>346.29427471882815</v>
      </c>
      <c r="BT315" s="701">
        <v>359.1048429481981</v>
      </c>
      <c r="BU315" s="701">
        <v>372.01776890723391</v>
      </c>
      <c r="BV315" s="701">
        <v>385.02585046618663</v>
      </c>
      <c r="BW315" s="701">
        <v>398.1369778765021</v>
      </c>
      <c r="BX315" s="701">
        <v>411.34702336836011</v>
      </c>
      <c r="BY315" s="701">
        <v>424.65182149538475</v>
      </c>
      <c r="BZ315" s="701">
        <v>438.04914219772093</v>
      </c>
      <c r="CA315" s="701">
        <v>451.53771606807834</v>
      </c>
      <c r="CB315" s="701">
        <v>465.40762830748218</v>
      </c>
      <c r="CC315" s="701">
        <v>479.14176403235228</v>
      </c>
      <c r="CD315" s="701">
        <v>492.80109955417663</v>
      </c>
      <c r="CE315" s="701">
        <v>506.41885228246133</v>
      </c>
      <c r="CF315" s="701">
        <v>520.0136119302208</v>
      </c>
      <c r="CG315" s="701">
        <v>533.59546062440529</v>
      </c>
      <c r="CH315" s="701">
        <v>547.59231375236334</v>
      </c>
      <c r="CI315" s="701">
        <v>561.38879499468476</v>
      </c>
      <c r="CJ315" s="701">
        <v>575.08815903196319</v>
      </c>
      <c r="CK315" s="701">
        <v>588.7363953824937</v>
      </c>
      <c r="CL315" s="701">
        <v>602.35769282201932</v>
      </c>
      <c r="CM315" s="701">
        <v>615.9644555001862</v>
      </c>
      <c r="CN315" s="701">
        <v>629.56329194347859</v>
      </c>
      <c r="CO315" s="701">
        <v>643.14884993239957</v>
      </c>
      <c r="CP315" s="701">
        <v>656.74021236617045</v>
      </c>
      <c r="CQ315" s="701">
        <v>670.33626920116808</v>
      </c>
      <c r="CR315" s="701">
        <v>683.93573534363065</v>
      </c>
      <c r="CS315" s="701">
        <v>697.5374441026122</v>
      </c>
      <c r="CT315" s="701">
        <v>711.14053015814886</v>
      </c>
      <c r="CU315" s="701">
        <v>724.74438661628619</v>
      </c>
      <c r="CV315" s="701">
        <v>738.34879603347144</v>
      </c>
      <c r="CW315" s="701">
        <v>751.95304875496186</v>
      </c>
      <c r="CX315" s="701">
        <v>765.5570677532678</v>
      </c>
      <c r="CY315" s="701">
        <v>783.08455668362592</v>
      </c>
      <c r="CZ315" s="126"/>
      <c r="DA315" s="11"/>
      <c r="DB315" s="11"/>
      <c r="DC315" s="11"/>
      <c r="DD315" s="11"/>
      <c r="DE315" s="11"/>
      <c r="DF315" s="11"/>
      <c r="DG315" s="11"/>
    </row>
    <row r="316" spans="1:111">
      <c r="B316" s="126"/>
      <c r="C316" s="698" t="s">
        <v>215</v>
      </c>
      <c r="D316" s="126"/>
      <c r="E316" s="126"/>
      <c r="F316" s="609"/>
      <c r="G316" s="609" t="s">
        <v>736</v>
      </c>
      <c r="H316" s="609"/>
      <c r="I316" s="609"/>
      <c r="J316" s="609"/>
      <c r="K316" s="609"/>
      <c r="L316" s="126"/>
      <c r="M316" s="126"/>
      <c r="N316" s="12"/>
      <c r="O316" s="12"/>
      <c r="P316" s="12"/>
      <c r="Q316" s="12"/>
      <c r="R316" s="12"/>
      <c r="S316" s="12"/>
      <c r="T316" s="702"/>
      <c r="U316" s="702"/>
      <c r="V316" s="702"/>
      <c r="W316" s="702"/>
      <c r="X316" s="702"/>
      <c r="Y316" s="702"/>
      <c r="Z316" s="702"/>
      <c r="AA316" s="702"/>
      <c r="AB316" s="702"/>
      <c r="AC316" s="702"/>
      <c r="AD316" s="702"/>
      <c r="AE316" s="702"/>
      <c r="AF316" s="701"/>
      <c r="AG316" s="701"/>
      <c r="AH316" s="701"/>
      <c r="AI316" s="701">
        <v>1.0214060000000001E-3</v>
      </c>
      <c r="AJ316" s="701">
        <v>4.9043436999999995E-2</v>
      </c>
      <c r="AK316" s="701">
        <v>0.117522401</v>
      </c>
      <c r="AL316" s="701">
        <v>0.21274689499999999</v>
      </c>
      <c r="AM316" s="701">
        <v>0.31997071799999999</v>
      </c>
      <c r="AN316" s="701">
        <v>0.39170544100000004</v>
      </c>
      <c r="AO316" s="701">
        <v>0.49900950063905536</v>
      </c>
      <c r="AP316" s="701">
        <v>0.60082673277362997</v>
      </c>
      <c r="AQ316" s="701">
        <v>0.74385699825312601</v>
      </c>
      <c r="AR316" s="701">
        <v>0.90247627068583447</v>
      </c>
      <c r="AS316" s="701">
        <v>1.1216932164869282</v>
      </c>
      <c r="AT316" s="701">
        <v>1.4016528441613685</v>
      </c>
      <c r="AU316" s="701">
        <v>1.6370787934671678</v>
      </c>
      <c r="AV316" s="701">
        <v>1.8642399924983</v>
      </c>
      <c r="AW316" s="701">
        <v>2.0893811984604067</v>
      </c>
      <c r="AX316" s="701">
        <v>2.3259798820606514</v>
      </c>
      <c r="AY316" s="701">
        <v>2.5601171349351342</v>
      </c>
      <c r="AZ316" s="701">
        <v>2.8069381459573775</v>
      </c>
      <c r="BA316" s="701">
        <v>3.0770235817792977</v>
      </c>
      <c r="BB316" s="701">
        <v>3.3718356357260633</v>
      </c>
      <c r="BC316" s="701">
        <v>3.68882448032842</v>
      </c>
      <c r="BD316" s="701">
        <v>4.4060336003017362</v>
      </c>
      <c r="BE316" s="701">
        <v>5.3392955820148948</v>
      </c>
      <c r="BF316" s="701">
        <v>6.1517076564743487</v>
      </c>
      <c r="BG316" s="701">
        <v>6.7627493560328613</v>
      </c>
      <c r="BH316" s="701">
        <v>7.2830750057122202</v>
      </c>
      <c r="BI316" s="701">
        <v>7.7556853543734068</v>
      </c>
      <c r="BJ316" s="701">
        <v>8.2089897328503234</v>
      </c>
      <c r="BK316" s="701">
        <v>8.6216912875047349</v>
      </c>
      <c r="BL316" s="701">
        <v>9.0265005519358716</v>
      </c>
      <c r="BM316" s="701">
        <v>9.4660319896459608</v>
      </c>
      <c r="BN316" s="701">
        <v>9.9139995663744394</v>
      </c>
      <c r="BO316" s="701">
        <v>10.361103361737875</v>
      </c>
      <c r="BP316" s="701">
        <v>10.806530573778705</v>
      </c>
      <c r="BQ316" s="701">
        <v>11.244119702457262</v>
      </c>
      <c r="BR316" s="701">
        <v>11.686668696982306</v>
      </c>
      <c r="BS316" s="701">
        <v>12.133219121561199</v>
      </c>
      <c r="BT316" s="701">
        <v>12.583477660584327</v>
      </c>
      <c r="BU316" s="701">
        <v>13.03812613901378</v>
      </c>
      <c r="BV316" s="701">
        <v>13.534944640562415</v>
      </c>
      <c r="BW316" s="701">
        <v>14.075418524033052</v>
      </c>
      <c r="BX316" s="701">
        <v>14.609447325749386</v>
      </c>
      <c r="BY316" s="701">
        <v>15.14412504963143</v>
      </c>
      <c r="BZ316" s="701">
        <v>15.682062431196256</v>
      </c>
      <c r="CA316" s="701">
        <v>16.224910121326388</v>
      </c>
      <c r="CB316" s="701">
        <v>16.822652451694807</v>
      </c>
      <c r="CC316" s="701">
        <v>17.450215220403042</v>
      </c>
      <c r="CD316" s="701">
        <v>18.03291828293554</v>
      </c>
      <c r="CE316" s="701">
        <v>18.61059357539056</v>
      </c>
      <c r="CF316" s="701">
        <v>19.18714276371886</v>
      </c>
      <c r="CG316" s="701">
        <v>19.765192642932803</v>
      </c>
      <c r="CH316" s="701">
        <v>20.346321635882937</v>
      </c>
      <c r="CI316" s="701">
        <v>20.897148580259163</v>
      </c>
      <c r="CJ316" s="701">
        <v>21.408800937691005</v>
      </c>
      <c r="CK316" s="701">
        <v>21.920831847901361</v>
      </c>
      <c r="CL316" s="701">
        <v>22.433181232964451</v>
      </c>
      <c r="CM316" s="701">
        <v>22.946241322482596</v>
      </c>
      <c r="CN316" s="701">
        <v>23.460243038272914</v>
      </c>
      <c r="CO316" s="701">
        <v>23.975335044568375</v>
      </c>
      <c r="CP316" s="701">
        <v>24.491768908797674</v>
      </c>
      <c r="CQ316" s="701">
        <v>25.00904377481897</v>
      </c>
      <c r="CR316" s="701">
        <v>25.526302350652632</v>
      </c>
      <c r="CS316" s="701">
        <v>26.043527185393462</v>
      </c>
      <c r="CT316" s="701">
        <v>26.560698570285098</v>
      </c>
      <c r="CU316" s="701">
        <v>27.077811131020152</v>
      </c>
      <c r="CV316" s="701">
        <v>27.594870893155445</v>
      </c>
      <c r="CW316" s="701">
        <v>28.111888599237286</v>
      </c>
      <c r="CX316" s="701">
        <v>28.628884900358816</v>
      </c>
      <c r="CY316" s="701">
        <v>29.157982701204251</v>
      </c>
      <c r="CZ316" s="126"/>
      <c r="DA316" s="12"/>
      <c r="DB316" s="12"/>
      <c r="DC316" s="12"/>
      <c r="DD316" s="12"/>
      <c r="DE316" s="12"/>
      <c r="DF316" s="12"/>
      <c r="DG316" s="12"/>
    </row>
    <row r="317" spans="1:111">
      <c r="B317" s="126"/>
      <c r="C317" s="698" t="s">
        <v>99</v>
      </c>
      <c r="D317" s="126"/>
      <c r="E317" s="126"/>
      <c r="F317" s="609"/>
      <c r="G317" s="609" t="s">
        <v>736</v>
      </c>
      <c r="H317" s="609"/>
      <c r="I317" s="609"/>
      <c r="J317" s="609"/>
      <c r="K317" s="609"/>
      <c r="L317" s="126"/>
      <c r="M317" s="126"/>
      <c r="N317" s="12"/>
      <c r="O317" s="12"/>
      <c r="P317" s="12"/>
      <c r="Q317" s="12"/>
      <c r="R317" s="12"/>
      <c r="S317" s="12"/>
      <c r="T317" s="702"/>
      <c r="U317" s="702"/>
      <c r="V317" s="702"/>
      <c r="W317" s="702"/>
      <c r="X317" s="702"/>
      <c r="Y317" s="702"/>
      <c r="Z317" s="702"/>
      <c r="AA317" s="702"/>
      <c r="AB317" s="702"/>
      <c r="AC317" s="702"/>
      <c r="AD317" s="702"/>
      <c r="AE317" s="702"/>
      <c r="AF317" s="701"/>
      <c r="AG317" s="701"/>
      <c r="AH317" s="701"/>
      <c r="AI317" s="701">
        <v>0</v>
      </c>
      <c r="AJ317" s="701">
        <v>-1.4697512062999999E-3</v>
      </c>
      <c r="AK317" s="701">
        <v>-6.5800579691995516E-3</v>
      </c>
      <c r="AL317" s="701">
        <v>-1.6513969692799963E-2</v>
      </c>
      <c r="AM317" s="701">
        <v>-2.7999430607000001E-2</v>
      </c>
      <c r="AN317" s="701">
        <v>-3.6271073322799996E-2</v>
      </c>
      <c r="AO317" s="701">
        <v>-4.6364326999999997E-2</v>
      </c>
      <c r="AP317" s="701">
        <v>-7.3619865365406253E-2</v>
      </c>
      <c r="AQ317" s="701">
        <v>-8.7091322669558852E-2</v>
      </c>
      <c r="AR317" s="701">
        <v>-0.12059849701930256</v>
      </c>
      <c r="AS317" s="701">
        <v>-0.16001201084959604</v>
      </c>
      <c r="AT317" s="701">
        <v>-0.19621327081809156</v>
      </c>
      <c r="AU317" s="701">
        <v>-0.23084115297842198</v>
      </c>
      <c r="AV317" s="701">
        <v>-0.26586782816775695</v>
      </c>
      <c r="AW317" s="701">
        <v>-0.30123570259563998</v>
      </c>
      <c r="AX317" s="701">
        <v>-0.3375550488619829</v>
      </c>
      <c r="AY317" s="701">
        <v>-0.37588964843906103</v>
      </c>
      <c r="AZ317" s="701">
        <v>-0.41415297878231377</v>
      </c>
      <c r="BA317" s="701">
        <v>-0.45180791666812009</v>
      </c>
      <c r="BB317" s="701">
        <v>-0.49017535619326347</v>
      </c>
      <c r="BC317" s="701">
        <v>-0.52988899349010454</v>
      </c>
      <c r="BD317" s="701">
        <v>-0.6099624492152802</v>
      </c>
      <c r="BE317" s="701">
        <v>-0.71332839410675419</v>
      </c>
      <c r="BF317" s="701">
        <v>-0.79232601196516117</v>
      </c>
      <c r="BG317" s="701">
        <v>-0.85964331274474703</v>
      </c>
      <c r="BH317" s="701">
        <v>-0.92196643276237533</v>
      </c>
      <c r="BI317" s="701">
        <v>-0.98224843053873823</v>
      </c>
      <c r="BJ317" s="701">
        <v>-1.0415780000885615</v>
      </c>
      <c r="BK317" s="701">
        <v>-1.1001344277212006</v>
      </c>
      <c r="BL317" s="701">
        <v>-1.1574506576333541</v>
      </c>
      <c r="BM317" s="701">
        <v>-1.2140919087358579</v>
      </c>
      <c r="BN317" s="701">
        <v>-1.2707082229512316</v>
      </c>
      <c r="BO317" s="701">
        <v>-1.3276309084476867</v>
      </c>
      <c r="BP317" s="701">
        <v>-1.3849486990166666</v>
      </c>
      <c r="BQ317" s="701">
        <v>-1.4423132379945998</v>
      </c>
      <c r="BR317" s="701">
        <v>-1.4999710366410854</v>
      </c>
      <c r="BS317" s="701">
        <v>-1.5580410130913531</v>
      </c>
      <c r="BT317" s="701">
        <v>-1.616539644653602</v>
      </c>
      <c r="BU317" s="701">
        <v>-1.675489318835365</v>
      </c>
      <c r="BV317" s="701">
        <v>-1.7348916277307551</v>
      </c>
      <c r="BW317" s="701">
        <v>-1.7947481482853282</v>
      </c>
      <c r="BX317" s="701">
        <v>-1.8550675028528096</v>
      </c>
      <c r="BY317" s="701">
        <v>-1.9158306861460821</v>
      </c>
      <c r="BZ317" s="701">
        <v>-1.9770230417967007</v>
      </c>
      <c r="CA317" s="701">
        <v>-2.0386365501924564</v>
      </c>
      <c r="CB317" s="701">
        <v>-2.1013330808606594</v>
      </c>
      <c r="CC317" s="701">
        <v>-2.164592357445454</v>
      </c>
      <c r="CD317" s="701">
        <v>-2.2273690623857951</v>
      </c>
      <c r="CE317" s="701">
        <v>-2.2898790562922953</v>
      </c>
      <c r="CF317" s="701">
        <v>-2.3522410638207298</v>
      </c>
      <c r="CG317" s="701">
        <v>-2.414520791271018</v>
      </c>
      <c r="CH317" s="701">
        <v>-2.4777219829467612</v>
      </c>
      <c r="CI317" s="701">
        <v>-2.5414150408786522</v>
      </c>
      <c r="CJ317" s="701">
        <v>-2.6044263529777352</v>
      </c>
      <c r="CK317" s="701">
        <v>-2.6670979371997974</v>
      </c>
      <c r="CL317" s="701">
        <v>-2.7295906188020091</v>
      </c>
      <c r="CM317" s="701">
        <v>-2.7919882565717211</v>
      </c>
      <c r="CN317" s="701">
        <v>-2.8543344212250652</v>
      </c>
      <c r="CO317" s="701">
        <v>-2.9166319917988877</v>
      </c>
      <c r="CP317" s="701">
        <v>-2.978912434434223</v>
      </c>
      <c r="CQ317" s="701">
        <v>-3.0412169369251507</v>
      </c>
      <c r="CR317" s="701">
        <v>-3.103540010415164</v>
      </c>
      <c r="CS317" s="701">
        <v>-3.1658760362309732</v>
      </c>
      <c r="CT317" s="701">
        <v>-3.228220357680911</v>
      </c>
      <c r="CU317" s="701">
        <v>-3.2905696009414136</v>
      </c>
      <c r="CV317" s="701">
        <v>-3.3529218769056941</v>
      </c>
      <c r="CW317" s="701">
        <v>-3.4152750609734932</v>
      </c>
      <c r="CX317" s="701">
        <v>-3.4776273503313595</v>
      </c>
      <c r="CY317" s="701">
        <v>-3.5489703893345479</v>
      </c>
      <c r="CZ317" s="126"/>
      <c r="DA317" s="12"/>
      <c r="DB317" s="12"/>
      <c r="DC317" s="12"/>
      <c r="DD317" s="12"/>
      <c r="DE317" s="12"/>
      <c r="DF317" s="12"/>
      <c r="DG317" s="12"/>
    </row>
    <row r="318" spans="1:111">
      <c r="B318" s="698"/>
      <c r="C318" s="698" t="s">
        <v>217</v>
      </c>
      <c r="D318" s="698"/>
      <c r="E318" s="698"/>
      <c r="F318" s="703"/>
      <c r="G318" s="609" t="s">
        <v>736</v>
      </c>
      <c r="H318" s="703"/>
      <c r="I318" s="703"/>
      <c r="J318" s="703"/>
      <c r="K318" s="703"/>
      <c r="L318" s="698"/>
      <c r="M318" s="698"/>
      <c r="N318" s="704"/>
      <c r="O318" s="704"/>
      <c r="P318" s="704"/>
      <c r="Q318" s="704"/>
      <c r="R318" s="704"/>
      <c r="S318" s="704"/>
      <c r="T318" s="705"/>
      <c r="U318" s="705"/>
      <c r="V318" s="705"/>
      <c r="W318" s="705"/>
      <c r="X318" s="705"/>
      <c r="Y318" s="705"/>
      <c r="Z318" s="705"/>
      <c r="AA318" s="705"/>
      <c r="AB318" s="705"/>
      <c r="AC318" s="705"/>
      <c r="AD318" s="705"/>
      <c r="AE318" s="705"/>
      <c r="AF318" s="706"/>
      <c r="AG318" s="706"/>
      <c r="AH318" s="706"/>
      <c r="AI318" s="706">
        <v>1.0214060000000001E-3</v>
      </c>
      <c r="AJ318" s="706">
        <v>4.7573685793699992E-2</v>
      </c>
      <c r="AK318" s="706">
        <v>0.11094234303080044</v>
      </c>
      <c r="AL318" s="706">
        <v>0.19623292530720002</v>
      </c>
      <c r="AM318" s="707">
        <v>0.29197128739299999</v>
      </c>
      <c r="AN318" s="706">
        <v>0.35543436767720005</v>
      </c>
      <c r="AO318" s="706">
        <v>0.45264517363905538</v>
      </c>
      <c r="AP318" s="706">
        <v>0.52720686740822365</v>
      </c>
      <c r="AQ318" s="706">
        <v>0.65676567558356724</v>
      </c>
      <c r="AR318" s="706">
        <v>0.78187777366653188</v>
      </c>
      <c r="AS318" s="706">
        <v>0.96168120563733217</v>
      </c>
      <c r="AT318" s="706">
        <v>1.205439573343277</v>
      </c>
      <c r="AU318" s="706">
        <v>1.4062376404887458</v>
      </c>
      <c r="AV318" s="706">
        <v>1.5983721643305429</v>
      </c>
      <c r="AW318" s="706">
        <v>1.7881454958647667</v>
      </c>
      <c r="AX318" s="706">
        <v>1.9884248331986683</v>
      </c>
      <c r="AY318" s="706">
        <v>2.1842274864960727</v>
      </c>
      <c r="AZ318" s="706">
        <v>2.3927851671750635</v>
      </c>
      <c r="BA318" s="706">
        <v>2.6252156651111775</v>
      </c>
      <c r="BB318" s="706">
        <v>2.8816602795327997</v>
      </c>
      <c r="BC318" s="706">
        <v>3.1589354868383159</v>
      </c>
      <c r="BD318" s="706">
        <v>3.7960711510864558</v>
      </c>
      <c r="BE318" s="706">
        <v>4.6259671879081408</v>
      </c>
      <c r="BF318" s="706">
        <v>5.3593816445091873</v>
      </c>
      <c r="BG318" s="706">
        <v>5.9031060432881146</v>
      </c>
      <c r="BH318" s="706">
        <v>6.3611085729498456</v>
      </c>
      <c r="BI318" s="706">
        <v>6.7734369238346694</v>
      </c>
      <c r="BJ318" s="706">
        <v>7.167411732761761</v>
      </c>
      <c r="BK318" s="706">
        <v>7.5215568597835345</v>
      </c>
      <c r="BL318" s="706">
        <v>7.8690498943025178</v>
      </c>
      <c r="BM318" s="706">
        <v>8.2519400809101029</v>
      </c>
      <c r="BN318" s="706">
        <v>8.6432913434232077</v>
      </c>
      <c r="BO318" s="706">
        <v>9.0334724532901873</v>
      </c>
      <c r="BP318" s="706">
        <v>9.4215818747620386</v>
      </c>
      <c r="BQ318" s="706">
        <v>9.801806464462663</v>
      </c>
      <c r="BR318" s="706">
        <v>10.18669766034122</v>
      </c>
      <c r="BS318" s="706">
        <v>10.575178108469846</v>
      </c>
      <c r="BT318" s="706">
        <v>10.966938015930726</v>
      </c>
      <c r="BU318" s="706">
        <v>11.362636820178414</v>
      </c>
      <c r="BV318" s="706">
        <v>11.800053012831661</v>
      </c>
      <c r="BW318" s="706">
        <v>12.280670375747725</v>
      </c>
      <c r="BX318" s="706">
        <v>12.754379822896578</v>
      </c>
      <c r="BY318" s="706">
        <v>13.228294363485348</v>
      </c>
      <c r="BZ318" s="706">
        <v>13.705039389399555</v>
      </c>
      <c r="CA318" s="706">
        <v>14.186273571133931</v>
      </c>
      <c r="CB318" s="706">
        <v>14.721319370834149</v>
      </c>
      <c r="CC318" s="706">
        <v>15.285622862957586</v>
      </c>
      <c r="CD318" s="706">
        <v>15.805549220549747</v>
      </c>
      <c r="CE318" s="706">
        <v>16.320714519098267</v>
      </c>
      <c r="CF318" s="706">
        <v>16.834901699898133</v>
      </c>
      <c r="CG318" s="706">
        <v>17.350671851661787</v>
      </c>
      <c r="CH318" s="706">
        <v>17.868599652936176</v>
      </c>
      <c r="CI318" s="706">
        <v>18.355733539380513</v>
      </c>
      <c r="CJ318" s="706">
        <v>18.804374584713269</v>
      </c>
      <c r="CK318" s="706">
        <v>19.253733910701563</v>
      </c>
      <c r="CL318" s="706">
        <v>19.703590614162444</v>
      </c>
      <c r="CM318" s="706">
        <v>20.154253065910876</v>
      </c>
      <c r="CN318" s="706">
        <v>20.605908617047845</v>
      </c>
      <c r="CO318" s="706">
        <v>21.058703052769484</v>
      </c>
      <c r="CP318" s="706">
        <v>21.512856474363449</v>
      </c>
      <c r="CQ318" s="706">
        <v>21.967826837893821</v>
      </c>
      <c r="CR318" s="706">
        <v>22.422762340237469</v>
      </c>
      <c r="CS318" s="706">
        <v>22.877651149162489</v>
      </c>
      <c r="CT318" s="706">
        <v>23.332478212604187</v>
      </c>
      <c r="CU318" s="706">
        <v>23.787241530078738</v>
      </c>
      <c r="CV318" s="706">
        <v>24.241949016249748</v>
      </c>
      <c r="CW318" s="706">
        <v>24.696613538263794</v>
      </c>
      <c r="CX318" s="706">
        <v>25.151257550027456</v>
      </c>
      <c r="CY318" s="706">
        <v>25.609012311869705</v>
      </c>
      <c r="CZ318" s="698"/>
      <c r="DA318" s="14"/>
      <c r="DB318" s="14"/>
      <c r="DC318" s="14"/>
      <c r="DD318" s="14"/>
      <c r="DE318" s="14"/>
      <c r="DF318" s="14"/>
      <c r="DG318" s="14"/>
    </row>
    <row r="319" spans="1:111">
      <c r="B319" s="698"/>
      <c r="C319" s="698"/>
      <c r="D319" s="698" t="s">
        <v>218</v>
      </c>
      <c r="E319" s="698"/>
      <c r="F319" s="703"/>
      <c r="G319" s="609" t="s">
        <v>736</v>
      </c>
      <c r="H319" s="703"/>
      <c r="I319" s="703"/>
      <c r="J319" s="703"/>
      <c r="K319" s="703"/>
      <c r="L319" s="698"/>
      <c r="M319" s="698"/>
      <c r="N319" s="14"/>
      <c r="O319" s="14"/>
      <c r="P319" s="14"/>
      <c r="Q319" s="14"/>
      <c r="R319" s="14"/>
      <c r="S319" s="14"/>
      <c r="T319" s="708"/>
      <c r="U319" s="708"/>
      <c r="V319" s="708"/>
      <c r="W319" s="708"/>
      <c r="X319" s="708"/>
      <c r="Y319" s="708"/>
      <c r="Z319" s="708"/>
      <c r="AA319" s="708"/>
      <c r="AB319" s="708"/>
      <c r="AC319" s="708"/>
      <c r="AD319" s="708"/>
      <c r="AE319" s="708"/>
      <c r="AF319" s="696"/>
      <c r="AG319" s="696"/>
      <c r="AH319" s="696"/>
      <c r="AI319" s="696">
        <v>0</v>
      </c>
      <c r="AJ319" s="696">
        <v>-1.4697512062999999E-3</v>
      </c>
      <c r="AK319" s="696">
        <v>-6.5800579691995516E-3</v>
      </c>
      <c r="AL319" s="696">
        <v>-1.6513969692799963E-2</v>
      </c>
      <c r="AM319" s="709">
        <v>-2.7992409607000002E-2</v>
      </c>
      <c r="AN319" s="696">
        <v>-2.8459984322799996E-2</v>
      </c>
      <c r="AO319" s="696">
        <v>4.3570100174147725E-3</v>
      </c>
      <c r="AP319" s="696">
        <v>2.916159538124144E-2</v>
      </c>
      <c r="AQ319" s="696">
        <v>3.4171971332223786E-2</v>
      </c>
      <c r="AR319" s="696">
        <v>1.9585206881545025E-2</v>
      </c>
      <c r="AS319" s="696">
        <v>7.5674119009785712E-2</v>
      </c>
      <c r="AT319" s="696">
        <v>0.15268910786752024</v>
      </c>
      <c r="AU319" s="696">
        <v>0.19364785775644214</v>
      </c>
      <c r="AV319" s="696">
        <v>0.22661723919685001</v>
      </c>
      <c r="AW319" s="696">
        <v>0.26368821644367385</v>
      </c>
      <c r="AX319" s="696">
        <v>0.29577825722127332</v>
      </c>
      <c r="AY319" s="696">
        <v>0.32582033783995823</v>
      </c>
      <c r="AZ319" s="696">
        <v>0.36442763643665282</v>
      </c>
      <c r="BA319" s="696">
        <v>0.40865270594969877</v>
      </c>
      <c r="BB319" s="696">
        <v>0.45528741618305812</v>
      </c>
      <c r="BC319" s="696">
        <v>0.50402943129609734</v>
      </c>
      <c r="BD319" s="696">
        <v>0.58725099001183056</v>
      </c>
      <c r="BE319" s="696">
        <v>0.64477665296433206</v>
      </c>
      <c r="BF319" s="696">
        <v>0.75289858266799459</v>
      </c>
      <c r="BG319" s="696">
        <v>0.84219458399282987</v>
      </c>
      <c r="BH319" s="696">
        <v>0.91261034606879732</v>
      </c>
      <c r="BI319" s="696">
        <v>0.97614611334332357</v>
      </c>
      <c r="BJ319" s="696">
        <v>1.0310580868478789</v>
      </c>
      <c r="BK319" s="696">
        <v>1.0734520109191614</v>
      </c>
      <c r="BL319" s="696">
        <v>1.1173792451001361</v>
      </c>
      <c r="BM319" s="696">
        <v>1.1597734383328966</v>
      </c>
      <c r="BN319" s="696">
        <v>1.1972779718655033</v>
      </c>
      <c r="BO319" s="696">
        <v>1.2345133580167451</v>
      </c>
      <c r="BP319" s="696">
        <v>1.2676700883440393</v>
      </c>
      <c r="BQ319" s="696">
        <v>1.301154832932194</v>
      </c>
      <c r="BR319" s="696">
        <v>1.3337399733236237</v>
      </c>
      <c r="BS319" s="696">
        <v>1.365718062872908</v>
      </c>
      <c r="BT319" s="696">
        <v>1.3973535307367433</v>
      </c>
      <c r="BU319" s="696">
        <v>1.4287446670855797</v>
      </c>
      <c r="BV319" s="696">
        <v>1.4696959335533974</v>
      </c>
      <c r="BW319" s="696">
        <v>1.508454474411109</v>
      </c>
      <c r="BX319" s="696">
        <v>1.5462597254666828</v>
      </c>
      <c r="BY319" s="696">
        <v>1.5834205128780725</v>
      </c>
      <c r="BZ319" s="696">
        <v>1.620279120501912</v>
      </c>
      <c r="CA319" s="696">
        <v>1.6568017825635626</v>
      </c>
      <c r="CB319" s="696">
        <v>1.7056529168900125</v>
      </c>
      <c r="CC319" s="696">
        <v>1.7464620494654732</v>
      </c>
      <c r="CD319" s="696">
        <v>1.7884438762158577</v>
      </c>
      <c r="CE319" s="696">
        <v>1.8286090325462405</v>
      </c>
      <c r="CF319" s="696">
        <v>1.8681532841147575</v>
      </c>
      <c r="CG319" s="696">
        <v>1.9074519303714954</v>
      </c>
      <c r="CH319" s="696">
        <v>1.9468430230694809</v>
      </c>
      <c r="CI319" s="696">
        <v>1.9795125613574882</v>
      </c>
      <c r="CJ319" s="696">
        <v>2.0147527519429316</v>
      </c>
      <c r="CK319" s="696">
        <v>2.0481727346774128</v>
      </c>
      <c r="CL319" s="696">
        <v>2.0807638632036141</v>
      </c>
      <c r="CM319" s="696">
        <v>2.1129733759313991</v>
      </c>
      <c r="CN319" s="696">
        <v>2.1450467531468629</v>
      </c>
      <c r="CO319" s="696">
        <v>2.1771081686062828</v>
      </c>
      <c r="CP319" s="696">
        <v>2.2093757117132213</v>
      </c>
      <c r="CQ319" s="696">
        <v>2.2416227839000507</v>
      </c>
      <c r="CR319" s="696">
        <v>2.2739543078434203</v>
      </c>
      <c r="CS319" s="696">
        <v>2.3063365265350337</v>
      </c>
      <c r="CT319" s="696">
        <v>2.3387455896282683</v>
      </c>
      <c r="CU319" s="696">
        <v>2.3711649306121556</v>
      </c>
      <c r="CV319" s="696">
        <v>2.4035846743874965</v>
      </c>
      <c r="CW319" s="696">
        <v>2.4359962695597552</v>
      </c>
      <c r="CX319" s="696">
        <v>2.4684045319199486</v>
      </c>
      <c r="CY319" s="696">
        <v>2.5023061503239483</v>
      </c>
      <c r="CZ319" s="698"/>
      <c r="DA319" s="14"/>
      <c r="DB319" s="14"/>
      <c r="DC319" s="14"/>
      <c r="DD319" s="14"/>
      <c r="DE319" s="14"/>
      <c r="DF319" s="14"/>
      <c r="DG319" s="14"/>
    </row>
    <row r="320" spans="1:111">
      <c r="B320" s="126"/>
      <c r="C320" s="126"/>
      <c r="D320" s="126" t="s">
        <v>737</v>
      </c>
      <c r="E320" s="126"/>
      <c r="F320" s="609"/>
      <c r="G320" s="609" t="s">
        <v>736</v>
      </c>
      <c r="H320" s="609"/>
      <c r="I320" s="609"/>
      <c r="J320" s="609"/>
      <c r="K320" s="609"/>
      <c r="L320" s="126"/>
      <c r="M320" s="710"/>
      <c r="N320" s="710"/>
      <c r="O320" s="710"/>
      <c r="P320" s="710"/>
      <c r="Q320" s="710"/>
      <c r="R320" s="710"/>
      <c r="S320" s="710"/>
      <c r="T320" s="711"/>
      <c r="U320" s="711"/>
      <c r="V320" s="712"/>
      <c r="W320" s="712"/>
      <c r="X320" s="712"/>
      <c r="Y320" s="712"/>
      <c r="Z320" s="712"/>
      <c r="AA320" s="712"/>
      <c r="AB320" s="712"/>
      <c r="AC320" s="712"/>
      <c r="AD320" s="712"/>
      <c r="AE320" s="713"/>
      <c r="AF320" s="701"/>
      <c r="AG320" s="701"/>
      <c r="AH320" s="701"/>
      <c r="AI320" s="701">
        <v>0</v>
      </c>
      <c r="AJ320" s="701">
        <v>0</v>
      </c>
      <c r="AK320" s="701">
        <v>0</v>
      </c>
      <c r="AL320" s="701">
        <v>0</v>
      </c>
      <c r="AM320" s="701">
        <v>7.0210000000000002E-6</v>
      </c>
      <c r="AN320" s="701">
        <v>7.8110890000000002E-3</v>
      </c>
      <c r="AO320" s="701">
        <v>5.0721337017414769E-2</v>
      </c>
      <c r="AP320" s="701">
        <v>0.10278146074664769</v>
      </c>
      <c r="AQ320" s="701">
        <v>0.12126329400178264</v>
      </c>
      <c r="AR320" s="701">
        <v>0.14018370390084758</v>
      </c>
      <c r="AS320" s="701">
        <v>0.23568612985938175</v>
      </c>
      <c r="AT320" s="701">
        <v>0.3489023786856118</v>
      </c>
      <c r="AU320" s="701">
        <v>0.42448901073486411</v>
      </c>
      <c r="AV320" s="701">
        <v>0.49248506736460695</v>
      </c>
      <c r="AW320" s="701">
        <v>0.56492391903931383</v>
      </c>
      <c r="AX320" s="701">
        <v>0.63333330608325622</v>
      </c>
      <c r="AY320" s="701">
        <v>0.70170998627901926</v>
      </c>
      <c r="AZ320" s="701">
        <v>0.7785806152189666</v>
      </c>
      <c r="BA320" s="701">
        <v>0.86046062261781886</v>
      </c>
      <c r="BB320" s="701">
        <v>0.94546277237632159</v>
      </c>
      <c r="BC320" s="701">
        <v>1.0339184247862019</v>
      </c>
      <c r="BD320" s="701">
        <v>1.1972134392271108</v>
      </c>
      <c r="BE320" s="701">
        <v>1.3581050470710863</v>
      </c>
      <c r="BF320" s="701">
        <v>1.5452245946331558</v>
      </c>
      <c r="BG320" s="701">
        <v>1.7018378967375769</v>
      </c>
      <c r="BH320" s="701">
        <v>1.8345767788311726</v>
      </c>
      <c r="BI320" s="701">
        <v>1.9583945438820618</v>
      </c>
      <c r="BJ320" s="701">
        <v>2.0726360869364404</v>
      </c>
      <c r="BK320" s="701">
        <v>2.1735864386403621</v>
      </c>
      <c r="BL320" s="701">
        <v>2.2748299027334902</v>
      </c>
      <c r="BM320" s="701">
        <v>2.3738653470687545</v>
      </c>
      <c r="BN320" s="701">
        <v>2.467986194816735</v>
      </c>
      <c r="BO320" s="701">
        <v>2.5621442664644318</v>
      </c>
      <c r="BP320" s="701">
        <v>2.6526187873607059</v>
      </c>
      <c r="BQ320" s="701">
        <v>2.7434680709267938</v>
      </c>
      <c r="BR320" s="701">
        <v>2.8337110099647091</v>
      </c>
      <c r="BS320" s="701">
        <v>2.9237590759642611</v>
      </c>
      <c r="BT320" s="701">
        <v>3.0138931753903453</v>
      </c>
      <c r="BU320" s="701">
        <v>3.1042339859209447</v>
      </c>
      <c r="BV320" s="701">
        <v>3.2045875612841526</v>
      </c>
      <c r="BW320" s="701">
        <v>3.3032026226964373</v>
      </c>
      <c r="BX320" s="701">
        <v>3.4013272283194924</v>
      </c>
      <c r="BY320" s="701">
        <v>3.4992511990241546</v>
      </c>
      <c r="BZ320" s="701">
        <v>3.5973021622986128</v>
      </c>
      <c r="CA320" s="701">
        <v>3.695438332756019</v>
      </c>
      <c r="CB320" s="701">
        <v>3.8069859977506719</v>
      </c>
      <c r="CC320" s="701">
        <v>3.9110544069109272</v>
      </c>
      <c r="CD320" s="701">
        <v>4.0158129386016528</v>
      </c>
      <c r="CE320" s="701">
        <v>4.1184880888385358</v>
      </c>
      <c r="CF320" s="701">
        <v>4.2203943479354873</v>
      </c>
      <c r="CG320" s="701">
        <v>4.3219727216425134</v>
      </c>
      <c r="CH320" s="701">
        <v>4.424565006016242</v>
      </c>
      <c r="CI320" s="701">
        <v>4.5209276022361404</v>
      </c>
      <c r="CJ320" s="701">
        <v>4.6191791049206667</v>
      </c>
      <c r="CK320" s="701">
        <v>4.7152706718772102</v>
      </c>
      <c r="CL320" s="701">
        <v>4.8103544820056232</v>
      </c>
      <c r="CM320" s="701">
        <v>4.9049616325031202</v>
      </c>
      <c r="CN320" s="701">
        <v>4.9993811743719281</v>
      </c>
      <c r="CO320" s="701">
        <v>5.0937401604051704</v>
      </c>
      <c r="CP320" s="701">
        <v>5.1882881461474444</v>
      </c>
      <c r="CQ320" s="701">
        <v>5.2828397208252014</v>
      </c>
      <c r="CR320" s="701">
        <v>5.3774943182585844</v>
      </c>
      <c r="CS320" s="701">
        <v>5.472212562766007</v>
      </c>
      <c r="CT320" s="701">
        <v>5.5669659473091793</v>
      </c>
      <c r="CU320" s="701">
        <v>5.6617345315535692</v>
      </c>
      <c r="CV320" s="701">
        <v>5.7565065512931906</v>
      </c>
      <c r="CW320" s="701">
        <v>5.8512713305332484</v>
      </c>
      <c r="CX320" s="701">
        <v>5.9460318822513081</v>
      </c>
      <c r="CY320" s="701">
        <v>6.0512765396584962</v>
      </c>
      <c r="CZ320" s="126"/>
      <c r="DA320" s="12"/>
      <c r="DB320" s="12"/>
      <c r="DC320" s="12"/>
      <c r="DD320" s="12"/>
      <c r="DE320" s="12"/>
      <c r="DF320" s="12"/>
      <c r="DG320" s="12"/>
    </row>
    <row r="321" spans="2:111">
      <c r="B321" s="126"/>
      <c r="C321" s="126"/>
      <c r="D321" s="126" t="s">
        <v>798</v>
      </c>
      <c r="E321" s="126"/>
      <c r="F321" s="609"/>
      <c r="G321" s="609" t="s">
        <v>736</v>
      </c>
      <c r="H321" s="609"/>
      <c r="I321" s="609"/>
      <c r="J321" s="609"/>
      <c r="K321" s="609"/>
      <c r="L321" s="126"/>
      <c r="M321" s="710"/>
      <c r="N321" s="710"/>
      <c r="O321" s="710"/>
      <c r="P321" s="710"/>
      <c r="Q321" s="710"/>
      <c r="R321" s="710"/>
      <c r="S321" s="710"/>
      <c r="T321" s="711"/>
      <c r="U321" s="711"/>
      <c r="V321" s="712"/>
      <c r="W321" s="712"/>
      <c r="X321" s="712"/>
      <c r="Y321" s="712"/>
      <c r="Z321" s="712"/>
      <c r="AA321" s="712"/>
      <c r="AB321" s="712"/>
      <c r="AC321" s="712"/>
      <c r="AD321" s="712"/>
      <c r="AE321" s="713"/>
      <c r="AF321" s="701"/>
      <c r="AG321" s="701"/>
      <c r="AH321" s="701"/>
      <c r="AI321" s="701">
        <v>0</v>
      </c>
      <c r="AJ321" s="701">
        <v>-1.4697512062999999E-3</v>
      </c>
      <c r="AK321" s="701">
        <v>-6.5800579691995516E-3</v>
      </c>
      <c r="AL321" s="701">
        <v>-1.6513969692799963E-2</v>
      </c>
      <c r="AM321" s="701">
        <v>-2.7999430607000001E-2</v>
      </c>
      <c r="AN321" s="701">
        <v>-3.6271073322799996E-2</v>
      </c>
      <c r="AO321" s="701">
        <v>-4.6364326999999997E-2</v>
      </c>
      <c r="AP321" s="701">
        <v>-7.3619865365406253E-2</v>
      </c>
      <c r="AQ321" s="701">
        <v>-8.7091322669558852E-2</v>
      </c>
      <c r="AR321" s="701">
        <v>-0.12059849701930256</v>
      </c>
      <c r="AS321" s="701">
        <v>-0.16001201084959604</v>
      </c>
      <c r="AT321" s="701">
        <v>-0.19621327081809156</v>
      </c>
      <c r="AU321" s="701">
        <v>-0.23084115297842198</v>
      </c>
      <c r="AV321" s="701">
        <v>-0.26586782816775695</v>
      </c>
      <c r="AW321" s="701">
        <v>-0.30123570259563998</v>
      </c>
      <c r="AX321" s="701">
        <v>-0.3375550488619829</v>
      </c>
      <c r="AY321" s="701">
        <v>-0.37588964843906103</v>
      </c>
      <c r="AZ321" s="701">
        <v>-0.41415297878231377</v>
      </c>
      <c r="BA321" s="701">
        <v>-0.45180791666812009</v>
      </c>
      <c r="BB321" s="701">
        <v>-0.49017535619326347</v>
      </c>
      <c r="BC321" s="701">
        <v>-0.52988899349010454</v>
      </c>
      <c r="BD321" s="701">
        <v>-0.6099624492152802</v>
      </c>
      <c r="BE321" s="701">
        <v>-0.71332839410675419</v>
      </c>
      <c r="BF321" s="701">
        <v>-0.79232601196516117</v>
      </c>
      <c r="BG321" s="701">
        <v>-0.85964331274474703</v>
      </c>
      <c r="BH321" s="701">
        <v>-0.92196643276237533</v>
      </c>
      <c r="BI321" s="701">
        <v>-0.98224843053873823</v>
      </c>
      <c r="BJ321" s="701">
        <v>-1.0415780000885615</v>
      </c>
      <c r="BK321" s="701">
        <v>-1.1001344277212006</v>
      </c>
      <c r="BL321" s="701">
        <v>-1.1574506576333541</v>
      </c>
      <c r="BM321" s="701">
        <v>-1.2140919087358579</v>
      </c>
      <c r="BN321" s="701">
        <v>-1.2707082229512316</v>
      </c>
      <c r="BO321" s="701">
        <v>-1.3276309084476867</v>
      </c>
      <c r="BP321" s="701">
        <v>-1.3849486990166666</v>
      </c>
      <c r="BQ321" s="701">
        <v>-1.4423132379945998</v>
      </c>
      <c r="BR321" s="701">
        <v>-1.4999710366410854</v>
      </c>
      <c r="BS321" s="701">
        <v>-1.5580410130913531</v>
      </c>
      <c r="BT321" s="701">
        <v>-1.616539644653602</v>
      </c>
      <c r="BU321" s="701">
        <v>-1.675489318835365</v>
      </c>
      <c r="BV321" s="701">
        <v>-1.7348916277307551</v>
      </c>
      <c r="BW321" s="701">
        <v>-1.7947481482853282</v>
      </c>
      <c r="BX321" s="701">
        <v>-1.8550675028528096</v>
      </c>
      <c r="BY321" s="701">
        <v>-1.9158306861460821</v>
      </c>
      <c r="BZ321" s="701">
        <v>-1.9770230417967007</v>
      </c>
      <c r="CA321" s="701">
        <v>-2.0386365501924564</v>
      </c>
      <c r="CB321" s="701">
        <v>-2.1013330808606594</v>
      </c>
      <c r="CC321" s="701">
        <v>-2.164592357445454</v>
      </c>
      <c r="CD321" s="701">
        <v>-2.2273690623857951</v>
      </c>
      <c r="CE321" s="701">
        <v>-2.2898790562922953</v>
      </c>
      <c r="CF321" s="701">
        <v>-2.3522410638207298</v>
      </c>
      <c r="CG321" s="701">
        <v>-2.414520791271018</v>
      </c>
      <c r="CH321" s="701">
        <v>-2.4777219829467612</v>
      </c>
      <c r="CI321" s="701">
        <v>-2.5414150408786522</v>
      </c>
      <c r="CJ321" s="701">
        <v>-2.6044263529777352</v>
      </c>
      <c r="CK321" s="701">
        <v>-2.6670979371997974</v>
      </c>
      <c r="CL321" s="701">
        <v>-2.7295906188020091</v>
      </c>
      <c r="CM321" s="701">
        <v>-2.7919882565717211</v>
      </c>
      <c r="CN321" s="701">
        <v>-2.8543344212250652</v>
      </c>
      <c r="CO321" s="701">
        <v>-2.9166319917988877</v>
      </c>
      <c r="CP321" s="701">
        <v>-2.978912434434223</v>
      </c>
      <c r="CQ321" s="701">
        <v>-3.0412169369251507</v>
      </c>
      <c r="CR321" s="701">
        <v>-3.103540010415164</v>
      </c>
      <c r="CS321" s="701">
        <v>-3.1658760362309732</v>
      </c>
      <c r="CT321" s="701">
        <v>-3.228220357680911</v>
      </c>
      <c r="CU321" s="701">
        <v>-3.2905696009414136</v>
      </c>
      <c r="CV321" s="701">
        <v>-3.3529218769056941</v>
      </c>
      <c r="CW321" s="701">
        <v>-3.4152750609734932</v>
      </c>
      <c r="CX321" s="701">
        <v>-3.4776273503313595</v>
      </c>
      <c r="CY321" s="701">
        <v>-3.5489703893345479</v>
      </c>
      <c r="CZ321" s="126"/>
      <c r="DA321" s="12"/>
      <c r="DB321" s="12"/>
      <c r="DC321" s="12"/>
      <c r="DD321" s="12"/>
      <c r="DE321" s="12"/>
      <c r="DF321" s="12"/>
      <c r="DG321" s="12"/>
    </row>
    <row r="322" spans="2:111">
      <c r="B322" s="698"/>
      <c r="C322" s="698"/>
      <c r="D322" s="698" t="s">
        <v>220</v>
      </c>
      <c r="E322" s="698"/>
      <c r="F322" s="703"/>
      <c r="G322" s="609" t="s">
        <v>736</v>
      </c>
      <c r="H322" s="703"/>
      <c r="I322" s="703"/>
      <c r="J322" s="703"/>
      <c r="K322" s="703"/>
      <c r="L322" s="698"/>
      <c r="M322" s="714"/>
      <c r="N322" s="714"/>
      <c r="O322" s="714"/>
      <c r="P322" s="714"/>
      <c r="Q322" s="714"/>
      <c r="R322" s="714"/>
      <c r="S322" s="714"/>
      <c r="T322" s="696"/>
      <c r="U322" s="696"/>
      <c r="V322" s="696"/>
      <c r="W322" s="696"/>
      <c r="X322" s="696"/>
      <c r="Y322" s="696"/>
      <c r="Z322" s="696"/>
      <c r="AA322" s="696"/>
      <c r="AB322" s="696"/>
      <c r="AC322" s="696"/>
      <c r="AD322" s="696"/>
      <c r="AE322" s="696"/>
      <c r="AF322" s="696"/>
      <c r="AG322" s="696"/>
      <c r="AH322" s="696"/>
      <c r="AI322" s="696">
        <v>1.0214060000000001E-3</v>
      </c>
      <c r="AJ322" s="696">
        <v>4.9043436999999995E-2</v>
      </c>
      <c r="AK322" s="696">
        <v>0.117522401</v>
      </c>
      <c r="AL322" s="696">
        <v>0.21274689499999999</v>
      </c>
      <c r="AM322" s="696">
        <v>0.31996369699999999</v>
      </c>
      <c r="AN322" s="696">
        <v>0.38389435200000005</v>
      </c>
      <c r="AO322" s="696">
        <v>0.44828816362164059</v>
      </c>
      <c r="AP322" s="696">
        <v>0.49804527202698223</v>
      </c>
      <c r="AQ322" s="696">
        <v>0.62259370425134342</v>
      </c>
      <c r="AR322" s="696">
        <v>0.76229256678498691</v>
      </c>
      <c r="AS322" s="696">
        <v>0.88600708662754646</v>
      </c>
      <c r="AT322" s="696">
        <v>1.0527504654757567</v>
      </c>
      <c r="AU322" s="696">
        <v>1.2125897827323036</v>
      </c>
      <c r="AV322" s="696">
        <v>1.3717549251336929</v>
      </c>
      <c r="AW322" s="696">
        <v>1.5244572794210929</v>
      </c>
      <c r="AX322" s="696">
        <v>1.692646575977395</v>
      </c>
      <c r="AY322" s="696">
        <v>1.8584071486561147</v>
      </c>
      <c r="AZ322" s="696">
        <v>2.0283575307384107</v>
      </c>
      <c r="BA322" s="696">
        <v>2.2165629591614788</v>
      </c>
      <c r="BB322" s="696">
        <v>2.4263728633497417</v>
      </c>
      <c r="BC322" s="696">
        <v>2.6549060555422184</v>
      </c>
      <c r="BD322" s="696">
        <v>3.208820161074625</v>
      </c>
      <c r="BE322" s="696">
        <v>3.9811905349438086</v>
      </c>
      <c r="BF322" s="696">
        <v>4.6064830618411925</v>
      </c>
      <c r="BG322" s="696">
        <v>5.0609114592952844</v>
      </c>
      <c r="BH322" s="696">
        <v>5.448498226881048</v>
      </c>
      <c r="BI322" s="696">
        <v>5.7972908104913454</v>
      </c>
      <c r="BJ322" s="696">
        <v>6.1363536459138821</v>
      </c>
      <c r="BK322" s="696">
        <v>6.4481048488643733</v>
      </c>
      <c r="BL322" s="696">
        <v>6.7516706492023815</v>
      </c>
      <c r="BM322" s="696">
        <v>7.0921666425772063</v>
      </c>
      <c r="BN322" s="696">
        <v>7.4460133715577044</v>
      </c>
      <c r="BO322" s="696">
        <v>7.7989590952734424</v>
      </c>
      <c r="BP322" s="696">
        <v>8.153911786418</v>
      </c>
      <c r="BQ322" s="696">
        <v>8.5006516315304683</v>
      </c>
      <c r="BR322" s="696">
        <v>8.8529576870175966</v>
      </c>
      <c r="BS322" s="696">
        <v>9.2094600455969378</v>
      </c>
      <c r="BT322" s="696">
        <v>9.5695844851939817</v>
      </c>
      <c r="BU322" s="696">
        <v>9.9338921530928346</v>
      </c>
      <c r="BV322" s="696">
        <v>10.330357079278263</v>
      </c>
      <c r="BW322" s="696">
        <v>10.772215901336615</v>
      </c>
      <c r="BX322" s="696">
        <v>11.208120097429894</v>
      </c>
      <c r="BY322" s="696">
        <v>11.644873850607276</v>
      </c>
      <c r="BZ322" s="696">
        <v>12.084760268897643</v>
      </c>
      <c r="CA322" s="696">
        <v>12.529471788570369</v>
      </c>
      <c r="CB322" s="696">
        <v>13.015666453944137</v>
      </c>
      <c r="CC322" s="696">
        <v>13.539160813492114</v>
      </c>
      <c r="CD322" s="696">
        <v>14.017105344333888</v>
      </c>
      <c r="CE322" s="696">
        <v>14.492105486552026</v>
      </c>
      <c r="CF322" s="696">
        <v>14.966748415783375</v>
      </c>
      <c r="CG322" s="696">
        <v>15.443219921290289</v>
      </c>
      <c r="CH322" s="696">
        <v>15.921756629866694</v>
      </c>
      <c r="CI322" s="696">
        <v>16.376220978023024</v>
      </c>
      <c r="CJ322" s="696">
        <v>16.789621832770337</v>
      </c>
      <c r="CK322" s="696">
        <v>17.205561176024151</v>
      </c>
      <c r="CL322" s="696">
        <v>17.622826750958829</v>
      </c>
      <c r="CM322" s="696">
        <v>18.041279689979476</v>
      </c>
      <c r="CN322" s="696">
        <v>18.460861863900984</v>
      </c>
      <c r="CO322" s="696">
        <v>18.881594884163203</v>
      </c>
      <c r="CP322" s="696">
        <v>19.303480762650228</v>
      </c>
      <c r="CQ322" s="696">
        <v>19.726204053993769</v>
      </c>
      <c r="CR322" s="696">
        <v>20.148808032394047</v>
      </c>
      <c r="CS322" s="696">
        <v>20.571314622627455</v>
      </c>
      <c r="CT322" s="696">
        <v>20.993732622975919</v>
      </c>
      <c r="CU322" s="696">
        <v>21.416076599466582</v>
      </c>
      <c r="CV322" s="696">
        <v>21.838364341862253</v>
      </c>
      <c r="CW322" s="696">
        <v>22.260617268704038</v>
      </c>
      <c r="CX322" s="696">
        <v>22.682853018107508</v>
      </c>
      <c r="CY322" s="696">
        <v>23.106706161545755</v>
      </c>
      <c r="CZ322" s="698"/>
      <c r="DA322" s="14"/>
      <c r="DB322" s="14"/>
      <c r="DC322" s="14"/>
      <c r="DD322" s="14"/>
      <c r="DE322" s="14"/>
      <c r="DF322" s="14"/>
      <c r="DG322" s="14"/>
    </row>
    <row r="323" spans="2:111">
      <c r="B323" s="698"/>
      <c r="C323" s="698"/>
      <c r="D323" s="126" t="s">
        <v>540</v>
      </c>
      <c r="E323" s="698"/>
      <c r="F323" s="703"/>
      <c r="G323" s="609" t="s">
        <v>736</v>
      </c>
      <c r="H323" s="703"/>
      <c r="I323" s="703"/>
      <c r="J323" s="703"/>
      <c r="K323" s="703"/>
      <c r="L323" s="698"/>
      <c r="M323" s="714"/>
      <c r="N323" s="714"/>
      <c r="O323" s="714"/>
      <c r="P323" s="714"/>
      <c r="Q323" s="714"/>
      <c r="R323" s="714"/>
      <c r="S323" s="714"/>
      <c r="T323" s="696"/>
      <c r="U323" s="696"/>
      <c r="V323" s="696"/>
      <c r="W323" s="696"/>
      <c r="X323" s="696"/>
      <c r="Y323" s="696"/>
      <c r="Z323" s="696"/>
      <c r="AA323" s="696"/>
      <c r="AB323" s="696"/>
      <c r="AC323" s="696"/>
      <c r="AD323" s="696"/>
      <c r="AE323" s="696"/>
      <c r="AF323" s="696"/>
      <c r="AG323" s="696"/>
      <c r="AH323" s="696"/>
      <c r="AI323" s="701">
        <v>0</v>
      </c>
      <c r="AJ323" s="701">
        <v>0</v>
      </c>
      <c r="AK323" s="701">
        <v>0</v>
      </c>
      <c r="AL323" s="701">
        <v>0</v>
      </c>
      <c r="AM323" s="701">
        <v>0</v>
      </c>
      <c r="AN323" s="701">
        <v>0</v>
      </c>
      <c r="AO323" s="701">
        <v>0</v>
      </c>
      <c r="AP323" s="701">
        <v>0</v>
      </c>
      <c r="AQ323" s="701">
        <v>0</v>
      </c>
      <c r="AR323" s="701">
        <v>0</v>
      </c>
      <c r="AS323" s="701">
        <v>0</v>
      </c>
      <c r="AT323" s="701">
        <v>0</v>
      </c>
      <c r="AU323" s="701">
        <v>0</v>
      </c>
      <c r="AV323" s="701">
        <v>0</v>
      </c>
      <c r="AW323" s="701">
        <v>0</v>
      </c>
      <c r="AX323" s="701">
        <v>0</v>
      </c>
      <c r="AY323" s="701">
        <v>0</v>
      </c>
      <c r="AZ323" s="701">
        <v>0</v>
      </c>
      <c r="BA323" s="701">
        <v>0</v>
      </c>
      <c r="BB323" s="701">
        <v>0</v>
      </c>
      <c r="BC323" s="701">
        <v>0</v>
      </c>
      <c r="BD323" s="701">
        <v>0</v>
      </c>
      <c r="BE323" s="701">
        <v>0</v>
      </c>
      <c r="BF323" s="701">
        <v>0</v>
      </c>
      <c r="BG323" s="701">
        <v>0</v>
      </c>
      <c r="BH323" s="701">
        <v>0</v>
      </c>
      <c r="BI323" s="701">
        <v>0</v>
      </c>
      <c r="BJ323" s="701">
        <v>0</v>
      </c>
      <c r="BK323" s="701">
        <v>0</v>
      </c>
      <c r="BL323" s="701">
        <v>0</v>
      </c>
      <c r="BM323" s="701">
        <v>0</v>
      </c>
      <c r="BN323" s="701">
        <v>0</v>
      </c>
      <c r="BO323" s="701">
        <v>0</v>
      </c>
      <c r="BP323" s="701">
        <v>0</v>
      </c>
      <c r="BQ323" s="701">
        <v>0</v>
      </c>
      <c r="BR323" s="701">
        <v>0</v>
      </c>
      <c r="BS323" s="701">
        <v>0</v>
      </c>
      <c r="BT323" s="701">
        <v>0</v>
      </c>
      <c r="BU323" s="701">
        <v>0</v>
      </c>
      <c r="BV323" s="701">
        <v>0</v>
      </c>
      <c r="BW323" s="701">
        <v>0</v>
      </c>
      <c r="BX323" s="701">
        <v>0</v>
      </c>
      <c r="BY323" s="701">
        <v>0</v>
      </c>
      <c r="BZ323" s="701">
        <v>0</v>
      </c>
      <c r="CA323" s="701">
        <v>0</v>
      </c>
      <c r="CB323" s="701">
        <v>0</v>
      </c>
      <c r="CC323" s="701">
        <v>0</v>
      </c>
      <c r="CD323" s="701">
        <v>0</v>
      </c>
      <c r="CE323" s="701">
        <v>0</v>
      </c>
      <c r="CF323" s="701">
        <v>0</v>
      </c>
      <c r="CG323" s="701">
        <v>0</v>
      </c>
      <c r="CH323" s="701">
        <v>0</v>
      </c>
      <c r="CI323" s="701">
        <v>0</v>
      </c>
      <c r="CJ323" s="701">
        <v>0</v>
      </c>
      <c r="CK323" s="701">
        <v>0</v>
      </c>
      <c r="CL323" s="701">
        <v>0</v>
      </c>
      <c r="CM323" s="701">
        <v>0</v>
      </c>
      <c r="CN323" s="701">
        <v>0</v>
      </c>
      <c r="CO323" s="701">
        <v>0</v>
      </c>
      <c r="CP323" s="701">
        <v>0</v>
      </c>
      <c r="CQ323" s="701">
        <v>0</v>
      </c>
      <c r="CR323" s="701">
        <v>0</v>
      </c>
      <c r="CS323" s="701">
        <v>0</v>
      </c>
      <c r="CT323" s="701">
        <v>0</v>
      </c>
      <c r="CU323" s="701">
        <v>0</v>
      </c>
      <c r="CV323" s="701">
        <v>0</v>
      </c>
      <c r="CW323" s="701">
        <v>0</v>
      </c>
      <c r="CX323" s="701">
        <v>0</v>
      </c>
      <c r="CY323" s="701">
        <v>0</v>
      </c>
      <c r="CZ323" s="698"/>
      <c r="DA323" s="12"/>
      <c r="DB323" s="12"/>
      <c r="DC323" s="12"/>
      <c r="DD323" s="12"/>
      <c r="DE323" s="12"/>
      <c r="DF323" s="12"/>
      <c r="DG323" s="12"/>
    </row>
    <row r="324" spans="2:111">
      <c r="B324" s="698"/>
      <c r="C324" s="698"/>
      <c r="D324" s="126" t="s">
        <v>799</v>
      </c>
      <c r="E324" s="698"/>
      <c r="F324" s="703"/>
      <c r="G324" s="609" t="s">
        <v>736</v>
      </c>
      <c r="H324" s="703"/>
      <c r="I324" s="703"/>
      <c r="J324" s="703"/>
      <c r="K324" s="703"/>
      <c r="L324" s="698"/>
      <c r="M324" s="714"/>
      <c r="N324" s="714"/>
      <c r="O324" s="714"/>
      <c r="P324" s="714"/>
      <c r="Q324" s="714"/>
      <c r="R324" s="714"/>
      <c r="S324" s="714"/>
      <c r="T324" s="696"/>
      <c r="U324" s="696"/>
      <c r="V324" s="696"/>
      <c r="W324" s="696"/>
      <c r="X324" s="696"/>
      <c r="Y324" s="696"/>
      <c r="Z324" s="696"/>
      <c r="AA324" s="696"/>
      <c r="AB324" s="696"/>
      <c r="AC324" s="696"/>
      <c r="AD324" s="696"/>
      <c r="AE324" s="696"/>
      <c r="AF324" s="696"/>
      <c r="AG324" s="696"/>
      <c r="AH324" s="696"/>
      <c r="AI324" s="701">
        <v>0</v>
      </c>
      <c r="AJ324" s="701">
        <v>0</v>
      </c>
      <c r="AK324" s="701">
        <v>0</v>
      </c>
      <c r="AL324" s="701">
        <v>0</v>
      </c>
      <c r="AM324" s="701">
        <v>0</v>
      </c>
      <c r="AN324" s="701">
        <v>0</v>
      </c>
      <c r="AO324" s="701">
        <v>0</v>
      </c>
      <c r="AP324" s="701">
        <v>0</v>
      </c>
      <c r="AQ324" s="701">
        <v>0</v>
      </c>
      <c r="AR324" s="701">
        <v>0</v>
      </c>
      <c r="AS324" s="701">
        <v>0</v>
      </c>
      <c r="AT324" s="701">
        <v>0</v>
      </c>
      <c r="AU324" s="701">
        <v>0</v>
      </c>
      <c r="AV324" s="701">
        <v>0</v>
      </c>
      <c r="AW324" s="701">
        <v>0</v>
      </c>
      <c r="AX324" s="701">
        <v>0</v>
      </c>
      <c r="AY324" s="701">
        <v>0</v>
      </c>
      <c r="AZ324" s="701">
        <v>0</v>
      </c>
      <c r="BA324" s="701">
        <v>0</v>
      </c>
      <c r="BB324" s="701">
        <v>0</v>
      </c>
      <c r="BC324" s="701">
        <v>0</v>
      </c>
      <c r="BD324" s="701">
        <v>0</v>
      </c>
      <c r="BE324" s="701">
        <v>0</v>
      </c>
      <c r="BF324" s="701">
        <v>0</v>
      </c>
      <c r="BG324" s="701">
        <v>0</v>
      </c>
      <c r="BH324" s="701">
        <v>0</v>
      </c>
      <c r="BI324" s="701">
        <v>0</v>
      </c>
      <c r="BJ324" s="701">
        <v>0</v>
      </c>
      <c r="BK324" s="701">
        <v>0</v>
      </c>
      <c r="BL324" s="701">
        <v>0</v>
      </c>
      <c r="BM324" s="701">
        <v>0</v>
      </c>
      <c r="BN324" s="701">
        <v>0</v>
      </c>
      <c r="BO324" s="701">
        <v>0</v>
      </c>
      <c r="BP324" s="701">
        <v>0</v>
      </c>
      <c r="BQ324" s="701">
        <v>0</v>
      </c>
      <c r="BR324" s="701">
        <v>0</v>
      </c>
      <c r="BS324" s="701">
        <v>0</v>
      </c>
      <c r="BT324" s="701">
        <v>0</v>
      </c>
      <c r="BU324" s="701">
        <v>0</v>
      </c>
      <c r="BV324" s="701">
        <v>0</v>
      </c>
      <c r="BW324" s="701">
        <v>0</v>
      </c>
      <c r="BX324" s="701">
        <v>0</v>
      </c>
      <c r="BY324" s="701">
        <v>0</v>
      </c>
      <c r="BZ324" s="701">
        <v>0</v>
      </c>
      <c r="CA324" s="701">
        <v>0</v>
      </c>
      <c r="CB324" s="701">
        <v>0</v>
      </c>
      <c r="CC324" s="701">
        <v>0</v>
      </c>
      <c r="CD324" s="701">
        <v>0</v>
      </c>
      <c r="CE324" s="701">
        <v>0</v>
      </c>
      <c r="CF324" s="701">
        <v>0</v>
      </c>
      <c r="CG324" s="701">
        <v>0</v>
      </c>
      <c r="CH324" s="701">
        <v>0</v>
      </c>
      <c r="CI324" s="701">
        <v>0</v>
      </c>
      <c r="CJ324" s="701">
        <v>0</v>
      </c>
      <c r="CK324" s="701">
        <v>0</v>
      </c>
      <c r="CL324" s="701">
        <v>0</v>
      </c>
      <c r="CM324" s="701">
        <v>0</v>
      </c>
      <c r="CN324" s="701">
        <v>0</v>
      </c>
      <c r="CO324" s="701">
        <v>0</v>
      </c>
      <c r="CP324" s="701">
        <v>0</v>
      </c>
      <c r="CQ324" s="701">
        <v>0</v>
      </c>
      <c r="CR324" s="701">
        <v>0</v>
      </c>
      <c r="CS324" s="701">
        <v>0</v>
      </c>
      <c r="CT324" s="701">
        <v>0</v>
      </c>
      <c r="CU324" s="701">
        <v>0</v>
      </c>
      <c r="CV324" s="701">
        <v>0</v>
      </c>
      <c r="CW324" s="701">
        <v>0</v>
      </c>
      <c r="CX324" s="701">
        <v>0</v>
      </c>
      <c r="CY324" s="701">
        <v>0</v>
      </c>
      <c r="CZ324" s="698"/>
      <c r="DA324" s="12"/>
      <c r="DB324" s="12"/>
      <c r="DC324" s="12"/>
      <c r="DD324" s="12"/>
      <c r="DE324" s="12"/>
      <c r="DF324" s="12"/>
      <c r="DG324" s="12"/>
    </row>
    <row r="325" spans="2:111">
      <c r="B325" s="126"/>
      <c r="C325" s="126"/>
      <c r="D325" s="126" t="s">
        <v>800</v>
      </c>
      <c r="E325" s="126"/>
      <c r="F325" s="609"/>
      <c r="G325" s="609" t="s">
        <v>736</v>
      </c>
      <c r="H325" s="609"/>
      <c r="I325" s="609"/>
      <c r="J325" s="609"/>
      <c r="K325" s="609"/>
      <c r="L325" s="126"/>
      <c r="M325" s="710"/>
      <c r="N325" s="710"/>
      <c r="O325" s="710"/>
      <c r="P325" s="710"/>
      <c r="Q325" s="710"/>
      <c r="R325" s="710"/>
      <c r="S325" s="710"/>
      <c r="T325" s="712"/>
      <c r="U325" s="712"/>
      <c r="V325" s="712"/>
      <c r="W325" s="712"/>
      <c r="X325" s="712"/>
      <c r="Y325" s="712"/>
      <c r="Z325" s="712"/>
      <c r="AA325" s="712"/>
      <c r="AB325" s="712"/>
      <c r="AC325" s="712"/>
      <c r="AD325" s="712"/>
      <c r="AE325" s="713"/>
      <c r="AF325" s="715"/>
      <c r="AG325" s="715"/>
      <c r="AH325" s="715"/>
      <c r="AI325" s="701">
        <v>0</v>
      </c>
      <c r="AJ325" s="701">
        <v>0</v>
      </c>
      <c r="AK325" s="701">
        <v>0</v>
      </c>
      <c r="AL325" s="701">
        <v>0</v>
      </c>
      <c r="AM325" s="701">
        <v>0</v>
      </c>
      <c r="AN325" s="701">
        <v>0</v>
      </c>
      <c r="AO325" s="701">
        <v>0</v>
      </c>
      <c r="AP325" s="701">
        <v>0</v>
      </c>
      <c r="AQ325" s="701">
        <v>0</v>
      </c>
      <c r="AR325" s="701">
        <v>0</v>
      </c>
      <c r="AS325" s="701">
        <v>0</v>
      </c>
      <c r="AT325" s="701">
        <v>0</v>
      </c>
      <c r="AU325" s="701">
        <v>0</v>
      </c>
      <c r="AV325" s="701">
        <v>0</v>
      </c>
      <c r="AW325" s="701">
        <v>0</v>
      </c>
      <c r="AX325" s="701">
        <v>0</v>
      </c>
      <c r="AY325" s="701">
        <v>0</v>
      </c>
      <c r="AZ325" s="701">
        <v>0</v>
      </c>
      <c r="BA325" s="701">
        <v>0</v>
      </c>
      <c r="BB325" s="701">
        <v>0</v>
      </c>
      <c r="BC325" s="701">
        <v>0</v>
      </c>
      <c r="BD325" s="701">
        <v>0</v>
      </c>
      <c r="BE325" s="701">
        <v>0</v>
      </c>
      <c r="BF325" s="701">
        <v>0</v>
      </c>
      <c r="BG325" s="701">
        <v>0</v>
      </c>
      <c r="BH325" s="701">
        <v>0</v>
      </c>
      <c r="BI325" s="701">
        <v>0</v>
      </c>
      <c r="BJ325" s="701">
        <v>0</v>
      </c>
      <c r="BK325" s="701">
        <v>0</v>
      </c>
      <c r="BL325" s="701">
        <v>0</v>
      </c>
      <c r="BM325" s="701">
        <v>0</v>
      </c>
      <c r="BN325" s="701">
        <v>0</v>
      </c>
      <c r="BO325" s="701">
        <v>0</v>
      </c>
      <c r="BP325" s="701">
        <v>0</v>
      </c>
      <c r="BQ325" s="701">
        <v>0</v>
      </c>
      <c r="BR325" s="701">
        <v>0</v>
      </c>
      <c r="BS325" s="701">
        <v>0</v>
      </c>
      <c r="BT325" s="701">
        <v>0</v>
      </c>
      <c r="BU325" s="701">
        <v>0</v>
      </c>
      <c r="BV325" s="701">
        <v>0</v>
      </c>
      <c r="BW325" s="701">
        <v>0</v>
      </c>
      <c r="BX325" s="701">
        <v>0</v>
      </c>
      <c r="BY325" s="701">
        <v>0</v>
      </c>
      <c r="BZ325" s="701">
        <v>0</v>
      </c>
      <c r="CA325" s="701">
        <v>0</v>
      </c>
      <c r="CB325" s="701">
        <v>0</v>
      </c>
      <c r="CC325" s="701">
        <v>0</v>
      </c>
      <c r="CD325" s="701">
        <v>0</v>
      </c>
      <c r="CE325" s="701">
        <v>0</v>
      </c>
      <c r="CF325" s="701">
        <v>0</v>
      </c>
      <c r="CG325" s="701">
        <v>0</v>
      </c>
      <c r="CH325" s="701">
        <v>0</v>
      </c>
      <c r="CI325" s="701">
        <v>0</v>
      </c>
      <c r="CJ325" s="701">
        <v>0</v>
      </c>
      <c r="CK325" s="701">
        <v>0</v>
      </c>
      <c r="CL325" s="701">
        <v>0</v>
      </c>
      <c r="CM325" s="701">
        <v>0</v>
      </c>
      <c r="CN325" s="701">
        <v>0</v>
      </c>
      <c r="CO325" s="701">
        <v>0</v>
      </c>
      <c r="CP325" s="701">
        <v>0</v>
      </c>
      <c r="CQ325" s="701">
        <v>0</v>
      </c>
      <c r="CR325" s="701">
        <v>0</v>
      </c>
      <c r="CS325" s="701">
        <v>0</v>
      </c>
      <c r="CT325" s="701">
        <v>0</v>
      </c>
      <c r="CU325" s="701">
        <v>0</v>
      </c>
      <c r="CV325" s="701">
        <v>0</v>
      </c>
      <c r="CW325" s="701">
        <v>0</v>
      </c>
      <c r="CX325" s="701">
        <v>0</v>
      </c>
      <c r="CY325" s="701">
        <v>0</v>
      </c>
      <c r="CZ325" s="126"/>
      <c r="DA325" s="12"/>
      <c r="DB325" s="12"/>
      <c r="DC325" s="12"/>
      <c r="DD325" s="12"/>
      <c r="DE325" s="12"/>
      <c r="DF325" s="12"/>
      <c r="DG325" s="12"/>
    </row>
    <row r="326" spans="2:111">
      <c r="B326" s="126"/>
      <c r="C326" s="126"/>
      <c r="D326" s="126" t="s">
        <v>223</v>
      </c>
      <c r="E326" s="126"/>
      <c r="F326" s="609"/>
      <c r="G326" s="609" t="s">
        <v>736</v>
      </c>
      <c r="H326" s="609"/>
      <c r="I326" s="609"/>
      <c r="J326" s="609"/>
      <c r="K326" s="609"/>
      <c r="L326" s="126"/>
      <c r="M326" s="710"/>
      <c r="N326" s="710"/>
      <c r="O326" s="710"/>
      <c r="P326" s="710"/>
      <c r="Q326" s="710"/>
      <c r="R326" s="710"/>
      <c r="S326" s="710"/>
      <c r="T326" s="716"/>
      <c r="U326" s="716"/>
      <c r="V326" s="716"/>
      <c r="W326" s="716"/>
      <c r="X326" s="716"/>
      <c r="Y326" s="716"/>
      <c r="Z326" s="716"/>
      <c r="AA326" s="716"/>
      <c r="AB326" s="716"/>
      <c r="AC326" s="710"/>
      <c r="AD326" s="710"/>
      <c r="AE326" s="710"/>
      <c r="AF326" s="717"/>
      <c r="AG326" s="717"/>
      <c r="AH326" s="717"/>
      <c r="AI326" s="701">
        <v>0</v>
      </c>
      <c r="AJ326" s="701">
        <v>0</v>
      </c>
      <c r="AK326" s="701">
        <v>0</v>
      </c>
      <c r="AL326" s="701">
        <v>0</v>
      </c>
      <c r="AM326" s="701">
        <v>0</v>
      </c>
      <c r="AN326" s="701">
        <v>3.6230999999999999E-2</v>
      </c>
      <c r="AO326" s="701">
        <v>4.4109038000000003E-2</v>
      </c>
      <c r="AP326" s="701">
        <v>2.3628000000000003E-2</v>
      </c>
      <c r="AQ326" s="701">
        <v>6.2768249999999998E-2</v>
      </c>
      <c r="AR326" s="701">
        <v>9.0786624999999982E-2</v>
      </c>
      <c r="AS326" s="701">
        <v>0.12835537499999999</v>
      </c>
      <c r="AT326" s="701">
        <v>0.16736475000000001</v>
      </c>
      <c r="AU326" s="701">
        <v>0.20781474999999999</v>
      </c>
      <c r="AV326" s="701">
        <v>0.24970537499999998</v>
      </c>
      <c r="AW326" s="701">
        <v>0.29303662499999994</v>
      </c>
      <c r="AX326" s="701">
        <v>0.33780850000000007</v>
      </c>
      <c r="AY326" s="701">
        <v>0.38402099999999995</v>
      </c>
      <c r="AZ326" s="701">
        <v>0.43167412499999996</v>
      </c>
      <c r="BA326" s="701">
        <v>0.48076787500000007</v>
      </c>
      <c r="BB326" s="701">
        <v>0.53130224999999998</v>
      </c>
      <c r="BC326" s="701">
        <v>0.58327724999999986</v>
      </c>
      <c r="BD326" s="701">
        <v>0.94525375</v>
      </c>
      <c r="BE326" s="701">
        <v>1.0248787500000001</v>
      </c>
      <c r="BF326" s="701">
        <v>1.1056912499999998</v>
      </c>
      <c r="BG326" s="701">
        <v>1.1876912499999999</v>
      </c>
      <c r="BH326" s="701">
        <v>1.2708787499999998</v>
      </c>
      <c r="BI326" s="701">
        <v>1.3552537499999999</v>
      </c>
      <c r="BJ326" s="701">
        <v>1.4408162500000001</v>
      </c>
      <c r="BK326" s="701">
        <v>1.5275662499999998</v>
      </c>
      <c r="BL326" s="701">
        <v>1.61550375</v>
      </c>
      <c r="BM326" s="701">
        <v>1.7046287500000001</v>
      </c>
      <c r="BN326" s="701">
        <v>1.7949412499999999</v>
      </c>
      <c r="BO326" s="701">
        <v>1.8864412499999998</v>
      </c>
      <c r="BP326" s="701">
        <v>1.9784412499999999</v>
      </c>
      <c r="BQ326" s="701">
        <v>2.0709412499999997</v>
      </c>
      <c r="BR326" s="701">
        <v>2.1639412499999997</v>
      </c>
      <c r="BS326" s="701">
        <v>2.2574412499999998</v>
      </c>
      <c r="BT326" s="701">
        <v>2.3514412500000001</v>
      </c>
      <c r="BU326" s="701">
        <v>2.4459412499999997</v>
      </c>
      <c r="BV326" s="701">
        <v>2.5409412499999999</v>
      </c>
      <c r="BW326" s="701">
        <v>2.6364412499999998</v>
      </c>
      <c r="BX326" s="701">
        <v>2.7324412499999999</v>
      </c>
      <c r="BY326" s="701">
        <v>2.8289412499999997</v>
      </c>
      <c r="BZ326" s="701">
        <v>2.9259412499999997</v>
      </c>
      <c r="CA326" s="701">
        <v>3.0234412499999999</v>
      </c>
      <c r="CB326" s="701">
        <v>3.1209412499999996</v>
      </c>
      <c r="CC326" s="701">
        <v>3.2184412499999997</v>
      </c>
      <c r="CD326" s="701">
        <v>3.3159412499999998</v>
      </c>
      <c r="CE326" s="701">
        <v>3.4134412499999991</v>
      </c>
      <c r="CF326" s="701">
        <v>3.5109412499999992</v>
      </c>
      <c r="CG326" s="701">
        <v>3.6084412499999994</v>
      </c>
      <c r="CH326" s="701">
        <v>3.7059412499999995</v>
      </c>
      <c r="CI326" s="701">
        <v>3.8034412499999997</v>
      </c>
      <c r="CJ326" s="701">
        <v>3.9009412499999998</v>
      </c>
      <c r="CK326" s="701">
        <v>3.9984412499999999</v>
      </c>
      <c r="CL326" s="701">
        <v>4.0959412500000001</v>
      </c>
      <c r="CM326" s="701">
        <v>4.1934412499999993</v>
      </c>
      <c r="CN326" s="701">
        <v>4.2909412499999995</v>
      </c>
      <c r="CO326" s="701">
        <v>4.3884412499999996</v>
      </c>
      <c r="CP326" s="701">
        <v>4.4859412499999998</v>
      </c>
      <c r="CQ326" s="701">
        <v>4.5834412499999999</v>
      </c>
      <c r="CR326" s="701">
        <v>4.6809412500000001</v>
      </c>
      <c r="CS326" s="701">
        <v>4.7784412500000002</v>
      </c>
      <c r="CT326" s="701">
        <v>4.8759412499999994</v>
      </c>
      <c r="CU326" s="701">
        <v>4.9734412499999996</v>
      </c>
      <c r="CV326" s="701">
        <v>5.0709412499999997</v>
      </c>
      <c r="CW326" s="701">
        <v>5.168441249999999</v>
      </c>
      <c r="CX326" s="701">
        <v>5.2659412499999991</v>
      </c>
      <c r="CY326" s="701">
        <v>5.3634412499999993</v>
      </c>
      <c r="CZ326" s="126"/>
      <c r="DA326" s="12"/>
      <c r="DB326" s="12"/>
      <c r="DC326" s="12"/>
      <c r="DD326" s="12"/>
      <c r="DE326" s="12"/>
      <c r="DF326" s="12"/>
      <c r="DG326" s="12"/>
    </row>
    <row r="327" spans="2:111">
      <c r="B327" s="126"/>
      <c r="C327" s="126"/>
      <c r="D327" s="126" t="s">
        <v>221</v>
      </c>
      <c r="E327" s="126"/>
      <c r="F327" s="609"/>
      <c r="G327" s="609" t="s">
        <v>736</v>
      </c>
      <c r="H327" s="609"/>
      <c r="I327" s="609"/>
      <c r="J327" s="609"/>
      <c r="K327" s="609"/>
      <c r="L327" s="126"/>
      <c r="M327" s="710"/>
      <c r="N327" s="710"/>
      <c r="O327" s="710"/>
      <c r="P327" s="710"/>
      <c r="Q327" s="710"/>
      <c r="R327" s="710"/>
      <c r="S327" s="710"/>
      <c r="T327" s="716"/>
      <c r="U327" s="716"/>
      <c r="V327" s="716"/>
      <c r="W327" s="716"/>
      <c r="X327" s="716"/>
      <c r="Y327" s="716"/>
      <c r="Z327" s="716"/>
      <c r="AA327" s="716"/>
      <c r="AB327" s="716"/>
      <c r="AC327" s="710"/>
      <c r="AD327" s="710"/>
      <c r="AE327" s="710"/>
      <c r="AF327" s="715"/>
      <c r="AG327" s="715"/>
      <c r="AH327" s="715"/>
      <c r="AI327" s="701">
        <v>1.0214060000000001E-3</v>
      </c>
      <c r="AJ327" s="701">
        <v>5.1011058999999997E-2</v>
      </c>
      <c r="AK327" s="701">
        <v>0.115925141</v>
      </c>
      <c r="AL327" s="701">
        <v>0.19491484000000001</v>
      </c>
      <c r="AM327" s="701">
        <v>0.27075200799999999</v>
      </c>
      <c r="AN327" s="701">
        <v>0.27294280700000001</v>
      </c>
      <c r="AO327" s="701">
        <v>0.41953715600000002</v>
      </c>
      <c r="AP327" s="701">
        <v>0.49375200000000002</v>
      </c>
      <c r="AQ327" s="701">
        <v>0.64828799999999998</v>
      </c>
      <c r="AR327" s="701">
        <v>0.73328800000000005</v>
      </c>
      <c r="AS327" s="701">
        <v>0.81928799999999991</v>
      </c>
      <c r="AT327" s="701">
        <v>0.90628799999999998</v>
      </c>
      <c r="AU327" s="701">
        <v>0.99428799999999995</v>
      </c>
      <c r="AV327" s="701">
        <v>1.0832880000000003</v>
      </c>
      <c r="AW327" s="701">
        <v>1.1732880000000001</v>
      </c>
      <c r="AX327" s="701">
        <v>1.2642880000000001</v>
      </c>
      <c r="AY327" s="701">
        <v>1.3562880000000002</v>
      </c>
      <c r="AZ327" s="701">
        <v>1.4492880000000001</v>
      </c>
      <c r="BA327" s="701">
        <v>1.5432880000000002</v>
      </c>
      <c r="BB327" s="701">
        <v>1.6382880000000002</v>
      </c>
      <c r="BC327" s="701">
        <v>1.7342880000000003</v>
      </c>
      <c r="BD327" s="701">
        <v>1.8272880000000002</v>
      </c>
      <c r="BE327" s="701">
        <v>1.9172880000000001</v>
      </c>
      <c r="BF327" s="701">
        <v>2.0042880000000003</v>
      </c>
      <c r="BG327" s="701">
        <v>2.0882879999999999</v>
      </c>
      <c r="BH327" s="701">
        <v>2.1692880000000003</v>
      </c>
      <c r="BI327" s="701">
        <v>2.2472880000000002</v>
      </c>
      <c r="BJ327" s="701">
        <v>2.3222879999999999</v>
      </c>
      <c r="BK327" s="701">
        <v>2.3942880000000004</v>
      </c>
      <c r="BL327" s="701">
        <v>2.4632880000000004</v>
      </c>
      <c r="BM327" s="701">
        <v>2.5292880000000002</v>
      </c>
      <c r="BN327" s="701">
        <v>2.5922879999999999</v>
      </c>
      <c r="BO327" s="701">
        <v>2.652288</v>
      </c>
      <c r="BP327" s="701">
        <v>2.712288</v>
      </c>
      <c r="BQ327" s="701">
        <v>2.7722879999999996</v>
      </c>
      <c r="BR327" s="701">
        <v>2.8322880000000001</v>
      </c>
      <c r="BS327" s="701">
        <v>2.8922879999999997</v>
      </c>
      <c r="BT327" s="701">
        <v>2.9522879999999998</v>
      </c>
      <c r="BU327" s="701">
        <v>3.0122879999999999</v>
      </c>
      <c r="BV327" s="701">
        <v>3.0722879999999999</v>
      </c>
      <c r="BW327" s="701">
        <v>3.132288</v>
      </c>
      <c r="BX327" s="701">
        <v>3.1922879999999996</v>
      </c>
      <c r="BY327" s="701">
        <v>3.2522880000000001</v>
      </c>
      <c r="BZ327" s="701">
        <v>3.3122879999999997</v>
      </c>
      <c r="CA327" s="701">
        <v>3.3722879999999997</v>
      </c>
      <c r="CB327" s="701">
        <v>3.4322879999999998</v>
      </c>
      <c r="CC327" s="701">
        <v>3.4922880000000003</v>
      </c>
      <c r="CD327" s="701">
        <v>3.5522880000000003</v>
      </c>
      <c r="CE327" s="701">
        <v>3.6122879999999995</v>
      </c>
      <c r="CF327" s="701">
        <v>3.672288</v>
      </c>
      <c r="CG327" s="701">
        <v>3.732288</v>
      </c>
      <c r="CH327" s="701">
        <v>3.7922880000000001</v>
      </c>
      <c r="CI327" s="701">
        <v>3.8522880000000002</v>
      </c>
      <c r="CJ327" s="701">
        <v>3.9122879999999998</v>
      </c>
      <c r="CK327" s="701">
        <v>3.9722879999999998</v>
      </c>
      <c r="CL327" s="701">
        <v>4.0322880000000003</v>
      </c>
      <c r="CM327" s="701">
        <v>4.0922879999999999</v>
      </c>
      <c r="CN327" s="701">
        <v>4.1522880000000004</v>
      </c>
      <c r="CO327" s="701">
        <v>4.212288</v>
      </c>
      <c r="CP327" s="701">
        <v>4.2722879999999996</v>
      </c>
      <c r="CQ327" s="701">
        <v>4.3322880000000001</v>
      </c>
      <c r="CR327" s="701">
        <v>4.3922879999999997</v>
      </c>
      <c r="CS327" s="701">
        <v>4.4522880000000002</v>
      </c>
      <c r="CT327" s="701">
        <v>4.5122879999999999</v>
      </c>
      <c r="CU327" s="701">
        <v>4.5722879999999995</v>
      </c>
      <c r="CV327" s="701">
        <v>4.632288</v>
      </c>
      <c r="CW327" s="701">
        <v>4.6922880000000005</v>
      </c>
      <c r="CX327" s="701">
        <v>4.7522880000000001</v>
      </c>
      <c r="CY327" s="701">
        <v>4.8122879999999997</v>
      </c>
      <c r="CZ327" s="126"/>
      <c r="DA327" s="12"/>
      <c r="DB327" s="12"/>
      <c r="DC327" s="12"/>
      <c r="DD327" s="12"/>
      <c r="DE327" s="12"/>
      <c r="DF327" s="12"/>
      <c r="DG327" s="12"/>
    </row>
    <row r="328" spans="2:111">
      <c r="B328" s="126"/>
      <c r="C328" s="126"/>
      <c r="D328" s="126" t="s">
        <v>801</v>
      </c>
      <c r="E328" s="126"/>
      <c r="F328" s="609"/>
      <c r="G328" s="609" t="s">
        <v>736</v>
      </c>
      <c r="H328" s="609"/>
      <c r="I328" s="609"/>
      <c r="J328" s="609"/>
      <c r="K328" s="609"/>
      <c r="L328" s="126"/>
      <c r="M328" s="710"/>
      <c r="N328" s="710"/>
      <c r="O328" s="710"/>
      <c r="P328" s="710"/>
      <c r="Q328" s="710"/>
      <c r="R328" s="710"/>
      <c r="S328" s="710"/>
      <c r="T328" s="716"/>
      <c r="U328" s="716"/>
      <c r="V328" s="716"/>
      <c r="W328" s="716"/>
      <c r="X328" s="716"/>
      <c r="Y328" s="716"/>
      <c r="Z328" s="716"/>
      <c r="AA328" s="716"/>
      <c r="AB328" s="716"/>
      <c r="AC328" s="710"/>
      <c r="AD328" s="710"/>
      <c r="AE328" s="710"/>
      <c r="AF328" s="715"/>
      <c r="AG328" s="715"/>
      <c r="AH328" s="715"/>
      <c r="AI328" s="701">
        <v>0</v>
      </c>
      <c r="AJ328" s="701">
        <v>0</v>
      </c>
      <c r="AK328" s="701">
        <v>0</v>
      </c>
      <c r="AL328" s="701">
        <v>0</v>
      </c>
      <c r="AM328" s="701">
        <v>0</v>
      </c>
      <c r="AN328" s="701">
        <v>0</v>
      </c>
      <c r="AO328" s="701">
        <v>0</v>
      </c>
      <c r="AP328" s="701">
        <v>0</v>
      </c>
      <c r="AQ328" s="701">
        <v>0</v>
      </c>
      <c r="AR328" s="701">
        <v>0</v>
      </c>
      <c r="AS328" s="701">
        <v>0</v>
      </c>
      <c r="AT328" s="701">
        <v>0</v>
      </c>
      <c r="AU328" s="701">
        <v>0</v>
      </c>
      <c r="AV328" s="701">
        <v>0</v>
      </c>
      <c r="AW328" s="701">
        <v>0</v>
      </c>
      <c r="AX328" s="701">
        <v>0</v>
      </c>
      <c r="AY328" s="701">
        <v>0</v>
      </c>
      <c r="AZ328" s="701">
        <v>0</v>
      </c>
      <c r="BA328" s="701">
        <v>0</v>
      </c>
      <c r="BB328" s="701">
        <v>0</v>
      </c>
      <c r="BC328" s="701">
        <v>0</v>
      </c>
      <c r="BD328" s="701">
        <v>0</v>
      </c>
      <c r="BE328" s="701">
        <v>0</v>
      </c>
      <c r="BF328" s="701">
        <v>0</v>
      </c>
      <c r="BG328" s="701">
        <v>0</v>
      </c>
      <c r="BH328" s="701">
        <v>0</v>
      </c>
      <c r="BI328" s="701">
        <v>0</v>
      </c>
      <c r="BJ328" s="701">
        <v>0</v>
      </c>
      <c r="BK328" s="701">
        <v>0</v>
      </c>
      <c r="BL328" s="701">
        <v>0</v>
      </c>
      <c r="BM328" s="701">
        <v>0</v>
      </c>
      <c r="BN328" s="701">
        <v>0</v>
      </c>
      <c r="BO328" s="701">
        <v>0</v>
      </c>
      <c r="BP328" s="701">
        <v>0</v>
      </c>
      <c r="BQ328" s="701">
        <v>0</v>
      </c>
      <c r="BR328" s="701">
        <v>0</v>
      </c>
      <c r="BS328" s="701">
        <v>0</v>
      </c>
      <c r="BT328" s="701">
        <v>0</v>
      </c>
      <c r="BU328" s="701">
        <v>0</v>
      </c>
      <c r="BV328" s="701">
        <v>0</v>
      </c>
      <c r="BW328" s="701">
        <v>0</v>
      </c>
      <c r="BX328" s="701">
        <v>0</v>
      </c>
      <c r="BY328" s="701">
        <v>0</v>
      </c>
      <c r="BZ328" s="701">
        <v>0</v>
      </c>
      <c r="CA328" s="701">
        <v>0</v>
      </c>
      <c r="CB328" s="701">
        <v>0</v>
      </c>
      <c r="CC328" s="701">
        <v>0</v>
      </c>
      <c r="CD328" s="701">
        <v>0</v>
      </c>
      <c r="CE328" s="701">
        <v>0</v>
      </c>
      <c r="CF328" s="701">
        <v>0</v>
      </c>
      <c r="CG328" s="701">
        <v>0</v>
      </c>
      <c r="CH328" s="701">
        <v>0</v>
      </c>
      <c r="CI328" s="701">
        <v>0</v>
      </c>
      <c r="CJ328" s="701">
        <v>0</v>
      </c>
      <c r="CK328" s="701">
        <v>0</v>
      </c>
      <c r="CL328" s="701">
        <v>0</v>
      </c>
      <c r="CM328" s="701">
        <v>0</v>
      </c>
      <c r="CN328" s="701">
        <v>0</v>
      </c>
      <c r="CO328" s="701">
        <v>0</v>
      </c>
      <c r="CP328" s="701">
        <v>0</v>
      </c>
      <c r="CQ328" s="701">
        <v>0</v>
      </c>
      <c r="CR328" s="701">
        <v>0</v>
      </c>
      <c r="CS328" s="701">
        <v>0</v>
      </c>
      <c r="CT328" s="701">
        <v>0</v>
      </c>
      <c r="CU328" s="701">
        <v>0</v>
      </c>
      <c r="CV328" s="701">
        <v>0</v>
      </c>
      <c r="CW328" s="701">
        <v>0</v>
      </c>
      <c r="CX328" s="701">
        <v>0</v>
      </c>
      <c r="CY328" s="701">
        <v>0</v>
      </c>
      <c r="CZ328" s="126"/>
      <c r="DA328" s="12"/>
      <c r="DB328" s="12"/>
      <c r="DC328" s="12"/>
      <c r="DD328" s="12"/>
      <c r="DE328" s="12"/>
      <c r="DF328" s="12"/>
      <c r="DG328" s="12"/>
    </row>
    <row r="329" spans="2:111">
      <c r="B329" s="126"/>
      <c r="C329" s="126"/>
      <c r="D329" s="126" t="s">
        <v>802</v>
      </c>
      <c r="E329" s="126"/>
      <c r="F329" s="609"/>
      <c r="G329" s="609" t="s">
        <v>736</v>
      </c>
      <c r="H329" s="609"/>
      <c r="I329" s="609"/>
      <c r="J329" s="609"/>
      <c r="K329" s="609"/>
      <c r="L329" s="126"/>
      <c r="M329" s="710"/>
      <c r="N329" s="710"/>
      <c r="O329" s="710"/>
      <c r="P329" s="710"/>
      <c r="Q329" s="710"/>
      <c r="R329" s="710"/>
      <c r="S329" s="710"/>
      <c r="T329" s="716"/>
      <c r="U329" s="716"/>
      <c r="V329" s="716"/>
      <c r="W329" s="716"/>
      <c r="X329" s="716"/>
      <c r="Y329" s="716"/>
      <c r="Z329" s="716"/>
      <c r="AA329" s="716"/>
      <c r="AB329" s="716"/>
      <c r="AC329" s="710"/>
      <c r="AD329" s="710"/>
      <c r="AE329" s="710"/>
      <c r="AF329" s="715"/>
      <c r="AG329" s="715"/>
      <c r="AH329" s="715"/>
      <c r="AI329" s="701">
        <v>0</v>
      </c>
      <c r="AJ329" s="701">
        <v>0</v>
      </c>
      <c r="AK329" s="701">
        <v>0</v>
      </c>
      <c r="AL329" s="701">
        <v>0</v>
      </c>
      <c r="AM329" s="701">
        <v>0</v>
      </c>
      <c r="AN329" s="701">
        <v>0</v>
      </c>
      <c r="AO329" s="701">
        <v>0</v>
      </c>
      <c r="AP329" s="701">
        <v>0</v>
      </c>
      <c r="AQ329" s="701">
        <v>0</v>
      </c>
      <c r="AR329" s="701">
        <v>0</v>
      </c>
      <c r="AS329" s="701">
        <v>0</v>
      </c>
      <c r="AT329" s="701">
        <v>0</v>
      </c>
      <c r="AU329" s="701">
        <v>0</v>
      </c>
      <c r="AV329" s="701">
        <v>0</v>
      </c>
      <c r="AW329" s="701">
        <v>0</v>
      </c>
      <c r="AX329" s="701">
        <v>0</v>
      </c>
      <c r="AY329" s="701">
        <v>0</v>
      </c>
      <c r="AZ329" s="701">
        <v>0</v>
      </c>
      <c r="BA329" s="701">
        <v>0</v>
      </c>
      <c r="BB329" s="701">
        <v>0</v>
      </c>
      <c r="BC329" s="701">
        <v>0</v>
      </c>
      <c r="BD329" s="701">
        <v>0</v>
      </c>
      <c r="BE329" s="701">
        <v>0</v>
      </c>
      <c r="BF329" s="701">
        <v>0</v>
      </c>
      <c r="BG329" s="701">
        <v>0</v>
      </c>
      <c r="BH329" s="701">
        <v>0</v>
      </c>
      <c r="BI329" s="701">
        <v>0</v>
      </c>
      <c r="BJ329" s="701">
        <v>0</v>
      </c>
      <c r="BK329" s="701">
        <v>0</v>
      </c>
      <c r="BL329" s="701">
        <v>0</v>
      </c>
      <c r="BM329" s="701">
        <v>0</v>
      </c>
      <c r="BN329" s="701">
        <v>0</v>
      </c>
      <c r="BO329" s="701">
        <v>0</v>
      </c>
      <c r="BP329" s="701">
        <v>0</v>
      </c>
      <c r="BQ329" s="701">
        <v>0</v>
      </c>
      <c r="BR329" s="701">
        <v>0</v>
      </c>
      <c r="BS329" s="701">
        <v>0</v>
      </c>
      <c r="BT329" s="701">
        <v>0</v>
      </c>
      <c r="BU329" s="701">
        <v>0</v>
      </c>
      <c r="BV329" s="701">
        <v>0</v>
      </c>
      <c r="BW329" s="701">
        <v>0</v>
      </c>
      <c r="BX329" s="701">
        <v>0</v>
      </c>
      <c r="BY329" s="701">
        <v>0</v>
      </c>
      <c r="BZ329" s="701">
        <v>0</v>
      </c>
      <c r="CA329" s="701">
        <v>0</v>
      </c>
      <c r="CB329" s="701">
        <v>0</v>
      </c>
      <c r="CC329" s="701">
        <v>0</v>
      </c>
      <c r="CD329" s="701">
        <v>0</v>
      </c>
      <c r="CE329" s="701">
        <v>0</v>
      </c>
      <c r="CF329" s="701">
        <v>0</v>
      </c>
      <c r="CG329" s="701">
        <v>0</v>
      </c>
      <c r="CH329" s="701">
        <v>0</v>
      </c>
      <c r="CI329" s="701">
        <v>0</v>
      </c>
      <c r="CJ329" s="701">
        <v>0</v>
      </c>
      <c r="CK329" s="701">
        <v>0</v>
      </c>
      <c r="CL329" s="701">
        <v>0</v>
      </c>
      <c r="CM329" s="701">
        <v>0</v>
      </c>
      <c r="CN329" s="701">
        <v>0</v>
      </c>
      <c r="CO329" s="701">
        <v>0</v>
      </c>
      <c r="CP329" s="701">
        <v>0</v>
      </c>
      <c r="CQ329" s="701">
        <v>0</v>
      </c>
      <c r="CR329" s="701">
        <v>0</v>
      </c>
      <c r="CS329" s="701">
        <v>0</v>
      </c>
      <c r="CT329" s="701">
        <v>0</v>
      </c>
      <c r="CU329" s="701">
        <v>0</v>
      </c>
      <c r="CV329" s="701">
        <v>0</v>
      </c>
      <c r="CW329" s="701">
        <v>0</v>
      </c>
      <c r="CX329" s="701">
        <v>0</v>
      </c>
      <c r="CY329" s="701">
        <v>0</v>
      </c>
      <c r="CZ329" s="126"/>
      <c r="DA329" s="12"/>
      <c r="DB329" s="12"/>
      <c r="DC329" s="12"/>
      <c r="DD329" s="12"/>
      <c r="DE329" s="12"/>
      <c r="DF329" s="12"/>
      <c r="DG329" s="12"/>
    </row>
    <row r="330" spans="2:111">
      <c r="B330" s="126"/>
      <c r="C330" s="126"/>
      <c r="D330" s="126" t="s">
        <v>222</v>
      </c>
      <c r="E330" s="126"/>
      <c r="F330" s="609"/>
      <c r="G330" s="609" t="s">
        <v>736</v>
      </c>
      <c r="H330" s="609"/>
      <c r="I330" s="609"/>
      <c r="J330" s="609"/>
      <c r="K330" s="609"/>
      <c r="L330" s="126"/>
      <c r="M330" s="710"/>
      <c r="N330" s="710"/>
      <c r="O330" s="710"/>
      <c r="P330" s="710"/>
      <c r="Q330" s="710"/>
      <c r="R330" s="710"/>
      <c r="S330" s="710"/>
      <c r="T330" s="716"/>
      <c r="U330" s="716"/>
      <c r="V330" s="716"/>
      <c r="W330" s="716"/>
      <c r="X330" s="716"/>
      <c r="Y330" s="716"/>
      <c r="Z330" s="716"/>
      <c r="AA330" s="716"/>
      <c r="AB330" s="716"/>
      <c r="AC330" s="710"/>
      <c r="AD330" s="710"/>
      <c r="AE330" s="710"/>
      <c r="AF330" s="715"/>
      <c r="AG330" s="715"/>
      <c r="AH330" s="715"/>
      <c r="AI330" s="701">
        <v>0</v>
      </c>
      <c r="AJ330" s="701">
        <v>0</v>
      </c>
      <c r="AK330" s="701">
        <v>7.6036029999999996E-3</v>
      </c>
      <c r="AL330" s="701">
        <v>2.6025256E-2</v>
      </c>
      <c r="AM330" s="701">
        <v>6.1989213000000001E-2</v>
      </c>
      <c r="AN330" s="701">
        <v>8.0753063E-2</v>
      </c>
      <c r="AO330" s="701">
        <v>0.114148836</v>
      </c>
      <c r="AP330" s="701">
        <v>0.13312807157622503</v>
      </c>
      <c r="AQ330" s="701">
        <v>0.16710252730167874</v>
      </c>
      <c r="AR330" s="701">
        <v>0.20356376661465397</v>
      </c>
      <c r="AS330" s="701">
        <v>0.24036036849218978</v>
      </c>
      <c r="AT330" s="701">
        <v>0.27764865597146965</v>
      </c>
      <c r="AU330" s="701">
        <v>0.31563935470469245</v>
      </c>
      <c r="AV330" s="701">
        <v>0.35455646873939733</v>
      </c>
      <c r="AW330" s="701">
        <v>0.39416641849712053</v>
      </c>
      <c r="AX330" s="701">
        <v>0.43483750319077635</v>
      </c>
      <c r="AY330" s="701">
        <v>0.47643372458716721</v>
      </c>
      <c r="AZ330" s="701">
        <v>0.51863590743029575</v>
      </c>
      <c r="BA330" s="701">
        <v>0.56164571143361752</v>
      </c>
      <c r="BB330" s="701">
        <v>0.60554893642638574</v>
      </c>
      <c r="BC330" s="701">
        <v>0.65039789652737201</v>
      </c>
      <c r="BD330" s="701">
        <v>0.70316905243835559</v>
      </c>
      <c r="BE330" s="701">
        <v>0.75254655396180559</v>
      </c>
      <c r="BF330" s="701">
        <v>0.80016915975425384</v>
      </c>
      <c r="BG330" s="701">
        <v>0.84695211818877547</v>
      </c>
      <c r="BH330" s="701">
        <v>0.8933404965493299</v>
      </c>
      <c r="BI330" s="701">
        <v>0.93948823871796117</v>
      </c>
      <c r="BJ330" s="701">
        <v>0.98545709798183212</v>
      </c>
      <c r="BK330" s="701">
        <v>1.0312194710389289</v>
      </c>
      <c r="BL330" s="701">
        <v>1.076698540793394</v>
      </c>
      <c r="BM330" s="701">
        <v>1.1220859300263539</v>
      </c>
      <c r="BN330" s="701">
        <v>1.1673300343352679</v>
      </c>
      <c r="BO330" s="701">
        <v>1.2125539133083414</v>
      </c>
      <c r="BP330" s="701">
        <v>1.2580289984886084</v>
      </c>
      <c r="BQ330" s="701">
        <v>1.3037862141925467</v>
      </c>
      <c r="BR330" s="701">
        <v>1.3498488652328495</v>
      </c>
      <c r="BS330" s="701">
        <v>1.3962198321379136</v>
      </c>
      <c r="BT330" s="701">
        <v>1.4429002121594072</v>
      </c>
      <c r="BU330" s="701">
        <v>1.4898938976518823</v>
      </c>
      <c r="BV330" s="701">
        <v>1.5371973714665321</v>
      </c>
      <c r="BW330" s="701">
        <v>1.5848144620785798</v>
      </c>
      <c r="BX330" s="701">
        <v>1.6327431139251427</v>
      </c>
      <c r="BY330" s="701">
        <v>1.6809812562465292</v>
      </c>
      <c r="BZ330" s="701">
        <v>1.7295277730309329</v>
      </c>
      <c r="CA330" s="701">
        <v>1.7783820279408213</v>
      </c>
      <c r="CB330" s="701">
        <v>1.8274206370798045</v>
      </c>
      <c r="CC330" s="701">
        <v>1.8763923486502709</v>
      </c>
      <c r="CD330" s="701">
        <v>1.9253272700770627</v>
      </c>
      <c r="CE330" s="701">
        <v>1.9742417692062981</v>
      </c>
      <c r="CF330" s="701">
        <v>2.0231449894027072</v>
      </c>
      <c r="CG330" s="701">
        <v>2.0720418837859986</v>
      </c>
      <c r="CH330" s="701">
        <v>2.1211410792035057</v>
      </c>
      <c r="CI330" s="701">
        <v>2.1701425882380772</v>
      </c>
      <c r="CJ330" s="701">
        <v>2.2190967514130944</v>
      </c>
      <c r="CK330" s="701">
        <v>2.2680259901739177</v>
      </c>
      <c r="CL330" s="701">
        <v>2.3169420969863617</v>
      </c>
      <c r="CM330" s="701">
        <v>2.3658511188132709</v>
      </c>
      <c r="CN330" s="701">
        <v>2.4147562770755062</v>
      </c>
      <c r="CO330" s="701">
        <v>2.4636549623171673</v>
      </c>
      <c r="CP330" s="701">
        <v>2.5125564772597251</v>
      </c>
      <c r="CQ330" s="701">
        <v>2.5614602806396976</v>
      </c>
      <c r="CR330" s="701">
        <v>2.6103657459225791</v>
      </c>
      <c r="CS330" s="701">
        <v>2.659272304342204</v>
      </c>
      <c r="CT330" s="701">
        <v>2.7081795340778321</v>
      </c>
      <c r="CU330" s="701">
        <v>2.7570871393022705</v>
      </c>
      <c r="CV330" s="701">
        <v>2.8059950140452639</v>
      </c>
      <c r="CW330" s="701">
        <v>2.8549028123773978</v>
      </c>
      <c r="CX330" s="701">
        <v>2.9038104967666349</v>
      </c>
      <c r="CY330" s="701">
        <v>2.9546308727556969</v>
      </c>
      <c r="CZ330" s="126"/>
      <c r="DA330" s="12"/>
      <c r="DB330" s="12"/>
      <c r="DC330" s="12"/>
      <c r="DD330" s="12"/>
      <c r="DE330" s="12"/>
      <c r="DF330" s="12"/>
      <c r="DG330" s="12"/>
    </row>
    <row r="331" spans="2:111">
      <c r="B331" s="126"/>
      <c r="C331" s="126"/>
      <c r="D331" s="126" t="s">
        <v>803</v>
      </c>
      <c r="E331" s="126"/>
      <c r="F331" s="609"/>
      <c r="G331" s="609" t="s">
        <v>736</v>
      </c>
      <c r="H331" s="609"/>
      <c r="I331" s="609"/>
      <c r="J331" s="609"/>
      <c r="K331" s="609"/>
      <c r="L331" s="126"/>
      <c r="M331" s="710"/>
      <c r="N331" s="710"/>
      <c r="O331" s="710"/>
      <c r="P331" s="710"/>
      <c r="Q331" s="710"/>
      <c r="R331" s="710"/>
      <c r="S331" s="710"/>
      <c r="T331" s="716"/>
      <c r="U331" s="716"/>
      <c r="V331" s="716"/>
      <c r="W331" s="716"/>
      <c r="X331" s="716"/>
      <c r="Y331" s="716"/>
      <c r="Z331" s="716"/>
      <c r="AA331" s="716"/>
      <c r="AB331" s="716"/>
      <c r="AC331" s="710"/>
      <c r="AD331" s="710"/>
      <c r="AE331" s="710"/>
      <c r="AF331" s="715"/>
      <c r="AG331" s="715"/>
      <c r="AH331" s="715"/>
      <c r="AI331" s="701">
        <v>0</v>
      </c>
      <c r="AJ331" s="701">
        <v>0</v>
      </c>
      <c r="AK331" s="701">
        <v>0</v>
      </c>
      <c r="AL331" s="701">
        <v>0</v>
      </c>
      <c r="AM331" s="701">
        <v>0</v>
      </c>
      <c r="AN331" s="701">
        <v>0</v>
      </c>
      <c r="AO331" s="701">
        <v>0</v>
      </c>
      <c r="AP331" s="701">
        <v>0</v>
      </c>
      <c r="AQ331" s="701">
        <v>1.4295945225951324E-2</v>
      </c>
      <c r="AR331" s="701">
        <v>5.540845506414567E-2</v>
      </c>
      <c r="AS331" s="701">
        <v>0.10789166310389528</v>
      </c>
      <c r="AT331" s="701">
        <v>0.16255236320873612</v>
      </c>
      <c r="AU331" s="701">
        <v>0.22181190409480858</v>
      </c>
      <c r="AV331" s="701">
        <v>0.28213150451741759</v>
      </c>
      <c r="AW331" s="701">
        <v>0.3437458340622217</v>
      </c>
      <c r="AX331" s="701">
        <v>0.40879569013274114</v>
      </c>
      <c r="AY331" s="701">
        <v>0.47788192943777619</v>
      </c>
      <c r="AZ331" s="701">
        <v>0.55167200816771023</v>
      </c>
      <c r="BA331" s="701">
        <v>0.63095137151465053</v>
      </c>
      <c r="BB331" s="701">
        <v>0.71591371869407816</v>
      </c>
      <c r="BC331" s="701">
        <v>0.80497588768397799</v>
      </c>
      <c r="BD331" s="701">
        <v>1.0187530044935964</v>
      </c>
      <c r="BE331" s="701">
        <v>1.3700285404279704</v>
      </c>
      <c r="BF331" s="701">
        <v>1.8317646718162184</v>
      </c>
      <c r="BG331" s="701">
        <v>2.1424914092762544</v>
      </c>
      <c r="BH331" s="701">
        <v>2.3794972872725979</v>
      </c>
      <c r="BI331" s="701">
        <v>2.6000995341087965</v>
      </c>
      <c r="BJ331" s="701">
        <v>2.8040821477131348</v>
      </c>
      <c r="BK331" s="701">
        <v>2.9992093995087421</v>
      </c>
      <c r="BL331" s="701">
        <v>3.2182505909739918</v>
      </c>
      <c r="BM331" s="701">
        <v>3.4517795030618044</v>
      </c>
      <c r="BN331" s="701">
        <v>3.6866595139269553</v>
      </c>
      <c r="BO331" s="701">
        <v>3.9299611311954599</v>
      </c>
      <c r="BP331" s="701">
        <v>4.1697061859236584</v>
      </c>
      <c r="BQ331" s="701">
        <v>4.4153508060619648</v>
      </c>
      <c r="BR331" s="701">
        <v>4.665266788412203</v>
      </c>
      <c r="BS331" s="701">
        <v>4.9186642201530608</v>
      </c>
      <c r="BT331" s="701">
        <v>5.1759467992705419</v>
      </c>
      <c r="BU331" s="701">
        <v>5.4373417239750665</v>
      </c>
      <c r="BV331" s="701">
        <v>5.7366423713247396</v>
      </c>
      <c r="BW331" s="701">
        <v>6.0338147178502437</v>
      </c>
      <c r="BX331" s="701">
        <v>6.3333357395277368</v>
      </c>
      <c r="BY331" s="701">
        <v>6.6361347944292595</v>
      </c>
      <c r="BZ331" s="701">
        <v>6.943451015460627</v>
      </c>
      <c r="CA331" s="701">
        <v>7.2552412111180864</v>
      </c>
      <c r="CB331" s="701">
        <v>7.6161412411249882</v>
      </c>
      <c r="CC331" s="701">
        <v>7.9475210511562233</v>
      </c>
      <c r="CD331" s="701">
        <v>8.278430604831744</v>
      </c>
      <c r="CE331" s="701">
        <v>8.6091002612633734</v>
      </c>
      <c r="CF331" s="701">
        <v>8.9408471293585823</v>
      </c>
      <c r="CG331" s="701">
        <v>9.2735396018545657</v>
      </c>
      <c r="CH331" s="701">
        <v>9.6072094989860375</v>
      </c>
      <c r="CI331" s="701">
        <v>9.9100280041653157</v>
      </c>
      <c r="CJ331" s="701">
        <v>10.214421324421957</v>
      </c>
      <c r="CK331" s="701">
        <v>10.519485466303319</v>
      </c>
      <c r="CL331" s="701">
        <v>10.825120972728087</v>
      </c>
      <c r="CM331" s="701">
        <v>11.131269919471448</v>
      </c>
      <c r="CN331" s="701">
        <v>11.437942982589309</v>
      </c>
      <c r="CO331" s="701">
        <v>11.745148483130716</v>
      </c>
      <c r="CP331" s="701">
        <v>12.052895970737863</v>
      </c>
      <c r="CQ331" s="701">
        <v>12.360521276910029</v>
      </c>
      <c r="CR331" s="701">
        <v>12.668066873720631</v>
      </c>
      <c r="CS331" s="701">
        <v>12.975550891557903</v>
      </c>
      <c r="CT331" s="701">
        <v>13.282987776214785</v>
      </c>
      <c r="CU331" s="701">
        <v>13.590389728124908</v>
      </c>
      <c r="CV331" s="701">
        <v>13.897768928574822</v>
      </c>
      <c r="CW331" s="701">
        <v>14.205137443549646</v>
      </c>
      <c r="CX331" s="701">
        <v>14.512507247277417</v>
      </c>
      <c r="CY331" s="701">
        <v>14.819876005970718</v>
      </c>
      <c r="CZ331" s="126"/>
      <c r="DA331" s="12"/>
      <c r="DB331" s="12"/>
      <c r="DC331" s="12"/>
      <c r="DD331" s="12"/>
      <c r="DE331" s="12"/>
      <c r="DF331" s="12"/>
      <c r="DG331" s="12"/>
    </row>
    <row r="332" spans="2:111">
      <c r="B332" s="126"/>
      <c r="C332" s="126"/>
      <c r="D332" s="126" t="s">
        <v>224</v>
      </c>
      <c r="E332" s="126"/>
      <c r="F332" s="609"/>
      <c r="G332" s="609" t="s">
        <v>736</v>
      </c>
      <c r="H332" s="609"/>
      <c r="I332" s="609"/>
      <c r="J332" s="609"/>
      <c r="K332" s="609"/>
      <c r="L332" s="126"/>
      <c r="M332" s="710"/>
      <c r="N332" s="710"/>
      <c r="O332" s="710"/>
      <c r="P332" s="710"/>
      <c r="Q332" s="710"/>
      <c r="R332" s="710"/>
      <c r="S332" s="710"/>
      <c r="T332" s="716"/>
      <c r="U332" s="716"/>
      <c r="V332" s="716"/>
      <c r="W332" s="716"/>
      <c r="X332" s="716"/>
      <c r="Y332" s="716"/>
      <c r="Z332" s="716"/>
      <c r="AA332" s="716"/>
      <c r="AB332" s="716"/>
      <c r="AC332" s="710"/>
      <c r="AD332" s="710"/>
      <c r="AE332" s="710"/>
      <c r="AF332" s="715"/>
      <c r="AG332" s="715"/>
      <c r="AH332" s="715"/>
      <c r="AI332" s="701">
        <v>0</v>
      </c>
      <c r="AJ332" s="701">
        <v>0</v>
      </c>
      <c r="AK332" s="701">
        <v>0</v>
      </c>
      <c r="AL332" s="701">
        <v>0</v>
      </c>
      <c r="AM332" s="701">
        <v>0</v>
      </c>
      <c r="AN332" s="701">
        <v>0</v>
      </c>
      <c r="AO332" s="701">
        <v>0</v>
      </c>
      <c r="AP332" s="701">
        <v>0</v>
      </c>
      <c r="AQ332" s="701">
        <v>0</v>
      </c>
      <c r="AR332" s="701">
        <v>0</v>
      </c>
      <c r="AS332" s="701">
        <v>0</v>
      </c>
      <c r="AT332" s="701">
        <v>0</v>
      </c>
      <c r="AU332" s="701">
        <v>0</v>
      </c>
      <c r="AV332" s="701">
        <v>0</v>
      </c>
      <c r="AW332" s="701">
        <v>0</v>
      </c>
      <c r="AX332" s="701">
        <v>0</v>
      </c>
      <c r="AY332" s="701">
        <v>0</v>
      </c>
      <c r="AZ332" s="701">
        <v>0</v>
      </c>
      <c r="BA332" s="701">
        <v>0</v>
      </c>
      <c r="BB332" s="701">
        <v>0</v>
      </c>
      <c r="BC332" s="701">
        <v>0</v>
      </c>
      <c r="BD332" s="701">
        <v>0</v>
      </c>
      <c r="BE332" s="701">
        <v>0</v>
      </c>
      <c r="BF332" s="701">
        <v>0</v>
      </c>
      <c r="BG332" s="701">
        <v>0</v>
      </c>
      <c r="BH332" s="701">
        <v>0</v>
      </c>
      <c r="BI332" s="701">
        <v>0</v>
      </c>
      <c r="BJ332" s="701">
        <v>0</v>
      </c>
      <c r="BK332" s="701">
        <v>0</v>
      </c>
      <c r="BL332" s="701">
        <v>0</v>
      </c>
      <c r="BM332" s="701">
        <v>0</v>
      </c>
      <c r="BN332" s="701">
        <v>0</v>
      </c>
      <c r="BO332" s="701">
        <v>0</v>
      </c>
      <c r="BP332" s="701">
        <v>0</v>
      </c>
      <c r="BQ332" s="701">
        <v>0</v>
      </c>
      <c r="BR332" s="701">
        <v>0</v>
      </c>
      <c r="BS332" s="701">
        <v>0</v>
      </c>
      <c r="BT332" s="701">
        <v>0</v>
      </c>
      <c r="BU332" s="701">
        <v>0</v>
      </c>
      <c r="BV332" s="701">
        <v>0</v>
      </c>
      <c r="BW332" s="701">
        <v>0</v>
      </c>
      <c r="BX332" s="701">
        <v>0</v>
      </c>
      <c r="BY332" s="701">
        <v>0</v>
      </c>
      <c r="BZ332" s="701">
        <v>0</v>
      </c>
      <c r="CA332" s="701">
        <v>0</v>
      </c>
      <c r="CB332" s="701">
        <v>0</v>
      </c>
      <c r="CC332" s="701">
        <v>0</v>
      </c>
      <c r="CD332" s="701">
        <v>0</v>
      </c>
      <c r="CE332" s="701">
        <v>0</v>
      </c>
      <c r="CF332" s="701">
        <v>0</v>
      </c>
      <c r="CG332" s="701">
        <v>0</v>
      </c>
      <c r="CH332" s="701">
        <v>0</v>
      </c>
      <c r="CI332" s="701">
        <v>0</v>
      </c>
      <c r="CJ332" s="701">
        <v>0</v>
      </c>
      <c r="CK332" s="701">
        <v>0</v>
      </c>
      <c r="CL332" s="701">
        <v>0</v>
      </c>
      <c r="CM332" s="701">
        <v>0</v>
      </c>
      <c r="CN332" s="701">
        <v>0</v>
      </c>
      <c r="CO332" s="701">
        <v>0</v>
      </c>
      <c r="CP332" s="701">
        <v>0</v>
      </c>
      <c r="CQ332" s="701">
        <v>0</v>
      </c>
      <c r="CR332" s="701">
        <v>0</v>
      </c>
      <c r="CS332" s="701">
        <v>0</v>
      </c>
      <c r="CT332" s="701">
        <v>0</v>
      </c>
      <c r="CU332" s="701">
        <v>0</v>
      </c>
      <c r="CV332" s="701">
        <v>0</v>
      </c>
      <c r="CW332" s="701">
        <v>0</v>
      </c>
      <c r="CX332" s="701">
        <v>0</v>
      </c>
      <c r="CY332" s="701">
        <v>0</v>
      </c>
      <c r="CZ332" s="126"/>
      <c r="DA332" s="12"/>
      <c r="DB332" s="12"/>
      <c r="DC332" s="12"/>
      <c r="DD332" s="12"/>
      <c r="DE332" s="12"/>
      <c r="DF332" s="12"/>
      <c r="DG332" s="12"/>
    </row>
    <row r="333" spans="2:111">
      <c r="B333" s="126"/>
      <c r="C333" s="126"/>
      <c r="D333" s="718" t="s">
        <v>804</v>
      </c>
      <c r="E333" s="230"/>
      <c r="F333" s="232"/>
      <c r="G333" s="719" t="s">
        <v>736</v>
      </c>
      <c r="H333" s="609"/>
      <c r="I333" s="609"/>
      <c r="J333" s="609"/>
      <c r="K333" s="609"/>
      <c r="L333" s="126"/>
      <c r="M333" s="710"/>
      <c r="N333" s="710"/>
      <c r="O333" s="710"/>
      <c r="P333" s="710"/>
      <c r="Q333" s="710"/>
      <c r="R333" s="710"/>
      <c r="S333" s="710"/>
      <c r="T333" s="716"/>
      <c r="U333" s="716"/>
      <c r="V333" s="716"/>
      <c r="W333" s="716"/>
      <c r="X333" s="716"/>
      <c r="Y333" s="716"/>
      <c r="Z333" s="716"/>
      <c r="AA333" s="716"/>
      <c r="AB333" s="716"/>
      <c r="AC333" s="710"/>
      <c r="AD333" s="710"/>
      <c r="AE333" s="710"/>
      <c r="AF333" s="715"/>
      <c r="AG333" s="715"/>
      <c r="AH333" s="715"/>
      <c r="AI333" s="701">
        <v>0</v>
      </c>
      <c r="AJ333" s="701">
        <v>-1.967622E-3</v>
      </c>
      <c r="AK333" s="701">
        <v>-6.0063429999999999E-3</v>
      </c>
      <c r="AL333" s="701">
        <v>-8.1932010000000006E-3</v>
      </c>
      <c r="AM333" s="701">
        <v>-1.2777523999999998E-2</v>
      </c>
      <c r="AN333" s="701">
        <v>-6.0325179999999997E-3</v>
      </c>
      <c r="AO333" s="701">
        <v>-0.1295068663783594</v>
      </c>
      <c r="AP333" s="701">
        <v>-0.1524627995492428</v>
      </c>
      <c r="AQ333" s="701">
        <v>-0.26986101827628667</v>
      </c>
      <c r="AR333" s="701">
        <v>-0.32075427989381278</v>
      </c>
      <c r="AS333" s="701">
        <v>-0.40988831996853853</v>
      </c>
      <c r="AT333" s="701">
        <v>-0.46110330370444919</v>
      </c>
      <c r="AU333" s="701">
        <v>-0.52696422606719739</v>
      </c>
      <c r="AV333" s="701">
        <v>-0.59792642312312227</v>
      </c>
      <c r="AW333" s="701">
        <v>-0.67977959813824951</v>
      </c>
      <c r="AX333" s="701">
        <v>-0.75308311734612288</v>
      </c>
      <c r="AY333" s="701">
        <v>-0.83621750536882855</v>
      </c>
      <c r="AZ333" s="701">
        <v>-0.92291250985959528</v>
      </c>
      <c r="BA333" s="701">
        <v>-1.0000899987867895</v>
      </c>
      <c r="BB333" s="701">
        <v>-1.0646800417707223</v>
      </c>
      <c r="BC333" s="701">
        <v>-1.1180329786691321</v>
      </c>
      <c r="BD333" s="701">
        <v>-1.285643645857327</v>
      </c>
      <c r="BE333" s="701">
        <v>-1.083551309445967</v>
      </c>
      <c r="BF333" s="701">
        <v>-1.1354300197292801</v>
      </c>
      <c r="BG333" s="701">
        <v>-1.2045113181697449</v>
      </c>
      <c r="BH333" s="701">
        <v>-1.2645063069408804</v>
      </c>
      <c r="BI333" s="701">
        <v>-1.3448387123354122</v>
      </c>
      <c r="BJ333" s="701">
        <v>-1.4162898497810852</v>
      </c>
      <c r="BK333" s="701">
        <v>-1.5041782716832972</v>
      </c>
      <c r="BL333" s="701">
        <v>-1.6220702325650045</v>
      </c>
      <c r="BM333" s="701">
        <v>-1.7156155405109528</v>
      </c>
      <c r="BN333" s="701">
        <v>-1.7952054267045181</v>
      </c>
      <c r="BO333" s="701">
        <v>-1.8822851992303584</v>
      </c>
      <c r="BP333" s="701">
        <v>-1.9645526479942683</v>
      </c>
      <c r="BQ333" s="701">
        <v>-2.0617146387240428</v>
      </c>
      <c r="BR333" s="701">
        <v>-2.1583872166274576</v>
      </c>
      <c r="BS333" s="701">
        <v>-2.2551532566940371</v>
      </c>
      <c r="BT333" s="701">
        <v>-2.3529917762359664</v>
      </c>
      <c r="BU333" s="701">
        <v>-2.4515727185341127</v>
      </c>
      <c r="BV333" s="701">
        <v>-2.5567119135130079</v>
      </c>
      <c r="BW333" s="701">
        <v>-2.6151425285922083</v>
      </c>
      <c r="BX333" s="701">
        <v>-2.6826880060229858</v>
      </c>
      <c r="BY333" s="701">
        <v>-2.7534714500685129</v>
      </c>
      <c r="BZ333" s="701">
        <v>-2.8264477695939147</v>
      </c>
      <c r="CA333" s="701">
        <v>-2.8998807004885387</v>
      </c>
      <c r="CB333" s="701">
        <v>-2.9811246742606539</v>
      </c>
      <c r="CC333" s="701">
        <v>-2.9954818363143785</v>
      </c>
      <c r="CD333" s="701">
        <v>-3.0548817805749211</v>
      </c>
      <c r="CE333" s="701">
        <v>-3.1169657939176449</v>
      </c>
      <c r="CF333" s="701">
        <v>-3.1804729529779121</v>
      </c>
      <c r="CG333" s="701">
        <v>-3.2430908143502757</v>
      </c>
      <c r="CH333" s="701">
        <v>-3.3048231983228491</v>
      </c>
      <c r="CI333" s="701">
        <v>-3.3596788643803674</v>
      </c>
      <c r="CJ333" s="701">
        <v>-3.4571254930647166</v>
      </c>
      <c r="CK333" s="701">
        <v>-3.5526795304530858</v>
      </c>
      <c r="CL333" s="701">
        <v>-3.6474655687556199</v>
      </c>
      <c r="CM333" s="701">
        <v>-3.7415705983052434</v>
      </c>
      <c r="CN333" s="701">
        <v>-3.8350666457638316</v>
      </c>
      <c r="CO333" s="701">
        <v>-3.9279378112846834</v>
      </c>
      <c r="CP333" s="701">
        <v>-4.0202009353473578</v>
      </c>
      <c r="CQ333" s="701">
        <v>-4.1115067535559566</v>
      </c>
      <c r="CR333" s="701">
        <v>-4.2028538372491626</v>
      </c>
      <c r="CS333" s="701">
        <v>-4.2942378232726526</v>
      </c>
      <c r="CT333" s="701">
        <v>-4.3856639373166981</v>
      </c>
      <c r="CU333" s="701">
        <v>-4.4771295179605959</v>
      </c>
      <c r="CV333" s="701">
        <v>-4.5686288507578325</v>
      </c>
      <c r="CW333" s="701">
        <v>-4.6601522372230031</v>
      </c>
      <c r="CX333" s="701">
        <v>-4.7516939759365417</v>
      </c>
      <c r="CY333" s="701">
        <v>-4.843529967180662</v>
      </c>
      <c r="CZ333" s="126"/>
      <c r="DA333" s="12"/>
      <c r="DB333" s="12"/>
      <c r="DC333" s="12"/>
      <c r="DD333" s="12"/>
      <c r="DE333" s="12"/>
      <c r="DF333" s="12"/>
      <c r="DG333" s="12"/>
    </row>
    <row r="334" spans="2:111">
      <c r="B334" s="126"/>
      <c r="C334" s="720" t="s">
        <v>621</v>
      </c>
      <c r="D334" s="126"/>
      <c r="E334" s="126"/>
      <c r="F334" s="609"/>
      <c r="G334" s="609" t="s">
        <v>736</v>
      </c>
      <c r="H334" s="609"/>
      <c r="I334" s="609"/>
      <c r="J334" s="609"/>
      <c r="K334" s="609"/>
      <c r="L334" s="126"/>
      <c r="M334" s="710"/>
      <c r="N334" s="710"/>
      <c r="O334" s="710"/>
      <c r="P334" s="710"/>
      <c r="Q334" s="710"/>
      <c r="R334" s="710"/>
      <c r="S334" s="710"/>
      <c r="T334" s="713"/>
      <c r="U334" s="713"/>
      <c r="V334" s="713"/>
      <c r="W334" s="713"/>
      <c r="X334" s="713"/>
      <c r="Y334" s="713"/>
      <c r="Z334" s="713"/>
      <c r="AA334" s="713"/>
      <c r="AB334" s="713"/>
      <c r="AC334" s="713"/>
      <c r="AD334" s="713"/>
      <c r="AE334" s="721"/>
      <c r="AF334" s="715"/>
      <c r="AG334" s="722"/>
      <c r="AH334" s="722"/>
      <c r="AI334" s="723">
        <v>0</v>
      </c>
      <c r="AJ334" s="723">
        <v>-1.4276600000000001E-4</v>
      </c>
      <c r="AK334" s="723">
        <v>-1.3023997000000001E-2</v>
      </c>
      <c r="AL334" s="723">
        <v>-8.7153336999999997E-2</v>
      </c>
      <c r="AM334" s="723">
        <v>-0.10854834000000001</v>
      </c>
      <c r="AN334" s="723">
        <v>-0.12931065899999999</v>
      </c>
      <c r="AO334" s="723">
        <v>-0.16473847321565546</v>
      </c>
      <c r="AP334" s="723">
        <v>-0.23986061551513702</v>
      </c>
      <c r="AQ334" s="723">
        <v>-0.36426039269392141</v>
      </c>
      <c r="AR334" s="723">
        <v>-0.53040411561457901</v>
      </c>
      <c r="AS334" s="723">
        <v>-0.90612596660587141</v>
      </c>
      <c r="AT334" s="723">
        <v>-1.2465041740893652</v>
      </c>
      <c r="AU334" s="723">
        <v>-1.4415011270861575</v>
      </c>
      <c r="AV334" s="723">
        <v>-1.6873196149729068</v>
      </c>
      <c r="AW334" s="723">
        <v>-1.9332987982291807</v>
      </c>
      <c r="AX334" s="723">
        <v>-1.9511893170649823</v>
      </c>
      <c r="AY334" s="723">
        <v>-2.182411312544029</v>
      </c>
      <c r="AZ334" s="723">
        <v>-2.7353014804860694</v>
      </c>
      <c r="BA334" s="723">
        <v>-3.1453963282900825</v>
      </c>
      <c r="BB334" s="723">
        <v>-3.4535198433417862</v>
      </c>
      <c r="BC334" s="723">
        <v>-3.6604531090478223</v>
      </c>
      <c r="BD334" s="723">
        <v>-3.9404580160985763</v>
      </c>
      <c r="BE334" s="723">
        <v>-4.1237047679420424</v>
      </c>
      <c r="BF334" s="723">
        <v>-4.3371164344973145</v>
      </c>
      <c r="BG334" s="723">
        <v>-4.3355322054595042</v>
      </c>
      <c r="BH334" s="723">
        <v>-4.467945218355629</v>
      </c>
      <c r="BI334" s="723">
        <v>-4.5582111602782867</v>
      </c>
      <c r="BJ334" s="723">
        <v>-4.5044996400946182</v>
      </c>
      <c r="BK334" s="723">
        <v>-4.7148378082932449</v>
      </c>
      <c r="BL334" s="723">
        <v>-5.4680392898698198</v>
      </c>
      <c r="BM334" s="723">
        <v>-5.9610152754807295</v>
      </c>
      <c r="BN334" s="723">
        <v>-6.2743734586579496</v>
      </c>
      <c r="BO334" s="723">
        <v>-6.5760807790205957</v>
      </c>
      <c r="BP334" s="723">
        <v>-6.7626092759220144</v>
      </c>
      <c r="BQ334" s="723">
        <v>-7.1335076606956269</v>
      </c>
      <c r="BR334" s="723">
        <v>-7.4851330351350427</v>
      </c>
      <c r="BS334" s="723">
        <v>-7.8253857009319985</v>
      </c>
      <c r="BT334" s="723">
        <v>-8.1705080377129988</v>
      </c>
      <c r="BU334" s="723">
        <v>-8.5193299061227297</v>
      </c>
      <c r="BV334" s="723">
        <v>-8.8075119083293494</v>
      </c>
      <c r="BW334" s="723">
        <v>-9.1694678369753735</v>
      </c>
      <c r="BX334" s="723">
        <v>-9.5188850375306018</v>
      </c>
      <c r="BY334" s="723">
        <v>-9.7430690989903042</v>
      </c>
      <c r="BZ334" s="723">
        <v>-10.093861968239414</v>
      </c>
      <c r="CA334" s="723">
        <v>-10.446617482398352</v>
      </c>
      <c r="CB334" s="723">
        <v>-10.474343285869988</v>
      </c>
      <c r="CC334" s="723">
        <v>-10.42255886730022</v>
      </c>
      <c r="CD334" s="723">
        <v>-10.778730287281853</v>
      </c>
      <c r="CE334" s="723">
        <v>-10.970556115174027</v>
      </c>
      <c r="CF334" s="723">
        <v>-11.322563357824929</v>
      </c>
      <c r="CG334" s="723">
        <v>-11.672059645439159</v>
      </c>
      <c r="CH334" s="723">
        <v>-11.703164042001141</v>
      </c>
      <c r="CI334" s="723">
        <v>-11.515449059787404</v>
      </c>
      <c r="CJ334" s="723">
        <v>-11.858366677509576</v>
      </c>
      <c r="CK334" s="723">
        <v>-12.187241936784339</v>
      </c>
      <c r="CL334" s="723">
        <v>-12.515895723948731</v>
      </c>
      <c r="CM334" s="723">
        <v>-12.839849050555813</v>
      </c>
      <c r="CN334" s="723">
        <v>-13.163783754025834</v>
      </c>
      <c r="CO334" s="723">
        <v>-13.490887422030481</v>
      </c>
      <c r="CP334" s="723">
        <v>-13.815290017667625</v>
      </c>
      <c r="CQ334" s="723">
        <v>-14.125841630878194</v>
      </c>
      <c r="CR334" s="723">
        <v>-14.435649919374416</v>
      </c>
      <c r="CS334" s="723">
        <v>-14.745055994354935</v>
      </c>
      <c r="CT334" s="723">
        <v>-15.054478250588328</v>
      </c>
      <c r="CU334" s="723">
        <v>-15.363990311592662</v>
      </c>
      <c r="CV334" s="723">
        <v>-15.673625102688268</v>
      </c>
      <c r="CW334" s="723">
        <v>-15.983511397766264</v>
      </c>
      <c r="CX334" s="723">
        <v>-16.29380567945503</v>
      </c>
      <c r="CY334" s="723">
        <v>-16.638025158839334</v>
      </c>
      <c r="CZ334" s="126"/>
      <c r="DA334" s="12"/>
      <c r="DB334" s="12"/>
      <c r="DC334" s="12"/>
      <c r="DD334" s="12"/>
      <c r="DE334" s="12"/>
      <c r="DF334" s="12"/>
      <c r="DG334" s="12"/>
    </row>
    <row r="335" spans="2:111">
      <c r="B335" s="698"/>
      <c r="C335" s="724" t="s">
        <v>701</v>
      </c>
      <c r="D335" s="698"/>
      <c r="E335" s="698"/>
      <c r="F335" s="703"/>
      <c r="G335" s="609" t="s">
        <v>736</v>
      </c>
      <c r="H335" s="703"/>
      <c r="I335" s="703"/>
      <c r="J335" s="703"/>
      <c r="K335" s="703"/>
      <c r="L335" s="698"/>
      <c r="M335" s="714"/>
      <c r="N335" s="714"/>
      <c r="O335" s="714"/>
      <c r="P335" s="714"/>
      <c r="Q335" s="714"/>
      <c r="R335" s="714"/>
      <c r="S335" s="714"/>
      <c r="T335" s="696"/>
      <c r="U335" s="696"/>
      <c r="V335" s="696"/>
      <c r="W335" s="696"/>
      <c r="X335" s="696"/>
      <c r="Y335" s="696"/>
      <c r="Z335" s="696"/>
      <c r="AA335" s="696"/>
      <c r="AB335" s="696"/>
      <c r="AC335" s="696"/>
      <c r="AD335" s="696"/>
      <c r="AE335" s="696"/>
      <c r="AF335" s="696"/>
      <c r="AG335" s="696"/>
      <c r="AH335" s="696"/>
      <c r="AI335" s="696">
        <v>-8.3592679999999996E-3</v>
      </c>
      <c r="AJ335" s="696">
        <v>-0.15014645689684999</v>
      </c>
      <c r="AK335" s="696">
        <v>-0.20936991199312588</v>
      </c>
      <c r="AL335" s="696">
        <v>-0.35892152480341344</v>
      </c>
      <c r="AM335" s="696">
        <v>-0.39547280086109049</v>
      </c>
      <c r="AN335" s="696">
        <v>-0.35465340013233976</v>
      </c>
      <c r="AO335" s="696">
        <v>-0.44040827014336698</v>
      </c>
      <c r="AP335" s="696">
        <v>-0.59519813940687016</v>
      </c>
      <c r="AQ335" s="696">
        <v>-0.69187932891326809</v>
      </c>
      <c r="AR335" s="696">
        <f t="shared" ref="AR335:BC335" si="102">SUM(AR336:AR342)</f>
        <v>-1.02535501</v>
      </c>
      <c r="AS335" s="696">
        <f t="shared" si="102"/>
        <v>-1.0776055099999999</v>
      </c>
      <c r="AT335" s="696">
        <f t="shared" si="102"/>
        <v>-1.1322930099999999</v>
      </c>
      <c r="AU335" s="696">
        <f t="shared" si="102"/>
        <v>-1.1877142599999999</v>
      </c>
      <c r="AV335" s="696">
        <f t="shared" si="102"/>
        <v>-1.2438692599999996</v>
      </c>
      <c r="AW335" s="696">
        <f t="shared" si="102"/>
        <v>-1.3007580099999998</v>
      </c>
      <c r="AX335" s="696">
        <f t="shared" si="102"/>
        <v>-1.3383805099999999</v>
      </c>
      <c r="AY335" s="696">
        <f t="shared" si="102"/>
        <v>-1.3967367599999998</v>
      </c>
      <c r="AZ335" s="696">
        <f t="shared" si="102"/>
        <v>-1.4558267599999997</v>
      </c>
      <c r="BA335" s="696">
        <f t="shared" si="102"/>
        <v>-1.5156505099999997</v>
      </c>
      <c r="BB335" s="696">
        <f t="shared" si="102"/>
        <v>-1.5762080099999995</v>
      </c>
      <c r="BC335" s="696">
        <f t="shared" si="102"/>
        <v>-1.63749926</v>
      </c>
      <c r="BD335" s="696">
        <v>-2.320849652711118</v>
      </c>
      <c r="BE335" s="696">
        <v>-2.7254887053634556</v>
      </c>
      <c r="BF335" s="696">
        <v>-2.9947738282055743</v>
      </c>
      <c r="BG335" s="696">
        <v>-3.3422207662193668</v>
      </c>
      <c r="BH335" s="696">
        <v>-3.3098490746491618</v>
      </c>
      <c r="BI335" s="696">
        <v>-3.3296726174421121</v>
      </c>
      <c r="BJ335" s="696">
        <v>-3.4261102386056592</v>
      </c>
      <c r="BK335" s="696">
        <v>-3.472084621975343</v>
      </c>
      <c r="BL335" s="696">
        <v>-3.5853223850912554</v>
      </c>
      <c r="BM335" s="696">
        <v>-3.653675086673644</v>
      </c>
      <c r="BN335" s="696">
        <v>-3.7292577017593915</v>
      </c>
      <c r="BO335" s="696">
        <v>-3.8083646060370806</v>
      </c>
      <c r="BP335" s="696">
        <v>-4.0458883412598121</v>
      </c>
      <c r="BQ335" s="696">
        <v>-4.1324678453333057</v>
      </c>
      <c r="BR335" s="696">
        <v>-4.2231989440198534</v>
      </c>
      <c r="BS335" s="696">
        <v>-4.316031186255592</v>
      </c>
      <c r="BT335" s="696">
        <v>-4.4118441338050829</v>
      </c>
      <c r="BU335" s="696">
        <v>-4.5085614381783135</v>
      </c>
      <c r="BV335" s="696">
        <v>-4.616714628151823</v>
      </c>
      <c r="BW335" s="696">
        <v>-4.7370716362998326</v>
      </c>
      <c r="BX335" s="696">
        <v>-4.854835770926254</v>
      </c>
      <c r="BY335" s="696">
        <v>-5.1094668921096478</v>
      </c>
      <c r="BZ335" s="696">
        <v>-5.2287385650184888</v>
      </c>
      <c r="CA335" s="696">
        <v>-5.3499777976831124</v>
      </c>
      <c r="CB335" s="696">
        <v>-5.6122722611086893</v>
      </c>
      <c r="CC335" s="696">
        <v>-5.7527343433095055</v>
      </c>
      <c r="CD335" s="696">
        <v>-5.879321883974626</v>
      </c>
      <c r="CE335" s="696">
        <v>-6.1846987437799923</v>
      </c>
      <c r="CF335" s="696">
        <v>-6.3112729509459626</v>
      </c>
      <c r="CG335" s="696">
        <v>-6.442261148544814</v>
      </c>
      <c r="CH335" s="696">
        <v>-6.5740929057586879</v>
      </c>
      <c r="CI335" s="696">
        <v>-6.6966184711545527</v>
      </c>
      <c r="CJ335" s="696">
        <v>-6.8073381021588899</v>
      </c>
      <c r="CK335" s="696">
        <v>-6.9186029829628115</v>
      </c>
      <c r="CL335" s="696">
        <v>-7.0301168288539344</v>
      </c>
      <c r="CM335" s="696">
        <v>-7.1456441838100613</v>
      </c>
      <c r="CN335" s="696">
        <v>-7.3393298930792223</v>
      </c>
      <c r="CO335" s="696">
        <v>-7.4553002598903149</v>
      </c>
      <c r="CP335" s="696">
        <v>-7.5715934784381957</v>
      </c>
      <c r="CQ335" s="696">
        <v>-7.6880241819895252</v>
      </c>
      <c r="CR335" s="696">
        <v>-7.804341433293339</v>
      </c>
      <c r="CS335" s="696">
        <v>-7.9205587151924153</v>
      </c>
      <c r="CT335" s="696">
        <v>-8.0366816250506261</v>
      </c>
      <c r="CU335" s="696">
        <v>-8.152794649919338</v>
      </c>
      <c r="CV335" s="696">
        <v>-8.2688992429835331</v>
      </c>
      <c r="CW335" s="696">
        <v>-8.3850001362314313</v>
      </c>
      <c r="CX335" s="696">
        <v>-8.5011033860095306</v>
      </c>
      <c r="CY335" s="696">
        <v>-8.617523148856467</v>
      </c>
      <c r="CZ335" s="698"/>
      <c r="DA335" s="14"/>
      <c r="DB335" s="14"/>
      <c r="DC335" s="14"/>
      <c r="DD335" s="14"/>
      <c r="DE335" s="14"/>
      <c r="DF335" s="14"/>
      <c r="DG335" s="14"/>
    </row>
    <row r="336" spans="2:111">
      <c r="B336" s="126"/>
      <c r="C336" s="126"/>
      <c r="D336" s="126" t="s">
        <v>839</v>
      </c>
      <c r="E336" s="126"/>
      <c r="F336" s="609"/>
      <c r="G336" s="609" t="s">
        <v>736</v>
      </c>
      <c r="H336" s="609"/>
      <c r="I336" s="609"/>
      <c r="J336" s="609"/>
      <c r="K336" s="609"/>
      <c r="L336" s="126"/>
      <c r="M336" s="710"/>
      <c r="N336" s="710"/>
      <c r="O336" s="710"/>
      <c r="P336" s="710"/>
      <c r="Q336" s="710"/>
      <c r="R336" s="710"/>
      <c r="S336" s="710"/>
      <c r="T336" s="713"/>
      <c r="U336" s="713"/>
      <c r="V336" s="713"/>
      <c r="W336" s="713"/>
      <c r="X336" s="713"/>
      <c r="Y336" s="713"/>
      <c r="Z336" s="713"/>
      <c r="AA336" s="713"/>
      <c r="AB336" s="713"/>
      <c r="AC336" s="713"/>
      <c r="AD336" s="713"/>
      <c r="AE336" s="713"/>
      <c r="AF336" s="715"/>
      <c r="AG336" s="715"/>
      <c r="AH336" s="715"/>
      <c r="AI336" s="701">
        <v>-5.0747070000000003E-3</v>
      </c>
      <c r="AJ336" s="701">
        <v>-9.3202953000000005E-2</v>
      </c>
      <c r="AK336" s="701">
        <v>-0.105927702</v>
      </c>
      <c r="AL336" s="701">
        <v>-0.16949040900000001</v>
      </c>
      <c r="AM336" s="701">
        <v>-0.17353115099999999</v>
      </c>
      <c r="AN336" s="701">
        <v>-0.15202385800000001</v>
      </c>
      <c r="AO336" s="701">
        <v>-0.28565000000000002</v>
      </c>
      <c r="AP336" s="701">
        <v>-0.55628</v>
      </c>
      <c r="AQ336" s="701">
        <v>-0.71249999999999991</v>
      </c>
      <c r="AR336" s="722">
        <v>-0.73170833333333329</v>
      </c>
      <c r="AS336" s="715">
        <v>-0.75091666666666668</v>
      </c>
      <c r="AT336" s="715">
        <v>-0.77012499999999995</v>
      </c>
      <c r="AU336" s="701">
        <v>-0.78933333333333322</v>
      </c>
      <c r="AV336" s="722">
        <v>-0.80854166666666649</v>
      </c>
      <c r="AW336" s="722">
        <v>-0.82774999999999987</v>
      </c>
      <c r="AX336" s="722">
        <v>-0.84695833333333326</v>
      </c>
      <c r="AY336" s="722">
        <v>-0.86616666666666653</v>
      </c>
      <c r="AZ336" s="722">
        <v>-0.8853749999999998</v>
      </c>
      <c r="BA336" s="722">
        <v>-0.90458333333333307</v>
      </c>
      <c r="BB336" s="722">
        <v>-0.92379166666666634</v>
      </c>
      <c r="BC336" s="722">
        <v>-0.94300000000000006</v>
      </c>
      <c r="BD336" s="701">
        <v>-0.93958333333333344</v>
      </c>
      <c r="BE336" s="701">
        <v>-0.93616666666666659</v>
      </c>
      <c r="BF336" s="701">
        <v>-0.93274999999999997</v>
      </c>
      <c r="BG336" s="701">
        <v>-0.92933333333333334</v>
      </c>
      <c r="BH336" s="701">
        <v>-0.92591666666666672</v>
      </c>
      <c r="BI336" s="701">
        <v>-0.9225000000000001</v>
      </c>
      <c r="BJ336" s="701">
        <v>-0.91908333333333347</v>
      </c>
      <c r="BK336" s="701">
        <v>-0.91566666666666685</v>
      </c>
      <c r="BL336" s="701">
        <v>-0.91225000000000001</v>
      </c>
      <c r="BM336" s="701">
        <v>-0.90883333333333349</v>
      </c>
      <c r="BN336" s="701">
        <v>-0.90541666666666676</v>
      </c>
      <c r="BO336" s="701">
        <v>-0.90200000000000002</v>
      </c>
      <c r="BP336" s="701">
        <v>-0.90600000000000003</v>
      </c>
      <c r="BQ336" s="701">
        <v>-0.91</v>
      </c>
      <c r="BR336" s="701">
        <v>-0.91399999999999992</v>
      </c>
      <c r="BS336" s="701">
        <v>-0.91799999999999993</v>
      </c>
      <c r="BT336" s="701">
        <v>-0.92199999999999993</v>
      </c>
      <c r="BU336" s="701">
        <v>-0.92599999999999993</v>
      </c>
      <c r="BV336" s="701">
        <v>-0.92999999999999983</v>
      </c>
      <c r="BW336" s="701">
        <v>-0.93399999999999983</v>
      </c>
      <c r="BX336" s="701">
        <v>-0.93799999999999983</v>
      </c>
      <c r="BY336" s="701">
        <v>-0.94199999999999984</v>
      </c>
      <c r="BZ336" s="701">
        <v>-0.94599999999999984</v>
      </c>
      <c r="CA336" s="701">
        <v>-0.95000000000000007</v>
      </c>
      <c r="CB336" s="701">
        <v>-0.95000000000000007</v>
      </c>
      <c r="CC336" s="701">
        <v>-0.95000000000000007</v>
      </c>
      <c r="CD336" s="701">
        <v>-0.95000000000000007</v>
      </c>
      <c r="CE336" s="701">
        <v>-0.95000000000000007</v>
      </c>
      <c r="CF336" s="701">
        <v>-0.95000000000000007</v>
      </c>
      <c r="CG336" s="701">
        <v>-0.95000000000000007</v>
      </c>
      <c r="CH336" s="701">
        <v>-0.95000000000000007</v>
      </c>
      <c r="CI336" s="701">
        <v>-0.95000000000000007</v>
      </c>
      <c r="CJ336" s="701">
        <v>-0.95000000000000007</v>
      </c>
      <c r="CK336" s="701">
        <v>-0.95000000000000007</v>
      </c>
      <c r="CL336" s="701">
        <v>-0.95000000000000007</v>
      </c>
      <c r="CM336" s="701">
        <v>-0.95000000000000007</v>
      </c>
      <c r="CN336" s="701">
        <v>-0.95000000000000007</v>
      </c>
      <c r="CO336" s="701">
        <v>-0.95000000000000007</v>
      </c>
      <c r="CP336" s="701">
        <v>-0.95000000000000007</v>
      </c>
      <c r="CQ336" s="701">
        <v>-0.95000000000000007</v>
      </c>
      <c r="CR336" s="701">
        <v>-0.95000000000000007</v>
      </c>
      <c r="CS336" s="701">
        <v>-0.95000000000000007</v>
      </c>
      <c r="CT336" s="701">
        <v>-0.95000000000000007</v>
      </c>
      <c r="CU336" s="701">
        <v>-0.95000000000000007</v>
      </c>
      <c r="CV336" s="701">
        <v>-0.95000000000000007</v>
      </c>
      <c r="CW336" s="701">
        <v>-0.95000000000000007</v>
      </c>
      <c r="CX336" s="701">
        <v>-0.95000000000000007</v>
      </c>
      <c r="CY336" s="701">
        <v>-0.95000000000000007</v>
      </c>
      <c r="CZ336" s="126"/>
      <c r="DA336" s="12"/>
      <c r="DB336" s="12"/>
      <c r="DC336" s="12"/>
      <c r="DD336" s="12"/>
      <c r="DE336" s="12"/>
      <c r="DF336" s="12"/>
      <c r="DG336" s="12"/>
    </row>
    <row r="337" spans="2:111">
      <c r="B337" s="702"/>
      <c r="C337" s="702"/>
      <c r="D337" s="126" t="s">
        <v>840</v>
      </c>
      <c r="E337" s="702"/>
      <c r="F337" s="725"/>
      <c r="G337" s="609" t="s">
        <v>736</v>
      </c>
      <c r="H337" s="725"/>
      <c r="I337" s="725"/>
      <c r="J337" s="725"/>
      <c r="K337" s="725"/>
      <c r="L337" s="702"/>
      <c r="M337" s="710"/>
      <c r="N337" s="710"/>
      <c r="O337" s="710"/>
      <c r="P337" s="710"/>
      <c r="Q337" s="710"/>
      <c r="R337" s="710"/>
      <c r="S337" s="710"/>
      <c r="T337" s="713"/>
      <c r="U337" s="713"/>
      <c r="V337" s="713"/>
      <c r="W337" s="713"/>
      <c r="X337" s="713"/>
      <c r="Y337" s="713"/>
      <c r="Z337" s="713"/>
      <c r="AA337" s="713"/>
      <c r="AB337" s="713"/>
      <c r="AC337" s="713"/>
      <c r="AD337" s="713"/>
      <c r="AE337" s="713"/>
      <c r="AF337" s="715"/>
      <c r="AG337" s="715"/>
      <c r="AH337" s="715"/>
      <c r="AI337" s="701">
        <v>0</v>
      </c>
      <c r="AJ337" s="701">
        <v>0</v>
      </c>
      <c r="AK337" s="701">
        <v>-6.1922137245784235E-3</v>
      </c>
      <c r="AL337" s="701">
        <v>-2.1516832233671315E-2</v>
      </c>
      <c r="AM337" s="701">
        <v>-4.3147487878995229E-2</v>
      </c>
      <c r="AN337" s="701">
        <v>-7.2470193617151263E-2</v>
      </c>
      <c r="AO337" s="701">
        <v>-5.3185000000000003E-2</v>
      </c>
      <c r="AP337" s="701">
        <v>-6.155900000000001E-2</v>
      </c>
      <c r="AQ337" s="701">
        <v>-7.5412000000000007E-2</v>
      </c>
      <c r="AR337" s="722">
        <v>-0.11016595000000001</v>
      </c>
      <c r="AS337" s="715">
        <v>-0.12869811666666667</v>
      </c>
      <c r="AT337" s="715">
        <v>-0.14938144999999997</v>
      </c>
      <c r="AU337" s="701">
        <v>-0.17051269999999999</v>
      </c>
      <c r="AV337" s="722">
        <v>-0.19209186666666664</v>
      </c>
      <c r="AW337" s="722">
        <v>-0.21411895</v>
      </c>
      <c r="AX337" s="722">
        <v>-0.23659395</v>
      </c>
      <c r="AY337" s="722">
        <v>-0.25951686666666668</v>
      </c>
      <c r="AZ337" s="722">
        <v>-0.28288770000000002</v>
      </c>
      <c r="BA337" s="722">
        <v>-0.30670644999999996</v>
      </c>
      <c r="BB337" s="722">
        <v>-0.33097311666666668</v>
      </c>
      <c r="BC337" s="722">
        <v>-0.3556877</v>
      </c>
      <c r="BD337" s="701">
        <v>-0.38085019999999997</v>
      </c>
      <c r="BE337" s="701">
        <v>-0.47443820000000003</v>
      </c>
      <c r="BF337" s="701">
        <v>-0.50500070000000008</v>
      </c>
      <c r="BG337" s="701">
        <v>-0.53545694999999993</v>
      </c>
      <c r="BH337" s="701">
        <v>-0.56580695000000003</v>
      </c>
      <c r="BI337" s="701">
        <v>-0.59605069999999993</v>
      </c>
      <c r="BJ337" s="701">
        <v>-0.62618820000000008</v>
      </c>
      <c r="BK337" s="701">
        <v>-0.65621944999999993</v>
      </c>
      <c r="BL337" s="701">
        <v>-0.68614445000000002</v>
      </c>
      <c r="BM337" s="701">
        <v>-0.71596320000000002</v>
      </c>
      <c r="BN337" s="701">
        <v>-0.74567569999999994</v>
      </c>
      <c r="BO337" s="701">
        <v>-0.77528194999999989</v>
      </c>
      <c r="BP337" s="701">
        <v>-0.80478194999999997</v>
      </c>
      <c r="BQ337" s="701">
        <v>-0.8344486166666667</v>
      </c>
      <c r="BR337" s="701">
        <v>-0.86428194999999985</v>
      </c>
      <c r="BS337" s="701">
        <v>-0.89428194999999988</v>
      </c>
      <c r="BT337" s="701">
        <v>-0.92444861666666678</v>
      </c>
      <c r="BU337" s="701">
        <v>-0.95478194999999999</v>
      </c>
      <c r="BV337" s="701">
        <v>-0.98528194999999996</v>
      </c>
      <c r="BW337" s="701">
        <v>-1.0159486166666665</v>
      </c>
      <c r="BX337" s="701">
        <v>-1.04678195</v>
      </c>
      <c r="BY337" s="701">
        <v>-1.0777819499999999</v>
      </c>
      <c r="BZ337" s="701">
        <v>-1.1089486166666664</v>
      </c>
      <c r="CA337" s="701">
        <v>-1.1402819499999999</v>
      </c>
      <c r="CB337" s="701">
        <v>-1.1717819499999997</v>
      </c>
      <c r="CC337" s="701">
        <v>-1.20328195</v>
      </c>
      <c r="CD337" s="701">
        <v>-1.2347819499999999</v>
      </c>
      <c r="CE337" s="701">
        <v>-1.26628195</v>
      </c>
      <c r="CF337" s="701">
        <v>-1.2977819499999999</v>
      </c>
      <c r="CG337" s="701">
        <v>-1.3292819499999999</v>
      </c>
      <c r="CH337" s="701">
        <v>-1.3607819499999998</v>
      </c>
      <c r="CI337" s="701">
        <v>-1.3922819499999999</v>
      </c>
      <c r="CJ337" s="701">
        <v>-1.42378195</v>
      </c>
      <c r="CK337" s="701">
        <v>-1.45528195</v>
      </c>
      <c r="CL337" s="701">
        <v>-1.4867819499999999</v>
      </c>
      <c r="CM337" s="701">
        <v>-1.51828195</v>
      </c>
      <c r="CN337" s="701">
        <v>-1.5497819499999999</v>
      </c>
      <c r="CO337" s="701">
        <v>-1.5812819499999999</v>
      </c>
      <c r="CP337" s="701">
        <v>-1.61278195</v>
      </c>
      <c r="CQ337" s="701">
        <v>-1.6442819500000001</v>
      </c>
      <c r="CR337" s="701">
        <v>-1.6757819500000002</v>
      </c>
      <c r="CS337" s="701">
        <v>-1.70728195</v>
      </c>
      <c r="CT337" s="701">
        <v>-1.7387819499999999</v>
      </c>
      <c r="CU337" s="701">
        <v>-1.7702819499999998</v>
      </c>
      <c r="CV337" s="701">
        <v>-1.8017819500000001</v>
      </c>
      <c r="CW337" s="701">
        <v>-1.8332819499999999</v>
      </c>
      <c r="CX337" s="701">
        <v>-1.8647819499999998</v>
      </c>
      <c r="CY337" s="701">
        <v>-1.8962819500000001</v>
      </c>
      <c r="CZ337" s="702"/>
      <c r="DA337" s="12"/>
      <c r="DB337" s="12"/>
      <c r="DC337" s="12"/>
      <c r="DD337" s="12"/>
      <c r="DE337" s="12"/>
      <c r="DF337" s="12"/>
      <c r="DG337" s="12"/>
    </row>
    <row r="338" spans="2:111">
      <c r="B338" s="702"/>
      <c r="C338" s="702"/>
      <c r="D338" s="126" t="s">
        <v>806</v>
      </c>
      <c r="E338" s="126"/>
      <c r="F338" s="725"/>
      <c r="G338" s="609" t="s">
        <v>736</v>
      </c>
      <c r="H338" s="725"/>
      <c r="I338" s="725"/>
      <c r="J338" s="725"/>
      <c r="K338" s="725"/>
      <c r="L338" s="702"/>
      <c r="M338" s="710"/>
      <c r="N338" s="710"/>
      <c r="O338" s="710"/>
      <c r="P338" s="710"/>
      <c r="Q338" s="710"/>
      <c r="R338" s="710"/>
      <c r="S338" s="710"/>
      <c r="T338" s="713"/>
      <c r="U338" s="713"/>
      <c r="V338" s="713"/>
      <c r="W338" s="713"/>
      <c r="X338" s="713"/>
      <c r="Y338" s="713"/>
      <c r="Z338" s="713"/>
      <c r="AA338" s="713"/>
      <c r="AB338" s="713"/>
      <c r="AC338" s="713"/>
      <c r="AD338" s="713"/>
      <c r="AE338" s="713"/>
      <c r="AF338" s="715"/>
      <c r="AG338" s="715"/>
      <c r="AH338" s="715"/>
      <c r="AI338" s="701">
        <v>-3.179561E-3</v>
      </c>
      <c r="AJ338" s="701">
        <v>-4.5906629999999997E-2</v>
      </c>
      <c r="AK338" s="701">
        <v>-5.5197912000000002E-2</v>
      </c>
      <c r="AL338" s="701">
        <v>-6.1874990999999997E-2</v>
      </c>
      <c r="AM338" s="701">
        <v>-6.4248400000000002E-3</v>
      </c>
      <c r="AN338" s="701">
        <v>-4.502247E-3</v>
      </c>
      <c r="AO338" s="701">
        <v>-2.2852000000000001E-2</v>
      </c>
      <c r="AP338" s="701">
        <v>-3.7752000000000001E-2</v>
      </c>
      <c r="AQ338" s="701">
        <v>-4.5500000000000006E-2</v>
      </c>
      <c r="AR338" s="722">
        <v>-4.6558333333333334E-2</v>
      </c>
      <c r="AS338" s="715">
        <v>-4.7616666666666661E-2</v>
      </c>
      <c r="AT338" s="715">
        <v>-4.8674999999999996E-2</v>
      </c>
      <c r="AU338" s="701">
        <v>-4.9733333333333331E-2</v>
      </c>
      <c r="AV338" s="722">
        <v>-5.0791666666666659E-2</v>
      </c>
      <c r="AW338" s="722">
        <v>-5.1849999999999993E-2</v>
      </c>
      <c r="AX338" s="722">
        <v>-5.2908333333333321E-2</v>
      </c>
      <c r="AY338" s="722">
        <v>-5.3966666666666656E-2</v>
      </c>
      <c r="AZ338" s="722">
        <v>-5.5024999999999991E-2</v>
      </c>
      <c r="BA338" s="722">
        <v>-5.6083333333333318E-2</v>
      </c>
      <c r="BB338" s="722">
        <v>-5.7141666666666646E-2</v>
      </c>
      <c r="BC338" s="722">
        <v>-5.8200000000000002E-2</v>
      </c>
      <c r="BD338" s="701">
        <v>-5.7749999999999996E-2</v>
      </c>
      <c r="BE338" s="701">
        <v>-5.7299999999999997E-2</v>
      </c>
      <c r="BF338" s="701">
        <v>-5.6849999999999998E-2</v>
      </c>
      <c r="BG338" s="701">
        <v>-5.6400000000000006E-2</v>
      </c>
      <c r="BH338" s="701">
        <v>-5.5950000000000007E-2</v>
      </c>
      <c r="BI338" s="701">
        <v>-5.5500000000000008E-2</v>
      </c>
      <c r="BJ338" s="701">
        <v>-5.5050000000000002E-2</v>
      </c>
      <c r="BK338" s="701">
        <v>-5.460000000000001E-2</v>
      </c>
      <c r="BL338" s="701">
        <v>-5.4150000000000011E-2</v>
      </c>
      <c r="BM338" s="701">
        <v>-5.3700000000000005E-2</v>
      </c>
      <c r="BN338" s="701">
        <v>-5.3250000000000006E-2</v>
      </c>
      <c r="BO338" s="701">
        <v>-5.28E-2</v>
      </c>
      <c r="BP338" s="701">
        <v>-5.3066666666666665E-2</v>
      </c>
      <c r="BQ338" s="701">
        <v>-5.333333333333333E-2</v>
      </c>
      <c r="BR338" s="701">
        <v>-5.3599999999999995E-2</v>
      </c>
      <c r="BS338" s="701">
        <v>-5.386666666666666E-2</v>
      </c>
      <c r="BT338" s="701">
        <v>-5.4133333333333325E-2</v>
      </c>
      <c r="BU338" s="701">
        <v>-5.439999999999999E-2</v>
      </c>
      <c r="BV338" s="701">
        <v>-5.4666666666666655E-2</v>
      </c>
      <c r="BW338" s="701">
        <v>-5.493333333333332E-2</v>
      </c>
      <c r="BX338" s="701">
        <v>-5.5199999999999985E-2</v>
      </c>
      <c r="BY338" s="701">
        <v>-5.546666666666665E-2</v>
      </c>
      <c r="BZ338" s="701">
        <v>-5.5733333333333322E-2</v>
      </c>
      <c r="CA338" s="701">
        <v>-5.6000000000000001E-2</v>
      </c>
      <c r="CB338" s="701">
        <v>-5.6000000000000001E-2</v>
      </c>
      <c r="CC338" s="701">
        <v>-5.6000000000000001E-2</v>
      </c>
      <c r="CD338" s="701">
        <v>-5.6000000000000001E-2</v>
      </c>
      <c r="CE338" s="701">
        <v>-5.6000000000000001E-2</v>
      </c>
      <c r="CF338" s="701">
        <v>-5.6000000000000001E-2</v>
      </c>
      <c r="CG338" s="701">
        <v>-5.6000000000000001E-2</v>
      </c>
      <c r="CH338" s="701">
        <v>-5.6000000000000001E-2</v>
      </c>
      <c r="CI338" s="701">
        <v>-5.6000000000000001E-2</v>
      </c>
      <c r="CJ338" s="701">
        <v>-5.6000000000000001E-2</v>
      </c>
      <c r="CK338" s="701">
        <v>-5.6000000000000001E-2</v>
      </c>
      <c r="CL338" s="701">
        <v>-5.6000000000000001E-2</v>
      </c>
      <c r="CM338" s="701">
        <v>-5.6000000000000001E-2</v>
      </c>
      <c r="CN338" s="701">
        <v>-5.6000000000000001E-2</v>
      </c>
      <c r="CO338" s="701">
        <v>-5.6000000000000001E-2</v>
      </c>
      <c r="CP338" s="701">
        <v>-5.6000000000000001E-2</v>
      </c>
      <c r="CQ338" s="701">
        <v>-5.6000000000000001E-2</v>
      </c>
      <c r="CR338" s="701">
        <v>-5.6000000000000001E-2</v>
      </c>
      <c r="CS338" s="701">
        <v>-5.6000000000000001E-2</v>
      </c>
      <c r="CT338" s="701">
        <v>-5.6000000000000001E-2</v>
      </c>
      <c r="CU338" s="701">
        <v>-5.6000000000000001E-2</v>
      </c>
      <c r="CV338" s="701">
        <v>-5.6000000000000001E-2</v>
      </c>
      <c r="CW338" s="701">
        <v>-5.6000000000000001E-2</v>
      </c>
      <c r="CX338" s="701">
        <v>-5.6000000000000001E-2</v>
      </c>
      <c r="CY338" s="701">
        <v>-5.6000000000000001E-2</v>
      </c>
      <c r="CZ338" s="702"/>
      <c r="DA338" s="12"/>
      <c r="DB338" s="12"/>
      <c r="DC338" s="12"/>
      <c r="DD338" s="12"/>
      <c r="DE338" s="12"/>
      <c r="DF338" s="12"/>
      <c r="DG338" s="12"/>
    </row>
    <row r="339" spans="2:111">
      <c r="B339" s="702"/>
      <c r="C339" s="702"/>
      <c r="D339" s="126" t="s">
        <v>807</v>
      </c>
      <c r="E339" s="702"/>
      <c r="F339" s="725"/>
      <c r="G339" s="609" t="s">
        <v>736</v>
      </c>
      <c r="H339" s="725"/>
      <c r="I339" s="725"/>
      <c r="J339" s="725"/>
      <c r="K339" s="725"/>
      <c r="L339" s="702"/>
      <c r="M339" s="710"/>
      <c r="N339" s="710"/>
      <c r="O339" s="710"/>
      <c r="P339" s="710"/>
      <c r="Q339" s="710"/>
      <c r="R339" s="710"/>
      <c r="S339" s="710"/>
      <c r="T339" s="713"/>
      <c r="U339" s="713"/>
      <c r="V339" s="713"/>
      <c r="W339" s="713"/>
      <c r="X339" s="713"/>
      <c r="Y339" s="713"/>
      <c r="Z339" s="713"/>
      <c r="AA339" s="713"/>
      <c r="AB339" s="713"/>
      <c r="AC339" s="713"/>
      <c r="AD339" s="713"/>
      <c r="AE339" s="713"/>
      <c r="AF339" s="715"/>
      <c r="AG339" s="715"/>
      <c r="AH339" s="715"/>
      <c r="AI339" s="701">
        <v>0</v>
      </c>
      <c r="AJ339" s="701">
        <v>0</v>
      </c>
      <c r="AK339" s="701">
        <v>0</v>
      </c>
      <c r="AL339" s="701">
        <v>0</v>
      </c>
      <c r="AM339" s="701">
        <v>0</v>
      </c>
      <c r="AN339" s="701">
        <v>0</v>
      </c>
      <c r="AO339" s="701">
        <v>0</v>
      </c>
      <c r="AP339" s="701">
        <v>0</v>
      </c>
      <c r="AQ339" s="701">
        <v>0</v>
      </c>
      <c r="AR339" s="722">
        <v>0</v>
      </c>
      <c r="AS339" s="715">
        <v>0</v>
      </c>
      <c r="AT339" s="715">
        <v>0</v>
      </c>
      <c r="AU339" s="701">
        <v>0</v>
      </c>
      <c r="AV339" s="722">
        <v>0</v>
      </c>
      <c r="AW339" s="722">
        <v>0</v>
      </c>
      <c r="AX339" s="722">
        <v>0</v>
      </c>
      <c r="AY339" s="722">
        <v>0</v>
      </c>
      <c r="AZ339" s="722">
        <v>0</v>
      </c>
      <c r="BA339" s="722">
        <v>0</v>
      </c>
      <c r="BB339" s="722">
        <v>0</v>
      </c>
      <c r="BC339" s="722">
        <v>0</v>
      </c>
      <c r="BD339" s="701">
        <v>0</v>
      </c>
      <c r="BE339" s="701">
        <v>0</v>
      </c>
      <c r="BF339" s="701">
        <v>0</v>
      </c>
      <c r="BG339" s="701">
        <v>0</v>
      </c>
      <c r="BH339" s="701">
        <v>0</v>
      </c>
      <c r="BI339" s="701">
        <v>0</v>
      </c>
      <c r="BJ339" s="701">
        <v>0</v>
      </c>
      <c r="BK339" s="701">
        <v>0</v>
      </c>
      <c r="BL339" s="701">
        <v>0</v>
      </c>
      <c r="BM339" s="701">
        <v>0</v>
      </c>
      <c r="BN339" s="701">
        <v>0</v>
      </c>
      <c r="BO339" s="701">
        <v>0</v>
      </c>
      <c r="BP339" s="701">
        <v>0</v>
      </c>
      <c r="BQ339" s="701">
        <v>0</v>
      </c>
      <c r="BR339" s="701">
        <v>0</v>
      </c>
      <c r="BS339" s="701">
        <v>0</v>
      </c>
      <c r="BT339" s="701">
        <v>0</v>
      </c>
      <c r="BU339" s="701">
        <v>0</v>
      </c>
      <c r="BV339" s="701">
        <v>0</v>
      </c>
      <c r="BW339" s="701">
        <v>0</v>
      </c>
      <c r="BX339" s="701">
        <v>0</v>
      </c>
      <c r="BY339" s="701">
        <v>0</v>
      </c>
      <c r="BZ339" s="701">
        <v>0</v>
      </c>
      <c r="CA339" s="701">
        <v>0</v>
      </c>
      <c r="CB339" s="701">
        <v>0</v>
      </c>
      <c r="CC339" s="701">
        <v>0</v>
      </c>
      <c r="CD339" s="701">
        <v>0</v>
      </c>
      <c r="CE339" s="701">
        <v>0</v>
      </c>
      <c r="CF339" s="701">
        <v>0</v>
      </c>
      <c r="CG339" s="701">
        <v>0</v>
      </c>
      <c r="CH339" s="701">
        <v>0</v>
      </c>
      <c r="CI339" s="701">
        <v>0</v>
      </c>
      <c r="CJ339" s="701">
        <v>0</v>
      </c>
      <c r="CK339" s="701">
        <v>0</v>
      </c>
      <c r="CL339" s="701">
        <v>0</v>
      </c>
      <c r="CM339" s="701">
        <v>0</v>
      </c>
      <c r="CN339" s="701">
        <v>0</v>
      </c>
      <c r="CO339" s="701">
        <v>0</v>
      </c>
      <c r="CP339" s="701">
        <v>0</v>
      </c>
      <c r="CQ339" s="701">
        <v>0</v>
      </c>
      <c r="CR339" s="701">
        <v>0</v>
      </c>
      <c r="CS339" s="701">
        <v>0</v>
      </c>
      <c r="CT339" s="701">
        <v>0</v>
      </c>
      <c r="CU339" s="701">
        <v>0</v>
      </c>
      <c r="CV339" s="701">
        <v>0</v>
      </c>
      <c r="CW339" s="701">
        <v>0</v>
      </c>
      <c r="CX339" s="701">
        <v>0</v>
      </c>
      <c r="CY339" s="701">
        <v>0</v>
      </c>
      <c r="CZ339" s="702"/>
      <c r="DA339" s="12"/>
      <c r="DB339" s="12"/>
      <c r="DC339" s="12"/>
      <c r="DD339" s="12"/>
      <c r="DE339" s="12"/>
      <c r="DF339" s="12"/>
      <c r="DG339" s="12"/>
    </row>
    <row r="340" spans="2:111">
      <c r="B340" s="702"/>
      <c r="C340" s="702"/>
      <c r="D340" s="126" t="s">
        <v>703</v>
      </c>
      <c r="E340" s="702"/>
      <c r="F340" s="725"/>
      <c r="G340" s="609" t="s">
        <v>736</v>
      </c>
      <c r="H340" s="725"/>
      <c r="I340" s="725"/>
      <c r="J340" s="725"/>
      <c r="K340" s="725"/>
      <c r="L340" s="702"/>
      <c r="M340" s="710"/>
      <c r="N340" s="710"/>
      <c r="O340" s="710"/>
      <c r="P340" s="710"/>
      <c r="Q340" s="710"/>
      <c r="R340" s="710"/>
      <c r="S340" s="710"/>
      <c r="T340" s="713"/>
      <c r="U340" s="713"/>
      <c r="V340" s="713"/>
      <c r="W340" s="713"/>
      <c r="X340" s="713"/>
      <c r="Y340" s="713"/>
      <c r="Z340" s="713"/>
      <c r="AA340" s="713"/>
      <c r="AB340" s="713"/>
      <c r="AC340" s="713"/>
      <c r="AD340" s="713"/>
      <c r="AE340" s="713"/>
      <c r="AF340" s="715"/>
      <c r="AG340" s="715"/>
      <c r="AH340" s="715"/>
      <c r="AI340" s="701">
        <v>0</v>
      </c>
      <c r="AJ340" s="701">
        <v>-3.3874500000000002E-3</v>
      </c>
      <c r="AK340" s="701">
        <v>-3.6899217897011964E-3</v>
      </c>
      <c r="AL340" s="701">
        <v>0</v>
      </c>
      <c r="AM340" s="701">
        <v>0</v>
      </c>
      <c r="AN340" s="701">
        <v>0</v>
      </c>
      <c r="AO340" s="701">
        <v>0</v>
      </c>
      <c r="AP340" s="701">
        <v>0</v>
      </c>
      <c r="AQ340" s="701">
        <v>0</v>
      </c>
      <c r="AR340" s="722">
        <v>0</v>
      </c>
      <c r="AS340" s="715">
        <v>0</v>
      </c>
      <c r="AT340" s="715">
        <v>0</v>
      </c>
      <c r="AU340" s="701">
        <v>0</v>
      </c>
      <c r="AV340" s="722">
        <v>0</v>
      </c>
      <c r="AW340" s="722">
        <v>0</v>
      </c>
      <c r="AX340" s="722">
        <v>0</v>
      </c>
      <c r="AY340" s="722">
        <v>0</v>
      </c>
      <c r="AZ340" s="722">
        <v>0</v>
      </c>
      <c r="BA340" s="722">
        <v>0</v>
      </c>
      <c r="BB340" s="722">
        <v>0</v>
      </c>
      <c r="BC340" s="722">
        <v>0</v>
      </c>
      <c r="BD340" s="701">
        <v>0</v>
      </c>
      <c r="BE340" s="701">
        <v>0</v>
      </c>
      <c r="BF340" s="701">
        <v>0</v>
      </c>
      <c r="BG340" s="701">
        <v>0</v>
      </c>
      <c r="BH340" s="701">
        <v>0</v>
      </c>
      <c r="BI340" s="701">
        <v>0</v>
      </c>
      <c r="BJ340" s="701">
        <v>0</v>
      </c>
      <c r="BK340" s="701">
        <v>0</v>
      </c>
      <c r="BL340" s="701">
        <v>0</v>
      </c>
      <c r="BM340" s="701">
        <v>0</v>
      </c>
      <c r="BN340" s="701">
        <v>0</v>
      </c>
      <c r="BO340" s="701">
        <v>0</v>
      </c>
      <c r="BP340" s="701">
        <v>0</v>
      </c>
      <c r="BQ340" s="701">
        <v>0</v>
      </c>
      <c r="BR340" s="701">
        <v>0</v>
      </c>
      <c r="BS340" s="701">
        <v>0</v>
      </c>
      <c r="BT340" s="701">
        <v>0</v>
      </c>
      <c r="BU340" s="701">
        <v>0</v>
      </c>
      <c r="BV340" s="701">
        <v>0</v>
      </c>
      <c r="BW340" s="701">
        <v>0</v>
      </c>
      <c r="BX340" s="701">
        <v>0</v>
      </c>
      <c r="BY340" s="701">
        <v>0</v>
      </c>
      <c r="BZ340" s="701">
        <v>0</v>
      </c>
      <c r="CA340" s="701">
        <v>0</v>
      </c>
      <c r="CB340" s="701">
        <v>0</v>
      </c>
      <c r="CC340" s="701">
        <v>0</v>
      </c>
      <c r="CD340" s="701">
        <v>0</v>
      </c>
      <c r="CE340" s="701">
        <v>0</v>
      </c>
      <c r="CF340" s="701">
        <v>0</v>
      </c>
      <c r="CG340" s="701">
        <v>0</v>
      </c>
      <c r="CH340" s="701">
        <v>0</v>
      </c>
      <c r="CI340" s="701">
        <v>0</v>
      </c>
      <c r="CJ340" s="701">
        <v>0</v>
      </c>
      <c r="CK340" s="701">
        <v>0</v>
      </c>
      <c r="CL340" s="701">
        <v>0</v>
      </c>
      <c r="CM340" s="701">
        <v>0</v>
      </c>
      <c r="CN340" s="701">
        <v>0</v>
      </c>
      <c r="CO340" s="701">
        <v>0</v>
      </c>
      <c r="CP340" s="701">
        <v>0</v>
      </c>
      <c r="CQ340" s="701">
        <v>0</v>
      </c>
      <c r="CR340" s="701">
        <v>0</v>
      </c>
      <c r="CS340" s="701">
        <v>0</v>
      </c>
      <c r="CT340" s="701">
        <v>0</v>
      </c>
      <c r="CU340" s="701">
        <v>0</v>
      </c>
      <c r="CV340" s="701">
        <v>0</v>
      </c>
      <c r="CW340" s="701">
        <v>0</v>
      </c>
      <c r="CX340" s="701">
        <v>0</v>
      </c>
      <c r="CY340" s="701">
        <v>0</v>
      </c>
      <c r="CZ340" s="702"/>
      <c r="DA340" s="12"/>
      <c r="DB340" s="12"/>
      <c r="DC340" s="12"/>
      <c r="DD340" s="12"/>
      <c r="DE340" s="12"/>
      <c r="DF340" s="12"/>
      <c r="DG340" s="12"/>
    </row>
    <row r="341" spans="2:111">
      <c r="B341" s="702"/>
      <c r="C341" s="702"/>
      <c r="D341" s="126" t="s">
        <v>163</v>
      </c>
      <c r="E341" s="702"/>
      <c r="F341" s="725"/>
      <c r="G341" s="609" t="s">
        <v>736</v>
      </c>
      <c r="H341" s="725"/>
      <c r="I341" s="725"/>
      <c r="J341" s="725"/>
      <c r="K341" s="725"/>
      <c r="L341" s="702"/>
      <c r="M341" s="710"/>
      <c r="N341" s="710"/>
      <c r="O341" s="710"/>
      <c r="P341" s="710"/>
      <c r="Q341" s="710"/>
      <c r="R341" s="710"/>
      <c r="S341" s="710"/>
      <c r="T341" s="713"/>
      <c r="U341" s="713"/>
      <c r="V341" s="713"/>
      <c r="W341" s="713"/>
      <c r="X341" s="713"/>
      <c r="Y341" s="713"/>
      <c r="Z341" s="713"/>
      <c r="AA341" s="713"/>
      <c r="AB341" s="713"/>
      <c r="AC341" s="713"/>
      <c r="AD341" s="713"/>
      <c r="AE341" s="713"/>
      <c r="AF341" s="715"/>
      <c r="AG341" s="715"/>
      <c r="AH341" s="715"/>
      <c r="AI341" s="701">
        <v>-1.05E-4</v>
      </c>
      <c r="AJ341" s="701">
        <v>-3.418772E-3</v>
      </c>
      <c r="AK341" s="701">
        <v>-1.492984032034602E-2</v>
      </c>
      <c r="AL341" s="701">
        <v>-4.0628024848042052E-2</v>
      </c>
      <c r="AM341" s="701">
        <v>-4.8484877575445243E-2</v>
      </c>
      <c r="AN341" s="701">
        <v>-4.7328175619288503E-2</v>
      </c>
      <c r="AO341" s="701">
        <v>-3.447304000000001E-2</v>
      </c>
      <c r="AP341" s="701">
        <v>-6.7326560000000008E-2</v>
      </c>
      <c r="AQ341" s="701">
        <v>-9.5256560000000004E-2</v>
      </c>
      <c r="AR341" s="722">
        <v>-0.10842239333333334</v>
      </c>
      <c r="AS341" s="715">
        <v>-0.12187405999999999</v>
      </c>
      <c r="AT341" s="715">
        <v>-0.13561155999999999</v>
      </c>
      <c r="AU341" s="701">
        <v>-0.14963489333333335</v>
      </c>
      <c r="AV341" s="722">
        <v>-0.16394406</v>
      </c>
      <c r="AW341" s="722">
        <v>-0.17853905999999997</v>
      </c>
      <c r="AX341" s="722">
        <v>-0.19341989333333331</v>
      </c>
      <c r="AY341" s="722">
        <v>-0.20858655999999998</v>
      </c>
      <c r="AZ341" s="722">
        <v>-0.22403905999999998</v>
      </c>
      <c r="BA341" s="722">
        <v>-0.23977739333333334</v>
      </c>
      <c r="BB341" s="722">
        <v>-0.25580155999999998</v>
      </c>
      <c r="BC341" s="722">
        <v>-0.27211156000000003</v>
      </c>
      <c r="BD341" s="701">
        <v>-0.28713822666666666</v>
      </c>
      <c r="BE341" s="701">
        <v>-0.30228156</v>
      </c>
      <c r="BF341" s="701">
        <v>-0.31754156</v>
      </c>
      <c r="BG341" s="701">
        <v>-0.33291822666666671</v>
      </c>
      <c r="BH341" s="701">
        <v>-0.34841155999999995</v>
      </c>
      <c r="BI341" s="701">
        <v>-0.36402156000000008</v>
      </c>
      <c r="BJ341" s="701">
        <v>-0.37974822666666663</v>
      </c>
      <c r="BK341" s="701">
        <v>-0.39559156000000001</v>
      </c>
      <c r="BL341" s="701">
        <v>-0.41155156000000004</v>
      </c>
      <c r="BM341" s="701">
        <v>-0.42762822666666667</v>
      </c>
      <c r="BN341" s="701">
        <v>-0.44382156</v>
      </c>
      <c r="BO341" s="701">
        <v>-0.46013155999999994</v>
      </c>
      <c r="BP341" s="701">
        <v>-0.47627822666666658</v>
      </c>
      <c r="BQ341" s="701">
        <v>-0.49261155999999989</v>
      </c>
      <c r="BR341" s="701">
        <v>-0.50913155999999993</v>
      </c>
      <c r="BS341" s="701">
        <v>-0.52583822666666669</v>
      </c>
      <c r="BT341" s="701">
        <v>-0.54273156</v>
      </c>
      <c r="BU341" s="701">
        <v>-0.55981155999999999</v>
      </c>
      <c r="BV341" s="701">
        <v>-0.57707822666666664</v>
      </c>
      <c r="BW341" s="701">
        <v>-0.59453155999999996</v>
      </c>
      <c r="BX341" s="701">
        <v>-0.61217155999999984</v>
      </c>
      <c r="BY341" s="701">
        <v>-0.62999822666666661</v>
      </c>
      <c r="BZ341" s="701">
        <v>-0.64801155999999993</v>
      </c>
      <c r="CA341" s="701">
        <v>-0.66621155999999992</v>
      </c>
      <c r="CB341" s="701">
        <v>-0.68441155999999992</v>
      </c>
      <c r="CC341" s="701">
        <v>-0.70261155999999991</v>
      </c>
      <c r="CD341" s="701">
        <v>-0.72081155999999991</v>
      </c>
      <c r="CE341" s="701">
        <v>-0.7390115599999999</v>
      </c>
      <c r="CF341" s="701">
        <v>-0.75721155999999989</v>
      </c>
      <c r="CG341" s="701">
        <v>-0.77541155999999989</v>
      </c>
      <c r="CH341" s="701">
        <v>-0.79361155999999988</v>
      </c>
      <c r="CI341" s="701">
        <v>-0.81181155999999988</v>
      </c>
      <c r="CJ341" s="701">
        <v>-0.83001155999999987</v>
      </c>
      <c r="CK341" s="701">
        <v>-0.84821155999999998</v>
      </c>
      <c r="CL341" s="701">
        <v>-0.86641155999999997</v>
      </c>
      <c r="CM341" s="701">
        <v>-0.88461155999999996</v>
      </c>
      <c r="CN341" s="701">
        <v>-0.90281155999999985</v>
      </c>
      <c r="CO341" s="701">
        <v>-0.92101155999999984</v>
      </c>
      <c r="CP341" s="701">
        <v>-0.93921155999999983</v>
      </c>
      <c r="CQ341" s="701">
        <v>-0.95741155999999994</v>
      </c>
      <c r="CR341" s="701">
        <v>-0.97561155999999993</v>
      </c>
      <c r="CS341" s="701">
        <v>-0.99381155999999993</v>
      </c>
      <c r="CT341" s="701">
        <v>-1.0120115599999999</v>
      </c>
      <c r="CU341" s="701">
        <v>-1.0302115599999999</v>
      </c>
      <c r="CV341" s="701">
        <v>-1.0484115599999997</v>
      </c>
      <c r="CW341" s="701">
        <v>-1.0666115599999999</v>
      </c>
      <c r="CX341" s="701">
        <v>-1.0848115599999997</v>
      </c>
      <c r="CY341" s="701">
        <v>-1.1030115599999999</v>
      </c>
      <c r="CZ341" s="702"/>
      <c r="DA341" s="12"/>
      <c r="DB341" s="12"/>
      <c r="DC341" s="12"/>
      <c r="DD341" s="12"/>
      <c r="DE341" s="12"/>
      <c r="DF341" s="12"/>
      <c r="DG341" s="12"/>
    </row>
    <row r="342" spans="2:111">
      <c r="B342" s="702"/>
      <c r="C342" s="702"/>
      <c r="D342" s="718" t="s">
        <v>152</v>
      </c>
      <c r="E342" s="126"/>
      <c r="F342" s="609"/>
      <c r="G342" s="609" t="s">
        <v>736</v>
      </c>
      <c r="H342" s="725"/>
      <c r="I342" s="725"/>
      <c r="J342" s="725"/>
      <c r="K342" s="725"/>
      <c r="L342" s="702"/>
      <c r="M342" s="710"/>
      <c r="N342" s="710"/>
      <c r="O342" s="710"/>
      <c r="P342" s="710"/>
      <c r="Q342" s="710"/>
      <c r="R342" s="710"/>
      <c r="S342" s="710"/>
      <c r="T342" s="713"/>
      <c r="U342" s="713"/>
      <c r="V342" s="713"/>
      <c r="W342" s="713"/>
      <c r="X342" s="713"/>
      <c r="Y342" s="713"/>
      <c r="Z342" s="713"/>
      <c r="AA342" s="713"/>
      <c r="AB342" s="713"/>
      <c r="AC342" s="713"/>
      <c r="AD342" s="713"/>
      <c r="AE342" s="713"/>
      <c r="AF342" s="715"/>
      <c r="AG342" s="715"/>
      <c r="AH342" s="715"/>
      <c r="AI342" s="701"/>
      <c r="AJ342" s="701"/>
      <c r="AK342" s="701"/>
      <c r="AL342" s="701"/>
      <c r="AM342" s="701"/>
      <c r="AN342" s="701"/>
      <c r="AO342" s="701"/>
      <c r="AP342" s="701"/>
      <c r="AQ342" s="701"/>
      <c r="AR342" s="772">
        <v>-2.8500000000000004E-2</v>
      </c>
      <c r="AS342" s="750">
        <v>-2.8500000000000004E-2</v>
      </c>
      <c r="AT342" s="750">
        <v>-2.8500000000000004E-2</v>
      </c>
      <c r="AU342" s="726">
        <v>-2.8500000000000004E-2</v>
      </c>
      <c r="AV342" s="772">
        <v>-2.8500000000000004E-2</v>
      </c>
      <c r="AW342" s="772">
        <v>-2.8500000000000004E-2</v>
      </c>
      <c r="AX342" s="772">
        <v>-8.5000000000000006E-3</v>
      </c>
      <c r="AY342" s="772">
        <v>-8.5000000000000006E-3</v>
      </c>
      <c r="AZ342" s="772">
        <v>-8.5000000000000006E-3</v>
      </c>
      <c r="BA342" s="772">
        <v>-8.5000000000000006E-3</v>
      </c>
      <c r="BB342" s="772">
        <v>-8.5000000000000006E-3</v>
      </c>
      <c r="BC342" s="772">
        <v>-8.5000000000000006E-3</v>
      </c>
      <c r="BD342" s="726">
        <v>-8.5000000000000006E-3</v>
      </c>
      <c r="BE342" s="726">
        <v>-8.5000000000000006E-3</v>
      </c>
      <c r="BF342" s="726">
        <v>-8.5000000000000006E-3</v>
      </c>
      <c r="BG342" s="726">
        <v>-8.5000000000000006E-3</v>
      </c>
      <c r="BH342" s="726">
        <v>-8.5000000000000006E-3</v>
      </c>
      <c r="BI342" s="726">
        <v>-8.5000000000000006E-3</v>
      </c>
      <c r="BJ342" s="726">
        <v>-8.5000000000000006E-3</v>
      </c>
      <c r="BK342" s="726">
        <v>-8.5000000000000006E-3</v>
      </c>
      <c r="BL342" s="726">
        <v>-8.5000000000000006E-3</v>
      </c>
      <c r="BM342" s="726">
        <v>-8.5000000000000006E-3</v>
      </c>
      <c r="BN342" s="726">
        <v>-8.5000000000000006E-3</v>
      </c>
      <c r="BO342" s="726">
        <v>-8.5000000000000006E-3</v>
      </c>
      <c r="BP342" s="726">
        <v>-8.5000000000000006E-3</v>
      </c>
      <c r="BQ342" s="726">
        <v>-8.5000000000000006E-3</v>
      </c>
      <c r="BR342" s="726">
        <v>-8.5000000000000006E-3</v>
      </c>
      <c r="BS342" s="726">
        <v>-8.5000000000000006E-3</v>
      </c>
      <c r="BT342" s="726">
        <v>-8.5000000000000006E-3</v>
      </c>
      <c r="BU342" s="726">
        <v>-8.5000000000000006E-3</v>
      </c>
      <c r="BV342" s="726">
        <v>-8.5000000000000006E-3</v>
      </c>
      <c r="BW342" s="726">
        <v>-8.5000000000000006E-3</v>
      </c>
      <c r="BX342" s="726">
        <v>-8.5000000000000006E-3</v>
      </c>
      <c r="BY342" s="726">
        <v>-8.5000000000000006E-3</v>
      </c>
      <c r="BZ342" s="726">
        <v>-8.5000000000000006E-3</v>
      </c>
      <c r="CA342" s="726">
        <v>-8.5000000000000006E-3</v>
      </c>
      <c r="CB342" s="726">
        <v>-8.5000000000000006E-3</v>
      </c>
      <c r="CC342" s="726">
        <v>-8.5000000000000006E-3</v>
      </c>
      <c r="CD342" s="726">
        <v>-8.5000000000000006E-3</v>
      </c>
      <c r="CE342" s="726">
        <v>-8.5000000000000006E-3</v>
      </c>
      <c r="CF342" s="726">
        <v>-8.5000000000000006E-3</v>
      </c>
      <c r="CG342" s="726">
        <v>-8.5000000000000006E-3</v>
      </c>
      <c r="CH342" s="726">
        <v>-8.5000000000000006E-3</v>
      </c>
      <c r="CI342" s="726">
        <v>-8.5000000000000006E-3</v>
      </c>
      <c r="CJ342" s="726">
        <v>-8.5000000000000006E-3</v>
      </c>
      <c r="CK342" s="726">
        <v>-8.5000000000000006E-3</v>
      </c>
      <c r="CL342" s="726">
        <v>-8.5000000000000006E-3</v>
      </c>
      <c r="CM342" s="726">
        <v>-8.5000000000000006E-3</v>
      </c>
      <c r="CN342" s="726">
        <v>-8.5000000000000006E-3</v>
      </c>
      <c r="CO342" s="726">
        <v>-8.5000000000000006E-3</v>
      </c>
      <c r="CP342" s="726">
        <v>-8.5000000000000006E-3</v>
      </c>
      <c r="CQ342" s="726">
        <v>-8.5000000000000006E-3</v>
      </c>
      <c r="CR342" s="726">
        <v>-8.5000000000000006E-3</v>
      </c>
      <c r="CS342" s="726">
        <v>-8.5000000000000006E-3</v>
      </c>
      <c r="CT342" s="726">
        <v>-8.5000000000000006E-3</v>
      </c>
      <c r="CU342" s="726">
        <v>-8.5000000000000006E-3</v>
      </c>
      <c r="CV342" s="726">
        <v>-8.5000000000000006E-3</v>
      </c>
      <c r="CW342" s="726">
        <v>-8.5000000000000006E-3</v>
      </c>
      <c r="CX342" s="726">
        <v>-8.5000000000000006E-3</v>
      </c>
      <c r="CY342" s="726">
        <v>-8.5000000000000006E-3</v>
      </c>
      <c r="CZ342" s="702"/>
      <c r="DA342" s="12"/>
      <c r="DB342" s="12"/>
      <c r="DC342" s="12"/>
      <c r="DD342" s="12"/>
      <c r="DE342" s="12"/>
      <c r="DF342" s="12"/>
      <c r="DG342" s="12"/>
    </row>
    <row r="343" spans="2:111">
      <c r="B343" s="702"/>
      <c r="C343" s="702"/>
      <c r="D343" s="126" t="s">
        <v>144</v>
      </c>
      <c r="E343" s="718"/>
      <c r="F343" s="727"/>
      <c r="G343" s="609" t="s">
        <v>736</v>
      </c>
      <c r="H343" s="725"/>
      <c r="I343" s="725"/>
      <c r="J343" s="725"/>
      <c r="K343" s="725"/>
      <c r="L343" s="702"/>
      <c r="M343" s="710"/>
      <c r="N343" s="710"/>
      <c r="O343" s="710"/>
      <c r="P343" s="710"/>
      <c r="Q343" s="710"/>
      <c r="R343" s="710"/>
      <c r="S343" s="710"/>
      <c r="T343" s="713"/>
      <c r="U343" s="713"/>
      <c r="V343" s="713"/>
      <c r="W343" s="713"/>
      <c r="X343" s="713"/>
      <c r="Y343" s="713"/>
      <c r="Z343" s="713"/>
      <c r="AA343" s="713"/>
      <c r="AB343" s="713"/>
      <c r="AC343" s="713"/>
      <c r="AD343" s="713"/>
      <c r="AE343" s="713"/>
      <c r="AF343" s="715"/>
      <c r="AG343" s="715"/>
      <c r="AH343" s="715"/>
      <c r="AI343" s="701"/>
      <c r="AJ343" s="701"/>
      <c r="AK343" s="701"/>
      <c r="AL343" s="701"/>
      <c r="AM343" s="701"/>
      <c r="AN343" s="701"/>
      <c r="AO343" s="701"/>
      <c r="AP343" s="701"/>
      <c r="AQ343" s="701"/>
      <c r="AR343" s="772">
        <v>-0.33333333333333337</v>
      </c>
      <c r="AS343" s="773">
        <v>-0.33333333333333337</v>
      </c>
      <c r="AT343" s="773">
        <v>-0.33333333333333337</v>
      </c>
      <c r="AU343" s="728">
        <v>-0.33333333333333337</v>
      </c>
      <c r="AV343" s="964">
        <v>-0.33333333333333337</v>
      </c>
      <c r="AW343" s="964">
        <v>-0.33333333333333337</v>
      </c>
      <c r="AX343" s="964">
        <v>-0.33333333333333337</v>
      </c>
      <c r="AY343" s="964">
        <v>-0.33333333333333337</v>
      </c>
      <c r="AZ343" s="964">
        <v>-0.33333333333333337</v>
      </c>
      <c r="BA343" s="964">
        <v>-0.33333333333333337</v>
      </c>
      <c r="BB343" s="964">
        <v>-0.33333333333333337</v>
      </c>
      <c r="BC343" s="964">
        <v>-0.33333333333333337</v>
      </c>
      <c r="BD343" s="728">
        <v>-0.5</v>
      </c>
      <c r="BE343" s="728">
        <v>-0.5</v>
      </c>
      <c r="BF343" s="728">
        <v>-0.5</v>
      </c>
      <c r="BG343" s="728">
        <v>-0.5</v>
      </c>
      <c r="BH343" s="728">
        <v>-0.5</v>
      </c>
      <c r="BI343" s="728">
        <v>-0.5</v>
      </c>
      <c r="BJ343" s="728">
        <v>-0.5</v>
      </c>
      <c r="BK343" s="728">
        <v>-0.5</v>
      </c>
      <c r="BL343" s="728">
        <v>-0.5</v>
      </c>
      <c r="BM343" s="728">
        <v>-0.5</v>
      </c>
      <c r="BN343" s="728">
        <v>-0.5</v>
      </c>
      <c r="BO343" s="728">
        <v>-0.5</v>
      </c>
      <c r="BP343" s="728">
        <v>-0.65</v>
      </c>
      <c r="BQ343" s="728">
        <v>-0.65</v>
      </c>
      <c r="BR343" s="728">
        <v>-0.65</v>
      </c>
      <c r="BS343" s="728">
        <v>-0.65</v>
      </c>
      <c r="BT343" s="728">
        <v>-0.65</v>
      </c>
      <c r="BU343" s="728">
        <v>-0.65</v>
      </c>
      <c r="BV343" s="728">
        <v>-0.65</v>
      </c>
      <c r="BW343" s="728">
        <v>-0.65</v>
      </c>
      <c r="BX343" s="728">
        <v>-0.65</v>
      </c>
      <c r="BY343" s="728">
        <v>-0.65</v>
      </c>
      <c r="BZ343" s="728">
        <v>-0.65</v>
      </c>
      <c r="CA343" s="728">
        <v>-0.65</v>
      </c>
      <c r="CB343" s="728">
        <v>-0.78</v>
      </c>
      <c r="CC343" s="728">
        <v>-0.78</v>
      </c>
      <c r="CD343" s="728">
        <v>-0.78</v>
      </c>
      <c r="CE343" s="728">
        <v>-0.78</v>
      </c>
      <c r="CF343" s="728">
        <v>-0.78</v>
      </c>
      <c r="CG343" s="728">
        <v>-0.78</v>
      </c>
      <c r="CH343" s="728">
        <v>-0.78</v>
      </c>
      <c r="CI343" s="728">
        <v>-0.78</v>
      </c>
      <c r="CJ343" s="728">
        <v>-0.78</v>
      </c>
      <c r="CK343" s="728">
        <v>-0.78</v>
      </c>
      <c r="CL343" s="728">
        <v>-0.78</v>
      </c>
      <c r="CM343" s="728">
        <v>-0.78</v>
      </c>
      <c r="CN343" s="728">
        <v>-0.8580000000000001</v>
      </c>
      <c r="CO343" s="728">
        <v>-0.8580000000000001</v>
      </c>
      <c r="CP343" s="728">
        <v>-0.8580000000000001</v>
      </c>
      <c r="CQ343" s="728">
        <v>-0.8580000000000001</v>
      </c>
      <c r="CR343" s="728">
        <v>-0.8580000000000001</v>
      </c>
      <c r="CS343" s="728">
        <v>-0.8580000000000001</v>
      </c>
      <c r="CT343" s="728">
        <v>-0.8580000000000001</v>
      </c>
      <c r="CU343" s="728">
        <v>-0.8580000000000001</v>
      </c>
      <c r="CV343" s="728">
        <v>-0.8580000000000001</v>
      </c>
      <c r="CW343" s="728">
        <v>-0.8580000000000001</v>
      </c>
      <c r="CX343" s="728">
        <v>-0.8580000000000001</v>
      </c>
      <c r="CY343" s="728">
        <v>-0.8580000000000001</v>
      </c>
      <c r="CZ343" s="702"/>
      <c r="DA343" s="12"/>
      <c r="DB343" s="12"/>
      <c r="DC343" s="12"/>
      <c r="DD343" s="12"/>
      <c r="DE343" s="12"/>
      <c r="DF343" s="12"/>
      <c r="DG343" s="12"/>
    </row>
    <row r="344" spans="2:111">
      <c r="B344" s="702"/>
      <c r="C344" s="698" t="s">
        <v>808</v>
      </c>
      <c r="D344" s="702"/>
      <c r="E344" s="702"/>
      <c r="F344" s="725"/>
      <c r="G344" s="609" t="s">
        <v>736</v>
      </c>
      <c r="H344" s="725"/>
      <c r="I344" s="725"/>
      <c r="J344" s="725"/>
      <c r="K344" s="725"/>
      <c r="L344" s="702"/>
      <c r="M344" s="710"/>
      <c r="N344" s="710"/>
      <c r="O344" s="710"/>
      <c r="P344" s="710"/>
      <c r="Q344" s="710"/>
      <c r="R344" s="710"/>
      <c r="S344" s="710"/>
      <c r="T344" s="713"/>
      <c r="U344" s="713"/>
      <c r="V344" s="713"/>
      <c r="W344" s="713"/>
      <c r="X344" s="713"/>
      <c r="Y344" s="713"/>
      <c r="Z344" s="713"/>
      <c r="AA344" s="713"/>
      <c r="AB344" s="713"/>
      <c r="AC344" s="713"/>
      <c r="AD344" s="713"/>
      <c r="AE344" s="713"/>
      <c r="AF344" s="715"/>
      <c r="AG344" s="715"/>
      <c r="AH344" s="715"/>
      <c r="AI344" s="701">
        <v>0</v>
      </c>
      <c r="AJ344" s="701">
        <v>-4.2306518968499999E-3</v>
      </c>
      <c r="AK344" s="701">
        <v>-2.3432322158500225E-2</v>
      </c>
      <c r="AL344" s="701">
        <v>-6.5411267721700014E-2</v>
      </c>
      <c r="AM344" s="701">
        <v>-0.12388444440665</v>
      </c>
      <c r="AN344" s="701">
        <v>-7.8328925895900015E-2</v>
      </c>
      <c r="AO344" s="701">
        <v>-4.4248230143366991E-2</v>
      </c>
      <c r="AP344" s="701">
        <v>0.12771942059312988</v>
      </c>
      <c r="AQ344" s="701">
        <v>0.23678923108673186</v>
      </c>
      <c r="AR344" s="715">
        <v>0</v>
      </c>
      <c r="AS344" s="715">
        <v>0</v>
      </c>
      <c r="AT344" s="715">
        <v>0</v>
      </c>
      <c r="AU344" s="715">
        <v>0</v>
      </c>
      <c r="AV344" s="715">
        <v>0</v>
      </c>
      <c r="AW344" s="715">
        <v>0</v>
      </c>
      <c r="AX344" s="715">
        <v>0</v>
      </c>
      <c r="AY344" s="715">
        <v>0</v>
      </c>
      <c r="AZ344" s="715">
        <v>0</v>
      </c>
      <c r="BA344" s="715">
        <v>0</v>
      </c>
      <c r="BB344" s="715">
        <v>0</v>
      </c>
      <c r="BC344" s="715">
        <v>0</v>
      </c>
      <c r="BD344" s="701">
        <v>-0.14702789271111794</v>
      </c>
      <c r="BE344" s="701">
        <v>-0.44680227869678929</v>
      </c>
      <c r="BF344" s="701">
        <v>-0.67413156820557407</v>
      </c>
      <c r="BG344" s="701">
        <v>-0.97961225621936665</v>
      </c>
      <c r="BH344" s="701">
        <v>-0.90526389798249518</v>
      </c>
      <c r="BI344" s="701">
        <v>-0.88310035744211235</v>
      </c>
      <c r="BJ344" s="701">
        <v>-0.93754047860565914</v>
      </c>
      <c r="BK344" s="701">
        <v>-0.94150694530867607</v>
      </c>
      <c r="BL344" s="701">
        <v>-1.0127263750912552</v>
      </c>
      <c r="BM344" s="701">
        <v>-1.0390503266736437</v>
      </c>
      <c r="BN344" s="701">
        <v>-1.0725937750927248</v>
      </c>
      <c r="BO344" s="701">
        <v>-1.1096510960370809</v>
      </c>
      <c r="BP344" s="701">
        <v>-1.147261497926479</v>
      </c>
      <c r="BQ344" s="701">
        <v>-1.1835743353333052</v>
      </c>
      <c r="BR344" s="701">
        <v>-1.2236854340198535</v>
      </c>
      <c r="BS344" s="701">
        <v>-1.2655443429222588</v>
      </c>
      <c r="BT344" s="701">
        <v>-1.3100306238050825</v>
      </c>
      <c r="BU344" s="701">
        <v>-1.3550679281783133</v>
      </c>
      <c r="BV344" s="701">
        <v>-1.4111877848184897</v>
      </c>
      <c r="BW344" s="701">
        <v>-1.4791581262998326</v>
      </c>
      <c r="BX344" s="701">
        <v>-1.5441822609262545</v>
      </c>
      <c r="BY344" s="701">
        <v>-1.7457200487763149</v>
      </c>
      <c r="BZ344" s="701">
        <v>-1.8115450550184893</v>
      </c>
      <c r="CA344" s="701">
        <v>-1.8789842876831122</v>
      </c>
      <c r="CB344" s="701">
        <v>-1.9615787511086888</v>
      </c>
      <c r="CC344" s="701">
        <v>-2.0523408333095046</v>
      </c>
      <c r="CD344" s="701">
        <v>-2.1292283739746254</v>
      </c>
      <c r="CE344" s="701">
        <v>-2.3849052337799925</v>
      </c>
      <c r="CF344" s="701">
        <v>-2.4617794409459628</v>
      </c>
      <c r="CG344" s="701">
        <v>-2.5430676385448137</v>
      </c>
      <c r="CH344" s="701">
        <v>-2.6251993957586874</v>
      </c>
      <c r="CI344" s="701">
        <v>-2.6980249611545521</v>
      </c>
      <c r="CJ344" s="701">
        <v>-2.7590445921588893</v>
      </c>
      <c r="CK344" s="701">
        <v>-2.8206094729628113</v>
      </c>
      <c r="CL344" s="701">
        <v>-2.8824233188539345</v>
      </c>
      <c r="CM344" s="701">
        <v>-2.9482506738100613</v>
      </c>
      <c r="CN344" s="701">
        <v>-3.0142363830792216</v>
      </c>
      <c r="CO344" s="701">
        <v>-3.0805067498903145</v>
      </c>
      <c r="CP344" s="701">
        <v>-3.1470999684381948</v>
      </c>
      <c r="CQ344" s="701">
        <v>-3.2138306719895251</v>
      </c>
      <c r="CR344" s="701">
        <v>-3.2804479232933383</v>
      </c>
      <c r="CS344" s="701">
        <v>-3.3469652051924155</v>
      </c>
      <c r="CT344" s="701">
        <v>-3.4133881150506262</v>
      </c>
      <c r="CU344" s="701">
        <v>-3.4798011399193371</v>
      </c>
      <c r="CV344" s="701">
        <v>-3.546205732983533</v>
      </c>
      <c r="CW344" s="701">
        <v>-3.6126066262314303</v>
      </c>
      <c r="CX344" s="701">
        <v>-3.6790098760095309</v>
      </c>
      <c r="CY344" s="701">
        <v>-3.745729638856468</v>
      </c>
      <c r="CZ344" s="702"/>
      <c r="DA344" s="12"/>
      <c r="DB344" s="12"/>
      <c r="DC344" s="12"/>
      <c r="DD344" s="12"/>
      <c r="DE344" s="12"/>
      <c r="DF344" s="12"/>
      <c r="DG344" s="12"/>
    </row>
    <row r="345" spans="2:111">
      <c r="B345" s="126"/>
      <c r="C345" s="698" t="s">
        <v>820</v>
      </c>
      <c r="D345" s="126"/>
      <c r="E345" s="126"/>
      <c r="F345" s="609"/>
      <c r="G345" s="609" t="s">
        <v>736</v>
      </c>
      <c r="H345" s="609"/>
      <c r="I345" s="609"/>
      <c r="J345" s="609"/>
      <c r="K345" s="609"/>
      <c r="L345" s="12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96"/>
      <c r="AB345" s="696"/>
      <c r="AC345" s="696"/>
      <c r="AD345" s="696"/>
      <c r="AE345" s="696"/>
      <c r="AF345" s="696"/>
      <c r="AG345" s="696"/>
      <c r="AH345" s="696"/>
      <c r="AI345" s="696">
        <v>-7.3378619999999997E-3</v>
      </c>
      <c r="AJ345" s="696">
        <v>-0.10271553710315001</v>
      </c>
      <c r="AK345" s="696">
        <v>-0.11145156596232543</v>
      </c>
      <c r="AL345" s="696">
        <v>-0.24984193649621342</v>
      </c>
      <c r="AM345" s="696">
        <v>-0.21204985346809052</v>
      </c>
      <c r="AN345" s="696">
        <v>-0.12852969145513971</v>
      </c>
      <c r="AO345" s="696">
        <v>-0.15250156971996703</v>
      </c>
      <c r="AP345" s="696">
        <v>-0.30785188751378356</v>
      </c>
      <c r="AQ345" s="696">
        <v>-0.39937404602362225</v>
      </c>
      <c r="AR345" s="696">
        <f t="shared" ref="AR345:BC345" si="103">AR318+AR334+AR335</f>
        <v>-0.77388135194804708</v>
      </c>
      <c r="AS345" s="696">
        <f t="shared" si="103"/>
        <v>-1.0220502709685393</v>
      </c>
      <c r="AT345" s="696">
        <f t="shared" si="103"/>
        <v>-1.1733576107460881</v>
      </c>
      <c r="AU345" s="696">
        <f t="shared" si="103"/>
        <v>-1.2229777465974117</v>
      </c>
      <c r="AV345" s="696">
        <f t="shared" si="103"/>
        <v>-1.3328167106423636</v>
      </c>
      <c r="AW345" s="696">
        <f t="shared" si="103"/>
        <v>-1.4459113123644138</v>
      </c>
      <c r="AX345" s="696">
        <f t="shared" si="103"/>
        <v>-1.301144993866314</v>
      </c>
      <c r="AY345" s="696">
        <f t="shared" si="103"/>
        <v>-1.3949205860479561</v>
      </c>
      <c r="AZ345" s="696">
        <f t="shared" si="103"/>
        <v>-1.7983430733110055</v>
      </c>
      <c r="BA345" s="696">
        <f t="shared" si="103"/>
        <v>-2.0358311731789049</v>
      </c>
      <c r="BB345" s="696">
        <f t="shared" si="103"/>
        <v>-2.1480675738089863</v>
      </c>
      <c r="BC345" s="696">
        <f t="shared" si="103"/>
        <v>-2.1390168822095061</v>
      </c>
      <c r="BD345" s="696">
        <v>-2.4652365177232385</v>
      </c>
      <c r="BE345" s="696">
        <v>-2.2232262853973572</v>
      </c>
      <c r="BF345" s="696">
        <v>-1.9725086181937015</v>
      </c>
      <c r="BG345" s="696">
        <v>-1.7746469283907564</v>
      </c>
      <c r="BH345" s="696">
        <v>-1.4166857200549452</v>
      </c>
      <c r="BI345" s="696">
        <v>-1.1144468538857293</v>
      </c>
      <c r="BJ345" s="696">
        <v>-0.76319814593851643</v>
      </c>
      <c r="BK345" s="696">
        <v>-0.6653655704850534</v>
      </c>
      <c r="BL345" s="696">
        <v>-1.1843117806585575</v>
      </c>
      <c r="BM345" s="696">
        <v>-1.3627502812442707</v>
      </c>
      <c r="BN345" s="696">
        <v>-1.3603398169941334</v>
      </c>
      <c r="BO345" s="696">
        <v>-1.350972931767489</v>
      </c>
      <c r="BP345" s="696">
        <v>-1.386915742419788</v>
      </c>
      <c r="BQ345" s="696">
        <v>-1.4641690415662696</v>
      </c>
      <c r="BR345" s="696">
        <v>-1.5216343188136756</v>
      </c>
      <c r="BS345" s="696">
        <v>-1.5662387787177448</v>
      </c>
      <c r="BT345" s="696">
        <v>-1.6154141555873558</v>
      </c>
      <c r="BU345" s="696">
        <v>-1.6652545241226289</v>
      </c>
      <c r="BV345" s="696">
        <v>-1.6241735236495112</v>
      </c>
      <c r="BW345" s="696">
        <v>-1.625869097527481</v>
      </c>
      <c r="BX345" s="696">
        <v>-1.6193409855602781</v>
      </c>
      <c r="BY345" s="696">
        <v>-1.6242416276146034</v>
      </c>
      <c r="BZ345" s="696">
        <v>-1.6175611438583477</v>
      </c>
      <c r="CA345" s="696">
        <v>-1.6103217089475335</v>
      </c>
      <c r="CB345" s="696">
        <v>-1.365296176144529</v>
      </c>
      <c r="CC345" s="696">
        <v>-0.88967034765213882</v>
      </c>
      <c r="CD345" s="696">
        <v>-0.85250295070673232</v>
      </c>
      <c r="CE345" s="696">
        <v>-0.83454033985575204</v>
      </c>
      <c r="CF345" s="696">
        <v>-0.79893460887275936</v>
      </c>
      <c r="CG345" s="696">
        <v>-0.76364894232218639</v>
      </c>
      <c r="CH345" s="696">
        <v>-0.40865729482365332</v>
      </c>
      <c r="CI345" s="696">
        <v>0.14366600843855615</v>
      </c>
      <c r="CJ345" s="696">
        <v>0.13866980504480342</v>
      </c>
      <c r="CK345" s="696">
        <v>0.14788899095441188</v>
      </c>
      <c r="CL345" s="696">
        <v>0.15757806135977859</v>
      </c>
      <c r="CM345" s="696">
        <v>0.1687598315450014</v>
      </c>
      <c r="CN345" s="696">
        <v>0.10279496994278858</v>
      </c>
      <c r="CO345" s="696">
        <v>0.11251537084868879</v>
      </c>
      <c r="CP345" s="696">
        <v>0.12597297825762865</v>
      </c>
      <c r="CQ345" s="696">
        <v>0.15396102502610187</v>
      </c>
      <c r="CR345" s="696">
        <v>0.18277098756971366</v>
      </c>
      <c r="CS345" s="696">
        <v>0.21203643961513841</v>
      </c>
      <c r="CT345" s="696">
        <v>0.24131833696523231</v>
      </c>
      <c r="CU345" s="696">
        <v>0.27045656856673794</v>
      </c>
      <c r="CV345" s="696">
        <v>0.29942467057794708</v>
      </c>
      <c r="CW345" s="696">
        <v>0.32810200426609804</v>
      </c>
      <c r="CX345" s="696">
        <v>0.35634848456289525</v>
      </c>
      <c r="CY345" s="696">
        <v>0.35346400417390456</v>
      </c>
      <c r="CZ345" s="126"/>
      <c r="DA345" s="14"/>
      <c r="DB345" s="14"/>
      <c r="DC345" s="14"/>
      <c r="DD345" s="14"/>
      <c r="DE345" s="14"/>
      <c r="DF345" s="14"/>
      <c r="DG345" s="14"/>
    </row>
    <row r="346" spans="2:111">
      <c r="B346" s="126"/>
      <c r="C346" s="229"/>
      <c r="D346" s="230" t="s">
        <v>423</v>
      </c>
      <c r="E346" s="126"/>
      <c r="F346" s="609"/>
      <c r="G346" s="609" t="s">
        <v>736</v>
      </c>
      <c r="H346" s="609"/>
      <c r="I346" s="609"/>
      <c r="J346" s="609"/>
      <c r="K346" s="609"/>
      <c r="L346" s="126"/>
      <c r="M346" s="696"/>
      <c r="N346" s="696"/>
      <c r="O346" s="696"/>
      <c r="P346" s="696"/>
      <c r="Q346" s="696"/>
      <c r="R346" s="696"/>
      <c r="S346" s="696"/>
      <c r="T346" s="696"/>
      <c r="U346" s="696"/>
      <c r="V346" s="696"/>
      <c r="W346" s="696"/>
      <c r="X346" s="696"/>
      <c r="Y346" s="696"/>
      <c r="Z346" s="696"/>
      <c r="AA346" s="696"/>
      <c r="AB346" s="696"/>
      <c r="AC346" s="696"/>
      <c r="AD346" s="696"/>
      <c r="AE346" s="696"/>
      <c r="AF346" s="696"/>
      <c r="AG346" s="696"/>
      <c r="AH346" s="696"/>
      <c r="AI346" s="722">
        <v>0</v>
      </c>
      <c r="AJ346" s="722">
        <v>0</v>
      </c>
      <c r="AK346" s="722">
        <v>0</v>
      </c>
      <c r="AL346" s="722">
        <v>0</v>
      </c>
      <c r="AM346" s="722">
        <v>0</v>
      </c>
      <c r="AN346" s="722">
        <v>0.11482991342626943</v>
      </c>
      <c r="AO346" s="722">
        <v>0.47897862677859082</v>
      </c>
      <c r="AP346" s="722">
        <v>1.2440742073730742</v>
      </c>
      <c r="AQ346" s="722">
        <v>2.3633725016407618</v>
      </c>
      <c r="AR346" s="722">
        <v>3.3584541755831578</v>
      </c>
      <c r="AS346" s="722">
        <v>4.4475469171680242</v>
      </c>
      <c r="AT346" s="722">
        <v>4.9631408147313003</v>
      </c>
      <c r="AU346" s="722">
        <v>5.0758170035686669</v>
      </c>
      <c r="AV346" s="722">
        <v>5.6757850471046272</v>
      </c>
      <c r="AW346" s="722">
        <v>6.261706487791634</v>
      </c>
      <c r="AX346" s="722">
        <v>7.2672981183801113</v>
      </c>
      <c r="AY346" s="722">
        <v>8.4361766357385939</v>
      </c>
      <c r="AZ346" s="722">
        <v>9.2815441851011844</v>
      </c>
      <c r="BA346" s="722">
        <v>9.8472137154473369</v>
      </c>
      <c r="BB346" s="722">
        <v>10.349113670884019</v>
      </c>
      <c r="BC346" s="722">
        <v>10.874279814834116</v>
      </c>
      <c r="BD346" s="722">
        <v>11.099727811454915</v>
      </c>
      <c r="BE346" s="722">
        <v>11.264084412866476</v>
      </c>
      <c r="BF346" s="722">
        <v>11.266413519398158</v>
      </c>
      <c r="BG346" s="722">
        <v>10.900944145028891</v>
      </c>
      <c r="BH346" s="722">
        <v>11.199162812682122</v>
      </c>
      <c r="BI346" s="722">
        <v>11.922816222632244</v>
      </c>
      <c r="BJ346" s="722">
        <v>12.783149221990579</v>
      </c>
      <c r="BK346" s="722">
        <v>14.176781105694463</v>
      </c>
      <c r="BL346" s="722">
        <v>15.04618408000192</v>
      </c>
      <c r="BM346" s="722">
        <v>15.746271234021499</v>
      </c>
      <c r="BN346" s="722">
        <v>16.504714886504171</v>
      </c>
      <c r="BO346" s="722">
        <v>17.202710713645502</v>
      </c>
      <c r="BP346" s="722">
        <v>18.045066443060044</v>
      </c>
      <c r="BQ346" s="722">
        <v>18.868164098484428</v>
      </c>
      <c r="BR346" s="722">
        <v>19.680602622126553</v>
      </c>
      <c r="BS346" s="722">
        <v>20.493140408865706</v>
      </c>
      <c r="BT346" s="722">
        <v>21.300939292430183</v>
      </c>
      <c r="BU346" s="722">
        <v>22.105705709592435</v>
      </c>
      <c r="BV346" s="722">
        <v>22.909681609143014</v>
      </c>
      <c r="BW346" s="722">
        <v>23.719795680971366</v>
      </c>
      <c r="BX346" s="722">
        <v>24.54147658443468</v>
      </c>
      <c r="BY346" s="722">
        <v>24.982352887893143</v>
      </c>
      <c r="BZ346" s="722">
        <v>25.429915966478422</v>
      </c>
      <c r="CA346" s="722">
        <v>25.880999133355207</v>
      </c>
      <c r="CB346" s="722">
        <v>26.329422057395721</v>
      </c>
      <c r="CC346" s="722">
        <v>27.174312252051351</v>
      </c>
      <c r="CD346" s="722">
        <v>28.023927709599413</v>
      </c>
      <c r="CE346" s="722">
        <v>28.364823917411833</v>
      </c>
      <c r="CF346" s="722">
        <v>28.706203809213395</v>
      </c>
      <c r="CG346" s="722">
        <v>29.035591311697704</v>
      </c>
      <c r="CH346" s="722">
        <v>29.350143534977793</v>
      </c>
      <c r="CI346" s="722">
        <v>30.166228014072075</v>
      </c>
      <c r="CJ346" s="722">
        <v>30.970735520012965</v>
      </c>
      <c r="CK346" s="722">
        <v>31.774930288861764</v>
      </c>
      <c r="CL346" s="722">
        <v>32.579657933654943</v>
      </c>
      <c r="CM346" s="722">
        <v>33.374712088710957</v>
      </c>
      <c r="CN346" s="722">
        <v>34.16036653919263</v>
      </c>
      <c r="CO346" s="722">
        <v>34.936593536047923</v>
      </c>
      <c r="CP346" s="722">
        <v>35.703237166560868</v>
      </c>
      <c r="CQ346" s="722">
        <v>36.471028360469994</v>
      </c>
      <c r="CR346" s="722">
        <v>37.239610199054169</v>
      </c>
      <c r="CS346" s="722">
        <v>38.008932094683672</v>
      </c>
      <c r="CT346" s="722">
        <v>38.778979182815824</v>
      </c>
      <c r="CU346" s="722">
        <v>39.549533515721031</v>
      </c>
      <c r="CV346" s="722">
        <v>40.320389037540103</v>
      </c>
      <c r="CW346" s="722">
        <v>41.091345375977163</v>
      </c>
      <c r="CX346" s="722">
        <v>41.862202023081799</v>
      </c>
      <c r="CY346" s="722">
        <v>42.630935203702364</v>
      </c>
      <c r="CZ346" s="126"/>
      <c r="DA346" s="11"/>
      <c r="DB346" s="11"/>
      <c r="DC346" s="11"/>
      <c r="DD346" s="11"/>
      <c r="DE346" s="11"/>
      <c r="DF346" s="11"/>
      <c r="DG346" s="11"/>
    </row>
    <row r="347" spans="2:111">
      <c r="B347" s="126"/>
      <c r="C347" s="229"/>
      <c r="D347" s="230" t="s">
        <v>810</v>
      </c>
      <c r="E347" s="126"/>
      <c r="F347" s="609"/>
      <c r="G347" s="609" t="s">
        <v>736</v>
      </c>
      <c r="H347" s="609"/>
      <c r="I347" s="609"/>
      <c r="J347" s="609"/>
      <c r="K347" s="609"/>
      <c r="L347" s="126"/>
      <c r="M347" s="696"/>
      <c r="N347" s="696"/>
      <c r="O347" s="696"/>
      <c r="P347" s="696"/>
      <c r="Q347" s="696"/>
      <c r="R347" s="696"/>
      <c r="S347" s="696"/>
      <c r="T347" s="696"/>
      <c r="U347" s="696"/>
      <c r="V347" s="696"/>
      <c r="W347" s="696"/>
      <c r="X347" s="696"/>
      <c r="Y347" s="696"/>
      <c r="Z347" s="696"/>
      <c r="AA347" s="696"/>
      <c r="AB347" s="696"/>
      <c r="AC347" s="696"/>
      <c r="AD347" s="696"/>
      <c r="AE347" s="696"/>
      <c r="AF347" s="696"/>
      <c r="AG347" s="696"/>
      <c r="AH347" s="696"/>
      <c r="AI347" s="722">
        <v>0</v>
      </c>
      <c r="AJ347" s="722">
        <v>0</v>
      </c>
      <c r="AK347" s="722">
        <v>0.13519051669499998</v>
      </c>
      <c r="AL347" s="722">
        <v>0.55793996993533512</v>
      </c>
      <c r="AM347" s="722">
        <v>1.4149196762360297</v>
      </c>
      <c r="AN347" s="722">
        <v>2.514208359819861</v>
      </c>
      <c r="AO347" s="722">
        <v>3.6361536027238199</v>
      </c>
      <c r="AP347" s="722">
        <v>5.112851664375154</v>
      </c>
      <c r="AQ347" s="722">
        <v>6.3479402723084011</v>
      </c>
      <c r="AR347" s="722">
        <v>7.3807908376845832</v>
      </c>
      <c r="AS347" s="722">
        <v>8.7447238112453878</v>
      </c>
      <c r="AT347" s="722">
        <v>10.048222415196095</v>
      </c>
      <c r="AU347" s="722">
        <v>11.273750572934993</v>
      </c>
      <c r="AV347" s="722">
        <v>12.693781039792228</v>
      </c>
      <c r="AW347" s="722">
        <v>13.798580767783109</v>
      </c>
      <c r="AX347" s="722">
        <v>15.228432622704581</v>
      </c>
      <c r="AY347" s="722">
        <v>16.784041703561581</v>
      </c>
      <c r="AZ347" s="722">
        <v>18.016629163357781</v>
      </c>
      <c r="BA347" s="722">
        <v>18.964847052579888</v>
      </c>
      <c r="BB347" s="722">
        <v>19.709536469730079</v>
      </c>
      <c r="BC347" s="722">
        <v>20.418822749804239</v>
      </c>
      <c r="BD347" s="722">
        <v>20.509370447412774</v>
      </c>
      <c r="BE347" s="722">
        <v>21.210773046072738</v>
      </c>
      <c r="BF347" s="722">
        <v>22.137257169344601</v>
      </c>
      <c r="BG347" s="722">
        <v>23.03631658782469</v>
      </c>
      <c r="BH347" s="722">
        <v>24.277171901396532</v>
      </c>
      <c r="BI347" s="722">
        <v>25.533781432144522</v>
      </c>
      <c r="BJ347" s="722">
        <v>27.042217701470403</v>
      </c>
      <c r="BK347" s="722">
        <v>29.037890690745638</v>
      </c>
      <c r="BL347" s="722">
        <v>30.652584156571013</v>
      </c>
      <c r="BM347" s="722">
        <v>32.077462642553357</v>
      </c>
      <c r="BN347" s="722">
        <v>33.552792375920966</v>
      </c>
      <c r="BO347" s="722">
        <v>34.966556322781067</v>
      </c>
      <c r="BP347" s="722">
        <v>36.761093722328873</v>
      </c>
      <c r="BQ347" s="722">
        <v>38.29024576706329</v>
      </c>
      <c r="BR347" s="722">
        <v>39.809896344300135</v>
      </c>
      <c r="BS347" s="722">
        <v>41.333319728007943</v>
      </c>
      <c r="BT347" s="722">
        <v>42.861789236414381</v>
      </c>
      <c r="BU347" s="722">
        <v>44.397425870622179</v>
      </c>
      <c r="BV347" s="722">
        <v>45.385549881430023</v>
      </c>
      <c r="BW347" s="722">
        <v>46.494404298058868</v>
      </c>
      <c r="BX347" s="722">
        <v>47.650365744633518</v>
      </c>
      <c r="BY347" s="722">
        <v>48.837978134395264</v>
      </c>
      <c r="BZ347" s="722">
        <v>50.035205928988411</v>
      </c>
      <c r="CA347" s="722">
        <v>51.241620156269065</v>
      </c>
      <c r="CB347" s="722">
        <v>51.974264322639712</v>
      </c>
      <c r="CC347" s="722">
        <v>52.991325251579198</v>
      </c>
      <c r="CD347" s="722">
        <v>54.040427927067995</v>
      </c>
      <c r="CE347" s="722">
        <v>55.105136646539634</v>
      </c>
      <c r="CF347" s="722">
        <v>56.157602725008019</v>
      </c>
      <c r="CG347" s="722">
        <v>57.197408867977643</v>
      </c>
      <c r="CH347" s="722">
        <v>58.223896956535391</v>
      </c>
      <c r="CI347" s="722">
        <v>59.751688645274832</v>
      </c>
      <c r="CJ347" s="722">
        <v>61.25347672701831</v>
      </c>
      <c r="CK347" s="722">
        <v>62.743989032234602</v>
      </c>
      <c r="CL347" s="722">
        <v>64.224896720738698</v>
      </c>
      <c r="CM347" s="722">
        <v>65.697211036857311</v>
      </c>
      <c r="CN347" s="722">
        <v>67.38505722344091</v>
      </c>
      <c r="CO347" s="722">
        <v>68.837003398045837</v>
      </c>
      <c r="CP347" s="722">
        <v>70.280079416965378</v>
      </c>
      <c r="CQ347" s="722">
        <v>71.72499621857385</v>
      </c>
      <c r="CR347" s="722">
        <v>73.171076245848766</v>
      </c>
      <c r="CS347" s="722">
        <v>74.618032413925633</v>
      </c>
      <c r="CT347" s="722">
        <v>76.065636804167838</v>
      </c>
      <c r="CU347" s="722">
        <v>77.513698827990936</v>
      </c>
      <c r="CV347" s="722">
        <v>78.962029511197215</v>
      </c>
      <c r="CW347" s="722">
        <v>80.410441906765186</v>
      </c>
      <c r="CX347" s="722">
        <v>81.858749753522659</v>
      </c>
      <c r="CY347" s="722">
        <v>83.307026699324012</v>
      </c>
      <c r="CZ347" s="126"/>
      <c r="DA347" s="11"/>
      <c r="DB347" s="11"/>
      <c r="DC347" s="11"/>
      <c r="DD347" s="11"/>
      <c r="DE347" s="11"/>
      <c r="DF347" s="11"/>
      <c r="DG347" s="11"/>
    </row>
    <row r="348" spans="2:111">
      <c r="B348" s="126"/>
      <c r="C348" s="230" t="s">
        <v>811</v>
      </c>
      <c r="D348" s="229"/>
      <c r="E348" s="126"/>
      <c r="F348" s="609"/>
      <c r="G348" s="609" t="s">
        <v>812</v>
      </c>
      <c r="H348" s="609"/>
      <c r="I348" s="609"/>
      <c r="J348" s="609"/>
      <c r="K348" s="609"/>
      <c r="L348" s="126"/>
      <c r="M348" s="696"/>
      <c r="N348" s="696"/>
      <c r="O348" s="696"/>
      <c r="P348" s="696"/>
      <c r="Q348" s="696"/>
      <c r="R348" s="696"/>
      <c r="S348" s="696"/>
      <c r="T348" s="696"/>
      <c r="U348" s="696"/>
      <c r="V348" s="696"/>
      <c r="W348" s="696"/>
      <c r="X348" s="696"/>
      <c r="Y348" s="696"/>
      <c r="Z348" s="696"/>
      <c r="AA348" s="696"/>
      <c r="AB348" s="696"/>
      <c r="AC348" s="696"/>
      <c r="AD348" s="696"/>
      <c r="AE348" s="696"/>
      <c r="AF348" s="696"/>
      <c r="AG348" s="696"/>
      <c r="AH348" s="696"/>
      <c r="AI348" s="697">
        <v>0</v>
      </c>
      <c r="AJ348" s="697">
        <v>0</v>
      </c>
      <c r="AK348" s="697">
        <v>0</v>
      </c>
      <c r="AL348" s="697">
        <v>0</v>
      </c>
      <c r="AM348" s="697">
        <v>0</v>
      </c>
      <c r="AN348" s="697">
        <v>1.0237001442840107E-2</v>
      </c>
      <c r="AO348" s="697">
        <v>3.2453745187122796E-2</v>
      </c>
      <c r="AP348" s="697">
        <v>7.6778480427758686E-2</v>
      </c>
      <c r="AQ348" s="697">
        <v>0.10841126883145449</v>
      </c>
      <c r="AR348" s="697">
        <v>0.10895321924583663</v>
      </c>
      <c r="AS348" s="697">
        <v>0.11404350307100931</v>
      </c>
      <c r="AT348" s="697">
        <v>0.10645571139743791</v>
      </c>
      <c r="AU348" s="697">
        <v>9.3807197249240068E-2</v>
      </c>
      <c r="AV348" s="697">
        <v>9.1683900497710094E-2</v>
      </c>
      <c r="AW348" s="697">
        <v>9.004170656771926E-2</v>
      </c>
      <c r="AX348" s="697">
        <v>9.3464712737941061E-2</v>
      </c>
      <c r="AY348" s="697">
        <v>9.7787937227864136E-2</v>
      </c>
      <c r="AZ348" s="697">
        <v>9.8268160926554812E-2</v>
      </c>
      <c r="BA348" s="697">
        <v>9.5882017639601774E-2</v>
      </c>
      <c r="BB348" s="697">
        <v>9.307314349795269E-2</v>
      </c>
      <c r="BC348" s="697">
        <v>9.0595633637654951E-2</v>
      </c>
      <c r="BD348" s="697">
        <v>7.5955568453551725E-2</v>
      </c>
      <c r="BE348" s="697">
        <v>6.821091960434808E-2</v>
      </c>
      <c r="BF348" s="697">
        <v>6.2381110238518972E-2</v>
      </c>
      <c r="BG348" s="697">
        <v>5.6042841730270916E-2</v>
      </c>
      <c r="BH348" s="697">
        <v>5.3893505174673784E-2</v>
      </c>
      <c r="BI348" s="697">
        <v>5.3994402604370807E-2</v>
      </c>
      <c r="BJ348" s="697">
        <v>5.4701080538637079E-2</v>
      </c>
      <c r="BK348" s="697">
        <v>5.7543186067439696E-2</v>
      </c>
      <c r="BL348" s="697">
        <v>5.8160360200195049E-2</v>
      </c>
      <c r="BM348" s="697">
        <v>5.8086347329523391E-2</v>
      </c>
      <c r="BN348" s="697">
        <v>5.8236793090086829E-2</v>
      </c>
      <c r="BO348" s="697">
        <v>5.8132417706164001E-2</v>
      </c>
      <c r="BP348" s="697">
        <v>5.8508397694656274E-2</v>
      </c>
      <c r="BQ348" s="697">
        <v>5.8787633015875938E-2</v>
      </c>
      <c r="BR348" s="697">
        <v>5.8998473365436351E-2</v>
      </c>
      <c r="BS348" s="697">
        <v>5.9178397983925685E-2</v>
      </c>
      <c r="BT348" s="697">
        <v>5.9316769769944051E-2</v>
      </c>
      <c r="BU348" s="697">
        <v>5.9421101778352685E-2</v>
      </c>
      <c r="BV348" s="697">
        <v>5.9501671332987463E-2</v>
      </c>
      <c r="BW348" s="697">
        <v>5.9576972245790734E-2</v>
      </c>
      <c r="BX348" s="697">
        <v>5.9661247536141417E-2</v>
      </c>
      <c r="BY348" s="697">
        <v>5.8830203058871509E-2</v>
      </c>
      <c r="BZ348" s="697">
        <v>5.805265555114407E-2</v>
      </c>
      <c r="CA348" s="697">
        <v>5.7317469199966296E-2</v>
      </c>
      <c r="CB348" s="697">
        <v>5.6572820160138385E-2</v>
      </c>
      <c r="CC348" s="697">
        <v>5.6714555674208571E-2</v>
      </c>
      <c r="CD348" s="697">
        <v>5.6866609540749555E-2</v>
      </c>
      <c r="CE348" s="697">
        <v>5.6010600295723204E-2</v>
      </c>
      <c r="CF348" s="697">
        <v>5.5202793062781211E-2</v>
      </c>
      <c r="CG348" s="697">
        <v>5.4414989358643903E-2</v>
      </c>
      <c r="CH348" s="697">
        <v>5.3598530873920837E-2</v>
      </c>
      <c r="CI348" s="697">
        <v>5.3735001986204033E-2</v>
      </c>
      <c r="CJ348" s="697">
        <v>5.3853891848765441E-2</v>
      </c>
      <c r="CK348" s="697">
        <v>5.3971404754445396E-2</v>
      </c>
      <c r="CL348" s="697">
        <v>5.4086896078342883E-2</v>
      </c>
      <c r="CM348" s="697">
        <v>5.4182853881738095E-2</v>
      </c>
      <c r="CN348" s="697">
        <v>5.4260416667145046E-2</v>
      </c>
      <c r="CO348" s="697">
        <v>5.432116303981583E-2</v>
      </c>
      <c r="CP348" s="697">
        <v>5.4364323204643752E-2</v>
      </c>
      <c r="CQ348" s="697">
        <v>5.4407064090284257E-2</v>
      </c>
      <c r="CR348" s="697">
        <v>5.44489902700344E-2</v>
      </c>
      <c r="CS348" s="697">
        <v>5.4490167396794707E-2</v>
      </c>
      <c r="CT348" s="697">
        <v>5.4530683512289561E-2</v>
      </c>
      <c r="CU348" s="697">
        <v>5.4570320579330568E-2</v>
      </c>
      <c r="CV348" s="697">
        <v>5.4608864068239456E-2</v>
      </c>
      <c r="CW348" s="697">
        <v>5.4646158352590915E-2</v>
      </c>
      <c r="CX348" s="697">
        <v>5.4682013642611438E-2</v>
      </c>
      <c r="CY348" s="697">
        <v>5.4439759844383824E-2</v>
      </c>
      <c r="CZ348" s="126"/>
      <c r="DA348" s="729"/>
      <c r="DB348" s="729"/>
      <c r="DC348" s="729"/>
      <c r="DD348" s="729"/>
      <c r="DE348" s="729"/>
      <c r="DF348" s="729"/>
      <c r="DG348" s="729"/>
    </row>
    <row r="349" spans="2:111">
      <c r="B349" s="126"/>
      <c r="C349" s="230" t="s">
        <v>813</v>
      </c>
      <c r="D349" s="229"/>
      <c r="E349" s="126"/>
      <c r="F349" s="609"/>
      <c r="G349" s="609" t="s">
        <v>812</v>
      </c>
      <c r="H349" s="609"/>
      <c r="I349" s="609"/>
      <c r="J349" s="609"/>
      <c r="K349" s="609"/>
      <c r="L349" s="126"/>
      <c r="M349" s="696"/>
      <c r="N349" s="696"/>
      <c r="O349" s="696"/>
      <c r="P349" s="696"/>
      <c r="Q349" s="696"/>
      <c r="R349" s="696"/>
      <c r="S349" s="696"/>
      <c r="T349" s="696"/>
      <c r="U349" s="696"/>
      <c r="V349" s="696"/>
      <c r="W349" s="696"/>
      <c r="X349" s="697"/>
      <c r="Y349" s="697"/>
      <c r="Z349" s="697"/>
      <c r="AA349" s="697"/>
      <c r="AB349" s="697"/>
      <c r="AC349" s="697"/>
      <c r="AD349" s="697"/>
      <c r="AE349" s="697"/>
      <c r="AF349" s="697"/>
      <c r="AG349" s="697"/>
      <c r="AH349" s="697"/>
      <c r="AI349" s="697">
        <v>0</v>
      </c>
      <c r="AJ349" s="697">
        <v>0</v>
      </c>
      <c r="AK349" s="697">
        <v>4.8606066779549081E-2</v>
      </c>
      <c r="AL349" s="697">
        <v>9.9372346588260815E-2</v>
      </c>
      <c r="AM349" s="697">
        <v>0.16352220382983226</v>
      </c>
      <c r="AN349" s="697">
        <v>0.22413980677258399</v>
      </c>
      <c r="AO349" s="697">
        <v>0.24637174998329592</v>
      </c>
      <c r="AP349" s="697">
        <v>0.31554145172108755</v>
      </c>
      <c r="AQ349" s="697">
        <v>0.29118907785779458</v>
      </c>
      <c r="AR349" s="697">
        <v>0.23944376796693292</v>
      </c>
      <c r="AS349" s="697">
        <v>0.22423123474499718</v>
      </c>
      <c r="AT349" s="697">
        <v>0.21552696274794172</v>
      </c>
      <c r="AU349" s="697">
        <v>0.20835245695234988</v>
      </c>
      <c r="AV349" s="697">
        <v>0.20504923074663009</v>
      </c>
      <c r="AW349" s="697">
        <v>0.19841999348996714</v>
      </c>
      <c r="AX349" s="697">
        <v>0.19585285443710873</v>
      </c>
      <c r="AY349" s="697">
        <v>0.19455221096067515</v>
      </c>
      <c r="AZ349" s="697">
        <v>0.19075069607715303</v>
      </c>
      <c r="BA349" s="697">
        <v>0.18466013353354027</v>
      </c>
      <c r="BB349" s="697">
        <v>0.17725464947653077</v>
      </c>
      <c r="BC349" s="697">
        <v>0.17011298372421899</v>
      </c>
      <c r="BD349" s="697">
        <v>0.14034586409858282</v>
      </c>
      <c r="BE349" s="697">
        <v>0.12844420211722815</v>
      </c>
      <c r="BF349" s="697">
        <v>0.12257198597243561</v>
      </c>
      <c r="BG349" s="697">
        <v>0.1184320025315066</v>
      </c>
      <c r="BH349" s="697">
        <v>0.11682854436339878</v>
      </c>
      <c r="BI349" s="697">
        <v>0.11563386107068943</v>
      </c>
      <c r="BJ349" s="697">
        <v>0.11571784876662375</v>
      </c>
      <c r="BK349" s="697">
        <v>0.11786404364756529</v>
      </c>
      <c r="BL349" s="697">
        <v>0.11848621059890253</v>
      </c>
      <c r="BM349" s="697">
        <v>0.11833040399300299</v>
      </c>
      <c r="BN349" s="697">
        <v>0.1183908380500977</v>
      </c>
      <c r="BO349" s="697">
        <v>0.11816105564628555</v>
      </c>
      <c r="BP349" s="697">
        <v>0.11919228438328854</v>
      </c>
      <c r="BQ349" s="697">
        <v>0.11930110976841797</v>
      </c>
      <c r="BR349" s="697">
        <v>0.11934203206305002</v>
      </c>
      <c r="BS349" s="697">
        <v>0.11935894626490236</v>
      </c>
      <c r="BT349" s="697">
        <v>0.11935731326964398</v>
      </c>
      <c r="BU349" s="697">
        <v>0.11934221852100051</v>
      </c>
      <c r="BV349" s="697">
        <v>0.11787663043008026</v>
      </c>
      <c r="BW349" s="697">
        <v>0.11677991968000757</v>
      </c>
      <c r="BX349" s="697">
        <v>0.11583982145888229</v>
      </c>
      <c r="BY349" s="697">
        <v>0.11500710855876088</v>
      </c>
      <c r="BZ349" s="697">
        <v>0.11422281454075801</v>
      </c>
      <c r="CA349" s="697">
        <v>0.11348248071605908</v>
      </c>
      <c r="CB349" s="697">
        <v>0.11167471515594009</v>
      </c>
      <c r="CC349" s="697">
        <v>0.11059633960023814</v>
      </c>
      <c r="CD349" s="697">
        <v>0.10965971459064694</v>
      </c>
      <c r="CE349" s="697">
        <v>0.10881335953070734</v>
      </c>
      <c r="CF349" s="697">
        <v>0.10799256295726284</v>
      </c>
      <c r="CG349" s="697">
        <v>0.1071924577488836</v>
      </c>
      <c r="CH349" s="697">
        <v>0.10632708950488644</v>
      </c>
      <c r="CI349" s="697">
        <v>0.10643548495805044</v>
      </c>
      <c r="CJ349" s="697">
        <v>0.10651145526996299</v>
      </c>
      <c r="CK349" s="697">
        <v>0.10657399393742376</v>
      </c>
      <c r="CL349" s="697">
        <v>0.10662252260753553</v>
      </c>
      <c r="CM349" s="697">
        <v>0.10665747097940695</v>
      </c>
      <c r="CN349" s="697">
        <v>0.10703460332863667</v>
      </c>
      <c r="CO349" s="697">
        <v>0.10703121587682415</v>
      </c>
      <c r="CP349" s="697">
        <v>0.10701351629398961</v>
      </c>
      <c r="CQ349" s="697">
        <v>0.10699853120590908</v>
      </c>
      <c r="CR349" s="697">
        <v>0.10698530938595471</v>
      </c>
      <c r="CS349" s="697">
        <v>0.10697351524966858</v>
      </c>
      <c r="CT349" s="697">
        <v>0.10696287664444014</v>
      </c>
      <c r="CU349" s="697">
        <v>0.10695315515293578</v>
      </c>
      <c r="CV349" s="697">
        <v>0.1069440756663977</v>
      </c>
      <c r="CW349" s="697">
        <v>0.10693545566429169</v>
      </c>
      <c r="CX349" s="697">
        <v>0.10692703810280151</v>
      </c>
      <c r="CY349" s="697">
        <v>0.1063831817245004</v>
      </c>
      <c r="CZ349" s="126"/>
      <c r="DA349" s="729"/>
      <c r="DB349" s="729"/>
      <c r="DC349" s="729"/>
      <c r="DD349" s="729"/>
      <c r="DE349" s="729"/>
      <c r="DF349" s="729"/>
      <c r="DG349" s="729"/>
    </row>
    <row r="350" spans="2:111">
      <c r="B350" s="126"/>
      <c r="C350" s="230" t="s">
        <v>814</v>
      </c>
      <c r="D350" s="229"/>
      <c r="E350" s="126"/>
      <c r="F350" s="609"/>
      <c r="G350" s="609" t="s">
        <v>812</v>
      </c>
      <c r="H350" s="609"/>
      <c r="I350" s="609"/>
      <c r="J350" s="609"/>
      <c r="K350" s="609"/>
      <c r="L350" s="126"/>
      <c r="M350" s="696"/>
      <c r="N350" s="696"/>
      <c r="O350" s="696"/>
      <c r="P350" s="696"/>
      <c r="Q350" s="696"/>
      <c r="R350" s="696"/>
      <c r="S350" s="696"/>
      <c r="T350" s="696"/>
      <c r="U350" s="696"/>
      <c r="V350" s="696"/>
      <c r="W350" s="696"/>
      <c r="X350" s="697"/>
      <c r="Y350" s="697"/>
      <c r="Z350" s="697"/>
      <c r="AA350" s="697"/>
      <c r="AB350" s="697"/>
      <c r="AC350" s="697"/>
      <c r="AD350" s="697"/>
      <c r="AE350" s="697"/>
      <c r="AF350" s="697"/>
      <c r="AG350" s="697"/>
      <c r="AH350" s="697"/>
      <c r="AI350" s="730">
        <v>0</v>
      </c>
      <c r="AJ350" s="730">
        <v>-1.4276600000000001E-4</v>
      </c>
      <c r="AK350" s="730">
        <v>-1.3166763000000001E-2</v>
      </c>
      <c r="AL350" s="730">
        <v>-0.1003201</v>
      </c>
      <c r="AM350" s="730">
        <v>-0.20886843999999999</v>
      </c>
      <c r="AN350" s="730">
        <v>-0.33817909899999998</v>
      </c>
      <c r="AO350" s="730">
        <v>-0.50291757221565547</v>
      </c>
      <c r="AP350" s="730">
        <v>-0.74277818773079252</v>
      </c>
      <c r="AQ350" s="730">
        <v>-1.1070385804247138</v>
      </c>
      <c r="AR350" s="730">
        <v>-0.53040411561457901</v>
      </c>
      <c r="AS350" s="730">
        <v>-1.4365300822204503</v>
      </c>
      <c r="AT350" s="730">
        <v>-2.6830342563098153</v>
      </c>
      <c r="AU350" s="730">
        <v>-4.1245353833959726</v>
      </c>
      <c r="AV350" s="730">
        <v>-5.8118549983688794</v>
      </c>
      <c r="AW350" s="730">
        <v>-7.7451537965980606</v>
      </c>
      <c r="AX350" s="730">
        <v>-9.6963431136630422</v>
      </c>
      <c r="AY350" s="730">
        <v>-11.87875442620707</v>
      </c>
      <c r="AZ350" s="730">
        <v>-14.614055906693139</v>
      </c>
      <c r="BA350" s="730">
        <v>-17.759452234983222</v>
      </c>
      <c r="BB350" s="730">
        <v>-21.212972078325009</v>
      </c>
      <c r="BC350" s="730">
        <v>-24.873425187372831</v>
      </c>
      <c r="BD350" s="730">
        <v>-3.9404580160985763</v>
      </c>
      <c r="BE350" s="730">
        <v>-8.0641627840406187</v>
      </c>
      <c r="BF350" s="730">
        <v>-12.401279218537933</v>
      </c>
      <c r="BG350" s="730">
        <v>-16.736811423997437</v>
      </c>
      <c r="BH350" s="730">
        <v>-21.204756642353068</v>
      </c>
      <c r="BI350" s="730">
        <v>-25.762967802631355</v>
      </c>
      <c r="BJ350" s="730">
        <v>-30.267467442725973</v>
      </c>
      <c r="BK350" s="730">
        <v>-34.98230525101922</v>
      </c>
      <c r="BL350" s="730">
        <v>-40.450344540889041</v>
      </c>
      <c r="BM350" s="730">
        <v>-46.411359816369767</v>
      </c>
      <c r="BN350" s="730">
        <v>-52.685733275027715</v>
      </c>
      <c r="BO350" s="730">
        <v>-59.261814054048308</v>
      </c>
      <c r="BP350" s="730">
        <v>-6.7626092759220144</v>
      </c>
      <c r="BQ350" s="730">
        <v>-13.896116936617641</v>
      </c>
      <c r="BR350" s="730">
        <v>-21.381249971752684</v>
      </c>
      <c r="BS350" s="730">
        <v>-29.206635672684683</v>
      </c>
      <c r="BT350" s="730">
        <v>-37.377143710397682</v>
      </c>
      <c r="BU350" s="730">
        <v>-45.89647361652041</v>
      </c>
      <c r="BV350" s="730">
        <v>-54.703985524849756</v>
      </c>
      <c r="BW350" s="730">
        <v>-63.873453361825128</v>
      </c>
      <c r="BX350" s="730">
        <v>-73.392338399355737</v>
      </c>
      <c r="BY350" s="730">
        <v>-83.135407498346041</v>
      </c>
      <c r="BZ350" s="730">
        <v>-93.22926946658545</v>
      </c>
      <c r="CA350" s="730">
        <v>-103.6758869489838</v>
      </c>
      <c r="CB350" s="730">
        <v>-10.474343285869988</v>
      </c>
      <c r="CC350" s="730">
        <v>-20.89690215317021</v>
      </c>
      <c r="CD350" s="730">
        <v>-31.675632440452063</v>
      </c>
      <c r="CE350" s="730">
        <v>-42.64618855562609</v>
      </c>
      <c r="CF350" s="730">
        <v>-53.968751913451015</v>
      </c>
      <c r="CG350" s="730">
        <v>-65.640811558890178</v>
      </c>
      <c r="CH350" s="730">
        <v>-77.343975600891326</v>
      </c>
      <c r="CI350" s="730">
        <v>-88.859424660678727</v>
      </c>
      <c r="CJ350" s="730">
        <v>-100.71779133818831</v>
      </c>
      <c r="CK350" s="730">
        <v>-112.90503327497265</v>
      </c>
      <c r="CL350" s="730">
        <v>-125.42092899892138</v>
      </c>
      <c r="CM350" s="730">
        <v>-138.26077804947721</v>
      </c>
      <c r="CN350" s="730">
        <v>-13.163783754025834</v>
      </c>
      <c r="CO350" s="730">
        <v>-26.654671176056315</v>
      </c>
      <c r="CP350" s="730">
        <v>-40.46996119372394</v>
      </c>
      <c r="CQ350" s="730">
        <v>-54.595802824602131</v>
      </c>
      <c r="CR350" s="730">
        <v>-69.031452743976544</v>
      </c>
      <c r="CS350" s="730">
        <v>-83.776508738331472</v>
      </c>
      <c r="CT350" s="730">
        <v>-98.830986988919804</v>
      </c>
      <c r="CU350" s="730">
        <v>-114.19497730051246</v>
      </c>
      <c r="CV350" s="730">
        <v>-129.86860240320073</v>
      </c>
      <c r="CW350" s="730">
        <v>-145.852113800967</v>
      </c>
      <c r="CX350" s="730">
        <v>-162.14591948042204</v>
      </c>
      <c r="CY350" s="730">
        <v>-178.78394463926136</v>
      </c>
      <c r="CZ350" s="126"/>
      <c r="DA350" s="12"/>
      <c r="DB350" s="12"/>
      <c r="DC350" s="12"/>
      <c r="DD350" s="12"/>
      <c r="DE350" s="12"/>
      <c r="DF350" s="12"/>
      <c r="DG350" s="12"/>
    </row>
    <row r="351" spans="2:111">
      <c r="B351" s="126"/>
      <c r="C351" s="230" t="s">
        <v>815</v>
      </c>
      <c r="D351" s="229"/>
      <c r="E351" s="126"/>
      <c r="F351" s="609"/>
      <c r="G351" s="609" t="s">
        <v>812</v>
      </c>
      <c r="H351" s="609"/>
      <c r="I351" s="609"/>
      <c r="J351" s="609"/>
      <c r="K351" s="609"/>
      <c r="L351" s="126"/>
      <c r="M351" s="696"/>
      <c r="N351" s="696"/>
      <c r="O351" s="696"/>
      <c r="P351" s="696"/>
      <c r="Q351" s="696"/>
      <c r="R351" s="696"/>
      <c r="S351" s="696"/>
      <c r="T351" s="696"/>
      <c r="U351" s="696"/>
      <c r="V351" s="696"/>
      <c r="W351" s="696"/>
      <c r="X351" s="697"/>
      <c r="Y351" s="697"/>
      <c r="Z351" s="697"/>
      <c r="AA351" s="697"/>
      <c r="AB351" s="697"/>
      <c r="AC351" s="697"/>
      <c r="AD351" s="697"/>
      <c r="AE351" s="697"/>
      <c r="AF351" s="697"/>
      <c r="AG351" s="697"/>
      <c r="AH351" s="697"/>
      <c r="AI351" s="697">
        <v>0</v>
      </c>
      <c r="AJ351" s="697">
        <v>-3.0012280479188482E-4</v>
      </c>
      <c r="AK351" s="697">
        <v>-1.0582131773500088E-2</v>
      </c>
      <c r="AL351" s="697">
        <v>-4.292974349684308E-2</v>
      </c>
      <c r="AM351" s="697">
        <v>-5.8018551343100987E-2</v>
      </c>
      <c r="AN351" s="697">
        <v>-6.9447743689008246E-2</v>
      </c>
      <c r="AO351" s="697">
        <v>-8.0053106117442027E-2</v>
      </c>
      <c r="AP351" s="697">
        <v>-9.8741659572365359E-2</v>
      </c>
      <c r="AQ351" s="697">
        <v>-0.12153449752153492</v>
      </c>
      <c r="AR351" s="697">
        <v>-2.0157953235888062E-2</v>
      </c>
      <c r="AS351" s="697">
        <v>-4.7035868573501359E-2</v>
      </c>
      <c r="AT351" s="697">
        <v>-7.7631209379391691E-2</v>
      </c>
      <c r="AU351" s="697">
        <v>-0.10721200800861158</v>
      </c>
      <c r="AV351" s="697">
        <v>-0.13714742506079727</v>
      </c>
      <c r="AW351" s="697">
        <v>-0.16743564467947869</v>
      </c>
      <c r="AX351" s="697">
        <v>-0.19317495967870477</v>
      </c>
      <c r="AY351" s="697">
        <v>-0.21915305747702121</v>
      </c>
      <c r="AZ351" s="697">
        <v>-0.25098063105964452</v>
      </c>
      <c r="BA351" s="697">
        <v>-0.28519677882332001</v>
      </c>
      <c r="BB351" s="697">
        <v>-0.31972408658879337</v>
      </c>
      <c r="BC351" s="697">
        <v>-0.35292857054443999</v>
      </c>
      <c r="BD351" s="697">
        <v>-2.960908921036038E-2</v>
      </c>
      <c r="BE351" s="697">
        <v>-5.6091822580010942E-2</v>
      </c>
      <c r="BF351" s="697">
        <v>-8.1066339760724887E-2</v>
      </c>
      <c r="BG351" s="697">
        <v>-0.10377247857962332</v>
      </c>
      <c r="BH351" s="697">
        <v>-0.12544467674014417</v>
      </c>
      <c r="BI351" s="697">
        <v>-0.14602065052591168</v>
      </c>
      <c r="BJ351" s="697">
        <v>-0.1648636718618201</v>
      </c>
      <c r="BK351" s="697">
        <v>-0.18357046786970072</v>
      </c>
      <c r="BL351" s="697">
        <v>-0.20493675707201883</v>
      </c>
      <c r="BM351" s="697">
        <v>-0.22741745015639978</v>
      </c>
      <c r="BN351" s="697">
        <v>-0.25006208524679774</v>
      </c>
      <c r="BO351" s="697">
        <v>-0.27278549981342753</v>
      </c>
      <c r="BP351" s="697">
        <v>-2.2380101542136301E-2</v>
      </c>
      <c r="BQ351" s="697">
        <v>-4.505407497200218E-2</v>
      </c>
      <c r="BR351" s="697">
        <v>-6.7937693026681997E-2</v>
      </c>
      <c r="BS351" s="697">
        <v>-9.0976861813368018E-2</v>
      </c>
      <c r="BT351" s="697">
        <v>-0.11417091271907036</v>
      </c>
      <c r="BU351" s="697">
        <v>-0.13751511338824088</v>
      </c>
      <c r="BV351" s="697">
        <v>-0.16081622089513734</v>
      </c>
      <c r="BW351" s="697">
        <v>-0.18428260860497503</v>
      </c>
      <c r="BX351" s="697">
        <v>-0.20786315189612101</v>
      </c>
      <c r="BY351" s="697">
        <v>-0.23119717738824352</v>
      </c>
      <c r="BZ351" s="697">
        <v>-0.25463771100163085</v>
      </c>
      <c r="CA351" s="697">
        <v>-0.27817864738652676</v>
      </c>
      <c r="CB351" s="697">
        <v>-2.2846167113707332E-2</v>
      </c>
      <c r="CC351" s="697">
        <v>-4.4904580868884776E-2</v>
      </c>
      <c r="CD351" s="697">
        <v>-6.7077834054831059E-2</v>
      </c>
      <c r="CE351" s="697">
        <v>-8.902029569284553E-2</v>
      </c>
      <c r="CF351" s="697">
        <v>-0.11107269075794274</v>
      </c>
      <c r="CG351" s="697">
        <v>-0.1332261102386702</v>
      </c>
      <c r="CH351" s="697">
        <v>-0.15482309447914014</v>
      </c>
      <c r="CI351" s="697">
        <v>-0.17546135412100816</v>
      </c>
      <c r="CJ351" s="697">
        <v>-0.19621678901881015</v>
      </c>
      <c r="CK351" s="697">
        <v>-0.21705972613024854</v>
      </c>
      <c r="CL351" s="697">
        <v>-0.23798738625228102</v>
      </c>
      <c r="CM351" s="697">
        <v>-0.25898829014243768</v>
      </c>
      <c r="CN351" s="697">
        <v>-2.4346437906894128E-2</v>
      </c>
      <c r="CO351" s="697">
        <v>-4.8682812864085295E-2</v>
      </c>
      <c r="CP351" s="697">
        <v>-7.3005203148601622E-2</v>
      </c>
      <c r="CQ351" s="697">
        <v>-9.7289825731130541E-2</v>
      </c>
      <c r="CR351" s="697">
        <v>-0.12153700206786686</v>
      </c>
      <c r="CS351" s="697">
        <v>-0.14574756012488907</v>
      </c>
      <c r="CT351" s="697">
        <v>-0.1699229631200159</v>
      </c>
      <c r="CU351" s="697">
        <v>-0.19406470196396813</v>
      </c>
      <c r="CV351" s="697">
        <v>-0.21817423112668963</v>
      </c>
      <c r="CW351" s="697">
        <v>-0.24225314549230542</v>
      </c>
      <c r="CX351" s="697">
        <v>-0.26630321392950868</v>
      </c>
      <c r="CY351" s="697">
        <v>-0.29030655210722367</v>
      </c>
      <c r="CZ351" s="126"/>
      <c r="DA351" s="729"/>
      <c r="DB351" s="729"/>
      <c r="DC351" s="729"/>
      <c r="DD351" s="729"/>
      <c r="DE351" s="729"/>
      <c r="DF351" s="729"/>
      <c r="DG351" s="729"/>
    </row>
    <row r="352" spans="2:111">
      <c r="B352" s="698"/>
      <c r="C352" s="126"/>
      <c r="D352" s="126"/>
      <c r="E352" s="126"/>
      <c r="F352" s="609"/>
      <c r="G352" s="609"/>
      <c r="H352" s="609"/>
      <c r="I352" s="609"/>
      <c r="J352" s="609"/>
      <c r="K352" s="609"/>
      <c r="L352" s="126"/>
      <c r="M352" s="706"/>
      <c r="N352" s="706"/>
      <c r="O352" s="706"/>
      <c r="P352" s="706"/>
      <c r="Q352" s="706"/>
      <c r="R352" s="706"/>
      <c r="S352" s="706"/>
      <c r="T352" s="706"/>
      <c r="U352" s="706"/>
      <c r="V352" s="706"/>
      <c r="W352" s="706"/>
      <c r="X352" s="731"/>
      <c r="Y352" s="731"/>
      <c r="Z352" s="731"/>
      <c r="AA352" s="731"/>
      <c r="AB352" s="731"/>
      <c r="AC352" s="731"/>
      <c r="AD352" s="731"/>
      <c r="AE352" s="731"/>
      <c r="AF352" s="731"/>
      <c r="AG352" s="731"/>
      <c r="AH352" s="731"/>
      <c r="AI352" s="731"/>
      <c r="AJ352" s="731"/>
      <c r="AK352" s="732"/>
      <c r="AL352" s="731"/>
      <c r="AM352" s="731"/>
      <c r="AN352" s="731"/>
      <c r="AO352" s="733"/>
      <c r="AP352" s="733"/>
      <c r="AQ352" s="733"/>
      <c r="AR352" s="733"/>
      <c r="AS352" s="733"/>
      <c r="AT352" s="733"/>
      <c r="AU352" s="733"/>
      <c r="AV352" s="733"/>
      <c r="AW352" s="733"/>
      <c r="AX352" s="733"/>
      <c r="AY352" s="733"/>
      <c r="AZ352" s="733"/>
      <c r="BA352" s="733"/>
      <c r="BB352" s="733"/>
      <c r="BC352" s="733"/>
      <c r="BD352" s="733"/>
      <c r="BE352" s="733"/>
      <c r="BF352" s="733"/>
      <c r="BG352" s="733"/>
      <c r="BH352" s="733"/>
      <c r="BI352" s="733"/>
      <c r="BJ352" s="733"/>
      <c r="BK352" s="733"/>
      <c r="BL352" s="733"/>
      <c r="BM352" s="733"/>
      <c r="BN352" s="733"/>
      <c r="BO352" s="733"/>
      <c r="BP352" s="733"/>
      <c r="BQ352" s="733"/>
      <c r="BR352" s="733"/>
      <c r="BS352" s="733"/>
      <c r="BT352" s="733"/>
      <c r="BU352" s="733"/>
      <c r="BV352" s="733"/>
      <c r="BW352" s="733"/>
      <c r="BX352" s="733"/>
      <c r="BY352" s="733"/>
      <c r="BZ352" s="733"/>
      <c r="CA352" s="733"/>
      <c r="CB352" s="733"/>
      <c r="CC352" s="733"/>
      <c r="CD352" s="733"/>
      <c r="CE352" s="733"/>
      <c r="CF352" s="733"/>
      <c r="CG352" s="733"/>
      <c r="CH352" s="733"/>
      <c r="CI352" s="733"/>
      <c r="CJ352" s="733"/>
      <c r="CK352" s="733"/>
      <c r="CL352" s="733"/>
      <c r="CM352" s="733"/>
      <c r="CN352" s="733"/>
      <c r="CO352" s="733"/>
      <c r="CP352" s="733"/>
      <c r="CQ352" s="733"/>
      <c r="CR352" s="733"/>
      <c r="CS352" s="733"/>
      <c r="CT352" s="733"/>
      <c r="CU352" s="733"/>
      <c r="CV352" s="733"/>
      <c r="CW352" s="733"/>
      <c r="CX352" s="733"/>
      <c r="CY352" s="733"/>
      <c r="CZ352" s="126"/>
      <c r="DA352" s="126"/>
      <c r="DB352" s="126"/>
      <c r="DC352" s="126"/>
      <c r="DD352" s="126"/>
      <c r="DE352" s="126"/>
      <c r="DF352" s="126"/>
      <c r="DG352" s="729"/>
    </row>
    <row r="353" spans="2:111">
      <c r="B353" s="734"/>
      <c r="C353" s="735" t="s">
        <v>844</v>
      </c>
      <c r="D353" s="734"/>
      <c r="E353" s="734"/>
      <c r="F353" s="736"/>
      <c r="G353" s="736"/>
      <c r="H353" s="609"/>
      <c r="I353" s="609"/>
      <c r="J353" s="609"/>
      <c r="K353" s="609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737"/>
      <c r="AP353" s="737"/>
      <c r="AQ353" s="737"/>
      <c r="AR353" s="737"/>
      <c r="AS353" s="737"/>
      <c r="AT353" s="737"/>
      <c r="AU353" s="737"/>
      <c r="AV353" s="737"/>
      <c r="AW353" s="737"/>
      <c r="AX353" s="737"/>
      <c r="AY353" s="737"/>
      <c r="AZ353" s="737"/>
      <c r="BA353" s="737"/>
      <c r="BB353" s="737"/>
      <c r="BC353" s="737"/>
      <c r="BD353" s="737"/>
      <c r="BE353" s="737"/>
      <c r="BF353" s="737"/>
      <c r="BG353" s="737"/>
      <c r="BH353" s="737"/>
      <c r="BI353" s="737"/>
      <c r="BJ353" s="737"/>
      <c r="BK353" s="737"/>
      <c r="BL353" s="737"/>
      <c r="BM353" s="737"/>
      <c r="BN353" s="737"/>
      <c r="BO353" s="737"/>
      <c r="BP353" s="737"/>
      <c r="BQ353" s="737"/>
      <c r="BR353" s="737"/>
      <c r="BS353" s="737"/>
      <c r="BT353" s="737"/>
      <c r="BU353" s="737"/>
      <c r="BV353" s="737"/>
      <c r="BW353" s="737"/>
      <c r="BX353" s="737"/>
      <c r="BY353" s="737"/>
      <c r="BZ353" s="737"/>
      <c r="CA353" s="737"/>
      <c r="CB353" s="737"/>
      <c r="CC353" s="737"/>
      <c r="CD353" s="737"/>
      <c r="CE353" s="737"/>
      <c r="CF353" s="737"/>
      <c r="CG353" s="737"/>
      <c r="CH353" s="737"/>
      <c r="CI353" s="737"/>
      <c r="CJ353" s="737"/>
      <c r="CK353" s="737"/>
      <c r="CL353" s="737"/>
      <c r="CM353" s="737"/>
      <c r="CN353" s="737"/>
      <c r="CO353" s="737"/>
      <c r="CP353" s="737"/>
      <c r="CQ353" s="737"/>
      <c r="CR353" s="737"/>
      <c r="CS353" s="737"/>
      <c r="CT353" s="737"/>
      <c r="CU353" s="737"/>
      <c r="CV353" s="737"/>
      <c r="CW353" s="737"/>
      <c r="CX353" s="737"/>
      <c r="CY353" s="737"/>
      <c r="CZ353" s="126"/>
      <c r="DA353" s="126"/>
      <c r="DB353" s="126"/>
      <c r="DC353" s="126"/>
      <c r="DD353" s="126"/>
      <c r="DE353" s="126"/>
      <c r="DF353" s="126"/>
      <c r="DG353" s="12"/>
    </row>
    <row r="354" spans="2:111">
      <c r="B354" s="126"/>
      <c r="C354" s="698"/>
      <c r="D354" s="126" t="s">
        <v>845</v>
      </c>
      <c r="E354" s="126"/>
      <c r="F354" s="609"/>
      <c r="G354" s="699" t="s">
        <v>743</v>
      </c>
      <c r="H354" s="609"/>
      <c r="I354" s="609"/>
      <c r="J354" s="609"/>
      <c r="K354" s="609"/>
      <c r="L354" s="126"/>
      <c r="M354" s="126"/>
      <c r="N354" s="126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698"/>
      <c r="AG354" s="126"/>
      <c r="AH354" s="126"/>
      <c r="AI354" s="721">
        <v>0.34699999999999998</v>
      </c>
      <c r="AJ354" s="721">
        <v>5.5110000000000001</v>
      </c>
      <c r="AK354" s="721">
        <v>6.1260000000000003</v>
      </c>
      <c r="AL354" s="721">
        <v>8.577</v>
      </c>
      <c r="AM354" s="721">
        <v>8.1079999999999988</v>
      </c>
      <c r="AN354" s="721">
        <v>5.6420000000000003</v>
      </c>
      <c r="AO354" s="721">
        <v>5.7130000000000001</v>
      </c>
      <c r="AP354" s="738">
        <v>7</v>
      </c>
      <c r="AQ354" s="738">
        <v>7</v>
      </c>
      <c r="AR354" s="739">
        <v>7.083333333333333</v>
      </c>
      <c r="AS354" s="739">
        <v>7.1666666666666661</v>
      </c>
      <c r="AT354" s="739">
        <v>7.2499999999999991</v>
      </c>
      <c r="AU354" s="739">
        <v>7.3333333333333321</v>
      </c>
      <c r="AV354" s="739">
        <v>7.4166666666666652</v>
      </c>
      <c r="AW354" s="739">
        <v>7.4999999999999982</v>
      </c>
      <c r="AX354" s="739">
        <v>7.5833333333333313</v>
      </c>
      <c r="AY354" s="739">
        <v>7.6666666666666643</v>
      </c>
      <c r="AZ354" s="739">
        <v>7.7499999999999973</v>
      </c>
      <c r="BA354" s="739">
        <v>7.8333333333333304</v>
      </c>
      <c r="BB354" s="739">
        <v>7.9166666666666634</v>
      </c>
      <c r="BC354" s="738">
        <v>8</v>
      </c>
      <c r="BD354" s="739">
        <v>7.75</v>
      </c>
      <c r="BE354" s="739">
        <v>7.5</v>
      </c>
      <c r="BF354" s="739">
        <v>7.25</v>
      </c>
      <c r="BG354" s="739">
        <v>7</v>
      </c>
      <c r="BH354" s="739">
        <v>6.75</v>
      </c>
      <c r="BI354" s="739">
        <v>6.5</v>
      </c>
      <c r="BJ354" s="739">
        <v>6.25</v>
      </c>
      <c r="BK354" s="739">
        <v>6</v>
      </c>
      <c r="BL354" s="739">
        <v>5.75</v>
      </c>
      <c r="BM354" s="739">
        <v>5.5</v>
      </c>
      <c r="BN354" s="739">
        <v>5.25</v>
      </c>
      <c r="BO354" s="738">
        <v>5</v>
      </c>
      <c r="BP354" s="739">
        <v>5</v>
      </c>
      <c r="BQ354" s="739">
        <v>5</v>
      </c>
      <c r="BR354" s="739">
        <v>5</v>
      </c>
      <c r="BS354" s="739">
        <v>5</v>
      </c>
      <c r="BT354" s="739">
        <v>5</v>
      </c>
      <c r="BU354" s="739">
        <v>5</v>
      </c>
      <c r="BV354" s="739">
        <v>5</v>
      </c>
      <c r="BW354" s="739">
        <v>5</v>
      </c>
      <c r="BX354" s="739">
        <v>5</v>
      </c>
      <c r="BY354" s="739">
        <v>5</v>
      </c>
      <c r="BZ354" s="739">
        <v>5</v>
      </c>
      <c r="CA354" s="738">
        <v>5</v>
      </c>
      <c r="CB354" s="739">
        <v>5</v>
      </c>
      <c r="CC354" s="739">
        <v>5</v>
      </c>
      <c r="CD354" s="739">
        <v>5</v>
      </c>
      <c r="CE354" s="739">
        <v>5</v>
      </c>
      <c r="CF354" s="739">
        <v>5</v>
      </c>
      <c r="CG354" s="739">
        <v>5</v>
      </c>
      <c r="CH354" s="739">
        <v>5</v>
      </c>
      <c r="CI354" s="739">
        <v>5</v>
      </c>
      <c r="CJ354" s="739">
        <v>5</v>
      </c>
      <c r="CK354" s="739">
        <v>5</v>
      </c>
      <c r="CL354" s="739">
        <v>5</v>
      </c>
      <c r="CM354" s="738">
        <v>5</v>
      </c>
      <c r="CN354" s="710">
        <v>5</v>
      </c>
      <c r="CO354" s="710">
        <v>5</v>
      </c>
      <c r="CP354" s="710">
        <v>5</v>
      </c>
      <c r="CQ354" s="710">
        <v>5</v>
      </c>
      <c r="CR354" s="710">
        <v>5</v>
      </c>
      <c r="CS354" s="710">
        <v>5</v>
      </c>
      <c r="CT354" s="710">
        <v>5</v>
      </c>
      <c r="CU354" s="710">
        <v>5</v>
      </c>
      <c r="CV354" s="710">
        <v>5</v>
      </c>
      <c r="CW354" s="710">
        <v>5</v>
      </c>
      <c r="CX354" s="710">
        <v>5</v>
      </c>
      <c r="CY354" s="738">
        <v>5</v>
      </c>
      <c r="CZ354" s="126"/>
      <c r="DA354" s="12">
        <v>0</v>
      </c>
      <c r="DB354" s="12">
        <v>54.024000000000001</v>
      </c>
      <c r="DC354" s="12">
        <v>90.499999999999972</v>
      </c>
      <c r="DD354" s="12">
        <v>76.5</v>
      </c>
      <c r="DE354" s="12">
        <v>60</v>
      </c>
      <c r="DF354" s="12">
        <v>60</v>
      </c>
      <c r="DG354" s="12">
        <v>60</v>
      </c>
    </row>
    <row r="355" spans="2:111">
      <c r="B355" s="126"/>
      <c r="C355" s="698"/>
      <c r="D355" s="126" t="s">
        <v>194</v>
      </c>
      <c r="E355" s="126"/>
      <c r="F355" s="609"/>
      <c r="G355" s="699" t="s">
        <v>743</v>
      </c>
      <c r="H355" s="609"/>
      <c r="I355" s="609"/>
      <c r="J355" s="609"/>
      <c r="K355" s="609"/>
      <c r="L355" s="126"/>
      <c r="M355" s="126"/>
      <c r="N355" s="126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698"/>
      <c r="AG355" s="126"/>
      <c r="AH355" s="126"/>
      <c r="AI355" s="721">
        <v>0.34699999999999998</v>
      </c>
      <c r="AJ355" s="721">
        <v>5.8579999999999997</v>
      </c>
      <c r="AK355" s="721">
        <v>11.984</v>
      </c>
      <c r="AL355" s="721">
        <v>20.561</v>
      </c>
      <c r="AM355" s="721">
        <v>28.669</v>
      </c>
      <c r="AN355" s="721">
        <v>34.311</v>
      </c>
      <c r="AO355" s="721">
        <v>40.024000000000001</v>
      </c>
      <c r="AP355" s="739">
        <v>47.024000000000001</v>
      </c>
      <c r="AQ355" s="739">
        <v>54.024000000000001</v>
      </c>
      <c r="AR355" s="739">
        <v>61.107333333333337</v>
      </c>
      <c r="AS355" s="739">
        <v>68.274000000000001</v>
      </c>
      <c r="AT355" s="739">
        <v>75.524000000000001</v>
      </c>
      <c r="AU355" s="739">
        <v>82.85733333333333</v>
      </c>
      <c r="AV355" s="739">
        <v>90.274000000000001</v>
      </c>
      <c r="AW355" s="739">
        <v>97.774000000000001</v>
      </c>
      <c r="AX355" s="739">
        <v>105.35733333333333</v>
      </c>
      <c r="AY355" s="739">
        <v>113.024</v>
      </c>
      <c r="AZ355" s="739">
        <v>120.774</v>
      </c>
      <c r="BA355" s="739">
        <v>128.60733333333334</v>
      </c>
      <c r="BB355" s="739">
        <v>136.524</v>
      </c>
      <c r="BC355" s="739">
        <v>144.524</v>
      </c>
      <c r="BD355" s="739">
        <v>152.274</v>
      </c>
      <c r="BE355" s="739">
        <v>159.774</v>
      </c>
      <c r="BF355" s="739">
        <v>167.024</v>
      </c>
      <c r="BG355" s="739">
        <v>174.024</v>
      </c>
      <c r="BH355" s="739">
        <v>180.774</v>
      </c>
      <c r="BI355" s="739">
        <v>187.274</v>
      </c>
      <c r="BJ355" s="739">
        <v>193.524</v>
      </c>
      <c r="BK355" s="739">
        <v>199.524</v>
      </c>
      <c r="BL355" s="739">
        <v>205.274</v>
      </c>
      <c r="BM355" s="739">
        <v>210.774</v>
      </c>
      <c r="BN355" s="739">
        <v>216.024</v>
      </c>
      <c r="BO355" s="739">
        <v>221.024</v>
      </c>
      <c r="BP355" s="739">
        <v>226.024</v>
      </c>
      <c r="BQ355" s="739">
        <v>231.024</v>
      </c>
      <c r="BR355" s="739">
        <v>236.024</v>
      </c>
      <c r="BS355" s="739">
        <v>241.024</v>
      </c>
      <c r="BT355" s="739">
        <v>246.024</v>
      </c>
      <c r="BU355" s="739">
        <v>251.024</v>
      </c>
      <c r="BV355" s="739">
        <v>256.024</v>
      </c>
      <c r="BW355" s="739">
        <v>261.024</v>
      </c>
      <c r="BX355" s="739">
        <v>266.024</v>
      </c>
      <c r="BY355" s="739">
        <v>271.024</v>
      </c>
      <c r="BZ355" s="739">
        <v>276.024</v>
      </c>
      <c r="CA355" s="739">
        <v>281.024</v>
      </c>
      <c r="CB355" s="739">
        <v>286.024</v>
      </c>
      <c r="CC355" s="739">
        <v>291.024</v>
      </c>
      <c r="CD355" s="739">
        <v>296.024</v>
      </c>
      <c r="CE355" s="739">
        <v>301.024</v>
      </c>
      <c r="CF355" s="739">
        <v>306.024</v>
      </c>
      <c r="CG355" s="739">
        <v>311.024</v>
      </c>
      <c r="CH355" s="739">
        <v>316.024</v>
      </c>
      <c r="CI355" s="739">
        <v>321.024</v>
      </c>
      <c r="CJ355" s="739">
        <v>326.024</v>
      </c>
      <c r="CK355" s="739">
        <v>331.024</v>
      </c>
      <c r="CL355" s="739">
        <v>336.024</v>
      </c>
      <c r="CM355" s="739">
        <v>341.024</v>
      </c>
      <c r="CN355" s="739">
        <v>346.024</v>
      </c>
      <c r="CO355" s="739">
        <v>351.024</v>
      </c>
      <c r="CP355" s="739">
        <v>356.024</v>
      </c>
      <c r="CQ355" s="739">
        <v>361.024</v>
      </c>
      <c r="CR355" s="739">
        <v>366.024</v>
      </c>
      <c r="CS355" s="739">
        <v>371.024</v>
      </c>
      <c r="CT355" s="739">
        <v>376.024</v>
      </c>
      <c r="CU355" s="739">
        <v>381.024</v>
      </c>
      <c r="CV355" s="739">
        <v>386.024</v>
      </c>
      <c r="CW355" s="739">
        <v>391.024</v>
      </c>
      <c r="CX355" s="739">
        <v>396.024</v>
      </c>
      <c r="CY355" s="739">
        <v>401.024</v>
      </c>
      <c r="CZ355" s="126"/>
      <c r="DA355" s="11">
        <v>0</v>
      </c>
      <c r="DB355" s="11">
        <v>54.024000000000001</v>
      </c>
      <c r="DC355" s="11">
        <v>144.524</v>
      </c>
      <c r="DD355" s="11">
        <v>221.024</v>
      </c>
      <c r="DE355" s="11">
        <v>281.024</v>
      </c>
      <c r="DF355" s="11">
        <v>341.024</v>
      </c>
      <c r="DG355" s="11">
        <v>401.024</v>
      </c>
    </row>
    <row r="356" spans="2:111">
      <c r="B356" s="126"/>
      <c r="C356" s="698"/>
      <c r="D356" s="126" t="s">
        <v>846</v>
      </c>
      <c r="E356" s="126"/>
      <c r="F356" s="609"/>
      <c r="G356" s="699" t="s">
        <v>743</v>
      </c>
      <c r="H356" s="609"/>
      <c r="I356" s="609"/>
      <c r="J356" s="609"/>
      <c r="K356" s="609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698"/>
      <c r="AG356" s="12"/>
      <c r="AH356" s="126"/>
      <c r="AI356" s="721">
        <v>3.2000000000000001E-2</v>
      </c>
      <c r="AJ356" s="721">
        <v>1.2809999999999999</v>
      </c>
      <c r="AK356" s="721">
        <v>3.5570000000000004</v>
      </c>
      <c r="AL356" s="721">
        <v>6.931</v>
      </c>
      <c r="AM356" s="721">
        <v>13.348000000000001</v>
      </c>
      <c r="AN356" s="721">
        <v>10.637</v>
      </c>
      <c r="AO356" s="721">
        <v>12.311800000000002</v>
      </c>
      <c r="AP356" s="739">
        <v>14.107200000000001</v>
      </c>
      <c r="AQ356" s="739">
        <v>16.2072</v>
      </c>
      <c r="AR356" s="739">
        <v>18.3322</v>
      </c>
      <c r="AS356" s="739">
        <v>20.482199999999999</v>
      </c>
      <c r="AT356" s="739">
        <v>22.6572</v>
      </c>
      <c r="AU356" s="739">
        <v>24.857199999999999</v>
      </c>
      <c r="AV356" s="739">
        <v>27.0822</v>
      </c>
      <c r="AW356" s="739">
        <v>29.3322</v>
      </c>
      <c r="AX356" s="739">
        <v>31.607199999999999</v>
      </c>
      <c r="AY356" s="739">
        <v>33.907199999999996</v>
      </c>
      <c r="AZ356" s="739">
        <v>36.232199999999999</v>
      </c>
      <c r="BA356" s="739">
        <v>38.5822</v>
      </c>
      <c r="BB356" s="739">
        <v>40.9572</v>
      </c>
      <c r="BC356" s="739">
        <v>43.357199999999999</v>
      </c>
      <c r="BD356" s="739">
        <v>45.682200000000002</v>
      </c>
      <c r="BE356" s="739">
        <v>47.932200000000002</v>
      </c>
      <c r="BF356" s="739">
        <v>50.107199999999999</v>
      </c>
      <c r="BG356" s="739">
        <v>52.2072</v>
      </c>
      <c r="BH356" s="739">
        <v>54.232199999999999</v>
      </c>
      <c r="BI356" s="739">
        <v>56.182200000000002</v>
      </c>
      <c r="BJ356" s="739">
        <v>58.057199999999995</v>
      </c>
      <c r="BK356" s="739">
        <v>59.857199999999999</v>
      </c>
      <c r="BL356" s="739">
        <v>61.5822</v>
      </c>
      <c r="BM356" s="739">
        <v>63.232199999999999</v>
      </c>
      <c r="BN356" s="739">
        <v>64.807199999999995</v>
      </c>
      <c r="BO356" s="739">
        <v>66.307199999999995</v>
      </c>
      <c r="BP356" s="739">
        <v>67.807199999999995</v>
      </c>
      <c r="BQ356" s="739">
        <v>69.307199999999995</v>
      </c>
      <c r="BR356" s="739">
        <v>70.807199999999995</v>
      </c>
      <c r="BS356" s="739">
        <v>72.307199999999995</v>
      </c>
      <c r="BT356" s="739">
        <v>73.807199999999995</v>
      </c>
      <c r="BU356" s="739">
        <v>75.307199999999995</v>
      </c>
      <c r="BV356" s="739">
        <v>76.807199999999995</v>
      </c>
      <c r="BW356" s="739">
        <v>78.307199999999995</v>
      </c>
      <c r="BX356" s="739">
        <v>79.807199999999995</v>
      </c>
      <c r="BY356" s="739">
        <v>81.307199999999995</v>
      </c>
      <c r="BZ356" s="739">
        <v>82.807199999999995</v>
      </c>
      <c r="CA356" s="739">
        <v>84.307199999999995</v>
      </c>
      <c r="CB356" s="739">
        <v>85.807199999999995</v>
      </c>
      <c r="CC356" s="739">
        <v>87.307199999999995</v>
      </c>
      <c r="CD356" s="739">
        <v>88.807199999999995</v>
      </c>
      <c r="CE356" s="739">
        <v>90.307199999999995</v>
      </c>
      <c r="CF356" s="739">
        <v>91.807199999999995</v>
      </c>
      <c r="CG356" s="739">
        <v>93.307199999999995</v>
      </c>
      <c r="CH356" s="739">
        <v>94.807199999999995</v>
      </c>
      <c r="CI356" s="739">
        <v>96.307199999999995</v>
      </c>
      <c r="CJ356" s="739">
        <v>97.807199999999995</v>
      </c>
      <c r="CK356" s="739">
        <v>99.307199999999995</v>
      </c>
      <c r="CL356" s="739">
        <v>100.80719999999999</v>
      </c>
      <c r="CM356" s="739">
        <v>102.30719999999999</v>
      </c>
      <c r="CN356" s="739">
        <v>103.80719999999999</v>
      </c>
      <c r="CO356" s="739">
        <v>105.30719999999999</v>
      </c>
      <c r="CP356" s="739">
        <v>106.80719999999999</v>
      </c>
      <c r="CQ356" s="739">
        <v>108.30719999999999</v>
      </c>
      <c r="CR356" s="739">
        <v>109.80719999999999</v>
      </c>
      <c r="CS356" s="739">
        <v>111.30719999999999</v>
      </c>
      <c r="CT356" s="739">
        <v>112.80719999999999</v>
      </c>
      <c r="CU356" s="739">
        <v>114.30719999999999</v>
      </c>
      <c r="CV356" s="739">
        <v>115.80719999999999</v>
      </c>
      <c r="CW356" s="739">
        <v>117.30719999999999</v>
      </c>
      <c r="CX356" s="739">
        <v>118.80719999999999</v>
      </c>
      <c r="CY356" s="739">
        <v>120.30719999999999</v>
      </c>
      <c r="CZ356" s="126"/>
      <c r="DA356" s="11">
        <v>0</v>
      </c>
      <c r="DB356" s="11">
        <v>16.2072</v>
      </c>
      <c r="DC356" s="11">
        <v>43.357199999999999</v>
      </c>
      <c r="DD356" s="11">
        <v>66.307199999999995</v>
      </c>
      <c r="DE356" s="11">
        <v>84.307199999999995</v>
      </c>
      <c r="DF356" s="11">
        <v>102.30719999999999</v>
      </c>
      <c r="DG356" s="11">
        <v>120.30719999999999</v>
      </c>
    </row>
    <row r="357" spans="2:111">
      <c r="B357" s="126"/>
      <c r="C357" s="698"/>
      <c r="D357" s="126" t="s">
        <v>847</v>
      </c>
      <c r="E357" s="126"/>
      <c r="F357" s="609"/>
      <c r="G357" s="609" t="s">
        <v>736</v>
      </c>
      <c r="H357" s="609"/>
      <c r="I357" s="609"/>
      <c r="J357" s="609"/>
      <c r="K357" s="609"/>
      <c r="L357" s="126"/>
      <c r="M357" s="126"/>
      <c r="N357" s="126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698"/>
      <c r="AG357" s="126"/>
      <c r="AH357" s="126"/>
      <c r="AI357" s="721">
        <v>2.0056899999999999E-2</v>
      </c>
      <c r="AJ357" s="721">
        <v>1.0980000000000001</v>
      </c>
      <c r="AK357" s="721">
        <v>2.7368178800000003</v>
      </c>
      <c r="AL357" s="721">
        <v>5.0356150660000001</v>
      </c>
      <c r="AM357" s="721">
        <v>7.1883971720000002</v>
      </c>
      <c r="AN357" s="721">
        <v>7.9208724949999993</v>
      </c>
      <c r="AO357" s="721">
        <v>8.6182600000000011</v>
      </c>
      <c r="AP357" s="739">
        <v>9.8750400000000003</v>
      </c>
      <c r="AQ357" s="739">
        <v>12.96576</v>
      </c>
      <c r="AR357" s="739">
        <v>14.665760000000001</v>
      </c>
      <c r="AS357" s="739">
        <v>16.385759999999998</v>
      </c>
      <c r="AT357" s="739">
        <v>18.12576</v>
      </c>
      <c r="AU357" s="739">
        <v>19.885759999999998</v>
      </c>
      <c r="AV357" s="739">
        <v>21.665760000000002</v>
      </c>
      <c r="AW357" s="739">
        <v>23.465760000000003</v>
      </c>
      <c r="AX357" s="739">
        <v>25.28576</v>
      </c>
      <c r="AY357" s="739">
        <v>27.12576</v>
      </c>
      <c r="AZ357" s="739">
        <v>28.985759999999999</v>
      </c>
      <c r="BA357" s="739">
        <v>30.865760000000002</v>
      </c>
      <c r="BB357" s="739">
        <v>32.76576</v>
      </c>
      <c r="BC357" s="739">
        <v>34.685760000000002</v>
      </c>
      <c r="BD357" s="739">
        <v>36.545760000000001</v>
      </c>
      <c r="BE357" s="739">
        <v>38.345759999999999</v>
      </c>
      <c r="BF357" s="739">
        <v>40.085760000000001</v>
      </c>
      <c r="BG357" s="739">
        <v>41.76576</v>
      </c>
      <c r="BH357" s="739">
        <v>43.385760000000005</v>
      </c>
      <c r="BI357" s="739">
        <v>44.94576</v>
      </c>
      <c r="BJ357" s="739">
        <v>46.445759999999993</v>
      </c>
      <c r="BK357" s="739">
        <v>47.885760000000005</v>
      </c>
      <c r="BL357" s="739">
        <v>49.26576</v>
      </c>
      <c r="BM357" s="739">
        <v>50.585760000000001</v>
      </c>
      <c r="BN357" s="739">
        <v>51.845759999999991</v>
      </c>
      <c r="BO357" s="739">
        <v>53.045759999999994</v>
      </c>
      <c r="BP357" s="739">
        <v>54.245759999999997</v>
      </c>
      <c r="BQ357" s="739">
        <v>55.445759999999993</v>
      </c>
      <c r="BR357" s="739">
        <v>56.645759999999996</v>
      </c>
      <c r="BS357" s="739">
        <v>57.845759999999991</v>
      </c>
      <c r="BT357" s="739">
        <v>59.045759999999994</v>
      </c>
      <c r="BU357" s="739">
        <v>60.245759999999997</v>
      </c>
      <c r="BV357" s="739">
        <v>61.445759999999993</v>
      </c>
      <c r="BW357" s="739">
        <v>62.645759999999996</v>
      </c>
      <c r="BX357" s="739">
        <v>63.845759999999991</v>
      </c>
      <c r="BY357" s="739">
        <v>65.045760000000001</v>
      </c>
      <c r="BZ357" s="739">
        <v>66.24575999999999</v>
      </c>
      <c r="CA357" s="739">
        <v>67.445759999999993</v>
      </c>
      <c r="CB357" s="739">
        <v>68.645759999999996</v>
      </c>
      <c r="CC357" s="739">
        <v>69.845759999999999</v>
      </c>
      <c r="CD357" s="739">
        <v>71.045760000000001</v>
      </c>
      <c r="CE357" s="739">
        <v>72.24575999999999</v>
      </c>
      <c r="CF357" s="739">
        <v>73.445759999999993</v>
      </c>
      <c r="CG357" s="739">
        <v>74.645759999999996</v>
      </c>
      <c r="CH357" s="739">
        <v>75.845759999999999</v>
      </c>
      <c r="CI357" s="739">
        <v>77.045760000000001</v>
      </c>
      <c r="CJ357" s="739">
        <v>78.24575999999999</v>
      </c>
      <c r="CK357" s="739">
        <v>79.445759999999993</v>
      </c>
      <c r="CL357" s="739">
        <v>80.645759999999996</v>
      </c>
      <c r="CM357" s="739">
        <v>81.845759999999999</v>
      </c>
      <c r="CN357" s="739">
        <v>83.045760000000001</v>
      </c>
      <c r="CO357" s="739">
        <v>84.24575999999999</v>
      </c>
      <c r="CP357" s="739">
        <v>85.445759999999993</v>
      </c>
      <c r="CQ357" s="739">
        <v>86.645759999999996</v>
      </c>
      <c r="CR357" s="739">
        <v>87.845759999999999</v>
      </c>
      <c r="CS357" s="739">
        <v>89.045760000000001</v>
      </c>
      <c r="CT357" s="739">
        <v>90.24575999999999</v>
      </c>
      <c r="CU357" s="739">
        <v>91.445759999999993</v>
      </c>
      <c r="CV357" s="739">
        <v>92.645759999999996</v>
      </c>
      <c r="CW357" s="739">
        <v>93.845759999999999</v>
      </c>
      <c r="CX357" s="739">
        <v>95.045760000000001</v>
      </c>
      <c r="CY357" s="739">
        <v>96.24575999999999</v>
      </c>
      <c r="CZ357" s="126"/>
      <c r="DA357" s="12">
        <v>0</v>
      </c>
      <c r="DB357" s="12">
        <v>55.458819512999995</v>
      </c>
      <c r="DC357" s="12">
        <v>293.90912000000003</v>
      </c>
      <c r="DD357" s="12">
        <v>544.14912000000004</v>
      </c>
      <c r="DE357" s="12">
        <v>730.14911999999993</v>
      </c>
      <c r="DF357" s="12">
        <v>902.94911999999999</v>
      </c>
      <c r="DG357" s="12">
        <v>1075.7491199999999</v>
      </c>
    </row>
    <row r="358" spans="2:111">
      <c r="B358" s="126"/>
      <c r="C358" s="698"/>
      <c r="D358" s="126" t="s">
        <v>796</v>
      </c>
      <c r="E358" s="126"/>
      <c r="F358" s="609"/>
      <c r="G358" s="609" t="s">
        <v>736</v>
      </c>
      <c r="H358" s="609"/>
      <c r="I358" s="609"/>
      <c r="J358" s="609"/>
      <c r="K358" s="609"/>
      <c r="L358" s="126"/>
      <c r="M358" s="126"/>
      <c r="N358" s="126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698"/>
      <c r="AG358" s="126"/>
      <c r="AH358" s="126"/>
      <c r="AI358" s="721">
        <v>1.9035494E-2</v>
      </c>
      <c r="AJ358" s="721">
        <v>0.932348391</v>
      </c>
      <c r="AK358" s="721">
        <v>2.7813506760000002</v>
      </c>
      <c r="AL358" s="721">
        <v>5.6146401800000003</v>
      </c>
      <c r="AM358" s="721">
        <v>8.6527679000000006</v>
      </c>
      <c r="AN358" s="721">
        <v>11.217143425</v>
      </c>
      <c r="AO358" s="721">
        <v>14.758809007</v>
      </c>
      <c r="AP358" s="739">
        <v>15.040623152449999</v>
      </c>
      <c r="AQ358" s="739">
        <v>18.229978103357499</v>
      </c>
      <c r="AR358" s="739">
        <v>24.578451512641195</v>
      </c>
      <c r="AS358" s="739">
        <v>29.538726149379499</v>
      </c>
      <c r="AT358" s="739">
        <v>33.606963801564241</v>
      </c>
      <c r="AU358" s="739">
        <v>37.295943970505682</v>
      </c>
      <c r="AV358" s="739">
        <v>41.099582809072416</v>
      </c>
      <c r="AW358" s="739">
        <v>44.644049989391419</v>
      </c>
      <c r="AX358" s="739">
        <v>48.652710547042723</v>
      </c>
      <c r="AY358" s="739">
        <v>52.863613620810611</v>
      </c>
      <c r="AZ358" s="739">
        <v>56.625084005544544</v>
      </c>
      <c r="BA358" s="739">
        <v>60.324559048589933</v>
      </c>
      <c r="BB358" s="739">
        <v>64.090414107899036</v>
      </c>
      <c r="BC358" s="739">
        <v>68.058253005104788</v>
      </c>
      <c r="BD358" s="739">
        <v>71.991270710132127</v>
      </c>
      <c r="BE358" s="739">
        <v>75.954145582137244</v>
      </c>
      <c r="BF358" s="739">
        <v>79.738215871488052</v>
      </c>
      <c r="BG358" s="739">
        <v>83.454102276710486</v>
      </c>
      <c r="BH358" s="739">
        <v>87.209268762152547</v>
      </c>
      <c r="BI358" s="739">
        <v>90.891879839606432</v>
      </c>
      <c r="BJ358" s="739">
        <v>94.390641756210897</v>
      </c>
      <c r="BK358" s="739">
        <v>97.969630525840799</v>
      </c>
      <c r="BL358" s="739">
        <v>101.17193859134527</v>
      </c>
      <c r="BM358" s="739">
        <v>104.11549200769689</v>
      </c>
      <c r="BN358" s="739">
        <v>106.86430622051242</v>
      </c>
      <c r="BO358" s="739">
        <v>109.45186927113892</v>
      </c>
      <c r="BP358" s="739">
        <v>111.95677056309042</v>
      </c>
      <c r="BQ358" s="739">
        <v>114.42474679254211</v>
      </c>
      <c r="BR358" s="739">
        <v>116.88157529612825</v>
      </c>
      <c r="BS358" s="739">
        <v>119.34029628847468</v>
      </c>
      <c r="BT358" s="739">
        <v>121.81117045319863</v>
      </c>
      <c r="BU358" s="739">
        <v>124.29558247462619</v>
      </c>
      <c r="BV358" s="739">
        <v>126.7921317757462</v>
      </c>
      <c r="BW358" s="739">
        <v>129.2989662882955</v>
      </c>
      <c r="BX358" s="739">
        <v>131.81243937884759</v>
      </c>
      <c r="BY358" s="739">
        <v>134.32925959903361</v>
      </c>
      <c r="BZ358" s="739">
        <v>136.84708095204596</v>
      </c>
      <c r="CA358" s="739">
        <v>139.36448649549754</v>
      </c>
      <c r="CB358" s="739">
        <v>141.88076744072183</v>
      </c>
      <c r="CC358" s="739">
        <v>144.39575703163678</v>
      </c>
      <c r="CD358" s="739">
        <v>146.90959657439836</v>
      </c>
      <c r="CE358" s="739">
        <v>149.42256534786222</v>
      </c>
      <c r="CF358" s="739">
        <v>151.93498247495069</v>
      </c>
      <c r="CG358" s="739">
        <v>154.44712651974609</v>
      </c>
      <c r="CH358" s="739">
        <v>156.95919953452875</v>
      </c>
      <c r="CI358" s="739">
        <v>159.47132407176298</v>
      </c>
      <c r="CJ358" s="739">
        <v>161.98355721921621</v>
      </c>
      <c r="CK358" s="739">
        <v>164.49590988435077</v>
      </c>
      <c r="CL358" s="739">
        <v>167.00836599985925</v>
      </c>
      <c r="CM358" s="739">
        <v>169.52089777176013</v>
      </c>
      <c r="CN358" s="739">
        <v>172.03347599264782</v>
      </c>
      <c r="CO358" s="739">
        <v>174.54607609632578</v>
      </c>
      <c r="CP358" s="739">
        <v>177.05868063626733</v>
      </c>
      <c r="CQ358" s="739">
        <v>179.57127929275802</v>
      </c>
      <c r="CR358" s="739">
        <v>182.08386753785985</v>
      </c>
      <c r="CS358" s="739">
        <v>184.59644483434374</v>
      </c>
      <c r="CT358" s="739">
        <v>187.10901291573109</v>
      </c>
      <c r="CU358" s="739">
        <v>189.62157443210771</v>
      </c>
      <c r="CV358" s="739">
        <v>192.13413204423449</v>
      </c>
      <c r="CW358" s="739">
        <v>194.64668792614512</v>
      </c>
      <c r="CX358" s="739">
        <v>197.15924358336193</v>
      </c>
      <c r="CY358" s="739">
        <v>199.67179987784542</v>
      </c>
      <c r="CZ358" s="126"/>
      <c r="DA358" s="11">
        <v>0</v>
      </c>
      <c r="DB358" s="11">
        <v>18.229978103357499</v>
      </c>
      <c r="DC358" s="11">
        <v>68.058253005104788</v>
      </c>
      <c r="DD358" s="11">
        <v>109.45186927113892</v>
      </c>
      <c r="DE358" s="11">
        <v>139.36448649549754</v>
      </c>
      <c r="DF358" s="11">
        <v>169.52089777176013</v>
      </c>
      <c r="DG358" s="11">
        <v>199.67179987784542</v>
      </c>
    </row>
    <row r="359" spans="2:111">
      <c r="B359" s="126"/>
      <c r="C359" s="698"/>
      <c r="D359" s="740" t="s">
        <v>848</v>
      </c>
      <c r="E359" s="126"/>
      <c r="F359" s="609"/>
      <c r="G359" s="609" t="s">
        <v>736</v>
      </c>
      <c r="H359" s="609"/>
      <c r="I359" s="609"/>
      <c r="J359" s="609"/>
      <c r="K359" s="609"/>
      <c r="L359" s="126"/>
      <c r="M359" s="126"/>
      <c r="N359" s="126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698"/>
      <c r="AG359" s="126"/>
      <c r="AH359" s="126"/>
      <c r="AI359" s="721">
        <v>1.9035494E-2</v>
      </c>
      <c r="AJ359" s="721">
        <v>0.932348391</v>
      </c>
      <c r="AK359" s="721">
        <v>2.7813506760000002</v>
      </c>
      <c r="AL359" s="721">
        <v>5.6146401800000003</v>
      </c>
      <c r="AM359" s="721">
        <v>8.6527679000000006</v>
      </c>
      <c r="AN359" s="721">
        <v>11.217143425</v>
      </c>
      <c r="AO359" s="721">
        <v>14.758809007</v>
      </c>
      <c r="AP359" s="739">
        <v>15.040623152449999</v>
      </c>
      <c r="AQ359" s="739">
        <v>18.229978103357499</v>
      </c>
      <c r="AR359" s="739">
        <v>24.578451512641195</v>
      </c>
      <c r="AS359" s="739">
        <v>29.538726149379499</v>
      </c>
      <c r="AT359" s="739">
        <v>33.606963801564241</v>
      </c>
      <c r="AU359" s="739">
        <v>37.295943970505682</v>
      </c>
      <c r="AV359" s="739">
        <v>41.099582809072416</v>
      </c>
      <c r="AW359" s="739">
        <v>44.644049989391419</v>
      </c>
      <c r="AX359" s="739">
        <v>48.652710547042723</v>
      </c>
      <c r="AY359" s="739">
        <v>52.863613620810611</v>
      </c>
      <c r="AZ359" s="739">
        <v>56.625084005544544</v>
      </c>
      <c r="BA359" s="739">
        <v>60.324559048589933</v>
      </c>
      <c r="BB359" s="739">
        <v>64.090414107899036</v>
      </c>
      <c r="BC359" s="739">
        <v>68.058253005104788</v>
      </c>
      <c r="BD359" s="739">
        <v>71.991270710132127</v>
      </c>
      <c r="BE359" s="739">
        <v>75.954145582137244</v>
      </c>
      <c r="BF359" s="739">
        <v>79.738215871488052</v>
      </c>
      <c r="BG359" s="739">
        <v>83.454102276710486</v>
      </c>
      <c r="BH359" s="739">
        <v>87.209268762152547</v>
      </c>
      <c r="BI359" s="739">
        <v>90.891879839606432</v>
      </c>
      <c r="BJ359" s="739">
        <v>94.390641756210897</v>
      </c>
      <c r="BK359" s="739">
        <v>97.969630525840799</v>
      </c>
      <c r="BL359" s="739">
        <v>101.17193859134527</v>
      </c>
      <c r="BM359" s="739">
        <v>104.11549200769689</v>
      </c>
      <c r="BN359" s="739">
        <v>106.86430622051242</v>
      </c>
      <c r="BO359" s="739">
        <v>109.45186927113892</v>
      </c>
      <c r="BP359" s="739">
        <v>111.95677056309042</v>
      </c>
      <c r="BQ359" s="739">
        <v>114.42474679254211</v>
      </c>
      <c r="BR359" s="739">
        <v>116.88157529612825</v>
      </c>
      <c r="BS359" s="739">
        <v>119.34029628847468</v>
      </c>
      <c r="BT359" s="739">
        <v>121.81117045319863</v>
      </c>
      <c r="BU359" s="739">
        <v>124.29558247462619</v>
      </c>
      <c r="BV359" s="739">
        <v>126.7921317757462</v>
      </c>
      <c r="BW359" s="739">
        <v>129.2989662882955</v>
      </c>
      <c r="BX359" s="739">
        <v>131.81243937884759</v>
      </c>
      <c r="BY359" s="739">
        <v>134.32925959903361</v>
      </c>
      <c r="BZ359" s="739">
        <v>136.84708095204596</v>
      </c>
      <c r="CA359" s="739">
        <v>139.36448649549754</v>
      </c>
      <c r="CB359" s="739">
        <v>141.88076744072183</v>
      </c>
      <c r="CC359" s="739">
        <v>144.39575703163678</v>
      </c>
      <c r="CD359" s="739">
        <v>146.90959657439836</v>
      </c>
      <c r="CE359" s="739">
        <v>149.42256534786222</v>
      </c>
      <c r="CF359" s="739">
        <v>151.93498247495069</v>
      </c>
      <c r="CG359" s="739">
        <v>154.44712651974609</v>
      </c>
      <c r="CH359" s="739">
        <v>156.95919953452875</v>
      </c>
      <c r="CI359" s="739">
        <v>159.47132407176298</v>
      </c>
      <c r="CJ359" s="739">
        <v>161.98355721921621</v>
      </c>
      <c r="CK359" s="739">
        <v>164.49590988435077</v>
      </c>
      <c r="CL359" s="739">
        <v>167.00836599985925</v>
      </c>
      <c r="CM359" s="739">
        <v>169.52089777176013</v>
      </c>
      <c r="CN359" s="739">
        <v>172.03347599264782</v>
      </c>
      <c r="CO359" s="739">
        <v>174.54607609632578</v>
      </c>
      <c r="CP359" s="739">
        <v>177.05868063626733</v>
      </c>
      <c r="CQ359" s="739">
        <v>179.57127929275802</v>
      </c>
      <c r="CR359" s="739">
        <v>182.08386753785985</v>
      </c>
      <c r="CS359" s="739">
        <v>184.59644483434374</v>
      </c>
      <c r="CT359" s="739">
        <v>187.10901291573109</v>
      </c>
      <c r="CU359" s="739">
        <v>189.62157443210771</v>
      </c>
      <c r="CV359" s="739">
        <v>192.13413204423449</v>
      </c>
      <c r="CW359" s="739">
        <v>194.64668792614512</v>
      </c>
      <c r="CX359" s="739">
        <v>197.15924358336193</v>
      </c>
      <c r="CY359" s="739">
        <v>199.67179987784542</v>
      </c>
      <c r="CZ359" s="126"/>
      <c r="DA359" s="11">
        <v>0</v>
      </c>
      <c r="DB359" s="11">
        <v>18.229978103357499</v>
      </c>
      <c r="DC359" s="11">
        <v>68.058253005104788</v>
      </c>
      <c r="DD359" s="11">
        <v>109.45186927113892</v>
      </c>
      <c r="DE359" s="11">
        <v>139.36448649549754</v>
      </c>
      <c r="DF359" s="11">
        <v>169.52089777176013</v>
      </c>
      <c r="DG359" s="11">
        <v>199.67179987784542</v>
      </c>
    </row>
    <row r="360" spans="2:111">
      <c r="B360" s="126"/>
      <c r="C360" s="698"/>
      <c r="D360" s="740" t="s">
        <v>849</v>
      </c>
      <c r="E360" s="126"/>
      <c r="F360" s="609"/>
      <c r="G360" s="609" t="s">
        <v>736</v>
      </c>
      <c r="H360" s="609"/>
      <c r="I360" s="609"/>
      <c r="J360" s="609"/>
      <c r="K360" s="609"/>
      <c r="L360" s="126"/>
      <c r="M360" s="126"/>
      <c r="N360" s="126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698"/>
      <c r="AG360" s="126"/>
      <c r="AH360" s="126"/>
      <c r="AI360" s="721"/>
      <c r="AJ360" s="721"/>
      <c r="AK360" s="721"/>
      <c r="AL360" s="721"/>
      <c r="AM360" s="721"/>
      <c r="AN360" s="739">
        <v>0</v>
      </c>
      <c r="AO360" s="739">
        <v>0</v>
      </c>
      <c r="AP360" s="739">
        <v>0</v>
      </c>
      <c r="AQ360" s="739">
        <v>0</v>
      </c>
      <c r="AR360" s="739">
        <v>0</v>
      </c>
      <c r="AS360" s="739">
        <v>0</v>
      </c>
      <c r="AT360" s="739">
        <v>0</v>
      </c>
      <c r="AU360" s="739">
        <v>0</v>
      </c>
      <c r="AV360" s="739">
        <v>0</v>
      </c>
      <c r="AW360" s="739">
        <v>0</v>
      </c>
      <c r="AX360" s="739">
        <v>0</v>
      </c>
      <c r="AY360" s="739">
        <v>0</v>
      </c>
      <c r="AZ360" s="739">
        <v>0</v>
      </c>
      <c r="BA360" s="739">
        <v>0</v>
      </c>
      <c r="BB360" s="739">
        <v>0</v>
      </c>
      <c r="BC360" s="739">
        <v>0</v>
      </c>
      <c r="BD360" s="739">
        <v>0</v>
      </c>
      <c r="BE360" s="739">
        <v>0</v>
      </c>
      <c r="BF360" s="739">
        <v>0</v>
      </c>
      <c r="BG360" s="739">
        <v>0</v>
      </c>
      <c r="BH360" s="739">
        <v>0</v>
      </c>
      <c r="BI360" s="739">
        <v>0</v>
      </c>
      <c r="BJ360" s="739">
        <v>0</v>
      </c>
      <c r="BK360" s="739">
        <v>0</v>
      </c>
      <c r="BL360" s="739">
        <v>0</v>
      </c>
      <c r="BM360" s="739">
        <v>0</v>
      </c>
      <c r="BN360" s="739">
        <v>0</v>
      </c>
      <c r="BO360" s="739">
        <v>0</v>
      </c>
      <c r="BP360" s="739">
        <v>0</v>
      </c>
      <c r="BQ360" s="739">
        <v>0</v>
      </c>
      <c r="BR360" s="739">
        <v>0</v>
      </c>
      <c r="BS360" s="739">
        <v>0</v>
      </c>
      <c r="BT360" s="739">
        <v>0</v>
      </c>
      <c r="BU360" s="739">
        <v>0</v>
      </c>
      <c r="BV360" s="739">
        <v>0</v>
      </c>
      <c r="BW360" s="739">
        <v>0</v>
      </c>
      <c r="BX360" s="739">
        <v>0</v>
      </c>
      <c r="BY360" s="739">
        <v>0</v>
      </c>
      <c r="BZ360" s="739">
        <v>0</v>
      </c>
      <c r="CA360" s="739">
        <v>0</v>
      </c>
      <c r="CB360" s="739">
        <v>0</v>
      </c>
      <c r="CC360" s="739">
        <v>0</v>
      </c>
      <c r="CD360" s="739">
        <v>0</v>
      </c>
      <c r="CE360" s="739">
        <v>0</v>
      </c>
      <c r="CF360" s="739">
        <v>0</v>
      </c>
      <c r="CG360" s="739">
        <v>0</v>
      </c>
      <c r="CH360" s="739">
        <v>0</v>
      </c>
      <c r="CI360" s="739">
        <v>0</v>
      </c>
      <c r="CJ360" s="739">
        <v>0</v>
      </c>
      <c r="CK360" s="739">
        <v>0</v>
      </c>
      <c r="CL360" s="739">
        <v>0</v>
      </c>
      <c r="CM360" s="739">
        <v>0</v>
      </c>
      <c r="CN360" s="739">
        <v>0</v>
      </c>
      <c r="CO360" s="739">
        <v>0</v>
      </c>
      <c r="CP360" s="739">
        <v>0</v>
      </c>
      <c r="CQ360" s="739">
        <v>0</v>
      </c>
      <c r="CR360" s="739">
        <v>0</v>
      </c>
      <c r="CS360" s="739">
        <v>0</v>
      </c>
      <c r="CT360" s="739">
        <v>0</v>
      </c>
      <c r="CU360" s="739">
        <v>0</v>
      </c>
      <c r="CV360" s="739">
        <v>0</v>
      </c>
      <c r="CW360" s="739">
        <v>0</v>
      </c>
      <c r="CX360" s="739">
        <v>0</v>
      </c>
      <c r="CY360" s="739">
        <v>0</v>
      </c>
      <c r="CZ360" s="126"/>
      <c r="DA360" s="11">
        <v>0</v>
      </c>
      <c r="DB360" s="11">
        <v>0</v>
      </c>
      <c r="DC360" s="11">
        <v>0</v>
      </c>
      <c r="DD360" s="11">
        <v>0</v>
      </c>
      <c r="DE360" s="11">
        <v>0</v>
      </c>
      <c r="DF360" s="11">
        <v>0</v>
      </c>
      <c r="DG360" s="11">
        <v>0</v>
      </c>
    </row>
    <row r="361" spans="2:111">
      <c r="B361" s="126"/>
      <c r="C361" s="698"/>
      <c r="D361" s="126" t="s">
        <v>203</v>
      </c>
      <c r="E361" s="126"/>
      <c r="F361" s="609"/>
      <c r="G361" s="609" t="s">
        <v>736</v>
      </c>
      <c r="H361" s="609"/>
      <c r="I361" s="609"/>
      <c r="J361" s="609"/>
      <c r="K361" s="609"/>
      <c r="L361" s="126"/>
      <c r="M361" s="126"/>
      <c r="N361" s="126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698"/>
      <c r="AG361" s="126"/>
      <c r="AH361" s="126"/>
      <c r="AI361" s="721">
        <v>0</v>
      </c>
      <c r="AJ361" s="721">
        <v>0</v>
      </c>
      <c r="AK361" s="721">
        <v>0</v>
      </c>
      <c r="AL361" s="721">
        <v>0</v>
      </c>
      <c r="AM361" s="721">
        <v>0</v>
      </c>
      <c r="AN361" s="721">
        <v>0</v>
      </c>
      <c r="AO361" s="739">
        <v>4.4868573700000001</v>
      </c>
      <c r="AP361" s="739">
        <v>5.9035236028</v>
      </c>
      <c r="AQ361" s="739">
        <v>6.0162492609800005</v>
      </c>
      <c r="AR361" s="739">
        <v>7.2919912413430001</v>
      </c>
      <c r="AS361" s="739">
        <v>13.518148331952657</v>
      </c>
      <c r="AT361" s="739">
        <v>16.246299382158725</v>
      </c>
      <c r="AU361" s="739">
        <v>18.483830090860334</v>
      </c>
      <c r="AV361" s="739">
        <v>20.512769183778126</v>
      </c>
      <c r="AW361" s="739">
        <v>22.60477054498983</v>
      </c>
      <c r="AX361" s="739">
        <v>24.554227494165282</v>
      </c>
      <c r="AY361" s="739">
        <v>26.758990800873502</v>
      </c>
      <c r="AZ361" s="739">
        <v>29.074987491445839</v>
      </c>
      <c r="BA361" s="739">
        <v>31.143796203049501</v>
      </c>
      <c r="BB361" s="739">
        <v>33.178507476724462</v>
      </c>
      <c r="BC361" s="739">
        <v>35.249727759344474</v>
      </c>
      <c r="BD361" s="739">
        <v>37.43203915280764</v>
      </c>
      <c r="BE361" s="739">
        <v>39.595198890572675</v>
      </c>
      <c r="BF361" s="739">
        <v>41.774780070175488</v>
      </c>
      <c r="BG361" s="739">
        <v>43.856018729318428</v>
      </c>
      <c r="BH361" s="739">
        <v>45.89975625219077</v>
      </c>
      <c r="BI361" s="739">
        <v>47.965097819183903</v>
      </c>
      <c r="BJ361" s="739">
        <v>49.990533911783544</v>
      </c>
      <c r="BK361" s="739">
        <v>51.914852965915998</v>
      </c>
      <c r="BL361" s="739">
        <v>53.883296789212444</v>
      </c>
      <c r="BM361" s="739">
        <v>55.644566225239899</v>
      </c>
      <c r="BN361" s="739">
        <v>57.263520604233292</v>
      </c>
      <c r="BO361" s="739">
        <v>58.775368421281833</v>
      </c>
      <c r="BP361" s="739">
        <v>60.198528099126406</v>
      </c>
      <c r="BQ361" s="739">
        <v>61.576223809699734</v>
      </c>
      <c r="BR361" s="739">
        <v>62.933610735898164</v>
      </c>
      <c r="BS361" s="739">
        <v>64.284866412870542</v>
      </c>
      <c r="BT361" s="739">
        <v>65.637162958661079</v>
      </c>
      <c r="BU361" s="739">
        <v>66.996143749259247</v>
      </c>
      <c r="BV361" s="739">
        <v>68.362570361044405</v>
      </c>
      <c r="BW361" s="739">
        <v>69.735672476660412</v>
      </c>
      <c r="BX361" s="739">
        <v>71.114431458562535</v>
      </c>
      <c r="BY361" s="739">
        <v>72.496841658366179</v>
      </c>
      <c r="BZ361" s="739">
        <v>73.881092779468489</v>
      </c>
      <c r="CA361" s="739">
        <v>75.265894523625278</v>
      </c>
      <c r="CB361" s="739">
        <v>76.650467572523652</v>
      </c>
      <c r="CC361" s="739">
        <v>78.034422092397008</v>
      </c>
      <c r="CD361" s="739">
        <v>79.41766636740023</v>
      </c>
      <c r="CE361" s="739">
        <v>80.800278115919113</v>
      </c>
      <c r="CF361" s="739">
        <v>82.182410941324221</v>
      </c>
      <c r="CG361" s="739">
        <v>83.564240361222886</v>
      </c>
      <c r="CH361" s="739">
        <v>84.945919585860352</v>
      </c>
      <c r="CI361" s="739">
        <v>86.327559743990818</v>
      </c>
      <c r="CJ361" s="739">
        <v>87.709228239469638</v>
      </c>
      <c r="CK361" s="739">
        <v>89.090956470568926</v>
      </c>
      <c r="CL361" s="739">
        <v>90.472750436392928</v>
      </c>
      <c r="CM361" s="739">
        <v>91.854601299922592</v>
      </c>
      <c r="CN361" s="739">
        <v>93.236493774468087</v>
      </c>
      <c r="CO361" s="739">
        <v>94.618411795956305</v>
      </c>
      <c r="CP361" s="739">
        <v>96.00034185297919</v>
      </c>
      <c r="CQ361" s="739">
        <v>97.382274349947039</v>
      </c>
      <c r="CR361" s="739">
        <v>98.764203611016924</v>
      </c>
      <c r="CS361" s="739">
        <v>100.14612714582292</v>
      </c>
      <c r="CT361" s="739">
        <v>101.52804465888907</v>
      </c>
      <c r="CU361" s="739">
        <v>102.9099571036521</v>
      </c>
      <c r="CV361" s="739">
        <v>104.29186593765925</v>
      </c>
      <c r="CW361" s="739">
        <v>105.67377262432898</v>
      </c>
      <c r="CX361" s="739">
        <v>107.05567835937983</v>
      </c>
      <c r="CY361" s="739">
        <v>108.43758397084908</v>
      </c>
      <c r="CZ361" s="126"/>
      <c r="DA361" s="11">
        <v>0</v>
      </c>
      <c r="DB361" s="11">
        <v>6.0162492609800005</v>
      </c>
      <c r="DC361" s="11">
        <v>35.249727759344474</v>
      </c>
      <c r="DD361" s="11">
        <v>58.775368421281833</v>
      </c>
      <c r="DE361" s="11">
        <v>75.265894523625278</v>
      </c>
      <c r="DF361" s="11">
        <v>91.854601299922592</v>
      </c>
      <c r="DG361" s="11">
        <v>1210.0447551849488</v>
      </c>
    </row>
    <row r="362" spans="2:111">
      <c r="B362" s="126"/>
      <c r="C362" s="698"/>
      <c r="D362" s="126" t="s">
        <v>215</v>
      </c>
      <c r="E362" s="126"/>
      <c r="F362" s="609"/>
      <c r="G362" s="609" t="s">
        <v>736</v>
      </c>
      <c r="H362" s="609"/>
      <c r="I362" s="609"/>
      <c r="J362" s="609"/>
      <c r="K362" s="609"/>
      <c r="L362" s="126"/>
      <c r="M362" s="126"/>
      <c r="N362" s="126"/>
      <c r="O362" s="12"/>
      <c r="P362" s="12"/>
      <c r="Q362" s="12"/>
      <c r="R362" s="12"/>
      <c r="S362" s="12"/>
      <c r="T362" s="12"/>
      <c r="U362" s="12"/>
      <c r="V362" s="12"/>
      <c r="W362" s="12"/>
      <c r="X362" s="702"/>
      <c r="Y362" s="702"/>
      <c r="Z362" s="702"/>
      <c r="AA362" s="702"/>
      <c r="AB362" s="702"/>
      <c r="AC362" s="702"/>
      <c r="AD362" s="702"/>
      <c r="AE362" s="702"/>
      <c r="AF362" s="698"/>
      <c r="AG362" s="126"/>
      <c r="AH362" s="126"/>
      <c r="AI362" s="741">
        <v>1.0214060000000001E-3</v>
      </c>
      <c r="AJ362" s="741">
        <v>4.9043436999999995E-2</v>
      </c>
      <c r="AK362" s="741">
        <v>0.117522401</v>
      </c>
      <c r="AL362" s="741">
        <v>0.21274689499999999</v>
      </c>
      <c r="AM362" s="741">
        <v>0.31997071799999999</v>
      </c>
      <c r="AN362" s="702">
        <v>0.39170544100000004</v>
      </c>
      <c r="AO362" s="702">
        <v>0.49900950063905536</v>
      </c>
      <c r="AP362" s="702">
        <v>0.56915097277363003</v>
      </c>
      <c r="AQ362" s="702">
        <v>0.63973815336413131</v>
      </c>
      <c r="AR362" s="702">
        <v>0.7126333996748262</v>
      </c>
      <c r="AS362" s="702">
        <v>0.82291777283257683</v>
      </c>
      <c r="AT362" s="702">
        <v>0.99283281340307217</v>
      </c>
      <c r="AU362" s="702">
        <v>1.1203073859712149</v>
      </c>
      <c r="AV362" s="702">
        <v>1.2426999929636378</v>
      </c>
      <c r="AW362" s="702">
        <v>1.3654956850172044</v>
      </c>
      <c r="AX362" s="702">
        <v>1.4971549263179482</v>
      </c>
      <c r="AY362" s="702">
        <v>1.6189069399849694</v>
      </c>
      <c r="AZ362" s="702">
        <v>1.7439631610581869</v>
      </c>
      <c r="BA362" s="702">
        <v>1.8805285272818015</v>
      </c>
      <c r="BB362" s="702">
        <v>2.0284440770680696</v>
      </c>
      <c r="BC362" s="702">
        <v>2.1863845133235169</v>
      </c>
      <c r="BD362" s="702">
        <v>2.3813694966663457</v>
      </c>
      <c r="BE362" s="702">
        <v>2.6219555984698788</v>
      </c>
      <c r="BF362" s="702">
        <v>2.7958137264736918</v>
      </c>
      <c r="BG362" s="702">
        <v>2.9606560411430829</v>
      </c>
      <c r="BH362" s="702">
        <v>3.1127554957937655</v>
      </c>
      <c r="BI362" s="702">
        <v>3.2503421464185402</v>
      </c>
      <c r="BJ362" s="702">
        <v>3.3755732146886861</v>
      </c>
      <c r="BK362" s="702">
        <v>3.4865738170525136</v>
      </c>
      <c r="BL362" s="702">
        <v>3.5827349635446089</v>
      </c>
      <c r="BM362" s="702">
        <v>3.6740305018025898</v>
      </c>
      <c r="BN362" s="702">
        <v>3.7594103531180814</v>
      </c>
      <c r="BO362" s="702">
        <v>3.8404609752064998</v>
      </c>
      <c r="BP362" s="702">
        <v>3.9209661970819489</v>
      </c>
      <c r="BQ362" s="702">
        <v>4.0020646496799861</v>
      </c>
      <c r="BR362" s="702">
        <v>4.0844401928371106</v>
      </c>
      <c r="BS362" s="702">
        <v>4.1682188229256738</v>
      </c>
      <c r="BT362" s="702">
        <v>4.2532022037408028</v>
      </c>
      <c r="BU362" s="702">
        <v>4.3390197418972765</v>
      </c>
      <c r="BV362" s="702">
        <v>4.4253644638150691</v>
      </c>
      <c r="BW362" s="702">
        <v>4.5119511910461085</v>
      </c>
      <c r="BX362" s="702">
        <v>4.5985672972280991</v>
      </c>
      <c r="BY362" s="702">
        <v>4.6851051699410462</v>
      </c>
      <c r="BZ362" s="702">
        <v>4.7715184930893013</v>
      </c>
      <c r="CA362" s="702">
        <v>4.8578045617545449</v>
      </c>
      <c r="CB362" s="702">
        <v>4.9439855548687426</v>
      </c>
      <c r="CC362" s="702">
        <v>5.0300933030029826</v>
      </c>
      <c r="CD362" s="702">
        <v>5.1161584731802936</v>
      </c>
      <c r="CE362" s="702">
        <v>5.2022059292551877</v>
      </c>
      <c r="CF362" s="702">
        <v>5.2882527073717105</v>
      </c>
      <c r="CG362" s="702">
        <v>5.3743081956111149</v>
      </c>
      <c r="CH362" s="702">
        <v>5.4603759697842866</v>
      </c>
      <c r="CI362" s="702">
        <v>5.5464557861351063</v>
      </c>
      <c r="CJ362" s="702">
        <v>5.6325453576361486</v>
      </c>
      <c r="CK362" s="702">
        <v>5.7186417017192905</v>
      </c>
      <c r="CL362" s="702">
        <v>5.8047420077831839</v>
      </c>
      <c r="CM362" s="702">
        <v>5.8908440721007764</v>
      </c>
      <c r="CN362" s="702">
        <v>5.9769464275349176</v>
      </c>
      <c r="CO362" s="702">
        <v>6.0630482795717935</v>
      </c>
      <c r="CP362" s="702">
        <v>6.1491493443481211</v>
      </c>
      <c r="CQ362" s="702">
        <v>6.2352496661064452</v>
      </c>
      <c r="CR362" s="702">
        <v>6.3213494573783207</v>
      </c>
      <c r="CS362" s="702">
        <v>6.407448980945345</v>
      </c>
      <c r="CT362" s="702">
        <v>6.4935484763347509</v>
      </c>
      <c r="CU362" s="702">
        <v>6.5796481242114329</v>
      </c>
      <c r="CV362" s="702">
        <v>6.6657480379232235</v>
      </c>
      <c r="CW362" s="702">
        <v>6.7518482714365033</v>
      </c>
      <c r="CX362" s="702">
        <v>6.8379488347704669</v>
      </c>
      <c r="CY362" s="702">
        <v>6.924049710633005</v>
      </c>
      <c r="CZ362" s="126"/>
      <c r="DA362" s="12">
        <v>0</v>
      </c>
      <c r="DB362" s="12">
        <v>2.7999089247768163</v>
      </c>
      <c r="DC362" s="12">
        <v>17.212269194897026</v>
      </c>
      <c r="DD362" s="12">
        <v>38.841676330378277</v>
      </c>
      <c r="DE362" s="12">
        <v>52.618222985036965</v>
      </c>
      <c r="DF362" s="12">
        <v>65.008609058448826</v>
      </c>
      <c r="DG362" s="12">
        <v>77.405983611194316</v>
      </c>
    </row>
    <row r="363" spans="2:111">
      <c r="B363" s="126"/>
      <c r="C363" s="698"/>
      <c r="D363" s="126" t="s">
        <v>99</v>
      </c>
      <c r="E363" s="126"/>
      <c r="F363" s="609"/>
      <c r="G363" s="609" t="s">
        <v>736</v>
      </c>
      <c r="H363" s="609"/>
      <c r="I363" s="609"/>
      <c r="J363" s="609"/>
      <c r="K363" s="609"/>
      <c r="L363" s="126"/>
      <c r="M363" s="126"/>
      <c r="N363" s="126"/>
      <c r="O363" s="12"/>
      <c r="P363" s="12"/>
      <c r="Q363" s="12"/>
      <c r="R363" s="12"/>
      <c r="S363" s="12"/>
      <c r="T363" s="12"/>
      <c r="U363" s="12"/>
      <c r="V363" s="12"/>
      <c r="W363" s="12"/>
      <c r="X363" s="702"/>
      <c r="Y363" s="702"/>
      <c r="Z363" s="702"/>
      <c r="AA363" s="702"/>
      <c r="AB363" s="702"/>
      <c r="AC363" s="702"/>
      <c r="AD363" s="702"/>
      <c r="AE363" s="702"/>
      <c r="AF363" s="698"/>
      <c r="AG363" s="698"/>
      <c r="AH363" s="698"/>
      <c r="AI363" s="741">
        <v>0</v>
      </c>
      <c r="AJ363" s="741">
        <v>-1.4697512062999999E-3</v>
      </c>
      <c r="AK363" s="741">
        <v>-6.5800579691995516E-3</v>
      </c>
      <c r="AL363" s="741">
        <v>-1.6513969692799963E-2</v>
      </c>
      <c r="AM363" s="741">
        <v>-2.7999430607000001E-2</v>
      </c>
      <c r="AN363" s="702">
        <v>-3.6271073322799996E-2</v>
      </c>
      <c r="AO363" s="702">
        <v>-4.6364326999999997E-2</v>
      </c>
      <c r="AP363" s="702">
        <v>-6.8290365365406253E-2</v>
      </c>
      <c r="AQ363" s="702">
        <v>-7.6245127877892185E-2</v>
      </c>
      <c r="AR363" s="702">
        <v>-9.8102651203330338E-2</v>
      </c>
      <c r="AS363" s="702">
        <v>-0.12401853214213077</v>
      </c>
      <c r="AT363" s="702">
        <v>-0.14470887280424607</v>
      </c>
      <c r="AU363" s="702">
        <v>-0.16248583031099359</v>
      </c>
      <c r="AV363" s="702">
        <v>-0.17965641553653311</v>
      </c>
      <c r="AW363" s="702">
        <v>-0.19649582516314631</v>
      </c>
      <c r="AX363" s="702">
        <v>-0.21380507622932823</v>
      </c>
      <c r="AY363" s="702">
        <v>-0.23264157621799719</v>
      </c>
      <c r="AZ363" s="702">
        <v>-0.25091159872706392</v>
      </c>
      <c r="BA363" s="702">
        <v>-0.26800959866572482</v>
      </c>
      <c r="BB363" s="702">
        <v>-0.2851176468169539</v>
      </c>
      <c r="BC363" s="702">
        <v>-0.30284069546730047</v>
      </c>
      <c r="BD363" s="702">
        <v>-0.32094682518075129</v>
      </c>
      <c r="BE363" s="702">
        <v>-0.33904157900311738</v>
      </c>
      <c r="BF363" s="702">
        <v>-0.3567949949978913</v>
      </c>
      <c r="BG363" s="702">
        <v>-0.37398239575628828</v>
      </c>
      <c r="BH363" s="702">
        <v>-0.39110355863072782</v>
      </c>
      <c r="BI363" s="702">
        <v>-0.40814846554569767</v>
      </c>
      <c r="BJ363" s="702">
        <v>-0.42460577865708138</v>
      </c>
      <c r="BK363" s="702">
        <v>-0.44082562397970187</v>
      </c>
      <c r="BL363" s="702">
        <v>-0.45636609589355137</v>
      </c>
      <c r="BM363" s="702">
        <v>-0.47045036178947158</v>
      </c>
      <c r="BN363" s="702">
        <v>-0.48349537093964629</v>
      </c>
      <c r="BO363" s="702">
        <v>-0.4957245688350343</v>
      </c>
      <c r="BP363" s="702">
        <v>-0.50739479962010892</v>
      </c>
      <c r="BQ363" s="702">
        <v>-0.51879097727332457</v>
      </c>
      <c r="BR363" s="702">
        <v>-0.53007698811986959</v>
      </c>
      <c r="BS363" s="702">
        <v>-0.54134178904804842</v>
      </c>
      <c r="BT363" s="702">
        <v>-0.55263877794966798</v>
      </c>
      <c r="BU363" s="702">
        <v>-0.56399464212626516</v>
      </c>
      <c r="BV363" s="702">
        <v>-0.5754093451571034</v>
      </c>
      <c r="BW363" s="702">
        <v>-0.58687543306342893</v>
      </c>
      <c r="BX363" s="702">
        <v>-0.59838030465386971</v>
      </c>
      <c r="BY363" s="702">
        <v>-0.60990806015764443</v>
      </c>
      <c r="BZ363" s="702">
        <v>-0.62144578042955734</v>
      </c>
      <c r="CA363" s="702">
        <v>-0.63298484206728722</v>
      </c>
      <c r="CB363" s="702">
        <v>-0.64452037360383596</v>
      </c>
      <c r="CC363" s="702">
        <v>-0.65605036858248844</v>
      </c>
      <c r="CD363" s="702">
        <v>-0.66757476868049725</v>
      </c>
      <c r="CE363" s="702">
        <v>-0.6790945377385138</v>
      </c>
      <c r="CF363" s="702">
        <v>-0.69061104709394616</v>
      </c>
      <c r="CG363" s="702">
        <v>-0.70212566644618013</v>
      </c>
      <c r="CH363" s="702">
        <v>-0.71363949720771302</v>
      </c>
      <c r="CI363" s="702">
        <v>-0.72515328326441864</v>
      </c>
      <c r="CJ363" s="702">
        <v>-0.73666743629182729</v>
      </c>
      <c r="CK363" s="702">
        <v>-0.74818211211234109</v>
      </c>
      <c r="CL363" s="702">
        <v>-0.75969729890131454</v>
      </c>
      <c r="CM363" s="702">
        <v>-0.77121289614329447</v>
      </c>
      <c r="CN363" s="702">
        <v>-0.78272877321010148</v>
      </c>
      <c r="CO363" s="702">
        <v>-0.79424480687056453</v>
      </c>
      <c r="CP363" s="702">
        <v>-0.80576090084552587</v>
      </c>
      <c r="CQ363" s="702">
        <v>-0.81727699150401645</v>
      </c>
      <c r="CR363" s="702">
        <v>-0.82879304482016591</v>
      </c>
      <c r="CS363" s="702">
        <v>-0.84030904918629989</v>
      </c>
      <c r="CT363" s="702">
        <v>-0.85182500734392164</v>
      </c>
      <c r="CU363" s="702">
        <v>-0.86334092933879714</v>
      </c>
      <c r="CV363" s="702">
        <v>-0.87485682734161763</v>
      </c>
      <c r="CW363" s="702">
        <v>-0.88637271243212001</v>
      </c>
      <c r="CX363" s="702">
        <v>-0.89788859304262036</v>
      </c>
      <c r="CY363" s="702">
        <v>-0.90940447459860019</v>
      </c>
      <c r="CZ363" s="126"/>
      <c r="DA363" s="12">
        <v>0</v>
      </c>
      <c r="DB363" s="12">
        <v>-0.27973410304139795</v>
      </c>
      <c r="DC363" s="12">
        <v>-2.4587943192847486</v>
      </c>
      <c r="DD363" s="12">
        <v>-4.9614856192089603</v>
      </c>
      <c r="DE363" s="12">
        <v>-6.8392417396661749</v>
      </c>
      <c r="DF363" s="12">
        <v>-8.4945292860663706</v>
      </c>
      <c r="DG363" s="12">
        <v>-10.152802110534351</v>
      </c>
    </row>
    <row r="364" spans="2:111">
      <c r="B364" s="698"/>
      <c r="C364" s="698" t="s">
        <v>217</v>
      </c>
      <c r="D364" s="698"/>
      <c r="E364" s="698"/>
      <c r="F364" s="703"/>
      <c r="G364" s="609" t="s">
        <v>736</v>
      </c>
      <c r="H364" s="703"/>
      <c r="I364" s="703"/>
      <c r="J364" s="703"/>
      <c r="K364" s="703"/>
      <c r="L364" s="698"/>
      <c r="M364" s="698"/>
      <c r="N364" s="698"/>
      <c r="O364" s="14"/>
      <c r="P364" s="14"/>
      <c r="Q364" s="14"/>
      <c r="R364" s="14"/>
      <c r="S364" s="14"/>
      <c r="T364" s="14"/>
      <c r="U364" s="14"/>
      <c r="V364" s="14"/>
      <c r="W364" s="14"/>
      <c r="X364" s="708"/>
      <c r="Y364" s="708"/>
      <c r="Z364" s="708"/>
      <c r="AA364" s="708"/>
      <c r="AB364" s="708"/>
      <c r="AC364" s="708"/>
      <c r="AD364" s="708"/>
      <c r="AE364" s="708"/>
      <c r="AF364" s="698"/>
      <c r="AG364" s="698"/>
      <c r="AH364" s="698"/>
      <c r="AI364" s="742">
        <v>1.0214060000000001E-3</v>
      </c>
      <c r="AJ364" s="742">
        <v>4.7573685793699992E-2</v>
      </c>
      <c r="AK364" s="742">
        <v>0.11094234303080044</v>
      </c>
      <c r="AL364" s="742">
        <v>0.19623292530720002</v>
      </c>
      <c r="AM364" s="742">
        <v>0.29197128739299999</v>
      </c>
      <c r="AN364" s="708">
        <v>0.35543436767720005</v>
      </c>
      <c r="AO364" s="708">
        <v>0.45264517363905538</v>
      </c>
      <c r="AP364" s="708">
        <v>0.50086060740822369</v>
      </c>
      <c r="AQ364" s="708">
        <v>0.56349302548623914</v>
      </c>
      <c r="AR364" s="708">
        <v>0.6145307484714958</v>
      </c>
      <c r="AS364" s="708">
        <v>0.69889924069044607</v>
      </c>
      <c r="AT364" s="708">
        <v>0.84812394059882601</v>
      </c>
      <c r="AU364" s="708">
        <v>0.95782155566022142</v>
      </c>
      <c r="AV364" s="708">
        <v>1.0630435774271048</v>
      </c>
      <c r="AW364" s="708">
        <v>1.1689998598540581</v>
      </c>
      <c r="AX364" s="708">
        <v>1.28334985008862</v>
      </c>
      <c r="AY364" s="708">
        <v>1.3862653637669724</v>
      </c>
      <c r="AZ364" s="708">
        <v>1.4930515623311229</v>
      </c>
      <c r="BA364" s="708">
        <v>1.6125189286160766</v>
      </c>
      <c r="BB364" s="708">
        <v>1.743326430251116</v>
      </c>
      <c r="BC364" s="708">
        <v>1.8835438178562165</v>
      </c>
      <c r="BD364" s="708">
        <v>2.0604226714855942</v>
      </c>
      <c r="BE364" s="708">
        <v>2.2829140194667614</v>
      </c>
      <c r="BF364" s="708">
        <v>2.4390187314758007</v>
      </c>
      <c r="BG364" s="708">
        <v>2.5866736453867945</v>
      </c>
      <c r="BH364" s="708">
        <v>2.7216519371630374</v>
      </c>
      <c r="BI364" s="708">
        <v>2.8421936808728425</v>
      </c>
      <c r="BJ364" s="708">
        <v>2.9509674360316049</v>
      </c>
      <c r="BK364" s="708">
        <v>3.0457481930728116</v>
      </c>
      <c r="BL364" s="708">
        <v>3.1263688676510575</v>
      </c>
      <c r="BM364" s="708">
        <v>3.2035801400131181</v>
      </c>
      <c r="BN364" s="708">
        <v>3.2759149821784348</v>
      </c>
      <c r="BO364" s="708">
        <v>3.3447364063714655</v>
      </c>
      <c r="BP364" s="708">
        <v>3.41357139746184</v>
      </c>
      <c r="BQ364" s="708">
        <v>3.4832736724066615</v>
      </c>
      <c r="BR364" s="708">
        <v>3.5543632047172413</v>
      </c>
      <c r="BS364" s="708">
        <v>3.6268770338776251</v>
      </c>
      <c r="BT364" s="708">
        <v>3.7005634257911351</v>
      </c>
      <c r="BU364" s="708">
        <v>3.7750250997710117</v>
      </c>
      <c r="BV364" s="708">
        <v>3.8499551186579657</v>
      </c>
      <c r="BW364" s="708">
        <v>3.9250757579826798</v>
      </c>
      <c r="BX364" s="708">
        <v>4.0001869925742302</v>
      </c>
      <c r="BY364" s="708">
        <v>4.0751971097834012</v>
      </c>
      <c r="BZ364" s="708">
        <v>4.1500727126597443</v>
      </c>
      <c r="CA364" s="708">
        <v>4.2248197196872574</v>
      </c>
      <c r="CB364" s="708">
        <v>4.2994651812649067</v>
      </c>
      <c r="CC364" s="708">
        <v>4.3740429344204941</v>
      </c>
      <c r="CD364" s="708">
        <v>4.4485837044997965</v>
      </c>
      <c r="CE364" s="708">
        <v>4.5231113915166734</v>
      </c>
      <c r="CF364" s="708">
        <v>4.5976416602777643</v>
      </c>
      <c r="CG364" s="708">
        <v>4.6721825291649344</v>
      </c>
      <c r="CH364" s="708">
        <v>4.7467364725765737</v>
      </c>
      <c r="CI364" s="708">
        <v>4.8213025028706875</v>
      </c>
      <c r="CJ364" s="708">
        <v>4.8958779213443213</v>
      </c>
      <c r="CK364" s="708">
        <v>4.9704595896069499</v>
      </c>
      <c r="CL364" s="708">
        <v>5.0450447088818695</v>
      </c>
      <c r="CM364" s="708">
        <v>5.1196311759574815</v>
      </c>
      <c r="CN364" s="708">
        <v>5.1942176543248166</v>
      </c>
      <c r="CO364" s="708">
        <v>5.2688034727012294</v>
      </c>
      <c r="CP364" s="708">
        <v>5.3433884435025947</v>
      </c>
      <c r="CQ364" s="708">
        <v>5.4179726746024288</v>
      </c>
      <c r="CR364" s="708">
        <v>5.4925564125581552</v>
      </c>
      <c r="CS364" s="708">
        <v>5.567139931759046</v>
      </c>
      <c r="CT364" s="708">
        <v>5.6417234689908291</v>
      </c>
      <c r="CU364" s="708">
        <v>5.7163071948726358</v>
      </c>
      <c r="CV364" s="708">
        <v>5.7908912105816057</v>
      </c>
      <c r="CW364" s="708">
        <v>5.8654755590043832</v>
      </c>
      <c r="CX364" s="708">
        <v>5.9400602417278465</v>
      </c>
      <c r="CY364" s="708">
        <v>6.0146452360344052</v>
      </c>
      <c r="CZ364" s="698"/>
      <c r="DA364" s="14">
        <v>0</v>
      </c>
      <c r="DB364" s="14">
        <v>2.5201748217354187</v>
      </c>
      <c r="DC364" s="14">
        <v>14.753474875612277</v>
      </c>
      <c r="DD364" s="14">
        <v>33.88019071116932</v>
      </c>
      <c r="DE364" s="14">
        <v>45.778981245370787</v>
      </c>
      <c r="DF364" s="14">
        <v>56.514079772382452</v>
      </c>
      <c r="DG364" s="14">
        <v>67.253181500659977</v>
      </c>
    </row>
    <row r="365" spans="2:111">
      <c r="B365" s="698"/>
      <c r="C365" s="698"/>
      <c r="D365" s="14" t="s">
        <v>218</v>
      </c>
      <c r="E365" s="698"/>
      <c r="F365" s="703"/>
      <c r="G365" s="609" t="s">
        <v>736</v>
      </c>
      <c r="H365" s="703"/>
      <c r="I365" s="703"/>
      <c r="J365" s="703"/>
      <c r="K365" s="703"/>
      <c r="L365" s="698"/>
      <c r="M365" s="698"/>
      <c r="N365" s="698"/>
      <c r="O365" s="14"/>
      <c r="P365" s="14"/>
      <c r="Q365" s="14"/>
      <c r="R365" s="14"/>
      <c r="S365" s="14"/>
      <c r="T365" s="14"/>
      <c r="U365" s="14"/>
      <c r="V365" s="14"/>
      <c r="W365" s="14"/>
      <c r="X365" s="708"/>
      <c r="Y365" s="708"/>
      <c r="Z365" s="708"/>
      <c r="AA365" s="708"/>
      <c r="AB365" s="708"/>
      <c r="AC365" s="708"/>
      <c r="AD365" s="708"/>
      <c r="AE365" s="708"/>
      <c r="AF365" s="126"/>
      <c r="AG365" s="126"/>
      <c r="AH365" s="126"/>
      <c r="AI365" s="742">
        <v>0</v>
      </c>
      <c r="AJ365" s="742">
        <v>-1.4697512062999999E-3</v>
      </c>
      <c r="AK365" s="742">
        <v>-6.5800579691995516E-3</v>
      </c>
      <c r="AL365" s="742">
        <v>-1.6513969692799963E-2</v>
      </c>
      <c r="AM365" s="742">
        <v>-2.7992409607000002E-2</v>
      </c>
      <c r="AN365" s="743">
        <v>-2.8459984322799996E-2</v>
      </c>
      <c r="AO365" s="708">
        <v>4.3570100174147725E-3</v>
      </c>
      <c r="AP365" s="708">
        <v>3.4491095381241441E-2</v>
      </c>
      <c r="AQ365" s="708">
        <v>4.0891054710846975E-2</v>
      </c>
      <c r="AR365" s="708">
        <v>2.5991740556549625E-2</v>
      </c>
      <c r="AS365" s="708">
        <v>7.4309323892282619E-2</v>
      </c>
      <c r="AT365" s="708">
        <v>0.14167012674150162</v>
      </c>
      <c r="AU365" s="708">
        <v>0.17522102010483606</v>
      </c>
      <c r="AV365" s="708">
        <v>0.20118105583741691</v>
      </c>
      <c r="AW365" s="708">
        <v>0.23144271182126355</v>
      </c>
      <c r="AX365" s="708">
        <v>0.25644540265042526</v>
      </c>
      <c r="AY365" s="708">
        <v>0.27923219345351968</v>
      </c>
      <c r="AZ365" s="708">
        <v>0.30960397460046429</v>
      </c>
      <c r="BA365" s="708">
        <v>0.34428352673394846</v>
      </c>
      <c r="BB365" s="708">
        <v>0.3797260928714718</v>
      </c>
      <c r="BC365" s="708">
        <v>0.41607019214496282</v>
      </c>
      <c r="BD365" s="708">
        <v>0.48873862629401194</v>
      </c>
      <c r="BE365" s="708">
        <v>0.53413394020250515</v>
      </c>
      <c r="BF365" s="708">
        <v>0.57862824411028568</v>
      </c>
      <c r="BG365" s="708">
        <v>0.62081281764927621</v>
      </c>
      <c r="BH365" s="708">
        <v>0.65778565509441367</v>
      </c>
      <c r="BI365" s="708">
        <v>0.69124714723908287</v>
      </c>
      <c r="BJ365" s="708">
        <v>0.72301378927317494</v>
      </c>
      <c r="BK365" s="708">
        <v>0.74784266883830464</v>
      </c>
      <c r="BL365" s="708">
        <v>0.77244095632260201</v>
      </c>
      <c r="BM365" s="708">
        <v>0.7968100721701179</v>
      </c>
      <c r="BN365" s="708">
        <v>0.81857184396246363</v>
      </c>
      <c r="BO365" s="708">
        <v>0.83875449133615287</v>
      </c>
      <c r="BP365" s="708">
        <v>0.8579602000834412</v>
      </c>
      <c r="BQ365" s="708">
        <v>0.8766251827465863</v>
      </c>
      <c r="BR365" s="708">
        <v>0.89527399957187337</v>
      </c>
      <c r="BS365" s="708">
        <v>0.91414034031136338</v>
      </c>
      <c r="BT365" s="708">
        <v>0.93321999558268631</v>
      </c>
      <c r="BU365" s="708">
        <v>0.95248969008571738</v>
      </c>
      <c r="BV365" s="708">
        <v>0.97191648191715729</v>
      </c>
      <c r="BW365" s="708">
        <v>0.99142551064930173</v>
      </c>
      <c r="BX365" s="708">
        <v>1.0109740428541794</v>
      </c>
      <c r="BY365" s="708">
        <v>1.0305373506535598</v>
      </c>
      <c r="BZ365" s="708">
        <v>1.0500939310044441</v>
      </c>
      <c r="CA365" s="708">
        <v>1.0696324694440715</v>
      </c>
      <c r="CB365" s="708">
        <v>1.0891507762436996</v>
      </c>
      <c r="CC365" s="708">
        <v>1.1086513681956363</v>
      </c>
      <c r="CD365" s="708">
        <v>1.1281388106870023</v>
      </c>
      <c r="CE365" s="708">
        <v>1.1476181570185804</v>
      </c>
      <c r="CF365" s="708">
        <v>1.1670934654943754</v>
      </c>
      <c r="CG365" s="708">
        <v>1.1865675468111914</v>
      </c>
      <c r="CH365" s="708">
        <v>1.2060421310763534</v>
      </c>
      <c r="CI365" s="708">
        <v>1.2255180206221241</v>
      </c>
      <c r="CJ365" s="708">
        <v>1.2449953436993155</v>
      </c>
      <c r="CK365" s="708">
        <v>1.2644738401366875</v>
      </c>
      <c r="CL365" s="708">
        <v>1.2839530897602707</v>
      </c>
      <c r="CM365" s="708">
        <v>1.3034326658999897</v>
      </c>
      <c r="CN365" s="708">
        <v>1.3229122232434314</v>
      </c>
      <c r="CO365" s="708">
        <v>1.3423915269383579</v>
      </c>
      <c r="CP365" s="708">
        <v>1.3618704467165976</v>
      </c>
      <c r="CQ365" s="708">
        <v>1.381348935457984</v>
      </c>
      <c r="CR365" s="708">
        <v>1.400827002306078</v>
      </c>
      <c r="CS365" s="708">
        <v>1.4203046872891405</v>
      </c>
      <c r="CT365" s="708">
        <v>1.4397820415649552</v>
      </c>
      <c r="CU365" s="708">
        <v>1.4592591144612705</v>
      </c>
      <c r="CV365" s="708">
        <v>1.4787359466516552</v>
      </c>
      <c r="CW365" s="708">
        <v>1.498212568007018</v>
      </c>
      <c r="CX365" s="708">
        <v>1.5176889983738855</v>
      </c>
      <c r="CY365" s="708">
        <v>1.5371652497775568</v>
      </c>
      <c r="CZ365" s="698"/>
      <c r="DA365" s="14">
        <v>0</v>
      </c>
      <c r="DB365" s="14">
        <v>-1.2770126885963268E-3</v>
      </c>
      <c r="DC365" s="14">
        <v>2.8351773614086428</v>
      </c>
      <c r="DD365" s="14">
        <v>8.268780252492391</v>
      </c>
      <c r="DE365" s="14">
        <v>11.554289194904381</v>
      </c>
      <c r="DF365" s="14">
        <v>14.355635215645227</v>
      </c>
      <c r="DG365" s="14">
        <v>17.160498740787929</v>
      </c>
    </row>
    <row r="366" spans="2:111">
      <c r="B366" s="126"/>
      <c r="C366" s="126"/>
      <c r="D366" s="126" t="s">
        <v>737</v>
      </c>
      <c r="E366" s="126"/>
      <c r="F366" s="609"/>
      <c r="G366" s="609" t="s">
        <v>736</v>
      </c>
      <c r="H366" s="609"/>
      <c r="I366" s="609"/>
      <c r="J366" s="609"/>
      <c r="K366" s="609"/>
      <c r="L366" s="126"/>
      <c r="M366" s="710"/>
      <c r="N366" s="710"/>
      <c r="O366" s="710"/>
      <c r="P366" s="710"/>
      <c r="Q366" s="710"/>
      <c r="R366" s="710"/>
      <c r="S366" s="710"/>
      <c r="T366" s="710"/>
      <c r="U366" s="710"/>
      <c r="V366" s="710"/>
      <c r="W366" s="710"/>
      <c r="X366" s="710"/>
      <c r="Y366" s="710"/>
      <c r="Z366" s="710"/>
      <c r="AA366" s="710"/>
      <c r="AB366" s="710"/>
      <c r="AC366" s="710"/>
      <c r="AD366" s="710"/>
      <c r="AE366" s="710"/>
      <c r="AF366" s="126"/>
      <c r="AG366" s="126"/>
      <c r="AH366" s="126"/>
      <c r="AI366" s="721">
        <v>0</v>
      </c>
      <c r="AJ366" s="721">
        <v>0</v>
      </c>
      <c r="AK366" s="721">
        <v>0</v>
      </c>
      <c r="AL366" s="721">
        <v>0</v>
      </c>
      <c r="AM366" s="721">
        <v>7.0210000000000002E-6</v>
      </c>
      <c r="AN366" s="721">
        <v>7.8110890000000002E-3</v>
      </c>
      <c r="AO366" s="710">
        <v>5.0721337017414769E-2</v>
      </c>
      <c r="AP366" s="710">
        <v>0.10278146074664769</v>
      </c>
      <c r="AQ366" s="710">
        <v>0.11713618258873916</v>
      </c>
      <c r="AR366" s="710">
        <v>0.12409439175987996</v>
      </c>
      <c r="AS366" s="710">
        <v>0.19832785603441339</v>
      </c>
      <c r="AT366" s="710">
        <v>0.28637899954574769</v>
      </c>
      <c r="AU366" s="710">
        <v>0.33770685041582965</v>
      </c>
      <c r="AV366" s="710">
        <v>0.38083747137395002</v>
      </c>
      <c r="AW366" s="710">
        <v>0.42793853698440987</v>
      </c>
      <c r="AX366" s="710">
        <v>0.47025047887975346</v>
      </c>
      <c r="AY366" s="710">
        <v>0.51187376967151688</v>
      </c>
      <c r="AZ366" s="710">
        <v>0.56051557332752822</v>
      </c>
      <c r="BA366" s="710">
        <v>0.61229312539967329</v>
      </c>
      <c r="BB366" s="710">
        <v>0.66484373968842569</v>
      </c>
      <c r="BC366" s="710">
        <v>0.71891088761226329</v>
      </c>
      <c r="BD366" s="710">
        <v>0.80968545147476323</v>
      </c>
      <c r="BE366" s="710">
        <v>0.87317551920562253</v>
      </c>
      <c r="BF366" s="710">
        <v>0.93542323910817693</v>
      </c>
      <c r="BG366" s="710">
        <v>0.99479521340556454</v>
      </c>
      <c r="BH366" s="710">
        <v>1.0488892137251415</v>
      </c>
      <c r="BI366" s="710">
        <v>1.0993956127847806</v>
      </c>
      <c r="BJ366" s="710">
        <v>1.1476195679302563</v>
      </c>
      <c r="BK366" s="710">
        <v>1.1886682928180066</v>
      </c>
      <c r="BL366" s="710">
        <v>1.2288070522161534</v>
      </c>
      <c r="BM366" s="710">
        <v>1.2672604339595894</v>
      </c>
      <c r="BN366" s="710">
        <v>1.30206721490211</v>
      </c>
      <c r="BO366" s="710">
        <v>1.3344790601711871</v>
      </c>
      <c r="BP366" s="710">
        <v>1.3653549997035501</v>
      </c>
      <c r="BQ366" s="710">
        <v>1.3954161600199109</v>
      </c>
      <c r="BR366" s="710">
        <v>1.425350987691743</v>
      </c>
      <c r="BS366" s="710">
        <v>1.4554821293594118</v>
      </c>
      <c r="BT366" s="710">
        <v>1.4858587735323543</v>
      </c>
      <c r="BU366" s="710">
        <v>1.5164843322119825</v>
      </c>
      <c r="BV366" s="710">
        <v>1.5473258270742607</v>
      </c>
      <c r="BW366" s="710">
        <v>1.5783009437127307</v>
      </c>
      <c r="BX366" s="710">
        <v>1.6093543475080492</v>
      </c>
      <c r="BY366" s="710">
        <v>1.6404454108112043</v>
      </c>
      <c r="BZ366" s="710">
        <v>1.6715397114340014</v>
      </c>
      <c r="CA366" s="710">
        <v>1.7026173115113588</v>
      </c>
      <c r="CB366" s="710">
        <v>1.7336711498475355</v>
      </c>
      <c r="CC366" s="710">
        <v>1.7647017367781246</v>
      </c>
      <c r="CD366" s="710">
        <v>1.7957135793674996</v>
      </c>
      <c r="CE366" s="710">
        <v>1.8267126947570942</v>
      </c>
      <c r="CF366" s="710">
        <v>1.8577045125883216</v>
      </c>
      <c r="CG366" s="710">
        <v>1.8886932132573715</v>
      </c>
      <c r="CH366" s="710">
        <v>1.9196816282840665</v>
      </c>
      <c r="CI366" s="710">
        <v>1.9506713038865426</v>
      </c>
      <c r="CJ366" s="710">
        <v>1.9816627799911428</v>
      </c>
      <c r="CK366" s="710">
        <v>2.0126559522490286</v>
      </c>
      <c r="CL366" s="710">
        <v>2.0436503886615851</v>
      </c>
      <c r="CM366" s="710">
        <v>2.0746455620432842</v>
      </c>
      <c r="CN366" s="710">
        <v>2.1056409964535328</v>
      </c>
      <c r="CO366" s="710">
        <v>2.1366363338089225</v>
      </c>
      <c r="CP366" s="710">
        <v>2.1676313475621236</v>
      </c>
      <c r="CQ366" s="710">
        <v>2.1986259269620003</v>
      </c>
      <c r="CR366" s="710">
        <v>2.229620047126244</v>
      </c>
      <c r="CS366" s="710">
        <v>2.2606137364754404</v>
      </c>
      <c r="CT366" s="710">
        <v>2.2916070489088769</v>
      </c>
      <c r="CU366" s="710">
        <v>2.3226000438000676</v>
      </c>
      <c r="CV366" s="710">
        <v>2.3535927739932729</v>
      </c>
      <c r="CW366" s="710">
        <v>2.3845852804391381</v>
      </c>
      <c r="CX366" s="710">
        <v>2.4155775914165059</v>
      </c>
      <c r="CY366" s="710">
        <v>2.4465697243761571</v>
      </c>
      <c r="CZ366" s="126"/>
      <c r="DA366" s="12">
        <v>0</v>
      </c>
      <c r="DB366" s="12">
        <v>0.27845709035280164</v>
      </c>
      <c r="DC366" s="12">
        <v>5.2939716806933905</v>
      </c>
      <c r="DD366" s="12">
        <v>13.230265871701352</v>
      </c>
      <c r="DE366" s="12">
        <v>18.393530934570553</v>
      </c>
      <c r="DF366" s="12">
        <v>22.850164501711596</v>
      </c>
      <c r="DG366" s="12">
        <v>27.313300851322285</v>
      </c>
    </row>
    <row r="367" spans="2:111">
      <c r="B367" s="126"/>
      <c r="C367" s="126"/>
      <c r="D367" s="126" t="s">
        <v>798</v>
      </c>
      <c r="E367" s="126"/>
      <c r="F367" s="609"/>
      <c r="G367" s="609" t="s">
        <v>736</v>
      </c>
      <c r="H367" s="609"/>
      <c r="I367" s="609"/>
      <c r="J367" s="609"/>
      <c r="K367" s="609"/>
      <c r="L367" s="126"/>
      <c r="M367" s="710"/>
      <c r="N367" s="710"/>
      <c r="O367" s="710"/>
      <c r="P367" s="710"/>
      <c r="Q367" s="710"/>
      <c r="R367" s="710"/>
      <c r="S367" s="710"/>
      <c r="T367" s="710"/>
      <c r="U367" s="710"/>
      <c r="V367" s="710"/>
      <c r="W367" s="710"/>
      <c r="X367" s="710"/>
      <c r="Y367" s="710"/>
      <c r="Z367" s="710"/>
      <c r="AA367" s="710"/>
      <c r="AB367" s="710"/>
      <c r="AC367" s="710"/>
      <c r="AD367" s="710"/>
      <c r="AE367" s="710"/>
      <c r="AF367" s="698"/>
      <c r="AG367" s="698"/>
      <c r="AH367" s="698"/>
      <c r="AI367" s="721">
        <v>0</v>
      </c>
      <c r="AJ367" s="721">
        <v>-1.4697512062999999E-3</v>
      </c>
      <c r="AK367" s="721">
        <v>-6.5800579691995516E-3</v>
      </c>
      <c r="AL367" s="721">
        <v>-1.6513969692799963E-2</v>
      </c>
      <c r="AM367" s="721">
        <v>-2.7999430607000001E-2</v>
      </c>
      <c r="AN367" s="721">
        <v>-3.6271073322799996E-2</v>
      </c>
      <c r="AO367" s="721">
        <v>-4.6364326999999997E-2</v>
      </c>
      <c r="AP367" s="710">
        <v>-6.8290365365406253E-2</v>
      </c>
      <c r="AQ367" s="710">
        <v>-7.6245127877892185E-2</v>
      </c>
      <c r="AR367" s="710">
        <v>-9.8102651203330338E-2</v>
      </c>
      <c r="AS367" s="710">
        <v>-0.12401853214213077</v>
      </c>
      <c r="AT367" s="710">
        <v>-0.14470887280424607</v>
      </c>
      <c r="AU367" s="710">
        <v>-0.16248583031099359</v>
      </c>
      <c r="AV367" s="710">
        <v>-0.17965641553653311</v>
      </c>
      <c r="AW367" s="710">
        <v>-0.19649582516314631</v>
      </c>
      <c r="AX367" s="710">
        <v>-0.21380507622932823</v>
      </c>
      <c r="AY367" s="710">
        <v>-0.23264157621799719</v>
      </c>
      <c r="AZ367" s="710">
        <v>-0.25091159872706392</v>
      </c>
      <c r="BA367" s="710">
        <v>-0.26800959866572482</v>
      </c>
      <c r="BB367" s="710">
        <v>-0.2851176468169539</v>
      </c>
      <c r="BC367" s="710">
        <v>-0.30284069546730047</v>
      </c>
      <c r="BD367" s="710">
        <v>-0.32094682518075129</v>
      </c>
      <c r="BE367" s="710">
        <v>-0.33904157900311738</v>
      </c>
      <c r="BF367" s="710">
        <v>-0.3567949949978913</v>
      </c>
      <c r="BG367" s="710">
        <v>-0.37398239575628828</v>
      </c>
      <c r="BH367" s="710">
        <v>-0.39110355863072782</v>
      </c>
      <c r="BI367" s="710">
        <v>-0.40814846554569767</v>
      </c>
      <c r="BJ367" s="710">
        <v>-0.42460577865708138</v>
      </c>
      <c r="BK367" s="710">
        <v>-0.44082562397970187</v>
      </c>
      <c r="BL367" s="710">
        <v>-0.45636609589355137</v>
      </c>
      <c r="BM367" s="710">
        <v>-0.47045036178947158</v>
      </c>
      <c r="BN367" s="710">
        <v>-0.48349537093964629</v>
      </c>
      <c r="BO367" s="710">
        <v>-0.4957245688350343</v>
      </c>
      <c r="BP367" s="710">
        <v>-0.50739479962010892</v>
      </c>
      <c r="BQ367" s="710">
        <v>-0.51879097727332457</v>
      </c>
      <c r="BR367" s="710">
        <v>-0.53007698811986959</v>
      </c>
      <c r="BS367" s="710">
        <v>-0.54134178904804842</v>
      </c>
      <c r="BT367" s="710">
        <v>-0.55263877794966798</v>
      </c>
      <c r="BU367" s="710">
        <v>-0.56399464212626516</v>
      </c>
      <c r="BV367" s="710">
        <v>-0.5754093451571034</v>
      </c>
      <c r="BW367" s="710">
        <v>-0.58687543306342893</v>
      </c>
      <c r="BX367" s="710">
        <v>-0.59838030465386971</v>
      </c>
      <c r="BY367" s="710">
        <v>-0.60990806015764443</v>
      </c>
      <c r="BZ367" s="710">
        <v>-0.62144578042955734</v>
      </c>
      <c r="CA367" s="710">
        <v>-0.63298484206728722</v>
      </c>
      <c r="CB367" s="710">
        <v>-0.64452037360383596</v>
      </c>
      <c r="CC367" s="710">
        <v>-0.65605036858248844</v>
      </c>
      <c r="CD367" s="710">
        <v>-0.66757476868049725</v>
      </c>
      <c r="CE367" s="710">
        <v>-0.6790945377385138</v>
      </c>
      <c r="CF367" s="710">
        <v>-0.69061104709394616</v>
      </c>
      <c r="CG367" s="710">
        <v>-0.70212566644618013</v>
      </c>
      <c r="CH367" s="710">
        <v>-0.71363949720771302</v>
      </c>
      <c r="CI367" s="710">
        <v>-0.72515328326441864</v>
      </c>
      <c r="CJ367" s="710">
        <v>-0.73666743629182729</v>
      </c>
      <c r="CK367" s="710">
        <v>-0.74818211211234109</v>
      </c>
      <c r="CL367" s="710">
        <v>-0.75969729890131454</v>
      </c>
      <c r="CM367" s="710">
        <v>-0.77121289614329447</v>
      </c>
      <c r="CN367" s="710">
        <v>-0.78272877321010148</v>
      </c>
      <c r="CO367" s="710">
        <v>-0.79424480687056453</v>
      </c>
      <c r="CP367" s="710">
        <v>-0.80576090084552587</v>
      </c>
      <c r="CQ367" s="710">
        <v>-0.81727699150401645</v>
      </c>
      <c r="CR367" s="710">
        <v>-0.82879304482016591</v>
      </c>
      <c r="CS367" s="710">
        <v>-0.84030904918629989</v>
      </c>
      <c r="CT367" s="710">
        <v>-0.85182500734392164</v>
      </c>
      <c r="CU367" s="710">
        <v>-0.86334092933879714</v>
      </c>
      <c r="CV367" s="710">
        <v>-0.87485682734161763</v>
      </c>
      <c r="CW367" s="710">
        <v>-0.88637271243212001</v>
      </c>
      <c r="CX367" s="710">
        <v>-0.89788859304262036</v>
      </c>
      <c r="CY367" s="710">
        <v>-0.90940447459860019</v>
      </c>
      <c r="CZ367" s="126"/>
      <c r="DA367" s="12">
        <v>0</v>
      </c>
      <c r="DB367" s="12">
        <v>-0.27973410304139795</v>
      </c>
      <c r="DC367" s="12">
        <v>-2.4587943192847486</v>
      </c>
      <c r="DD367" s="12">
        <v>-4.9614856192089603</v>
      </c>
      <c r="DE367" s="12">
        <v>-6.8392417396661749</v>
      </c>
      <c r="DF367" s="12">
        <v>-8.4945292860663706</v>
      </c>
      <c r="DG367" s="12">
        <v>-10.152802110534351</v>
      </c>
    </row>
    <row r="368" spans="2:111">
      <c r="B368" s="698"/>
      <c r="C368" s="698"/>
      <c r="D368" s="698" t="s">
        <v>830</v>
      </c>
      <c r="E368" s="698"/>
      <c r="F368" s="703"/>
      <c r="G368" s="609" t="s">
        <v>736</v>
      </c>
      <c r="H368" s="703"/>
      <c r="I368" s="703"/>
      <c r="J368" s="703"/>
      <c r="K368" s="703"/>
      <c r="L368" s="698"/>
      <c r="M368" s="714"/>
      <c r="N368" s="714"/>
      <c r="O368" s="714"/>
      <c r="P368" s="714"/>
      <c r="Q368" s="714"/>
      <c r="R368" s="714"/>
      <c r="S368" s="714"/>
      <c r="T368" s="714"/>
      <c r="U368" s="714"/>
      <c r="V368" s="714"/>
      <c r="W368" s="714"/>
      <c r="X368" s="714"/>
      <c r="Y368" s="714"/>
      <c r="Z368" s="714"/>
      <c r="AA368" s="714"/>
      <c r="AB368" s="714"/>
      <c r="AC368" s="714"/>
      <c r="AD368" s="714"/>
      <c r="AE368" s="714"/>
      <c r="AF368" s="698"/>
      <c r="AG368" s="126"/>
      <c r="AH368" s="698"/>
      <c r="AI368" s="723">
        <v>1.0214060000000001E-3</v>
      </c>
      <c r="AJ368" s="723">
        <v>4.9043436999999995E-2</v>
      </c>
      <c r="AK368" s="723">
        <v>0.117522401</v>
      </c>
      <c r="AL368" s="723">
        <v>0.21274689499999999</v>
      </c>
      <c r="AM368" s="723">
        <v>0.31996369699999999</v>
      </c>
      <c r="AN368" s="744">
        <v>0.38389435200000005</v>
      </c>
      <c r="AO368" s="744">
        <v>0.44828816362164059</v>
      </c>
      <c r="AP368" s="744">
        <v>0.46636951202698229</v>
      </c>
      <c r="AQ368" s="744">
        <v>0.52260197077539217</v>
      </c>
      <c r="AR368" s="744">
        <v>0.58853900791494618</v>
      </c>
      <c r="AS368" s="744">
        <v>0.62458991679816345</v>
      </c>
      <c r="AT368" s="744">
        <v>0.70645381385732442</v>
      </c>
      <c r="AU368" s="744">
        <v>0.78260053555538533</v>
      </c>
      <c r="AV368" s="744">
        <v>0.86186252158968779</v>
      </c>
      <c r="AW368" s="744">
        <v>0.93755714803279455</v>
      </c>
      <c r="AX368" s="744">
        <v>1.0269044474381948</v>
      </c>
      <c r="AY368" s="744">
        <v>1.1070331703134526</v>
      </c>
      <c r="AZ368" s="744">
        <v>1.1834475877306587</v>
      </c>
      <c r="BA368" s="744">
        <v>1.2682354018821282</v>
      </c>
      <c r="BB368" s="744">
        <v>1.3636003373796441</v>
      </c>
      <c r="BC368" s="744">
        <v>1.4674736257112537</v>
      </c>
      <c r="BD368" s="744">
        <v>1.5716840451915823</v>
      </c>
      <c r="BE368" s="744">
        <v>1.7487800792642565</v>
      </c>
      <c r="BF368" s="744">
        <v>1.8603904873655148</v>
      </c>
      <c r="BG368" s="744">
        <v>1.9658608277375182</v>
      </c>
      <c r="BH368" s="744">
        <v>2.063866282068624</v>
      </c>
      <c r="BI368" s="744">
        <v>2.1509465336337596</v>
      </c>
      <c r="BJ368" s="744">
        <v>2.2279536467584298</v>
      </c>
      <c r="BK368" s="744">
        <v>2.297905524234507</v>
      </c>
      <c r="BL368" s="744">
        <v>2.3539279113284555</v>
      </c>
      <c r="BM368" s="744">
        <v>2.4067700678430004</v>
      </c>
      <c r="BN368" s="744">
        <v>2.4573431382159714</v>
      </c>
      <c r="BO368" s="744">
        <v>2.5059819150353126</v>
      </c>
      <c r="BP368" s="744">
        <v>2.5556111973783988</v>
      </c>
      <c r="BQ368" s="744">
        <v>2.6066484896600755</v>
      </c>
      <c r="BR368" s="744">
        <v>2.6590892051453681</v>
      </c>
      <c r="BS368" s="744">
        <v>2.7127366935662618</v>
      </c>
      <c r="BT368" s="744">
        <v>2.7673434302084488</v>
      </c>
      <c r="BU368" s="744">
        <v>2.8225354096852944</v>
      </c>
      <c r="BV368" s="744">
        <v>2.8780386367408082</v>
      </c>
      <c r="BW368" s="744">
        <v>2.9336502473333779</v>
      </c>
      <c r="BX368" s="744">
        <v>2.9892129497200504</v>
      </c>
      <c r="BY368" s="744">
        <v>3.0446597591298414</v>
      </c>
      <c r="BZ368" s="744">
        <v>3.0999787816553002</v>
      </c>
      <c r="CA368" s="744">
        <v>3.1551872502431859</v>
      </c>
      <c r="CB368" s="744">
        <v>3.2103144050212071</v>
      </c>
      <c r="CC368" s="744">
        <v>3.2653915662248578</v>
      </c>
      <c r="CD368" s="744">
        <v>3.3204448938127937</v>
      </c>
      <c r="CE368" s="744">
        <v>3.3754932344980935</v>
      </c>
      <c r="CF368" s="744">
        <v>3.4305481947833889</v>
      </c>
      <c r="CG368" s="744">
        <v>3.4856149823537432</v>
      </c>
      <c r="CH368" s="744">
        <v>3.5406943415002203</v>
      </c>
      <c r="CI368" s="744">
        <v>3.5957844822485634</v>
      </c>
      <c r="CJ368" s="744">
        <v>3.6508825776450058</v>
      </c>
      <c r="CK368" s="744">
        <v>3.7059857494702619</v>
      </c>
      <c r="CL368" s="744">
        <v>3.7610916191215988</v>
      </c>
      <c r="CM368" s="744">
        <v>3.8161985100574922</v>
      </c>
      <c r="CN368" s="744">
        <v>3.8713054310813853</v>
      </c>
      <c r="CO368" s="744">
        <v>3.9264119457628714</v>
      </c>
      <c r="CP368" s="744">
        <v>3.981517996785997</v>
      </c>
      <c r="CQ368" s="744">
        <v>4.0366237391444448</v>
      </c>
      <c r="CR368" s="744">
        <v>4.0917294102520767</v>
      </c>
      <c r="CS368" s="744">
        <v>4.146835244469905</v>
      </c>
      <c r="CT368" s="744">
        <v>4.201941427425874</v>
      </c>
      <c r="CU368" s="744">
        <v>4.2570480804113657</v>
      </c>
      <c r="CV368" s="744">
        <v>4.3121552639299505</v>
      </c>
      <c r="CW368" s="744">
        <v>4.3672629909973653</v>
      </c>
      <c r="CX368" s="744">
        <v>4.422371243353961</v>
      </c>
      <c r="CY368" s="744">
        <v>4.4774799862568484</v>
      </c>
      <c r="CZ368" s="698"/>
      <c r="DA368" s="14">
        <v>0</v>
      </c>
      <c r="DB368" s="14">
        <v>2.5214518344240151</v>
      </c>
      <c r="DC368" s="14">
        <v>11.918297514203633</v>
      </c>
      <c r="DD368" s="14">
        <v>25.611410458676932</v>
      </c>
      <c r="DE368" s="14">
        <v>34.224692050466409</v>
      </c>
      <c r="DF368" s="14">
        <v>42.15844455673723</v>
      </c>
      <c r="DG368" s="14">
        <v>50.092682759872041</v>
      </c>
    </row>
    <row r="369" spans="2:111">
      <c r="B369" s="698"/>
      <c r="C369" s="698"/>
      <c r="D369" s="126" t="s">
        <v>540</v>
      </c>
      <c r="E369" s="698"/>
      <c r="F369" s="703"/>
      <c r="G369" s="609" t="s">
        <v>736</v>
      </c>
      <c r="H369" s="703"/>
      <c r="I369" s="703"/>
      <c r="J369" s="703"/>
      <c r="K369" s="703"/>
      <c r="L369" s="698"/>
      <c r="M369" s="714"/>
      <c r="N369" s="714"/>
      <c r="O369" s="714"/>
      <c r="P369" s="714"/>
      <c r="Q369" s="714"/>
      <c r="R369" s="714"/>
      <c r="S369" s="714"/>
      <c r="T369" s="714"/>
      <c r="U369" s="714"/>
      <c r="V369" s="714"/>
      <c r="W369" s="714"/>
      <c r="X369" s="714"/>
      <c r="Y369" s="714"/>
      <c r="Z369" s="714"/>
      <c r="AA369" s="714"/>
      <c r="AB369" s="714"/>
      <c r="AC369" s="714"/>
      <c r="AD369" s="714"/>
      <c r="AE369" s="714"/>
      <c r="AF369" s="698"/>
      <c r="AG369" s="126"/>
      <c r="AH369" s="698"/>
      <c r="AI369" s="744"/>
      <c r="AJ369" s="744"/>
      <c r="AK369" s="744"/>
      <c r="AL369" s="696"/>
      <c r="AM369" s="696"/>
      <c r="AN369" s="696"/>
      <c r="AO369" s="721">
        <v>0</v>
      </c>
      <c r="AP369" s="696"/>
      <c r="AQ369" s="696"/>
      <c r="AR369" s="696"/>
      <c r="AS369" s="696"/>
      <c r="AT369" s="696"/>
      <c r="AU369" s="696"/>
      <c r="AV369" s="696"/>
      <c r="AW369" s="696"/>
      <c r="AX369" s="696"/>
      <c r="AY369" s="696"/>
      <c r="AZ369" s="696"/>
      <c r="BA369" s="696"/>
      <c r="BB369" s="696"/>
      <c r="BC369" s="696"/>
      <c r="BD369" s="696"/>
      <c r="BE369" s="696"/>
      <c r="BF369" s="696"/>
      <c r="BG369" s="696"/>
      <c r="BH369" s="696"/>
      <c r="BI369" s="696"/>
      <c r="BJ369" s="696"/>
      <c r="BK369" s="696"/>
      <c r="BL369" s="696"/>
      <c r="BM369" s="696"/>
      <c r="BN369" s="696"/>
      <c r="BO369" s="696"/>
      <c r="BP369" s="696"/>
      <c r="BQ369" s="696"/>
      <c r="BR369" s="696"/>
      <c r="BS369" s="696"/>
      <c r="BT369" s="696"/>
      <c r="BU369" s="696"/>
      <c r="BV369" s="696"/>
      <c r="BW369" s="696"/>
      <c r="BX369" s="696"/>
      <c r="BY369" s="696"/>
      <c r="BZ369" s="696"/>
      <c r="CA369" s="696"/>
      <c r="CB369" s="696"/>
      <c r="CC369" s="696"/>
      <c r="CD369" s="696"/>
      <c r="CE369" s="696"/>
      <c r="CF369" s="696"/>
      <c r="CG369" s="696"/>
      <c r="CH369" s="696"/>
      <c r="CI369" s="696"/>
      <c r="CJ369" s="696"/>
      <c r="CK369" s="696"/>
      <c r="CL369" s="696"/>
      <c r="CM369" s="696"/>
      <c r="CN369" s="696"/>
      <c r="CO369" s="696"/>
      <c r="CP369" s="696"/>
      <c r="CQ369" s="696"/>
      <c r="CR369" s="696"/>
      <c r="CS369" s="696"/>
      <c r="CT369" s="696"/>
      <c r="CU369" s="696"/>
      <c r="CV369" s="696"/>
      <c r="CW369" s="696"/>
      <c r="CX369" s="696"/>
      <c r="CY369" s="696"/>
      <c r="CZ369" s="698"/>
      <c r="DA369" s="12">
        <v>0</v>
      </c>
      <c r="DB369" s="12">
        <v>0</v>
      </c>
      <c r="DC369" s="12">
        <v>0</v>
      </c>
      <c r="DD369" s="12">
        <v>0</v>
      </c>
      <c r="DE369" s="12">
        <v>0</v>
      </c>
      <c r="DF369" s="12">
        <v>0</v>
      </c>
      <c r="DG369" s="12">
        <v>0</v>
      </c>
    </row>
    <row r="370" spans="2:111">
      <c r="B370" s="698"/>
      <c r="C370" s="698"/>
      <c r="D370" s="126" t="s">
        <v>799</v>
      </c>
      <c r="E370" s="698"/>
      <c r="F370" s="703"/>
      <c r="G370" s="609" t="s">
        <v>736</v>
      </c>
      <c r="H370" s="703"/>
      <c r="I370" s="703"/>
      <c r="J370" s="703"/>
      <c r="K370" s="703"/>
      <c r="L370" s="698"/>
      <c r="M370" s="714"/>
      <c r="N370" s="714"/>
      <c r="O370" s="714"/>
      <c r="P370" s="714"/>
      <c r="Q370" s="714"/>
      <c r="R370" s="714"/>
      <c r="S370" s="714"/>
      <c r="T370" s="714"/>
      <c r="U370" s="714"/>
      <c r="V370" s="714"/>
      <c r="W370" s="714"/>
      <c r="X370" s="714"/>
      <c r="Y370" s="714"/>
      <c r="Z370" s="714"/>
      <c r="AA370" s="714"/>
      <c r="AB370" s="714"/>
      <c r="AC370" s="714"/>
      <c r="AD370" s="714"/>
      <c r="AE370" s="714"/>
      <c r="AF370" s="126"/>
      <c r="AG370" s="126"/>
      <c r="AH370" s="126"/>
      <c r="AI370" s="744"/>
      <c r="AJ370" s="744"/>
      <c r="AK370" s="744"/>
      <c r="AL370" s="696"/>
      <c r="AM370" s="696"/>
      <c r="AN370" s="696"/>
      <c r="AO370" s="721">
        <v>0</v>
      </c>
      <c r="AP370" s="696"/>
      <c r="AQ370" s="696"/>
      <c r="AR370" s="696"/>
      <c r="AS370" s="696"/>
      <c r="AT370" s="696"/>
      <c r="AU370" s="696"/>
      <c r="AV370" s="696"/>
      <c r="AW370" s="696"/>
      <c r="AX370" s="696"/>
      <c r="AY370" s="696"/>
      <c r="AZ370" s="696"/>
      <c r="BA370" s="696"/>
      <c r="BB370" s="696"/>
      <c r="BC370" s="696"/>
      <c r="BD370" s="696"/>
      <c r="BE370" s="696"/>
      <c r="BF370" s="696"/>
      <c r="BG370" s="696"/>
      <c r="BH370" s="696"/>
      <c r="BI370" s="696"/>
      <c r="BJ370" s="696"/>
      <c r="BK370" s="696"/>
      <c r="BL370" s="696"/>
      <c r="BM370" s="696"/>
      <c r="BN370" s="696"/>
      <c r="BO370" s="696"/>
      <c r="BP370" s="696"/>
      <c r="BQ370" s="696"/>
      <c r="BR370" s="696"/>
      <c r="BS370" s="696"/>
      <c r="BT370" s="696"/>
      <c r="BU370" s="696"/>
      <c r="BV370" s="696"/>
      <c r="BW370" s="696"/>
      <c r="BX370" s="696"/>
      <c r="BY370" s="696"/>
      <c r="BZ370" s="696"/>
      <c r="CA370" s="696"/>
      <c r="CB370" s="696"/>
      <c r="CC370" s="696"/>
      <c r="CD370" s="696"/>
      <c r="CE370" s="696"/>
      <c r="CF370" s="696"/>
      <c r="CG370" s="696"/>
      <c r="CH370" s="696"/>
      <c r="CI370" s="696"/>
      <c r="CJ370" s="696"/>
      <c r="CK370" s="696"/>
      <c r="CL370" s="696"/>
      <c r="CM370" s="696"/>
      <c r="CN370" s="696"/>
      <c r="CO370" s="696"/>
      <c r="CP370" s="696"/>
      <c r="CQ370" s="696"/>
      <c r="CR370" s="696"/>
      <c r="CS370" s="696"/>
      <c r="CT370" s="696"/>
      <c r="CU370" s="696"/>
      <c r="CV370" s="696"/>
      <c r="CW370" s="696"/>
      <c r="CX370" s="696"/>
      <c r="CY370" s="696"/>
      <c r="CZ370" s="698"/>
      <c r="DA370" s="12">
        <v>0</v>
      </c>
      <c r="DB370" s="12">
        <v>0</v>
      </c>
      <c r="DC370" s="12">
        <v>0</v>
      </c>
      <c r="DD370" s="12">
        <v>0</v>
      </c>
      <c r="DE370" s="12">
        <v>0</v>
      </c>
      <c r="DF370" s="12">
        <v>0</v>
      </c>
      <c r="DG370" s="12">
        <v>0</v>
      </c>
    </row>
    <row r="371" spans="2:111">
      <c r="B371" s="126"/>
      <c r="C371" s="126"/>
      <c r="D371" s="126" t="s">
        <v>800</v>
      </c>
      <c r="E371" s="126"/>
      <c r="F371" s="609"/>
      <c r="G371" s="609" t="s">
        <v>736</v>
      </c>
      <c r="H371" s="609"/>
      <c r="I371" s="609"/>
      <c r="J371" s="609"/>
      <c r="K371" s="609"/>
      <c r="L371" s="126"/>
      <c r="M371" s="710"/>
      <c r="N371" s="710"/>
      <c r="O371" s="710"/>
      <c r="P371" s="710"/>
      <c r="Q371" s="710"/>
      <c r="R371" s="710"/>
      <c r="S371" s="710"/>
      <c r="T371" s="710"/>
      <c r="U371" s="710"/>
      <c r="V371" s="710"/>
      <c r="W371" s="710"/>
      <c r="X371" s="710"/>
      <c r="Y371" s="710"/>
      <c r="Z371" s="710"/>
      <c r="AA371" s="710"/>
      <c r="AB371" s="710"/>
      <c r="AC371" s="710"/>
      <c r="AD371" s="710"/>
      <c r="AE371" s="710"/>
      <c r="AF371" s="126"/>
      <c r="AG371" s="126"/>
      <c r="AH371" s="126"/>
      <c r="AI371" s="745"/>
      <c r="AJ371" s="745"/>
      <c r="AK371" s="745"/>
      <c r="AL371" s="710"/>
      <c r="AM371" s="710"/>
      <c r="AN371" s="710"/>
      <c r="AO371" s="721">
        <v>0</v>
      </c>
      <c r="AP371" s="710"/>
      <c r="AQ371" s="710"/>
      <c r="AR371" s="710"/>
      <c r="AS371" s="710"/>
      <c r="AT371" s="710"/>
      <c r="AU371" s="710"/>
      <c r="AV371" s="710"/>
      <c r="AW371" s="710"/>
      <c r="AX371" s="710"/>
      <c r="AY371" s="710"/>
      <c r="AZ371" s="710"/>
      <c r="BA371" s="710"/>
      <c r="BB371" s="710"/>
      <c r="BC371" s="710"/>
      <c r="BD371" s="710"/>
      <c r="BE371" s="710"/>
      <c r="BF371" s="710"/>
      <c r="BG371" s="710"/>
      <c r="BH371" s="710"/>
      <c r="BI371" s="710"/>
      <c r="BJ371" s="710"/>
      <c r="BK371" s="710"/>
      <c r="BL371" s="710"/>
      <c r="BM371" s="710"/>
      <c r="BN371" s="710"/>
      <c r="BO371" s="710"/>
      <c r="BP371" s="710"/>
      <c r="BQ371" s="710"/>
      <c r="BR371" s="710"/>
      <c r="BS371" s="710"/>
      <c r="BT371" s="710"/>
      <c r="BU371" s="710"/>
      <c r="BV371" s="710"/>
      <c r="BW371" s="710"/>
      <c r="BX371" s="710"/>
      <c r="BY371" s="710"/>
      <c r="BZ371" s="710"/>
      <c r="CA371" s="710"/>
      <c r="CB371" s="710"/>
      <c r="CC371" s="710"/>
      <c r="CD371" s="710"/>
      <c r="CE371" s="710"/>
      <c r="CF371" s="710"/>
      <c r="CG371" s="710"/>
      <c r="CH371" s="710"/>
      <c r="CI371" s="710"/>
      <c r="CJ371" s="710"/>
      <c r="CK371" s="710"/>
      <c r="CL371" s="710"/>
      <c r="CM371" s="710"/>
      <c r="CN371" s="710"/>
      <c r="CO371" s="710"/>
      <c r="CP371" s="710"/>
      <c r="CQ371" s="710"/>
      <c r="CR371" s="710"/>
      <c r="CS371" s="710"/>
      <c r="CT371" s="710"/>
      <c r="CU371" s="710"/>
      <c r="CV371" s="710"/>
      <c r="CW371" s="710"/>
      <c r="CX371" s="710"/>
      <c r="CY371" s="710"/>
      <c r="CZ371" s="126"/>
      <c r="DA371" s="12">
        <v>0</v>
      </c>
      <c r="DB371" s="12">
        <v>0</v>
      </c>
      <c r="DC371" s="12">
        <v>0</v>
      </c>
      <c r="DD371" s="12">
        <v>0</v>
      </c>
      <c r="DE371" s="12">
        <v>0</v>
      </c>
      <c r="DF371" s="12">
        <v>0</v>
      </c>
      <c r="DG371" s="12">
        <v>0</v>
      </c>
    </row>
    <row r="372" spans="2:111">
      <c r="B372" s="126"/>
      <c r="C372" s="126"/>
      <c r="D372" s="126" t="s">
        <v>223</v>
      </c>
      <c r="E372" s="126"/>
      <c r="F372" s="609"/>
      <c r="G372" s="609" t="s">
        <v>736</v>
      </c>
      <c r="H372" s="609"/>
      <c r="I372" s="609"/>
      <c r="J372" s="609"/>
      <c r="K372" s="609"/>
      <c r="L372" s="126"/>
      <c r="M372" s="710"/>
      <c r="N372" s="710"/>
      <c r="O372" s="710"/>
      <c r="P372" s="710"/>
      <c r="Q372" s="710"/>
      <c r="R372" s="710"/>
      <c r="S372" s="710"/>
      <c r="T372" s="710"/>
      <c r="U372" s="710"/>
      <c r="V372" s="710"/>
      <c r="W372" s="710"/>
      <c r="X372" s="710"/>
      <c r="Y372" s="710"/>
      <c r="Z372" s="710"/>
      <c r="AA372" s="710"/>
      <c r="AB372" s="710"/>
      <c r="AC372" s="710"/>
      <c r="AD372" s="710"/>
      <c r="AE372" s="710"/>
      <c r="AF372" s="126"/>
      <c r="AG372" s="126"/>
      <c r="AH372" s="126"/>
      <c r="AI372" s="739"/>
      <c r="AJ372" s="739"/>
      <c r="AK372" s="721">
        <v>0</v>
      </c>
      <c r="AL372" s="721">
        <v>0</v>
      </c>
      <c r="AM372" s="721">
        <v>0</v>
      </c>
      <c r="AN372" s="713">
        <v>3.6230999999999999E-2</v>
      </c>
      <c r="AO372" s="721">
        <v>4.4109038000000003E-2</v>
      </c>
      <c r="AP372" s="710">
        <v>0</v>
      </c>
      <c r="AQ372" s="710">
        <v>0</v>
      </c>
      <c r="AR372" s="710">
        <v>0</v>
      </c>
      <c r="AS372" s="710">
        <v>0</v>
      </c>
      <c r="AT372" s="710">
        <v>0</v>
      </c>
      <c r="AU372" s="710">
        <v>0</v>
      </c>
      <c r="AV372" s="710">
        <v>0</v>
      </c>
      <c r="AW372" s="710">
        <v>0</v>
      </c>
      <c r="AX372" s="710">
        <v>0</v>
      </c>
      <c r="AY372" s="710">
        <v>0</v>
      </c>
      <c r="AZ372" s="710">
        <v>0</v>
      </c>
      <c r="BA372" s="710">
        <v>0</v>
      </c>
      <c r="BB372" s="710">
        <v>0</v>
      </c>
      <c r="BC372" s="710">
        <v>0</v>
      </c>
      <c r="BD372" s="710">
        <v>0</v>
      </c>
      <c r="BE372" s="710">
        <v>0</v>
      </c>
      <c r="BF372" s="710">
        <v>0</v>
      </c>
      <c r="BG372" s="710">
        <v>0</v>
      </c>
      <c r="BH372" s="710">
        <v>0</v>
      </c>
      <c r="BI372" s="710">
        <v>0</v>
      </c>
      <c r="BJ372" s="710">
        <v>0</v>
      </c>
      <c r="BK372" s="710">
        <v>0</v>
      </c>
      <c r="BL372" s="710">
        <v>0</v>
      </c>
      <c r="BM372" s="710">
        <v>0</v>
      </c>
      <c r="BN372" s="710">
        <v>0</v>
      </c>
      <c r="BO372" s="710">
        <v>0</v>
      </c>
      <c r="BP372" s="710">
        <v>0</v>
      </c>
      <c r="BQ372" s="710">
        <v>0</v>
      </c>
      <c r="BR372" s="710">
        <v>0</v>
      </c>
      <c r="BS372" s="710">
        <v>0</v>
      </c>
      <c r="BT372" s="710">
        <v>0</v>
      </c>
      <c r="BU372" s="710">
        <v>0</v>
      </c>
      <c r="BV372" s="710">
        <v>0</v>
      </c>
      <c r="BW372" s="710">
        <v>0</v>
      </c>
      <c r="BX372" s="710">
        <v>0</v>
      </c>
      <c r="BY372" s="710">
        <v>0</v>
      </c>
      <c r="BZ372" s="710">
        <v>0</v>
      </c>
      <c r="CA372" s="710">
        <v>0</v>
      </c>
      <c r="CB372" s="710">
        <v>0</v>
      </c>
      <c r="CC372" s="710">
        <v>0</v>
      </c>
      <c r="CD372" s="710">
        <v>0</v>
      </c>
      <c r="CE372" s="710">
        <v>0</v>
      </c>
      <c r="CF372" s="710">
        <v>0</v>
      </c>
      <c r="CG372" s="710">
        <v>0</v>
      </c>
      <c r="CH372" s="710">
        <v>0</v>
      </c>
      <c r="CI372" s="710">
        <v>0</v>
      </c>
      <c r="CJ372" s="710">
        <v>0</v>
      </c>
      <c r="CK372" s="710">
        <v>0</v>
      </c>
      <c r="CL372" s="710">
        <v>0</v>
      </c>
      <c r="CM372" s="710">
        <v>0</v>
      </c>
      <c r="CN372" s="710">
        <v>0</v>
      </c>
      <c r="CO372" s="710">
        <v>0</v>
      </c>
      <c r="CP372" s="710">
        <v>0</v>
      </c>
      <c r="CQ372" s="710">
        <v>0</v>
      </c>
      <c r="CR372" s="710">
        <v>0</v>
      </c>
      <c r="CS372" s="710">
        <v>0</v>
      </c>
      <c r="CT372" s="710">
        <v>0</v>
      </c>
      <c r="CU372" s="710">
        <v>0</v>
      </c>
      <c r="CV372" s="710">
        <v>0</v>
      </c>
      <c r="CW372" s="710">
        <v>0</v>
      </c>
      <c r="CX372" s="710">
        <v>0</v>
      </c>
      <c r="CY372" s="710">
        <v>0</v>
      </c>
      <c r="CZ372" s="126"/>
      <c r="DA372" s="12">
        <v>0</v>
      </c>
      <c r="DB372" s="12">
        <v>8.0340038000000003E-2</v>
      </c>
      <c r="DC372" s="12">
        <v>0</v>
      </c>
      <c r="DD372" s="12">
        <v>0</v>
      </c>
      <c r="DE372" s="12">
        <v>0</v>
      </c>
      <c r="DF372" s="12">
        <v>0</v>
      </c>
      <c r="DG372" s="12">
        <v>0</v>
      </c>
    </row>
    <row r="373" spans="2:111">
      <c r="B373" s="126"/>
      <c r="C373" s="126"/>
      <c r="D373" s="126" t="s">
        <v>221</v>
      </c>
      <c r="E373" s="126"/>
      <c r="F373" s="609"/>
      <c r="G373" s="609" t="s">
        <v>736</v>
      </c>
      <c r="H373" s="609"/>
      <c r="I373" s="609"/>
      <c r="J373" s="609"/>
      <c r="K373" s="609"/>
      <c r="L373" s="126"/>
      <c r="M373" s="710"/>
      <c r="N373" s="710"/>
      <c r="O373" s="710"/>
      <c r="P373" s="710"/>
      <c r="Q373" s="710"/>
      <c r="R373" s="710"/>
      <c r="S373" s="710"/>
      <c r="T373" s="710"/>
      <c r="U373" s="710"/>
      <c r="V373" s="710"/>
      <c r="W373" s="710"/>
      <c r="X373" s="710"/>
      <c r="Y373" s="710"/>
      <c r="Z373" s="710"/>
      <c r="AA373" s="710"/>
      <c r="AB373" s="710"/>
      <c r="AC373" s="710"/>
      <c r="AD373" s="710"/>
      <c r="AE373" s="710"/>
      <c r="AF373" s="126"/>
      <c r="AG373" s="126"/>
      <c r="AH373" s="126"/>
      <c r="AI373" s="721">
        <v>1.0214060000000001E-3</v>
      </c>
      <c r="AJ373" s="721">
        <v>5.1011058999999997E-2</v>
      </c>
      <c r="AK373" s="721">
        <v>0.115925141</v>
      </c>
      <c r="AL373" s="721">
        <v>0.19491484000000001</v>
      </c>
      <c r="AM373" s="721">
        <v>0.27075200799999999</v>
      </c>
      <c r="AN373" s="713">
        <v>0.27294280700000001</v>
      </c>
      <c r="AO373" s="721">
        <v>0.41953715600000002</v>
      </c>
      <c r="AP373" s="710">
        <v>0.49375200000000002</v>
      </c>
      <c r="AQ373" s="710">
        <v>0.64828799999999998</v>
      </c>
      <c r="AR373" s="710">
        <v>0.73328800000000005</v>
      </c>
      <c r="AS373" s="710">
        <v>0.81928799999999991</v>
      </c>
      <c r="AT373" s="710">
        <v>0.90628799999999998</v>
      </c>
      <c r="AU373" s="710">
        <v>0.99428799999999995</v>
      </c>
      <c r="AV373" s="710">
        <v>1.0832880000000003</v>
      </c>
      <c r="AW373" s="710">
        <v>1.1732880000000001</v>
      </c>
      <c r="AX373" s="710">
        <v>1.2642880000000001</v>
      </c>
      <c r="AY373" s="710">
        <v>1.3562880000000002</v>
      </c>
      <c r="AZ373" s="710">
        <v>1.4492880000000001</v>
      </c>
      <c r="BA373" s="710">
        <v>1.5432880000000002</v>
      </c>
      <c r="BB373" s="710">
        <v>1.6382880000000002</v>
      </c>
      <c r="BC373" s="710">
        <v>1.7342880000000003</v>
      </c>
      <c r="BD373" s="710">
        <v>1.8272880000000002</v>
      </c>
      <c r="BE373" s="710">
        <v>1.9172880000000001</v>
      </c>
      <c r="BF373" s="710">
        <v>2.0042880000000003</v>
      </c>
      <c r="BG373" s="710">
        <v>2.0882879999999999</v>
      </c>
      <c r="BH373" s="710">
        <v>2.1692880000000003</v>
      </c>
      <c r="BI373" s="710">
        <v>2.2472880000000002</v>
      </c>
      <c r="BJ373" s="710">
        <v>2.3222879999999999</v>
      </c>
      <c r="BK373" s="710">
        <v>2.3942880000000004</v>
      </c>
      <c r="BL373" s="710">
        <v>2.4632880000000004</v>
      </c>
      <c r="BM373" s="710">
        <v>2.5292880000000002</v>
      </c>
      <c r="BN373" s="710">
        <v>2.5922879999999999</v>
      </c>
      <c r="BO373" s="710">
        <v>2.652288</v>
      </c>
      <c r="BP373" s="710">
        <v>2.712288</v>
      </c>
      <c r="BQ373" s="710">
        <v>2.7722879999999996</v>
      </c>
      <c r="BR373" s="710">
        <v>2.8322880000000001</v>
      </c>
      <c r="BS373" s="710">
        <v>2.8922879999999997</v>
      </c>
      <c r="BT373" s="710">
        <v>2.9522879999999998</v>
      </c>
      <c r="BU373" s="710">
        <v>3.0122879999999999</v>
      </c>
      <c r="BV373" s="710">
        <v>3.0722879999999999</v>
      </c>
      <c r="BW373" s="710">
        <v>3.132288</v>
      </c>
      <c r="BX373" s="710">
        <v>3.1922879999999996</v>
      </c>
      <c r="BY373" s="710">
        <v>3.2522880000000001</v>
      </c>
      <c r="BZ373" s="710">
        <v>3.3122879999999997</v>
      </c>
      <c r="CA373" s="710">
        <v>3.3722879999999997</v>
      </c>
      <c r="CB373" s="710">
        <v>3.4322879999999998</v>
      </c>
      <c r="CC373" s="710">
        <v>3.4922880000000003</v>
      </c>
      <c r="CD373" s="710">
        <v>3.5522880000000003</v>
      </c>
      <c r="CE373" s="710">
        <v>3.6122879999999995</v>
      </c>
      <c r="CF373" s="710">
        <v>3.672288</v>
      </c>
      <c r="CG373" s="710">
        <v>3.732288</v>
      </c>
      <c r="CH373" s="710">
        <v>3.7922880000000001</v>
      </c>
      <c r="CI373" s="710">
        <v>3.8522880000000002</v>
      </c>
      <c r="CJ373" s="710">
        <v>3.9122879999999998</v>
      </c>
      <c r="CK373" s="710">
        <v>3.9722879999999998</v>
      </c>
      <c r="CL373" s="710">
        <v>4.0322880000000003</v>
      </c>
      <c r="CM373" s="710">
        <v>4.0922879999999999</v>
      </c>
      <c r="CN373" s="710">
        <v>4.1522880000000004</v>
      </c>
      <c r="CO373" s="710">
        <v>4.212288</v>
      </c>
      <c r="CP373" s="710">
        <v>4.2722879999999996</v>
      </c>
      <c r="CQ373" s="710">
        <v>4.3322880000000001</v>
      </c>
      <c r="CR373" s="710">
        <v>4.3922879999999997</v>
      </c>
      <c r="CS373" s="710">
        <v>4.4522880000000002</v>
      </c>
      <c r="CT373" s="710">
        <v>4.5122879999999999</v>
      </c>
      <c r="CU373" s="710">
        <v>4.5722879999999995</v>
      </c>
      <c r="CV373" s="710">
        <v>4.632288</v>
      </c>
      <c r="CW373" s="710">
        <v>4.6922880000000005</v>
      </c>
      <c r="CX373" s="710">
        <v>4.7522880000000001</v>
      </c>
      <c r="CY373" s="710">
        <v>4.8122879999999997</v>
      </c>
      <c r="CZ373" s="126"/>
      <c r="DA373" s="12">
        <v>0</v>
      </c>
      <c r="DB373" s="12">
        <v>2.468144417</v>
      </c>
      <c r="DC373" s="12">
        <v>14.695456</v>
      </c>
      <c r="DD373" s="12">
        <v>27.207456000000004</v>
      </c>
      <c r="DE373" s="12">
        <v>36.507455999999998</v>
      </c>
      <c r="DF373" s="12">
        <v>45.147456000000005</v>
      </c>
      <c r="DG373" s="12">
        <v>53.787456000000006</v>
      </c>
    </row>
    <row r="374" spans="2:111">
      <c r="B374" s="126"/>
      <c r="C374" s="126"/>
      <c r="D374" s="126" t="s">
        <v>801</v>
      </c>
      <c r="E374" s="126"/>
      <c r="F374" s="609"/>
      <c r="G374" s="609" t="s">
        <v>736</v>
      </c>
      <c r="H374" s="609"/>
      <c r="I374" s="609"/>
      <c r="J374" s="609"/>
      <c r="K374" s="609"/>
      <c r="L374" s="126"/>
      <c r="M374" s="710"/>
      <c r="N374" s="710"/>
      <c r="O374" s="710"/>
      <c r="P374" s="710"/>
      <c r="Q374" s="710"/>
      <c r="R374" s="710"/>
      <c r="S374" s="710"/>
      <c r="T374" s="710"/>
      <c r="U374" s="710"/>
      <c r="V374" s="710"/>
      <c r="W374" s="710"/>
      <c r="X374" s="710"/>
      <c r="Y374" s="710"/>
      <c r="Z374" s="710"/>
      <c r="AA374" s="710"/>
      <c r="AB374" s="710"/>
      <c r="AC374" s="710"/>
      <c r="AD374" s="710"/>
      <c r="AE374" s="710"/>
      <c r="AF374" s="126"/>
      <c r="AG374" s="126"/>
      <c r="AH374" s="126"/>
      <c r="AI374" s="739"/>
      <c r="AJ374" s="739"/>
      <c r="AK374" s="739">
        <v>0</v>
      </c>
      <c r="AL374" s="739">
        <v>0</v>
      </c>
      <c r="AM374" s="739">
        <v>0</v>
      </c>
      <c r="AN374" s="710">
        <v>0</v>
      </c>
      <c r="AO374" s="721">
        <v>0</v>
      </c>
      <c r="AP374" s="710">
        <v>0</v>
      </c>
      <c r="AQ374" s="710">
        <v>0</v>
      </c>
      <c r="AR374" s="710">
        <v>0</v>
      </c>
      <c r="AS374" s="710">
        <v>0</v>
      </c>
      <c r="AT374" s="710">
        <v>0</v>
      </c>
      <c r="AU374" s="710">
        <v>0</v>
      </c>
      <c r="AV374" s="710">
        <v>0</v>
      </c>
      <c r="AW374" s="710">
        <v>0</v>
      </c>
      <c r="AX374" s="710">
        <v>0</v>
      </c>
      <c r="AY374" s="710">
        <v>0</v>
      </c>
      <c r="AZ374" s="710">
        <v>0</v>
      </c>
      <c r="BA374" s="710">
        <v>0</v>
      </c>
      <c r="BB374" s="710">
        <v>0</v>
      </c>
      <c r="BC374" s="710">
        <v>0</v>
      </c>
      <c r="BD374" s="710">
        <v>0</v>
      </c>
      <c r="BE374" s="710">
        <v>0</v>
      </c>
      <c r="BF374" s="710">
        <v>0</v>
      </c>
      <c r="BG374" s="710">
        <v>0</v>
      </c>
      <c r="BH374" s="710">
        <v>0</v>
      </c>
      <c r="BI374" s="710">
        <v>0</v>
      </c>
      <c r="BJ374" s="710">
        <v>0</v>
      </c>
      <c r="BK374" s="710">
        <v>0</v>
      </c>
      <c r="BL374" s="710">
        <v>0</v>
      </c>
      <c r="BM374" s="710">
        <v>0</v>
      </c>
      <c r="BN374" s="710">
        <v>0</v>
      </c>
      <c r="BO374" s="710">
        <v>0</v>
      </c>
      <c r="BP374" s="710">
        <v>0</v>
      </c>
      <c r="BQ374" s="710">
        <v>0</v>
      </c>
      <c r="BR374" s="710">
        <v>0</v>
      </c>
      <c r="BS374" s="710">
        <v>0</v>
      </c>
      <c r="BT374" s="710">
        <v>0</v>
      </c>
      <c r="BU374" s="710">
        <v>0</v>
      </c>
      <c r="BV374" s="710">
        <v>0</v>
      </c>
      <c r="BW374" s="710">
        <v>0</v>
      </c>
      <c r="BX374" s="710">
        <v>0</v>
      </c>
      <c r="BY374" s="710">
        <v>0</v>
      </c>
      <c r="BZ374" s="710">
        <v>0</v>
      </c>
      <c r="CA374" s="710">
        <v>0</v>
      </c>
      <c r="CB374" s="710">
        <v>0</v>
      </c>
      <c r="CC374" s="710">
        <v>0</v>
      </c>
      <c r="CD374" s="710">
        <v>0</v>
      </c>
      <c r="CE374" s="710">
        <v>0</v>
      </c>
      <c r="CF374" s="710">
        <v>0</v>
      </c>
      <c r="CG374" s="710">
        <v>0</v>
      </c>
      <c r="CH374" s="710">
        <v>0</v>
      </c>
      <c r="CI374" s="710">
        <v>0</v>
      </c>
      <c r="CJ374" s="710">
        <v>0</v>
      </c>
      <c r="CK374" s="710">
        <v>0</v>
      </c>
      <c r="CL374" s="710">
        <v>0</v>
      </c>
      <c r="CM374" s="710">
        <v>0</v>
      </c>
      <c r="CN374" s="710">
        <v>0</v>
      </c>
      <c r="CO374" s="710">
        <v>0</v>
      </c>
      <c r="CP374" s="710">
        <v>0</v>
      </c>
      <c r="CQ374" s="710">
        <v>0</v>
      </c>
      <c r="CR374" s="710">
        <v>0</v>
      </c>
      <c r="CS374" s="710">
        <v>0</v>
      </c>
      <c r="CT374" s="710">
        <v>0</v>
      </c>
      <c r="CU374" s="710">
        <v>0</v>
      </c>
      <c r="CV374" s="710">
        <v>0</v>
      </c>
      <c r="CW374" s="710">
        <v>0</v>
      </c>
      <c r="CX374" s="710">
        <v>0</v>
      </c>
      <c r="CY374" s="710">
        <v>0</v>
      </c>
      <c r="CZ374" s="126"/>
      <c r="DA374" s="12">
        <v>0</v>
      </c>
      <c r="DB374" s="12">
        <v>0</v>
      </c>
      <c r="DC374" s="12">
        <v>0</v>
      </c>
      <c r="DD374" s="12">
        <v>0</v>
      </c>
      <c r="DE374" s="12">
        <v>0</v>
      </c>
      <c r="DF374" s="12">
        <v>0</v>
      </c>
      <c r="DG374" s="12">
        <v>0</v>
      </c>
    </row>
    <row r="375" spans="2:111">
      <c r="B375" s="126"/>
      <c r="C375" s="126"/>
      <c r="D375" s="126" t="s">
        <v>802</v>
      </c>
      <c r="E375" s="126"/>
      <c r="F375" s="609"/>
      <c r="G375" s="609" t="s">
        <v>736</v>
      </c>
      <c r="H375" s="609"/>
      <c r="I375" s="609"/>
      <c r="J375" s="609"/>
      <c r="K375" s="609"/>
      <c r="L375" s="126"/>
      <c r="M375" s="710"/>
      <c r="N375" s="710"/>
      <c r="O375" s="710"/>
      <c r="P375" s="710"/>
      <c r="Q375" s="710"/>
      <c r="R375" s="710"/>
      <c r="S375" s="710"/>
      <c r="T375" s="710"/>
      <c r="U375" s="710"/>
      <c r="V375" s="710"/>
      <c r="W375" s="710"/>
      <c r="X375" s="710"/>
      <c r="Y375" s="710"/>
      <c r="Z375" s="710"/>
      <c r="AA375" s="710"/>
      <c r="AB375" s="710"/>
      <c r="AC375" s="710"/>
      <c r="AD375" s="710"/>
      <c r="AE375" s="710"/>
      <c r="AF375" s="126"/>
      <c r="AG375" s="126"/>
      <c r="AH375" s="126"/>
      <c r="AI375" s="739"/>
      <c r="AJ375" s="739"/>
      <c r="AK375" s="739">
        <v>0</v>
      </c>
      <c r="AL375" s="739">
        <v>0</v>
      </c>
      <c r="AM375" s="739">
        <v>0</v>
      </c>
      <c r="AN375" s="710">
        <v>0</v>
      </c>
      <c r="AO375" s="721">
        <v>0</v>
      </c>
      <c r="AP375" s="710"/>
      <c r="AQ375" s="710"/>
      <c r="AR375" s="710"/>
      <c r="AS375" s="710"/>
      <c r="AT375" s="710"/>
      <c r="AU375" s="710"/>
      <c r="AV375" s="710"/>
      <c r="AW375" s="710"/>
      <c r="AX375" s="710"/>
      <c r="AY375" s="710"/>
      <c r="AZ375" s="710"/>
      <c r="BA375" s="710"/>
      <c r="BB375" s="710"/>
      <c r="BC375" s="710"/>
      <c r="BD375" s="710"/>
      <c r="BE375" s="710"/>
      <c r="BF375" s="710"/>
      <c r="BG375" s="710"/>
      <c r="BH375" s="710"/>
      <c r="BI375" s="710"/>
      <c r="BJ375" s="710"/>
      <c r="BK375" s="710"/>
      <c r="BL375" s="710"/>
      <c r="BM375" s="710"/>
      <c r="BN375" s="710"/>
      <c r="BO375" s="710"/>
      <c r="BP375" s="710"/>
      <c r="BQ375" s="710"/>
      <c r="BR375" s="710"/>
      <c r="BS375" s="710"/>
      <c r="BT375" s="710"/>
      <c r="BU375" s="710"/>
      <c r="BV375" s="710"/>
      <c r="BW375" s="710"/>
      <c r="BX375" s="710"/>
      <c r="BY375" s="710"/>
      <c r="BZ375" s="710"/>
      <c r="CA375" s="710"/>
      <c r="CB375" s="710"/>
      <c r="CC375" s="710"/>
      <c r="CD375" s="710"/>
      <c r="CE375" s="710"/>
      <c r="CF375" s="710"/>
      <c r="CG375" s="710"/>
      <c r="CH375" s="710"/>
      <c r="CI375" s="710"/>
      <c r="CJ375" s="710"/>
      <c r="CK375" s="710"/>
      <c r="CL375" s="710"/>
      <c r="CM375" s="710"/>
      <c r="CN375" s="710"/>
      <c r="CO375" s="710"/>
      <c r="CP375" s="710"/>
      <c r="CQ375" s="710"/>
      <c r="CR375" s="710"/>
      <c r="CS375" s="710"/>
      <c r="CT375" s="710"/>
      <c r="CU375" s="710"/>
      <c r="CV375" s="710"/>
      <c r="CW375" s="710"/>
      <c r="CX375" s="710"/>
      <c r="CY375" s="710"/>
      <c r="CZ375" s="126"/>
      <c r="DA375" s="12">
        <v>0</v>
      </c>
      <c r="DB375" s="12">
        <v>0</v>
      </c>
      <c r="DC375" s="12">
        <v>0</v>
      </c>
      <c r="DD375" s="12">
        <v>0</v>
      </c>
      <c r="DE375" s="12">
        <v>0</v>
      </c>
      <c r="DF375" s="12">
        <v>0</v>
      </c>
      <c r="DG375" s="12">
        <v>0</v>
      </c>
    </row>
    <row r="376" spans="2:111">
      <c r="B376" s="126"/>
      <c r="C376" s="126"/>
      <c r="D376" s="126" t="s">
        <v>222</v>
      </c>
      <c r="E376" s="126"/>
      <c r="F376" s="609"/>
      <c r="G376" s="609" t="s">
        <v>736</v>
      </c>
      <c r="H376" s="609"/>
      <c r="I376" s="609"/>
      <c r="J376" s="609"/>
      <c r="K376" s="609"/>
      <c r="L376" s="126"/>
      <c r="M376" s="710"/>
      <c r="N376" s="710"/>
      <c r="O376" s="710"/>
      <c r="P376" s="710"/>
      <c r="Q376" s="710"/>
      <c r="R376" s="710"/>
      <c r="S376" s="710"/>
      <c r="T376" s="710"/>
      <c r="U376" s="710"/>
      <c r="V376" s="710"/>
      <c r="W376" s="710"/>
      <c r="X376" s="710"/>
      <c r="Y376" s="710"/>
      <c r="Z376" s="710"/>
      <c r="AA376" s="710"/>
      <c r="AB376" s="710"/>
      <c r="AC376" s="710"/>
      <c r="AD376" s="710"/>
      <c r="AE376" s="710"/>
      <c r="AF376" s="698"/>
      <c r="AG376" s="698"/>
      <c r="AH376" s="698"/>
      <c r="AI376" s="721">
        <v>0</v>
      </c>
      <c r="AJ376" s="721">
        <v>0</v>
      </c>
      <c r="AK376" s="721">
        <v>7.6036029999999996E-3</v>
      </c>
      <c r="AL376" s="721">
        <v>2.6025256E-2</v>
      </c>
      <c r="AM376" s="721">
        <v>6.1989213000000001E-2</v>
      </c>
      <c r="AN376" s="721">
        <v>8.0753063E-2</v>
      </c>
      <c r="AO376" s="721">
        <v>0.114148836</v>
      </c>
      <c r="AP376" s="710">
        <v>0.12508031157622501</v>
      </c>
      <c r="AQ376" s="710">
        <v>0.14417498905167875</v>
      </c>
      <c r="AR376" s="710">
        <v>0.16505755908965397</v>
      </c>
      <c r="AS376" s="710">
        <v>0.18545436307468977</v>
      </c>
      <c r="AT376" s="710">
        <v>0.20561348190078213</v>
      </c>
      <c r="AU376" s="710">
        <v>0.22579130531858618</v>
      </c>
      <c r="AV376" s="710">
        <v>0.24623479140453625</v>
      </c>
      <c r="AW376" s="710">
        <v>0.26675702499469572</v>
      </c>
      <c r="AX376" s="710">
        <v>0.28771968860685471</v>
      </c>
      <c r="AY376" s="710">
        <v>0.30899180681040533</v>
      </c>
      <c r="AZ376" s="710">
        <v>0.33024754200277229</v>
      </c>
      <c r="BA376" s="710">
        <v>0.35168061285762831</v>
      </c>
      <c r="BB376" s="710">
        <v>0.37335520705394953</v>
      </c>
      <c r="BC376" s="710">
        <v>0.39533912650255243</v>
      </c>
      <c r="BD376" s="710">
        <v>0.41668063535506605</v>
      </c>
      <c r="BE376" s="710">
        <v>0.43741207279106864</v>
      </c>
      <c r="BF376" s="710">
        <v>0.45742910793574409</v>
      </c>
      <c r="BG376" s="710">
        <v>0.47678705113835523</v>
      </c>
      <c r="BH376" s="710">
        <v>0.49553963438107629</v>
      </c>
      <c r="BI376" s="710">
        <v>0.51363093991980335</v>
      </c>
      <c r="BJ376" s="710">
        <v>0.53100532087810559</v>
      </c>
      <c r="BK376" s="710">
        <v>0.5477948152629204</v>
      </c>
      <c r="BL376" s="710">
        <v>0.56377096929567261</v>
      </c>
      <c r="BM376" s="710">
        <v>0.57899274600384854</v>
      </c>
      <c r="BN376" s="710">
        <v>0.59349215311025627</v>
      </c>
      <c r="BO376" s="710">
        <v>0.60728593463556957</v>
      </c>
      <c r="BP376" s="710">
        <v>0.62103838528154531</v>
      </c>
      <c r="BQ376" s="710">
        <v>0.63477237339627113</v>
      </c>
      <c r="BR376" s="710">
        <v>0.64850078764806429</v>
      </c>
      <c r="BS376" s="710">
        <v>0.66223014814423742</v>
      </c>
      <c r="BT376" s="710">
        <v>0.67596558522659944</v>
      </c>
      <c r="BU376" s="710">
        <v>0.68970779123731318</v>
      </c>
      <c r="BV376" s="710">
        <v>0.70345606588787324</v>
      </c>
      <c r="BW376" s="710">
        <v>0.7172094831441479</v>
      </c>
      <c r="BX376" s="710">
        <v>0.73096621968942388</v>
      </c>
      <c r="BY376" s="710">
        <v>0.74472462979951692</v>
      </c>
      <c r="BZ376" s="710">
        <v>0.75848354047602307</v>
      </c>
      <c r="CA376" s="710">
        <v>0.77224224324774882</v>
      </c>
      <c r="CB376" s="710">
        <v>0.78600038372036107</v>
      </c>
      <c r="CC376" s="710">
        <v>0.79975787851581848</v>
      </c>
      <c r="CD376" s="710">
        <v>0.8135147982871993</v>
      </c>
      <c r="CE376" s="710">
        <v>0.82727128267393124</v>
      </c>
      <c r="CF376" s="710">
        <v>0.84102749123747544</v>
      </c>
      <c r="CG376" s="710">
        <v>0.85478356325987326</v>
      </c>
      <c r="CH376" s="710">
        <v>0.86853959976726447</v>
      </c>
      <c r="CI376" s="710">
        <v>0.88229566203588172</v>
      </c>
      <c r="CJ376" s="710">
        <v>0.89605177860960827</v>
      </c>
      <c r="CK376" s="710">
        <v>0.90980795494217548</v>
      </c>
      <c r="CL376" s="710">
        <v>0.92356418299992982</v>
      </c>
      <c r="CM376" s="710">
        <v>0.93732044888588018</v>
      </c>
      <c r="CN376" s="710">
        <v>0.95107673799632408</v>
      </c>
      <c r="CO376" s="710">
        <v>0.96483303804816301</v>
      </c>
      <c r="CP376" s="710">
        <v>0.97858934031813372</v>
      </c>
      <c r="CQ376" s="710">
        <v>0.99234563964637923</v>
      </c>
      <c r="CR376" s="710">
        <v>1.0061019337689301</v>
      </c>
      <c r="CS376" s="710">
        <v>1.0198582224171719</v>
      </c>
      <c r="CT376" s="710">
        <v>1.0336145064578657</v>
      </c>
      <c r="CU376" s="710">
        <v>1.047370787216054</v>
      </c>
      <c r="CV376" s="710">
        <v>1.0611270660221175</v>
      </c>
      <c r="CW376" s="710">
        <v>1.0748833439630727</v>
      </c>
      <c r="CX376" s="710">
        <v>1.0886396217916812</v>
      </c>
      <c r="CY376" s="710">
        <v>1.102395899938923</v>
      </c>
      <c r="CZ376" s="126"/>
      <c r="DA376" s="12">
        <v>0</v>
      </c>
      <c r="DB376" s="12">
        <v>0.55977527162790386</v>
      </c>
      <c r="DC376" s="12">
        <v>3.3422425096171064</v>
      </c>
      <c r="DD376" s="12">
        <v>6.2198213807074874</v>
      </c>
      <c r="DE376" s="12">
        <v>8.3592972531787648</v>
      </c>
      <c r="DF376" s="12">
        <v>10.3399350249354</v>
      </c>
      <c r="DG376" s="12">
        <v>12.320836137584816</v>
      </c>
    </row>
    <row r="377" spans="2:111">
      <c r="B377" s="126"/>
      <c r="C377" s="126"/>
      <c r="D377" s="126" t="s">
        <v>803</v>
      </c>
      <c r="E377" s="126"/>
      <c r="F377" s="609"/>
      <c r="G377" s="609" t="s">
        <v>736</v>
      </c>
      <c r="H377" s="609"/>
      <c r="I377" s="609"/>
      <c r="J377" s="609"/>
      <c r="K377" s="609"/>
      <c r="L377" s="126"/>
      <c r="M377" s="710"/>
      <c r="N377" s="710"/>
      <c r="O377" s="710"/>
      <c r="P377" s="710"/>
      <c r="Q377" s="710"/>
      <c r="R377" s="710"/>
      <c r="S377" s="710"/>
      <c r="T377" s="710"/>
      <c r="U377" s="710"/>
      <c r="V377" s="710"/>
      <c r="W377" s="710"/>
      <c r="X377" s="710"/>
      <c r="Y377" s="710"/>
      <c r="Z377" s="710"/>
      <c r="AA377" s="710"/>
      <c r="AB377" s="710"/>
      <c r="AC377" s="710"/>
      <c r="AD377" s="710"/>
      <c r="AE377" s="710"/>
      <c r="AF377" s="698"/>
      <c r="AG377" s="698"/>
      <c r="AH377" s="698"/>
      <c r="AI377" s="721"/>
      <c r="AJ377" s="721"/>
      <c r="AK377" s="721">
        <v>0</v>
      </c>
      <c r="AL377" s="721">
        <v>0</v>
      </c>
      <c r="AM377" s="721">
        <v>0</v>
      </c>
      <c r="AN377" s="710">
        <v>0</v>
      </c>
      <c r="AO377" s="710">
        <v>0</v>
      </c>
      <c r="AP377" s="710">
        <v>0</v>
      </c>
      <c r="AQ377" s="710">
        <v>0</v>
      </c>
      <c r="AR377" s="710">
        <v>0</v>
      </c>
      <c r="AS377" s="710">
        <v>0</v>
      </c>
      <c r="AT377" s="710">
        <v>0</v>
      </c>
      <c r="AU377" s="710">
        <v>0</v>
      </c>
      <c r="AV377" s="710">
        <v>0</v>
      </c>
      <c r="AW377" s="710">
        <v>0</v>
      </c>
      <c r="AX377" s="710">
        <v>0</v>
      </c>
      <c r="AY377" s="710">
        <v>0</v>
      </c>
      <c r="AZ377" s="710">
        <v>0</v>
      </c>
      <c r="BA377" s="710">
        <v>0</v>
      </c>
      <c r="BB377" s="710">
        <v>0</v>
      </c>
      <c r="BC377" s="710">
        <v>0</v>
      </c>
      <c r="BD377" s="710">
        <v>0</v>
      </c>
      <c r="BE377" s="710">
        <v>0</v>
      </c>
      <c r="BF377" s="710">
        <v>0</v>
      </c>
      <c r="BG377" s="710">
        <v>0</v>
      </c>
      <c r="BH377" s="710">
        <v>0</v>
      </c>
      <c r="BI377" s="710">
        <v>0</v>
      </c>
      <c r="BJ377" s="710">
        <v>0</v>
      </c>
      <c r="BK377" s="710">
        <v>0</v>
      </c>
      <c r="BL377" s="710">
        <v>0</v>
      </c>
      <c r="BM377" s="710">
        <v>0</v>
      </c>
      <c r="BN377" s="710">
        <v>0</v>
      </c>
      <c r="BO377" s="710">
        <v>0</v>
      </c>
      <c r="BP377" s="710">
        <v>0</v>
      </c>
      <c r="BQ377" s="710">
        <v>0</v>
      </c>
      <c r="BR377" s="710">
        <v>0</v>
      </c>
      <c r="BS377" s="710">
        <v>0</v>
      </c>
      <c r="BT377" s="710">
        <v>0</v>
      </c>
      <c r="BU377" s="710">
        <v>0</v>
      </c>
      <c r="BV377" s="710">
        <v>0</v>
      </c>
      <c r="BW377" s="710">
        <v>0</v>
      </c>
      <c r="BX377" s="710">
        <v>0</v>
      </c>
      <c r="BY377" s="710">
        <v>0</v>
      </c>
      <c r="BZ377" s="710">
        <v>0</v>
      </c>
      <c r="CA377" s="710">
        <v>0</v>
      </c>
      <c r="CB377" s="710">
        <v>0</v>
      </c>
      <c r="CC377" s="710">
        <v>0</v>
      </c>
      <c r="CD377" s="710">
        <v>0</v>
      </c>
      <c r="CE377" s="710">
        <v>0</v>
      </c>
      <c r="CF377" s="710">
        <v>0</v>
      </c>
      <c r="CG377" s="710">
        <v>0</v>
      </c>
      <c r="CH377" s="710">
        <v>0</v>
      </c>
      <c r="CI377" s="710">
        <v>0</v>
      </c>
      <c r="CJ377" s="710">
        <v>0</v>
      </c>
      <c r="CK377" s="710">
        <v>0</v>
      </c>
      <c r="CL377" s="710">
        <v>0</v>
      </c>
      <c r="CM377" s="710">
        <v>0</v>
      </c>
      <c r="CN377" s="710">
        <v>0</v>
      </c>
      <c r="CO377" s="710">
        <v>0</v>
      </c>
      <c r="CP377" s="710">
        <v>0</v>
      </c>
      <c r="CQ377" s="710">
        <v>0</v>
      </c>
      <c r="CR377" s="710">
        <v>0</v>
      </c>
      <c r="CS377" s="710">
        <v>0</v>
      </c>
      <c r="CT377" s="710">
        <v>0</v>
      </c>
      <c r="CU377" s="710">
        <v>0</v>
      </c>
      <c r="CV377" s="710">
        <v>0</v>
      </c>
      <c r="CW377" s="710">
        <v>0</v>
      </c>
      <c r="CX377" s="710">
        <v>0</v>
      </c>
      <c r="CY377" s="710">
        <v>0</v>
      </c>
      <c r="CZ377" s="126"/>
      <c r="DA377" s="12">
        <v>0</v>
      </c>
      <c r="DB377" s="12">
        <v>0</v>
      </c>
      <c r="DC377" s="12">
        <v>0</v>
      </c>
      <c r="DD377" s="12">
        <v>0</v>
      </c>
      <c r="DE377" s="12">
        <v>0</v>
      </c>
      <c r="DF377" s="12">
        <v>0</v>
      </c>
      <c r="DG377" s="12">
        <v>0</v>
      </c>
    </row>
    <row r="378" spans="2:111">
      <c r="B378" s="126"/>
      <c r="C378" s="126"/>
      <c r="D378" s="126" t="s">
        <v>224</v>
      </c>
      <c r="E378" s="126"/>
      <c r="F378" s="609"/>
      <c r="G378" s="609" t="s">
        <v>736</v>
      </c>
      <c r="H378" s="609"/>
      <c r="I378" s="609"/>
      <c r="J378" s="609"/>
      <c r="K378" s="609"/>
      <c r="L378" s="126"/>
      <c r="M378" s="710"/>
      <c r="N378" s="710"/>
      <c r="O378" s="710"/>
      <c r="P378" s="710"/>
      <c r="Q378" s="710"/>
      <c r="R378" s="710"/>
      <c r="S378" s="710"/>
      <c r="T378" s="710"/>
      <c r="U378" s="710"/>
      <c r="V378" s="710"/>
      <c r="W378" s="710"/>
      <c r="X378" s="710"/>
      <c r="Y378" s="710"/>
      <c r="Z378" s="710"/>
      <c r="AA378" s="710"/>
      <c r="AB378" s="710"/>
      <c r="AC378" s="710"/>
      <c r="AD378" s="710"/>
      <c r="AE378" s="710"/>
      <c r="AF378" s="698"/>
      <c r="AG378" s="698"/>
      <c r="AH378" s="698"/>
      <c r="AI378" s="721"/>
      <c r="AJ378" s="721"/>
      <c r="AK378" s="721">
        <v>0</v>
      </c>
      <c r="AL378" s="721">
        <v>0</v>
      </c>
      <c r="AM378" s="721">
        <v>0</v>
      </c>
      <c r="AN378" s="710">
        <v>0</v>
      </c>
      <c r="AO378" s="710">
        <v>0</v>
      </c>
      <c r="AP378" s="710">
        <v>0</v>
      </c>
      <c r="AQ378" s="710">
        <v>0</v>
      </c>
      <c r="AR378" s="710">
        <v>0</v>
      </c>
      <c r="AS378" s="710">
        <v>0</v>
      </c>
      <c r="AT378" s="710">
        <v>0</v>
      </c>
      <c r="AU378" s="710">
        <v>0</v>
      </c>
      <c r="AV378" s="710">
        <v>0</v>
      </c>
      <c r="AW378" s="710">
        <v>0</v>
      </c>
      <c r="AX378" s="710">
        <v>0</v>
      </c>
      <c r="AY378" s="710">
        <v>0</v>
      </c>
      <c r="AZ378" s="710">
        <v>0</v>
      </c>
      <c r="BA378" s="710">
        <v>0</v>
      </c>
      <c r="BB378" s="710">
        <v>0</v>
      </c>
      <c r="BC378" s="710">
        <v>0</v>
      </c>
      <c r="BD378" s="710">
        <v>0</v>
      </c>
      <c r="BE378" s="710">
        <v>0</v>
      </c>
      <c r="BF378" s="710">
        <v>0</v>
      </c>
      <c r="BG378" s="710">
        <v>0</v>
      </c>
      <c r="BH378" s="710">
        <v>0</v>
      </c>
      <c r="BI378" s="710">
        <v>0</v>
      </c>
      <c r="BJ378" s="710">
        <v>0</v>
      </c>
      <c r="BK378" s="710">
        <v>0</v>
      </c>
      <c r="BL378" s="710">
        <v>0</v>
      </c>
      <c r="BM378" s="710">
        <v>0</v>
      </c>
      <c r="BN378" s="710">
        <v>0</v>
      </c>
      <c r="BO378" s="710">
        <v>0</v>
      </c>
      <c r="BP378" s="710">
        <v>0</v>
      </c>
      <c r="BQ378" s="710">
        <v>0</v>
      </c>
      <c r="BR378" s="710">
        <v>0</v>
      </c>
      <c r="BS378" s="710">
        <v>0</v>
      </c>
      <c r="BT378" s="710">
        <v>0</v>
      </c>
      <c r="BU378" s="710">
        <v>0</v>
      </c>
      <c r="BV378" s="710">
        <v>0</v>
      </c>
      <c r="BW378" s="710">
        <v>0</v>
      </c>
      <c r="BX378" s="710">
        <v>0</v>
      </c>
      <c r="BY378" s="710">
        <v>0</v>
      </c>
      <c r="BZ378" s="710">
        <v>0</v>
      </c>
      <c r="CA378" s="710">
        <v>0</v>
      </c>
      <c r="CB378" s="710">
        <v>0</v>
      </c>
      <c r="CC378" s="710">
        <v>0</v>
      </c>
      <c r="CD378" s="710">
        <v>0</v>
      </c>
      <c r="CE378" s="710">
        <v>0</v>
      </c>
      <c r="CF378" s="710">
        <v>0</v>
      </c>
      <c r="CG378" s="710">
        <v>0</v>
      </c>
      <c r="CH378" s="710">
        <v>0</v>
      </c>
      <c r="CI378" s="710">
        <v>0</v>
      </c>
      <c r="CJ378" s="710">
        <v>0</v>
      </c>
      <c r="CK378" s="710">
        <v>0</v>
      </c>
      <c r="CL378" s="710">
        <v>0</v>
      </c>
      <c r="CM378" s="710">
        <v>0</v>
      </c>
      <c r="CN378" s="710">
        <v>0</v>
      </c>
      <c r="CO378" s="710">
        <v>0</v>
      </c>
      <c r="CP378" s="710">
        <v>0</v>
      </c>
      <c r="CQ378" s="710">
        <v>0</v>
      </c>
      <c r="CR378" s="710">
        <v>0</v>
      </c>
      <c r="CS378" s="710">
        <v>0</v>
      </c>
      <c r="CT378" s="710">
        <v>0</v>
      </c>
      <c r="CU378" s="710">
        <v>0</v>
      </c>
      <c r="CV378" s="710">
        <v>0</v>
      </c>
      <c r="CW378" s="710">
        <v>0</v>
      </c>
      <c r="CX378" s="710">
        <v>0</v>
      </c>
      <c r="CY378" s="710">
        <v>0</v>
      </c>
      <c r="CZ378" s="126"/>
      <c r="DA378" s="12">
        <v>0</v>
      </c>
      <c r="DB378" s="12">
        <v>0</v>
      </c>
      <c r="DC378" s="12">
        <v>0</v>
      </c>
      <c r="DD378" s="12">
        <v>0</v>
      </c>
      <c r="DE378" s="12">
        <v>0</v>
      </c>
      <c r="DF378" s="12">
        <v>0</v>
      </c>
      <c r="DG378" s="12">
        <v>0</v>
      </c>
    </row>
    <row r="379" spans="2:111">
      <c r="B379" s="126"/>
      <c r="C379" s="126"/>
      <c r="D379" s="126" t="s">
        <v>804</v>
      </c>
      <c r="E379" s="230"/>
      <c r="F379" s="232"/>
      <c r="G379" s="609" t="s">
        <v>736</v>
      </c>
      <c r="H379" s="609"/>
      <c r="I379" s="609"/>
      <c r="J379" s="609"/>
      <c r="K379" s="609"/>
      <c r="L379" s="126"/>
      <c r="M379" s="710"/>
      <c r="N379" s="710"/>
      <c r="O379" s="710"/>
      <c r="P379" s="710"/>
      <c r="Q379" s="710"/>
      <c r="R379" s="710"/>
      <c r="S379" s="710"/>
      <c r="T379" s="710"/>
      <c r="U379" s="710"/>
      <c r="V379" s="710"/>
      <c r="W379" s="710"/>
      <c r="X379" s="710"/>
      <c r="Y379" s="710"/>
      <c r="Z379" s="710"/>
      <c r="AA379" s="710"/>
      <c r="AB379" s="710"/>
      <c r="AC379" s="710"/>
      <c r="AD379" s="710"/>
      <c r="AE379" s="710"/>
      <c r="AF379" s="698"/>
      <c r="AG379" s="698"/>
      <c r="AH379" s="698"/>
      <c r="AI379" s="721"/>
      <c r="AJ379" s="721">
        <v>-1.967622E-3</v>
      </c>
      <c r="AK379" s="721">
        <v>-6.0063429999999999E-3</v>
      </c>
      <c r="AL379" s="721">
        <v>-8.1932010000000006E-3</v>
      </c>
      <c r="AM379" s="721">
        <v>-1.2777523999999998E-2</v>
      </c>
      <c r="AN379" s="713">
        <v>-6.0325179999999997E-3</v>
      </c>
      <c r="AO379" s="710">
        <v>-0.1295068663783594</v>
      </c>
      <c r="AP379" s="710">
        <v>-0.1524627995492428</v>
      </c>
      <c r="AQ379" s="710">
        <v>-0.26986101827628667</v>
      </c>
      <c r="AR379" s="710">
        <v>-0.30980655117470784</v>
      </c>
      <c r="AS379" s="710">
        <v>-0.38015244627652617</v>
      </c>
      <c r="AT379" s="710">
        <v>-0.40544766804345783</v>
      </c>
      <c r="AU379" s="710">
        <v>-0.43747876976320077</v>
      </c>
      <c r="AV379" s="710">
        <v>-0.46766026981484871</v>
      </c>
      <c r="AW379" s="710">
        <v>-0.50248787696190134</v>
      </c>
      <c r="AX379" s="710">
        <v>-0.52510324116866003</v>
      </c>
      <c r="AY379" s="710">
        <v>-0.55824663649695294</v>
      </c>
      <c r="AZ379" s="710">
        <v>-0.59608795427211381</v>
      </c>
      <c r="BA379" s="710">
        <v>-0.62673321097550039</v>
      </c>
      <c r="BB379" s="710">
        <v>-0.64804286967430558</v>
      </c>
      <c r="BC379" s="710">
        <v>-0.66215350079129887</v>
      </c>
      <c r="BD379" s="710">
        <v>-0.67228459016348374</v>
      </c>
      <c r="BE379" s="710">
        <v>-0.60591999352681192</v>
      </c>
      <c r="BF379" s="710">
        <v>-0.60132662057022979</v>
      </c>
      <c r="BG379" s="710">
        <v>-0.59921422340083674</v>
      </c>
      <c r="BH379" s="710">
        <v>-0.60096135231245229</v>
      </c>
      <c r="BI379" s="710">
        <v>-0.60997240628604388</v>
      </c>
      <c r="BJ379" s="710">
        <v>-0.62533967411967539</v>
      </c>
      <c r="BK379" s="710">
        <v>-0.64417729102841381</v>
      </c>
      <c r="BL379" s="710">
        <v>-0.67313105796721739</v>
      </c>
      <c r="BM379" s="710">
        <v>-0.70151067816084822</v>
      </c>
      <c r="BN379" s="710">
        <v>-0.72843701489428481</v>
      </c>
      <c r="BO379" s="710">
        <v>-0.75359201960025668</v>
      </c>
      <c r="BP379" s="710">
        <v>-0.77771518790314653</v>
      </c>
      <c r="BQ379" s="710">
        <v>-0.80041188373619543</v>
      </c>
      <c r="BR379" s="710">
        <v>-0.82169958250269648</v>
      </c>
      <c r="BS379" s="710">
        <v>-0.84178145457797515</v>
      </c>
      <c r="BT379" s="710">
        <v>-0.86091015501815038</v>
      </c>
      <c r="BU379" s="710">
        <v>-0.87946038155201878</v>
      </c>
      <c r="BV379" s="710">
        <v>-0.89770542914706519</v>
      </c>
      <c r="BW379" s="710">
        <v>-0.9158472358107701</v>
      </c>
      <c r="BX379" s="710">
        <v>-0.9340412699693732</v>
      </c>
      <c r="BY379" s="710">
        <v>-0.95235287066967578</v>
      </c>
      <c r="BZ379" s="710">
        <v>-0.97079275882072258</v>
      </c>
      <c r="CA379" s="710">
        <v>-0.98934299300456252</v>
      </c>
      <c r="CB379" s="710">
        <v>-1.0079739786991537</v>
      </c>
      <c r="CC379" s="710">
        <v>-1.0266543122909613</v>
      </c>
      <c r="CD379" s="710">
        <v>-1.0453579044744057</v>
      </c>
      <c r="CE379" s="710">
        <v>-1.0640660481758373</v>
      </c>
      <c r="CF379" s="710">
        <v>-1.0827672964540862</v>
      </c>
      <c r="CG379" s="710">
        <v>-1.1014565809061299</v>
      </c>
      <c r="CH379" s="710">
        <v>-1.1201332582670445</v>
      </c>
      <c r="CI379" s="710">
        <v>-1.1387991797873185</v>
      </c>
      <c r="CJ379" s="710">
        <v>-1.157457200964602</v>
      </c>
      <c r="CK379" s="710">
        <v>-1.1761102054719137</v>
      </c>
      <c r="CL379" s="710">
        <v>-1.194760563878331</v>
      </c>
      <c r="CM379" s="710">
        <v>-1.2134099388283877</v>
      </c>
      <c r="CN379" s="710">
        <v>-1.232059306914939</v>
      </c>
      <c r="CO379" s="710">
        <v>-1.2507090922852921</v>
      </c>
      <c r="CP379" s="710">
        <v>-1.2693593435321369</v>
      </c>
      <c r="CQ379" s="710">
        <v>-1.2880099005019341</v>
      </c>
      <c r="CR379" s="710">
        <v>-1.3066605235168527</v>
      </c>
      <c r="CS379" s="710">
        <v>-1.3253109779472672</v>
      </c>
      <c r="CT379" s="710">
        <v>-1.3439610790319914</v>
      </c>
      <c r="CU379" s="710">
        <v>-1.3626107068046875</v>
      </c>
      <c r="CV379" s="710">
        <v>-1.3812598020921671</v>
      </c>
      <c r="CW379" s="710">
        <v>-1.3999083529657079</v>
      </c>
      <c r="CX379" s="710">
        <v>-1.4185563784377195</v>
      </c>
      <c r="CY379" s="710">
        <v>-1.4372039136820745</v>
      </c>
      <c r="CZ379" s="126"/>
      <c r="DA379" s="12">
        <v>0</v>
      </c>
      <c r="DB379" s="12">
        <v>-0.58680789220388885</v>
      </c>
      <c r="DC379" s="12">
        <v>-6.1194009954134749</v>
      </c>
      <c r="DD379" s="12">
        <v>-7.8158669220305548</v>
      </c>
      <c r="DE379" s="12">
        <v>-10.642061202712352</v>
      </c>
      <c r="DF379" s="12">
        <v>-13.328946468198174</v>
      </c>
      <c r="DG379" s="12">
        <v>-16.015609377712771</v>
      </c>
    </row>
    <row r="380" spans="2:111">
      <c r="B380" s="126"/>
      <c r="C380" s="720" t="s">
        <v>621</v>
      </c>
      <c r="D380" s="126"/>
      <c r="E380" s="126"/>
      <c r="F380" s="609"/>
      <c r="G380" s="609" t="s">
        <v>736</v>
      </c>
      <c r="H380" s="609"/>
      <c r="I380" s="609"/>
      <c r="J380" s="609"/>
      <c r="K380" s="609"/>
      <c r="L380" s="126"/>
      <c r="M380" s="710"/>
      <c r="N380" s="710"/>
      <c r="O380" s="710"/>
      <c r="P380" s="710"/>
      <c r="Q380" s="710"/>
      <c r="R380" s="710"/>
      <c r="S380" s="710"/>
      <c r="T380" s="710"/>
      <c r="U380" s="710"/>
      <c r="V380" s="710"/>
      <c r="W380" s="710"/>
      <c r="X380" s="710"/>
      <c r="Y380" s="710"/>
      <c r="Z380" s="710"/>
      <c r="AA380" s="710"/>
      <c r="AB380" s="710"/>
      <c r="AC380" s="710"/>
      <c r="AD380" s="710"/>
      <c r="AE380" s="710"/>
      <c r="AF380" s="710"/>
      <c r="AG380" s="710"/>
      <c r="AH380" s="710"/>
      <c r="AI380" s="746">
        <v>0</v>
      </c>
      <c r="AJ380" s="746">
        <v>-1.4276600000000001E-4</v>
      </c>
      <c r="AK380" s="746">
        <v>-1.3023997000000001E-2</v>
      </c>
      <c r="AL380" s="746">
        <v>-8.7153336999999997E-2</v>
      </c>
      <c r="AM380" s="746">
        <v>-0.10854834000000001</v>
      </c>
      <c r="AN380" s="746">
        <v>-0.12931065899999999</v>
      </c>
      <c r="AO380" s="714">
        <v>-0.16473847321565546</v>
      </c>
      <c r="AP380" s="714">
        <v>-0.22939541551513704</v>
      </c>
      <c r="AQ380" s="714">
        <v>-0.33282730769392144</v>
      </c>
      <c r="AR380" s="714">
        <v>-0.48866601777082896</v>
      </c>
      <c r="AS380" s="714">
        <v>-0.84887809142080517</v>
      </c>
      <c r="AT380" s="714">
        <v>-1.1508048851702015</v>
      </c>
      <c r="AU380" s="714">
        <v>-1.3065443620767034</v>
      </c>
      <c r="AV380" s="714">
        <v>-1.5090945880029394</v>
      </c>
      <c r="AW380" s="714">
        <v>-1.6668641853314996</v>
      </c>
      <c r="AX380" s="714">
        <v>-1.5109038651057936</v>
      </c>
      <c r="AY380" s="714">
        <v>-1.5631469345179194</v>
      </c>
      <c r="AZ380" s="714">
        <v>-1.9096280684676823</v>
      </c>
      <c r="BA380" s="714">
        <v>-2.1111736340577267</v>
      </c>
      <c r="BB380" s="714">
        <v>-2.2406383614808187</v>
      </c>
      <c r="BC380" s="714">
        <v>-2.3013161088281064</v>
      </c>
      <c r="BD380" s="714">
        <v>-2.319798454389586</v>
      </c>
      <c r="BE380" s="714">
        <v>-2.3726734572120662</v>
      </c>
      <c r="BF380" s="714">
        <v>-2.4792687505887665</v>
      </c>
      <c r="BG380" s="714">
        <v>-2.4445024655492347</v>
      </c>
      <c r="BH380" s="714">
        <v>-2.4046332892191207</v>
      </c>
      <c r="BI380" s="714">
        <v>-2.4106154528806991</v>
      </c>
      <c r="BJ380" s="714">
        <v>-2.3787855006985317</v>
      </c>
      <c r="BK380" s="714">
        <v>-2.3333648024262788</v>
      </c>
      <c r="BL380" s="714">
        <v>-2.4870760710888624</v>
      </c>
      <c r="BM380" s="714">
        <v>-2.6321686581702259</v>
      </c>
      <c r="BN380" s="714">
        <v>-2.7695459704073171</v>
      </c>
      <c r="BO380" s="714">
        <v>-2.9001917473769732</v>
      </c>
      <c r="BP380" s="714">
        <v>-3.0230374068115746</v>
      </c>
      <c r="BQ380" s="714">
        <v>-3.1370489321694328</v>
      </c>
      <c r="BR380" s="714">
        <v>-3.242512062344534</v>
      </c>
      <c r="BS380" s="714">
        <v>-3.3390977468590264</v>
      </c>
      <c r="BT380" s="714">
        <v>-3.4269155484089349</v>
      </c>
      <c r="BU380" s="714">
        <v>-3.5092908088140335</v>
      </c>
      <c r="BV380" s="714">
        <v>-3.5878888828196458</v>
      </c>
      <c r="BW380" s="714">
        <v>-3.6642408817700374</v>
      </c>
      <c r="BX380" s="714">
        <v>-3.7402625042435016</v>
      </c>
      <c r="BY380" s="714">
        <v>-3.8168340892413055</v>
      </c>
      <c r="BZ380" s="714">
        <v>-3.8942713290220783</v>
      </c>
      <c r="CA380" s="714">
        <v>-3.9725951145231355</v>
      </c>
      <c r="CB380" s="714">
        <v>-4.0516663922371876</v>
      </c>
      <c r="CC380" s="714">
        <v>-4.131265004586357</v>
      </c>
      <c r="CD380" s="714">
        <v>-4.2111833807068315</v>
      </c>
      <c r="CE380" s="714">
        <v>-4.2912491964362998</v>
      </c>
      <c r="CF380" s="714">
        <v>-4.3713349071391745</v>
      </c>
      <c r="CG380" s="714">
        <v>-4.451368250287679</v>
      </c>
      <c r="CH380" s="714">
        <v>-4.5313206507486612</v>
      </c>
      <c r="CI380" s="714">
        <v>-4.6111917364667336</v>
      </c>
      <c r="CJ380" s="714">
        <v>-4.6909962531632265</v>
      </c>
      <c r="CK380" s="714">
        <v>-4.7707545115255785</v>
      </c>
      <c r="CL380" s="714">
        <v>-4.8504860285832727</v>
      </c>
      <c r="CM380" s="714">
        <v>-4.9302064001214125</v>
      </c>
      <c r="CN380" s="714">
        <v>-5.0099262611779443</v>
      </c>
      <c r="CO380" s="714">
        <v>-5.0896515067508297</v>
      </c>
      <c r="CP380" s="714">
        <v>-5.1693843371823611</v>
      </c>
      <c r="CQ380" s="714">
        <v>-5.2491245392917287</v>
      </c>
      <c r="CR380" s="714">
        <v>-5.3288706312881926</v>
      </c>
      <c r="CS380" s="714">
        <v>-5.4086207163686915</v>
      </c>
      <c r="CT380" s="714">
        <v>-5.4883730229749688</v>
      </c>
      <c r="CU380" s="714">
        <v>-5.5681261740871228</v>
      </c>
      <c r="CV380" s="714">
        <v>-5.6478792619118039</v>
      </c>
      <c r="CW380" s="714">
        <v>-5.7276318032145035</v>
      </c>
      <c r="CX380" s="714">
        <v>-5.8073836360726609</v>
      </c>
      <c r="CY380" s="714">
        <v>-5.8871348036463811</v>
      </c>
      <c r="CZ380" s="126"/>
      <c r="DA380" s="14">
        <v>0</v>
      </c>
      <c r="DB380" s="14">
        <v>-1.065140295424714</v>
      </c>
      <c r="DC380" s="14">
        <v>-18.607659102231025</v>
      </c>
      <c r="DD380" s="14">
        <v>-29.932624620007658</v>
      </c>
      <c r="DE380" s="14">
        <v>-42.353995307027233</v>
      </c>
      <c r="DF380" s="14">
        <v>-53.893022712002427</v>
      </c>
      <c r="DG380" s="14">
        <v>-65.382106693967174</v>
      </c>
    </row>
    <row r="381" spans="2:111">
      <c r="B381" s="698"/>
      <c r="C381" s="724" t="s">
        <v>701</v>
      </c>
      <c r="D381" s="698"/>
      <c r="E381" s="698"/>
      <c r="F381" s="703"/>
      <c r="G381" s="609" t="s">
        <v>736</v>
      </c>
      <c r="H381" s="703"/>
      <c r="I381" s="703"/>
      <c r="J381" s="703"/>
      <c r="K381" s="703"/>
      <c r="L381" s="698"/>
      <c r="M381" s="714"/>
      <c r="N381" s="714"/>
      <c r="O381" s="714"/>
      <c r="P381" s="714"/>
      <c r="Q381" s="714"/>
      <c r="R381" s="714"/>
      <c r="S381" s="714"/>
      <c r="T381" s="714"/>
      <c r="U381" s="714"/>
      <c r="V381" s="714"/>
      <c r="W381" s="714"/>
      <c r="X381" s="714"/>
      <c r="Y381" s="714"/>
      <c r="Z381" s="714"/>
      <c r="AA381" s="714"/>
      <c r="AB381" s="714"/>
      <c r="AC381" s="714"/>
      <c r="AD381" s="714"/>
      <c r="AE381" s="714"/>
      <c r="AF381" s="126"/>
      <c r="AG381" s="126"/>
      <c r="AH381" s="126"/>
      <c r="AI381" s="723">
        <v>-8.3592679999999996E-3</v>
      </c>
      <c r="AJ381" s="723">
        <v>-0.15014645689684999</v>
      </c>
      <c r="AK381" s="723">
        <v>-0.20936991199312588</v>
      </c>
      <c r="AL381" s="723">
        <v>-0.35892152480341344</v>
      </c>
      <c r="AM381" s="723">
        <v>-0.39547280086109049</v>
      </c>
      <c r="AN381" s="747">
        <v>-0.35465340013233976</v>
      </c>
      <c r="AO381" s="747">
        <v>-0.44040827014336698</v>
      </c>
      <c r="AP381" s="747">
        <v>-0.34694167340687015</v>
      </c>
      <c r="AQ381" s="747">
        <v>-0.2388396125657975</v>
      </c>
      <c r="AR381" s="747">
        <v>-0.51906123926401704</v>
      </c>
      <c r="AS381" s="747">
        <v>-0.40838726094059946</v>
      </c>
      <c r="AT381" s="747">
        <v>-0.62383295672101302</v>
      </c>
      <c r="AU381" s="747">
        <v>-0.78329931008642029</v>
      </c>
      <c r="AV381" s="747">
        <v>-0.65050494254168512</v>
      </c>
      <c r="AW381" s="747">
        <v>-0.60097861819386944</v>
      </c>
      <c r="AX381" s="747">
        <v>-0.5847210199627253</v>
      </c>
      <c r="AY381" s="747">
        <v>-0.64734614263063561</v>
      </c>
      <c r="AZ381" s="747">
        <v>-0.66923707945221222</v>
      </c>
      <c r="BA381" s="747">
        <v>-0.75225586300760827</v>
      </c>
      <c r="BB381" s="747">
        <v>-0.77361106126625823</v>
      </c>
      <c r="BC381" s="747">
        <v>-0.84502664170775066</v>
      </c>
      <c r="BD381" s="747">
        <v>-1.0716019896847218</v>
      </c>
      <c r="BE381" s="747">
        <v>-1.2115017464367914</v>
      </c>
      <c r="BF381" s="747">
        <v>-1.2754697877932664</v>
      </c>
      <c r="BG381" s="747">
        <v>-1.4551157711664358</v>
      </c>
      <c r="BH381" s="747">
        <v>-1.4472489695943114</v>
      </c>
      <c r="BI381" s="747">
        <v>-1.4355993078811242</v>
      </c>
      <c r="BJ381" s="747">
        <v>-1.4210763166730846</v>
      </c>
      <c r="BK381" s="747">
        <v>-1.4017043649814347</v>
      </c>
      <c r="BL381" s="747">
        <v>-1.3774824053089254</v>
      </c>
      <c r="BM381" s="747">
        <v>-1.3550389437741233</v>
      </c>
      <c r="BN381" s="747">
        <v>-1.333948342471871</v>
      </c>
      <c r="BO381" s="747">
        <v>-1.3143201373514424</v>
      </c>
      <c r="BP381" s="747">
        <v>-1.376791197959498</v>
      </c>
      <c r="BQ381" s="747">
        <v>-1.3863170588867959</v>
      </c>
      <c r="BR381" s="747">
        <v>-1.3988946249334031</v>
      </c>
      <c r="BS381" s="747">
        <v>-1.4140013570137964</v>
      </c>
      <c r="BT381" s="747">
        <v>-1.430197210377999</v>
      </c>
      <c r="BU381" s="747">
        <v>-1.4466404684545089</v>
      </c>
      <c r="BV381" s="747">
        <v>-1.4629096397640513</v>
      </c>
      <c r="BW381" s="747">
        <v>-1.4788023705585407</v>
      </c>
      <c r="BX381" s="747">
        <v>-1.4942537469079398</v>
      </c>
      <c r="BY381" s="747">
        <v>-1.5093292883577454</v>
      </c>
      <c r="BZ381" s="747">
        <v>-1.5241286475801317</v>
      </c>
      <c r="CA381" s="747">
        <v>-1.538755407243769</v>
      </c>
      <c r="CB381" s="747">
        <v>-1.6008488603028357</v>
      </c>
      <c r="CC381" s="747">
        <v>-1.6164950493289956</v>
      </c>
      <c r="CD381" s="747">
        <v>-1.632162329441244</v>
      </c>
      <c r="CE381" s="747">
        <v>-1.647868362501572</v>
      </c>
      <c r="CF381" s="747">
        <v>-1.6636158228693121</v>
      </c>
      <c r="CG381" s="747">
        <v>-1.6793984743305224</v>
      </c>
      <c r="CH381" s="747">
        <v>-1.6952065208785942</v>
      </c>
      <c r="CI381" s="747">
        <v>-1.7110299902112653</v>
      </c>
      <c r="CJ381" s="747">
        <v>-1.7268605726191768</v>
      </c>
      <c r="CK381" s="747">
        <v>-1.7426924478453723</v>
      </c>
      <c r="CL381" s="747">
        <v>-1.7585222489421453</v>
      </c>
      <c r="CM381" s="747">
        <v>-1.7743485622413773</v>
      </c>
      <c r="CN381" s="747">
        <v>-1.818028436298158</v>
      </c>
      <c r="CO381" s="747">
        <v>-1.8338482263253013</v>
      </c>
      <c r="CP381" s="747">
        <v>-1.849665995886604</v>
      </c>
      <c r="CQ381" s="747">
        <v>-1.8654826472433026</v>
      </c>
      <c r="CR381" s="747">
        <v>-1.8812989052809792</v>
      </c>
      <c r="CS381" s="747">
        <v>-1.897115262501877</v>
      </c>
      <c r="CT381" s="747">
        <v>-1.9129319922007635</v>
      </c>
      <c r="CU381" s="747">
        <v>-1.928749196648772</v>
      </c>
      <c r="CV381" s="747">
        <v>-1.9445668651660486</v>
      </c>
      <c r="CW381" s="747">
        <v>-1.9603849266932181</v>
      </c>
      <c r="CX381" s="747">
        <v>-1.9762032896469288</v>
      </c>
      <c r="CY381" s="747">
        <v>-1.9920218674564314</v>
      </c>
      <c r="CZ381" s="698"/>
      <c r="DA381" s="12">
        <v>0</v>
      </c>
      <c r="DB381" s="14">
        <v>-2.5031129188028545</v>
      </c>
      <c r="DC381" s="14">
        <v>-7.8582621357747957</v>
      </c>
      <c r="DD381" s="14">
        <v>-16.100108083117529</v>
      </c>
      <c r="DE381" s="14">
        <v>-17.461021018038178</v>
      </c>
      <c r="DF381" s="14">
        <v>-20.249049241512417</v>
      </c>
      <c r="DG381" s="14">
        <v>-22.860297611348386</v>
      </c>
    </row>
    <row r="382" spans="2:111">
      <c r="B382" s="126"/>
      <c r="C382" s="126"/>
      <c r="D382" s="126" t="s">
        <v>100</v>
      </c>
      <c r="E382" s="126"/>
      <c r="F382" s="609"/>
      <c r="G382" s="609" t="s">
        <v>736</v>
      </c>
      <c r="H382" s="609"/>
      <c r="I382" s="609"/>
      <c r="J382" s="609"/>
      <c r="K382" s="609"/>
      <c r="L382" s="126"/>
      <c r="M382" s="710"/>
      <c r="N382" s="710"/>
      <c r="O382" s="710"/>
      <c r="P382" s="710"/>
      <c r="Q382" s="710"/>
      <c r="R382" s="710"/>
      <c r="S382" s="710"/>
      <c r="T382" s="710"/>
      <c r="U382" s="710"/>
      <c r="V382" s="710"/>
      <c r="W382" s="710"/>
      <c r="X382" s="710"/>
      <c r="Y382" s="710"/>
      <c r="Z382" s="710"/>
      <c r="AA382" s="710"/>
      <c r="AB382" s="710"/>
      <c r="AC382" s="710"/>
      <c r="AD382" s="710"/>
      <c r="AE382" s="710"/>
      <c r="AF382" s="702"/>
      <c r="AG382" s="126"/>
      <c r="AH382" s="702"/>
      <c r="AI382" s="721">
        <v>-5.0747070000000003E-3</v>
      </c>
      <c r="AJ382" s="721">
        <v>-9.3202953000000005E-2</v>
      </c>
      <c r="AK382" s="721">
        <v>-0.105927702</v>
      </c>
      <c r="AL382" s="721">
        <v>-0.16949040900000001</v>
      </c>
      <c r="AM382" s="721">
        <v>-0.17353115099999999</v>
      </c>
      <c r="AN382" s="748">
        <v>-0.15202385800000001</v>
      </c>
      <c r="AO382" s="710">
        <v>-0.28565000000000002</v>
      </c>
      <c r="AP382" s="710">
        <v>-0.35</v>
      </c>
      <c r="AQ382" s="710">
        <v>-0.35</v>
      </c>
      <c r="AR382" s="710">
        <v>-0.35416666666666669</v>
      </c>
      <c r="AS382" s="710">
        <v>-0.35833333333333334</v>
      </c>
      <c r="AT382" s="710">
        <v>-0.36249999999999993</v>
      </c>
      <c r="AU382" s="710">
        <v>-0.36666666666666664</v>
      </c>
      <c r="AV382" s="710">
        <v>-0.37083333333333324</v>
      </c>
      <c r="AW382" s="710">
        <v>-0.37499999999999994</v>
      </c>
      <c r="AX382" s="710">
        <v>-0.3791666666666666</v>
      </c>
      <c r="AY382" s="710">
        <v>-0.38333333333333325</v>
      </c>
      <c r="AZ382" s="710">
        <v>-0.3874999999999999</v>
      </c>
      <c r="BA382" s="710">
        <v>-0.3916666666666665</v>
      </c>
      <c r="BB382" s="710">
        <v>-0.3958333333333332</v>
      </c>
      <c r="BC382" s="710">
        <v>-0.4</v>
      </c>
      <c r="BD382" s="710">
        <v>-0.38750000000000001</v>
      </c>
      <c r="BE382" s="710">
        <v>-0.375</v>
      </c>
      <c r="BF382" s="710">
        <v>-0.36249999999999999</v>
      </c>
      <c r="BG382" s="710">
        <v>-0.35</v>
      </c>
      <c r="BH382" s="710">
        <v>-0.33750000000000002</v>
      </c>
      <c r="BI382" s="710">
        <v>-0.32500000000000001</v>
      </c>
      <c r="BJ382" s="710">
        <v>-0.3125</v>
      </c>
      <c r="BK382" s="710">
        <v>-0.3</v>
      </c>
      <c r="BL382" s="710">
        <v>-0.28749999999999998</v>
      </c>
      <c r="BM382" s="710">
        <v>-0.27500000000000002</v>
      </c>
      <c r="BN382" s="710">
        <v>-0.26250000000000001</v>
      </c>
      <c r="BO382" s="710">
        <v>-0.25</v>
      </c>
      <c r="BP382" s="710">
        <v>-0.25</v>
      </c>
      <c r="BQ382" s="710">
        <v>-0.25</v>
      </c>
      <c r="BR382" s="710">
        <v>-0.25</v>
      </c>
      <c r="BS382" s="710">
        <v>-0.25</v>
      </c>
      <c r="BT382" s="710">
        <v>-0.25</v>
      </c>
      <c r="BU382" s="710">
        <v>-0.25</v>
      </c>
      <c r="BV382" s="710">
        <v>-0.25</v>
      </c>
      <c r="BW382" s="710">
        <v>-0.25</v>
      </c>
      <c r="BX382" s="710">
        <v>-0.25</v>
      </c>
      <c r="BY382" s="710">
        <v>-0.25</v>
      </c>
      <c r="BZ382" s="710">
        <v>-0.25</v>
      </c>
      <c r="CA382" s="710">
        <v>-0.25</v>
      </c>
      <c r="CB382" s="710">
        <v>-0.25</v>
      </c>
      <c r="CC382" s="710">
        <v>-0.25</v>
      </c>
      <c r="CD382" s="710">
        <v>-0.25</v>
      </c>
      <c r="CE382" s="710">
        <v>-0.25</v>
      </c>
      <c r="CF382" s="710">
        <v>-0.25</v>
      </c>
      <c r="CG382" s="710">
        <v>-0.25</v>
      </c>
      <c r="CH382" s="710">
        <v>-0.25</v>
      </c>
      <c r="CI382" s="710">
        <v>-0.25</v>
      </c>
      <c r="CJ382" s="710">
        <v>-0.25</v>
      </c>
      <c r="CK382" s="710">
        <v>-0.25</v>
      </c>
      <c r="CL382" s="710">
        <v>-0.25</v>
      </c>
      <c r="CM382" s="710">
        <v>-0.25</v>
      </c>
      <c r="CN382" s="710">
        <v>-0.25</v>
      </c>
      <c r="CO382" s="710">
        <v>-0.25</v>
      </c>
      <c r="CP382" s="710">
        <v>-0.25</v>
      </c>
      <c r="CQ382" s="710">
        <v>-0.25</v>
      </c>
      <c r="CR382" s="710">
        <v>-0.25</v>
      </c>
      <c r="CS382" s="710">
        <v>-0.25</v>
      </c>
      <c r="CT382" s="710">
        <v>-0.25</v>
      </c>
      <c r="CU382" s="710">
        <v>-0.25</v>
      </c>
      <c r="CV382" s="710">
        <v>-0.25</v>
      </c>
      <c r="CW382" s="710">
        <v>-0.25</v>
      </c>
      <c r="CX382" s="710">
        <v>-0.25</v>
      </c>
      <c r="CY382" s="710">
        <v>-0.25</v>
      </c>
      <c r="CZ382" s="126"/>
      <c r="DA382" s="12">
        <v>0</v>
      </c>
      <c r="DB382" s="12">
        <v>-1.68490078</v>
      </c>
      <c r="DC382" s="12">
        <v>-4.5249999999999995</v>
      </c>
      <c r="DD382" s="12">
        <v>-3.8250000000000002</v>
      </c>
      <c r="DE382" s="12">
        <v>-3</v>
      </c>
      <c r="DF382" s="12">
        <v>-3</v>
      </c>
      <c r="DG382" s="12">
        <v>-3</v>
      </c>
    </row>
    <row r="383" spans="2:111">
      <c r="B383" s="126"/>
      <c r="C383" s="126"/>
      <c r="D383" s="126" t="s">
        <v>107</v>
      </c>
      <c r="E383" s="126"/>
      <c r="F383" s="609"/>
      <c r="G383" s="609" t="s">
        <v>736</v>
      </c>
      <c r="H383" s="609"/>
      <c r="I383" s="609"/>
      <c r="J383" s="609"/>
      <c r="K383" s="609"/>
      <c r="L383" s="126"/>
      <c r="M383" s="710"/>
      <c r="N383" s="710"/>
      <c r="O383" s="710"/>
      <c r="P383" s="710"/>
      <c r="Q383" s="710"/>
      <c r="R383" s="710"/>
      <c r="S383" s="710"/>
      <c r="T383" s="710"/>
      <c r="U383" s="710"/>
      <c r="V383" s="710"/>
      <c r="W383" s="710"/>
      <c r="X383" s="710"/>
      <c r="Y383" s="710"/>
      <c r="Z383" s="710"/>
      <c r="AA383" s="710"/>
      <c r="AB383" s="710"/>
      <c r="AC383" s="710"/>
      <c r="AD383" s="710"/>
      <c r="AE383" s="710"/>
      <c r="AF383" s="702"/>
      <c r="AG383" s="126"/>
      <c r="AH383" s="126"/>
      <c r="AI383" s="721">
        <v>0</v>
      </c>
      <c r="AJ383" s="721">
        <v>0</v>
      </c>
      <c r="AK383" s="721">
        <v>-6.1922137245784235E-3</v>
      </c>
      <c r="AL383" s="721">
        <v>-2.1516832233671315E-2</v>
      </c>
      <c r="AM383" s="721">
        <v>-4.3147487878995229E-2</v>
      </c>
      <c r="AN383" s="748">
        <v>-7.2470193617151263E-2</v>
      </c>
      <c r="AO383" s="739">
        <v>-5.3185000000000003E-2</v>
      </c>
      <c r="AP383" s="739">
        <v>-6.155900000000001E-2</v>
      </c>
      <c r="AQ383" s="739">
        <v>-7.0536000000000001E-2</v>
      </c>
      <c r="AR383" s="739">
        <v>-9.7243200000000002E-2</v>
      </c>
      <c r="AS383" s="739">
        <v>-0.1099932</v>
      </c>
      <c r="AT383" s="739">
        <v>-0.12289319999999999</v>
      </c>
      <c r="AU383" s="739">
        <v>-0.13594319999999999</v>
      </c>
      <c r="AV383" s="739">
        <v>-0.14914319999999998</v>
      </c>
      <c r="AW383" s="739">
        <v>-0.1624932</v>
      </c>
      <c r="AX383" s="739">
        <v>-0.17599319999999999</v>
      </c>
      <c r="AY383" s="739">
        <v>-0.18964319999999998</v>
      </c>
      <c r="AZ383" s="739">
        <v>-0.20344319999999999</v>
      </c>
      <c r="BA383" s="739">
        <v>-0.21739319999999998</v>
      </c>
      <c r="BB383" s="739">
        <v>-0.23149320000000001</v>
      </c>
      <c r="BC383" s="739">
        <v>-0.24574319999999999</v>
      </c>
      <c r="BD383" s="739">
        <v>-0.26014319999999996</v>
      </c>
      <c r="BE383" s="739">
        <v>-0.27409320000000004</v>
      </c>
      <c r="BF383" s="739">
        <v>-0.28759320000000005</v>
      </c>
      <c r="BG383" s="739">
        <v>-0.3006432</v>
      </c>
      <c r="BH383" s="739">
        <v>-0.3132432</v>
      </c>
      <c r="BI383" s="739">
        <v>-0.32539319999999999</v>
      </c>
      <c r="BJ383" s="739">
        <v>-0.33709320000000004</v>
      </c>
      <c r="BK383" s="739">
        <v>-0.34834319999999996</v>
      </c>
      <c r="BL383" s="739">
        <v>-0.3591432</v>
      </c>
      <c r="BM383" s="739">
        <v>-0.36949320000000002</v>
      </c>
      <c r="BN383" s="739">
        <v>-0.37939319999999999</v>
      </c>
      <c r="BO383" s="739">
        <v>-0.38884319999999994</v>
      </c>
      <c r="BP383" s="739">
        <v>-0.39784319999999995</v>
      </c>
      <c r="BQ383" s="739">
        <v>-0.40684319999999996</v>
      </c>
      <c r="BR383" s="739">
        <v>-0.41584319999999997</v>
      </c>
      <c r="BS383" s="739">
        <v>-0.42484319999999998</v>
      </c>
      <c r="BT383" s="739">
        <v>-0.43384319999999998</v>
      </c>
      <c r="BU383" s="739">
        <v>-0.44284319999999999</v>
      </c>
      <c r="BV383" s="739">
        <v>-0.45184319999999994</v>
      </c>
      <c r="BW383" s="739">
        <v>-0.46084319999999995</v>
      </c>
      <c r="BX383" s="739">
        <v>-0.46984319999999996</v>
      </c>
      <c r="BY383" s="739">
        <v>-0.47884319999999997</v>
      </c>
      <c r="BZ383" s="739">
        <v>-0.48784319999999998</v>
      </c>
      <c r="CA383" s="739">
        <v>-0.49684319999999998</v>
      </c>
      <c r="CB383" s="739">
        <v>-0.50584319999999994</v>
      </c>
      <c r="CC383" s="739">
        <v>-0.51484320000000006</v>
      </c>
      <c r="CD383" s="739">
        <v>-0.52384320000000006</v>
      </c>
      <c r="CE383" s="739">
        <v>-0.53284320000000007</v>
      </c>
      <c r="CF383" s="739">
        <v>-0.54184319999999997</v>
      </c>
      <c r="CG383" s="739">
        <v>-0.55084319999999998</v>
      </c>
      <c r="CH383" s="739">
        <v>-0.55984319999999999</v>
      </c>
      <c r="CI383" s="739">
        <v>-0.56884319999999999</v>
      </c>
      <c r="CJ383" s="739">
        <v>-0.5778432</v>
      </c>
      <c r="CK383" s="739">
        <v>-0.58684320000000001</v>
      </c>
      <c r="CL383" s="739">
        <v>-0.59584320000000002</v>
      </c>
      <c r="CM383" s="739">
        <v>-0.60484320000000003</v>
      </c>
      <c r="CN383" s="739">
        <v>-0.61384320000000003</v>
      </c>
      <c r="CO383" s="739">
        <v>-0.62284320000000004</v>
      </c>
      <c r="CP383" s="739">
        <v>-0.63184320000000005</v>
      </c>
      <c r="CQ383" s="739">
        <v>-0.64084320000000006</v>
      </c>
      <c r="CR383" s="739">
        <v>-0.64984320000000007</v>
      </c>
      <c r="CS383" s="739">
        <v>-0.65884320000000007</v>
      </c>
      <c r="CT383" s="739">
        <v>-0.66784319999999997</v>
      </c>
      <c r="CU383" s="739">
        <v>-0.67684319999999998</v>
      </c>
      <c r="CV383" s="739">
        <v>-0.68584319999999999</v>
      </c>
      <c r="CW383" s="739">
        <v>-0.69484319999999999</v>
      </c>
      <c r="CX383" s="739">
        <v>-0.7038432</v>
      </c>
      <c r="CY383" s="739">
        <v>-0.71284320000000001</v>
      </c>
      <c r="CZ383" s="126"/>
      <c r="DA383" s="12">
        <v>0</v>
      </c>
      <c r="DB383" s="12">
        <v>-0.32860672745439623</v>
      </c>
      <c r="DC383" s="12">
        <v>-2.0414184</v>
      </c>
      <c r="DD383" s="12">
        <v>-3.9434184000000005</v>
      </c>
      <c r="DE383" s="12">
        <v>-5.3681183999999993</v>
      </c>
      <c r="DF383" s="12">
        <v>-6.6641184000000004</v>
      </c>
      <c r="DG383" s="12">
        <v>-7.9601183999999989</v>
      </c>
    </row>
    <row r="384" spans="2:111">
      <c r="B384" s="126"/>
      <c r="C384" s="126"/>
      <c r="D384" s="126" t="s">
        <v>806</v>
      </c>
      <c r="E384" s="126"/>
      <c r="F384" s="609"/>
      <c r="G384" s="609" t="s">
        <v>736</v>
      </c>
      <c r="H384" s="609"/>
      <c r="I384" s="609"/>
      <c r="J384" s="609"/>
      <c r="K384" s="609"/>
      <c r="L384" s="126"/>
      <c r="M384" s="710"/>
      <c r="N384" s="710"/>
      <c r="O384" s="710"/>
      <c r="P384" s="710"/>
      <c r="Q384" s="710"/>
      <c r="R384" s="710"/>
      <c r="S384" s="710"/>
      <c r="T384" s="710"/>
      <c r="U384" s="710"/>
      <c r="V384" s="710"/>
      <c r="W384" s="710"/>
      <c r="X384" s="710"/>
      <c r="Y384" s="710"/>
      <c r="Z384" s="710"/>
      <c r="AA384" s="710"/>
      <c r="AB384" s="710"/>
      <c r="AC384" s="710"/>
      <c r="AD384" s="710"/>
      <c r="AE384" s="710"/>
      <c r="AF384" s="702"/>
      <c r="AG384" s="126"/>
      <c r="AH384" s="702"/>
      <c r="AI384" s="721">
        <v>-3.179561E-3</v>
      </c>
      <c r="AJ384" s="721">
        <v>-4.5906629999999997E-2</v>
      </c>
      <c r="AK384" s="721">
        <v>-5.5197912000000002E-2</v>
      </c>
      <c r="AL384" s="721">
        <v>-6.1874990999999997E-2</v>
      </c>
      <c r="AM384" s="721">
        <v>-6.4248400000000002E-3</v>
      </c>
      <c r="AN384" s="748">
        <v>-4.502247E-3</v>
      </c>
      <c r="AO384" s="710">
        <v>-2.2852000000000001E-2</v>
      </c>
      <c r="AP384" s="710">
        <v>-2.8000000000000001E-2</v>
      </c>
      <c r="AQ384" s="710">
        <v>-2.8000000000000001E-2</v>
      </c>
      <c r="AR384" s="710">
        <v>-2.8333333333333332E-2</v>
      </c>
      <c r="AS384" s="710">
        <v>-2.8666666666666663E-2</v>
      </c>
      <c r="AT384" s="710">
        <v>-2.8999999999999998E-2</v>
      </c>
      <c r="AU384" s="710">
        <v>-2.9333333333333329E-2</v>
      </c>
      <c r="AV384" s="710">
        <v>-2.9666666666666661E-2</v>
      </c>
      <c r="AW384" s="710">
        <v>-2.9999999999999992E-2</v>
      </c>
      <c r="AX384" s="710">
        <v>-3.0333333333333323E-2</v>
      </c>
      <c r="AY384" s="710">
        <v>-3.0666666666666658E-2</v>
      </c>
      <c r="AZ384" s="710">
        <v>-3.0999999999999989E-2</v>
      </c>
      <c r="BA384" s="710">
        <v>-3.1333333333333324E-2</v>
      </c>
      <c r="BB384" s="710">
        <v>-3.1666666666666655E-2</v>
      </c>
      <c r="BC384" s="710">
        <v>-3.2000000000000001E-2</v>
      </c>
      <c r="BD384" s="710">
        <v>-3.1E-2</v>
      </c>
      <c r="BE384" s="710">
        <v>-0.03</v>
      </c>
      <c r="BF384" s="710">
        <v>-2.9000000000000001E-2</v>
      </c>
      <c r="BG384" s="710">
        <v>-2.8000000000000001E-2</v>
      </c>
      <c r="BH384" s="710">
        <v>-2.7E-2</v>
      </c>
      <c r="BI384" s="710">
        <v>-2.5999999999999999E-2</v>
      </c>
      <c r="BJ384" s="710">
        <v>-2.5000000000000001E-2</v>
      </c>
      <c r="BK384" s="710">
        <v>-2.4E-2</v>
      </c>
      <c r="BL384" s="710">
        <v>-2.3E-2</v>
      </c>
      <c r="BM384" s="710">
        <v>-2.1999999999999999E-2</v>
      </c>
      <c r="BN384" s="710">
        <v>-2.1000000000000001E-2</v>
      </c>
      <c r="BO384" s="710">
        <v>-0.02</v>
      </c>
      <c r="BP384" s="710">
        <v>-0.02</v>
      </c>
      <c r="BQ384" s="710">
        <v>-0.02</v>
      </c>
      <c r="BR384" s="710">
        <v>-0.02</v>
      </c>
      <c r="BS384" s="710">
        <v>-0.02</v>
      </c>
      <c r="BT384" s="710">
        <v>-0.02</v>
      </c>
      <c r="BU384" s="710">
        <v>-0.02</v>
      </c>
      <c r="BV384" s="710">
        <v>-0.02</v>
      </c>
      <c r="BW384" s="710">
        <v>-0.02</v>
      </c>
      <c r="BX384" s="710">
        <v>-0.02</v>
      </c>
      <c r="BY384" s="710">
        <v>-0.02</v>
      </c>
      <c r="BZ384" s="710">
        <v>-0.02</v>
      </c>
      <c r="CA384" s="710">
        <v>-0.02</v>
      </c>
      <c r="CB384" s="710">
        <v>-0.02</v>
      </c>
      <c r="CC384" s="710">
        <v>-0.02</v>
      </c>
      <c r="CD384" s="710">
        <v>-0.02</v>
      </c>
      <c r="CE384" s="710">
        <v>-0.02</v>
      </c>
      <c r="CF384" s="710">
        <v>-0.02</v>
      </c>
      <c r="CG384" s="710">
        <v>-0.02</v>
      </c>
      <c r="CH384" s="710">
        <v>-0.02</v>
      </c>
      <c r="CI384" s="710">
        <v>-0.02</v>
      </c>
      <c r="CJ384" s="710">
        <v>-0.02</v>
      </c>
      <c r="CK384" s="710">
        <v>-0.02</v>
      </c>
      <c r="CL384" s="710">
        <v>-0.02</v>
      </c>
      <c r="CM384" s="710">
        <v>-0.02</v>
      </c>
      <c r="CN384" s="710">
        <v>-0.02</v>
      </c>
      <c r="CO384" s="710">
        <v>-0.02</v>
      </c>
      <c r="CP384" s="710">
        <v>-0.02</v>
      </c>
      <c r="CQ384" s="710">
        <v>-0.02</v>
      </c>
      <c r="CR384" s="710">
        <v>-0.02</v>
      </c>
      <c r="CS384" s="710">
        <v>-0.02</v>
      </c>
      <c r="CT384" s="710">
        <v>-0.02</v>
      </c>
      <c r="CU384" s="710">
        <v>-0.02</v>
      </c>
      <c r="CV384" s="710">
        <v>-0.02</v>
      </c>
      <c r="CW384" s="710">
        <v>-0.02</v>
      </c>
      <c r="CX384" s="710">
        <v>-0.02</v>
      </c>
      <c r="CY384" s="710">
        <v>-0.02</v>
      </c>
      <c r="CZ384" s="126"/>
      <c r="DA384" s="12">
        <v>0</v>
      </c>
      <c r="DB384" s="12">
        <v>-0.25593818099999999</v>
      </c>
      <c r="DC384" s="12">
        <v>-0.36199999999999988</v>
      </c>
      <c r="DD384" s="12">
        <v>-0.30599999999999999</v>
      </c>
      <c r="DE384" s="12">
        <v>-0.23999999999999996</v>
      </c>
      <c r="DF384" s="12">
        <v>-0.23999999999999996</v>
      </c>
      <c r="DG384" s="12">
        <v>-0.23999999999999996</v>
      </c>
    </row>
    <row r="385" spans="2:111">
      <c r="B385" s="126"/>
      <c r="C385" s="126"/>
      <c r="D385" s="126" t="s">
        <v>807</v>
      </c>
      <c r="E385" s="126"/>
      <c r="F385" s="609"/>
      <c r="G385" s="609" t="s">
        <v>736</v>
      </c>
      <c r="H385" s="609"/>
      <c r="I385" s="609"/>
      <c r="J385" s="609"/>
      <c r="K385" s="609"/>
      <c r="L385" s="126"/>
      <c r="M385" s="710"/>
      <c r="N385" s="710"/>
      <c r="O385" s="710"/>
      <c r="P385" s="710"/>
      <c r="Q385" s="710"/>
      <c r="R385" s="710"/>
      <c r="S385" s="710"/>
      <c r="T385" s="710"/>
      <c r="U385" s="710"/>
      <c r="V385" s="710"/>
      <c r="W385" s="710"/>
      <c r="X385" s="710"/>
      <c r="Y385" s="710"/>
      <c r="Z385" s="710"/>
      <c r="AA385" s="710"/>
      <c r="AB385" s="710"/>
      <c r="AC385" s="710"/>
      <c r="AD385" s="710"/>
      <c r="AE385" s="710"/>
      <c r="AF385" s="702"/>
      <c r="AG385" s="126"/>
      <c r="AH385" s="702"/>
      <c r="AI385" s="739"/>
      <c r="AJ385" s="739"/>
      <c r="AK385" s="739">
        <v>0</v>
      </c>
      <c r="AL385" s="739">
        <v>0</v>
      </c>
      <c r="AM385" s="721">
        <v>0</v>
      </c>
      <c r="AN385" s="749">
        <v>0</v>
      </c>
      <c r="AO385" s="710"/>
      <c r="AP385" s="710"/>
      <c r="AQ385" s="710"/>
      <c r="AR385" s="710"/>
      <c r="AS385" s="710"/>
      <c r="AT385" s="710"/>
      <c r="AU385" s="710"/>
      <c r="AV385" s="710"/>
      <c r="AW385" s="710"/>
      <c r="AX385" s="710"/>
      <c r="AY385" s="710"/>
      <c r="AZ385" s="710"/>
      <c r="BA385" s="710"/>
      <c r="BB385" s="710"/>
      <c r="BC385" s="710"/>
      <c r="BD385" s="710"/>
      <c r="BE385" s="710"/>
      <c r="BF385" s="710"/>
      <c r="BG385" s="710"/>
      <c r="BH385" s="710"/>
      <c r="BI385" s="710"/>
      <c r="BJ385" s="710"/>
      <c r="BK385" s="710"/>
      <c r="BL385" s="710"/>
      <c r="BM385" s="710"/>
      <c r="BN385" s="710"/>
      <c r="BO385" s="710"/>
      <c r="BP385" s="710"/>
      <c r="BQ385" s="710"/>
      <c r="BR385" s="710"/>
      <c r="BS385" s="710"/>
      <c r="BT385" s="710"/>
      <c r="BU385" s="710"/>
      <c r="BV385" s="710"/>
      <c r="BW385" s="710"/>
      <c r="BX385" s="710"/>
      <c r="BY385" s="710"/>
      <c r="BZ385" s="710"/>
      <c r="CA385" s="710"/>
      <c r="CB385" s="710"/>
      <c r="CC385" s="710"/>
      <c r="CD385" s="710"/>
      <c r="CE385" s="710"/>
      <c r="CF385" s="710"/>
      <c r="CG385" s="710"/>
      <c r="CH385" s="710"/>
      <c r="CI385" s="710"/>
      <c r="CJ385" s="710"/>
      <c r="CK385" s="710"/>
      <c r="CL385" s="710"/>
      <c r="CM385" s="710"/>
      <c r="CN385" s="710"/>
      <c r="CO385" s="710"/>
      <c r="CP385" s="710"/>
      <c r="CQ385" s="710"/>
      <c r="CR385" s="710"/>
      <c r="CS385" s="710"/>
      <c r="CT385" s="710"/>
      <c r="CU385" s="710"/>
      <c r="CV385" s="710"/>
      <c r="CW385" s="710"/>
      <c r="CX385" s="710"/>
      <c r="CY385" s="710"/>
      <c r="CZ385" s="126"/>
      <c r="DA385" s="14">
        <v>0</v>
      </c>
      <c r="DB385" s="12">
        <v>0</v>
      </c>
      <c r="DC385" s="12">
        <v>0</v>
      </c>
      <c r="DD385" s="12">
        <v>0</v>
      </c>
      <c r="DE385" s="12">
        <v>0</v>
      </c>
      <c r="DF385" s="12">
        <v>0</v>
      </c>
      <c r="DG385" s="12">
        <v>0</v>
      </c>
    </row>
    <row r="386" spans="2:111">
      <c r="B386" s="126"/>
      <c r="C386" s="126"/>
      <c r="D386" s="126" t="s">
        <v>703</v>
      </c>
      <c r="E386" s="702"/>
      <c r="F386" s="725"/>
      <c r="G386" s="609" t="s">
        <v>736</v>
      </c>
      <c r="H386" s="609"/>
      <c r="I386" s="609"/>
      <c r="J386" s="609"/>
      <c r="K386" s="609"/>
      <c r="L386" s="126"/>
      <c r="M386" s="710"/>
      <c r="N386" s="710"/>
      <c r="O386" s="710"/>
      <c r="P386" s="710"/>
      <c r="Q386" s="710"/>
      <c r="R386" s="710"/>
      <c r="S386" s="710"/>
      <c r="T386" s="710"/>
      <c r="U386" s="710"/>
      <c r="V386" s="710"/>
      <c r="W386" s="710"/>
      <c r="X386" s="710"/>
      <c r="Y386" s="710"/>
      <c r="Z386" s="710"/>
      <c r="AA386" s="710"/>
      <c r="AB386" s="710"/>
      <c r="AC386" s="710"/>
      <c r="AD386" s="710"/>
      <c r="AE386" s="710"/>
      <c r="AF386" s="702"/>
      <c r="AG386" s="126"/>
      <c r="AH386" s="702"/>
      <c r="AI386" s="721">
        <v>0</v>
      </c>
      <c r="AJ386" s="721">
        <v>-3.3874500000000002E-3</v>
      </c>
      <c r="AK386" s="721">
        <v>-3.6899217897011964E-3</v>
      </c>
      <c r="AL386" s="739">
        <v>0</v>
      </c>
      <c r="AM386" s="721">
        <v>0</v>
      </c>
      <c r="AN386" s="749">
        <v>0</v>
      </c>
      <c r="AO386" s="710"/>
      <c r="AP386" s="710"/>
      <c r="AQ386" s="710"/>
      <c r="AR386" s="710"/>
      <c r="AS386" s="710"/>
      <c r="AT386" s="710"/>
      <c r="AU386" s="710"/>
      <c r="AV386" s="710"/>
      <c r="AW386" s="710"/>
      <c r="AX386" s="710"/>
      <c r="AY386" s="710"/>
      <c r="AZ386" s="710"/>
      <c r="BA386" s="710"/>
      <c r="BB386" s="710"/>
      <c r="BC386" s="710"/>
      <c r="BD386" s="710"/>
      <c r="BE386" s="710"/>
      <c r="BF386" s="710"/>
      <c r="BG386" s="710"/>
      <c r="BH386" s="710"/>
      <c r="BI386" s="710"/>
      <c r="BJ386" s="710"/>
      <c r="BK386" s="710"/>
      <c r="BL386" s="710"/>
      <c r="BM386" s="710"/>
      <c r="BN386" s="710"/>
      <c r="BO386" s="710"/>
      <c r="BP386" s="710"/>
      <c r="BQ386" s="710"/>
      <c r="BR386" s="710"/>
      <c r="BS386" s="710"/>
      <c r="BT386" s="710"/>
      <c r="BU386" s="710"/>
      <c r="BV386" s="710"/>
      <c r="BW386" s="710"/>
      <c r="BX386" s="710"/>
      <c r="BY386" s="710"/>
      <c r="BZ386" s="710"/>
      <c r="CA386" s="710"/>
      <c r="CB386" s="710"/>
      <c r="CC386" s="710"/>
      <c r="CD386" s="710"/>
      <c r="CE386" s="710"/>
      <c r="CF386" s="710"/>
      <c r="CG386" s="710"/>
      <c r="CH386" s="710"/>
      <c r="CI386" s="710"/>
      <c r="CJ386" s="710"/>
      <c r="CK386" s="710"/>
      <c r="CL386" s="710"/>
      <c r="CM386" s="710"/>
      <c r="CN386" s="710"/>
      <c r="CO386" s="710"/>
      <c r="CP386" s="710"/>
      <c r="CQ386" s="710"/>
      <c r="CR386" s="710"/>
      <c r="CS386" s="710"/>
      <c r="CT386" s="710"/>
      <c r="CU386" s="710"/>
      <c r="CV386" s="710"/>
      <c r="CW386" s="710"/>
      <c r="CX386" s="710"/>
      <c r="CY386" s="710"/>
      <c r="CZ386" s="126"/>
      <c r="DA386" s="12">
        <v>0</v>
      </c>
      <c r="DB386" s="12">
        <v>-7.0773717897011966E-3</v>
      </c>
      <c r="DC386" s="12">
        <v>0</v>
      </c>
      <c r="DD386" s="12">
        <v>0</v>
      </c>
      <c r="DE386" s="12">
        <v>0</v>
      </c>
      <c r="DF386" s="12">
        <v>0</v>
      </c>
      <c r="DG386" s="12">
        <v>0</v>
      </c>
    </row>
    <row r="387" spans="2:111">
      <c r="B387" s="126"/>
      <c r="C387" s="126"/>
      <c r="D387" s="126" t="s">
        <v>163</v>
      </c>
      <c r="E387" s="702"/>
      <c r="F387" s="725"/>
      <c r="G387" s="609" t="s">
        <v>736</v>
      </c>
      <c r="H387" s="609"/>
      <c r="I387" s="609"/>
      <c r="J387" s="609"/>
      <c r="K387" s="609"/>
      <c r="L387" s="126"/>
      <c r="M387" s="710"/>
      <c r="N387" s="710"/>
      <c r="O387" s="710"/>
      <c r="P387" s="710"/>
      <c r="Q387" s="710"/>
      <c r="R387" s="710"/>
      <c r="S387" s="710"/>
      <c r="T387" s="710"/>
      <c r="U387" s="710"/>
      <c r="V387" s="710"/>
      <c r="W387" s="710"/>
      <c r="X387" s="710"/>
      <c r="Y387" s="710"/>
      <c r="Z387" s="710"/>
      <c r="AA387" s="710"/>
      <c r="AB387" s="710"/>
      <c r="AC387" s="710"/>
      <c r="AD387" s="710"/>
      <c r="AE387" s="710"/>
      <c r="AF387" s="698"/>
      <c r="AG387" s="702"/>
      <c r="AH387" s="702"/>
      <c r="AI387" s="721">
        <v>-1.05E-4</v>
      </c>
      <c r="AJ387" s="721">
        <v>-3.418772E-3</v>
      </c>
      <c r="AK387" s="721">
        <v>-1.492984032034602E-2</v>
      </c>
      <c r="AL387" s="721">
        <v>-4.0628024848042052E-2</v>
      </c>
      <c r="AM387" s="721">
        <v>-4.8484877575445243E-2</v>
      </c>
      <c r="AN387" s="748">
        <v>-4.7328175619288503E-2</v>
      </c>
      <c r="AO387" s="749">
        <v>-3.447304000000001E-2</v>
      </c>
      <c r="AP387" s="749">
        <v>-3.9500160000000006E-2</v>
      </c>
      <c r="AQ387" s="749">
        <v>-4.5380160000000003E-2</v>
      </c>
      <c r="AR387" s="749">
        <v>-5.1330160000000007E-2</v>
      </c>
      <c r="AS387" s="749">
        <v>-5.7350159999999997E-2</v>
      </c>
      <c r="AT387" s="749">
        <v>-6.3440159999999995E-2</v>
      </c>
      <c r="AU387" s="749">
        <v>-6.9600160000000008E-2</v>
      </c>
      <c r="AV387" s="749">
        <v>-7.5830160000000008E-2</v>
      </c>
      <c r="AW387" s="749">
        <v>-8.2130160000000008E-2</v>
      </c>
      <c r="AX387" s="749">
        <v>-8.8500160000000008E-2</v>
      </c>
      <c r="AY387" s="749">
        <v>-9.4940159999999996E-2</v>
      </c>
      <c r="AZ387" s="749">
        <v>-0.10145016</v>
      </c>
      <c r="BA387" s="749">
        <v>-0.10803016</v>
      </c>
      <c r="BB387" s="749">
        <v>-0.11468016</v>
      </c>
      <c r="BC387" s="749">
        <v>-0.12140016000000001</v>
      </c>
      <c r="BD387" s="749">
        <v>-0.12791015999999999</v>
      </c>
      <c r="BE387" s="749">
        <v>-0.13421016</v>
      </c>
      <c r="BF387" s="749">
        <v>-0.14030016000000001</v>
      </c>
      <c r="BG387" s="749">
        <v>-0.14618016</v>
      </c>
      <c r="BH387" s="749">
        <v>-0.15185016000000001</v>
      </c>
      <c r="BI387" s="749">
        <v>-0.15731016</v>
      </c>
      <c r="BJ387" s="749">
        <v>-0.16256015999999998</v>
      </c>
      <c r="BK387" s="749">
        <v>-0.16760016</v>
      </c>
      <c r="BL387" s="749">
        <v>-0.17243016</v>
      </c>
      <c r="BM387" s="749">
        <v>-0.17705016000000001</v>
      </c>
      <c r="BN387" s="749">
        <v>-0.18146015999999998</v>
      </c>
      <c r="BO387" s="749">
        <v>-0.18566015999999996</v>
      </c>
      <c r="BP387" s="749">
        <v>-0.18986015999999997</v>
      </c>
      <c r="BQ387" s="749">
        <v>-0.19406015999999998</v>
      </c>
      <c r="BR387" s="749">
        <v>-0.19826015999999996</v>
      </c>
      <c r="BS387" s="749">
        <v>-0.20246015999999997</v>
      </c>
      <c r="BT387" s="749">
        <v>-0.20666015999999998</v>
      </c>
      <c r="BU387" s="749">
        <v>-0.21086015999999996</v>
      </c>
      <c r="BV387" s="749">
        <v>-0.21506015999999997</v>
      </c>
      <c r="BW387" s="749">
        <v>-0.21926015999999998</v>
      </c>
      <c r="BX387" s="749">
        <v>-0.22346015999999996</v>
      </c>
      <c r="BY387" s="749">
        <v>-0.22766015999999997</v>
      </c>
      <c r="BZ387" s="749">
        <v>-0.23186015999999998</v>
      </c>
      <c r="CA387" s="749">
        <v>-0.23606015999999996</v>
      </c>
      <c r="CB387" s="749">
        <v>-0.24026015999999997</v>
      </c>
      <c r="CC387" s="749">
        <v>-0.24446015999999998</v>
      </c>
      <c r="CD387" s="749">
        <v>-0.24866015999999996</v>
      </c>
      <c r="CE387" s="749">
        <v>-0.25286016</v>
      </c>
      <c r="CF387" s="749">
        <v>-0.25706015999999998</v>
      </c>
      <c r="CG387" s="749">
        <v>-0.26126015999999996</v>
      </c>
      <c r="CH387" s="749">
        <v>-0.26546016</v>
      </c>
      <c r="CI387" s="749">
        <v>-0.26966015999999998</v>
      </c>
      <c r="CJ387" s="749">
        <v>-0.27386015999999996</v>
      </c>
      <c r="CK387" s="749">
        <v>-0.27806016</v>
      </c>
      <c r="CL387" s="749">
        <v>-0.28226015999999998</v>
      </c>
      <c r="CM387" s="749">
        <v>-0.28646015999999996</v>
      </c>
      <c r="CN387" s="749">
        <v>-0.29066016</v>
      </c>
      <c r="CO387" s="749">
        <v>-0.29486015999999998</v>
      </c>
      <c r="CP387" s="749">
        <v>-0.29906015999999996</v>
      </c>
      <c r="CQ387" s="749">
        <v>-0.30326016</v>
      </c>
      <c r="CR387" s="749">
        <v>-0.30746015999999998</v>
      </c>
      <c r="CS387" s="749">
        <v>-0.31166015999999996</v>
      </c>
      <c r="CT387" s="749">
        <v>-0.31586016</v>
      </c>
      <c r="CU387" s="749">
        <v>-0.32006015999999998</v>
      </c>
      <c r="CV387" s="749">
        <v>-0.32426015999999996</v>
      </c>
      <c r="CW387" s="749">
        <v>-0.32846016</v>
      </c>
      <c r="CX387" s="749">
        <v>-0.33266015999999998</v>
      </c>
      <c r="CY387" s="749">
        <v>-0.33686015999999996</v>
      </c>
      <c r="CZ387" s="126"/>
      <c r="DA387" s="12">
        <v>0</v>
      </c>
      <c r="DB387" s="12">
        <v>-0.27424805036312183</v>
      </c>
      <c r="DC387" s="12">
        <v>-1.0286819200000001</v>
      </c>
      <c r="DD387" s="12">
        <v>-1.9045219199999996</v>
      </c>
      <c r="DE387" s="12">
        <v>-2.5555219199999999</v>
      </c>
      <c r="DF387" s="12">
        <v>-3.1603219199999995</v>
      </c>
      <c r="DG387" s="12">
        <v>-3.7651219200000003</v>
      </c>
    </row>
    <row r="388" spans="2:111">
      <c r="B388" s="126"/>
      <c r="C388" s="126"/>
      <c r="D388" s="718" t="s">
        <v>152</v>
      </c>
      <c r="E388" s="126"/>
      <c r="F388" s="609"/>
      <c r="G388" s="609" t="s">
        <v>736</v>
      </c>
      <c r="H388" s="609"/>
      <c r="I388" s="609"/>
      <c r="J388" s="609"/>
      <c r="K388" s="609"/>
      <c r="L388" s="126"/>
      <c r="M388" s="710"/>
      <c r="N388" s="710"/>
      <c r="O388" s="710"/>
      <c r="P388" s="710"/>
      <c r="Q388" s="710"/>
      <c r="R388" s="710"/>
      <c r="S388" s="710"/>
      <c r="T388" s="710"/>
      <c r="U388" s="710"/>
      <c r="V388" s="710"/>
      <c r="W388" s="710"/>
      <c r="X388" s="710"/>
      <c r="Y388" s="710"/>
      <c r="Z388" s="710"/>
      <c r="AA388" s="710"/>
      <c r="AB388" s="710"/>
      <c r="AC388" s="710"/>
      <c r="AD388" s="710"/>
      <c r="AE388" s="710"/>
      <c r="AF388" s="702"/>
      <c r="AG388" s="126"/>
      <c r="AH388" s="702"/>
      <c r="AI388" s="721"/>
      <c r="AJ388" s="721"/>
      <c r="AK388" s="721"/>
      <c r="AL388" s="739"/>
      <c r="AM388" s="721"/>
      <c r="AN388" s="749"/>
      <c r="AO388" s="710"/>
      <c r="AP388" s="710"/>
      <c r="AQ388" s="710"/>
      <c r="AR388" s="750">
        <v>-1.7343833900125293E-2</v>
      </c>
      <c r="AS388" s="750">
        <v>-1.7157857892894649E-2</v>
      </c>
      <c r="AT388" s="750">
        <v>-1.6979969183359016E-2</v>
      </c>
      <c r="AU388" s="750">
        <v>-1.6809651474530833E-2</v>
      </c>
      <c r="AV388" s="750">
        <v>-1.6646431501230519E-2</v>
      </c>
      <c r="AW388" s="750">
        <v>-1.6489874638379944E-2</v>
      </c>
      <c r="AX388" s="750">
        <v>-4.8732083792723266E-3</v>
      </c>
      <c r="AY388" s="750">
        <v>-4.8301420630018528E-3</v>
      </c>
      <c r="AZ388" s="750">
        <v>-4.7887323943661964E-3</v>
      </c>
      <c r="BA388" s="750">
        <v>-4.7488855869242197E-3</v>
      </c>
      <c r="BB388" s="750">
        <v>-4.7105148023917154E-3</v>
      </c>
      <c r="BC388" s="750">
        <v>-4.6735395189003437E-3</v>
      </c>
      <c r="BD388" s="750">
        <v>-4.5627705627705626E-3</v>
      </c>
      <c r="BE388" s="750">
        <v>-4.4502617801047122E-3</v>
      </c>
      <c r="BF388" s="750">
        <v>-4.335971855760774E-3</v>
      </c>
      <c r="BG388" s="750">
        <v>-4.219858156028369E-3</v>
      </c>
      <c r="BH388" s="750">
        <v>-4.1018766756032174E-3</v>
      </c>
      <c r="BI388" s="750">
        <v>-3.9819819819819826E-3</v>
      </c>
      <c r="BJ388" s="750">
        <v>-3.8601271571298821E-3</v>
      </c>
      <c r="BK388" s="750">
        <v>-3.7362637362637358E-3</v>
      </c>
      <c r="BL388" s="750">
        <v>-3.6103416435826407E-3</v>
      </c>
      <c r="BM388" s="750">
        <v>-3.482309124767225E-3</v>
      </c>
      <c r="BN388" s="750">
        <v>-3.3521126760563385E-3</v>
      </c>
      <c r="BO388" s="750">
        <v>-3.21969696969697E-3</v>
      </c>
      <c r="BP388" s="750">
        <v>-3.203517587939699E-3</v>
      </c>
      <c r="BQ388" s="750">
        <v>-3.1875000000000007E-3</v>
      </c>
      <c r="BR388" s="750">
        <v>-3.1716417910447768E-3</v>
      </c>
      <c r="BS388" s="750">
        <v>-3.1559405940594066E-3</v>
      </c>
      <c r="BT388" s="750">
        <v>-3.1403940886699515E-3</v>
      </c>
      <c r="BU388" s="750">
        <v>-3.1250000000000006E-3</v>
      </c>
      <c r="BV388" s="750">
        <v>-3.1097560975609762E-3</v>
      </c>
      <c r="BW388" s="750">
        <v>-3.0946601941747582E-3</v>
      </c>
      <c r="BX388" s="750">
        <v>-3.0797101449275372E-3</v>
      </c>
      <c r="BY388" s="750">
        <v>-3.064903846153847E-3</v>
      </c>
      <c r="BZ388" s="750">
        <v>-3.0502392344497618E-3</v>
      </c>
      <c r="CA388" s="750">
        <v>-3.0357142857142861E-3</v>
      </c>
      <c r="CB388" s="750">
        <v>-3.0357142857142861E-3</v>
      </c>
      <c r="CC388" s="750">
        <v>-3.0357142857142861E-3</v>
      </c>
      <c r="CD388" s="750">
        <v>-3.0357142857142861E-3</v>
      </c>
      <c r="CE388" s="750">
        <v>-3.0357142857142861E-3</v>
      </c>
      <c r="CF388" s="750">
        <v>-3.0357142857142861E-3</v>
      </c>
      <c r="CG388" s="750">
        <v>-3.0357142857142861E-3</v>
      </c>
      <c r="CH388" s="750">
        <v>-3.0357142857142861E-3</v>
      </c>
      <c r="CI388" s="750">
        <v>-3.0357142857142861E-3</v>
      </c>
      <c r="CJ388" s="750">
        <v>-3.0357142857142861E-3</v>
      </c>
      <c r="CK388" s="750">
        <v>-3.0357142857142861E-3</v>
      </c>
      <c r="CL388" s="750">
        <v>-3.0357142857142861E-3</v>
      </c>
      <c r="CM388" s="750">
        <v>-3.0357142857142861E-3</v>
      </c>
      <c r="CN388" s="750">
        <v>-3.0357142857142861E-3</v>
      </c>
      <c r="CO388" s="750">
        <v>-3.0357142857142861E-3</v>
      </c>
      <c r="CP388" s="750">
        <v>-3.0357142857142861E-3</v>
      </c>
      <c r="CQ388" s="750">
        <v>-3.0357142857142861E-3</v>
      </c>
      <c r="CR388" s="750">
        <v>-3.0357142857142861E-3</v>
      </c>
      <c r="CS388" s="750">
        <v>-3.0357142857142861E-3</v>
      </c>
      <c r="CT388" s="750">
        <v>-3.0357142857142861E-3</v>
      </c>
      <c r="CU388" s="750">
        <v>-3.0357142857142861E-3</v>
      </c>
      <c r="CV388" s="750">
        <v>-3.0357142857142861E-3</v>
      </c>
      <c r="CW388" s="750">
        <v>-3.0357142857142861E-3</v>
      </c>
      <c r="CX388" s="750">
        <v>-3.0357142857142861E-3</v>
      </c>
      <c r="CY388" s="750">
        <v>-3.0357142857142861E-3</v>
      </c>
      <c r="CZ388" s="126"/>
      <c r="DA388" s="12"/>
      <c r="DB388" s="12">
        <v>0</v>
      </c>
      <c r="DC388" s="12">
        <v>-0.13005264133537692</v>
      </c>
      <c r="DD388" s="12">
        <v>-4.6913572319746411E-2</v>
      </c>
      <c r="DE388" s="12">
        <v>-3.7418977864695002E-2</v>
      </c>
      <c r="DF388" s="12">
        <v>-3.6428571428571442E-2</v>
      </c>
      <c r="DG388" s="12">
        <v>-3.6428571428571442E-2</v>
      </c>
    </row>
    <row r="389" spans="2:111">
      <c r="B389" s="126"/>
      <c r="C389" s="126"/>
      <c r="D389" s="126" t="s">
        <v>144</v>
      </c>
      <c r="E389" s="718"/>
      <c r="F389" s="727"/>
      <c r="G389" s="609" t="s">
        <v>736</v>
      </c>
      <c r="H389" s="609"/>
      <c r="I389" s="609"/>
      <c r="J389" s="609"/>
      <c r="K389" s="609"/>
      <c r="L389" s="126"/>
      <c r="M389" s="710"/>
      <c r="N389" s="710"/>
      <c r="O389" s="710"/>
      <c r="P389" s="710"/>
      <c r="Q389" s="710"/>
      <c r="R389" s="710"/>
      <c r="S389" s="710"/>
      <c r="T389" s="710"/>
      <c r="U389" s="710"/>
      <c r="V389" s="710"/>
      <c r="W389" s="710"/>
      <c r="X389" s="710"/>
      <c r="Y389" s="710"/>
      <c r="Z389" s="710"/>
      <c r="AA389" s="710"/>
      <c r="AB389" s="710"/>
      <c r="AC389" s="710"/>
      <c r="AD389" s="710"/>
      <c r="AE389" s="710"/>
      <c r="AF389" s="698"/>
      <c r="AG389" s="702"/>
      <c r="AH389" s="702"/>
      <c r="AI389" s="721"/>
      <c r="AJ389" s="721"/>
      <c r="AK389" s="721"/>
      <c r="AL389" s="721"/>
      <c r="AM389" s="721"/>
      <c r="AN389" s="748"/>
      <c r="AO389" s="749"/>
      <c r="AP389" s="749"/>
      <c r="AQ389" s="749"/>
      <c r="AR389" s="751">
        <v>-0.2028518584809976</v>
      </c>
      <c r="AS389" s="751">
        <v>-0.20067670050169178</v>
      </c>
      <c r="AT389" s="751">
        <v>-0.19859613079952063</v>
      </c>
      <c r="AU389" s="751">
        <v>-0.19660411081322612</v>
      </c>
      <c r="AV389" s="751">
        <v>-0.19469510527754993</v>
      </c>
      <c r="AW389" s="751">
        <v>-0.19286403085824494</v>
      </c>
      <c r="AX389" s="751">
        <v>-0.19110621095185595</v>
      </c>
      <c r="AY389" s="751">
        <v>-0.18941733580399425</v>
      </c>
      <c r="AZ389" s="751">
        <v>-0.18779342723004697</v>
      </c>
      <c r="BA389" s="751">
        <v>-0.18623080733036157</v>
      </c>
      <c r="BB389" s="751">
        <v>-0.18472607068202809</v>
      </c>
      <c r="BC389" s="751">
        <v>-0.18327605956471937</v>
      </c>
      <c r="BD389" s="751">
        <v>-0.26839826839826841</v>
      </c>
      <c r="BE389" s="751">
        <v>-0.26178010471204188</v>
      </c>
      <c r="BF389" s="751">
        <v>-0.25505716798592787</v>
      </c>
      <c r="BG389" s="751">
        <v>-0.24822695035460995</v>
      </c>
      <c r="BH389" s="751">
        <v>-0.24128686327077747</v>
      </c>
      <c r="BI389" s="751">
        <v>-0.23423423423423423</v>
      </c>
      <c r="BJ389" s="751">
        <v>-0.22706630336058126</v>
      </c>
      <c r="BK389" s="751">
        <v>-0.21978021978021975</v>
      </c>
      <c r="BL389" s="751">
        <v>-0.21237303785780237</v>
      </c>
      <c r="BM389" s="751">
        <v>-0.20484171322160147</v>
      </c>
      <c r="BN389" s="751">
        <v>-0.19718309859154931</v>
      </c>
      <c r="BO389" s="751">
        <v>-0.18939393939393939</v>
      </c>
      <c r="BP389" s="751">
        <v>-0.24497487437185933</v>
      </c>
      <c r="BQ389" s="751">
        <v>-0.24375000000000005</v>
      </c>
      <c r="BR389" s="751">
        <v>-0.24253731343283585</v>
      </c>
      <c r="BS389" s="751">
        <v>-0.24133663366336638</v>
      </c>
      <c r="BT389" s="751">
        <v>-0.24014778325123159</v>
      </c>
      <c r="BU389" s="751">
        <v>-0.23897058823529416</v>
      </c>
      <c r="BV389" s="751">
        <v>-0.23780487804878053</v>
      </c>
      <c r="BW389" s="751">
        <v>-0.23665048543689327</v>
      </c>
      <c r="BX389" s="751">
        <v>-0.23550724637681164</v>
      </c>
      <c r="BY389" s="751">
        <v>-0.23437500000000006</v>
      </c>
      <c r="BZ389" s="751">
        <v>-0.23325358851674649</v>
      </c>
      <c r="CA389" s="751">
        <v>-0.23214285714285715</v>
      </c>
      <c r="CB389" s="751">
        <v>-0.27857142857142858</v>
      </c>
      <c r="CC389" s="751">
        <v>-0.27857142857142858</v>
      </c>
      <c r="CD389" s="751">
        <v>-0.27857142857142858</v>
      </c>
      <c r="CE389" s="751">
        <v>-0.27857142857142858</v>
      </c>
      <c r="CF389" s="751">
        <v>-0.27857142857142858</v>
      </c>
      <c r="CG389" s="751">
        <v>-0.27857142857142858</v>
      </c>
      <c r="CH389" s="751">
        <v>-0.27857142857142858</v>
      </c>
      <c r="CI389" s="751">
        <v>-0.27857142857142858</v>
      </c>
      <c r="CJ389" s="751">
        <v>-0.27857142857142858</v>
      </c>
      <c r="CK389" s="751">
        <v>-0.27857142857142858</v>
      </c>
      <c r="CL389" s="751">
        <v>-0.27857142857142858</v>
      </c>
      <c r="CM389" s="751">
        <v>-0.27857142857142858</v>
      </c>
      <c r="CN389" s="751">
        <v>-0.30642857142857144</v>
      </c>
      <c r="CO389" s="751">
        <v>-0.30642857142857144</v>
      </c>
      <c r="CP389" s="751">
        <v>-0.30642857142857144</v>
      </c>
      <c r="CQ389" s="751">
        <v>-0.30642857142857144</v>
      </c>
      <c r="CR389" s="751">
        <v>-0.30642857142857144</v>
      </c>
      <c r="CS389" s="751">
        <v>-0.30642857142857144</v>
      </c>
      <c r="CT389" s="751">
        <v>-0.30642857142857144</v>
      </c>
      <c r="CU389" s="751">
        <v>-0.30642857142857144</v>
      </c>
      <c r="CV389" s="751">
        <v>-0.30642857142857144</v>
      </c>
      <c r="CW389" s="751">
        <v>-0.30642857142857144</v>
      </c>
      <c r="CX389" s="751">
        <v>-0.30642857142857144</v>
      </c>
      <c r="CY389" s="751">
        <v>-0.30642857142857144</v>
      </c>
      <c r="CZ389" s="126"/>
      <c r="DA389" s="12">
        <v>0</v>
      </c>
      <c r="DB389" s="12">
        <v>0</v>
      </c>
      <c r="DC389" s="12">
        <v>-2.3088378482942371</v>
      </c>
      <c r="DD389" s="12">
        <v>-2.7596219011615535</v>
      </c>
      <c r="DE389" s="12">
        <v>-2.8614512484766763</v>
      </c>
      <c r="DF389" s="12">
        <v>-3.3428571428571421</v>
      </c>
      <c r="DG389" s="12">
        <v>-3.6771428571428575</v>
      </c>
    </row>
    <row r="390" spans="2:111">
      <c r="B390" s="126"/>
      <c r="C390" s="126"/>
      <c r="D390" s="698" t="s">
        <v>808</v>
      </c>
      <c r="E390" s="126"/>
      <c r="F390" s="609"/>
      <c r="G390" s="609" t="s">
        <v>736</v>
      </c>
      <c r="H390" s="609"/>
      <c r="I390" s="609"/>
      <c r="J390" s="609"/>
      <c r="K390" s="609"/>
      <c r="L390" s="126"/>
      <c r="M390" s="710"/>
      <c r="N390" s="710"/>
      <c r="O390" s="710"/>
      <c r="P390" s="710"/>
      <c r="Q390" s="710"/>
      <c r="R390" s="710"/>
      <c r="S390" s="710"/>
      <c r="T390" s="710"/>
      <c r="U390" s="710"/>
      <c r="V390" s="710"/>
      <c r="W390" s="710"/>
      <c r="X390" s="710"/>
      <c r="Y390" s="710"/>
      <c r="Z390" s="710"/>
      <c r="AA390" s="710"/>
      <c r="AB390" s="710"/>
      <c r="AC390" s="710"/>
      <c r="AD390" s="710"/>
      <c r="AE390" s="710"/>
      <c r="AF390" s="708"/>
      <c r="AG390" s="708"/>
      <c r="AH390" s="708"/>
      <c r="AI390" s="746">
        <v>0</v>
      </c>
      <c r="AJ390" s="746">
        <v>-4.2306518968499999E-3</v>
      </c>
      <c r="AK390" s="746">
        <v>-2.3432322158500225E-2</v>
      </c>
      <c r="AL390" s="746">
        <v>-6.5411267721700014E-2</v>
      </c>
      <c r="AM390" s="746">
        <v>-0.12388444440665</v>
      </c>
      <c r="AN390" s="752">
        <v>-7.8328925895900015E-2</v>
      </c>
      <c r="AO390" s="714">
        <v>-4.4248230143366991E-2</v>
      </c>
      <c r="AP390" s="714">
        <v>0.13211748659312988</v>
      </c>
      <c r="AQ390" s="714">
        <v>0.25507654743420249</v>
      </c>
      <c r="AR390" s="714">
        <v>0.23220781311710598</v>
      </c>
      <c r="AS390" s="714">
        <v>0.36379065745398703</v>
      </c>
      <c r="AT390" s="714">
        <v>0.16957650326186652</v>
      </c>
      <c r="AU390" s="714">
        <v>3.1657812201336677E-2</v>
      </c>
      <c r="AV390" s="714">
        <v>0.18630995423709529</v>
      </c>
      <c r="AW390" s="714">
        <v>0.25799864730275535</v>
      </c>
      <c r="AX390" s="714">
        <v>0.28525175936840297</v>
      </c>
      <c r="AY390" s="714">
        <v>0.24548469523636018</v>
      </c>
      <c r="AZ390" s="714">
        <v>0.24673844017220081</v>
      </c>
      <c r="BA390" s="714">
        <v>0.18714718990967727</v>
      </c>
      <c r="BB390" s="714">
        <v>0.18949888421816141</v>
      </c>
      <c r="BC390" s="714">
        <v>0.14206631737586917</v>
      </c>
      <c r="BD390" s="714">
        <v>7.9124092763172005E-3</v>
      </c>
      <c r="BE390" s="714">
        <v>-0.13196801994464491</v>
      </c>
      <c r="BF390" s="714">
        <v>-0.19668328795157763</v>
      </c>
      <c r="BG390" s="714">
        <v>-0.37784560265579736</v>
      </c>
      <c r="BH390" s="714">
        <v>-0.37226686964793054</v>
      </c>
      <c r="BI390" s="714">
        <v>-0.36367973166490808</v>
      </c>
      <c r="BJ390" s="714">
        <v>-0.35299652615537358</v>
      </c>
      <c r="BK390" s="714">
        <v>-0.33824452146495121</v>
      </c>
      <c r="BL390" s="714">
        <v>-0.31942566580754028</v>
      </c>
      <c r="BM390" s="714">
        <v>-0.30317156142775437</v>
      </c>
      <c r="BN390" s="714">
        <v>-0.28905977120426551</v>
      </c>
      <c r="BO390" s="714">
        <v>-0.27720314098780618</v>
      </c>
      <c r="BP390" s="714">
        <v>-0.27090944599969902</v>
      </c>
      <c r="BQ390" s="714">
        <v>-0.26847619888679586</v>
      </c>
      <c r="BR390" s="714">
        <v>-0.26908230970952252</v>
      </c>
      <c r="BS390" s="714">
        <v>-0.27220542275637061</v>
      </c>
      <c r="BT390" s="714">
        <v>-0.27640567303809749</v>
      </c>
      <c r="BU390" s="714">
        <v>-0.28084152021921471</v>
      </c>
      <c r="BV390" s="714">
        <v>-0.28509164561770994</v>
      </c>
      <c r="BW390" s="714">
        <v>-0.28895386492747277</v>
      </c>
      <c r="BX390" s="714">
        <v>-0.29236343038620061</v>
      </c>
      <c r="BY390" s="714">
        <v>-0.29538602451159135</v>
      </c>
      <c r="BZ390" s="714">
        <v>-0.29812145982893545</v>
      </c>
      <c r="CA390" s="714">
        <v>-0.30067347581519765</v>
      </c>
      <c r="CB390" s="714">
        <v>-0.30313835744569273</v>
      </c>
      <c r="CC390" s="714">
        <v>-0.30558454647185274</v>
      </c>
      <c r="CD390" s="714">
        <v>-0.30805182658410124</v>
      </c>
      <c r="CE390" s="714">
        <v>-0.31055785964442895</v>
      </c>
      <c r="CF390" s="714">
        <v>-0.31310532001216917</v>
      </c>
      <c r="CG390" s="714">
        <v>-0.31568797147337957</v>
      </c>
      <c r="CH390" s="714">
        <v>-0.31829601802145158</v>
      </c>
      <c r="CI390" s="714">
        <v>-0.32091948735412235</v>
      </c>
      <c r="CJ390" s="714">
        <v>-0.32355006976203393</v>
      </c>
      <c r="CK390" s="714">
        <v>-0.3261819449882295</v>
      </c>
      <c r="CL390" s="714">
        <v>-0.32881174608500263</v>
      </c>
      <c r="CM390" s="714">
        <v>-0.33143805938423432</v>
      </c>
      <c r="CN390" s="714">
        <v>-0.33406079058387217</v>
      </c>
      <c r="CO390" s="714">
        <v>-0.33668058061101558</v>
      </c>
      <c r="CP390" s="714">
        <v>-0.33929835017231813</v>
      </c>
      <c r="CQ390" s="714">
        <v>-0.34191500152901666</v>
      </c>
      <c r="CR390" s="714">
        <v>-0.34453125956669339</v>
      </c>
      <c r="CS390" s="714">
        <v>-0.34714761678759132</v>
      </c>
      <c r="CT390" s="714">
        <v>-0.3497643464864777</v>
      </c>
      <c r="CU390" s="714">
        <v>-0.35238155093448631</v>
      </c>
      <c r="CV390" s="714">
        <v>-0.35499921945176283</v>
      </c>
      <c r="CW390" s="714">
        <v>-0.35761728097893242</v>
      </c>
      <c r="CX390" s="714">
        <v>-0.36023564393264307</v>
      </c>
      <c r="CY390" s="714">
        <v>-0.36285422174214554</v>
      </c>
      <c r="CZ390" s="126"/>
      <c r="DA390" s="14">
        <v>0</v>
      </c>
      <c r="DB390" s="12">
        <v>4.7658191804365146E-2</v>
      </c>
      <c r="DC390" s="12">
        <v>2.5377286738548186</v>
      </c>
      <c r="DD390" s="12">
        <v>-3.3146322896362328</v>
      </c>
      <c r="DE390" s="12">
        <v>-3.3985104716968082</v>
      </c>
      <c r="DF390" s="12">
        <v>-3.8053232072266989</v>
      </c>
      <c r="DG390" s="12">
        <v>-4.1814858627769551</v>
      </c>
    </row>
    <row r="391" spans="2:111">
      <c r="B391" s="126"/>
      <c r="C391" s="126"/>
      <c r="D391" s="698"/>
      <c r="E391" s="126" t="s">
        <v>827</v>
      </c>
      <c r="F391" s="609"/>
      <c r="G391" s="609" t="s">
        <v>736</v>
      </c>
      <c r="H391" s="609"/>
      <c r="I391" s="609"/>
      <c r="J391" s="609"/>
      <c r="K391" s="609"/>
      <c r="L391" s="126"/>
      <c r="M391" s="710"/>
      <c r="N391" s="710"/>
      <c r="O391" s="710"/>
      <c r="P391" s="710"/>
      <c r="Q391" s="710"/>
      <c r="R391" s="710"/>
      <c r="S391" s="710"/>
      <c r="T391" s="710"/>
      <c r="U391" s="710"/>
      <c r="V391" s="710"/>
      <c r="W391" s="710"/>
      <c r="X391" s="710"/>
      <c r="Y391" s="710"/>
      <c r="Z391" s="710"/>
      <c r="AA391" s="710"/>
      <c r="AB391" s="710"/>
      <c r="AC391" s="710"/>
      <c r="AD391" s="710"/>
      <c r="AE391" s="710"/>
      <c r="AF391" s="126"/>
      <c r="AG391" s="126"/>
      <c r="AH391" s="126"/>
      <c r="AI391" s="739"/>
      <c r="AJ391" s="739"/>
      <c r="AK391" s="739"/>
      <c r="AL391" s="739">
        <v>0</v>
      </c>
      <c r="AM391" s="721">
        <v>0</v>
      </c>
      <c r="AN391" s="710">
        <v>-0.11482991342626943</v>
      </c>
      <c r="AO391" s="710">
        <v>-0.36518218257315782</v>
      </c>
      <c r="AP391" s="710">
        <v>-0.76509558059448346</v>
      </c>
      <c r="AQ391" s="710">
        <v>-1.0736461203546441</v>
      </c>
      <c r="AR391" s="710">
        <v>-1.0789463747057078</v>
      </c>
      <c r="AS391" s="710">
        <v>-1.4264805555984201</v>
      </c>
      <c r="AT391" s="710">
        <v>-1.187276947122559</v>
      </c>
      <c r="AU391" s="710">
        <v>-1.0211371800628948</v>
      </c>
      <c r="AV391" s="710">
        <v>-1.4356634859012953</v>
      </c>
      <c r="AW391" s="710">
        <v>-1.6849971544595688</v>
      </c>
      <c r="AX391" s="710">
        <v>-1.853853368825426</v>
      </c>
      <c r="AY391" s="710">
        <v>-1.8772347542396928</v>
      </c>
      <c r="AZ391" s="710">
        <v>-1.9865284426755245</v>
      </c>
      <c r="BA391" s="710">
        <v>-1.9868133084354311</v>
      </c>
      <c r="BB391" s="710">
        <v>-2.1223241986874388</v>
      </c>
      <c r="BC391" s="710">
        <v>-2.1676764526079548</v>
      </c>
      <c r="BD391" s="710">
        <v>-2.0762474900382286</v>
      </c>
      <c r="BE391" s="710">
        <v>-2.0189779795774716</v>
      </c>
      <c r="BF391" s="710">
        <v>-2.0456521555726455</v>
      </c>
      <c r="BG391" s="710">
        <v>-1.8309824400751997</v>
      </c>
      <c r="BH391" s="710">
        <v>-1.9771181978671764</v>
      </c>
      <c r="BI391" s="710">
        <v>-2.1148342175430264</v>
      </c>
      <c r="BJ391" s="710">
        <v>-2.2449743837208578</v>
      </c>
      <c r="BK391" s="710">
        <v>-2.3692591501429092</v>
      </c>
      <c r="BL391" s="710">
        <v>-2.4875175360359769</v>
      </c>
      <c r="BM391" s="710">
        <v>-2.5972370171576094</v>
      </c>
      <c r="BN391" s="710">
        <v>-2.6977954397699038</v>
      </c>
      <c r="BO391" s="710">
        <v>-2.7903301243958532</v>
      </c>
      <c r="BP391" s="710">
        <v>-2.871752505462442</v>
      </c>
      <c r="BQ391" s="710">
        <v>-2.9463212746330698</v>
      </c>
      <c r="BR391" s="710">
        <v>-3.0161985852981963</v>
      </c>
      <c r="BS391" s="710">
        <v>-3.0824661883648838</v>
      </c>
      <c r="BT391" s="710">
        <v>-3.1477520797149401</v>
      </c>
      <c r="BU391" s="710">
        <v>-3.2133420593325823</v>
      </c>
      <c r="BV391" s="710">
        <v>-3.2797718274225458</v>
      </c>
      <c r="BW391" s="710">
        <v>-3.3471680281277343</v>
      </c>
      <c r="BX391" s="710">
        <v>-3.4154601318018289</v>
      </c>
      <c r="BY391" s="710">
        <v>-3.4844250607602185</v>
      </c>
      <c r="BZ391" s="710">
        <v>-3.5538297930018734</v>
      </c>
      <c r="CA391" s="710">
        <v>-3.6234727680568621</v>
      </c>
      <c r="CB391" s="710">
        <v>-3.6931884663735213</v>
      </c>
      <c r="CC391" s="710">
        <v>-3.7628738414767886</v>
      </c>
      <c r="CD391" s="710">
        <v>-3.832480051331594</v>
      </c>
      <c r="CE391" s="710">
        <v>-3.9019956722278155</v>
      </c>
      <c r="CF391" s="710">
        <v>-3.971431020253426</v>
      </c>
      <c r="CG391" s="710">
        <v>-4.0408065862181752</v>
      </c>
      <c r="CH391" s="710">
        <v>-4.1101444365336706</v>
      </c>
      <c r="CI391" s="710">
        <v>-4.1794635281624428</v>
      </c>
      <c r="CJ391" s="710">
        <v>-4.2487777818202535</v>
      </c>
      <c r="CK391" s="710">
        <v>-4.3180956996304909</v>
      </c>
      <c r="CL391" s="710">
        <v>-4.3874212167118642</v>
      </c>
      <c r="CM391" s="710">
        <v>-4.4567550571890129</v>
      </c>
      <c r="CN391" s="710">
        <v>-4.5260960731570723</v>
      </c>
      <c r="CO391" s="710">
        <v>-4.5954423114791982</v>
      </c>
      <c r="CP391" s="710">
        <v>-4.6647917431579584</v>
      </c>
      <c r="CQ391" s="710">
        <v>-4.7341426715443955</v>
      </c>
      <c r="CR391" s="710">
        <v>-4.8034938934247684</v>
      </c>
      <c r="CS391" s="710">
        <v>-4.8728446981838633</v>
      </c>
      <c r="CT391" s="710">
        <v>-4.9421947760178737</v>
      </c>
      <c r="CU391" s="710">
        <v>-5.0115440930036632</v>
      </c>
      <c r="CV391" s="710">
        <v>-5.0808927716780801</v>
      </c>
      <c r="CW391" s="710">
        <v>-5.1502409970465184</v>
      </c>
      <c r="CX391" s="710">
        <v>-5.2195889538625604</v>
      </c>
      <c r="CY391" s="710">
        <v>-5.2889367925501141</v>
      </c>
      <c r="CZ391" s="126"/>
      <c r="DA391" s="12">
        <v>0</v>
      </c>
      <c r="DB391" s="12">
        <v>-2.3187537969485548</v>
      </c>
      <c r="DC391" s="12">
        <v>-19.828932223321914</v>
      </c>
      <c r="DD391" s="12">
        <v>-27.250926131896861</v>
      </c>
      <c r="DE391" s="12">
        <v>-38.981960301977182</v>
      </c>
      <c r="DF391" s="12">
        <v>-48.903433357929053</v>
      </c>
      <c r="DG391" s="12">
        <v>-58.890209775106072</v>
      </c>
    </row>
    <row r="392" spans="2:111">
      <c r="B392" s="126"/>
      <c r="C392" s="126"/>
      <c r="D392" s="698"/>
      <c r="E392" s="126" t="s">
        <v>828</v>
      </c>
      <c r="F392" s="609"/>
      <c r="G392" s="609" t="s">
        <v>736</v>
      </c>
      <c r="H392" s="609"/>
      <c r="I392" s="609"/>
      <c r="J392" s="609"/>
      <c r="K392" s="609"/>
      <c r="L392" s="126"/>
      <c r="M392" s="710"/>
      <c r="N392" s="710"/>
      <c r="O392" s="710"/>
      <c r="P392" s="710"/>
      <c r="Q392" s="710"/>
      <c r="R392" s="710"/>
      <c r="S392" s="710"/>
      <c r="T392" s="710"/>
      <c r="U392" s="710"/>
      <c r="V392" s="710"/>
      <c r="W392" s="710"/>
      <c r="X392" s="710"/>
      <c r="Y392" s="710"/>
      <c r="Z392" s="710"/>
      <c r="AA392" s="710"/>
      <c r="AB392" s="710"/>
      <c r="AC392" s="710"/>
      <c r="AD392" s="710"/>
      <c r="AE392" s="710"/>
      <c r="AF392" s="698"/>
      <c r="AG392" s="126"/>
      <c r="AH392" s="126"/>
      <c r="AI392" s="739"/>
      <c r="AJ392" s="739"/>
      <c r="AK392" s="739"/>
      <c r="AL392" s="739">
        <v>0</v>
      </c>
      <c r="AM392" s="739">
        <v>0</v>
      </c>
      <c r="AN392" s="710">
        <v>0</v>
      </c>
      <c r="AO392" s="710">
        <v>1.0334692208364277E-3</v>
      </c>
      <c r="AP392" s="710">
        <v>0</v>
      </c>
      <c r="AQ392" s="710">
        <v>0</v>
      </c>
      <c r="AR392" s="710">
        <v>0</v>
      </c>
      <c r="AS392" s="710">
        <v>0</v>
      </c>
      <c r="AT392" s="710">
        <v>0</v>
      </c>
      <c r="AU392" s="710">
        <v>0</v>
      </c>
      <c r="AV392" s="710">
        <v>0</v>
      </c>
      <c r="AW392" s="710">
        <v>0</v>
      </c>
      <c r="AX392" s="710">
        <v>0</v>
      </c>
      <c r="AY392" s="710">
        <v>0</v>
      </c>
      <c r="AZ392" s="710">
        <v>0</v>
      </c>
      <c r="BA392" s="710">
        <v>0</v>
      </c>
      <c r="BB392" s="710">
        <v>0</v>
      </c>
      <c r="BC392" s="710">
        <v>0</v>
      </c>
      <c r="BD392" s="710">
        <v>0</v>
      </c>
      <c r="BE392" s="710">
        <v>0</v>
      </c>
      <c r="BF392" s="710">
        <v>0</v>
      </c>
      <c r="BG392" s="710">
        <v>0</v>
      </c>
      <c r="BH392" s="710">
        <v>0</v>
      </c>
      <c r="BI392" s="710">
        <v>0</v>
      </c>
      <c r="BJ392" s="710">
        <v>0</v>
      </c>
      <c r="BK392" s="710">
        <v>0</v>
      </c>
      <c r="BL392" s="710">
        <v>0</v>
      </c>
      <c r="BM392" s="710">
        <v>0</v>
      </c>
      <c r="BN392" s="710">
        <v>0</v>
      </c>
      <c r="BO392" s="710">
        <v>0</v>
      </c>
      <c r="BP392" s="710">
        <v>0</v>
      </c>
      <c r="BQ392" s="710">
        <v>0</v>
      </c>
      <c r="BR392" s="710">
        <v>0</v>
      </c>
      <c r="BS392" s="710">
        <v>0</v>
      </c>
      <c r="BT392" s="710">
        <v>0</v>
      </c>
      <c r="BU392" s="710">
        <v>0</v>
      </c>
      <c r="BV392" s="710">
        <v>0</v>
      </c>
      <c r="BW392" s="710">
        <v>0</v>
      </c>
      <c r="BX392" s="710">
        <v>0</v>
      </c>
      <c r="BY392" s="710">
        <v>0</v>
      </c>
      <c r="BZ392" s="710">
        <v>0</v>
      </c>
      <c r="CA392" s="710">
        <v>0</v>
      </c>
      <c r="CB392" s="710">
        <v>0</v>
      </c>
      <c r="CC392" s="710">
        <v>0</v>
      </c>
      <c r="CD392" s="710">
        <v>0</v>
      </c>
      <c r="CE392" s="710">
        <v>0</v>
      </c>
      <c r="CF392" s="710">
        <v>0</v>
      </c>
      <c r="CG392" s="710">
        <v>0</v>
      </c>
      <c r="CH392" s="710">
        <v>0</v>
      </c>
      <c r="CI392" s="710">
        <v>0</v>
      </c>
      <c r="CJ392" s="710">
        <v>0</v>
      </c>
      <c r="CK392" s="710">
        <v>0</v>
      </c>
      <c r="CL392" s="710">
        <v>0</v>
      </c>
      <c r="CM392" s="710">
        <v>0</v>
      </c>
      <c r="CN392" s="710">
        <v>0</v>
      </c>
      <c r="CO392" s="710">
        <v>0</v>
      </c>
      <c r="CP392" s="710">
        <v>0</v>
      </c>
      <c r="CQ392" s="710">
        <v>0</v>
      </c>
      <c r="CR392" s="710">
        <v>0</v>
      </c>
      <c r="CS392" s="710">
        <v>0</v>
      </c>
      <c r="CT392" s="710">
        <v>0</v>
      </c>
      <c r="CU392" s="710">
        <v>0</v>
      </c>
      <c r="CV392" s="710">
        <v>0</v>
      </c>
      <c r="CW392" s="710">
        <v>0</v>
      </c>
      <c r="CX392" s="710">
        <v>0</v>
      </c>
      <c r="CY392" s="710">
        <v>0</v>
      </c>
      <c r="CZ392" s="126"/>
      <c r="DA392" s="12">
        <v>0</v>
      </c>
      <c r="DB392" s="12">
        <v>1.0334692208364277E-3</v>
      </c>
      <c r="DC392" s="12">
        <v>0</v>
      </c>
      <c r="DD392" s="12">
        <v>0</v>
      </c>
      <c r="DE392" s="12">
        <v>0</v>
      </c>
      <c r="DF392" s="12">
        <v>0</v>
      </c>
      <c r="DG392" s="12">
        <v>0</v>
      </c>
    </row>
    <row r="393" spans="2:111">
      <c r="B393" s="126"/>
      <c r="C393" s="698" t="s">
        <v>820</v>
      </c>
      <c r="D393" s="126"/>
      <c r="E393" s="126"/>
      <c r="F393" s="609"/>
      <c r="G393" s="609" t="s">
        <v>736</v>
      </c>
      <c r="H393" s="609"/>
      <c r="I393" s="609"/>
      <c r="J393" s="609"/>
      <c r="K393" s="609"/>
      <c r="L393" s="126"/>
      <c r="M393" s="696"/>
      <c r="N393" s="696"/>
      <c r="O393" s="696"/>
      <c r="P393" s="696"/>
      <c r="Q393" s="696"/>
      <c r="R393" s="696"/>
      <c r="S393" s="696"/>
      <c r="T393" s="696"/>
      <c r="U393" s="696"/>
      <c r="V393" s="696"/>
      <c r="W393" s="696"/>
      <c r="X393" s="696"/>
      <c r="Y393" s="696"/>
      <c r="Z393" s="696"/>
      <c r="AA393" s="696"/>
      <c r="AB393" s="696"/>
      <c r="AC393" s="696"/>
      <c r="AD393" s="696"/>
      <c r="AE393" s="696"/>
      <c r="AF393" s="696"/>
      <c r="AG393" s="696"/>
      <c r="AH393" s="696"/>
      <c r="AI393" s="723">
        <v>-7.3378619999999997E-3</v>
      </c>
      <c r="AJ393" s="723">
        <v>-0.10271553710315001</v>
      </c>
      <c r="AK393" s="723">
        <v>-0.11145156596232543</v>
      </c>
      <c r="AL393" s="723">
        <v>-0.24984193649621342</v>
      </c>
      <c r="AM393" s="723">
        <v>-0.21204985346809052</v>
      </c>
      <c r="AN393" s="747">
        <v>-0.12852969145513971</v>
      </c>
      <c r="AO393" s="747">
        <v>-0.15250156971996703</v>
      </c>
      <c r="AP393" s="747">
        <v>-7.54764815137835E-2</v>
      </c>
      <c r="AQ393" s="747">
        <v>-8.1738947734797951E-3</v>
      </c>
      <c r="AR393" s="747">
        <v>-0.3931965085633502</v>
      </c>
      <c r="AS393" s="747">
        <v>-0.55836611167095862</v>
      </c>
      <c r="AT393" s="747">
        <v>-0.92651390129238853</v>
      </c>
      <c r="AU393" s="747">
        <v>-1.1320221165029023</v>
      </c>
      <c r="AV393" s="747">
        <v>-1.0965559531175197</v>
      </c>
      <c r="AW393" s="747">
        <v>-1.098842943671311</v>
      </c>
      <c r="AX393" s="747">
        <v>-0.81227503497989884</v>
      </c>
      <c r="AY393" s="747">
        <v>-0.82422771338158263</v>
      </c>
      <c r="AZ393" s="747">
        <v>-1.0858135855887716</v>
      </c>
      <c r="BA393" s="747">
        <v>-1.2509105684492585</v>
      </c>
      <c r="BB393" s="747">
        <v>-1.2709229924959611</v>
      </c>
      <c r="BC393" s="747">
        <v>-1.2627989326796407</v>
      </c>
      <c r="BD393" s="747">
        <v>-1.3309777725887135</v>
      </c>
      <c r="BE393" s="747">
        <v>-1.3012611841820962</v>
      </c>
      <c r="BF393" s="747">
        <v>-1.3157198069062321</v>
      </c>
      <c r="BG393" s="747">
        <v>-1.312944591328876</v>
      </c>
      <c r="BH393" s="747">
        <v>-1.1302303216503946</v>
      </c>
      <c r="BI393" s="747">
        <v>-1.0040210798889808</v>
      </c>
      <c r="BJ393" s="747">
        <v>-0.84889438134001138</v>
      </c>
      <c r="BK393" s="747">
        <v>-0.6893209743349018</v>
      </c>
      <c r="BL393" s="747">
        <v>-0.73818960874673034</v>
      </c>
      <c r="BM393" s="747">
        <v>-0.78362746193123112</v>
      </c>
      <c r="BN393" s="747">
        <v>-0.82757933070075329</v>
      </c>
      <c r="BO393" s="747">
        <v>-0.86977547835695002</v>
      </c>
      <c r="BP393" s="747">
        <v>-0.98625720730923261</v>
      </c>
      <c r="BQ393" s="747">
        <v>-1.0400923186495672</v>
      </c>
      <c r="BR393" s="747">
        <v>-1.0870434825606958</v>
      </c>
      <c r="BS393" s="747">
        <v>-1.1262220699951977</v>
      </c>
      <c r="BT393" s="747">
        <v>-1.1565493329957988</v>
      </c>
      <c r="BU393" s="747">
        <v>-1.1809061774975307</v>
      </c>
      <c r="BV393" s="747">
        <v>-1.2008434039257314</v>
      </c>
      <c r="BW393" s="747">
        <v>-1.2179674943458982</v>
      </c>
      <c r="BX393" s="747">
        <v>-1.2343292585772112</v>
      </c>
      <c r="BY393" s="747">
        <v>-1.2509662678156497</v>
      </c>
      <c r="BZ393" s="747">
        <v>-1.2683272639424656</v>
      </c>
      <c r="CA393" s="747">
        <v>-1.2865308020796471</v>
      </c>
      <c r="CB393" s="747">
        <v>-1.3530500712751166</v>
      </c>
      <c r="CC393" s="747">
        <v>-1.3737171194948585</v>
      </c>
      <c r="CD393" s="747">
        <v>-1.394762005648279</v>
      </c>
      <c r="CE393" s="747">
        <v>-1.4160061674211983</v>
      </c>
      <c r="CF393" s="747">
        <v>-1.4373090697307223</v>
      </c>
      <c r="CG393" s="747">
        <v>-1.458584195453267</v>
      </c>
      <c r="CH393" s="747">
        <v>-1.4797906990506817</v>
      </c>
      <c r="CI393" s="747">
        <v>-1.5009192238073115</v>
      </c>
      <c r="CJ393" s="747">
        <v>-1.521978904438082</v>
      </c>
      <c r="CK393" s="747">
        <v>-1.5429873697640009</v>
      </c>
      <c r="CL393" s="747">
        <v>-1.5639635686435485</v>
      </c>
      <c r="CM393" s="747">
        <v>-1.5849237864053083</v>
      </c>
      <c r="CN393" s="747">
        <v>-1.6337370431512857</v>
      </c>
      <c r="CO393" s="747">
        <v>-1.6546962603749016</v>
      </c>
      <c r="CP393" s="747">
        <v>-1.6756618895663704</v>
      </c>
      <c r="CQ393" s="747">
        <v>-1.6966345119326025</v>
      </c>
      <c r="CR393" s="747">
        <v>-1.7176131240110166</v>
      </c>
      <c r="CS393" s="747">
        <v>-1.7385960471115225</v>
      </c>
      <c r="CT393" s="747">
        <v>-1.7595815461849031</v>
      </c>
      <c r="CU393" s="747">
        <v>-1.780568175863259</v>
      </c>
      <c r="CV393" s="747">
        <v>-1.8015549164962468</v>
      </c>
      <c r="CW393" s="747">
        <v>-1.8225411709033383</v>
      </c>
      <c r="CX393" s="747">
        <v>-1.8435266839917432</v>
      </c>
      <c r="CY393" s="747">
        <v>-1.8645114350684073</v>
      </c>
      <c r="CZ393" s="126"/>
      <c r="DA393" s="14">
        <v>0</v>
      </c>
      <c r="DB393" s="14">
        <v>-1.0480783924921495</v>
      </c>
      <c r="DC393" s="14">
        <v>-11.712446362393544</v>
      </c>
      <c r="DD393" s="14">
        <v>-12.152541991955868</v>
      </c>
      <c r="DE393" s="14">
        <v>-14.036035079694628</v>
      </c>
      <c r="DF393" s="14">
        <v>-17.627992181132377</v>
      </c>
      <c r="DG393" s="14">
        <v>-20.989222804655597</v>
      </c>
    </row>
    <row r="394" spans="2:111">
      <c r="B394" s="126"/>
      <c r="C394" s="229"/>
      <c r="D394" s="230" t="s">
        <v>423</v>
      </c>
      <c r="E394" s="126"/>
      <c r="F394" s="609"/>
      <c r="G394" s="609" t="s">
        <v>736</v>
      </c>
      <c r="H394" s="609"/>
      <c r="I394" s="609"/>
      <c r="J394" s="609"/>
      <c r="K394" s="609"/>
      <c r="L394" s="126"/>
      <c r="M394" s="696"/>
      <c r="N394" s="696"/>
      <c r="O394" s="696"/>
      <c r="P394" s="696"/>
      <c r="Q394" s="696"/>
      <c r="R394" s="696"/>
      <c r="S394" s="696"/>
      <c r="T394" s="696"/>
      <c r="U394" s="696"/>
      <c r="V394" s="696"/>
      <c r="W394" s="696"/>
      <c r="X394" s="696"/>
      <c r="Y394" s="696"/>
      <c r="Z394" s="696"/>
      <c r="AA394" s="696"/>
      <c r="AB394" s="696"/>
      <c r="AC394" s="696"/>
      <c r="AD394" s="696"/>
      <c r="AE394" s="696"/>
      <c r="AF394" s="696"/>
      <c r="AG394" s="696"/>
      <c r="AH394" s="696"/>
      <c r="AI394" s="739">
        <v>0</v>
      </c>
      <c r="AJ394" s="739">
        <v>0</v>
      </c>
      <c r="AK394" s="739">
        <v>0</v>
      </c>
      <c r="AL394" s="739">
        <v>0</v>
      </c>
      <c r="AM394" s="739">
        <v>0</v>
      </c>
      <c r="AN394" s="739">
        <v>0.11482991342626943</v>
      </c>
      <c r="AO394" s="739">
        <v>0.47897862677859082</v>
      </c>
      <c r="AP394" s="739">
        <v>1.2440742073730742</v>
      </c>
      <c r="AQ394" s="739">
        <v>2.3177203277277183</v>
      </c>
      <c r="AR394" s="739">
        <v>3.2828702582279932</v>
      </c>
      <c r="AS394" s="739">
        <v>4.3441686312532557</v>
      </c>
      <c r="AT394" s="739">
        <v>4.7663499977813313</v>
      </c>
      <c r="AU394" s="739">
        <v>4.7138410574895815</v>
      </c>
      <c r="AV394" s="739">
        <v>5.0705581686851691</v>
      </c>
      <c r="AW394" s="739">
        <v>5.3290747675463175</v>
      </c>
      <c r="AX394" s="739">
        <v>5.9956511892491848</v>
      </c>
      <c r="AY394" s="739">
        <v>6.8517487634259826</v>
      </c>
      <c r="AZ394" s="739">
        <v>7.402613720200212</v>
      </c>
      <c r="BA394" s="739">
        <v>7.7044298741760748</v>
      </c>
      <c r="BB394" s="739">
        <v>7.9729007040380875</v>
      </c>
      <c r="BC394" s="739">
        <v>8.2633424024063498</v>
      </c>
      <c r="BD394" s="739">
        <v>8.3530614497690543</v>
      </c>
      <c r="BE394" s="739">
        <v>8.3852261209110939</v>
      </c>
      <c r="BF394" s="739">
        <v>8.3085540777963001</v>
      </c>
      <c r="BG394" s="739">
        <v>7.9718600652635452</v>
      </c>
      <c r="BH394" s="739">
        <v>7.872730773092492</v>
      </c>
      <c r="BI394" s="739">
        <v>7.9685870110580481</v>
      </c>
      <c r="BJ394" s="739">
        <v>8.16790923920626</v>
      </c>
      <c r="BK394" s="739">
        <v>8.7061859492739693</v>
      </c>
      <c r="BL394" s="739">
        <v>9.2165852874427703</v>
      </c>
      <c r="BM394" s="739">
        <v>9.6989880870573533</v>
      </c>
      <c r="BN394" s="739">
        <v>10.1518091431064</v>
      </c>
      <c r="BO394" s="739">
        <v>10.572880117359343</v>
      </c>
      <c r="BP394" s="739">
        <v>10.957115086785809</v>
      </c>
      <c r="BQ394" s="739">
        <v>11.306199344261268</v>
      </c>
      <c r="BR394" s="739">
        <v>11.624602489789561</v>
      </c>
      <c r="BS394" s="739">
        <v>11.916738553758591</v>
      </c>
      <c r="BT394" s="739">
        <v>12.19273812801109</v>
      </c>
      <c r="BU394" s="739">
        <v>12.459758912710603</v>
      </c>
      <c r="BV394" s="739">
        <v>12.723332154834953</v>
      </c>
      <c r="BW394" s="739">
        <v>12.988033994597803</v>
      </c>
      <c r="BX394" s="739">
        <v>13.255742046684691</v>
      </c>
      <c r="BY394" s="739">
        <v>13.526825048112329</v>
      </c>
      <c r="BZ394" s="739">
        <v>13.800883013691656</v>
      </c>
      <c r="CA394" s="739">
        <v>14.077187753620784</v>
      </c>
      <c r="CB394" s="739">
        <v>14.354916088192475</v>
      </c>
      <c r="CC394" s="739">
        <v>14.633364868909045</v>
      </c>
      <c r="CD394" s="739">
        <v>14.912015127238766</v>
      </c>
      <c r="CE394" s="739">
        <v>15.190538031409719</v>
      </c>
      <c r="CF394" s="739">
        <v>15.468780585289625</v>
      </c>
      <c r="CG394" s="739">
        <v>15.74671333003101</v>
      </c>
      <c r="CH394" s="739">
        <v>16.024377715233086</v>
      </c>
      <c r="CI394" s="739">
        <v>16.301845571167714</v>
      </c>
      <c r="CJ394" s="739">
        <v>16.579192332734539</v>
      </c>
      <c r="CK394" s="739">
        <v>16.856481446146859</v>
      </c>
      <c r="CL394" s="739">
        <v>17.13375822632505</v>
      </c>
      <c r="CM394" s="739">
        <v>17.41104975535162</v>
      </c>
      <c r="CN394" s="739">
        <v>17.688368046688439</v>
      </c>
      <c r="CO394" s="739">
        <v>17.965714658537149</v>
      </c>
      <c r="CP394" s="739">
        <v>18.24308518498324</v>
      </c>
      <c r="CQ394" s="739">
        <v>18.520472799338624</v>
      </c>
      <c r="CR394" s="739">
        <v>18.797870619606321</v>
      </c>
      <c r="CS394" s="739">
        <v>19.075273006310987</v>
      </c>
      <c r="CT394" s="739">
        <v>19.352676039170902</v>
      </c>
      <c r="CU394" s="739">
        <v>19.630077460630169</v>
      </c>
      <c r="CV394" s="739">
        <v>19.907476338883484</v>
      </c>
      <c r="CW394" s="739">
        <v>20.184872637746135</v>
      </c>
      <c r="CX394" s="739">
        <v>20.462266815590823</v>
      </c>
      <c r="CY394" s="739">
        <v>20.739659515137273</v>
      </c>
      <c r="CZ394" s="126"/>
      <c r="DA394" s="11">
        <v>0</v>
      </c>
      <c r="DB394" s="11">
        <v>2.3177203277277183</v>
      </c>
      <c r="DC394" s="11">
        <v>8.2633424024063498</v>
      </c>
      <c r="DD394" s="11">
        <v>10.572880117359343</v>
      </c>
      <c r="DE394" s="11">
        <v>14.077187753620784</v>
      </c>
      <c r="DF394" s="11">
        <v>17.41104975535162</v>
      </c>
      <c r="DG394" s="11">
        <v>20.739659515137273</v>
      </c>
    </row>
    <row r="395" spans="2:111">
      <c r="B395" s="126"/>
      <c r="C395" s="229"/>
      <c r="D395" s="230" t="s">
        <v>810</v>
      </c>
      <c r="E395" s="126"/>
      <c r="F395" s="609"/>
      <c r="G395" s="609" t="s">
        <v>736</v>
      </c>
      <c r="H395" s="609"/>
      <c r="I395" s="609"/>
      <c r="J395" s="609"/>
      <c r="K395" s="609"/>
      <c r="L395" s="126"/>
      <c r="M395" s="696"/>
      <c r="N395" s="696"/>
      <c r="O395" s="696"/>
      <c r="P395" s="696"/>
      <c r="Q395" s="696"/>
      <c r="R395" s="696"/>
      <c r="S395" s="696"/>
      <c r="T395" s="696"/>
      <c r="U395" s="696"/>
      <c r="V395" s="696"/>
      <c r="W395" s="696"/>
      <c r="X395" s="696"/>
      <c r="Y395" s="696"/>
      <c r="Z395" s="696"/>
      <c r="AA395" s="696"/>
      <c r="AB395" s="696"/>
      <c r="AC395" s="696"/>
      <c r="AD395" s="696"/>
      <c r="AE395" s="696"/>
      <c r="AF395" s="696"/>
      <c r="AG395" s="696"/>
      <c r="AH395" s="696"/>
      <c r="AI395" s="739">
        <v>0</v>
      </c>
      <c r="AJ395" s="739">
        <v>0</v>
      </c>
      <c r="AK395" s="739">
        <v>0.13519051669499998</v>
      </c>
      <c r="AL395" s="739">
        <v>0.55793996993533512</v>
      </c>
      <c r="AM395" s="739">
        <v>1.4149196762360297</v>
      </c>
      <c r="AN395" s="739">
        <v>2.514208359819861</v>
      </c>
      <c r="AO395" s="739">
        <v>3.6361536027238199</v>
      </c>
      <c r="AP395" s="739">
        <v>5.1218516643751544</v>
      </c>
      <c r="AQ395" s="739">
        <v>6.2868531903411879</v>
      </c>
      <c r="AR395" s="739">
        <v>7.1534285126254744</v>
      </c>
      <c r="AS395" s="739">
        <v>8.285465400548798</v>
      </c>
      <c r="AT395" s="739">
        <v>9.2694688056462553</v>
      </c>
      <c r="AU395" s="739">
        <v>10.09143531279326</v>
      </c>
      <c r="AV395" s="739">
        <v>11.031728843567407</v>
      </c>
      <c r="AW395" s="739">
        <v>11.619061862414174</v>
      </c>
      <c r="AX395" s="739">
        <v>12.545922131926314</v>
      </c>
      <c r="AY395" s="739">
        <v>13.621256590614946</v>
      </c>
      <c r="AZ395" s="739">
        <v>14.40609236307936</v>
      </c>
      <c r="BA395" s="739">
        <v>14.948705470312369</v>
      </c>
      <c r="BB395" s="739">
        <v>15.328682710763131</v>
      </c>
      <c r="BC395" s="739">
        <v>15.684613414853088</v>
      </c>
      <c r="BD395" s="739">
        <v>15.437546514846765</v>
      </c>
      <c r="BE395" s="739">
        <v>15.461175972782952</v>
      </c>
      <c r="BF395" s="739">
        <v>15.522701462996693</v>
      </c>
      <c r="BG395" s="739">
        <v>15.683531620448786</v>
      </c>
      <c r="BH395" s="739">
        <v>16.05602116386947</v>
      </c>
      <c r="BI395" s="739">
        <v>16.600203147455151</v>
      </c>
      <c r="BJ395" s="739">
        <v>17.222579977895577</v>
      </c>
      <c r="BK395" s="739">
        <v>18.15469561749261</v>
      </c>
      <c r="BL395" s="739">
        <v>19.027988206263963</v>
      </c>
      <c r="BM395" s="739">
        <v>19.838567676087351</v>
      </c>
      <c r="BN395" s="739">
        <v>20.588602979717344</v>
      </c>
      <c r="BO395" s="739">
        <v>21.280639626834471</v>
      </c>
      <c r="BP395" s="739">
        <v>21.918095514036068</v>
      </c>
      <c r="BQ395" s="739">
        <v>22.509928161747425</v>
      </c>
      <c r="BR395" s="739">
        <v>23.066591674201877</v>
      </c>
      <c r="BS395" s="739">
        <v>23.597503721891897</v>
      </c>
      <c r="BT395" s="739">
        <v>24.114942426830527</v>
      </c>
      <c r="BU395" s="739">
        <v>24.626673413979205</v>
      </c>
      <c r="BV395" s="739">
        <v>25.137961495372274</v>
      </c>
      <c r="BW395" s="739">
        <v>25.652720062412726</v>
      </c>
      <c r="BX395" s="739">
        <v>26.172037022625599</v>
      </c>
      <c r="BY395" s="739">
        <v>26.695568481276503</v>
      </c>
      <c r="BZ395" s="739">
        <v>27.22236552494088</v>
      </c>
      <c r="CA395" s="739">
        <v>27.751337976395295</v>
      </c>
      <c r="CB395" s="739">
        <v>28.281481964365259</v>
      </c>
      <c r="CC395" s="739">
        <v>28.812044611208435</v>
      </c>
      <c r="CD395" s="739">
        <v>29.342536032817414</v>
      </c>
      <c r="CE395" s="739">
        <v>29.872693260835824</v>
      </c>
      <c r="CF395" s="739">
        <v>30.402437228375948</v>
      </c>
      <c r="CG395" s="739">
        <v>30.931803303770984</v>
      </c>
      <c r="CH395" s="739">
        <v>31.460880978697404</v>
      </c>
      <c r="CI395" s="739">
        <v>31.98977209267224</v>
      </c>
      <c r="CJ395" s="739">
        <v>32.518566568270224</v>
      </c>
      <c r="CK395" s="739">
        <v>33.047331180712384</v>
      </c>
      <c r="CL395" s="739">
        <v>33.576107900375348</v>
      </c>
      <c r="CM395" s="739">
        <v>34.104917464426165</v>
      </c>
      <c r="CN395" s="739">
        <v>34.633765082328388</v>
      </c>
      <c r="CO395" s="739">
        <v>35.162646514407484</v>
      </c>
      <c r="CP395" s="739">
        <v>35.691553175801822</v>
      </c>
      <c r="CQ395" s="739">
        <v>36.220475717138392</v>
      </c>
      <c r="CR395" s="739">
        <v>36.749406105420512</v>
      </c>
      <c r="CS395" s="739">
        <v>37.278338511502866</v>
      </c>
      <c r="CT395" s="739">
        <v>37.807269384193326</v>
      </c>
      <c r="CU395" s="739">
        <v>38.336197070834459</v>
      </c>
      <c r="CV395" s="739">
        <v>38.865121260889197</v>
      </c>
      <c r="CW395" s="739">
        <v>39.39404243332492</v>
      </c>
      <c r="CX395" s="739">
        <v>39.922961408460502</v>
      </c>
      <c r="CY395" s="739">
        <v>40.451879040422256</v>
      </c>
      <c r="CZ395" s="126"/>
      <c r="DA395" s="11">
        <v>0</v>
      </c>
      <c r="DB395" s="11">
        <v>6.2868531903411879</v>
      </c>
      <c r="DC395" s="11">
        <v>15.684613414853088</v>
      </c>
      <c r="DD395" s="11">
        <v>21.280639626834471</v>
      </c>
      <c r="DE395" s="11">
        <v>27.751337976395295</v>
      </c>
      <c r="DF395" s="11">
        <v>34.104917464426165</v>
      </c>
      <c r="DG395" s="11">
        <v>40.451879040422256</v>
      </c>
    </row>
    <row r="396" spans="2:111">
      <c r="B396" s="126"/>
      <c r="C396" s="230" t="s">
        <v>811</v>
      </c>
      <c r="D396" s="229"/>
      <c r="E396" s="126"/>
      <c r="F396" s="609"/>
      <c r="G396" s="609" t="s">
        <v>812</v>
      </c>
      <c r="H396" s="609"/>
      <c r="I396" s="609"/>
      <c r="J396" s="609"/>
      <c r="K396" s="609"/>
      <c r="L396" s="126"/>
      <c r="M396" s="696"/>
      <c r="N396" s="696"/>
      <c r="O396" s="696"/>
      <c r="P396" s="696"/>
      <c r="Q396" s="696"/>
      <c r="R396" s="696"/>
      <c r="S396" s="696"/>
      <c r="T396" s="696"/>
      <c r="U396" s="696"/>
      <c r="V396" s="696"/>
      <c r="W396" s="696"/>
      <c r="X396" s="697"/>
      <c r="Y396" s="697"/>
      <c r="Z396" s="697"/>
      <c r="AA396" s="697"/>
      <c r="AB396" s="697"/>
      <c r="AC396" s="697"/>
      <c r="AD396" s="697"/>
      <c r="AE396" s="697"/>
      <c r="AF396" s="697"/>
      <c r="AG396" s="697"/>
      <c r="AH396" s="697"/>
      <c r="AI396" s="753">
        <v>0</v>
      </c>
      <c r="AJ396" s="753">
        <v>0</v>
      </c>
      <c r="AK396" s="753">
        <v>0</v>
      </c>
      <c r="AL396" s="753">
        <v>0</v>
      </c>
      <c r="AM396" s="753">
        <v>0</v>
      </c>
      <c r="AN396" s="753">
        <v>1.0237001442840107E-2</v>
      </c>
      <c r="AO396" s="753">
        <v>3.2453745187122796E-2</v>
      </c>
      <c r="AP396" s="753">
        <v>8.2714272857133869E-2</v>
      </c>
      <c r="AQ396" s="753">
        <v>0.12713785582116816</v>
      </c>
      <c r="AR396" s="753">
        <v>0.13356700915594893</v>
      </c>
      <c r="AS396" s="753">
        <v>0.147066891418556</v>
      </c>
      <c r="AT396" s="753">
        <v>0.14182626035260826</v>
      </c>
      <c r="AU396" s="753">
        <v>0.12639017961892515</v>
      </c>
      <c r="AV396" s="753">
        <v>0.1233724972888504</v>
      </c>
      <c r="AW396" s="753">
        <v>0.11936808530616383</v>
      </c>
      <c r="AX396" s="753">
        <v>0.123233651770582</v>
      </c>
      <c r="AY396" s="753">
        <v>0.12961181224903404</v>
      </c>
      <c r="AZ396" s="753">
        <v>0.13073029118111987</v>
      </c>
      <c r="BA396" s="753">
        <v>0.1277163065207049</v>
      </c>
      <c r="BB396" s="753">
        <v>0.12440082990594128</v>
      </c>
      <c r="BC396" s="753">
        <v>0.12141572899008365</v>
      </c>
      <c r="BD396" s="753">
        <v>0.11602880970669456</v>
      </c>
      <c r="BE396" s="753">
        <v>0.11039853133287192</v>
      </c>
      <c r="BF396" s="753">
        <v>0.10419789290478952</v>
      </c>
      <c r="BG396" s="753">
        <v>9.5523884959316727E-2</v>
      </c>
      <c r="BH396" s="753">
        <v>9.0274014274376452E-2</v>
      </c>
      <c r="BI396" s="753">
        <v>8.7671055160482125E-2</v>
      </c>
      <c r="BJ396" s="753">
        <v>8.6533040640851586E-2</v>
      </c>
      <c r="BK396" s="753">
        <v>8.8866171103682959E-2</v>
      </c>
      <c r="BL396" s="753">
        <v>9.109823747344109E-2</v>
      </c>
      <c r="BM396" s="753">
        <v>9.3156051035520646E-2</v>
      </c>
      <c r="BN396" s="753">
        <v>9.4997193189635634E-2</v>
      </c>
      <c r="BO396" s="753">
        <v>9.6598442655810163E-2</v>
      </c>
      <c r="BP396" s="753">
        <v>9.7869159959479202E-2</v>
      </c>
      <c r="BQ396" s="753">
        <v>9.8809039663072029E-2</v>
      </c>
      <c r="BR396" s="753">
        <v>9.945624415428829E-2</v>
      </c>
      <c r="BS396" s="753">
        <v>9.9855111176805872E-2</v>
      </c>
      <c r="BT396" s="753">
        <v>0.10009540243844625</v>
      </c>
      <c r="BU396" s="753">
        <v>0.10024297456632579</v>
      </c>
      <c r="BV396" s="753">
        <v>0.10034796305293112</v>
      </c>
      <c r="BW396" s="753">
        <v>0.10044963519382379</v>
      </c>
      <c r="BX396" s="753">
        <v>0.10056518268799969</v>
      </c>
      <c r="BY396" s="753">
        <v>0.10069902185487549</v>
      </c>
      <c r="BZ396" s="753">
        <v>0.10084893969004549</v>
      </c>
      <c r="CA396" s="753">
        <v>0.10100986347103268</v>
      </c>
      <c r="CB396" s="753">
        <v>0.1011759123320925</v>
      </c>
      <c r="CC396" s="753">
        <v>0.10134206966831379</v>
      </c>
      <c r="CD396" s="753">
        <v>0.10150470408301054</v>
      </c>
      <c r="CE396" s="753">
        <v>0.10166160643839495</v>
      </c>
      <c r="CF396" s="753">
        <v>0.10181184302199753</v>
      </c>
      <c r="CG396" s="753">
        <v>0.10195536611694611</v>
      </c>
      <c r="CH396" s="753">
        <v>0.10209263147846237</v>
      </c>
      <c r="CI396" s="753">
        <v>0.10222430688436369</v>
      </c>
      <c r="CJ396" s="753">
        <v>0.10235108190825519</v>
      </c>
      <c r="CK396" s="753">
        <v>0.10247355972557523</v>
      </c>
      <c r="CL396" s="753">
        <v>0.10259221520878474</v>
      </c>
      <c r="CM396" s="753">
        <v>0.10270739468825574</v>
      </c>
      <c r="CN396" s="753">
        <v>0.10281933760057481</v>
      </c>
      <c r="CO396" s="753">
        <v>0.10292820704042931</v>
      </c>
      <c r="CP396" s="753">
        <v>0.10303411908089452</v>
      </c>
      <c r="CQ396" s="753">
        <v>0.10313716576660564</v>
      </c>
      <c r="CR396" s="753">
        <v>0.10323743049722825</v>
      </c>
      <c r="CS396" s="753">
        <v>0.10333499663782299</v>
      </c>
      <c r="CT396" s="753">
        <v>0.10342995100875677</v>
      </c>
      <c r="CU396" s="753">
        <v>0.10352238409273698</v>
      </c>
      <c r="CV396" s="753">
        <v>0.1036123885281364</v>
      </c>
      <c r="CW396" s="753">
        <v>0.1037000570253982</v>
      </c>
      <c r="CX396" s="753">
        <v>0.10378548042531451</v>
      </c>
      <c r="CY396" s="753">
        <v>0.10386874625172567</v>
      </c>
      <c r="CZ396" s="126"/>
      <c r="DA396" s="729">
        <v>0</v>
      </c>
      <c r="DB396" s="729">
        <v>0.12713785582116816</v>
      </c>
      <c r="DC396" s="729">
        <v>0.12141572899008365</v>
      </c>
      <c r="DD396" s="729">
        <v>9.6598442655810163E-2</v>
      </c>
      <c r="DE396" s="729">
        <v>0.10100986347103268</v>
      </c>
      <c r="DF396" s="729">
        <v>0.10270739468825574</v>
      </c>
      <c r="DG396" s="729">
        <v>0.10386874625172567</v>
      </c>
    </row>
    <row r="397" spans="2:111">
      <c r="B397" s="126"/>
      <c r="C397" s="230" t="s">
        <v>813</v>
      </c>
      <c r="D397" s="229"/>
      <c r="E397" s="126"/>
      <c r="F397" s="609"/>
      <c r="G397" s="609" t="s">
        <v>812</v>
      </c>
      <c r="H397" s="609"/>
      <c r="I397" s="609"/>
      <c r="J397" s="609"/>
      <c r="K397" s="609"/>
      <c r="L397" s="126"/>
      <c r="M397" s="696"/>
      <c r="N397" s="696"/>
      <c r="O397" s="696"/>
      <c r="P397" s="696"/>
      <c r="Q397" s="696"/>
      <c r="R397" s="696"/>
      <c r="S397" s="696"/>
      <c r="T397" s="696"/>
      <c r="U397" s="696"/>
      <c r="V397" s="696"/>
      <c r="W397" s="696"/>
      <c r="X397" s="697"/>
      <c r="Y397" s="697"/>
      <c r="Z397" s="697"/>
      <c r="AA397" s="697"/>
      <c r="AB397" s="697"/>
      <c r="AC397" s="697"/>
      <c r="AD397" s="697"/>
      <c r="AE397" s="697"/>
      <c r="AF397" s="697"/>
      <c r="AG397" s="697"/>
      <c r="AH397" s="697"/>
      <c r="AI397" s="753">
        <v>0</v>
      </c>
      <c r="AJ397" s="753">
        <v>0</v>
      </c>
      <c r="AK397" s="753">
        <v>4.8606066779549081E-2</v>
      </c>
      <c r="AL397" s="753">
        <v>9.9372346588260815E-2</v>
      </c>
      <c r="AM397" s="753">
        <v>0.16352220382983226</v>
      </c>
      <c r="AN397" s="753">
        <v>0.22413980677258399</v>
      </c>
      <c r="AO397" s="753">
        <v>0.24637174998329592</v>
      </c>
      <c r="AP397" s="753">
        <v>0.34053453852680599</v>
      </c>
      <c r="AQ397" s="753">
        <v>0.34486345264360513</v>
      </c>
      <c r="AR397" s="753">
        <v>0.29104471894603778</v>
      </c>
      <c r="AS397" s="753">
        <v>0.28049501385566167</v>
      </c>
      <c r="AT397" s="753">
        <v>0.27581988246182498</v>
      </c>
      <c r="AU397" s="753">
        <v>0.27057728638732814</v>
      </c>
      <c r="AV397" s="753">
        <v>0.26841461858177884</v>
      </c>
      <c r="AW397" s="753">
        <v>0.26026003163187844</v>
      </c>
      <c r="AX397" s="753">
        <v>0.25786686889306104</v>
      </c>
      <c r="AY397" s="753">
        <v>0.25766790534449424</v>
      </c>
      <c r="AZ397" s="753">
        <v>0.25441184973198028</v>
      </c>
      <c r="BA397" s="753">
        <v>0.24780463721701734</v>
      </c>
      <c r="BB397" s="753">
        <v>0.23917278307730416</v>
      </c>
      <c r="BC397" s="753">
        <v>0.23045865449524019</v>
      </c>
      <c r="BD397" s="753">
        <v>0.21443636655623122</v>
      </c>
      <c r="BE397" s="753">
        <v>0.20355934299943046</v>
      </c>
      <c r="BF397" s="753">
        <v>0.19467078982572442</v>
      </c>
      <c r="BG397" s="753">
        <v>0.18793002611718926</v>
      </c>
      <c r="BH397" s="753">
        <v>0.18410911353538983</v>
      </c>
      <c r="BI397" s="753">
        <v>0.18263681174543778</v>
      </c>
      <c r="BJ397" s="753">
        <v>0.18246067255668735</v>
      </c>
      <c r="BK397" s="753">
        <v>0.18530942211427517</v>
      </c>
      <c r="BL397" s="753">
        <v>0.18807574977012162</v>
      </c>
      <c r="BM397" s="753">
        <v>0.19054385945389141</v>
      </c>
      <c r="BN397" s="753">
        <v>0.19266117666298382</v>
      </c>
      <c r="BO397" s="753">
        <v>0.19442920224703653</v>
      </c>
      <c r="BP397" s="753">
        <v>0.19577284521336455</v>
      </c>
      <c r="BQ397" s="753">
        <v>0.1967225516571085</v>
      </c>
      <c r="BR397" s="753">
        <v>0.19735010942281481</v>
      </c>
      <c r="BS397" s="753">
        <v>0.19773290712175676</v>
      </c>
      <c r="BT397" s="753">
        <v>0.19796987695882776</v>
      </c>
      <c r="BU397" s="753">
        <v>0.19812991679737707</v>
      </c>
      <c r="BV397" s="753">
        <v>0.19826121024475796</v>
      </c>
      <c r="BW397" s="753">
        <v>0.19839849303369783</v>
      </c>
      <c r="BX397" s="753">
        <v>0.19855513748139858</v>
      </c>
      <c r="BY397" s="753">
        <v>0.1987323429084735</v>
      </c>
      <c r="BZ397" s="753">
        <v>0.19892543805505183</v>
      </c>
      <c r="CA397" s="753">
        <v>0.19912775969143229</v>
      </c>
      <c r="CB397" s="753">
        <v>0.19933273885187675</v>
      </c>
      <c r="CC397" s="753">
        <v>0.19953525784622456</v>
      </c>
      <c r="CD397" s="753">
        <v>0.19973192165126996</v>
      </c>
      <c r="CE397" s="753">
        <v>0.19992089676208474</v>
      </c>
      <c r="CF397" s="753">
        <v>0.20010162724301073</v>
      </c>
      <c r="CG397" s="753">
        <v>0.2002743851619431</v>
      </c>
      <c r="CH397" s="753">
        <v>0.20043986636015218</v>
      </c>
      <c r="CI397" s="753">
        <v>0.20059889938755801</v>
      </c>
      <c r="CJ397" s="753">
        <v>0.20075226848032526</v>
      </c>
      <c r="CK397" s="753">
        <v>0.20090062545595441</v>
      </c>
      <c r="CL397" s="753">
        <v>0.20104446684068297</v>
      </c>
      <c r="CM397" s="753">
        <v>0.20118414846023533</v>
      </c>
      <c r="CN397" s="753">
        <v>0.20131991685041886</v>
      </c>
      <c r="CO397" s="753">
        <v>0.2014519449580893</v>
      </c>
      <c r="CP397" s="753">
        <v>0.20158036334362608</v>
      </c>
      <c r="CQ397" s="753">
        <v>0.20170528304856342</v>
      </c>
      <c r="CR397" s="753">
        <v>0.20182680982311285</v>
      </c>
      <c r="CS397" s="753">
        <v>0.20194505124384343</v>
      </c>
      <c r="CT397" s="753">
        <v>0.20206011883147881</v>
      </c>
      <c r="CU397" s="753">
        <v>0.2021721272257466</v>
      </c>
      <c r="CV397" s="753">
        <v>0.20228119203693279</v>
      </c>
      <c r="CW397" s="753">
        <v>0.202387427461762</v>
      </c>
      <c r="CX397" s="753">
        <v>0.20249094428880007</v>
      </c>
      <c r="CY397" s="753">
        <v>0.20259184854931833</v>
      </c>
      <c r="CZ397" s="126"/>
      <c r="DA397" s="729">
        <v>0</v>
      </c>
      <c r="DB397" s="729">
        <v>0.34486345264360513</v>
      </c>
      <c r="DC397" s="729">
        <v>0.23045865449524019</v>
      </c>
      <c r="DD397" s="729">
        <v>0.19442920224703653</v>
      </c>
      <c r="DE397" s="729">
        <v>0.19912775969143229</v>
      </c>
      <c r="DF397" s="729">
        <v>0.20118414846023533</v>
      </c>
      <c r="DG397" s="729">
        <v>0.20259184854931833</v>
      </c>
    </row>
    <row r="398" spans="2:111">
      <c r="B398" s="126"/>
      <c r="C398" s="230" t="s">
        <v>814</v>
      </c>
      <c r="D398" s="229"/>
      <c r="E398" s="126"/>
      <c r="F398" s="609"/>
      <c r="G398" s="609" t="s">
        <v>812</v>
      </c>
      <c r="H398" s="609"/>
      <c r="I398" s="609"/>
      <c r="J398" s="609"/>
      <c r="K398" s="609"/>
      <c r="L398" s="126"/>
      <c r="M398" s="696"/>
      <c r="N398" s="696"/>
      <c r="O398" s="696"/>
      <c r="P398" s="696"/>
      <c r="Q398" s="696"/>
      <c r="R398" s="696"/>
      <c r="S398" s="696"/>
      <c r="T398" s="696"/>
      <c r="U398" s="696"/>
      <c r="V398" s="696"/>
      <c r="W398" s="696"/>
      <c r="X398" s="697"/>
      <c r="Y398" s="697"/>
      <c r="Z398" s="697"/>
      <c r="AA398" s="697"/>
      <c r="AB398" s="697"/>
      <c r="AC398" s="697"/>
      <c r="AD398" s="697"/>
      <c r="AE398" s="697"/>
      <c r="AF398" s="697"/>
      <c r="AG398" s="697"/>
      <c r="AH398" s="697"/>
      <c r="AI398" s="730">
        <v>0</v>
      </c>
      <c r="AJ398" s="730">
        <v>-1.4276600000000001E-4</v>
      </c>
      <c r="AK398" s="730">
        <v>-1.3166763000000001E-2</v>
      </c>
      <c r="AL398" s="730">
        <v>-0.1003201</v>
      </c>
      <c r="AM398" s="730">
        <v>-0.20886843999999999</v>
      </c>
      <c r="AN398" s="730">
        <v>-0.33817909899999998</v>
      </c>
      <c r="AO398" s="730">
        <v>-0.50291757221565547</v>
      </c>
      <c r="AP398" s="730">
        <v>-0.73231298773079256</v>
      </c>
      <c r="AQ398" s="730">
        <v>-1.065140295424714</v>
      </c>
      <c r="AR398" s="730">
        <v>-0.48866601777082896</v>
      </c>
      <c r="AS398" s="730">
        <v>-1.3375441091916342</v>
      </c>
      <c r="AT398" s="730">
        <v>-2.4883489943618358</v>
      </c>
      <c r="AU398" s="730">
        <v>-3.7948933564385392</v>
      </c>
      <c r="AV398" s="730">
        <v>-5.303987944441479</v>
      </c>
      <c r="AW398" s="730">
        <v>-6.9708521297729789</v>
      </c>
      <c r="AX398" s="730">
        <v>-8.4817559948787729</v>
      </c>
      <c r="AY398" s="730">
        <v>-10.044902929396692</v>
      </c>
      <c r="AZ398" s="730">
        <v>-11.954530997864374</v>
      </c>
      <c r="BA398" s="730">
        <v>-14.065704631922101</v>
      </c>
      <c r="BB398" s="730">
        <v>-16.306342993402918</v>
      </c>
      <c r="BC398" s="730">
        <v>-18.607659102231025</v>
      </c>
      <c r="BD398" s="730">
        <v>-2.319798454389586</v>
      </c>
      <c r="BE398" s="730">
        <v>-4.6924719116016522</v>
      </c>
      <c r="BF398" s="730">
        <v>-7.1717406621904187</v>
      </c>
      <c r="BG398" s="730">
        <v>-9.6162431277396543</v>
      </c>
      <c r="BH398" s="730">
        <v>-12.020876416958775</v>
      </c>
      <c r="BI398" s="730">
        <v>-14.431491869839473</v>
      </c>
      <c r="BJ398" s="730">
        <v>-16.810277370538003</v>
      </c>
      <c r="BK398" s="730">
        <v>-19.143642172964281</v>
      </c>
      <c r="BL398" s="730">
        <v>-21.630718244053142</v>
      </c>
      <c r="BM398" s="730">
        <v>-24.262886902223368</v>
      </c>
      <c r="BN398" s="730">
        <v>-27.032432872630686</v>
      </c>
      <c r="BO398" s="730">
        <v>-29.932624620007658</v>
      </c>
      <c r="BP398" s="730">
        <v>-3.0230374068115746</v>
      </c>
      <c r="BQ398" s="730">
        <v>-6.1600863389810074</v>
      </c>
      <c r="BR398" s="730">
        <v>-9.402598401325541</v>
      </c>
      <c r="BS398" s="730">
        <v>-12.741696148184568</v>
      </c>
      <c r="BT398" s="730">
        <v>-16.168611696593501</v>
      </c>
      <c r="BU398" s="730">
        <v>-19.677902505407534</v>
      </c>
      <c r="BV398" s="730">
        <v>-23.265791388227179</v>
      </c>
      <c r="BW398" s="730">
        <v>-26.930032269997216</v>
      </c>
      <c r="BX398" s="730">
        <v>-30.670294774240716</v>
      </c>
      <c r="BY398" s="730">
        <v>-34.48712886348202</v>
      </c>
      <c r="BZ398" s="730">
        <v>-38.381400192504096</v>
      </c>
      <c r="CA398" s="730">
        <v>-42.353995307027233</v>
      </c>
      <c r="CB398" s="730">
        <v>-4.0516663922371876</v>
      </c>
      <c r="CC398" s="730">
        <v>-8.1829313968235446</v>
      </c>
      <c r="CD398" s="730">
        <v>-12.394114777530376</v>
      </c>
      <c r="CE398" s="730">
        <v>-16.685363973966677</v>
      </c>
      <c r="CF398" s="730">
        <v>-21.056698881105852</v>
      </c>
      <c r="CG398" s="730">
        <v>-25.508067131393531</v>
      </c>
      <c r="CH398" s="730">
        <v>-30.039387782142192</v>
      </c>
      <c r="CI398" s="730">
        <v>-34.650579518608929</v>
      </c>
      <c r="CJ398" s="730">
        <v>-39.341575771772156</v>
      </c>
      <c r="CK398" s="730">
        <v>-44.112330283297737</v>
      </c>
      <c r="CL398" s="730">
        <v>-48.962816311881014</v>
      </c>
      <c r="CM398" s="730">
        <v>-53.893022712002427</v>
      </c>
      <c r="CN398" s="730">
        <v>-5.0099262611779443</v>
      </c>
      <c r="CO398" s="730">
        <v>-10.099577767928775</v>
      </c>
      <c r="CP398" s="730">
        <v>-15.268962105111136</v>
      </c>
      <c r="CQ398" s="730">
        <v>-20.518086644402864</v>
      </c>
      <c r="CR398" s="730">
        <v>-25.846957275691057</v>
      </c>
      <c r="CS398" s="730">
        <v>-31.255577992059749</v>
      </c>
      <c r="CT398" s="730">
        <v>-36.743951015034717</v>
      </c>
      <c r="CU398" s="730">
        <v>-42.312077189121837</v>
      </c>
      <c r="CV398" s="730">
        <v>-47.959956451033641</v>
      </c>
      <c r="CW398" s="730">
        <v>-53.687588254248141</v>
      </c>
      <c r="CX398" s="730">
        <v>-59.494971890320798</v>
      </c>
      <c r="CY398" s="730">
        <v>-65.382106693967174</v>
      </c>
      <c r="CZ398" s="126"/>
      <c r="DA398" s="12">
        <v>0</v>
      </c>
      <c r="DB398" s="12">
        <v>-1.065140295424714</v>
      </c>
      <c r="DC398" s="12">
        <v>-18.607659102231025</v>
      </c>
      <c r="DD398" s="12">
        <v>-29.932624620007658</v>
      </c>
      <c r="DE398" s="12">
        <v>-42.353995307027233</v>
      </c>
      <c r="DF398" s="12">
        <v>-53.893022712002427</v>
      </c>
      <c r="DG398" s="12">
        <v>-65.382106693967174</v>
      </c>
    </row>
    <row r="399" spans="2:111">
      <c r="B399" s="126"/>
      <c r="C399" s="230" t="s">
        <v>815</v>
      </c>
      <c r="D399" s="229"/>
      <c r="E399" s="126"/>
      <c r="F399" s="609"/>
      <c r="G399" s="609" t="s">
        <v>812</v>
      </c>
      <c r="H399" s="609"/>
      <c r="I399" s="609"/>
      <c r="J399" s="609"/>
      <c r="K399" s="609"/>
      <c r="L399" s="126"/>
      <c r="M399" s="696"/>
      <c r="N399" s="696"/>
      <c r="O399" s="696"/>
      <c r="P399" s="696"/>
      <c r="Q399" s="696"/>
      <c r="R399" s="696"/>
      <c r="S399" s="696"/>
      <c r="T399" s="696"/>
      <c r="U399" s="696"/>
      <c r="V399" s="696"/>
      <c r="W399" s="696"/>
      <c r="X399" s="697"/>
      <c r="Y399" s="697"/>
      <c r="Z399" s="697"/>
      <c r="AA399" s="697"/>
      <c r="AB399" s="697"/>
      <c r="AC399" s="697"/>
      <c r="AD399" s="697"/>
      <c r="AE399" s="697"/>
      <c r="AF399" s="697"/>
      <c r="AG399" s="697"/>
      <c r="AH399" s="697"/>
      <c r="AI399" s="697">
        <v>0</v>
      </c>
      <c r="AJ399" s="697">
        <v>-3.0012280479188482E-4</v>
      </c>
      <c r="AK399" s="697">
        <v>-1.0582131773500088E-2</v>
      </c>
      <c r="AL399" s="697">
        <v>-4.292974349684308E-2</v>
      </c>
      <c r="AM399" s="697">
        <v>-5.8018551343100987E-2</v>
      </c>
      <c r="AN399" s="697">
        <v>-6.9447743689008246E-2</v>
      </c>
      <c r="AO399" s="697">
        <v>-8.0053106117442027E-2</v>
      </c>
      <c r="AP399" s="697">
        <v>-9.9268547591315523E-2</v>
      </c>
      <c r="AQ399" s="697">
        <v>-0.12409932222884509</v>
      </c>
      <c r="AR399" s="697">
        <v>-2.2830364120070456E-2</v>
      </c>
      <c r="AS399" s="697">
        <v>-5.5463580912397829E-2</v>
      </c>
      <c r="AT399" s="697">
        <v>-9.3940622772658966E-2</v>
      </c>
      <c r="AU399" s="697">
        <v>-0.13245695194566132</v>
      </c>
      <c r="AV399" s="697">
        <v>-0.17262809176660798</v>
      </c>
      <c r="AW399" s="697">
        <v>-0.21308868186848173</v>
      </c>
      <c r="AX399" s="697">
        <v>-0.24439015336378872</v>
      </c>
      <c r="AY399" s="697">
        <v>-0.27352915420469165</v>
      </c>
      <c r="AZ399" s="697">
        <v>-0.30879480725512176</v>
      </c>
      <c r="BA399" s="697">
        <v>-0.34578033184240864</v>
      </c>
      <c r="BB399" s="697">
        <v>-0.3825160516321382</v>
      </c>
      <c r="BC399" s="697">
        <v>-0.41735005438759254</v>
      </c>
      <c r="BD399" s="697">
        <v>-3.3128259102207853E-2</v>
      </c>
      <c r="BE399" s="697">
        <v>-6.5172113883975064E-2</v>
      </c>
      <c r="BF399" s="697">
        <v>-9.6999999281069171E-2</v>
      </c>
      <c r="BG399" s="697">
        <v>-0.12679779647088046</v>
      </c>
      <c r="BH399" s="697">
        <v>-0.15464074973809872</v>
      </c>
      <c r="BI399" s="697">
        <v>-0.18126854877699669</v>
      </c>
      <c r="BJ399" s="697">
        <v>-0.20635989126198551</v>
      </c>
      <c r="BK399" s="697">
        <v>-0.22982868926838745</v>
      </c>
      <c r="BL399" s="697">
        <v>-0.25423098441935227</v>
      </c>
      <c r="BM399" s="697">
        <v>-0.27948395032318823</v>
      </c>
      <c r="BN399" s="697">
        <v>-0.30550612221941903</v>
      </c>
      <c r="BO399" s="697">
        <v>-0.33222664740767921</v>
      </c>
      <c r="BP399" s="697">
        <v>-2.7307312027886086E-2</v>
      </c>
      <c r="BQ399" s="697">
        <v>-5.5028057819281273E-2</v>
      </c>
      <c r="BR399" s="697">
        <v>-8.3077425684259715E-2</v>
      </c>
      <c r="BS399" s="697">
        <v>-0.11136770412725155</v>
      </c>
      <c r="BT399" s="697">
        <v>-0.13981317753947439</v>
      </c>
      <c r="BU399" s="697">
        <v>-0.16835946385002376</v>
      </c>
      <c r="BV399" s="697">
        <v>-0.19696863863855299</v>
      </c>
      <c r="BW399" s="697">
        <v>-0.22561749028563458</v>
      </c>
      <c r="BX399" s="697">
        <v>-0.25430039694192624</v>
      </c>
      <c r="BY399" s="697">
        <v>-0.28301990964369739</v>
      </c>
      <c r="BZ399" s="697">
        <v>-0.31178157463454509</v>
      </c>
      <c r="CA399" s="697">
        <v>-0.34059122077706527</v>
      </c>
      <c r="CB399" s="697">
        <v>-2.8812336105454937E-2</v>
      </c>
      <c r="CC399" s="697">
        <v>-5.7674879905603188E-2</v>
      </c>
      <c r="CD399" s="697">
        <v>-8.658878089909762E-2</v>
      </c>
      <c r="CE399" s="697">
        <v>-0.11555390560547991</v>
      </c>
      <c r="CF399" s="697">
        <v>-0.14456918900574584</v>
      </c>
      <c r="CG399" s="697">
        <v>-0.17363305568138748</v>
      </c>
      <c r="CH399" s="697">
        <v>-0.20274374946417156</v>
      </c>
      <c r="CI399" s="697">
        <v>-0.23189954444350586</v>
      </c>
      <c r="CJ399" s="697">
        <v>-0.26109885656956794</v>
      </c>
      <c r="CK399" s="697">
        <v>-0.29034028354034858</v>
      </c>
      <c r="CL399" s="697">
        <v>-0.31962259774980595</v>
      </c>
      <c r="CM399" s="697">
        <v>-0.34894471648677505</v>
      </c>
      <c r="CN399" s="697">
        <v>-3.2176376878737832E-2</v>
      </c>
      <c r="CO399" s="697">
        <v>-6.434562258469663E-2</v>
      </c>
      <c r="CP399" s="697">
        <v>-9.6507952596921062E-2</v>
      </c>
      <c r="CQ399" s="697">
        <v>-0.12866357509231008</v>
      </c>
      <c r="CR399" s="697">
        <v>-0.16081268336228408</v>
      </c>
      <c r="CS399" s="697">
        <v>-0.19295545359406693</v>
      </c>
      <c r="CT399" s="697">
        <v>-0.22509204601640864</v>
      </c>
      <c r="CU399" s="697">
        <v>-0.2572226076832973</v>
      </c>
      <c r="CV399" s="697">
        <v>-0.28934727566583385</v>
      </c>
      <c r="CW399" s="697">
        <v>-0.32146617990954995</v>
      </c>
      <c r="CX399" s="697">
        <v>-0.35357944540429059</v>
      </c>
      <c r="CY399" s="697">
        <v>-0.38568719360149467</v>
      </c>
      <c r="CZ399" s="126"/>
      <c r="DA399" s="729">
        <v>0</v>
      </c>
      <c r="DB399" s="729">
        <v>-0.12409932222884509</v>
      </c>
      <c r="DC399" s="729">
        <v>-0.41735005438759254</v>
      </c>
      <c r="DD399" s="729">
        <v>-0.33222664740767921</v>
      </c>
      <c r="DE399" s="729">
        <v>-0.34059122077706527</v>
      </c>
      <c r="DF399" s="729">
        <v>-0.34894471648677505</v>
      </c>
      <c r="DG399" s="729">
        <v>-0.38568719360149467</v>
      </c>
    </row>
    <row r="400" spans="2:111">
      <c r="B400" s="126"/>
      <c r="C400" s="126"/>
      <c r="D400" s="698"/>
      <c r="E400" s="126"/>
      <c r="F400" s="609"/>
      <c r="G400" s="609"/>
      <c r="H400" s="609"/>
      <c r="I400" s="609"/>
      <c r="J400" s="609"/>
      <c r="K400" s="609"/>
      <c r="L400" s="126"/>
      <c r="M400" s="696"/>
      <c r="N400" s="696"/>
      <c r="O400" s="696"/>
      <c r="P400" s="696"/>
      <c r="Q400" s="696"/>
      <c r="R400" s="696"/>
      <c r="S400" s="696"/>
      <c r="T400" s="696"/>
      <c r="U400" s="696"/>
      <c r="V400" s="696"/>
      <c r="W400" s="696"/>
      <c r="X400" s="697"/>
      <c r="Y400" s="697"/>
      <c r="Z400" s="697"/>
      <c r="AA400" s="697"/>
      <c r="AB400" s="697"/>
      <c r="AC400" s="697"/>
      <c r="AD400" s="697"/>
      <c r="AE400" s="697"/>
      <c r="AF400" s="697"/>
      <c r="AG400" s="697"/>
      <c r="AH400" s="697"/>
      <c r="AI400" s="697"/>
      <c r="AJ400" s="697"/>
      <c r="AK400" s="697"/>
      <c r="AL400" s="697"/>
      <c r="AM400" s="697"/>
      <c r="AN400" s="697"/>
      <c r="AO400" s="697"/>
      <c r="AP400" s="697"/>
      <c r="AQ400" s="697"/>
      <c r="AR400" s="697"/>
      <c r="AS400" s="697"/>
      <c r="AT400" s="697"/>
      <c r="AU400" s="697"/>
      <c r="AV400" s="697"/>
      <c r="AW400" s="697"/>
      <c r="AX400" s="697"/>
      <c r="AY400" s="697"/>
      <c r="AZ400" s="697"/>
      <c r="BA400" s="697"/>
      <c r="BB400" s="697"/>
      <c r="BC400" s="697"/>
      <c r="BD400" s="697"/>
      <c r="BE400" s="697"/>
      <c r="BF400" s="697"/>
      <c r="BG400" s="697"/>
      <c r="BH400" s="697"/>
      <c r="BI400" s="697"/>
      <c r="BJ400" s="697"/>
      <c r="BK400" s="697"/>
      <c r="BL400" s="697"/>
      <c r="BM400" s="697"/>
      <c r="BN400" s="697"/>
      <c r="BO400" s="697"/>
      <c r="BP400" s="697"/>
      <c r="BQ400" s="697"/>
      <c r="BR400" s="697"/>
      <c r="BS400" s="697"/>
      <c r="BT400" s="697"/>
      <c r="BU400" s="697"/>
      <c r="BV400" s="697"/>
      <c r="BW400" s="697"/>
      <c r="BX400" s="697"/>
      <c r="BY400" s="697"/>
      <c r="BZ400" s="697"/>
      <c r="CA400" s="697"/>
      <c r="CB400" s="697"/>
      <c r="CC400" s="697"/>
      <c r="CD400" s="697"/>
      <c r="CE400" s="697"/>
      <c r="CF400" s="697"/>
      <c r="CG400" s="697"/>
      <c r="CH400" s="697"/>
      <c r="CI400" s="697"/>
      <c r="CJ400" s="697"/>
      <c r="CK400" s="697"/>
      <c r="CL400" s="697"/>
      <c r="CM400" s="697"/>
      <c r="CN400" s="697"/>
      <c r="CO400" s="697"/>
      <c r="CP400" s="697"/>
      <c r="CQ400" s="697"/>
      <c r="CR400" s="697"/>
      <c r="CS400" s="697"/>
      <c r="CT400" s="697"/>
      <c r="CU400" s="697"/>
      <c r="CV400" s="697"/>
      <c r="CW400" s="697"/>
      <c r="CX400" s="697"/>
      <c r="CY400" s="697"/>
      <c r="CZ400" s="126"/>
      <c r="DA400" s="14"/>
      <c r="DB400" s="14"/>
      <c r="DC400" s="14"/>
      <c r="DD400" s="14"/>
      <c r="DE400" s="14"/>
      <c r="DF400" s="14"/>
      <c r="DG400" s="126"/>
    </row>
    <row r="401" spans="2:111">
      <c r="B401" s="734"/>
      <c r="C401" s="735" t="s">
        <v>850</v>
      </c>
      <c r="D401" s="734"/>
      <c r="E401" s="734"/>
      <c r="F401" s="736"/>
      <c r="G401" s="736"/>
      <c r="H401" s="609"/>
      <c r="I401" s="609"/>
      <c r="J401" s="609"/>
      <c r="K401" s="609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  <c r="AP401" s="126"/>
      <c r="AQ401" s="729"/>
      <c r="AR401" s="126"/>
      <c r="AS401" s="126"/>
      <c r="AT401" s="126"/>
      <c r="AU401" s="126"/>
      <c r="AV401" s="126"/>
      <c r="AW401" s="126"/>
      <c r="AX401" s="126"/>
      <c r="AY401" s="126"/>
      <c r="AZ401" s="126"/>
      <c r="BA401" s="126"/>
      <c r="BB401" s="126"/>
      <c r="BC401" s="126"/>
      <c r="BD401" s="126"/>
      <c r="BE401" s="126"/>
      <c r="BF401" s="126"/>
      <c r="BG401" s="126"/>
      <c r="BH401" s="126"/>
      <c r="BI401" s="126"/>
      <c r="BJ401" s="126"/>
      <c r="BK401" s="126"/>
      <c r="BL401" s="126"/>
      <c r="BM401" s="126"/>
      <c r="BN401" s="126"/>
      <c r="BO401" s="126"/>
      <c r="BP401" s="126"/>
      <c r="BQ401" s="126"/>
      <c r="BR401" s="126"/>
      <c r="BS401" s="126"/>
      <c r="BT401" s="126"/>
      <c r="BU401" s="126"/>
      <c r="BV401" s="126"/>
      <c r="BW401" s="126"/>
      <c r="BX401" s="126"/>
      <c r="BY401" s="126"/>
      <c r="BZ401" s="126"/>
      <c r="CA401" s="126"/>
      <c r="CB401" s="126"/>
      <c r="CC401" s="126"/>
      <c r="CD401" s="126"/>
      <c r="CE401" s="126"/>
      <c r="CF401" s="126"/>
      <c r="CG401" s="126"/>
      <c r="CH401" s="126"/>
      <c r="CI401" s="126"/>
      <c r="CJ401" s="126"/>
      <c r="CK401" s="126"/>
      <c r="CL401" s="126"/>
      <c r="CM401" s="126"/>
      <c r="CN401" s="126"/>
      <c r="CO401" s="126"/>
      <c r="CP401" s="126"/>
      <c r="CQ401" s="126"/>
      <c r="CR401" s="126"/>
      <c r="CS401" s="126"/>
      <c r="CT401" s="126"/>
      <c r="CU401" s="126"/>
      <c r="CV401" s="126"/>
      <c r="CW401" s="126"/>
      <c r="CX401" s="126"/>
      <c r="CY401" s="126"/>
      <c r="CZ401" s="126"/>
      <c r="DA401" s="12"/>
      <c r="DB401" s="12"/>
      <c r="DC401" s="12"/>
      <c r="DD401" s="12"/>
      <c r="DE401" s="12"/>
      <c r="DF401" s="12"/>
      <c r="DG401" s="126"/>
    </row>
    <row r="402" spans="2:111">
      <c r="B402" s="126"/>
      <c r="C402" s="698"/>
      <c r="D402" s="126" t="s">
        <v>845</v>
      </c>
      <c r="E402" s="126"/>
      <c r="F402" s="609"/>
      <c r="G402" s="699" t="s">
        <v>743</v>
      </c>
      <c r="H402" s="609"/>
      <c r="I402" s="609"/>
      <c r="J402" s="609"/>
      <c r="K402" s="609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754"/>
      <c r="AJ402" s="754"/>
      <c r="AK402" s="754"/>
      <c r="AL402" s="754"/>
      <c r="AM402" s="754"/>
      <c r="AN402" s="754"/>
      <c r="AO402" s="754"/>
      <c r="AP402" s="755">
        <v>0.93799999999999994</v>
      </c>
      <c r="AQ402" s="755">
        <v>1.875</v>
      </c>
      <c r="AR402" s="710">
        <v>1.9520833333333334</v>
      </c>
      <c r="AS402" s="710">
        <v>2.0291666666666668</v>
      </c>
      <c r="AT402" s="710">
        <v>2.1062500000000002</v>
      </c>
      <c r="AU402" s="710">
        <v>2.1833333333333336</v>
      </c>
      <c r="AV402" s="710">
        <v>2.260416666666667</v>
      </c>
      <c r="AW402" s="710">
        <v>2.3375000000000004</v>
      </c>
      <c r="AX402" s="710">
        <v>2.4145833333333337</v>
      </c>
      <c r="AY402" s="710">
        <v>2.4916666666666671</v>
      </c>
      <c r="AZ402" s="710">
        <v>2.5687500000000005</v>
      </c>
      <c r="BA402" s="710">
        <v>2.6458333333333339</v>
      </c>
      <c r="BB402" s="710">
        <v>2.7229166666666673</v>
      </c>
      <c r="BC402" s="755">
        <v>2.8</v>
      </c>
      <c r="BD402" s="710">
        <v>2.9166666666666665</v>
      </c>
      <c r="BE402" s="710">
        <v>3.0333333333333332</v>
      </c>
      <c r="BF402" s="710">
        <v>3.15</v>
      </c>
      <c r="BG402" s="710">
        <v>3.2666666666666666</v>
      </c>
      <c r="BH402" s="710">
        <v>3.3833333333333333</v>
      </c>
      <c r="BI402" s="710">
        <v>3.5</v>
      </c>
      <c r="BJ402" s="710">
        <v>3.6166666666666667</v>
      </c>
      <c r="BK402" s="710">
        <v>3.7333333333333334</v>
      </c>
      <c r="BL402" s="710">
        <v>3.85</v>
      </c>
      <c r="BM402" s="710">
        <v>3.9666666666666668</v>
      </c>
      <c r="BN402" s="710">
        <v>4.083333333333333</v>
      </c>
      <c r="BO402" s="755">
        <v>4.1999999999999993</v>
      </c>
      <c r="BP402" s="710">
        <v>4.2666666666666657</v>
      </c>
      <c r="BQ402" s="710">
        <v>4.3333333333333321</v>
      </c>
      <c r="BR402" s="710">
        <v>4.3999999999999986</v>
      </c>
      <c r="BS402" s="710">
        <v>4.466666666666665</v>
      </c>
      <c r="BT402" s="710">
        <v>4.5333333333333314</v>
      </c>
      <c r="BU402" s="710">
        <v>4.5999999999999979</v>
      </c>
      <c r="BV402" s="710">
        <v>4.6666666666666643</v>
      </c>
      <c r="BW402" s="710">
        <v>4.7333333333333307</v>
      </c>
      <c r="BX402" s="710">
        <v>4.7999999999999972</v>
      </c>
      <c r="BY402" s="710">
        <v>4.8666666666666636</v>
      </c>
      <c r="BZ402" s="710">
        <v>4.93333333333333</v>
      </c>
      <c r="CA402" s="755">
        <v>5</v>
      </c>
      <c r="CB402" s="710">
        <v>5</v>
      </c>
      <c r="CC402" s="710">
        <v>5</v>
      </c>
      <c r="CD402" s="710">
        <v>5</v>
      </c>
      <c r="CE402" s="710">
        <v>5</v>
      </c>
      <c r="CF402" s="710">
        <v>5</v>
      </c>
      <c r="CG402" s="710">
        <v>5</v>
      </c>
      <c r="CH402" s="710">
        <v>5</v>
      </c>
      <c r="CI402" s="710">
        <v>5</v>
      </c>
      <c r="CJ402" s="710">
        <v>5</v>
      </c>
      <c r="CK402" s="710">
        <v>5</v>
      </c>
      <c r="CL402" s="710">
        <v>5</v>
      </c>
      <c r="CM402" s="755">
        <v>5</v>
      </c>
      <c r="CN402" s="710">
        <v>5</v>
      </c>
      <c r="CO402" s="710">
        <v>5</v>
      </c>
      <c r="CP402" s="710">
        <v>5</v>
      </c>
      <c r="CQ402" s="710">
        <v>5</v>
      </c>
      <c r="CR402" s="710">
        <v>5</v>
      </c>
      <c r="CS402" s="710">
        <v>5</v>
      </c>
      <c r="CT402" s="710">
        <v>5</v>
      </c>
      <c r="CU402" s="710">
        <v>5</v>
      </c>
      <c r="CV402" s="710">
        <v>5</v>
      </c>
      <c r="CW402" s="710">
        <v>5</v>
      </c>
      <c r="CX402" s="710">
        <v>5</v>
      </c>
      <c r="CY402" s="755">
        <v>5</v>
      </c>
      <c r="CZ402" s="126"/>
      <c r="DA402" s="12">
        <v>0</v>
      </c>
      <c r="DB402" s="12">
        <v>2.8129999999999997</v>
      </c>
      <c r="DC402" s="12">
        <v>28.512500000000003</v>
      </c>
      <c r="DD402" s="12">
        <v>42.7</v>
      </c>
      <c r="DE402" s="12">
        <v>55.599999999999973</v>
      </c>
      <c r="DF402" s="12">
        <v>60</v>
      </c>
      <c r="DG402" s="12">
        <v>60</v>
      </c>
    </row>
    <row r="403" spans="2:111">
      <c r="B403" s="126"/>
      <c r="C403" s="698"/>
      <c r="D403" s="126" t="s">
        <v>194</v>
      </c>
      <c r="E403" s="126"/>
      <c r="F403" s="609"/>
      <c r="G403" s="699" t="s">
        <v>743</v>
      </c>
      <c r="H403" s="609"/>
      <c r="I403" s="609"/>
      <c r="J403" s="609"/>
      <c r="K403" s="609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756"/>
      <c r="AJ403" s="756"/>
      <c r="AK403" s="756"/>
      <c r="AL403" s="756"/>
      <c r="AM403" s="756"/>
      <c r="AN403" s="756"/>
      <c r="AO403" s="756"/>
      <c r="AP403" s="756">
        <v>0.93799999999999994</v>
      </c>
      <c r="AQ403" s="756">
        <v>2.8129999999999997</v>
      </c>
      <c r="AR403" s="756">
        <v>4.7650833333333331</v>
      </c>
      <c r="AS403" s="756">
        <v>6.7942499999999999</v>
      </c>
      <c r="AT403" s="756">
        <v>8.900500000000001</v>
      </c>
      <c r="AU403" s="756">
        <v>11.083833333333335</v>
      </c>
      <c r="AV403" s="756">
        <v>13.344250000000002</v>
      </c>
      <c r="AW403" s="756">
        <v>15.681750000000003</v>
      </c>
      <c r="AX403" s="756">
        <v>18.096333333333337</v>
      </c>
      <c r="AY403" s="756">
        <v>20.588000000000005</v>
      </c>
      <c r="AZ403" s="756">
        <v>23.156750000000006</v>
      </c>
      <c r="BA403" s="756">
        <v>25.802583333333338</v>
      </c>
      <c r="BB403" s="756">
        <v>28.525500000000005</v>
      </c>
      <c r="BC403" s="756">
        <v>31.325500000000005</v>
      </c>
      <c r="BD403" s="756">
        <v>34.24216666666667</v>
      </c>
      <c r="BE403" s="756">
        <v>37.275500000000001</v>
      </c>
      <c r="BF403" s="756">
        <v>40.4255</v>
      </c>
      <c r="BG403" s="756">
        <v>43.692166666666665</v>
      </c>
      <c r="BH403" s="756">
        <v>47.075499999999998</v>
      </c>
      <c r="BI403" s="756">
        <v>50.575499999999998</v>
      </c>
      <c r="BJ403" s="756">
        <v>54.192166666666665</v>
      </c>
      <c r="BK403" s="756">
        <v>57.9255</v>
      </c>
      <c r="BL403" s="756">
        <v>61.775500000000001</v>
      </c>
      <c r="BM403" s="756">
        <v>65.742166666666662</v>
      </c>
      <c r="BN403" s="756">
        <v>69.825499999999991</v>
      </c>
      <c r="BO403" s="756">
        <v>74.025499999999994</v>
      </c>
      <c r="BP403" s="756">
        <v>78.29216666666666</v>
      </c>
      <c r="BQ403" s="756">
        <v>82.625499999999988</v>
      </c>
      <c r="BR403" s="756">
        <v>87.025499999999994</v>
      </c>
      <c r="BS403" s="756">
        <v>91.492166666666662</v>
      </c>
      <c r="BT403" s="756">
        <v>96.025499999999994</v>
      </c>
      <c r="BU403" s="756">
        <v>100.62549999999999</v>
      </c>
      <c r="BV403" s="756">
        <v>105.29216666666665</v>
      </c>
      <c r="BW403" s="756">
        <v>110.02549999999998</v>
      </c>
      <c r="BX403" s="756">
        <v>114.82549999999998</v>
      </c>
      <c r="BY403" s="756">
        <v>119.69216666666664</v>
      </c>
      <c r="BZ403" s="756">
        <v>124.62549999999996</v>
      </c>
      <c r="CA403" s="756">
        <v>129.62549999999996</v>
      </c>
      <c r="CB403" s="756">
        <v>134.62549999999996</v>
      </c>
      <c r="CC403" s="756">
        <v>139.62549999999996</v>
      </c>
      <c r="CD403" s="756">
        <v>144.62549999999996</v>
      </c>
      <c r="CE403" s="756">
        <v>149.62549999999996</v>
      </c>
      <c r="CF403" s="756">
        <v>154.62549999999996</v>
      </c>
      <c r="CG403" s="756">
        <v>159.62549999999996</v>
      </c>
      <c r="CH403" s="756">
        <v>164.62549999999996</v>
      </c>
      <c r="CI403" s="756">
        <v>169.62549999999996</v>
      </c>
      <c r="CJ403" s="756">
        <v>174.62549999999996</v>
      </c>
      <c r="CK403" s="756">
        <v>179.62549999999996</v>
      </c>
      <c r="CL403" s="756">
        <v>184.62549999999996</v>
      </c>
      <c r="CM403" s="756">
        <v>189.62549999999996</v>
      </c>
      <c r="CN403" s="756">
        <v>194.62549999999996</v>
      </c>
      <c r="CO403" s="756">
        <v>199.62549999999996</v>
      </c>
      <c r="CP403" s="756">
        <v>204.62549999999996</v>
      </c>
      <c r="CQ403" s="756">
        <v>209.62549999999996</v>
      </c>
      <c r="CR403" s="756">
        <v>214.62549999999996</v>
      </c>
      <c r="CS403" s="756">
        <v>219.62549999999996</v>
      </c>
      <c r="CT403" s="756">
        <v>224.62549999999996</v>
      </c>
      <c r="CU403" s="756">
        <v>229.62549999999996</v>
      </c>
      <c r="CV403" s="756">
        <v>234.62549999999996</v>
      </c>
      <c r="CW403" s="756">
        <v>239.62549999999996</v>
      </c>
      <c r="CX403" s="756">
        <v>244.62549999999996</v>
      </c>
      <c r="CY403" s="756">
        <v>249.62549999999996</v>
      </c>
      <c r="CZ403" s="126"/>
      <c r="DA403" s="11">
        <v>0</v>
      </c>
      <c r="DB403" s="11">
        <v>2.8129999999999997</v>
      </c>
      <c r="DC403" s="11">
        <v>31.325500000000005</v>
      </c>
      <c r="DD403" s="11">
        <v>74.025499999999994</v>
      </c>
      <c r="DE403" s="11">
        <v>129.62549999999996</v>
      </c>
      <c r="DF403" s="11">
        <v>189.62549999999996</v>
      </c>
      <c r="DG403" s="11">
        <v>249.62549999999996</v>
      </c>
    </row>
    <row r="404" spans="2:111">
      <c r="B404" s="126"/>
      <c r="C404" s="698"/>
      <c r="D404" s="126" t="s">
        <v>794</v>
      </c>
      <c r="E404" s="126"/>
      <c r="F404" s="609"/>
      <c r="G404" s="699" t="s">
        <v>743</v>
      </c>
      <c r="H404" s="609"/>
      <c r="I404" s="609"/>
      <c r="J404" s="609"/>
      <c r="K404" s="609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757"/>
      <c r="AJ404" s="757"/>
      <c r="AK404" s="757"/>
      <c r="AL404" s="757"/>
      <c r="AM404" s="757"/>
      <c r="AN404" s="757"/>
      <c r="AO404" s="757"/>
      <c r="AP404" s="757">
        <v>0.37519999999999998</v>
      </c>
      <c r="AQ404" s="757">
        <v>0.98454999999999981</v>
      </c>
      <c r="AR404" s="757">
        <v>1.4295249999999999</v>
      </c>
      <c r="AS404" s="757">
        <v>2.0382750000000001</v>
      </c>
      <c r="AT404" s="757">
        <v>2.67015</v>
      </c>
      <c r="AU404" s="757">
        <v>3.3251500000000003</v>
      </c>
      <c r="AV404" s="757">
        <v>4.0032750000000004</v>
      </c>
      <c r="AW404" s="757">
        <v>4.7045250000000003</v>
      </c>
      <c r="AX404" s="757">
        <v>5.4289000000000014</v>
      </c>
      <c r="AY404" s="757">
        <v>6.176400000000001</v>
      </c>
      <c r="AZ404" s="757">
        <v>6.9470250000000018</v>
      </c>
      <c r="BA404" s="757">
        <v>7.7407750000000011</v>
      </c>
      <c r="BB404" s="757">
        <v>8.5576500000000006</v>
      </c>
      <c r="BC404" s="757">
        <v>9.3976500000000005</v>
      </c>
      <c r="BD404" s="757">
        <v>17.121083333333335</v>
      </c>
      <c r="BE404" s="757">
        <v>18.63775</v>
      </c>
      <c r="BF404" s="757">
        <v>20.21275</v>
      </c>
      <c r="BG404" s="757">
        <v>21.846083333333333</v>
      </c>
      <c r="BH404" s="757">
        <v>23.537749999999999</v>
      </c>
      <c r="BI404" s="757">
        <v>25.287749999999999</v>
      </c>
      <c r="BJ404" s="757">
        <v>27.096083333333333</v>
      </c>
      <c r="BK404" s="757">
        <v>28.96275</v>
      </c>
      <c r="BL404" s="757">
        <v>30.88775</v>
      </c>
      <c r="BM404" s="757">
        <v>32.871083333333331</v>
      </c>
      <c r="BN404" s="757">
        <v>34.912749999999996</v>
      </c>
      <c r="BO404" s="757">
        <v>37.012749999999997</v>
      </c>
      <c r="BP404" s="757">
        <v>39.14608333333333</v>
      </c>
      <c r="BQ404" s="757">
        <v>41.312749999999994</v>
      </c>
      <c r="BR404" s="757">
        <v>43.512749999999997</v>
      </c>
      <c r="BS404" s="757">
        <v>45.746083333333331</v>
      </c>
      <c r="BT404" s="757">
        <v>48.012749999999997</v>
      </c>
      <c r="BU404" s="757">
        <v>50.312749999999994</v>
      </c>
      <c r="BV404" s="757">
        <v>52.646083333333323</v>
      </c>
      <c r="BW404" s="757">
        <v>55.01274999999999</v>
      </c>
      <c r="BX404" s="757">
        <v>57.412749999999988</v>
      </c>
      <c r="BY404" s="757">
        <v>59.846083333333318</v>
      </c>
      <c r="BZ404" s="757">
        <v>62.31274999999998</v>
      </c>
      <c r="CA404" s="757">
        <v>64.81274999999998</v>
      </c>
      <c r="CB404" s="757">
        <v>67.31274999999998</v>
      </c>
      <c r="CC404" s="757">
        <v>69.81274999999998</v>
      </c>
      <c r="CD404" s="757">
        <v>72.31274999999998</v>
      </c>
      <c r="CE404" s="757">
        <v>74.81274999999998</v>
      </c>
      <c r="CF404" s="757">
        <v>77.31274999999998</v>
      </c>
      <c r="CG404" s="757">
        <v>79.81274999999998</v>
      </c>
      <c r="CH404" s="757">
        <v>82.31274999999998</v>
      </c>
      <c r="CI404" s="757">
        <v>84.81274999999998</v>
      </c>
      <c r="CJ404" s="757">
        <v>87.31274999999998</v>
      </c>
      <c r="CK404" s="757">
        <v>89.81274999999998</v>
      </c>
      <c r="CL404" s="757">
        <v>92.31274999999998</v>
      </c>
      <c r="CM404" s="757">
        <v>94.81274999999998</v>
      </c>
      <c r="CN404" s="757">
        <v>97.31274999999998</v>
      </c>
      <c r="CO404" s="757">
        <v>99.81274999999998</v>
      </c>
      <c r="CP404" s="757">
        <v>102.31274999999998</v>
      </c>
      <c r="CQ404" s="757">
        <v>104.81274999999998</v>
      </c>
      <c r="CR404" s="757">
        <v>107.31274999999998</v>
      </c>
      <c r="CS404" s="757">
        <v>109.81274999999998</v>
      </c>
      <c r="CT404" s="757">
        <v>112.31274999999998</v>
      </c>
      <c r="CU404" s="757">
        <v>114.81274999999998</v>
      </c>
      <c r="CV404" s="757">
        <v>117.31274999999998</v>
      </c>
      <c r="CW404" s="757">
        <v>119.81274999999998</v>
      </c>
      <c r="CX404" s="757">
        <v>122.31274999999998</v>
      </c>
      <c r="CY404" s="757">
        <v>124.81274999999998</v>
      </c>
      <c r="CZ404" s="126"/>
      <c r="DA404" s="11">
        <v>0</v>
      </c>
      <c r="DB404" s="11">
        <v>0.98454999999999981</v>
      </c>
      <c r="DC404" s="11">
        <v>9.3976500000000005</v>
      </c>
      <c r="DD404" s="11">
        <v>37.012749999999997</v>
      </c>
      <c r="DE404" s="11">
        <v>64.81274999999998</v>
      </c>
      <c r="DF404" s="11">
        <v>94.81274999999998</v>
      </c>
      <c r="DG404" s="11">
        <v>124.81274999999998</v>
      </c>
    </row>
    <row r="405" spans="2:111">
      <c r="B405" s="126"/>
      <c r="C405" s="698"/>
      <c r="D405" s="12" t="s">
        <v>847</v>
      </c>
      <c r="E405" s="126"/>
      <c r="F405" s="609"/>
      <c r="G405" s="609" t="s">
        <v>736</v>
      </c>
      <c r="H405" s="609"/>
      <c r="I405" s="609"/>
      <c r="J405" s="609"/>
      <c r="K405" s="609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756"/>
      <c r="AJ405" s="756"/>
      <c r="AK405" s="756"/>
      <c r="AL405" s="756"/>
      <c r="AM405" s="756"/>
      <c r="AN405" s="756"/>
      <c r="AO405" s="756"/>
      <c r="AP405" s="710">
        <v>0.56279999999999997</v>
      </c>
      <c r="AQ405" s="710">
        <v>1.4768249999999998</v>
      </c>
      <c r="AR405" s="710">
        <v>2.1442874999999999</v>
      </c>
      <c r="AS405" s="710">
        <v>3.0574124999999999</v>
      </c>
      <c r="AT405" s="710">
        <v>4.0052250000000003</v>
      </c>
      <c r="AU405" s="710">
        <v>4.9877250000000002</v>
      </c>
      <c r="AV405" s="710">
        <v>6.0049125000000005</v>
      </c>
      <c r="AW405" s="710">
        <v>7.0567875000000004</v>
      </c>
      <c r="AX405" s="710">
        <v>8.1433500000000016</v>
      </c>
      <c r="AY405" s="710">
        <v>9.2646000000000015</v>
      </c>
      <c r="AZ405" s="710">
        <v>10.420537500000002</v>
      </c>
      <c r="BA405" s="710">
        <v>11.611162500000002</v>
      </c>
      <c r="BB405" s="710">
        <v>12.836475</v>
      </c>
      <c r="BC405" s="710">
        <v>14.096475</v>
      </c>
      <c r="BD405" s="710">
        <v>25.681625000000004</v>
      </c>
      <c r="BE405" s="710">
        <v>27.956624999999999</v>
      </c>
      <c r="BF405" s="710">
        <v>30.319125</v>
      </c>
      <c r="BG405" s="710">
        <v>32.769125000000003</v>
      </c>
      <c r="BH405" s="710">
        <v>35.306624999999997</v>
      </c>
      <c r="BI405" s="710">
        <v>37.931624999999997</v>
      </c>
      <c r="BJ405" s="710">
        <v>40.644125000000003</v>
      </c>
      <c r="BK405" s="710">
        <v>43.444125</v>
      </c>
      <c r="BL405" s="710">
        <v>46.331625000000003</v>
      </c>
      <c r="BM405" s="710">
        <v>49.306624999999997</v>
      </c>
      <c r="BN405" s="710">
        <v>52.36912499999999</v>
      </c>
      <c r="BO405" s="710">
        <v>55.519124999999995</v>
      </c>
      <c r="BP405" s="710">
        <v>58.719124999999991</v>
      </c>
      <c r="BQ405" s="710">
        <v>61.969124999999991</v>
      </c>
      <c r="BR405" s="710">
        <v>65.269124999999988</v>
      </c>
      <c r="BS405" s="710">
        <v>68.619124999999997</v>
      </c>
      <c r="BT405" s="710">
        <v>72.019125000000003</v>
      </c>
      <c r="BU405" s="710">
        <v>75.469124999999991</v>
      </c>
      <c r="BV405" s="710">
        <v>78.969124999999991</v>
      </c>
      <c r="BW405" s="710">
        <v>82.519124999999988</v>
      </c>
      <c r="BX405" s="710">
        <v>86.119124999999983</v>
      </c>
      <c r="BY405" s="710">
        <v>89.769124999999974</v>
      </c>
      <c r="BZ405" s="710">
        <v>93.469124999999977</v>
      </c>
      <c r="CA405" s="710">
        <v>97.219124999999977</v>
      </c>
      <c r="CB405" s="710">
        <v>100.96912499999998</v>
      </c>
      <c r="CC405" s="710">
        <v>104.71912499999998</v>
      </c>
      <c r="CD405" s="710">
        <v>108.46912499999998</v>
      </c>
      <c r="CE405" s="710">
        <v>112.21912499999998</v>
      </c>
      <c r="CF405" s="710">
        <v>115.96912499999998</v>
      </c>
      <c r="CG405" s="710">
        <v>119.71912499999998</v>
      </c>
      <c r="CH405" s="710">
        <v>123.46912499999998</v>
      </c>
      <c r="CI405" s="710">
        <v>127.21912499999998</v>
      </c>
      <c r="CJ405" s="710">
        <v>130.96912499999996</v>
      </c>
      <c r="CK405" s="710">
        <v>134.71912499999996</v>
      </c>
      <c r="CL405" s="710">
        <v>138.46912499999996</v>
      </c>
      <c r="CM405" s="710">
        <v>142.21912499999996</v>
      </c>
      <c r="CN405" s="710">
        <v>145.96912499999996</v>
      </c>
      <c r="CO405" s="710">
        <v>149.71912499999996</v>
      </c>
      <c r="CP405" s="710">
        <v>153.46912499999996</v>
      </c>
      <c r="CQ405" s="710">
        <v>157.21912499999996</v>
      </c>
      <c r="CR405" s="710">
        <v>160.96912499999996</v>
      </c>
      <c r="CS405" s="710">
        <v>164.71912499999996</v>
      </c>
      <c r="CT405" s="710">
        <v>168.46912499999996</v>
      </c>
      <c r="CU405" s="710">
        <v>172.21912499999996</v>
      </c>
      <c r="CV405" s="710">
        <v>175.96912499999996</v>
      </c>
      <c r="CW405" s="710">
        <v>179.71912499999996</v>
      </c>
      <c r="CX405" s="710">
        <v>183.46912499999996</v>
      </c>
      <c r="CY405" s="710">
        <v>187.21912499999996</v>
      </c>
      <c r="CZ405" s="126"/>
      <c r="DA405" s="12">
        <v>0</v>
      </c>
      <c r="DB405" s="12">
        <v>2.039625</v>
      </c>
      <c r="DC405" s="12">
        <v>93.628950000000003</v>
      </c>
      <c r="DD405" s="12">
        <v>477.5795</v>
      </c>
      <c r="DE405" s="12">
        <v>930.12949999999978</v>
      </c>
      <c r="DF405" s="12">
        <v>1459.1295</v>
      </c>
      <c r="DG405" s="12">
        <v>1999.1295</v>
      </c>
    </row>
    <row r="406" spans="2:111">
      <c r="B406" s="126"/>
      <c r="C406" s="698"/>
      <c r="D406" s="12" t="s">
        <v>796</v>
      </c>
      <c r="E406" s="126"/>
      <c r="F406" s="609"/>
      <c r="G406" s="609" t="s">
        <v>736</v>
      </c>
      <c r="H406" s="609"/>
      <c r="I406" s="609"/>
      <c r="J406" s="609"/>
      <c r="K406" s="609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756"/>
      <c r="AJ406" s="756"/>
      <c r="AK406" s="756"/>
      <c r="AL406" s="756"/>
      <c r="AM406" s="756"/>
      <c r="AN406" s="756"/>
      <c r="AO406" s="756"/>
      <c r="AP406" s="739">
        <v>0.56279999999999997</v>
      </c>
      <c r="AQ406" s="739">
        <v>1.7300849999999999</v>
      </c>
      <c r="AR406" s="739">
        <v>2.9228257499999999</v>
      </c>
      <c r="AS406" s="739">
        <v>4.3726840874999997</v>
      </c>
      <c r="AT406" s="739">
        <v>5.9729328393749999</v>
      </c>
      <c r="AU406" s="739">
        <v>7.6755447777187502</v>
      </c>
      <c r="AV406" s="739">
        <v>9.4589076499734368</v>
      </c>
      <c r="AW406" s="739">
        <v>11.313295942488047</v>
      </c>
      <c r="AX406" s="739">
        <v>13.234333174119623</v>
      </c>
      <c r="AY406" s="739">
        <v>15.220049928353831</v>
      </c>
      <c r="AZ406" s="739">
        <v>17.269559967759225</v>
      </c>
      <c r="BA406" s="739">
        <v>19.382464485491653</v>
      </c>
      <c r="BB406" s="739">
        <v>21.558584018471244</v>
      </c>
      <c r="BC406" s="739">
        <v>23.79783780831206</v>
      </c>
      <c r="BD406" s="739">
        <v>36.390652013740429</v>
      </c>
      <c r="BE406" s="739">
        <v>44.332418406183194</v>
      </c>
      <c r="BF406" s="739">
        <v>50.268713282782436</v>
      </c>
      <c r="BG406" s="739">
        <v>55.3900459772521</v>
      </c>
      <c r="BH406" s="739">
        <v>60.232145689763442</v>
      </c>
      <c r="BI406" s="739">
        <v>65.036090560393546</v>
      </c>
      <c r="BJ406" s="739">
        <v>69.9103657521771</v>
      </c>
      <c r="BK406" s="739">
        <v>74.903789588479697</v>
      </c>
      <c r="BL406" s="739">
        <v>80.038330314815866</v>
      </c>
      <c r="BM406" s="739">
        <v>85.323873641667134</v>
      </c>
      <c r="BN406" s="739">
        <v>90.764868138750188</v>
      </c>
      <c r="BO406" s="739">
        <v>96.363315662437572</v>
      </c>
      <c r="BP406" s="739">
        <v>102.08261704809689</v>
      </c>
      <c r="BQ406" s="739">
        <v>107.90630267164359</v>
      </c>
      <c r="BR406" s="739">
        <v>113.8269612022396</v>
      </c>
      <c r="BS406" s="739">
        <v>119.84125754100782</v>
      </c>
      <c r="BT406" s="739">
        <v>125.94769089345351</v>
      </c>
      <c r="BU406" s="739">
        <v>132.14558590205405</v>
      </c>
      <c r="BV406" s="739">
        <v>138.43463865592432</v>
      </c>
      <c r="BW406" s="739">
        <v>144.81471239516594</v>
      </c>
      <c r="BX406" s="739">
        <v>151.28574557782466</v>
      </c>
      <c r="BY406" s="739">
        <v>157.84771051002105</v>
      </c>
      <c r="BZ406" s="739">
        <v>164.50059472950943</v>
      </c>
      <c r="CA406" s="739">
        <v>171.24439262827923</v>
      </c>
      <c r="CB406" s="739">
        <v>178.02910168272564</v>
      </c>
      <c r="CC406" s="739">
        <v>184.83222075722651</v>
      </c>
      <c r="CD406" s="739">
        <v>191.6436243407519</v>
      </c>
      <c r="CE406" s="739">
        <v>198.45875595333831</v>
      </c>
      <c r="CF406" s="739">
        <v>205.27556517900223</v>
      </c>
      <c r="CG406" s="739">
        <v>212.09312933055097</v>
      </c>
      <c r="CH406" s="739">
        <v>218.9110331987479</v>
      </c>
      <c r="CI406" s="739">
        <v>225.72908993943651</v>
      </c>
      <c r="CJ406" s="739">
        <v>232.54721547274636</v>
      </c>
      <c r="CK406" s="739">
        <v>239.36537196273582</v>
      </c>
      <c r="CL406" s="739">
        <v>246.18354238323107</v>
      </c>
      <c r="CM406" s="739">
        <v>253.00171907245394</v>
      </c>
      <c r="CN406" s="739">
        <v>259.8198985826042</v>
      </c>
      <c r="CO406" s="739">
        <v>266.63807936217182</v>
      </c>
      <c r="CP406" s="739">
        <v>273.45626071297727</v>
      </c>
      <c r="CQ406" s="739">
        <v>280.27444232083974</v>
      </c>
      <c r="CR406" s="739">
        <v>287.09262404437783</v>
      </c>
      <c r="CS406" s="739">
        <v>293.91080581996994</v>
      </c>
      <c r="CT406" s="739">
        <v>300.72898761898642</v>
      </c>
      <c r="CU406" s="739">
        <v>307.54716942854384</v>
      </c>
      <c r="CV406" s="739">
        <v>314.36535124284467</v>
      </c>
      <c r="CW406" s="739">
        <v>321.18353305928008</v>
      </c>
      <c r="CX406" s="739">
        <v>328.00171487667598</v>
      </c>
      <c r="CY406" s="739">
        <v>334.81989669450411</v>
      </c>
      <c r="CZ406" s="126"/>
      <c r="DA406" s="11">
        <v>0</v>
      </c>
      <c r="DB406" s="11">
        <v>1.7300849999999999</v>
      </c>
      <c r="DC406" s="11">
        <v>23.79783780831206</v>
      </c>
      <c r="DD406" s="11">
        <v>96.363315662437572</v>
      </c>
      <c r="DE406" s="11">
        <v>171.24439262827923</v>
      </c>
      <c r="DF406" s="11">
        <v>253.00171907245394</v>
      </c>
      <c r="DG406" s="11">
        <v>334.81989669450411</v>
      </c>
    </row>
    <row r="407" spans="2:111">
      <c r="B407" s="126"/>
      <c r="C407" s="698"/>
      <c r="D407" s="740" t="s">
        <v>848</v>
      </c>
      <c r="E407" s="126"/>
      <c r="F407" s="609"/>
      <c r="G407" s="609" t="s">
        <v>736</v>
      </c>
      <c r="H407" s="609"/>
      <c r="I407" s="609"/>
      <c r="J407" s="609"/>
      <c r="K407" s="609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756"/>
      <c r="AJ407" s="756"/>
      <c r="AK407" s="756"/>
      <c r="AL407" s="756"/>
      <c r="AM407" s="756"/>
      <c r="AN407" s="756"/>
      <c r="AO407" s="756"/>
      <c r="AP407" s="739">
        <v>0.56279999999999997</v>
      </c>
      <c r="AQ407" s="739">
        <v>1.7300849999999999</v>
      </c>
      <c r="AR407" s="739">
        <v>2.9228257499999999</v>
      </c>
      <c r="AS407" s="739">
        <v>4.3726840874999997</v>
      </c>
      <c r="AT407" s="739">
        <v>5.9729328393749999</v>
      </c>
      <c r="AU407" s="739">
        <v>7.6755447777187502</v>
      </c>
      <c r="AV407" s="739">
        <v>9.4589076499734368</v>
      </c>
      <c r="AW407" s="739">
        <v>11.313295942488047</v>
      </c>
      <c r="AX407" s="739">
        <v>13.234333174119623</v>
      </c>
      <c r="AY407" s="739">
        <v>15.220049928353831</v>
      </c>
      <c r="AZ407" s="739">
        <v>17.269559967759225</v>
      </c>
      <c r="BA407" s="739">
        <v>19.382464485491653</v>
      </c>
      <c r="BB407" s="739">
        <v>21.558584018471244</v>
      </c>
      <c r="BC407" s="739">
        <v>23.79783780831206</v>
      </c>
      <c r="BD407" s="739">
        <v>36.390652013740429</v>
      </c>
      <c r="BE407" s="739">
        <v>44.332418406183194</v>
      </c>
      <c r="BF407" s="739">
        <v>50.268713282782436</v>
      </c>
      <c r="BG407" s="739">
        <v>55.3900459772521</v>
      </c>
      <c r="BH407" s="739">
        <v>60.232145689763442</v>
      </c>
      <c r="BI407" s="739">
        <v>65.036090560393546</v>
      </c>
      <c r="BJ407" s="739">
        <v>69.9103657521771</v>
      </c>
      <c r="BK407" s="739">
        <v>74.903789588479697</v>
      </c>
      <c r="BL407" s="739">
        <v>80.038330314815866</v>
      </c>
      <c r="BM407" s="739">
        <v>85.323873641667134</v>
      </c>
      <c r="BN407" s="739">
        <v>90.764868138750188</v>
      </c>
      <c r="BO407" s="739">
        <v>96.363315662437572</v>
      </c>
      <c r="BP407" s="739">
        <v>102.08261704809689</v>
      </c>
      <c r="BQ407" s="739">
        <v>107.90630267164359</v>
      </c>
      <c r="BR407" s="739">
        <v>113.8269612022396</v>
      </c>
      <c r="BS407" s="739">
        <v>119.84125754100782</v>
      </c>
      <c r="BT407" s="739">
        <v>125.94769089345351</v>
      </c>
      <c r="BU407" s="739">
        <v>132.14558590205405</v>
      </c>
      <c r="BV407" s="739">
        <v>138.43463865592432</v>
      </c>
      <c r="BW407" s="739">
        <v>144.81471239516594</v>
      </c>
      <c r="BX407" s="739">
        <v>151.28574557782466</v>
      </c>
      <c r="BY407" s="739">
        <v>157.84771051002105</v>
      </c>
      <c r="BZ407" s="739">
        <v>164.50059472950943</v>
      </c>
      <c r="CA407" s="739">
        <v>171.24439262827923</v>
      </c>
      <c r="CB407" s="739">
        <v>178.02910168272564</v>
      </c>
      <c r="CC407" s="739">
        <v>184.83222075722651</v>
      </c>
      <c r="CD407" s="739">
        <v>191.6436243407519</v>
      </c>
      <c r="CE407" s="739">
        <v>198.45875595333831</v>
      </c>
      <c r="CF407" s="739">
        <v>205.27556517900223</v>
      </c>
      <c r="CG407" s="739">
        <v>212.09312933055097</v>
      </c>
      <c r="CH407" s="739">
        <v>218.9110331987479</v>
      </c>
      <c r="CI407" s="739">
        <v>225.72908993943651</v>
      </c>
      <c r="CJ407" s="739">
        <v>232.54721547274636</v>
      </c>
      <c r="CK407" s="739">
        <v>239.36537196273582</v>
      </c>
      <c r="CL407" s="739">
        <v>246.18354238323107</v>
      </c>
      <c r="CM407" s="739">
        <v>253.00171907245394</v>
      </c>
      <c r="CN407" s="739">
        <v>259.8198985826042</v>
      </c>
      <c r="CO407" s="739">
        <v>266.63807936217182</v>
      </c>
      <c r="CP407" s="739">
        <v>273.45626071297727</v>
      </c>
      <c r="CQ407" s="739">
        <v>280.27444232083974</v>
      </c>
      <c r="CR407" s="739">
        <v>287.09262404437783</v>
      </c>
      <c r="CS407" s="739">
        <v>293.91080581996994</v>
      </c>
      <c r="CT407" s="739">
        <v>300.72898761898642</v>
      </c>
      <c r="CU407" s="739">
        <v>307.54716942854384</v>
      </c>
      <c r="CV407" s="739">
        <v>314.36535124284467</v>
      </c>
      <c r="CW407" s="739">
        <v>321.18353305928008</v>
      </c>
      <c r="CX407" s="739">
        <v>328.00171487667598</v>
      </c>
      <c r="CY407" s="739">
        <v>334.81989669450411</v>
      </c>
      <c r="CZ407" s="126"/>
      <c r="DA407" s="11">
        <v>0</v>
      </c>
      <c r="DB407" s="11">
        <v>1.7300849999999999</v>
      </c>
      <c r="DC407" s="11">
        <v>23.79783780831206</v>
      </c>
      <c r="DD407" s="11">
        <v>96.363315662437572</v>
      </c>
      <c r="DE407" s="11">
        <v>171.24439262827923</v>
      </c>
      <c r="DF407" s="11">
        <v>253.00171907245394</v>
      </c>
      <c r="DG407" s="11">
        <v>334.81989669450411</v>
      </c>
    </row>
    <row r="408" spans="2:111">
      <c r="B408" s="126"/>
      <c r="C408" s="698"/>
      <c r="D408" s="740" t="s">
        <v>849</v>
      </c>
      <c r="E408" s="126"/>
      <c r="F408" s="609"/>
      <c r="G408" s="609" t="s">
        <v>736</v>
      </c>
      <c r="H408" s="609"/>
      <c r="I408" s="609"/>
      <c r="J408" s="609"/>
      <c r="K408" s="609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756"/>
      <c r="AJ408" s="756"/>
      <c r="AK408" s="756"/>
      <c r="AL408" s="756"/>
      <c r="AM408" s="756"/>
      <c r="AN408" s="756"/>
      <c r="AO408" s="756"/>
      <c r="AP408" s="739">
        <v>0</v>
      </c>
      <c r="AQ408" s="739">
        <v>0</v>
      </c>
      <c r="AR408" s="739">
        <v>0</v>
      </c>
      <c r="AS408" s="739">
        <v>0</v>
      </c>
      <c r="AT408" s="739">
        <v>0</v>
      </c>
      <c r="AU408" s="739">
        <v>0</v>
      </c>
      <c r="AV408" s="739">
        <v>0</v>
      </c>
      <c r="AW408" s="739">
        <v>0</v>
      </c>
      <c r="AX408" s="739">
        <v>0</v>
      </c>
      <c r="AY408" s="739">
        <v>0</v>
      </c>
      <c r="AZ408" s="739">
        <v>0</v>
      </c>
      <c r="BA408" s="739">
        <v>0</v>
      </c>
      <c r="BB408" s="739">
        <v>0</v>
      </c>
      <c r="BC408" s="739">
        <v>0</v>
      </c>
      <c r="BD408" s="739">
        <v>0</v>
      </c>
      <c r="BE408" s="739">
        <v>0</v>
      </c>
      <c r="BF408" s="739">
        <v>0</v>
      </c>
      <c r="BG408" s="739">
        <v>0</v>
      </c>
      <c r="BH408" s="739">
        <v>0</v>
      </c>
      <c r="BI408" s="739">
        <v>0</v>
      </c>
      <c r="BJ408" s="739">
        <v>0</v>
      </c>
      <c r="BK408" s="739">
        <v>0</v>
      </c>
      <c r="BL408" s="739">
        <v>0</v>
      </c>
      <c r="BM408" s="739">
        <v>0</v>
      </c>
      <c r="BN408" s="739">
        <v>0</v>
      </c>
      <c r="BO408" s="739">
        <v>0</v>
      </c>
      <c r="BP408" s="739">
        <v>0</v>
      </c>
      <c r="BQ408" s="739">
        <v>0</v>
      </c>
      <c r="BR408" s="739">
        <v>0</v>
      </c>
      <c r="BS408" s="739">
        <v>0</v>
      </c>
      <c r="BT408" s="739">
        <v>0</v>
      </c>
      <c r="BU408" s="739">
        <v>0</v>
      </c>
      <c r="BV408" s="739">
        <v>0</v>
      </c>
      <c r="BW408" s="739">
        <v>0</v>
      </c>
      <c r="BX408" s="739">
        <v>0</v>
      </c>
      <c r="BY408" s="739">
        <v>0</v>
      </c>
      <c r="BZ408" s="739">
        <v>0</v>
      </c>
      <c r="CA408" s="739">
        <v>0</v>
      </c>
      <c r="CB408" s="739">
        <v>0</v>
      </c>
      <c r="CC408" s="739">
        <v>0</v>
      </c>
      <c r="CD408" s="739">
        <v>0</v>
      </c>
      <c r="CE408" s="739">
        <v>0</v>
      </c>
      <c r="CF408" s="739">
        <v>0</v>
      </c>
      <c r="CG408" s="739">
        <v>0</v>
      </c>
      <c r="CH408" s="739">
        <v>0</v>
      </c>
      <c r="CI408" s="739">
        <v>0</v>
      </c>
      <c r="CJ408" s="739">
        <v>0</v>
      </c>
      <c r="CK408" s="739">
        <v>0</v>
      </c>
      <c r="CL408" s="739">
        <v>0</v>
      </c>
      <c r="CM408" s="739">
        <v>0</v>
      </c>
      <c r="CN408" s="739">
        <v>0</v>
      </c>
      <c r="CO408" s="739">
        <v>0</v>
      </c>
      <c r="CP408" s="739">
        <v>0</v>
      </c>
      <c r="CQ408" s="739">
        <v>0</v>
      </c>
      <c r="CR408" s="739">
        <v>0</v>
      </c>
      <c r="CS408" s="739">
        <v>0</v>
      </c>
      <c r="CT408" s="739">
        <v>0</v>
      </c>
      <c r="CU408" s="739">
        <v>0</v>
      </c>
      <c r="CV408" s="739">
        <v>0</v>
      </c>
      <c r="CW408" s="739">
        <v>0</v>
      </c>
      <c r="CX408" s="739">
        <v>0</v>
      </c>
      <c r="CY408" s="739">
        <v>0</v>
      </c>
      <c r="CZ408" s="126"/>
      <c r="DA408" s="11">
        <v>0</v>
      </c>
      <c r="DB408" s="11">
        <v>0</v>
      </c>
      <c r="DC408" s="11">
        <v>0</v>
      </c>
      <c r="DD408" s="11">
        <v>0</v>
      </c>
      <c r="DE408" s="11">
        <v>0</v>
      </c>
      <c r="DF408" s="11">
        <v>0</v>
      </c>
      <c r="DG408" s="11">
        <v>0</v>
      </c>
    </row>
    <row r="409" spans="2:111">
      <c r="B409" s="126"/>
      <c r="C409" s="698"/>
      <c r="D409" s="12" t="s">
        <v>203</v>
      </c>
      <c r="E409" s="126"/>
      <c r="F409" s="609"/>
      <c r="G409" s="609" t="s">
        <v>736</v>
      </c>
      <c r="H409" s="609"/>
      <c r="I409" s="609"/>
      <c r="J409" s="609"/>
      <c r="K409" s="609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756"/>
      <c r="AJ409" s="756"/>
      <c r="AK409" s="756"/>
      <c r="AL409" s="756"/>
      <c r="AM409" s="756"/>
      <c r="AN409" s="756"/>
      <c r="AO409" s="756"/>
      <c r="AP409" s="739">
        <v>0</v>
      </c>
      <c r="AQ409" s="739">
        <v>0.25325999999999999</v>
      </c>
      <c r="AR409" s="739">
        <v>0.77853824999999999</v>
      </c>
      <c r="AS409" s="739">
        <v>1.3152715875000001</v>
      </c>
      <c r="AT409" s="739">
        <v>1.9677078393749998</v>
      </c>
      <c r="AU409" s="739">
        <v>2.68781977771875</v>
      </c>
      <c r="AV409" s="739">
        <v>3.4539951499734376</v>
      </c>
      <c r="AW409" s="739">
        <v>4.2565084424880464</v>
      </c>
      <c r="AX409" s="739">
        <v>5.0909831741196214</v>
      </c>
      <c r="AY409" s="739">
        <v>5.9554499283538309</v>
      </c>
      <c r="AZ409" s="739">
        <v>6.849022467759224</v>
      </c>
      <c r="BA409" s="739">
        <v>7.7713019854916512</v>
      </c>
      <c r="BB409" s="739">
        <v>8.7221090184712438</v>
      </c>
      <c r="BC409" s="739">
        <v>9.7013628083120604</v>
      </c>
      <c r="BD409" s="739">
        <v>10.709027013740428</v>
      </c>
      <c r="BE409" s="739">
        <v>16.375793406183192</v>
      </c>
      <c r="BF409" s="739">
        <v>19.94958828278244</v>
      </c>
      <c r="BG409" s="739">
        <v>22.620920977252098</v>
      </c>
      <c r="BH409" s="739">
        <v>24.925520689763445</v>
      </c>
      <c r="BI409" s="739">
        <v>27.10446556039355</v>
      </c>
      <c r="BJ409" s="739">
        <v>29.266240752177097</v>
      </c>
      <c r="BK409" s="739">
        <v>31.459664588479697</v>
      </c>
      <c r="BL409" s="739">
        <v>33.706705314815864</v>
      </c>
      <c r="BM409" s="739">
        <v>36.017248641667138</v>
      </c>
      <c r="BN409" s="739">
        <v>38.395743138750213</v>
      </c>
      <c r="BO409" s="739">
        <v>40.844190662437583</v>
      </c>
      <c r="BP409" s="739">
        <v>43.363492048096909</v>
      </c>
      <c r="BQ409" s="739">
        <v>45.937177671643603</v>
      </c>
      <c r="BR409" s="739">
        <v>48.557836202239613</v>
      </c>
      <c r="BS409" s="739">
        <v>51.222132541007824</v>
      </c>
      <c r="BT409" s="739">
        <v>53.928565893453523</v>
      </c>
      <c r="BU409" s="739">
        <v>56.676460902054082</v>
      </c>
      <c r="BV409" s="739">
        <v>59.465513655924326</v>
      </c>
      <c r="BW409" s="739">
        <v>62.295587395165946</v>
      </c>
      <c r="BX409" s="739">
        <v>65.166620577824673</v>
      </c>
      <c r="BY409" s="739">
        <v>68.078585510021099</v>
      </c>
      <c r="BZ409" s="739">
        <v>71.031469729509467</v>
      </c>
      <c r="CA409" s="739">
        <v>74.025267628279252</v>
      </c>
      <c r="CB409" s="739">
        <v>77.059976682725662</v>
      </c>
      <c r="CC409" s="739">
        <v>80.113095757226546</v>
      </c>
      <c r="CD409" s="739">
        <v>83.174499340751936</v>
      </c>
      <c r="CE409" s="739">
        <v>86.239630953338363</v>
      </c>
      <c r="CF409" s="739">
        <v>89.306440179002237</v>
      </c>
      <c r="CG409" s="739">
        <v>92.374004330551003</v>
      </c>
      <c r="CH409" s="739">
        <v>95.441908198747939</v>
      </c>
      <c r="CI409" s="739">
        <v>98.509964939436557</v>
      </c>
      <c r="CJ409" s="739">
        <v>101.57809047274642</v>
      </c>
      <c r="CK409" s="739">
        <v>104.64624696273586</v>
      </c>
      <c r="CL409" s="739">
        <v>107.71441738323112</v>
      </c>
      <c r="CM409" s="739">
        <v>110.78259407245399</v>
      </c>
      <c r="CN409" s="739">
        <v>113.85077358260428</v>
      </c>
      <c r="CO409" s="739">
        <v>116.91895436217189</v>
      </c>
      <c r="CP409" s="739">
        <v>119.98713571297732</v>
      </c>
      <c r="CQ409" s="739">
        <v>123.05531732083978</v>
      </c>
      <c r="CR409" s="739">
        <v>126.12349904437788</v>
      </c>
      <c r="CS409" s="739">
        <v>129.19168081997003</v>
      </c>
      <c r="CT409" s="739">
        <v>132.25986261898649</v>
      </c>
      <c r="CU409" s="739">
        <v>135.3280444285439</v>
      </c>
      <c r="CV409" s="739">
        <v>138.39622624284473</v>
      </c>
      <c r="CW409" s="739">
        <v>141.46440805928012</v>
      </c>
      <c r="CX409" s="739">
        <v>144.53258987667604</v>
      </c>
      <c r="CY409" s="739">
        <v>147.6007716945042</v>
      </c>
      <c r="CZ409" s="126"/>
      <c r="DA409" s="11">
        <v>0</v>
      </c>
      <c r="DB409" s="11">
        <v>0.25325999999999999</v>
      </c>
      <c r="DC409" s="11">
        <v>9.7013628083120604</v>
      </c>
      <c r="DD409" s="11">
        <v>40.844190662437583</v>
      </c>
      <c r="DE409" s="11">
        <v>74.025267628279252</v>
      </c>
      <c r="DF409" s="11">
        <v>110.78259407245399</v>
      </c>
      <c r="DG409" s="11">
        <v>1568.7092637637766</v>
      </c>
    </row>
    <row r="410" spans="2:111">
      <c r="B410" s="126"/>
      <c r="C410" s="698"/>
      <c r="D410" s="12" t="s">
        <v>215</v>
      </c>
      <c r="E410" s="126"/>
      <c r="F410" s="609"/>
      <c r="G410" s="609" t="s">
        <v>736</v>
      </c>
      <c r="H410" s="609"/>
      <c r="I410" s="609"/>
      <c r="J410" s="609"/>
      <c r="K410" s="609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702"/>
      <c r="AJ410" s="702"/>
      <c r="AK410" s="702"/>
      <c r="AL410" s="702"/>
      <c r="AM410" s="702"/>
      <c r="AN410" s="702"/>
      <c r="AO410" s="702"/>
      <c r="AP410" s="702">
        <v>9.6332600000000011E-3</v>
      </c>
      <c r="AQ410" s="702">
        <v>4.1094733475951321E-2</v>
      </c>
      <c r="AR410" s="702">
        <v>9.1470618931295281E-2</v>
      </c>
      <c r="AS410" s="702">
        <v>0.15001380086904686</v>
      </c>
      <c r="AT410" s="702">
        <v>0.20688364770835649</v>
      </c>
      <c r="AU410" s="702">
        <v>0.26364254124515724</v>
      </c>
      <c r="AV410" s="702">
        <v>0.31748472825898005</v>
      </c>
      <c r="AW410" s="702">
        <v>0.36912145488912051</v>
      </c>
      <c r="AX410" s="702">
        <v>0.42246172679366673</v>
      </c>
      <c r="AY410" s="702">
        <v>0.4808676010927681</v>
      </c>
      <c r="AZ410" s="702">
        <v>0.54528986906938526</v>
      </c>
      <c r="BA410" s="702">
        <v>0.61682059740081363</v>
      </c>
      <c r="BB410" s="702">
        <v>0.69630529436145294</v>
      </c>
      <c r="BC410" s="702">
        <v>0.78272068720339449</v>
      </c>
      <c r="BD410" s="702">
        <v>1.0405576616443897</v>
      </c>
      <c r="BE410" s="702">
        <v>1.5129152999821411</v>
      </c>
      <c r="BF410" s="702">
        <v>1.9552638455625218</v>
      </c>
      <c r="BG410" s="702">
        <v>2.2438791915238276</v>
      </c>
      <c r="BH410" s="702">
        <v>2.4727604922042747</v>
      </c>
      <c r="BI410" s="702">
        <v>2.6782683445032682</v>
      </c>
      <c r="BJ410" s="702">
        <v>2.8807422434728807</v>
      </c>
      <c r="BK410" s="702">
        <v>3.066742456231784</v>
      </c>
      <c r="BL410" s="702">
        <v>3.2635505718610549</v>
      </c>
      <c r="BM410" s="702">
        <v>3.4949950376567185</v>
      </c>
      <c r="BN410" s="702">
        <v>3.7381405861119004</v>
      </c>
      <c r="BO410" s="702">
        <v>3.9837853932687812</v>
      </c>
      <c r="BP410" s="702">
        <v>4.2288639650101594</v>
      </c>
      <c r="BQ410" s="702">
        <v>4.4681620141869489</v>
      </c>
      <c r="BR410" s="702">
        <v>4.7113880409532261</v>
      </c>
      <c r="BS410" s="702">
        <v>4.9574183053152563</v>
      </c>
      <c r="BT410" s="702">
        <v>5.2063162739085191</v>
      </c>
      <c r="BU410" s="702">
        <v>5.458951301809404</v>
      </c>
      <c r="BV410" s="702">
        <v>5.7433595875257382</v>
      </c>
      <c r="BW410" s="702">
        <v>6.0624377762404178</v>
      </c>
      <c r="BX410" s="702">
        <v>6.3775922926036586</v>
      </c>
      <c r="BY410" s="702">
        <v>6.6943134766728125</v>
      </c>
      <c r="BZ410" s="702">
        <v>7.0146091019317591</v>
      </c>
      <c r="CA410" s="702">
        <v>7.3397557522670054</v>
      </c>
      <c r="CB410" s="702">
        <v>7.7062601305832743</v>
      </c>
      <c r="CC410" s="702">
        <v>8.0961025781251781</v>
      </c>
      <c r="CD410" s="702">
        <v>8.4510506914647419</v>
      </c>
      <c r="CE410" s="702">
        <v>8.8038730948980017</v>
      </c>
      <c r="CF410" s="702">
        <v>9.1567086950058201</v>
      </c>
      <c r="CG410" s="702">
        <v>9.511205379270125</v>
      </c>
      <c r="CH410" s="702">
        <v>9.8674146137383136</v>
      </c>
      <c r="CI410" s="702">
        <v>10.198311948638649</v>
      </c>
      <c r="CJ410" s="702">
        <v>10.497750290483545</v>
      </c>
      <c r="CK410" s="702">
        <v>10.799458437291168</v>
      </c>
      <c r="CL410" s="702">
        <v>11.102389827482517</v>
      </c>
      <c r="CM410" s="702">
        <v>11.406385808981209</v>
      </c>
      <c r="CN410" s="702">
        <v>11.711389801721383</v>
      </c>
      <c r="CO410" s="702">
        <v>12.017415672988033</v>
      </c>
      <c r="CP410" s="702">
        <v>12.324476109593501</v>
      </c>
      <c r="CQ410" s="702">
        <v>12.632014188321673</v>
      </c>
      <c r="CR410" s="702">
        <v>12.939367826232839</v>
      </c>
      <c r="CS410" s="702">
        <v>13.246596499413675</v>
      </c>
      <c r="CT410" s="702">
        <v>13.553730947906132</v>
      </c>
      <c r="CU410" s="702">
        <v>13.860796109967357</v>
      </c>
      <c r="CV410" s="702">
        <v>14.167814536665682</v>
      </c>
      <c r="CW410" s="702">
        <v>14.474808644071739</v>
      </c>
      <c r="CX410" s="702">
        <v>14.781800635475088</v>
      </c>
      <c r="CY410" s="702">
        <v>15.088800505143123</v>
      </c>
      <c r="CZ410" s="126"/>
      <c r="DA410" s="12">
        <v>0</v>
      </c>
      <c r="DB410" s="12">
        <v>5.0727993475951319E-2</v>
      </c>
      <c r="DC410" s="12">
        <v>4.9430825678234385</v>
      </c>
      <c r="DD410" s="12">
        <v>32.331601124023543</v>
      </c>
      <c r="DE410" s="12">
        <v>68.263167888424903</v>
      </c>
      <c r="DF410" s="12">
        <v>115.59691149596254</v>
      </c>
      <c r="DG410" s="12">
        <v>160.79901147750024</v>
      </c>
    </row>
    <row r="411" spans="2:111">
      <c r="B411" s="126"/>
      <c r="C411" s="698"/>
      <c r="D411" s="12" t="s">
        <v>99</v>
      </c>
      <c r="E411" s="126"/>
      <c r="F411" s="609"/>
      <c r="G411" s="609" t="s">
        <v>736</v>
      </c>
      <c r="H411" s="609"/>
      <c r="I411" s="609"/>
      <c r="J411" s="609"/>
      <c r="K411" s="609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702"/>
      <c r="AJ411" s="702"/>
      <c r="AK411" s="702"/>
      <c r="AL411" s="702"/>
      <c r="AM411" s="702"/>
      <c r="AN411" s="702"/>
      <c r="AO411" s="702"/>
      <c r="AP411" s="702">
        <v>-2.5794999999999998E-3</v>
      </c>
      <c r="AQ411" s="702">
        <v>-5.2545281250000004E-3</v>
      </c>
      <c r="AR411" s="702">
        <v>-1.0662920468750002E-2</v>
      </c>
      <c r="AS411" s="702">
        <v>-1.67188767109375E-2</v>
      </c>
      <c r="AT411" s="702">
        <v>-2.3708705457421875E-2</v>
      </c>
      <c r="AU411" s="702">
        <v>-3.1277761205839846E-2</v>
      </c>
      <c r="AV411" s="702">
        <v>-3.9266453480127937E-2</v>
      </c>
      <c r="AW411" s="702">
        <v>-4.7602966566057565E-2</v>
      </c>
      <c r="AX411" s="702">
        <v>-5.6254983392225906E-2</v>
      </c>
      <c r="AY411" s="702">
        <v>-6.5207961276501664E-2</v>
      </c>
      <c r="AZ411" s="702">
        <v>-7.4455356011925752E-2</v>
      </c>
      <c r="BA411" s="702">
        <v>-8.3994222705366592E-2</v>
      </c>
      <c r="BB411" s="702">
        <v>-9.382323615491496E-2</v>
      </c>
      <c r="BC411" s="702">
        <v>-0.10394180001971175</v>
      </c>
      <c r="BD411" s="702">
        <v>-0.13793195584220361</v>
      </c>
      <c r="BE411" s="702">
        <v>-0.18499036971232499</v>
      </c>
      <c r="BF411" s="702">
        <v>-0.21679426012054626</v>
      </c>
      <c r="BG411" s="702">
        <v>-0.24213465663757916</v>
      </c>
      <c r="BH411" s="702">
        <v>-0.26496752257024397</v>
      </c>
      <c r="BI411" s="702">
        <v>-0.28707304140660977</v>
      </c>
      <c r="BJ411" s="702">
        <v>-0.3092522957163078</v>
      </c>
      <c r="BK411" s="702">
        <v>-0.3318657726556718</v>
      </c>
      <c r="BL411" s="702">
        <v>-0.35507569144505235</v>
      </c>
      <c r="BM411" s="702">
        <v>-0.37895505073360686</v>
      </c>
      <c r="BN411" s="702">
        <v>-0.40353669991345636</v>
      </c>
      <c r="BO411" s="702">
        <v>-0.42883542121105528</v>
      </c>
      <c r="BP411" s="702">
        <v>-0.45477192912830816</v>
      </c>
      <c r="BQ411" s="702">
        <v>-0.48122460769107195</v>
      </c>
      <c r="BR411" s="702">
        <v>-0.50813872971098228</v>
      </c>
      <c r="BS411" s="702">
        <v>-0.53548966795327535</v>
      </c>
      <c r="BT411" s="702">
        <v>-0.56326634016230726</v>
      </c>
      <c r="BU411" s="702">
        <v>-0.59146375932303819</v>
      </c>
      <c r="BV411" s="702">
        <v>-0.62007968127870039</v>
      </c>
      <c r="BW411" s="702">
        <v>-0.64911309615874846</v>
      </c>
      <c r="BX411" s="702">
        <v>-0.67856354952143683</v>
      </c>
      <c r="BY411" s="702">
        <v>-0.70843083686797981</v>
      </c>
      <c r="BZ411" s="702">
        <v>-0.73871486617392401</v>
      </c>
      <c r="CA411" s="702">
        <v>-0.7694155960282657</v>
      </c>
      <c r="CB411" s="702">
        <v>-0.8004184244627196</v>
      </c>
      <c r="CC411" s="702">
        <v>-0.83155719725822363</v>
      </c>
      <c r="CD411" s="702">
        <v>-0.8627571450162006</v>
      </c>
      <c r="CE411" s="702">
        <v>-0.89398462150729008</v>
      </c>
      <c r="CF411" s="702">
        <v>-0.92522448592828044</v>
      </c>
      <c r="CG411" s="702">
        <v>-0.95646992491772609</v>
      </c>
      <c r="CH411" s="702">
        <v>-0.9877178724629766</v>
      </c>
      <c r="CI411" s="702">
        <v>-1.0189669488583393</v>
      </c>
      <c r="CJ411" s="702">
        <v>-1.0502165332362525</v>
      </c>
      <c r="CK411" s="702">
        <v>-1.0814663462063134</v>
      </c>
      <c r="CL411" s="702">
        <v>-1.1127162620428408</v>
      </c>
      <c r="CM411" s="702">
        <v>-1.1439662241692783</v>
      </c>
      <c r="CN411" s="702">
        <v>-1.1752162071261749</v>
      </c>
      <c r="CO411" s="702">
        <v>-1.2064661994567785</v>
      </c>
      <c r="CP411" s="702">
        <v>-1.2377161960055501</v>
      </c>
      <c r="CQ411" s="702">
        <v>-1.2689661944524973</v>
      </c>
      <c r="CR411" s="702">
        <v>-1.3002161937536239</v>
      </c>
      <c r="CS411" s="702">
        <v>-1.3314661934391301</v>
      </c>
      <c r="CT411" s="702">
        <v>-1.3627161932976082</v>
      </c>
      <c r="CU411" s="702">
        <v>-1.3939661932339236</v>
      </c>
      <c r="CV411" s="702">
        <v>-1.4252161932052652</v>
      </c>
      <c r="CW411" s="702">
        <v>-1.4564661931923693</v>
      </c>
      <c r="CX411" s="702">
        <v>-1.4877161931865661</v>
      </c>
      <c r="CY411" s="702">
        <v>-1.5189661931839542</v>
      </c>
      <c r="CZ411" s="126"/>
      <c r="DA411" s="12">
        <v>0</v>
      </c>
      <c r="DB411" s="12">
        <v>-7.8340281249999998E-3</v>
      </c>
      <c r="DC411" s="12">
        <v>-0.64691524344978135</v>
      </c>
      <c r="DD411" s="12">
        <v>-3.5414127379646585</v>
      </c>
      <c r="DE411" s="12">
        <v>-7.2986726599980383</v>
      </c>
      <c r="DF411" s="12">
        <v>-11.665461986066441</v>
      </c>
      <c r="DG411" s="12">
        <v>-16.165094343533443</v>
      </c>
    </row>
    <row r="412" spans="2:111">
      <c r="B412" s="126"/>
      <c r="C412" s="698" t="s">
        <v>217</v>
      </c>
      <c r="D412" s="698"/>
      <c r="E412" s="698"/>
      <c r="F412" s="703"/>
      <c r="G412" s="609" t="s">
        <v>736</v>
      </c>
      <c r="H412" s="609"/>
      <c r="I412" s="609"/>
      <c r="J412" s="609"/>
      <c r="K412" s="609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708"/>
      <c r="AJ412" s="708"/>
      <c r="AK412" s="708"/>
      <c r="AL412" s="708"/>
      <c r="AM412" s="708"/>
      <c r="AN412" s="708"/>
      <c r="AO412" s="708"/>
      <c r="AP412" s="708">
        <v>7.0537600000000009E-3</v>
      </c>
      <c r="AQ412" s="708">
        <v>3.5840205350951324E-2</v>
      </c>
      <c r="AR412" s="708">
        <v>8.0807698462545277E-2</v>
      </c>
      <c r="AS412" s="708">
        <v>0.13329492415810937</v>
      </c>
      <c r="AT412" s="708">
        <v>0.18317494225093461</v>
      </c>
      <c r="AU412" s="708">
        <v>0.23236478003931738</v>
      </c>
      <c r="AV412" s="708">
        <v>0.27821827477885214</v>
      </c>
      <c r="AW412" s="708">
        <v>0.32151848832306296</v>
      </c>
      <c r="AX412" s="708">
        <v>0.36620674340144083</v>
      </c>
      <c r="AY412" s="708">
        <v>0.41565963981626641</v>
      </c>
      <c r="AZ412" s="708">
        <v>0.47083451305745949</v>
      </c>
      <c r="BA412" s="708">
        <v>0.53282637469544702</v>
      </c>
      <c r="BB412" s="708">
        <v>0.602482058206538</v>
      </c>
      <c r="BC412" s="708">
        <v>0.67877888718368273</v>
      </c>
      <c r="BD412" s="708">
        <v>0.90262570580218604</v>
      </c>
      <c r="BE412" s="708">
        <v>1.3279249302698162</v>
      </c>
      <c r="BF412" s="708">
        <v>1.7384695854419756</v>
      </c>
      <c r="BG412" s="708">
        <v>2.0017445348862486</v>
      </c>
      <c r="BH412" s="708">
        <v>2.2077929696340308</v>
      </c>
      <c r="BI412" s="708">
        <v>2.3911953030966586</v>
      </c>
      <c r="BJ412" s="708">
        <v>2.5714899477565729</v>
      </c>
      <c r="BK412" s="708">
        <v>2.734876683576112</v>
      </c>
      <c r="BL412" s="708">
        <v>2.9084748804160023</v>
      </c>
      <c r="BM412" s="708">
        <v>3.1160399869231115</v>
      </c>
      <c r="BN412" s="708">
        <v>3.3346038861984439</v>
      </c>
      <c r="BO412" s="708">
        <v>3.554949972057726</v>
      </c>
      <c r="BP412" s="708">
        <v>3.7740920358818513</v>
      </c>
      <c r="BQ412" s="708">
        <v>3.9869374064958771</v>
      </c>
      <c r="BR412" s="708">
        <v>4.203249311242244</v>
      </c>
      <c r="BS412" s="708">
        <v>4.4219286373619813</v>
      </c>
      <c r="BT412" s="708">
        <v>4.6430499337462123</v>
      </c>
      <c r="BU412" s="708">
        <v>4.8674875424863657</v>
      </c>
      <c r="BV412" s="708">
        <v>5.1232799062470376</v>
      </c>
      <c r="BW412" s="708">
        <v>5.4133246800816694</v>
      </c>
      <c r="BX412" s="708">
        <v>5.6990287430822217</v>
      </c>
      <c r="BY412" s="708">
        <v>5.9858826398048324</v>
      </c>
      <c r="BZ412" s="708">
        <v>6.2758942357578356</v>
      </c>
      <c r="CA412" s="708">
        <v>6.57034015623874</v>
      </c>
      <c r="CB412" s="708">
        <v>6.9058417061205546</v>
      </c>
      <c r="CC412" s="708">
        <v>7.264545380866954</v>
      </c>
      <c r="CD412" s="708">
        <v>7.5882935464485417</v>
      </c>
      <c r="CE412" s="708">
        <v>7.909888473390712</v>
      </c>
      <c r="CF412" s="708">
        <v>8.2314842090775393</v>
      </c>
      <c r="CG412" s="708">
        <v>8.5547354543523983</v>
      </c>
      <c r="CH412" s="708">
        <v>8.8796967412753371</v>
      </c>
      <c r="CI412" s="708">
        <v>9.1793449997803087</v>
      </c>
      <c r="CJ412" s="708">
        <v>9.4475337572472924</v>
      </c>
      <c r="CK412" s="708">
        <v>9.7179920910848541</v>
      </c>
      <c r="CL412" s="708">
        <v>9.9896735654396753</v>
      </c>
      <c r="CM412" s="708">
        <v>10.262419584811932</v>
      </c>
      <c r="CN412" s="708">
        <v>10.536173594595208</v>
      </c>
      <c r="CO412" s="708">
        <v>10.810949473531254</v>
      </c>
      <c r="CP412" s="708">
        <v>11.086759913587951</v>
      </c>
      <c r="CQ412" s="708">
        <v>11.363047993869175</v>
      </c>
      <c r="CR412" s="708">
        <v>11.639151632479216</v>
      </c>
      <c r="CS412" s="708">
        <v>11.915130305974545</v>
      </c>
      <c r="CT412" s="708">
        <v>12.191014754608524</v>
      </c>
      <c r="CU412" s="708">
        <v>12.466829916733433</v>
      </c>
      <c r="CV412" s="708">
        <v>12.742598343460417</v>
      </c>
      <c r="CW412" s="708">
        <v>13.01834245087937</v>
      </c>
      <c r="CX412" s="708">
        <v>13.294084442288522</v>
      </c>
      <c r="CY412" s="708">
        <v>13.569834311959168</v>
      </c>
      <c r="CZ412" s="126"/>
      <c r="DA412" s="14">
        <v>0</v>
      </c>
      <c r="DB412" s="14">
        <v>4.2893965350951323E-2</v>
      </c>
      <c r="DC412" s="14">
        <v>4.2961673243736564</v>
      </c>
      <c r="DD412" s="14">
        <v>28.790188386058887</v>
      </c>
      <c r="DE412" s="14">
        <v>60.96449522842687</v>
      </c>
      <c r="DF412" s="14">
        <v>103.9314495098961</v>
      </c>
      <c r="DG412" s="14">
        <v>144.63391713396678</v>
      </c>
    </row>
    <row r="413" spans="2:111">
      <c r="B413" s="126"/>
      <c r="C413" s="698"/>
      <c r="D413" s="14" t="s">
        <v>218</v>
      </c>
      <c r="E413" s="698"/>
      <c r="F413" s="703"/>
      <c r="G413" s="609" t="s">
        <v>736</v>
      </c>
      <c r="H413" s="609"/>
      <c r="I413" s="609"/>
      <c r="J413" s="609"/>
      <c r="K413" s="609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708"/>
      <c r="AJ413" s="708"/>
      <c r="AK413" s="708"/>
      <c r="AL413" s="708"/>
      <c r="AM413" s="708"/>
      <c r="AN413" s="708"/>
      <c r="AO413" s="708"/>
      <c r="AP413" s="708">
        <v>-2.5794999999999998E-3</v>
      </c>
      <c r="AQ413" s="708">
        <v>-5.2545281250000004E-3</v>
      </c>
      <c r="AR413" s="708">
        <v>-1.0662920468750002E-2</v>
      </c>
      <c r="AS413" s="708">
        <v>-1.67188767109375E-2</v>
      </c>
      <c r="AT413" s="708">
        <v>-2.3708705457421875E-2</v>
      </c>
      <c r="AU413" s="708">
        <v>-3.1277761205839846E-2</v>
      </c>
      <c r="AV413" s="708">
        <v>-3.9266453480127937E-2</v>
      </c>
      <c r="AW413" s="708">
        <v>-4.7602966566057565E-2</v>
      </c>
      <c r="AX413" s="708">
        <v>-5.6254983392225906E-2</v>
      </c>
      <c r="AY413" s="708">
        <v>-6.5207961276501664E-2</v>
      </c>
      <c r="AZ413" s="708">
        <v>-7.4455356011925752E-2</v>
      </c>
      <c r="BA413" s="708">
        <v>-8.3994222705366592E-2</v>
      </c>
      <c r="BB413" s="708">
        <v>-9.382323615491496E-2</v>
      </c>
      <c r="BC413" s="708">
        <v>-0.10394180001971175</v>
      </c>
      <c r="BD413" s="708">
        <v>-0.13793195584220361</v>
      </c>
      <c r="BE413" s="708">
        <v>-0.18499036971232499</v>
      </c>
      <c r="BF413" s="708">
        <v>-0.21679426012054626</v>
      </c>
      <c r="BG413" s="708">
        <v>-0.24213465663757916</v>
      </c>
      <c r="BH413" s="708">
        <v>-0.26496752257024397</v>
      </c>
      <c r="BI413" s="708">
        <v>-0.28707304140660977</v>
      </c>
      <c r="BJ413" s="708">
        <v>-0.3092522957163078</v>
      </c>
      <c r="BK413" s="708">
        <v>-0.3318657726556718</v>
      </c>
      <c r="BL413" s="708">
        <v>-0.35507569144505235</v>
      </c>
      <c r="BM413" s="708">
        <v>-0.37895505073360686</v>
      </c>
      <c r="BN413" s="708">
        <v>-0.40353669991345636</v>
      </c>
      <c r="BO413" s="708">
        <v>-0.42883542121105528</v>
      </c>
      <c r="BP413" s="708">
        <v>-0.45477192912830816</v>
      </c>
      <c r="BQ413" s="708">
        <v>-0.48122460769107195</v>
      </c>
      <c r="BR413" s="708">
        <v>-0.50813872971098228</v>
      </c>
      <c r="BS413" s="708">
        <v>-0.53548966795327535</v>
      </c>
      <c r="BT413" s="708">
        <v>-0.56326634016230726</v>
      </c>
      <c r="BU413" s="708">
        <v>-0.59146375932303819</v>
      </c>
      <c r="BV413" s="708">
        <v>-0.62007968127870039</v>
      </c>
      <c r="BW413" s="708">
        <v>-0.64911309615874846</v>
      </c>
      <c r="BX413" s="708">
        <v>-0.67856354952143683</v>
      </c>
      <c r="BY413" s="708">
        <v>-0.70843083686797981</v>
      </c>
      <c r="BZ413" s="708">
        <v>-0.73871486617392401</v>
      </c>
      <c r="CA413" s="708">
        <v>-0.7694155960282657</v>
      </c>
      <c r="CB413" s="708">
        <v>-0.8004184244627196</v>
      </c>
      <c r="CC413" s="708">
        <v>-0.83155719725822363</v>
      </c>
      <c r="CD413" s="708">
        <v>-0.8627571450162006</v>
      </c>
      <c r="CE413" s="708">
        <v>-0.89398462150729008</v>
      </c>
      <c r="CF413" s="708">
        <v>-0.92522448592828044</v>
      </c>
      <c r="CG413" s="708">
        <v>-0.95646992491772609</v>
      </c>
      <c r="CH413" s="708">
        <v>-0.9877178724629766</v>
      </c>
      <c r="CI413" s="708">
        <v>-1.0189669488583393</v>
      </c>
      <c r="CJ413" s="708">
        <v>-1.0502165332362525</v>
      </c>
      <c r="CK413" s="708">
        <v>-1.0814663462063134</v>
      </c>
      <c r="CL413" s="708">
        <v>-1.1127162620428408</v>
      </c>
      <c r="CM413" s="708">
        <v>-1.1439662241692783</v>
      </c>
      <c r="CN413" s="708">
        <v>-1.1752162071261749</v>
      </c>
      <c r="CO413" s="708">
        <v>-1.2064661994567785</v>
      </c>
      <c r="CP413" s="708">
        <v>-1.2377161960055501</v>
      </c>
      <c r="CQ413" s="708">
        <v>-1.2689661944524973</v>
      </c>
      <c r="CR413" s="708">
        <v>-1.3002161937536239</v>
      </c>
      <c r="CS413" s="708">
        <v>-1.3314661934391301</v>
      </c>
      <c r="CT413" s="708">
        <v>-1.3627161932976082</v>
      </c>
      <c r="CU413" s="708">
        <v>-1.3939661932339236</v>
      </c>
      <c r="CV413" s="708">
        <v>-1.4252161932052652</v>
      </c>
      <c r="CW413" s="708">
        <v>-1.4564661931923693</v>
      </c>
      <c r="CX413" s="708">
        <v>-1.4877161931865661</v>
      </c>
      <c r="CY413" s="708">
        <v>-1.5189661931839542</v>
      </c>
      <c r="CZ413" s="126"/>
      <c r="DA413" s="14">
        <v>0</v>
      </c>
      <c r="DB413" s="14">
        <v>-7.8340281249999998E-3</v>
      </c>
      <c r="DC413" s="14">
        <v>-0.64691524344978135</v>
      </c>
      <c r="DD413" s="14">
        <v>-3.5414127379646585</v>
      </c>
      <c r="DE413" s="14">
        <v>-7.2986726599980383</v>
      </c>
      <c r="DF413" s="14">
        <v>-11.665461986066441</v>
      </c>
      <c r="DG413" s="14">
        <v>-16.165094343533443</v>
      </c>
    </row>
    <row r="414" spans="2:111">
      <c r="B414" s="126"/>
      <c r="C414" s="126"/>
      <c r="D414" s="126" t="s">
        <v>737</v>
      </c>
      <c r="E414" s="126"/>
      <c r="F414" s="609"/>
      <c r="G414" s="609" t="s">
        <v>736</v>
      </c>
      <c r="H414" s="609"/>
      <c r="I414" s="609"/>
      <c r="J414" s="609"/>
      <c r="K414" s="609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710"/>
      <c r="AJ414" s="710"/>
      <c r="AK414" s="710"/>
      <c r="AL414" s="710"/>
      <c r="AM414" s="710"/>
      <c r="AN414" s="710"/>
      <c r="AO414" s="710"/>
      <c r="AP414" s="710">
        <v>0</v>
      </c>
      <c r="AQ414" s="710">
        <v>0</v>
      </c>
      <c r="AR414" s="710">
        <v>0</v>
      </c>
      <c r="AS414" s="710">
        <v>0</v>
      </c>
      <c r="AT414" s="710">
        <v>0</v>
      </c>
      <c r="AU414" s="710">
        <v>0</v>
      </c>
      <c r="AV414" s="710">
        <v>0</v>
      </c>
      <c r="AW414" s="710">
        <v>0</v>
      </c>
      <c r="AX414" s="710">
        <v>0</v>
      </c>
      <c r="AY414" s="710">
        <v>0</v>
      </c>
      <c r="AZ414" s="710">
        <v>0</v>
      </c>
      <c r="BA414" s="710">
        <v>0</v>
      </c>
      <c r="BB414" s="710">
        <v>0</v>
      </c>
      <c r="BC414" s="710">
        <v>0</v>
      </c>
      <c r="BD414" s="710">
        <v>0</v>
      </c>
      <c r="BE414" s="710">
        <v>0</v>
      </c>
      <c r="BF414" s="710">
        <v>0</v>
      </c>
      <c r="BG414" s="710">
        <v>0</v>
      </c>
      <c r="BH414" s="710">
        <v>0</v>
      </c>
      <c r="BI414" s="710">
        <v>0</v>
      </c>
      <c r="BJ414" s="710">
        <v>0</v>
      </c>
      <c r="BK414" s="710">
        <v>0</v>
      </c>
      <c r="BL414" s="710">
        <v>0</v>
      </c>
      <c r="BM414" s="710">
        <v>0</v>
      </c>
      <c r="BN414" s="710">
        <v>0</v>
      </c>
      <c r="BO414" s="710">
        <v>0</v>
      </c>
      <c r="BP414" s="710">
        <v>0</v>
      </c>
      <c r="BQ414" s="710">
        <v>0</v>
      </c>
      <c r="BR414" s="710">
        <v>0</v>
      </c>
      <c r="BS414" s="710">
        <v>0</v>
      </c>
      <c r="BT414" s="710">
        <v>0</v>
      </c>
      <c r="BU414" s="710">
        <v>0</v>
      </c>
      <c r="BV414" s="710">
        <v>0</v>
      </c>
      <c r="BW414" s="710">
        <v>0</v>
      </c>
      <c r="BX414" s="710">
        <v>0</v>
      </c>
      <c r="BY414" s="710">
        <v>0</v>
      </c>
      <c r="BZ414" s="710">
        <v>0</v>
      </c>
      <c r="CA414" s="710">
        <v>0</v>
      </c>
      <c r="CB414" s="710">
        <v>0</v>
      </c>
      <c r="CC414" s="710">
        <v>0</v>
      </c>
      <c r="CD414" s="710">
        <v>0</v>
      </c>
      <c r="CE414" s="710">
        <v>0</v>
      </c>
      <c r="CF414" s="710">
        <v>0</v>
      </c>
      <c r="CG414" s="710">
        <v>0</v>
      </c>
      <c r="CH414" s="710">
        <v>0</v>
      </c>
      <c r="CI414" s="710">
        <v>0</v>
      </c>
      <c r="CJ414" s="710">
        <v>0</v>
      </c>
      <c r="CK414" s="710">
        <v>0</v>
      </c>
      <c r="CL414" s="710">
        <v>0</v>
      </c>
      <c r="CM414" s="710">
        <v>0</v>
      </c>
      <c r="CN414" s="710">
        <v>0</v>
      </c>
      <c r="CO414" s="710">
        <v>0</v>
      </c>
      <c r="CP414" s="710">
        <v>0</v>
      </c>
      <c r="CQ414" s="710">
        <v>0</v>
      </c>
      <c r="CR414" s="710">
        <v>0</v>
      </c>
      <c r="CS414" s="710">
        <v>0</v>
      </c>
      <c r="CT414" s="710">
        <v>0</v>
      </c>
      <c r="CU414" s="710">
        <v>0</v>
      </c>
      <c r="CV414" s="710">
        <v>0</v>
      </c>
      <c r="CW414" s="710">
        <v>0</v>
      </c>
      <c r="CX414" s="710">
        <v>0</v>
      </c>
      <c r="CY414" s="710">
        <v>0</v>
      </c>
      <c r="CZ414" s="126"/>
      <c r="DA414" s="12">
        <v>0</v>
      </c>
      <c r="DB414" s="12">
        <v>0</v>
      </c>
      <c r="DC414" s="12">
        <v>0</v>
      </c>
      <c r="DD414" s="12">
        <v>0</v>
      </c>
      <c r="DE414" s="12">
        <v>0</v>
      </c>
      <c r="DF414" s="12">
        <v>0</v>
      </c>
      <c r="DG414" s="12">
        <v>0</v>
      </c>
    </row>
    <row r="415" spans="2:111">
      <c r="B415" s="126"/>
      <c r="C415" s="126"/>
      <c r="D415" s="126" t="s">
        <v>798</v>
      </c>
      <c r="E415" s="126"/>
      <c r="F415" s="609"/>
      <c r="G415" s="609" t="s">
        <v>736</v>
      </c>
      <c r="H415" s="609"/>
      <c r="I415" s="609"/>
      <c r="J415" s="609"/>
      <c r="K415" s="609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710"/>
      <c r="AJ415" s="710"/>
      <c r="AK415" s="710"/>
      <c r="AL415" s="710"/>
      <c r="AM415" s="710"/>
      <c r="AN415" s="710"/>
      <c r="AO415" s="710"/>
      <c r="AP415" s="710">
        <v>-2.5794999999999998E-3</v>
      </c>
      <c r="AQ415" s="710">
        <v>-5.2545281250000004E-3</v>
      </c>
      <c r="AR415" s="710">
        <v>-1.0662920468750002E-2</v>
      </c>
      <c r="AS415" s="710">
        <v>-1.67188767109375E-2</v>
      </c>
      <c r="AT415" s="710">
        <v>-2.3708705457421875E-2</v>
      </c>
      <c r="AU415" s="710">
        <v>-3.1277761205839846E-2</v>
      </c>
      <c r="AV415" s="710">
        <v>-3.9266453480127937E-2</v>
      </c>
      <c r="AW415" s="710">
        <v>-4.7602966566057565E-2</v>
      </c>
      <c r="AX415" s="710">
        <v>-5.6254983392225906E-2</v>
      </c>
      <c r="AY415" s="710">
        <v>-6.5207961276501664E-2</v>
      </c>
      <c r="AZ415" s="710">
        <v>-7.4455356011925752E-2</v>
      </c>
      <c r="BA415" s="710">
        <v>-8.3994222705366592E-2</v>
      </c>
      <c r="BB415" s="710">
        <v>-9.382323615491496E-2</v>
      </c>
      <c r="BC415" s="710">
        <v>-0.10394180001971175</v>
      </c>
      <c r="BD415" s="710">
        <v>-0.13793195584220361</v>
      </c>
      <c r="BE415" s="710">
        <v>-0.18499036971232499</v>
      </c>
      <c r="BF415" s="710">
        <v>-0.21679426012054626</v>
      </c>
      <c r="BG415" s="710">
        <v>-0.24213465663757916</v>
      </c>
      <c r="BH415" s="710">
        <v>-0.26496752257024397</v>
      </c>
      <c r="BI415" s="710">
        <v>-0.28707304140660977</v>
      </c>
      <c r="BJ415" s="710">
        <v>-0.3092522957163078</v>
      </c>
      <c r="BK415" s="710">
        <v>-0.3318657726556718</v>
      </c>
      <c r="BL415" s="710">
        <v>-0.35507569144505235</v>
      </c>
      <c r="BM415" s="710">
        <v>-0.37895505073360686</v>
      </c>
      <c r="BN415" s="710">
        <v>-0.40353669991345636</v>
      </c>
      <c r="BO415" s="710">
        <v>-0.42883542121105528</v>
      </c>
      <c r="BP415" s="710">
        <v>-0.45477192912830816</v>
      </c>
      <c r="BQ415" s="710">
        <v>-0.48122460769107195</v>
      </c>
      <c r="BR415" s="710">
        <v>-0.50813872971098228</v>
      </c>
      <c r="BS415" s="710">
        <v>-0.53548966795327535</v>
      </c>
      <c r="BT415" s="710">
        <v>-0.56326634016230726</v>
      </c>
      <c r="BU415" s="710">
        <v>-0.59146375932303819</v>
      </c>
      <c r="BV415" s="710">
        <v>-0.62007968127870039</v>
      </c>
      <c r="BW415" s="710">
        <v>-0.64911309615874846</v>
      </c>
      <c r="BX415" s="710">
        <v>-0.67856354952143683</v>
      </c>
      <c r="BY415" s="710">
        <v>-0.70843083686797981</v>
      </c>
      <c r="BZ415" s="710">
        <v>-0.73871486617392401</v>
      </c>
      <c r="CA415" s="710">
        <v>-0.7694155960282657</v>
      </c>
      <c r="CB415" s="710">
        <v>-0.8004184244627196</v>
      </c>
      <c r="CC415" s="710">
        <v>-0.83155719725822363</v>
      </c>
      <c r="CD415" s="710">
        <v>-0.8627571450162006</v>
      </c>
      <c r="CE415" s="710">
        <v>-0.89398462150729008</v>
      </c>
      <c r="CF415" s="710">
        <v>-0.92522448592828044</v>
      </c>
      <c r="CG415" s="710">
        <v>-0.95646992491772609</v>
      </c>
      <c r="CH415" s="710">
        <v>-0.9877178724629766</v>
      </c>
      <c r="CI415" s="710">
        <v>-1.0189669488583393</v>
      </c>
      <c r="CJ415" s="710">
        <v>-1.0502165332362525</v>
      </c>
      <c r="CK415" s="710">
        <v>-1.0814663462063134</v>
      </c>
      <c r="CL415" s="710">
        <v>-1.1127162620428408</v>
      </c>
      <c r="CM415" s="710">
        <v>-1.1439662241692783</v>
      </c>
      <c r="CN415" s="710">
        <v>-1.1752162071261749</v>
      </c>
      <c r="CO415" s="710">
        <v>-1.2064661994567785</v>
      </c>
      <c r="CP415" s="710">
        <v>-1.2377161960055501</v>
      </c>
      <c r="CQ415" s="710">
        <v>-1.2689661944524973</v>
      </c>
      <c r="CR415" s="710">
        <v>-1.3002161937536239</v>
      </c>
      <c r="CS415" s="710">
        <v>-1.3314661934391301</v>
      </c>
      <c r="CT415" s="710">
        <v>-1.3627161932976082</v>
      </c>
      <c r="CU415" s="710">
        <v>-1.3939661932339236</v>
      </c>
      <c r="CV415" s="710">
        <v>-1.4252161932052652</v>
      </c>
      <c r="CW415" s="710">
        <v>-1.4564661931923693</v>
      </c>
      <c r="CX415" s="710">
        <v>-1.4877161931865661</v>
      </c>
      <c r="CY415" s="710">
        <v>-1.5189661931839542</v>
      </c>
      <c r="CZ415" s="126"/>
      <c r="DA415" s="12">
        <v>0</v>
      </c>
      <c r="DB415" s="12">
        <v>-7.8340281249999998E-3</v>
      </c>
      <c r="DC415" s="12">
        <v>-0.64691524344978135</v>
      </c>
      <c r="DD415" s="12">
        <v>-3.5414127379646585</v>
      </c>
      <c r="DE415" s="12">
        <v>-7.2986726599980383</v>
      </c>
      <c r="DF415" s="12">
        <v>-11.665461986066441</v>
      </c>
      <c r="DG415" s="12">
        <v>-16.165094343533443</v>
      </c>
    </row>
    <row r="416" spans="2:111">
      <c r="B416" s="126"/>
      <c r="C416" s="698"/>
      <c r="D416" s="698" t="s">
        <v>830</v>
      </c>
      <c r="E416" s="698"/>
      <c r="F416" s="703"/>
      <c r="G416" s="609" t="s">
        <v>736</v>
      </c>
      <c r="H416" s="609"/>
      <c r="I416" s="609"/>
      <c r="J416" s="609"/>
      <c r="K416" s="609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696"/>
      <c r="AJ416" s="696"/>
      <c r="AK416" s="696"/>
      <c r="AL416" s="696"/>
      <c r="AM416" s="696"/>
      <c r="AN416" s="696"/>
      <c r="AO416" s="696"/>
      <c r="AP416" s="696">
        <v>9.6332600000000011E-3</v>
      </c>
      <c r="AQ416" s="696">
        <v>4.1094733475951321E-2</v>
      </c>
      <c r="AR416" s="696">
        <v>9.1470618931295281E-2</v>
      </c>
      <c r="AS416" s="696">
        <v>0.15001380086904686</v>
      </c>
      <c r="AT416" s="696">
        <v>0.20688364770835649</v>
      </c>
      <c r="AU416" s="696">
        <v>0.26364254124515724</v>
      </c>
      <c r="AV416" s="696">
        <v>0.31748472825898005</v>
      </c>
      <c r="AW416" s="696">
        <v>0.36912145488912051</v>
      </c>
      <c r="AX416" s="696">
        <v>0.42246172679366673</v>
      </c>
      <c r="AY416" s="696">
        <v>0.4808676010927681</v>
      </c>
      <c r="AZ416" s="696">
        <v>0.54528986906938526</v>
      </c>
      <c r="BA416" s="696">
        <v>0.61682059740081363</v>
      </c>
      <c r="BB416" s="696">
        <v>0.69630529436145294</v>
      </c>
      <c r="BC416" s="696">
        <v>0.78272068720339449</v>
      </c>
      <c r="BD416" s="696">
        <v>1.0405576616443897</v>
      </c>
      <c r="BE416" s="696">
        <v>1.5129152999821411</v>
      </c>
      <c r="BF416" s="696">
        <v>1.9552638455625218</v>
      </c>
      <c r="BG416" s="696">
        <v>2.2438791915238276</v>
      </c>
      <c r="BH416" s="696">
        <v>2.4727604922042747</v>
      </c>
      <c r="BI416" s="696">
        <v>2.6782683445032682</v>
      </c>
      <c r="BJ416" s="696">
        <v>2.8807422434728807</v>
      </c>
      <c r="BK416" s="696">
        <v>3.066742456231784</v>
      </c>
      <c r="BL416" s="696">
        <v>3.2635505718610549</v>
      </c>
      <c r="BM416" s="696">
        <v>3.4949950376567185</v>
      </c>
      <c r="BN416" s="696">
        <v>3.7381405861119004</v>
      </c>
      <c r="BO416" s="696">
        <v>3.9837853932687812</v>
      </c>
      <c r="BP416" s="696">
        <v>4.2288639650101594</v>
      </c>
      <c r="BQ416" s="696">
        <v>4.4681620141869489</v>
      </c>
      <c r="BR416" s="696">
        <v>4.7113880409532261</v>
      </c>
      <c r="BS416" s="696">
        <v>4.9574183053152563</v>
      </c>
      <c r="BT416" s="696">
        <v>5.2063162739085191</v>
      </c>
      <c r="BU416" s="696">
        <v>5.458951301809404</v>
      </c>
      <c r="BV416" s="696">
        <v>5.7433595875257382</v>
      </c>
      <c r="BW416" s="696">
        <v>6.0624377762404178</v>
      </c>
      <c r="BX416" s="696">
        <v>6.3775922926036586</v>
      </c>
      <c r="BY416" s="696">
        <v>6.6943134766728125</v>
      </c>
      <c r="BZ416" s="696">
        <v>7.0146091019317591</v>
      </c>
      <c r="CA416" s="696">
        <v>7.3397557522670054</v>
      </c>
      <c r="CB416" s="696">
        <v>7.7062601305832743</v>
      </c>
      <c r="CC416" s="696">
        <v>8.0961025781251781</v>
      </c>
      <c r="CD416" s="696">
        <v>8.4510506914647419</v>
      </c>
      <c r="CE416" s="696">
        <v>8.8038730948980017</v>
      </c>
      <c r="CF416" s="696">
        <v>9.1567086950058201</v>
      </c>
      <c r="CG416" s="696">
        <v>9.511205379270125</v>
      </c>
      <c r="CH416" s="696">
        <v>9.8674146137383136</v>
      </c>
      <c r="CI416" s="696">
        <v>10.198311948638649</v>
      </c>
      <c r="CJ416" s="696">
        <v>10.497750290483545</v>
      </c>
      <c r="CK416" s="696">
        <v>10.799458437291168</v>
      </c>
      <c r="CL416" s="696">
        <v>11.102389827482517</v>
      </c>
      <c r="CM416" s="696">
        <v>11.406385808981209</v>
      </c>
      <c r="CN416" s="696">
        <v>11.711389801721383</v>
      </c>
      <c r="CO416" s="696">
        <v>12.017415672988033</v>
      </c>
      <c r="CP416" s="696">
        <v>12.324476109593501</v>
      </c>
      <c r="CQ416" s="696">
        <v>12.632014188321673</v>
      </c>
      <c r="CR416" s="696">
        <v>12.939367826232839</v>
      </c>
      <c r="CS416" s="696">
        <v>13.246596499413675</v>
      </c>
      <c r="CT416" s="696">
        <v>13.553730947906132</v>
      </c>
      <c r="CU416" s="696">
        <v>13.860796109967357</v>
      </c>
      <c r="CV416" s="696">
        <v>14.167814536665682</v>
      </c>
      <c r="CW416" s="696">
        <v>14.474808644071739</v>
      </c>
      <c r="CX416" s="696">
        <v>14.781800635475088</v>
      </c>
      <c r="CY416" s="696">
        <v>15.088800505143123</v>
      </c>
      <c r="CZ416" s="126"/>
      <c r="DA416" s="14">
        <v>0</v>
      </c>
      <c r="DB416" s="14">
        <v>5.0727993475951319E-2</v>
      </c>
      <c r="DC416" s="14">
        <v>4.9430825678234385</v>
      </c>
      <c r="DD416" s="14">
        <v>32.331601124023543</v>
      </c>
      <c r="DE416" s="14">
        <v>68.263167888424903</v>
      </c>
      <c r="DF416" s="14">
        <v>115.59691149596254</v>
      </c>
      <c r="DG416" s="14">
        <v>160.79901147750024</v>
      </c>
    </row>
    <row r="417" spans="2:111">
      <c r="B417" s="126"/>
      <c r="C417" s="698"/>
      <c r="D417" s="126" t="s">
        <v>540</v>
      </c>
      <c r="E417" s="698"/>
      <c r="F417" s="703"/>
      <c r="G417" s="609" t="s">
        <v>736</v>
      </c>
      <c r="H417" s="609"/>
      <c r="I417" s="609"/>
      <c r="J417" s="609"/>
      <c r="K417" s="609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696"/>
      <c r="AJ417" s="696"/>
      <c r="AK417" s="696"/>
      <c r="AL417" s="696"/>
      <c r="AM417" s="696"/>
      <c r="AN417" s="696"/>
      <c r="AO417" s="696"/>
      <c r="AP417" s="696"/>
      <c r="AQ417" s="696"/>
      <c r="AR417" s="696"/>
      <c r="AS417" s="696"/>
      <c r="AT417" s="696"/>
      <c r="AU417" s="696"/>
      <c r="AV417" s="696"/>
      <c r="AW417" s="696"/>
      <c r="AX417" s="696"/>
      <c r="AY417" s="696"/>
      <c r="AZ417" s="696"/>
      <c r="BA417" s="696"/>
      <c r="BB417" s="696"/>
      <c r="BC417" s="696"/>
      <c r="BD417" s="696"/>
      <c r="BE417" s="696"/>
      <c r="BF417" s="696"/>
      <c r="BG417" s="696"/>
      <c r="BH417" s="696"/>
      <c r="BI417" s="696"/>
      <c r="BJ417" s="696"/>
      <c r="BK417" s="696"/>
      <c r="BL417" s="696"/>
      <c r="BM417" s="696"/>
      <c r="BN417" s="696"/>
      <c r="BO417" s="696"/>
      <c r="BP417" s="696"/>
      <c r="BQ417" s="696"/>
      <c r="BR417" s="696"/>
      <c r="BS417" s="696"/>
      <c r="BT417" s="696"/>
      <c r="BU417" s="696"/>
      <c r="BV417" s="696"/>
      <c r="BW417" s="696"/>
      <c r="BX417" s="696"/>
      <c r="BY417" s="696"/>
      <c r="BZ417" s="696"/>
      <c r="CA417" s="696"/>
      <c r="CB417" s="696"/>
      <c r="CC417" s="696"/>
      <c r="CD417" s="696"/>
      <c r="CE417" s="696"/>
      <c r="CF417" s="696"/>
      <c r="CG417" s="696"/>
      <c r="CH417" s="696"/>
      <c r="CI417" s="696"/>
      <c r="CJ417" s="696"/>
      <c r="CK417" s="696"/>
      <c r="CL417" s="696"/>
      <c r="CM417" s="696"/>
      <c r="CN417" s="696"/>
      <c r="CO417" s="696"/>
      <c r="CP417" s="696"/>
      <c r="CQ417" s="696"/>
      <c r="CR417" s="696"/>
      <c r="CS417" s="696"/>
      <c r="CT417" s="696"/>
      <c r="CU417" s="696"/>
      <c r="CV417" s="696"/>
      <c r="CW417" s="696"/>
      <c r="CX417" s="696"/>
      <c r="CY417" s="696"/>
      <c r="CZ417" s="126"/>
      <c r="DA417" s="12">
        <v>0</v>
      </c>
      <c r="DB417" s="12">
        <v>0</v>
      </c>
      <c r="DC417" s="12">
        <v>0</v>
      </c>
      <c r="DD417" s="12">
        <v>0</v>
      </c>
      <c r="DE417" s="12">
        <v>0</v>
      </c>
      <c r="DF417" s="12">
        <v>0</v>
      </c>
      <c r="DG417" s="12">
        <v>0</v>
      </c>
    </row>
    <row r="418" spans="2:111">
      <c r="B418" s="126"/>
      <c r="C418" s="698"/>
      <c r="D418" s="126" t="s">
        <v>799</v>
      </c>
      <c r="E418" s="698"/>
      <c r="F418" s="703"/>
      <c r="G418" s="609" t="s">
        <v>736</v>
      </c>
      <c r="H418" s="609"/>
      <c r="I418" s="609"/>
      <c r="J418" s="609"/>
      <c r="K418" s="609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696"/>
      <c r="AJ418" s="696"/>
      <c r="AK418" s="696"/>
      <c r="AL418" s="696"/>
      <c r="AM418" s="696"/>
      <c r="AN418" s="696"/>
      <c r="AO418" s="696"/>
      <c r="AP418" s="696"/>
      <c r="AQ418" s="696"/>
      <c r="AR418" s="696"/>
      <c r="AS418" s="696"/>
      <c r="AT418" s="696"/>
      <c r="AU418" s="696"/>
      <c r="AV418" s="696"/>
      <c r="AW418" s="696"/>
      <c r="AX418" s="696"/>
      <c r="AY418" s="696"/>
      <c r="AZ418" s="696"/>
      <c r="BA418" s="696"/>
      <c r="BB418" s="696"/>
      <c r="BC418" s="696"/>
      <c r="BD418" s="696"/>
      <c r="BE418" s="696"/>
      <c r="BF418" s="696"/>
      <c r="BG418" s="696"/>
      <c r="BH418" s="696"/>
      <c r="BI418" s="696"/>
      <c r="BJ418" s="696"/>
      <c r="BK418" s="696"/>
      <c r="BL418" s="696"/>
      <c r="BM418" s="696"/>
      <c r="BN418" s="696"/>
      <c r="BO418" s="696"/>
      <c r="BP418" s="696"/>
      <c r="BQ418" s="696"/>
      <c r="BR418" s="696"/>
      <c r="BS418" s="696"/>
      <c r="BT418" s="696"/>
      <c r="BU418" s="696"/>
      <c r="BV418" s="696"/>
      <c r="BW418" s="696"/>
      <c r="BX418" s="696"/>
      <c r="BY418" s="696"/>
      <c r="BZ418" s="696"/>
      <c r="CA418" s="696"/>
      <c r="CB418" s="696"/>
      <c r="CC418" s="696"/>
      <c r="CD418" s="696"/>
      <c r="CE418" s="696"/>
      <c r="CF418" s="696"/>
      <c r="CG418" s="696"/>
      <c r="CH418" s="696"/>
      <c r="CI418" s="696"/>
      <c r="CJ418" s="696"/>
      <c r="CK418" s="696"/>
      <c r="CL418" s="696"/>
      <c r="CM418" s="696"/>
      <c r="CN418" s="696"/>
      <c r="CO418" s="696"/>
      <c r="CP418" s="696"/>
      <c r="CQ418" s="696"/>
      <c r="CR418" s="696"/>
      <c r="CS418" s="696"/>
      <c r="CT418" s="696"/>
      <c r="CU418" s="696"/>
      <c r="CV418" s="696"/>
      <c r="CW418" s="696"/>
      <c r="CX418" s="696"/>
      <c r="CY418" s="696"/>
      <c r="CZ418" s="126"/>
      <c r="DA418" s="12">
        <v>0</v>
      </c>
      <c r="DB418" s="12">
        <v>0</v>
      </c>
      <c r="DC418" s="12">
        <v>0</v>
      </c>
      <c r="DD418" s="12">
        <v>0</v>
      </c>
      <c r="DE418" s="12">
        <v>0</v>
      </c>
      <c r="DF418" s="12">
        <v>0</v>
      </c>
      <c r="DG418" s="12">
        <v>0</v>
      </c>
    </row>
    <row r="419" spans="2:111">
      <c r="B419" s="126"/>
      <c r="C419" s="126"/>
      <c r="D419" s="126" t="s">
        <v>800</v>
      </c>
      <c r="E419" s="126"/>
      <c r="F419" s="609"/>
      <c r="G419" s="609" t="s">
        <v>736</v>
      </c>
      <c r="H419" s="609"/>
      <c r="I419" s="609"/>
      <c r="J419" s="609"/>
      <c r="K419" s="609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710"/>
      <c r="AJ419" s="710"/>
      <c r="AK419" s="710"/>
      <c r="AL419" s="710"/>
      <c r="AM419" s="710"/>
      <c r="AN419" s="710"/>
      <c r="AO419" s="710"/>
      <c r="AP419" s="710"/>
      <c r="AQ419" s="710"/>
      <c r="AR419" s="710"/>
      <c r="AS419" s="710"/>
      <c r="AT419" s="710"/>
      <c r="AU419" s="710"/>
      <c r="AV419" s="710"/>
      <c r="AW419" s="710"/>
      <c r="AX419" s="710"/>
      <c r="AY419" s="710"/>
      <c r="AZ419" s="710"/>
      <c r="BA419" s="710"/>
      <c r="BB419" s="710"/>
      <c r="BC419" s="710"/>
      <c r="BD419" s="710"/>
      <c r="BE419" s="710"/>
      <c r="BF419" s="710"/>
      <c r="BG419" s="710"/>
      <c r="BH419" s="710"/>
      <c r="BI419" s="710"/>
      <c r="BJ419" s="710"/>
      <c r="BK419" s="710"/>
      <c r="BL419" s="710"/>
      <c r="BM419" s="710"/>
      <c r="BN419" s="710"/>
      <c r="BO419" s="710"/>
      <c r="BP419" s="710"/>
      <c r="BQ419" s="710"/>
      <c r="BR419" s="710"/>
      <c r="BS419" s="710"/>
      <c r="BT419" s="710"/>
      <c r="BU419" s="710"/>
      <c r="BV419" s="710"/>
      <c r="BW419" s="710"/>
      <c r="BX419" s="710"/>
      <c r="BY419" s="710"/>
      <c r="BZ419" s="710"/>
      <c r="CA419" s="710"/>
      <c r="CB419" s="710"/>
      <c r="CC419" s="710"/>
      <c r="CD419" s="710"/>
      <c r="CE419" s="710"/>
      <c r="CF419" s="710"/>
      <c r="CG419" s="710"/>
      <c r="CH419" s="710"/>
      <c r="CI419" s="710"/>
      <c r="CJ419" s="710"/>
      <c r="CK419" s="710"/>
      <c r="CL419" s="710"/>
      <c r="CM419" s="710"/>
      <c r="CN419" s="710"/>
      <c r="CO419" s="710"/>
      <c r="CP419" s="710"/>
      <c r="CQ419" s="710"/>
      <c r="CR419" s="710"/>
      <c r="CS419" s="710"/>
      <c r="CT419" s="710"/>
      <c r="CU419" s="710"/>
      <c r="CV419" s="710"/>
      <c r="CW419" s="710"/>
      <c r="CX419" s="710"/>
      <c r="CY419" s="710"/>
      <c r="CZ419" s="126"/>
      <c r="DA419" s="12">
        <v>0</v>
      </c>
      <c r="DB419" s="12">
        <v>0</v>
      </c>
      <c r="DC419" s="12">
        <v>0</v>
      </c>
      <c r="DD419" s="12">
        <v>0</v>
      </c>
      <c r="DE419" s="12">
        <v>0</v>
      </c>
      <c r="DF419" s="12">
        <v>0</v>
      </c>
      <c r="DG419" s="12">
        <v>0</v>
      </c>
    </row>
    <row r="420" spans="2:111">
      <c r="B420" s="126"/>
      <c r="C420" s="126"/>
      <c r="D420" s="126" t="s">
        <v>223</v>
      </c>
      <c r="E420" s="126"/>
      <c r="F420" s="609"/>
      <c r="G420" s="609" t="s">
        <v>736</v>
      </c>
      <c r="H420" s="609"/>
      <c r="I420" s="609"/>
      <c r="J420" s="609"/>
      <c r="K420" s="609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710"/>
      <c r="AJ420" s="710"/>
      <c r="AK420" s="710"/>
      <c r="AL420" s="710"/>
      <c r="AM420" s="710"/>
      <c r="AN420" s="710"/>
      <c r="AO420" s="710"/>
      <c r="AP420" s="710">
        <v>5.6280000000000002E-3</v>
      </c>
      <c r="AQ420" s="710">
        <v>1.4768249999999997E-2</v>
      </c>
      <c r="AR420" s="710">
        <v>2.1442875E-2</v>
      </c>
      <c r="AS420" s="710">
        <v>3.0574125000000001E-2</v>
      </c>
      <c r="AT420" s="710">
        <v>4.0052249999999998E-2</v>
      </c>
      <c r="AU420" s="710">
        <v>4.9877250000000005E-2</v>
      </c>
      <c r="AV420" s="710">
        <v>6.0049125000000002E-2</v>
      </c>
      <c r="AW420" s="710">
        <v>7.0567875000000002E-2</v>
      </c>
      <c r="AX420" s="710">
        <v>8.143350000000002E-2</v>
      </c>
      <c r="AY420" s="710">
        <v>9.264600000000002E-2</v>
      </c>
      <c r="AZ420" s="710">
        <v>0.10420537500000003</v>
      </c>
      <c r="BA420" s="710">
        <v>0.11611162500000002</v>
      </c>
      <c r="BB420" s="710">
        <v>0.12836475000000003</v>
      </c>
      <c r="BC420" s="710">
        <v>0.14096475</v>
      </c>
      <c r="BD420" s="710">
        <v>0.25681625000000002</v>
      </c>
      <c r="BE420" s="710">
        <v>0.27956625000000002</v>
      </c>
      <c r="BF420" s="710">
        <v>0.30319124999999997</v>
      </c>
      <c r="BG420" s="710">
        <v>0.32769124999999999</v>
      </c>
      <c r="BH420" s="710">
        <v>0.35306624999999997</v>
      </c>
      <c r="BI420" s="710">
        <v>0.37931624999999997</v>
      </c>
      <c r="BJ420" s="710">
        <v>0.40644124999999998</v>
      </c>
      <c r="BK420" s="710">
        <v>0.43444124999999995</v>
      </c>
      <c r="BL420" s="710">
        <v>0.46331625000000004</v>
      </c>
      <c r="BM420" s="710">
        <v>0.49306624999999998</v>
      </c>
      <c r="BN420" s="710">
        <v>0.52369124999999994</v>
      </c>
      <c r="BO420" s="710">
        <v>0.55519124999999991</v>
      </c>
      <c r="BP420" s="710">
        <v>0.58719124999999994</v>
      </c>
      <c r="BQ420" s="710">
        <v>0.6196912499999998</v>
      </c>
      <c r="BR420" s="710">
        <v>0.65269124999999995</v>
      </c>
      <c r="BS420" s="710">
        <v>0.68619124999999992</v>
      </c>
      <c r="BT420" s="710">
        <v>0.72019124999999995</v>
      </c>
      <c r="BU420" s="710">
        <v>0.75469124999999981</v>
      </c>
      <c r="BV420" s="710">
        <v>0.78969124999999984</v>
      </c>
      <c r="BW420" s="710">
        <v>0.82519124999999982</v>
      </c>
      <c r="BX420" s="710">
        <v>0.86119124999999985</v>
      </c>
      <c r="BY420" s="710">
        <v>0.89769124999999972</v>
      </c>
      <c r="BZ420" s="710">
        <v>0.93469124999999975</v>
      </c>
      <c r="CA420" s="710">
        <v>0.97219124999999973</v>
      </c>
      <c r="CB420" s="710">
        <v>1.0096912499999997</v>
      </c>
      <c r="CC420" s="710">
        <v>1.0471912499999996</v>
      </c>
      <c r="CD420" s="710">
        <v>1.0846912499999997</v>
      </c>
      <c r="CE420" s="710">
        <v>1.1221912499999995</v>
      </c>
      <c r="CF420" s="710">
        <v>1.1596912499999996</v>
      </c>
      <c r="CG420" s="710">
        <v>1.1971912499999997</v>
      </c>
      <c r="CH420" s="710">
        <v>1.2346912499999996</v>
      </c>
      <c r="CI420" s="710">
        <v>1.2721912499999997</v>
      </c>
      <c r="CJ420" s="710">
        <v>1.3096912499999995</v>
      </c>
      <c r="CK420" s="710">
        <v>1.3471912499999996</v>
      </c>
      <c r="CL420" s="710">
        <v>1.3846912499999997</v>
      </c>
      <c r="CM420" s="710">
        <v>1.4221912499999996</v>
      </c>
      <c r="CN420" s="710">
        <v>1.4596912499999997</v>
      </c>
      <c r="CO420" s="710">
        <v>1.4971912499999995</v>
      </c>
      <c r="CP420" s="710">
        <v>1.5346912499999996</v>
      </c>
      <c r="CQ420" s="710">
        <v>1.5721912499999997</v>
      </c>
      <c r="CR420" s="710">
        <v>1.6096912499999996</v>
      </c>
      <c r="CS420" s="710">
        <v>1.6471912499999997</v>
      </c>
      <c r="CT420" s="710">
        <v>1.6846912499999995</v>
      </c>
      <c r="CU420" s="710">
        <v>1.7221912499999996</v>
      </c>
      <c r="CV420" s="710">
        <v>1.7596912499999997</v>
      </c>
      <c r="CW420" s="710">
        <v>1.7971912499999996</v>
      </c>
      <c r="CX420" s="710">
        <v>1.8346912499999997</v>
      </c>
      <c r="CY420" s="710">
        <v>1.8721912499999995</v>
      </c>
      <c r="CZ420" s="126"/>
      <c r="DA420" s="12">
        <v>0</v>
      </c>
      <c r="DB420" s="12">
        <v>2.0396249999999998E-2</v>
      </c>
      <c r="DC420" s="12">
        <v>0.93628950000000011</v>
      </c>
      <c r="DD420" s="12">
        <v>4.7757949999999996</v>
      </c>
      <c r="DE420" s="12">
        <v>9.3012949999999979</v>
      </c>
      <c r="DF420" s="12">
        <v>14.591294999999995</v>
      </c>
      <c r="DG420" s="12">
        <v>19.991294999999994</v>
      </c>
    </row>
    <row r="421" spans="2:111">
      <c r="B421" s="126"/>
      <c r="C421" s="126"/>
      <c r="D421" s="126" t="s">
        <v>221</v>
      </c>
      <c r="E421" s="126"/>
      <c r="F421" s="609"/>
      <c r="G421" s="609" t="s">
        <v>736</v>
      </c>
      <c r="H421" s="609"/>
      <c r="I421" s="609"/>
      <c r="J421" s="609"/>
      <c r="K421" s="609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710"/>
      <c r="AJ421" s="710"/>
      <c r="AK421" s="710"/>
      <c r="AL421" s="710"/>
      <c r="AM421" s="710"/>
      <c r="AN421" s="710"/>
      <c r="AO421" s="710"/>
      <c r="AP421" s="710">
        <v>0</v>
      </c>
      <c r="AQ421" s="710">
        <v>0</v>
      </c>
      <c r="AR421" s="710">
        <v>0</v>
      </c>
      <c r="AS421" s="710">
        <v>0</v>
      </c>
      <c r="AT421" s="710">
        <v>0</v>
      </c>
      <c r="AU421" s="710">
        <v>0</v>
      </c>
      <c r="AV421" s="710">
        <v>0</v>
      </c>
      <c r="AW421" s="710">
        <v>0</v>
      </c>
      <c r="AX421" s="710">
        <v>0</v>
      </c>
      <c r="AY421" s="710">
        <v>0</v>
      </c>
      <c r="AZ421" s="710">
        <v>0</v>
      </c>
      <c r="BA421" s="710">
        <v>0</v>
      </c>
      <c r="BB421" s="710">
        <v>0</v>
      </c>
      <c r="BC421" s="710">
        <v>0</v>
      </c>
      <c r="BD421" s="710">
        <v>0</v>
      </c>
      <c r="BE421" s="710">
        <v>0</v>
      </c>
      <c r="BF421" s="710">
        <v>0</v>
      </c>
      <c r="BG421" s="710">
        <v>0</v>
      </c>
      <c r="BH421" s="710">
        <v>0</v>
      </c>
      <c r="BI421" s="710">
        <v>0</v>
      </c>
      <c r="BJ421" s="710">
        <v>0</v>
      </c>
      <c r="BK421" s="710">
        <v>0</v>
      </c>
      <c r="BL421" s="710">
        <v>0</v>
      </c>
      <c r="BM421" s="710">
        <v>0</v>
      </c>
      <c r="BN421" s="710">
        <v>0</v>
      </c>
      <c r="BO421" s="710">
        <v>0</v>
      </c>
      <c r="BP421" s="710">
        <v>0</v>
      </c>
      <c r="BQ421" s="710">
        <v>0</v>
      </c>
      <c r="BR421" s="710">
        <v>0</v>
      </c>
      <c r="BS421" s="710">
        <v>0</v>
      </c>
      <c r="BT421" s="710">
        <v>0</v>
      </c>
      <c r="BU421" s="710">
        <v>0</v>
      </c>
      <c r="BV421" s="710">
        <v>0</v>
      </c>
      <c r="BW421" s="710">
        <v>0</v>
      </c>
      <c r="BX421" s="710">
        <v>0</v>
      </c>
      <c r="BY421" s="710">
        <v>0</v>
      </c>
      <c r="BZ421" s="710">
        <v>0</v>
      </c>
      <c r="CA421" s="710">
        <v>0</v>
      </c>
      <c r="CB421" s="710">
        <v>0</v>
      </c>
      <c r="CC421" s="710">
        <v>0</v>
      </c>
      <c r="CD421" s="710">
        <v>0</v>
      </c>
      <c r="CE421" s="710">
        <v>0</v>
      </c>
      <c r="CF421" s="710">
        <v>0</v>
      </c>
      <c r="CG421" s="710">
        <v>0</v>
      </c>
      <c r="CH421" s="710">
        <v>0</v>
      </c>
      <c r="CI421" s="710">
        <v>0</v>
      </c>
      <c r="CJ421" s="710">
        <v>0</v>
      </c>
      <c r="CK421" s="710">
        <v>0</v>
      </c>
      <c r="CL421" s="710">
        <v>0</v>
      </c>
      <c r="CM421" s="710">
        <v>0</v>
      </c>
      <c r="CN421" s="710">
        <v>0</v>
      </c>
      <c r="CO421" s="710">
        <v>0</v>
      </c>
      <c r="CP421" s="710">
        <v>0</v>
      </c>
      <c r="CQ421" s="710">
        <v>0</v>
      </c>
      <c r="CR421" s="710">
        <v>0</v>
      </c>
      <c r="CS421" s="710">
        <v>0</v>
      </c>
      <c r="CT421" s="710">
        <v>0</v>
      </c>
      <c r="CU421" s="710">
        <v>0</v>
      </c>
      <c r="CV421" s="710">
        <v>0</v>
      </c>
      <c r="CW421" s="710">
        <v>0</v>
      </c>
      <c r="CX421" s="710">
        <v>0</v>
      </c>
      <c r="CY421" s="710">
        <v>0</v>
      </c>
      <c r="CZ421" s="126"/>
      <c r="DA421" s="12">
        <v>0</v>
      </c>
      <c r="DB421" s="12">
        <v>0</v>
      </c>
      <c r="DC421" s="12">
        <v>0</v>
      </c>
      <c r="DD421" s="12">
        <v>0</v>
      </c>
      <c r="DE421" s="12">
        <v>0</v>
      </c>
      <c r="DF421" s="12">
        <v>0</v>
      </c>
      <c r="DG421" s="12">
        <v>0</v>
      </c>
    </row>
    <row r="422" spans="2:111">
      <c r="B422" s="126"/>
      <c r="C422" s="126"/>
      <c r="D422" s="126" t="s">
        <v>801</v>
      </c>
      <c r="E422" s="126"/>
      <c r="F422" s="609"/>
      <c r="G422" s="609" t="s">
        <v>736</v>
      </c>
      <c r="H422" s="609"/>
      <c r="I422" s="609"/>
      <c r="J422" s="609"/>
      <c r="K422" s="609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710"/>
      <c r="AJ422" s="710"/>
      <c r="AK422" s="710"/>
      <c r="AL422" s="710"/>
      <c r="AM422" s="710"/>
      <c r="AN422" s="710"/>
      <c r="AO422" s="710"/>
      <c r="AP422" s="710">
        <v>0</v>
      </c>
      <c r="AQ422" s="710">
        <v>0</v>
      </c>
      <c r="AR422" s="710">
        <v>0</v>
      </c>
      <c r="AS422" s="710">
        <v>0</v>
      </c>
      <c r="AT422" s="710">
        <v>0</v>
      </c>
      <c r="AU422" s="710">
        <v>0</v>
      </c>
      <c r="AV422" s="710">
        <v>0</v>
      </c>
      <c r="AW422" s="710">
        <v>0</v>
      </c>
      <c r="AX422" s="710">
        <v>0</v>
      </c>
      <c r="AY422" s="710">
        <v>0</v>
      </c>
      <c r="AZ422" s="710">
        <v>0</v>
      </c>
      <c r="BA422" s="710">
        <v>0</v>
      </c>
      <c r="BB422" s="710">
        <v>0</v>
      </c>
      <c r="BC422" s="710">
        <v>0</v>
      </c>
      <c r="BD422" s="710">
        <v>0</v>
      </c>
      <c r="BE422" s="710">
        <v>0</v>
      </c>
      <c r="BF422" s="710">
        <v>0</v>
      </c>
      <c r="BG422" s="710">
        <v>0</v>
      </c>
      <c r="BH422" s="710">
        <v>0</v>
      </c>
      <c r="BI422" s="710">
        <v>0</v>
      </c>
      <c r="BJ422" s="710">
        <v>0</v>
      </c>
      <c r="BK422" s="710">
        <v>0</v>
      </c>
      <c r="BL422" s="710">
        <v>0</v>
      </c>
      <c r="BM422" s="710">
        <v>0</v>
      </c>
      <c r="BN422" s="710">
        <v>0</v>
      </c>
      <c r="BO422" s="710">
        <v>0</v>
      </c>
      <c r="BP422" s="710">
        <v>0</v>
      </c>
      <c r="BQ422" s="710">
        <v>0</v>
      </c>
      <c r="BR422" s="710">
        <v>0</v>
      </c>
      <c r="BS422" s="710">
        <v>0</v>
      </c>
      <c r="BT422" s="710">
        <v>0</v>
      </c>
      <c r="BU422" s="710">
        <v>0</v>
      </c>
      <c r="BV422" s="710">
        <v>0</v>
      </c>
      <c r="BW422" s="710">
        <v>0</v>
      </c>
      <c r="BX422" s="710">
        <v>0</v>
      </c>
      <c r="BY422" s="710">
        <v>0</v>
      </c>
      <c r="BZ422" s="710">
        <v>0</v>
      </c>
      <c r="CA422" s="710">
        <v>0</v>
      </c>
      <c r="CB422" s="710">
        <v>0</v>
      </c>
      <c r="CC422" s="710">
        <v>0</v>
      </c>
      <c r="CD422" s="710">
        <v>0</v>
      </c>
      <c r="CE422" s="710">
        <v>0</v>
      </c>
      <c r="CF422" s="710">
        <v>0</v>
      </c>
      <c r="CG422" s="710">
        <v>0</v>
      </c>
      <c r="CH422" s="710">
        <v>0</v>
      </c>
      <c r="CI422" s="710">
        <v>0</v>
      </c>
      <c r="CJ422" s="710">
        <v>0</v>
      </c>
      <c r="CK422" s="710">
        <v>0</v>
      </c>
      <c r="CL422" s="710">
        <v>0</v>
      </c>
      <c r="CM422" s="710">
        <v>0</v>
      </c>
      <c r="CN422" s="710">
        <v>0</v>
      </c>
      <c r="CO422" s="710">
        <v>0</v>
      </c>
      <c r="CP422" s="710">
        <v>0</v>
      </c>
      <c r="CQ422" s="710">
        <v>0</v>
      </c>
      <c r="CR422" s="710">
        <v>0</v>
      </c>
      <c r="CS422" s="710">
        <v>0</v>
      </c>
      <c r="CT422" s="710">
        <v>0</v>
      </c>
      <c r="CU422" s="710">
        <v>0</v>
      </c>
      <c r="CV422" s="710">
        <v>0</v>
      </c>
      <c r="CW422" s="710">
        <v>0</v>
      </c>
      <c r="CX422" s="710">
        <v>0</v>
      </c>
      <c r="CY422" s="710">
        <v>0</v>
      </c>
      <c r="CZ422" s="126"/>
      <c r="DA422" s="12">
        <v>0</v>
      </c>
      <c r="DB422" s="12">
        <v>0</v>
      </c>
      <c r="DC422" s="12">
        <v>0</v>
      </c>
      <c r="DD422" s="12">
        <v>0</v>
      </c>
      <c r="DE422" s="12">
        <v>0</v>
      </c>
      <c r="DF422" s="12">
        <v>0</v>
      </c>
      <c r="DG422" s="12">
        <v>0</v>
      </c>
    </row>
    <row r="423" spans="2:111">
      <c r="B423" s="126"/>
      <c r="C423" s="126"/>
      <c r="D423" s="126" t="s">
        <v>802</v>
      </c>
      <c r="E423" s="126"/>
      <c r="F423" s="609"/>
      <c r="G423" s="609" t="s">
        <v>736</v>
      </c>
      <c r="H423" s="609"/>
      <c r="I423" s="609"/>
      <c r="J423" s="609"/>
      <c r="K423" s="609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710"/>
      <c r="AJ423" s="710"/>
      <c r="AK423" s="710"/>
      <c r="AL423" s="710"/>
      <c r="AM423" s="710"/>
      <c r="AN423" s="710"/>
      <c r="AO423" s="710"/>
      <c r="AP423" s="710"/>
      <c r="AQ423" s="710"/>
      <c r="AR423" s="710"/>
      <c r="AS423" s="710"/>
      <c r="AT423" s="710"/>
      <c r="AU423" s="710"/>
      <c r="AV423" s="710"/>
      <c r="AW423" s="710"/>
      <c r="AX423" s="710"/>
      <c r="AY423" s="710"/>
      <c r="AZ423" s="710"/>
      <c r="BA423" s="710"/>
      <c r="BB423" s="710"/>
      <c r="BC423" s="710"/>
      <c r="BD423" s="710"/>
      <c r="BE423" s="710"/>
      <c r="BF423" s="710"/>
      <c r="BG423" s="710"/>
      <c r="BH423" s="710"/>
      <c r="BI423" s="710"/>
      <c r="BJ423" s="710"/>
      <c r="BK423" s="710"/>
      <c r="BL423" s="710"/>
      <c r="BM423" s="710"/>
      <c r="BN423" s="710"/>
      <c r="BO423" s="710"/>
      <c r="BP423" s="710"/>
      <c r="BQ423" s="710"/>
      <c r="BR423" s="710"/>
      <c r="BS423" s="710"/>
      <c r="BT423" s="710"/>
      <c r="BU423" s="710"/>
      <c r="BV423" s="710"/>
      <c r="BW423" s="710"/>
      <c r="BX423" s="710"/>
      <c r="BY423" s="710"/>
      <c r="BZ423" s="710"/>
      <c r="CA423" s="710"/>
      <c r="CB423" s="710"/>
      <c r="CC423" s="710"/>
      <c r="CD423" s="710"/>
      <c r="CE423" s="710"/>
      <c r="CF423" s="710"/>
      <c r="CG423" s="710"/>
      <c r="CH423" s="710"/>
      <c r="CI423" s="710"/>
      <c r="CJ423" s="710"/>
      <c r="CK423" s="710"/>
      <c r="CL423" s="710"/>
      <c r="CM423" s="710"/>
      <c r="CN423" s="710"/>
      <c r="CO423" s="710"/>
      <c r="CP423" s="710"/>
      <c r="CQ423" s="710"/>
      <c r="CR423" s="710"/>
      <c r="CS423" s="710"/>
      <c r="CT423" s="710"/>
      <c r="CU423" s="710"/>
      <c r="CV423" s="710"/>
      <c r="CW423" s="710"/>
      <c r="CX423" s="710"/>
      <c r="CY423" s="710"/>
      <c r="CZ423" s="126"/>
      <c r="DA423" s="12">
        <v>0</v>
      </c>
      <c r="DB423" s="12">
        <v>0</v>
      </c>
      <c r="DC423" s="12">
        <v>0</v>
      </c>
      <c r="DD423" s="12">
        <v>0</v>
      </c>
      <c r="DE423" s="12">
        <v>0</v>
      </c>
      <c r="DF423" s="12">
        <v>0</v>
      </c>
      <c r="DG423" s="12">
        <v>0</v>
      </c>
    </row>
    <row r="424" spans="2:111">
      <c r="B424" s="126"/>
      <c r="C424" s="126"/>
      <c r="D424" s="126" t="s">
        <v>222</v>
      </c>
      <c r="E424" s="126"/>
      <c r="F424" s="609"/>
      <c r="G424" s="609" t="s">
        <v>736</v>
      </c>
      <c r="H424" s="609"/>
      <c r="I424" s="609"/>
      <c r="J424" s="609"/>
      <c r="K424" s="609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710"/>
      <c r="AJ424" s="710"/>
      <c r="AK424" s="710"/>
      <c r="AL424" s="710"/>
      <c r="AM424" s="710"/>
      <c r="AN424" s="710"/>
      <c r="AO424" s="710"/>
      <c r="AP424" s="710">
        <v>4.0052600000000001E-3</v>
      </c>
      <c r="AQ424" s="710">
        <v>1.2030538249999998E-2</v>
      </c>
      <c r="AR424" s="710">
        <v>2.0375604920833332E-2</v>
      </c>
      <c r="AS424" s="710">
        <v>2.9144707839374995E-2</v>
      </c>
      <c r="AT424" s="710">
        <v>3.828981977771876E-2</v>
      </c>
      <c r="AU424" s="710">
        <v>4.7789328483306776E-2</v>
      </c>
      <c r="AV424" s="710">
        <v>5.7633508442488053E-2</v>
      </c>
      <c r="AW424" s="710">
        <v>6.7817983174119634E-2</v>
      </c>
      <c r="AX424" s="710">
        <v>7.8340783261687169E-2</v>
      </c>
      <c r="AY424" s="710">
        <v>8.9201022467759253E-2</v>
      </c>
      <c r="AZ424" s="710">
        <v>0.10039830198549168</v>
      </c>
      <c r="BA424" s="710">
        <v>0.11193244235180459</v>
      </c>
      <c r="BB424" s="710">
        <v>0.12380336280831208</v>
      </c>
      <c r="BC424" s="710">
        <v>0.13601102701374046</v>
      </c>
      <c r="BD424" s="710">
        <v>0.15334446007284988</v>
      </c>
      <c r="BE424" s="710">
        <v>0.16905158828278244</v>
      </c>
      <c r="BF424" s="710">
        <v>0.18432292097725211</v>
      </c>
      <c r="BG424" s="710">
        <v>0.1996941873564301</v>
      </c>
      <c r="BH424" s="710">
        <v>0.21540646556039356</v>
      </c>
      <c r="BI424" s="710">
        <v>0.23156824075217708</v>
      </c>
      <c r="BJ424" s="710">
        <v>0.24822833125514635</v>
      </c>
      <c r="BK424" s="710">
        <v>0.26540870531481586</v>
      </c>
      <c r="BL424" s="710">
        <v>0.28311924864166715</v>
      </c>
      <c r="BM424" s="710">
        <v>0.30136440980541684</v>
      </c>
      <c r="BN424" s="710">
        <v>0.32014619066243755</v>
      </c>
      <c r="BO424" s="710">
        <v>0.3394654920480969</v>
      </c>
      <c r="BP424" s="710">
        <v>0.35910584433831028</v>
      </c>
      <c r="BQ424" s="710">
        <v>0.3790598362022396</v>
      </c>
      <c r="BR424" s="710">
        <v>0.39932413254100779</v>
      </c>
      <c r="BS424" s="710">
        <v>0.41989723256012018</v>
      </c>
      <c r="BT424" s="710">
        <v>0.44077846090205403</v>
      </c>
      <c r="BU424" s="710">
        <v>0.46196751365592426</v>
      </c>
      <c r="BV424" s="710">
        <v>0.48346425406183247</v>
      </c>
      <c r="BW424" s="710">
        <v>0.50526862057782462</v>
      </c>
      <c r="BX424" s="710">
        <v>0.52738058551002098</v>
      </c>
      <c r="BY424" s="710">
        <v>0.54980013639617609</v>
      </c>
      <c r="BZ424" s="710">
        <v>0.5725272676282791</v>
      </c>
      <c r="CA424" s="710">
        <v>0.59556197668272559</v>
      </c>
      <c r="CB424" s="710">
        <v>0.61861509575722651</v>
      </c>
      <c r="CC424" s="710">
        <v>0.64167649934075177</v>
      </c>
      <c r="CD424" s="710">
        <v>0.66474163095333816</v>
      </c>
      <c r="CE424" s="710">
        <v>0.68780844017900211</v>
      </c>
      <c r="CF424" s="710">
        <v>0.71087600433055087</v>
      </c>
      <c r="CG424" s="710">
        <v>0.73394390819874777</v>
      </c>
      <c r="CH424" s="710">
        <v>0.75701196493943645</v>
      </c>
      <c r="CI424" s="710">
        <v>0.78008009047274629</v>
      </c>
      <c r="CJ424" s="710">
        <v>0.80314824696273579</v>
      </c>
      <c r="CK424" s="710">
        <v>0.82621641738323104</v>
      </c>
      <c r="CL424" s="710">
        <v>0.84928459407245394</v>
      </c>
      <c r="CM424" s="710">
        <v>0.87235277358260421</v>
      </c>
      <c r="CN424" s="710">
        <v>0.89542095436217184</v>
      </c>
      <c r="CO424" s="710">
        <v>0.91848913571297719</v>
      </c>
      <c r="CP424" s="710">
        <v>0.94155731732083958</v>
      </c>
      <c r="CQ424" s="710">
        <v>0.96462549904437789</v>
      </c>
      <c r="CR424" s="710">
        <v>0.98769368081996989</v>
      </c>
      <c r="CS424" s="710">
        <v>1.0107618626189865</v>
      </c>
      <c r="CT424" s="710">
        <v>1.0338300444285438</v>
      </c>
      <c r="CU424" s="710">
        <v>1.0568982262428446</v>
      </c>
      <c r="CV424" s="710">
        <v>1.0799664080592799</v>
      </c>
      <c r="CW424" s="710">
        <v>1.1030345898766758</v>
      </c>
      <c r="CX424" s="710">
        <v>1.1261027716945042</v>
      </c>
      <c r="CY424" s="710">
        <v>1.1491709535125267</v>
      </c>
      <c r="CZ424" s="126"/>
      <c r="DA424" s="12">
        <v>0</v>
      </c>
      <c r="DB424" s="12">
        <v>1.6035798249999997E-2</v>
      </c>
      <c r="DC424" s="12">
        <v>0.90073789252663661</v>
      </c>
      <c r="DD424" s="12">
        <v>2.9111202407294661</v>
      </c>
      <c r="DE424" s="12">
        <v>5.694135861056516</v>
      </c>
      <c r="DF424" s="12">
        <v>8.9457556661728237</v>
      </c>
      <c r="DG424" s="12">
        <v>12.267551443693698</v>
      </c>
    </row>
    <row r="425" spans="2:111">
      <c r="B425" s="126"/>
      <c r="C425" s="126"/>
      <c r="D425" s="126" t="s">
        <v>803</v>
      </c>
      <c r="E425" s="126"/>
      <c r="F425" s="609"/>
      <c r="G425" s="609" t="s">
        <v>736</v>
      </c>
      <c r="H425" s="609"/>
      <c r="I425" s="609"/>
      <c r="J425" s="609"/>
      <c r="K425" s="609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710"/>
      <c r="AJ425" s="710"/>
      <c r="AK425" s="710"/>
      <c r="AL425" s="710"/>
      <c r="AM425" s="710"/>
      <c r="AN425" s="710"/>
      <c r="AO425" s="710"/>
      <c r="AP425" s="710">
        <v>0</v>
      </c>
      <c r="AQ425" s="710">
        <v>1.4295945225951324E-2</v>
      </c>
      <c r="AR425" s="710">
        <v>5.540845506414567E-2</v>
      </c>
      <c r="AS425" s="710">
        <v>0.10789166310389528</v>
      </c>
      <c r="AT425" s="710">
        <v>0.16255236320873612</v>
      </c>
      <c r="AU425" s="710">
        <v>0.22181190409480858</v>
      </c>
      <c r="AV425" s="710">
        <v>0.28213150451741759</v>
      </c>
      <c r="AW425" s="710">
        <v>0.3437458340622217</v>
      </c>
      <c r="AX425" s="710">
        <v>0.40879569013274114</v>
      </c>
      <c r="AY425" s="710">
        <v>0.47788192943777619</v>
      </c>
      <c r="AZ425" s="710">
        <v>0.55167200816771023</v>
      </c>
      <c r="BA425" s="710">
        <v>0.63095137151465053</v>
      </c>
      <c r="BB425" s="710">
        <v>0.71591371869407816</v>
      </c>
      <c r="BC425" s="710">
        <v>0.80497588768397799</v>
      </c>
      <c r="BD425" s="710">
        <v>1.0187530044935964</v>
      </c>
      <c r="BE425" s="710">
        <v>1.3700285404279704</v>
      </c>
      <c r="BF425" s="710">
        <v>1.8317646718162184</v>
      </c>
      <c r="BG425" s="710">
        <v>2.1424914092762544</v>
      </c>
      <c r="BH425" s="710">
        <v>2.3794972872725979</v>
      </c>
      <c r="BI425" s="710">
        <v>2.6000995341087965</v>
      </c>
      <c r="BJ425" s="710">
        <v>2.8040821477131348</v>
      </c>
      <c r="BK425" s="710">
        <v>2.9992093995087421</v>
      </c>
      <c r="BL425" s="710">
        <v>3.2182505909739918</v>
      </c>
      <c r="BM425" s="710">
        <v>3.4517795030618044</v>
      </c>
      <c r="BN425" s="710">
        <v>3.6866595139269553</v>
      </c>
      <c r="BO425" s="710">
        <v>3.9299611311954599</v>
      </c>
      <c r="BP425" s="710">
        <v>4.1697061859236584</v>
      </c>
      <c r="BQ425" s="710">
        <v>4.4153508060619648</v>
      </c>
      <c r="BR425" s="710">
        <v>4.665266788412203</v>
      </c>
      <c r="BS425" s="710">
        <v>4.9186642201530608</v>
      </c>
      <c r="BT425" s="710">
        <v>5.1759467992705419</v>
      </c>
      <c r="BU425" s="710">
        <v>5.4373417239750665</v>
      </c>
      <c r="BV425" s="710">
        <v>5.7366423713247396</v>
      </c>
      <c r="BW425" s="710">
        <v>6.0338147178502437</v>
      </c>
      <c r="BX425" s="710">
        <v>6.3333357395277368</v>
      </c>
      <c r="BY425" s="710">
        <v>6.6361347944292595</v>
      </c>
      <c r="BZ425" s="710">
        <v>6.943451015460627</v>
      </c>
      <c r="CA425" s="710">
        <v>7.2552412111180864</v>
      </c>
      <c r="CB425" s="710">
        <v>7.6161412411249882</v>
      </c>
      <c r="CC425" s="710">
        <v>7.9475210511562233</v>
      </c>
      <c r="CD425" s="710">
        <v>8.278430604831744</v>
      </c>
      <c r="CE425" s="710">
        <v>8.6091002612633734</v>
      </c>
      <c r="CF425" s="710">
        <v>8.9408471293585823</v>
      </c>
      <c r="CG425" s="710">
        <v>9.2735396018545657</v>
      </c>
      <c r="CH425" s="710">
        <v>9.6072094989860375</v>
      </c>
      <c r="CI425" s="710">
        <v>9.9100280041653157</v>
      </c>
      <c r="CJ425" s="710">
        <v>10.214421324421957</v>
      </c>
      <c r="CK425" s="710">
        <v>10.519485466303319</v>
      </c>
      <c r="CL425" s="710">
        <v>10.825120972728087</v>
      </c>
      <c r="CM425" s="710">
        <v>11.131269919471448</v>
      </c>
      <c r="CN425" s="710">
        <v>11.437942982589309</v>
      </c>
      <c r="CO425" s="710">
        <v>11.745148483130716</v>
      </c>
      <c r="CP425" s="710">
        <v>12.052895970737863</v>
      </c>
      <c r="CQ425" s="710">
        <v>12.360521276910029</v>
      </c>
      <c r="CR425" s="710">
        <v>12.668066873720631</v>
      </c>
      <c r="CS425" s="710">
        <v>12.975550891557903</v>
      </c>
      <c r="CT425" s="710">
        <v>13.282987776214785</v>
      </c>
      <c r="CU425" s="710">
        <v>13.590389728124908</v>
      </c>
      <c r="CV425" s="710">
        <v>13.897768928574822</v>
      </c>
      <c r="CW425" s="710">
        <v>14.205137443549646</v>
      </c>
      <c r="CX425" s="710">
        <v>14.512507247277417</v>
      </c>
      <c r="CY425" s="710">
        <v>14.819876005970718</v>
      </c>
      <c r="CZ425" s="126"/>
      <c r="DA425" s="12">
        <v>0</v>
      </c>
      <c r="DB425" s="12">
        <v>1.4295945225951324E-2</v>
      </c>
      <c r="DC425" s="12">
        <v>4.763732329682159</v>
      </c>
      <c r="DD425" s="12">
        <v>31.43257673377552</v>
      </c>
      <c r="DE425" s="12">
        <v>67.720896373507188</v>
      </c>
      <c r="DF425" s="12">
        <v>112.87311507566565</v>
      </c>
      <c r="DG425" s="12">
        <v>157.54879360835875</v>
      </c>
    </row>
    <row r="426" spans="2:111">
      <c r="B426" s="126"/>
      <c r="C426" s="126"/>
      <c r="D426" s="126" t="s">
        <v>224</v>
      </c>
      <c r="E426" s="126"/>
      <c r="F426" s="609"/>
      <c r="G426" s="609" t="s">
        <v>736</v>
      </c>
      <c r="H426" s="609"/>
      <c r="I426" s="609"/>
      <c r="J426" s="609"/>
      <c r="K426" s="609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710"/>
      <c r="AJ426" s="710"/>
      <c r="AK426" s="710"/>
      <c r="AL426" s="710"/>
      <c r="AM426" s="710"/>
      <c r="AN426" s="710"/>
      <c r="AO426" s="710"/>
      <c r="AP426" s="710">
        <v>0</v>
      </c>
      <c r="AQ426" s="710">
        <v>0</v>
      </c>
      <c r="AR426" s="710">
        <v>0</v>
      </c>
      <c r="AS426" s="710">
        <v>0</v>
      </c>
      <c r="AT426" s="710">
        <v>0</v>
      </c>
      <c r="AU426" s="710">
        <v>0</v>
      </c>
      <c r="AV426" s="710">
        <v>0</v>
      </c>
      <c r="AW426" s="710">
        <v>0</v>
      </c>
      <c r="AX426" s="710">
        <v>0</v>
      </c>
      <c r="AY426" s="710">
        <v>0</v>
      </c>
      <c r="AZ426" s="710">
        <v>0</v>
      </c>
      <c r="BA426" s="710">
        <v>0</v>
      </c>
      <c r="BB426" s="710">
        <v>0</v>
      </c>
      <c r="BC426" s="710">
        <v>0</v>
      </c>
      <c r="BD426" s="710">
        <v>0</v>
      </c>
      <c r="BE426" s="710">
        <v>0</v>
      </c>
      <c r="BF426" s="710">
        <v>0</v>
      </c>
      <c r="BG426" s="710">
        <v>0</v>
      </c>
      <c r="BH426" s="710">
        <v>0</v>
      </c>
      <c r="BI426" s="710">
        <v>0</v>
      </c>
      <c r="BJ426" s="710">
        <v>0</v>
      </c>
      <c r="BK426" s="710">
        <v>0</v>
      </c>
      <c r="BL426" s="710">
        <v>0</v>
      </c>
      <c r="BM426" s="710">
        <v>0</v>
      </c>
      <c r="BN426" s="710">
        <v>0</v>
      </c>
      <c r="BO426" s="710">
        <v>0</v>
      </c>
      <c r="BP426" s="710">
        <v>0</v>
      </c>
      <c r="BQ426" s="710">
        <v>0</v>
      </c>
      <c r="BR426" s="710">
        <v>0</v>
      </c>
      <c r="BS426" s="710">
        <v>0</v>
      </c>
      <c r="BT426" s="710">
        <v>0</v>
      </c>
      <c r="BU426" s="710">
        <v>0</v>
      </c>
      <c r="BV426" s="710">
        <v>0</v>
      </c>
      <c r="BW426" s="710">
        <v>0</v>
      </c>
      <c r="BX426" s="710">
        <v>0</v>
      </c>
      <c r="BY426" s="710">
        <v>0</v>
      </c>
      <c r="BZ426" s="710">
        <v>0</v>
      </c>
      <c r="CA426" s="710">
        <v>0</v>
      </c>
      <c r="CB426" s="710">
        <v>0</v>
      </c>
      <c r="CC426" s="710">
        <v>0</v>
      </c>
      <c r="CD426" s="710">
        <v>0</v>
      </c>
      <c r="CE426" s="710">
        <v>0</v>
      </c>
      <c r="CF426" s="710">
        <v>0</v>
      </c>
      <c r="CG426" s="710">
        <v>0</v>
      </c>
      <c r="CH426" s="710">
        <v>0</v>
      </c>
      <c r="CI426" s="710">
        <v>0</v>
      </c>
      <c r="CJ426" s="710">
        <v>0</v>
      </c>
      <c r="CK426" s="710">
        <v>0</v>
      </c>
      <c r="CL426" s="710">
        <v>0</v>
      </c>
      <c r="CM426" s="710">
        <v>0</v>
      </c>
      <c r="CN426" s="710">
        <v>0</v>
      </c>
      <c r="CO426" s="710">
        <v>0</v>
      </c>
      <c r="CP426" s="710">
        <v>0</v>
      </c>
      <c r="CQ426" s="710">
        <v>0</v>
      </c>
      <c r="CR426" s="710">
        <v>0</v>
      </c>
      <c r="CS426" s="710">
        <v>0</v>
      </c>
      <c r="CT426" s="710">
        <v>0</v>
      </c>
      <c r="CU426" s="710">
        <v>0</v>
      </c>
      <c r="CV426" s="710">
        <v>0</v>
      </c>
      <c r="CW426" s="710">
        <v>0</v>
      </c>
      <c r="CX426" s="710">
        <v>0</v>
      </c>
      <c r="CY426" s="710">
        <v>0</v>
      </c>
      <c r="CZ426" s="126"/>
      <c r="DA426" s="12">
        <v>0</v>
      </c>
      <c r="DB426" s="12">
        <v>0</v>
      </c>
      <c r="DC426" s="12">
        <v>0</v>
      </c>
      <c r="DD426" s="12">
        <v>0</v>
      </c>
      <c r="DE426" s="12">
        <v>0</v>
      </c>
      <c r="DF426" s="12">
        <v>0</v>
      </c>
      <c r="DG426" s="12">
        <v>0</v>
      </c>
    </row>
    <row r="427" spans="2:111">
      <c r="B427" s="126"/>
      <c r="C427" s="126"/>
      <c r="D427" s="126" t="s">
        <v>804</v>
      </c>
      <c r="E427" s="230"/>
      <c r="F427" s="232"/>
      <c r="G427" s="609" t="s">
        <v>736</v>
      </c>
      <c r="H427" s="609"/>
      <c r="I427" s="609"/>
      <c r="J427" s="609"/>
      <c r="K427" s="609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710"/>
      <c r="AJ427" s="710"/>
      <c r="AK427" s="710"/>
      <c r="AL427" s="710"/>
      <c r="AM427" s="710"/>
      <c r="AN427" s="710"/>
      <c r="AO427" s="710"/>
      <c r="AP427" s="710">
        <v>0</v>
      </c>
      <c r="AQ427" s="710">
        <v>0</v>
      </c>
      <c r="AR427" s="710">
        <v>-5.7563160536837259E-3</v>
      </c>
      <c r="AS427" s="710">
        <v>-1.7596695074223404E-2</v>
      </c>
      <c r="AT427" s="710">
        <v>-3.4010785278098393E-2</v>
      </c>
      <c r="AU427" s="710">
        <v>-5.5835941332958161E-2</v>
      </c>
      <c r="AV427" s="710">
        <v>-8.2329409700925574E-2</v>
      </c>
      <c r="AW427" s="710">
        <v>-0.11301023734722085</v>
      </c>
      <c r="AX427" s="710">
        <v>-0.14610824660076155</v>
      </c>
      <c r="AY427" s="710">
        <v>-0.17886135081276738</v>
      </c>
      <c r="AZ427" s="710">
        <v>-0.21098581608381678</v>
      </c>
      <c r="BA427" s="710">
        <v>-0.2421748414656415</v>
      </c>
      <c r="BB427" s="710">
        <v>-0.2717765371409373</v>
      </c>
      <c r="BC427" s="710">
        <v>-0.29923097749432376</v>
      </c>
      <c r="BD427" s="710">
        <v>-0.38835605292205677</v>
      </c>
      <c r="BE427" s="710">
        <v>-0.30573107872861166</v>
      </c>
      <c r="BF427" s="710">
        <v>-0.36401499723094849</v>
      </c>
      <c r="BG427" s="710">
        <v>-0.42599765510885679</v>
      </c>
      <c r="BH427" s="710">
        <v>-0.47520951062871658</v>
      </c>
      <c r="BI427" s="710">
        <v>-0.53271568035770533</v>
      </c>
      <c r="BJ427" s="710">
        <v>-0.57800948549540077</v>
      </c>
      <c r="BK427" s="710">
        <v>-0.63231689859177431</v>
      </c>
      <c r="BL427" s="710">
        <v>-0.70113551775460459</v>
      </c>
      <c r="BM427" s="710">
        <v>-0.75121512521050304</v>
      </c>
      <c r="BN427" s="710">
        <v>-0.79235636847749236</v>
      </c>
      <c r="BO427" s="710">
        <v>-0.84083247997477506</v>
      </c>
      <c r="BP427" s="710">
        <v>-0.88713931525180945</v>
      </c>
      <c r="BQ427" s="710">
        <v>-0.94593987807725577</v>
      </c>
      <c r="BR427" s="710">
        <v>-1.0058941299999844</v>
      </c>
      <c r="BS427" s="710">
        <v>-1.0673343973979248</v>
      </c>
      <c r="BT427" s="710">
        <v>-1.1306002362640768</v>
      </c>
      <c r="BU427" s="710">
        <v>-1.1950491858215864</v>
      </c>
      <c r="BV427" s="710">
        <v>-1.266438287860834</v>
      </c>
      <c r="BW427" s="710">
        <v>-1.30183681218765</v>
      </c>
      <c r="BX427" s="710">
        <v>-1.3443152824340989</v>
      </c>
      <c r="BY427" s="710">
        <v>-1.3893127041526228</v>
      </c>
      <c r="BZ427" s="710">
        <v>-1.4360604311571463</v>
      </c>
      <c r="CA427" s="710">
        <v>-1.4832386855338067</v>
      </c>
      <c r="CB427" s="710">
        <v>-1.5381874562989406</v>
      </c>
      <c r="CC427" s="710">
        <v>-1.540286222371795</v>
      </c>
      <c r="CD427" s="710">
        <v>-1.5768127943203398</v>
      </c>
      <c r="CE427" s="710">
        <v>-1.6152268565443733</v>
      </c>
      <c r="CF427" s="710">
        <v>-1.6547056886833134</v>
      </c>
      <c r="CG427" s="710">
        <v>-1.6934693807831878</v>
      </c>
      <c r="CH427" s="710">
        <v>-1.7314981001871601</v>
      </c>
      <c r="CI427" s="710">
        <v>-1.7639873959994123</v>
      </c>
      <c r="CJ427" s="710">
        <v>-1.8295105309011483</v>
      </c>
      <c r="CK427" s="710">
        <v>-1.8934346963953814</v>
      </c>
      <c r="CL427" s="710">
        <v>-1.9567069893180236</v>
      </c>
      <c r="CM427" s="710">
        <v>-2.0194281340728431</v>
      </c>
      <c r="CN427" s="710">
        <v>-2.0816653852300973</v>
      </c>
      <c r="CO427" s="710">
        <v>-2.1434131958556586</v>
      </c>
      <c r="CP427" s="710">
        <v>-2.2046684284652018</v>
      </c>
      <c r="CQ427" s="710">
        <v>-2.2653238376327351</v>
      </c>
      <c r="CR427" s="710">
        <v>-2.3260839783077616</v>
      </c>
      <c r="CS427" s="710">
        <v>-2.3869075047632133</v>
      </c>
      <c r="CT427" s="710">
        <v>-2.4477781227371973</v>
      </c>
      <c r="CU427" s="710">
        <v>-2.5086830944003955</v>
      </c>
      <c r="CV427" s="710">
        <v>-2.5696120499684176</v>
      </c>
      <c r="CW427" s="710">
        <v>-2.6305546393545818</v>
      </c>
      <c r="CX427" s="710">
        <v>-2.691500633496835</v>
      </c>
      <c r="CY427" s="710">
        <v>-2.7524377043401205</v>
      </c>
      <c r="CZ427" s="126"/>
      <c r="DA427" s="12">
        <v>0</v>
      </c>
      <c r="DB427" s="12">
        <v>0</v>
      </c>
      <c r="DC427" s="12">
        <v>-1.6576771543853583</v>
      </c>
      <c r="DD427" s="12">
        <v>-6.7878908504814461</v>
      </c>
      <c r="DE427" s="12">
        <v>-14.453159346138797</v>
      </c>
      <c r="DF427" s="12">
        <v>-20.813254245875921</v>
      </c>
      <c r="DG427" s="12">
        <v>-29.008628574552215</v>
      </c>
    </row>
    <row r="428" spans="2:111">
      <c r="B428" s="126"/>
      <c r="C428" s="720" t="s">
        <v>621</v>
      </c>
      <c r="D428" s="126"/>
      <c r="E428" s="126"/>
      <c r="F428" s="609"/>
      <c r="G428" s="609" t="s">
        <v>736</v>
      </c>
      <c r="H428" s="609"/>
      <c r="I428" s="609"/>
      <c r="J428" s="609"/>
      <c r="K428" s="609"/>
      <c r="L428" s="126"/>
      <c r="M428" s="710"/>
      <c r="N428" s="710"/>
      <c r="O428" s="710"/>
      <c r="P428" s="710"/>
      <c r="Q428" s="710"/>
      <c r="R428" s="710"/>
      <c r="S428" s="710"/>
      <c r="T428" s="710"/>
      <c r="U428" s="710"/>
      <c r="V428" s="710"/>
      <c r="W428" s="710"/>
      <c r="X428" s="710"/>
      <c r="Y428" s="710"/>
      <c r="Z428" s="710"/>
      <c r="AA428" s="710"/>
      <c r="AB428" s="710"/>
      <c r="AC428" s="710"/>
      <c r="AD428" s="710"/>
      <c r="AE428" s="710"/>
      <c r="AF428" s="710"/>
      <c r="AG428" s="710"/>
      <c r="AH428" s="710"/>
      <c r="AI428" s="710"/>
      <c r="AJ428" s="710"/>
      <c r="AK428" s="710"/>
      <c r="AL428" s="710"/>
      <c r="AM428" s="710"/>
      <c r="AN428" s="710"/>
      <c r="AO428" s="710"/>
      <c r="AP428" s="714">
        <v>-5.0651999999999997E-3</v>
      </c>
      <c r="AQ428" s="714">
        <v>-1.5233085E-2</v>
      </c>
      <c r="AR428" s="714">
        <v>-1.9329269718749993E-2</v>
      </c>
      <c r="AS428" s="714">
        <v>-2.6238884337528412E-2</v>
      </c>
      <c r="AT428" s="714">
        <v>-4.4289306059353911E-2</v>
      </c>
      <c r="AU428" s="714">
        <v>-6.2775525362243567E-2</v>
      </c>
      <c r="AV428" s="714">
        <v>-8.1724444092890328E-2</v>
      </c>
      <c r="AW428" s="714">
        <v>-0.1230658042677136</v>
      </c>
      <c r="AX428" s="714">
        <v>-0.2059305567495105</v>
      </c>
      <c r="AY428" s="714">
        <v>-0.28879789760450419</v>
      </c>
      <c r="AZ428" s="714">
        <v>-0.3802101945086051</v>
      </c>
      <c r="BA428" s="714">
        <v>-0.47372227773853282</v>
      </c>
      <c r="BB428" s="714">
        <v>-0.55344309161861105</v>
      </c>
      <c r="BC428" s="714">
        <v>-0.6184082302636662</v>
      </c>
      <c r="BD428" s="714">
        <v>-0.75776590909670183</v>
      </c>
      <c r="BE428" s="714">
        <v>-0.81267540923725989</v>
      </c>
      <c r="BF428" s="714">
        <v>-0.85987921877225204</v>
      </c>
      <c r="BG428" s="714">
        <v>-0.8749107858067664</v>
      </c>
      <c r="BH428" s="714">
        <v>-0.97076826832827667</v>
      </c>
      <c r="BI428" s="714">
        <v>-1.015835731406437</v>
      </c>
      <c r="BJ428" s="714">
        <v>-1.0078150623167419</v>
      </c>
      <c r="BK428" s="714">
        <v>-1.1590455082126938</v>
      </c>
      <c r="BL428" s="714">
        <v>-1.4951896761226493</v>
      </c>
      <c r="BM428" s="714">
        <v>-1.6773922682367777</v>
      </c>
      <c r="BN428" s="714">
        <v>-1.7669635827731076</v>
      </c>
      <c r="BO428" s="714">
        <v>-1.8541824286657813</v>
      </c>
      <c r="BP428" s="714">
        <v>-1.8908112129003454</v>
      </c>
      <c r="BQ428" s="714">
        <v>-2.0256744054815536</v>
      </c>
      <c r="BR428" s="714">
        <v>-2.1586870553231274</v>
      </c>
      <c r="BS428" s="714">
        <v>-2.2960552180453586</v>
      </c>
      <c r="BT428" s="714">
        <v>-2.4432226179662635</v>
      </c>
      <c r="BU428" s="714">
        <v>-2.5957943871762259</v>
      </c>
      <c r="BV428" s="714">
        <v>-2.7188360193362304</v>
      </c>
      <c r="BW428" s="714">
        <v>-2.8825351442972762</v>
      </c>
      <c r="BX428" s="714">
        <v>-3.0417875339828839</v>
      </c>
      <c r="BY428" s="714">
        <v>-3.1350088393627509</v>
      </c>
      <c r="BZ428" s="714">
        <v>-3.2962019871440598</v>
      </c>
      <c r="CA428" s="714">
        <v>-3.4591592500194159</v>
      </c>
      <c r="CB428" s="714">
        <v>-3.4461543278321769</v>
      </c>
      <c r="CC428" s="714">
        <v>-3.3938311660046385</v>
      </c>
      <c r="CD428" s="714">
        <v>-3.559224380923379</v>
      </c>
      <c r="CE428" s="714">
        <v>-3.6350180097728035</v>
      </c>
      <c r="CF428" s="714">
        <v>-3.7986070075737315</v>
      </c>
      <c r="CG428" s="714">
        <v>-3.9619847535962109</v>
      </c>
      <c r="CH428" s="714">
        <v>-3.9492842860142288</v>
      </c>
      <c r="CI428" s="714">
        <v>-3.8174251713408065</v>
      </c>
      <c r="CJ428" s="714">
        <v>-3.9746452338981384</v>
      </c>
      <c r="CK428" s="714">
        <v>-4.1256970451163939</v>
      </c>
      <c r="CL428" s="714">
        <v>-4.2764891929136324</v>
      </c>
      <c r="CM428" s="714">
        <v>-4.4254669373367141</v>
      </c>
      <c r="CN428" s="714">
        <v>-4.574800746397667</v>
      </c>
      <c r="CO428" s="714">
        <v>-4.7244432262549338</v>
      </c>
      <c r="CP428" s="714">
        <v>-4.8706837275582657</v>
      </c>
      <c r="CQ428" s="714">
        <v>-5.0111225180432113</v>
      </c>
      <c r="CR428" s="714">
        <v>-5.1519766641446338</v>
      </c>
      <c r="CS428" s="714">
        <v>-5.2930627410503455</v>
      </c>
      <c r="CT428" s="714">
        <v>-5.4343556812752283</v>
      </c>
      <c r="CU428" s="714">
        <v>-5.575806887006955</v>
      </c>
      <c r="CV428" s="714">
        <v>-5.7174211714968068</v>
      </c>
      <c r="CW428" s="714">
        <v>-5.859201696197208</v>
      </c>
      <c r="CX428" s="714">
        <v>-6.0010736140605383</v>
      </c>
      <c r="CY428" s="714">
        <v>-6.1429139670870505</v>
      </c>
      <c r="CZ428" s="126"/>
      <c r="DA428" s="14">
        <v>0</v>
      </c>
      <c r="DB428" s="12">
        <v>-2.0298284999999999E-2</v>
      </c>
      <c r="DC428" s="12">
        <v>-2.8779354823219103</v>
      </c>
      <c r="DD428" s="12">
        <v>-14.252423848975445</v>
      </c>
      <c r="DE428" s="12">
        <v>-31.943773671035487</v>
      </c>
      <c r="DF428" s="12">
        <v>-46.363827512322857</v>
      </c>
      <c r="DG428" s="14">
        <v>-64.356862640572842</v>
      </c>
    </row>
    <row r="429" spans="2:111">
      <c r="B429" s="126"/>
      <c r="C429" s="724" t="s">
        <v>701</v>
      </c>
      <c r="D429" s="698"/>
      <c r="E429" s="698"/>
      <c r="F429" s="703"/>
      <c r="G429" s="609" t="s">
        <v>736</v>
      </c>
      <c r="H429" s="609"/>
      <c r="I429" s="609"/>
      <c r="J429" s="609"/>
      <c r="K429" s="609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696"/>
      <c r="AJ429" s="696"/>
      <c r="AK429" s="696"/>
      <c r="AL429" s="696"/>
      <c r="AM429" s="696"/>
      <c r="AN429" s="696"/>
      <c r="AO429" s="696"/>
      <c r="AP429" s="696">
        <v>-6.5127215999999988E-2</v>
      </c>
      <c r="AQ429" s="696">
        <v>-0.14229647187283298</v>
      </c>
      <c r="AR429" s="696">
        <v>-0.23216435341123759</v>
      </c>
      <c r="AS429" s="696">
        <v>-0.2643689906674489</v>
      </c>
      <c r="AT429" s="696">
        <v>-0.27307407266216371</v>
      </c>
      <c r="AU429" s="696">
        <v>-0.27957064406382814</v>
      </c>
      <c r="AV429" s="696">
        <v>-0.28296609746768614</v>
      </c>
      <c r="AW429" s="696">
        <v>-0.28314695822672609</v>
      </c>
      <c r="AX429" s="696">
        <v>-0.28146647915625422</v>
      </c>
      <c r="AY429" s="696">
        <v>-0.2968557963708307</v>
      </c>
      <c r="AZ429" s="696">
        <v>-0.30945572563198859</v>
      </c>
      <c r="BA429" s="696">
        <v>-0.32674556566821467</v>
      </c>
      <c r="BB429" s="696">
        <v>-0.34818942015837484</v>
      </c>
      <c r="BC429" s="696">
        <v>-0.37349178038625663</v>
      </c>
      <c r="BD429" s="696">
        <v>-0.50389828066817366</v>
      </c>
      <c r="BE429" s="696">
        <v>-0.70510697760514507</v>
      </c>
      <c r="BF429" s="696">
        <v>-0.8799409444605546</v>
      </c>
      <c r="BG429" s="696">
        <v>-1.0205748612336933</v>
      </c>
      <c r="BH429" s="696">
        <v>-0.97040313075413964</v>
      </c>
      <c r="BI429" s="696">
        <v>-0.97698625206095779</v>
      </c>
      <c r="BJ429" s="696">
        <v>-1.0633214286791761</v>
      </c>
      <c r="BK429" s="696">
        <v>-1.1048512986071868</v>
      </c>
      <c r="BL429" s="696">
        <v>-1.2186802031089223</v>
      </c>
      <c r="BM429" s="696">
        <v>-1.2852760632377012</v>
      </c>
      <c r="BN429" s="696">
        <v>-1.3574287373697418</v>
      </c>
      <c r="BO429" s="696">
        <v>-1.4314999521086293</v>
      </c>
      <c r="BP429" s="696">
        <v>-1.5420875855906402</v>
      </c>
      <c r="BQ429" s="696">
        <v>-1.6003662478904968</v>
      </c>
      <c r="BR429" s="696">
        <v>-1.6597536404691722</v>
      </c>
      <c r="BS429" s="696">
        <v>-1.7187235261128311</v>
      </c>
      <c r="BT429" s="696">
        <v>-1.7796089159158244</v>
      </c>
      <c r="BU429" s="696">
        <v>-1.8411570813434652</v>
      </c>
      <c r="BV429" s="696">
        <v>-1.9133164822780322</v>
      </c>
      <c r="BW429" s="696">
        <v>-1.9971711554680995</v>
      </c>
      <c r="BX429" s="696">
        <v>-2.0791210500769104</v>
      </c>
      <c r="BY429" s="696">
        <v>-2.2983892192852684</v>
      </c>
      <c r="BZ429" s="696">
        <v>-2.3825846111392024</v>
      </c>
      <c r="CA429" s="696">
        <v>-2.4688931637756921</v>
      </c>
      <c r="CB429" s="696">
        <v>-2.6094614381752699</v>
      </c>
      <c r="CC429" s="696">
        <v>-2.71117512492778</v>
      </c>
      <c r="CD429" s="696">
        <v>-2.7999316432875263</v>
      </c>
      <c r="CE429" s="696">
        <v>-3.0676982015736183</v>
      </c>
      <c r="CF429" s="696">
        <v>-3.1567188307366534</v>
      </c>
      <c r="CG429" s="696">
        <v>-3.250126573114132</v>
      </c>
      <c r="CH429" s="696">
        <v>-3.3443090266859521</v>
      </c>
      <c r="CI429" s="696">
        <v>-3.4297191629846209</v>
      </c>
      <c r="CJ429" s="696">
        <v>-3.5040205246418328</v>
      </c>
      <c r="CK429" s="696">
        <v>-3.5790215978307485</v>
      </c>
      <c r="CL429" s="696">
        <v>-3.6543466316419848</v>
      </c>
      <c r="CM429" s="696">
        <v>-3.7337146767688232</v>
      </c>
      <c r="CN429" s="696">
        <v>-3.8411032913968528</v>
      </c>
      <c r="CO429" s="696">
        <v>-3.9209105943398845</v>
      </c>
      <c r="CP429" s="696">
        <v>-4.0010102422528711</v>
      </c>
      <c r="CQ429" s="696">
        <v>-4.0812144892325719</v>
      </c>
      <c r="CR429" s="696">
        <v>-4.1612906699209207</v>
      </c>
      <c r="CS429" s="696">
        <v>-4.24125893297622</v>
      </c>
      <c r="CT429" s="696">
        <v>-4.3211292053779502</v>
      </c>
      <c r="CU429" s="696">
        <v>-4.4009885828518698</v>
      </c>
      <c r="CV429" s="696">
        <v>-4.4808400030252837</v>
      </c>
      <c r="CW429" s="696">
        <v>-4.560689228128779</v>
      </c>
      <c r="CX429" s="696">
        <v>-4.6405423811900643</v>
      </c>
      <c r="CY429" s="696">
        <v>-4.7204015764409952</v>
      </c>
      <c r="CZ429" s="126"/>
      <c r="DA429" s="12">
        <v>0</v>
      </c>
      <c r="DB429" s="14">
        <v>-0.20742368787283297</v>
      </c>
      <c r="DC429" s="14">
        <v>-3.5514958838710102</v>
      </c>
      <c r="DD429" s="14">
        <v>-12.517968129894021</v>
      </c>
      <c r="DE429" s="14">
        <v>-23.281172679345637</v>
      </c>
      <c r="DF429" s="14">
        <v>-38.840243432368936</v>
      </c>
      <c r="DG429" s="14">
        <v>-51.37137919713426</v>
      </c>
    </row>
    <row r="430" spans="2:111">
      <c r="B430" s="126"/>
      <c r="C430" s="126"/>
      <c r="D430" s="126" t="s">
        <v>100</v>
      </c>
      <c r="E430" s="126"/>
      <c r="F430" s="609"/>
      <c r="G430" s="609" t="s">
        <v>736</v>
      </c>
      <c r="H430" s="609"/>
      <c r="I430" s="609"/>
      <c r="J430" s="609"/>
      <c r="K430" s="609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710"/>
      <c r="AJ430" s="710"/>
      <c r="AK430" s="710"/>
      <c r="AL430" s="710"/>
      <c r="AM430" s="710"/>
      <c r="AN430" s="710"/>
      <c r="AO430" s="710"/>
      <c r="AP430" s="710">
        <v>-5.6279999999999997E-2</v>
      </c>
      <c r="AQ430" s="710">
        <v>-0.1125</v>
      </c>
      <c r="AR430" s="710">
        <v>-0.11712500000000001</v>
      </c>
      <c r="AS430" s="710">
        <v>-0.12175</v>
      </c>
      <c r="AT430" s="710">
        <v>-0.12637500000000002</v>
      </c>
      <c r="AU430" s="710">
        <v>-0.13100000000000001</v>
      </c>
      <c r="AV430" s="710">
        <v>-0.13562500000000002</v>
      </c>
      <c r="AW430" s="710">
        <v>-0.14025000000000004</v>
      </c>
      <c r="AX430" s="710">
        <v>-0.14487500000000003</v>
      </c>
      <c r="AY430" s="710">
        <v>-0.14950000000000002</v>
      </c>
      <c r="AZ430" s="710">
        <v>-0.15412500000000004</v>
      </c>
      <c r="BA430" s="710">
        <v>-0.15875000000000003</v>
      </c>
      <c r="BB430" s="710">
        <v>-0.16337500000000002</v>
      </c>
      <c r="BC430" s="710">
        <v>-0.16800000000000001</v>
      </c>
      <c r="BD430" s="710">
        <v>-0.17499999999999999</v>
      </c>
      <c r="BE430" s="710">
        <v>-0.182</v>
      </c>
      <c r="BF430" s="710">
        <v>-0.189</v>
      </c>
      <c r="BG430" s="710">
        <v>-0.19600000000000001</v>
      </c>
      <c r="BH430" s="710">
        <v>-0.20300000000000001</v>
      </c>
      <c r="BI430" s="710">
        <v>-0.21</v>
      </c>
      <c r="BJ430" s="710">
        <v>-0.217</v>
      </c>
      <c r="BK430" s="710">
        <v>-0.224</v>
      </c>
      <c r="BL430" s="710">
        <v>-0.23100000000000001</v>
      </c>
      <c r="BM430" s="710">
        <v>-0.23799999999999999</v>
      </c>
      <c r="BN430" s="710">
        <v>-0.24499999999999997</v>
      </c>
      <c r="BO430" s="710">
        <v>-0.25199999999999995</v>
      </c>
      <c r="BP430" s="710">
        <v>-0.25599999999999995</v>
      </c>
      <c r="BQ430" s="710">
        <v>-0.25999999999999995</v>
      </c>
      <c r="BR430" s="710">
        <v>-0.2639999999999999</v>
      </c>
      <c r="BS430" s="710">
        <v>-0.2679999999999999</v>
      </c>
      <c r="BT430" s="710">
        <v>-0.27199999999999991</v>
      </c>
      <c r="BU430" s="710">
        <v>-0.27599999999999991</v>
      </c>
      <c r="BV430" s="710">
        <v>-0.27999999999999986</v>
      </c>
      <c r="BW430" s="710">
        <v>-0.28399999999999981</v>
      </c>
      <c r="BX430" s="710">
        <v>-0.28799999999999981</v>
      </c>
      <c r="BY430" s="710">
        <v>-0.29199999999999982</v>
      </c>
      <c r="BZ430" s="710">
        <v>-0.29599999999999976</v>
      </c>
      <c r="CA430" s="710">
        <v>-0.3</v>
      </c>
      <c r="CB430" s="710">
        <v>-0.3</v>
      </c>
      <c r="CC430" s="710">
        <v>-0.3</v>
      </c>
      <c r="CD430" s="710">
        <v>-0.3</v>
      </c>
      <c r="CE430" s="710">
        <v>-0.3</v>
      </c>
      <c r="CF430" s="710">
        <v>-0.3</v>
      </c>
      <c r="CG430" s="710">
        <v>-0.3</v>
      </c>
      <c r="CH430" s="710">
        <v>-0.3</v>
      </c>
      <c r="CI430" s="710">
        <v>-0.3</v>
      </c>
      <c r="CJ430" s="710">
        <v>-0.3</v>
      </c>
      <c r="CK430" s="710">
        <v>-0.3</v>
      </c>
      <c r="CL430" s="710">
        <v>-0.3</v>
      </c>
      <c r="CM430" s="710">
        <v>-0.3</v>
      </c>
      <c r="CN430" s="710">
        <v>-0.3</v>
      </c>
      <c r="CO430" s="710">
        <v>-0.3</v>
      </c>
      <c r="CP430" s="710">
        <v>-0.3</v>
      </c>
      <c r="CQ430" s="710">
        <v>-0.3</v>
      </c>
      <c r="CR430" s="710">
        <v>-0.3</v>
      </c>
      <c r="CS430" s="710">
        <v>-0.3</v>
      </c>
      <c r="CT430" s="710">
        <v>-0.3</v>
      </c>
      <c r="CU430" s="710">
        <v>-0.3</v>
      </c>
      <c r="CV430" s="710">
        <v>-0.3</v>
      </c>
      <c r="CW430" s="710">
        <v>-0.3</v>
      </c>
      <c r="CX430" s="710">
        <v>-0.3</v>
      </c>
      <c r="CY430" s="710">
        <v>-0.3</v>
      </c>
      <c r="CZ430" s="126"/>
      <c r="DA430" s="12">
        <v>0</v>
      </c>
      <c r="DB430" s="12">
        <v>-0.16877999999999999</v>
      </c>
      <c r="DC430" s="12">
        <v>-1.7107500000000002</v>
      </c>
      <c r="DD430" s="12">
        <v>-2.5620000000000003</v>
      </c>
      <c r="DE430" s="12">
        <v>-3.3359999999999981</v>
      </c>
      <c r="DF430" s="12">
        <v>-3.5999999999999992</v>
      </c>
      <c r="DG430" s="12">
        <v>-3.5999999999999992</v>
      </c>
    </row>
    <row r="431" spans="2:111">
      <c r="B431" s="126"/>
      <c r="C431" s="126"/>
      <c r="D431" s="126" t="s">
        <v>107</v>
      </c>
      <c r="E431" s="126"/>
      <c r="F431" s="609"/>
      <c r="G431" s="609" t="s">
        <v>736</v>
      </c>
      <c r="H431" s="609"/>
      <c r="I431" s="609"/>
      <c r="J431" s="609"/>
      <c r="K431" s="609"/>
      <c r="L431" s="126"/>
      <c r="M431" s="126"/>
      <c r="N431" s="126"/>
      <c r="O431" s="758"/>
      <c r="P431" s="758"/>
      <c r="Q431" s="758"/>
      <c r="R431" s="758"/>
      <c r="S431" s="758"/>
      <c r="T431" s="758"/>
      <c r="U431" s="758"/>
      <c r="V431" s="758"/>
      <c r="W431" s="758"/>
      <c r="X431" s="758"/>
      <c r="Y431" s="758"/>
      <c r="Z431" s="758"/>
      <c r="AA431" s="758"/>
      <c r="AB431" s="758"/>
      <c r="AC431" s="758"/>
      <c r="AD431" s="758"/>
      <c r="AE431" s="758"/>
      <c r="AF431" s="758"/>
      <c r="AG431" s="758"/>
      <c r="AH431" s="758"/>
      <c r="AI431" s="710"/>
      <c r="AJ431" s="710"/>
      <c r="AK431" s="710"/>
      <c r="AL431" s="710"/>
      <c r="AM431" s="710"/>
      <c r="AN431" s="710"/>
      <c r="AO431" s="710"/>
      <c r="AP431" s="710">
        <v>0</v>
      </c>
      <c r="AQ431" s="710">
        <v>-1.8759999999999998E-3</v>
      </c>
      <c r="AR431" s="710">
        <v>-4.9227499999999992E-3</v>
      </c>
      <c r="AS431" s="710">
        <v>-7.1476249999999995E-3</v>
      </c>
      <c r="AT431" s="710">
        <v>-1.0191375000000001E-2</v>
      </c>
      <c r="AU431" s="710">
        <v>-1.335075E-2</v>
      </c>
      <c r="AV431" s="710">
        <v>-1.6625750000000002E-2</v>
      </c>
      <c r="AW431" s="710">
        <v>-2.0016375000000003E-2</v>
      </c>
      <c r="AX431" s="710">
        <v>-2.3522625000000002E-2</v>
      </c>
      <c r="AY431" s="710">
        <v>-2.7144500000000009E-2</v>
      </c>
      <c r="AZ431" s="710">
        <v>-3.0882000000000007E-2</v>
      </c>
      <c r="BA431" s="710">
        <v>-3.4735125000000013E-2</v>
      </c>
      <c r="BB431" s="710">
        <v>-3.8703875000000006E-2</v>
      </c>
      <c r="BC431" s="710">
        <v>-4.2788250000000007E-2</v>
      </c>
      <c r="BD431" s="710">
        <v>-4.6988250000000002E-2</v>
      </c>
      <c r="BE431" s="710">
        <v>-8.560541666666667E-2</v>
      </c>
      <c r="BF431" s="710">
        <v>-9.3188750000000001E-2</v>
      </c>
      <c r="BG431" s="710">
        <v>-0.10106374999999999</v>
      </c>
      <c r="BH431" s="710">
        <v>-0.10923041666666665</v>
      </c>
      <c r="BI431" s="710">
        <v>-0.11768874999999999</v>
      </c>
      <c r="BJ431" s="710">
        <v>-0.12643874999999999</v>
      </c>
      <c r="BK431" s="710">
        <v>-0.13548041666666666</v>
      </c>
      <c r="BL431" s="710">
        <v>-0.14481374999999999</v>
      </c>
      <c r="BM431" s="710">
        <v>-0.15443874999999999</v>
      </c>
      <c r="BN431" s="710">
        <v>-0.16435541666666664</v>
      </c>
      <c r="BO431" s="710">
        <v>-0.17456374999999996</v>
      </c>
      <c r="BP431" s="710">
        <v>-0.18506374999999997</v>
      </c>
      <c r="BQ431" s="710">
        <v>-0.19573041666666666</v>
      </c>
      <c r="BR431" s="710">
        <v>-0.20656374999999996</v>
      </c>
      <c r="BS431" s="710">
        <v>-0.21756374999999997</v>
      </c>
      <c r="BT431" s="710">
        <v>-0.22873041666666666</v>
      </c>
      <c r="BU431" s="710">
        <v>-0.24006374999999996</v>
      </c>
      <c r="BV431" s="710">
        <v>-0.25156374999999997</v>
      </c>
      <c r="BW431" s="710">
        <v>-0.26323041666666658</v>
      </c>
      <c r="BX431" s="710">
        <v>-0.27506375</v>
      </c>
      <c r="BY431" s="710">
        <v>-0.2870637499999999</v>
      </c>
      <c r="BZ431" s="710">
        <v>-0.29923041666666661</v>
      </c>
      <c r="CA431" s="710">
        <v>-0.31156374999999992</v>
      </c>
      <c r="CB431" s="710">
        <v>-0.32406374999999993</v>
      </c>
      <c r="CC431" s="710">
        <v>-0.33656374999999994</v>
      </c>
      <c r="CD431" s="710">
        <v>-0.34906374999999989</v>
      </c>
      <c r="CE431" s="710">
        <v>-0.36156374999999991</v>
      </c>
      <c r="CF431" s="710">
        <v>-0.37406374999999992</v>
      </c>
      <c r="CG431" s="710">
        <v>-0.38656374999999993</v>
      </c>
      <c r="CH431" s="710">
        <v>-0.39906374999999994</v>
      </c>
      <c r="CI431" s="710">
        <v>-0.41156374999999989</v>
      </c>
      <c r="CJ431" s="710">
        <v>-0.42406374999999991</v>
      </c>
      <c r="CK431" s="710">
        <v>-0.43656374999999992</v>
      </c>
      <c r="CL431" s="710">
        <v>-0.44906374999999993</v>
      </c>
      <c r="CM431" s="710">
        <v>-0.46156374999999994</v>
      </c>
      <c r="CN431" s="710">
        <v>-0.47406374999999989</v>
      </c>
      <c r="CO431" s="710">
        <v>-0.48656374999999991</v>
      </c>
      <c r="CP431" s="710">
        <v>-0.49906374999999992</v>
      </c>
      <c r="CQ431" s="710">
        <v>-0.51156374999999987</v>
      </c>
      <c r="CR431" s="710">
        <v>-0.52406374999999994</v>
      </c>
      <c r="CS431" s="710">
        <v>-0.53656374999999989</v>
      </c>
      <c r="CT431" s="710">
        <v>-0.54906374999999996</v>
      </c>
      <c r="CU431" s="710">
        <v>-0.56156374999999992</v>
      </c>
      <c r="CV431" s="710">
        <v>-0.57406374999999987</v>
      </c>
      <c r="CW431" s="710">
        <v>-0.58656374999999994</v>
      </c>
      <c r="CX431" s="710">
        <v>-0.59906374999999989</v>
      </c>
      <c r="CY431" s="710">
        <v>-0.61156374999999996</v>
      </c>
      <c r="CZ431" s="126"/>
      <c r="DA431" s="12">
        <v>0</v>
      </c>
      <c r="DB431" s="12">
        <v>-1.8759999999999998E-3</v>
      </c>
      <c r="DC431" s="12">
        <v>-0.27003100000000002</v>
      </c>
      <c r="DD431" s="12">
        <v>-1.4538561666666667</v>
      </c>
      <c r="DE431" s="12">
        <v>-2.961431666666666</v>
      </c>
      <c r="DF431" s="12">
        <v>-4.7137649999999987</v>
      </c>
      <c r="DG431" s="12">
        <v>-6.5137649999999994</v>
      </c>
    </row>
    <row r="432" spans="2:111">
      <c r="B432" s="126"/>
      <c r="C432" s="126"/>
      <c r="D432" s="126" t="s">
        <v>806</v>
      </c>
      <c r="E432" s="126"/>
      <c r="F432" s="609"/>
      <c r="G432" s="609" t="s">
        <v>736</v>
      </c>
      <c r="H432" s="609"/>
      <c r="I432" s="609"/>
      <c r="J432" s="609"/>
      <c r="K432" s="609"/>
      <c r="L432" s="126"/>
      <c r="M432" s="126"/>
      <c r="N432" s="126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710"/>
      <c r="AJ432" s="710"/>
      <c r="AK432" s="710"/>
      <c r="AL432" s="710"/>
      <c r="AM432" s="710"/>
      <c r="AN432" s="710"/>
      <c r="AO432" s="710"/>
      <c r="AP432" s="710">
        <v>-3.7520000000000001E-3</v>
      </c>
      <c r="AQ432" s="710">
        <v>-7.4999999999999997E-3</v>
      </c>
      <c r="AR432" s="710">
        <v>-7.8083333333333338E-3</v>
      </c>
      <c r="AS432" s="710">
        <v>-8.1166666666666661E-3</v>
      </c>
      <c r="AT432" s="710">
        <v>-8.4250000000000002E-3</v>
      </c>
      <c r="AU432" s="710">
        <v>-8.7333333333333343E-3</v>
      </c>
      <c r="AV432" s="710">
        <v>-9.0416666666666683E-3</v>
      </c>
      <c r="AW432" s="710">
        <v>-9.3500000000000024E-3</v>
      </c>
      <c r="AX432" s="710">
        <v>-9.6583333333333365E-3</v>
      </c>
      <c r="AY432" s="710">
        <v>-9.9666666666666671E-3</v>
      </c>
      <c r="AZ432" s="710">
        <v>-1.0275000000000001E-2</v>
      </c>
      <c r="BA432" s="710">
        <v>-1.0583333333333335E-2</v>
      </c>
      <c r="BB432" s="710">
        <v>-1.0891666666666669E-2</v>
      </c>
      <c r="BC432" s="710">
        <v>-1.12E-2</v>
      </c>
      <c r="BD432" s="710">
        <v>-1.1666666666666665E-2</v>
      </c>
      <c r="BE432" s="710">
        <v>-1.2133333333333333E-2</v>
      </c>
      <c r="BF432" s="710">
        <v>-1.26E-2</v>
      </c>
      <c r="BG432" s="710">
        <v>-1.3066666666666666E-2</v>
      </c>
      <c r="BH432" s="710">
        <v>-1.3533333333333335E-2</v>
      </c>
      <c r="BI432" s="710">
        <v>-1.4E-2</v>
      </c>
      <c r="BJ432" s="710">
        <v>-1.4466666666666666E-2</v>
      </c>
      <c r="BK432" s="710">
        <v>-1.4933333333333333E-2</v>
      </c>
      <c r="BL432" s="710">
        <v>-1.54E-2</v>
      </c>
      <c r="BM432" s="710">
        <v>-1.5866666666666668E-2</v>
      </c>
      <c r="BN432" s="710">
        <v>-1.6333333333333332E-2</v>
      </c>
      <c r="BO432" s="710">
        <v>-1.6799999999999995E-2</v>
      </c>
      <c r="BP432" s="710">
        <v>-1.7066666666666664E-2</v>
      </c>
      <c r="BQ432" s="710">
        <v>-1.7333333333333329E-2</v>
      </c>
      <c r="BR432" s="710">
        <v>-1.7599999999999994E-2</v>
      </c>
      <c r="BS432" s="710">
        <v>-1.7866666666666659E-2</v>
      </c>
      <c r="BT432" s="710">
        <v>-1.8133333333333324E-2</v>
      </c>
      <c r="BU432" s="710">
        <v>-1.8399999999999993E-2</v>
      </c>
      <c r="BV432" s="710">
        <v>-1.8666666666666658E-2</v>
      </c>
      <c r="BW432" s="710">
        <v>-1.8933333333333323E-2</v>
      </c>
      <c r="BX432" s="710">
        <v>-1.9199999999999988E-2</v>
      </c>
      <c r="BY432" s="710">
        <v>-1.9466666666666653E-2</v>
      </c>
      <c r="BZ432" s="710">
        <v>-1.9733333333333321E-2</v>
      </c>
      <c r="CA432" s="710">
        <v>-0.02</v>
      </c>
      <c r="CB432" s="710">
        <v>-0.02</v>
      </c>
      <c r="CC432" s="710">
        <v>-0.02</v>
      </c>
      <c r="CD432" s="710">
        <v>-0.02</v>
      </c>
      <c r="CE432" s="710">
        <v>-0.02</v>
      </c>
      <c r="CF432" s="710">
        <v>-0.02</v>
      </c>
      <c r="CG432" s="710">
        <v>-0.02</v>
      </c>
      <c r="CH432" s="710">
        <v>-0.02</v>
      </c>
      <c r="CI432" s="710">
        <v>-0.02</v>
      </c>
      <c r="CJ432" s="710">
        <v>-0.02</v>
      </c>
      <c r="CK432" s="710">
        <v>-0.02</v>
      </c>
      <c r="CL432" s="710">
        <v>-0.02</v>
      </c>
      <c r="CM432" s="710">
        <v>-0.02</v>
      </c>
      <c r="CN432" s="710">
        <v>-0.02</v>
      </c>
      <c r="CO432" s="710">
        <v>-0.02</v>
      </c>
      <c r="CP432" s="710">
        <v>-0.02</v>
      </c>
      <c r="CQ432" s="710">
        <v>-0.02</v>
      </c>
      <c r="CR432" s="710">
        <v>-0.02</v>
      </c>
      <c r="CS432" s="710">
        <v>-0.02</v>
      </c>
      <c r="CT432" s="710">
        <v>-0.02</v>
      </c>
      <c r="CU432" s="710">
        <v>-0.02</v>
      </c>
      <c r="CV432" s="710">
        <v>-0.02</v>
      </c>
      <c r="CW432" s="710">
        <v>-0.02</v>
      </c>
      <c r="CX432" s="710">
        <v>-0.02</v>
      </c>
      <c r="CY432" s="710">
        <v>-0.02</v>
      </c>
      <c r="CZ432" s="126"/>
      <c r="DA432" s="12">
        <v>0</v>
      </c>
      <c r="DB432" s="12">
        <v>-1.1252E-2</v>
      </c>
      <c r="DC432" s="12">
        <v>-0.11405000000000004</v>
      </c>
      <c r="DD432" s="12">
        <v>-0.17080000000000001</v>
      </c>
      <c r="DE432" s="12">
        <v>-0.22239999999999993</v>
      </c>
      <c r="DF432" s="12">
        <v>-0.23999999999999996</v>
      </c>
      <c r="DG432" s="12">
        <v>-0.23999999999999996</v>
      </c>
    </row>
    <row r="433" spans="2:111">
      <c r="B433" s="126"/>
      <c r="C433" s="126"/>
      <c r="D433" s="126" t="s">
        <v>807</v>
      </c>
      <c r="E433" s="126"/>
      <c r="F433" s="609"/>
      <c r="G433" s="609" t="s">
        <v>736</v>
      </c>
      <c r="H433" s="609"/>
      <c r="I433" s="609"/>
      <c r="J433" s="609"/>
      <c r="K433" s="609"/>
      <c r="L433" s="126"/>
      <c r="M433" s="126"/>
      <c r="N433" s="126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759"/>
      <c r="AG433" s="759"/>
      <c r="AH433" s="759"/>
      <c r="AI433" s="710"/>
      <c r="AJ433" s="710"/>
      <c r="AK433" s="710"/>
      <c r="AL433" s="710"/>
      <c r="AM433" s="710"/>
      <c r="AN433" s="710"/>
      <c r="AO433" s="710"/>
      <c r="AP433" s="710"/>
      <c r="AQ433" s="710"/>
      <c r="AR433" s="710"/>
      <c r="AS433" s="710"/>
      <c r="AT433" s="710"/>
      <c r="AU433" s="710"/>
      <c r="AV433" s="710"/>
      <c r="AW433" s="710"/>
      <c r="AX433" s="710"/>
      <c r="AY433" s="710"/>
      <c r="AZ433" s="710"/>
      <c r="BA433" s="710"/>
      <c r="BB433" s="710"/>
      <c r="BC433" s="710"/>
      <c r="BD433" s="710"/>
      <c r="BE433" s="710"/>
      <c r="BF433" s="710"/>
      <c r="BG433" s="710"/>
      <c r="BH433" s="710"/>
      <c r="BI433" s="710"/>
      <c r="BJ433" s="710"/>
      <c r="BK433" s="710"/>
      <c r="BL433" s="710"/>
      <c r="BM433" s="710"/>
      <c r="BN433" s="710"/>
      <c r="BO433" s="710"/>
      <c r="BP433" s="710"/>
      <c r="BQ433" s="710"/>
      <c r="BR433" s="710"/>
      <c r="BS433" s="710"/>
      <c r="BT433" s="710"/>
      <c r="BU433" s="710"/>
      <c r="BV433" s="710"/>
      <c r="BW433" s="710"/>
      <c r="BX433" s="710"/>
      <c r="BY433" s="710"/>
      <c r="BZ433" s="710"/>
      <c r="CA433" s="710"/>
      <c r="CB433" s="710"/>
      <c r="CC433" s="710"/>
      <c r="CD433" s="710"/>
      <c r="CE433" s="710"/>
      <c r="CF433" s="710"/>
      <c r="CG433" s="710"/>
      <c r="CH433" s="710"/>
      <c r="CI433" s="710"/>
      <c r="CJ433" s="710"/>
      <c r="CK433" s="710"/>
      <c r="CL433" s="710"/>
      <c r="CM433" s="710"/>
      <c r="CN433" s="710"/>
      <c r="CO433" s="710"/>
      <c r="CP433" s="710"/>
      <c r="CQ433" s="710"/>
      <c r="CR433" s="710"/>
      <c r="CS433" s="710"/>
      <c r="CT433" s="710"/>
      <c r="CU433" s="710"/>
      <c r="CV433" s="710"/>
      <c r="CW433" s="710"/>
      <c r="CX433" s="710"/>
      <c r="CY433" s="710"/>
      <c r="CZ433" s="126"/>
      <c r="DA433" s="14">
        <v>0</v>
      </c>
      <c r="DB433" s="12">
        <v>0</v>
      </c>
      <c r="DC433" s="12">
        <v>0</v>
      </c>
      <c r="DD433" s="12">
        <v>0</v>
      </c>
      <c r="DE433" s="12">
        <v>0</v>
      </c>
      <c r="DF433" s="12">
        <v>0</v>
      </c>
      <c r="DG433" s="12">
        <v>0</v>
      </c>
    </row>
    <row r="434" spans="2:111">
      <c r="B434" s="126"/>
      <c r="C434" s="126"/>
      <c r="D434" s="126" t="s">
        <v>703</v>
      </c>
      <c r="E434" s="702"/>
      <c r="F434" s="725"/>
      <c r="G434" s="609" t="s">
        <v>736</v>
      </c>
      <c r="H434" s="609"/>
      <c r="I434" s="609"/>
      <c r="J434" s="609"/>
      <c r="K434" s="609"/>
      <c r="L434" s="126"/>
      <c r="M434" s="126"/>
      <c r="N434" s="126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710"/>
      <c r="AJ434" s="710"/>
      <c r="AK434" s="710"/>
      <c r="AL434" s="710"/>
      <c r="AM434" s="710"/>
      <c r="AN434" s="710"/>
      <c r="AO434" s="710"/>
      <c r="AP434" s="710"/>
      <c r="AQ434" s="710"/>
      <c r="AR434" s="710"/>
      <c r="AS434" s="710"/>
      <c r="AT434" s="710"/>
      <c r="AU434" s="710"/>
      <c r="AV434" s="710"/>
      <c r="AW434" s="710"/>
      <c r="AX434" s="710"/>
      <c r="AY434" s="710"/>
      <c r="AZ434" s="710"/>
      <c r="BA434" s="710"/>
      <c r="BB434" s="710"/>
      <c r="BC434" s="710"/>
      <c r="BD434" s="710"/>
      <c r="BE434" s="710"/>
      <c r="BF434" s="710"/>
      <c r="BG434" s="710"/>
      <c r="BH434" s="710"/>
      <c r="BI434" s="710"/>
      <c r="BJ434" s="710"/>
      <c r="BK434" s="710"/>
      <c r="BL434" s="710"/>
      <c r="BM434" s="710"/>
      <c r="BN434" s="710"/>
      <c r="BO434" s="710"/>
      <c r="BP434" s="710"/>
      <c r="BQ434" s="710"/>
      <c r="BR434" s="710"/>
      <c r="BS434" s="710"/>
      <c r="BT434" s="710"/>
      <c r="BU434" s="710"/>
      <c r="BV434" s="710"/>
      <c r="BW434" s="710"/>
      <c r="BX434" s="710"/>
      <c r="BY434" s="710"/>
      <c r="BZ434" s="710"/>
      <c r="CA434" s="710"/>
      <c r="CB434" s="710"/>
      <c r="CC434" s="710"/>
      <c r="CD434" s="710"/>
      <c r="CE434" s="710"/>
      <c r="CF434" s="710"/>
      <c r="CG434" s="710"/>
      <c r="CH434" s="710"/>
      <c r="CI434" s="710"/>
      <c r="CJ434" s="710"/>
      <c r="CK434" s="710"/>
      <c r="CL434" s="710"/>
      <c r="CM434" s="710"/>
      <c r="CN434" s="710"/>
      <c r="CO434" s="710"/>
      <c r="CP434" s="710"/>
      <c r="CQ434" s="710"/>
      <c r="CR434" s="710"/>
      <c r="CS434" s="710"/>
      <c r="CT434" s="710"/>
      <c r="CU434" s="710"/>
      <c r="CV434" s="710"/>
      <c r="CW434" s="710"/>
      <c r="CX434" s="710"/>
      <c r="CY434" s="710"/>
      <c r="CZ434" s="126"/>
      <c r="DA434" s="12">
        <v>0</v>
      </c>
      <c r="DB434" s="12">
        <v>0</v>
      </c>
      <c r="DC434" s="12">
        <v>0</v>
      </c>
      <c r="DD434" s="12">
        <v>0</v>
      </c>
      <c r="DE434" s="12">
        <v>0</v>
      </c>
      <c r="DF434" s="12">
        <v>0</v>
      </c>
      <c r="DG434" s="12">
        <v>0</v>
      </c>
    </row>
    <row r="435" spans="2:111">
      <c r="B435" s="126"/>
      <c r="C435" s="126"/>
      <c r="D435" s="126" t="s">
        <v>163</v>
      </c>
      <c r="E435" s="702"/>
      <c r="F435" s="725"/>
      <c r="G435" s="609" t="s">
        <v>736</v>
      </c>
      <c r="H435" s="609"/>
      <c r="I435" s="609"/>
      <c r="J435" s="609"/>
      <c r="K435" s="609"/>
      <c r="L435" s="126"/>
      <c r="M435" s="126"/>
      <c r="N435" s="126"/>
      <c r="O435" s="12"/>
      <c r="P435" s="12"/>
      <c r="Q435" s="12"/>
      <c r="R435" s="12"/>
      <c r="S435" s="12"/>
      <c r="T435" s="12"/>
      <c r="U435" s="12"/>
      <c r="V435" s="12"/>
      <c r="W435" s="12"/>
      <c r="X435" s="702"/>
      <c r="Y435" s="702"/>
      <c r="Z435" s="702"/>
      <c r="AA435" s="702"/>
      <c r="AB435" s="702"/>
      <c r="AC435" s="702"/>
      <c r="AD435" s="702"/>
      <c r="AE435" s="702"/>
      <c r="AF435" s="702"/>
      <c r="AG435" s="702"/>
      <c r="AH435" s="702"/>
      <c r="AI435" s="710"/>
      <c r="AJ435" s="710"/>
      <c r="AK435" s="710"/>
      <c r="AL435" s="710"/>
      <c r="AM435" s="710"/>
      <c r="AN435" s="710"/>
      <c r="AO435" s="710"/>
      <c r="AP435" s="710">
        <v>-2.6263999999999997E-3</v>
      </c>
      <c r="AQ435" s="710">
        <v>-7.8764000000000004E-3</v>
      </c>
      <c r="AR435" s="710">
        <v>-1.3342233333333333E-2</v>
      </c>
      <c r="AS435" s="710">
        <v>-1.90239E-2</v>
      </c>
      <c r="AT435" s="710">
        <v>-2.49214E-2</v>
      </c>
      <c r="AU435" s="710">
        <v>-3.1034733333333338E-2</v>
      </c>
      <c r="AV435" s="710">
        <v>-3.7363900000000005E-2</v>
      </c>
      <c r="AW435" s="710">
        <v>-4.3908900000000008E-2</v>
      </c>
      <c r="AX435" s="710">
        <v>-5.0669733333333342E-2</v>
      </c>
      <c r="AY435" s="710">
        <v>-5.7646400000000014E-2</v>
      </c>
      <c r="AZ435" s="710">
        <v>-6.4838900000000019E-2</v>
      </c>
      <c r="BA435" s="710">
        <v>-7.2247233333333355E-2</v>
      </c>
      <c r="BB435" s="710">
        <v>-7.9871400000000009E-2</v>
      </c>
      <c r="BC435" s="710">
        <v>-8.7711400000000009E-2</v>
      </c>
      <c r="BD435" s="710">
        <v>-9.5878066666666678E-2</v>
      </c>
      <c r="BE435" s="710">
        <v>-0.1043714</v>
      </c>
      <c r="BF435" s="710">
        <v>-0.1131914</v>
      </c>
      <c r="BG435" s="710">
        <v>-0.12233806666666666</v>
      </c>
      <c r="BH435" s="710">
        <v>-0.1318114</v>
      </c>
      <c r="BI435" s="710">
        <v>-0.1416114</v>
      </c>
      <c r="BJ435" s="710">
        <v>-0.15173806666666664</v>
      </c>
      <c r="BK435" s="710">
        <v>-0.16219139999999999</v>
      </c>
      <c r="BL435" s="710">
        <v>-0.1729714</v>
      </c>
      <c r="BM435" s="710">
        <v>-0.18407806666666665</v>
      </c>
      <c r="BN435" s="710">
        <v>-0.19551139999999997</v>
      </c>
      <c r="BO435" s="710">
        <v>-0.20727139999999999</v>
      </c>
      <c r="BP435" s="710">
        <v>-0.21921806666666666</v>
      </c>
      <c r="BQ435" s="710">
        <v>-0.23135139999999996</v>
      </c>
      <c r="BR435" s="710">
        <v>-0.24367139999999998</v>
      </c>
      <c r="BS435" s="710">
        <v>-0.25617806666666665</v>
      </c>
      <c r="BT435" s="710">
        <v>-0.26887139999999998</v>
      </c>
      <c r="BU435" s="710">
        <v>-0.28175139999999999</v>
      </c>
      <c r="BV435" s="710">
        <v>-0.2948180666666666</v>
      </c>
      <c r="BW435" s="710">
        <v>-0.30807139999999994</v>
      </c>
      <c r="BX435" s="710">
        <v>-0.32151139999999989</v>
      </c>
      <c r="BY435" s="710">
        <v>-0.33513806666666657</v>
      </c>
      <c r="BZ435" s="710">
        <v>-0.34895139999999991</v>
      </c>
      <c r="CA435" s="710">
        <v>-0.36295139999999992</v>
      </c>
      <c r="CB435" s="710">
        <v>-0.37695139999999988</v>
      </c>
      <c r="CC435" s="710">
        <v>-0.39095139999999989</v>
      </c>
      <c r="CD435" s="710">
        <v>-0.40495139999999991</v>
      </c>
      <c r="CE435" s="710">
        <v>-0.41895139999999992</v>
      </c>
      <c r="CF435" s="710">
        <v>-0.43295139999999993</v>
      </c>
      <c r="CG435" s="710">
        <v>-0.44695139999999989</v>
      </c>
      <c r="CH435" s="710">
        <v>-0.4609513999999999</v>
      </c>
      <c r="CI435" s="710">
        <v>-0.47495139999999991</v>
      </c>
      <c r="CJ435" s="710">
        <v>-0.48895139999999992</v>
      </c>
      <c r="CK435" s="710">
        <v>-0.50295139999999994</v>
      </c>
      <c r="CL435" s="710">
        <v>-0.51695139999999995</v>
      </c>
      <c r="CM435" s="710">
        <v>-0.53095139999999996</v>
      </c>
      <c r="CN435" s="710">
        <v>-0.54495139999999986</v>
      </c>
      <c r="CO435" s="710">
        <v>-0.55895139999999988</v>
      </c>
      <c r="CP435" s="710">
        <v>-0.57295139999999989</v>
      </c>
      <c r="CQ435" s="710">
        <v>-0.5869513999999999</v>
      </c>
      <c r="CR435" s="710">
        <v>-0.60095139999999991</v>
      </c>
      <c r="CS435" s="710">
        <v>-0.61495139999999993</v>
      </c>
      <c r="CT435" s="710">
        <v>-0.62895139999999994</v>
      </c>
      <c r="CU435" s="710">
        <v>-0.64295139999999995</v>
      </c>
      <c r="CV435" s="710">
        <v>-0.65695139999999985</v>
      </c>
      <c r="CW435" s="710">
        <v>-0.67095139999999986</v>
      </c>
      <c r="CX435" s="710">
        <v>-0.68495139999999988</v>
      </c>
      <c r="CY435" s="710">
        <v>-0.69895139999999989</v>
      </c>
      <c r="CZ435" s="126"/>
      <c r="DA435" s="12">
        <v>0</v>
      </c>
      <c r="DB435" s="12">
        <v>-1.05028E-2</v>
      </c>
      <c r="DC435" s="12">
        <v>-0.58258013333333347</v>
      </c>
      <c r="DD435" s="12">
        <v>-1.7829634666666665</v>
      </c>
      <c r="DE435" s="12">
        <v>-3.4724834666666662</v>
      </c>
      <c r="DF435" s="12">
        <v>-5.4474168000000001</v>
      </c>
      <c r="DG435" s="12">
        <v>-7.4634167999999992</v>
      </c>
    </row>
    <row r="436" spans="2:111">
      <c r="B436" s="760"/>
      <c r="C436" s="760"/>
      <c r="D436" s="717" t="s">
        <v>152</v>
      </c>
      <c r="E436" s="717"/>
      <c r="F436" s="761"/>
      <c r="G436" s="761" t="s">
        <v>736</v>
      </c>
      <c r="H436" s="762"/>
      <c r="I436" s="762"/>
      <c r="J436" s="762"/>
      <c r="K436" s="762"/>
      <c r="L436" s="760"/>
      <c r="M436" s="760"/>
      <c r="N436" s="760"/>
      <c r="O436" s="726"/>
      <c r="P436" s="726"/>
      <c r="Q436" s="726"/>
      <c r="R436" s="726"/>
      <c r="S436" s="726"/>
      <c r="T436" s="726"/>
      <c r="U436" s="726"/>
      <c r="V436" s="726"/>
      <c r="W436" s="726"/>
      <c r="X436" s="726"/>
      <c r="Y436" s="726"/>
      <c r="Z436" s="726"/>
      <c r="AA436" s="726"/>
      <c r="AB436" s="726"/>
      <c r="AC436" s="726"/>
      <c r="AD436" s="726"/>
      <c r="AE436" s="726"/>
      <c r="AF436" s="726"/>
      <c r="AG436" s="726"/>
      <c r="AH436" s="726"/>
      <c r="AI436" s="750"/>
      <c r="AJ436" s="750"/>
      <c r="AK436" s="750"/>
      <c r="AL436" s="750"/>
      <c r="AM436" s="750"/>
      <c r="AN436" s="750"/>
      <c r="AO436" s="750"/>
      <c r="AP436" s="750"/>
      <c r="AQ436" s="750"/>
      <c r="AR436" s="750">
        <v>-4.7797565777698238E-3</v>
      </c>
      <c r="AS436" s="750">
        <v>-4.8580679033951709E-3</v>
      </c>
      <c r="AT436" s="750">
        <v>-4.9329738058551632E-3</v>
      </c>
      <c r="AU436" s="750">
        <v>-5.0046916890080445E-3</v>
      </c>
      <c r="AV436" s="750">
        <v>-5.0734208367514376E-3</v>
      </c>
      <c r="AW436" s="750">
        <v>-5.1393442622950838E-3</v>
      </c>
      <c r="AX436" s="750">
        <v>-1.5516616790045685E-3</v>
      </c>
      <c r="AY436" s="750">
        <v>-1.5697961704756031E-3</v>
      </c>
      <c r="AZ436" s="750">
        <v>-1.5872330758746032E-3</v>
      </c>
      <c r="BA436" s="750">
        <v>-1.6040118870728093E-3</v>
      </c>
      <c r="BB436" s="750">
        <v>-1.6201691701910467E-3</v>
      </c>
      <c r="BC436" s="750">
        <v>-1.6357388316151202E-3</v>
      </c>
      <c r="BD436" s="750">
        <v>-1.7171717171717172E-3</v>
      </c>
      <c r="BE436" s="750">
        <v>-1.7998836532867948E-3</v>
      </c>
      <c r="BF436" s="750">
        <v>-1.8839050131926121E-3</v>
      </c>
      <c r="BG436" s="750">
        <v>-1.9692671394799057E-3</v>
      </c>
      <c r="BH436" s="750">
        <v>-2.0560023830801309E-3</v>
      </c>
      <c r="BI436" s="750">
        <v>-2.1441441441441443E-3</v>
      </c>
      <c r="BJ436" s="750">
        <v>-2.2337269149258249E-3</v>
      </c>
      <c r="BK436" s="750">
        <v>-2.3247863247863247E-3</v>
      </c>
      <c r="BL436" s="750">
        <v>-2.4173591874422896E-3</v>
      </c>
      <c r="BM436" s="750">
        <v>-2.5114835505896959E-3</v>
      </c>
      <c r="BN436" s="750">
        <v>-2.6071987480438185E-3</v>
      </c>
      <c r="BO436" s="750">
        <v>-2.7045454545454543E-3</v>
      </c>
      <c r="BP436" s="750">
        <v>-2.7336683417085424E-3</v>
      </c>
      <c r="BQ436" s="750">
        <v>-2.7624999999999998E-3</v>
      </c>
      <c r="BR436" s="750">
        <v>-2.7910447761194026E-3</v>
      </c>
      <c r="BS436" s="750">
        <v>-2.8193069306930688E-3</v>
      </c>
      <c r="BT436" s="750">
        <v>-2.8472906403940882E-3</v>
      </c>
      <c r="BU436" s="750">
        <v>-2.8749999999999995E-3</v>
      </c>
      <c r="BV436" s="750">
        <v>-2.902439024390243E-3</v>
      </c>
      <c r="BW436" s="750">
        <v>-2.9296116504854363E-3</v>
      </c>
      <c r="BX436" s="750">
        <v>-2.9565217391304341E-3</v>
      </c>
      <c r="BY436" s="750">
        <v>-2.983173076923076E-3</v>
      </c>
      <c r="BZ436" s="750">
        <v>-3.0095693779904295E-3</v>
      </c>
      <c r="CA436" s="750">
        <v>-3.0357142857142861E-3</v>
      </c>
      <c r="CB436" s="750">
        <v>-3.0357142857142861E-3</v>
      </c>
      <c r="CC436" s="750">
        <v>-3.0357142857142861E-3</v>
      </c>
      <c r="CD436" s="750">
        <v>-3.0357142857142861E-3</v>
      </c>
      <c r="CE436" s="750">
        <v>-3.0357142857142861E-3</v>
      </c>
      <c r="CF436" s="750">
        <v>-3.0357142857142861E-3</v>
      </c>
      <c r="CG436" s="750">
        <v>-3.0357142857142861E-3</v>
      </c>
      <c r="CH436" s="750">
        <v>-3.0357142857142861E-3</v>
      </c>
      <c r="CI436" s="750">
        <v>-3.0357142857142861E-3</v>
      </c>
      <c r="CJ436" s="750">
        <v>-3.0357142857142861E-3</v>
      </c>
      <c r="CK436" s="750">
        <v>-3.0357142857142861E-3</v>
      </c>
      <c r="CL436" s="750">
        <v>-3.0357142857142861E-3</v>
      </c>
      <c r="CM436" s="750">
        <v>-3.0357142857142861E-3</v>
      </c>
      <c r="CN436" s="750">
        <v>-3.0357142857142861E-3</v>
      </c>
      <c r="CO436" s="750">
        <v>-3.0357142857142861E-3</v>
      </c>
      <c r="CP436" s="750">
        <v>-3.0357142857142861E-3</v>
      </c>
      <c r="CQ436" s="750">
        <v>-3.0357142857142861E-3</v>
      </c>
      <c r="CR436" s="750">
        <v>-3.0357142857142861E-3</v>
      </c>
      <c r="CS436" s="750">
        <v>-3.0357142857142861E-3</v>
      </c>
      <c r="CT436" s="750">
        <v>-3.0357142857142861E-3</v>
      </c>
      <c r="CU436" s="750">
        <v>-3.0357142857142861E-3</v>
      </c>
      <c r="CV436" s="750">
        <v>-3.0357142857142861E-3</v>
      </c>
      <c r="CW436" s="750">
        <v>-3.0357142857142861E-3</v>
      </c>
      <c r="CX436" s="750">
        <v>-3.0357142857142861E-3</v>
      </c>
      <c r="CY436" s="750">
        <v>-3.0357142857142861E-3</v>
      </c>
      <c r="CZ436" s="760"/>
      <c r="DA436" s="726"/>
      <c r="DB436" s="12">
        <v>0</v>
      </c>
      <c r="DC436" s="12">
        <v>-3.9356865889308479E-2</v>
      </c>
      <c r="DD436" s="12">
        <v>-2.6369474230688715E-2</v>
      </c>
      <c r="DE436" s="12">
        <v>-3.4645839843549006E-2</v>
      </c>
      <c r="DF436" s="12">
        <v>-3.6428571428571442E-2</v>
      </c>
      <c r="DG436" s="12">
        <v>-3.6428571428571442E-2</v>
      </c>
    </row>
    <row r="437" spans="2:111">
      <c r="B437" s="126"/>
      <c r="C437" s="126"/>
      <c r="D437" s="126" t="s">
        <v>144</v>
      </c>
      <c r="E437" s="718"/>
      <c r="F437" s="727"/>
      <c r="G437" s="609" t="s">
        <v>736</v>
      </c>
      <c r="H437" s="609"/>
      <c r="I437" s="609"/>
      <c r="J437" s="609"/>
      <c r="K437" s="609"/>
      <c r="L437" s="126"/>
      <c r="M437" s="126"/>
      <c r="N437" s="126"/>
      <c r="O437" s="12"/>
      <c r="P437" s="12"/>
      <c r="Q437" s="12"/>
      <c r="R437" s="12"/>
      <c r="S437" s="12"/>
      <c r="T437" s="12"/>
      <c r="U437" s="12"/>
      <c r="V437" s="12"/>
      <c r="W437" s="12"/>
      <c r="X437" s="702"/>
      <c r="Y437" s="702"/>
      <c r="Z437" s="702"/>
      <c r="AA437" s="702"/>
      <c r="AB437" s="702"/>
      <c r="AC437" s="702"/>
      <c r="AD437" s="702"/>
      <c r="AE437" s="702"/>
      <c r="AF437" s="702"/>
      <c r="AG437" s="702"/>
      <c r="AH437" s="702"/>
      <c r="AI437" s="710"/>
      <c r="AJ437" s="710"/>
      <c r="AK437" s="710"/>
      <c r="AL437" s="710"/>
      <c r="AM437" s="710"/>
      <c r="AN437" s="710"/>
      <c r="AO437" s="710"/>
      <c r="AP437" s="710"/>
      <c r="AQ437" s="710"/>
      <c r="AR437" s="750">
        <v>-5.5903585704910219E-2</v>
      </c>
      <c r="AS437" s="750">
        <v>-5.681950764204878E-2</v>
      </c>
      <c r="AT437" s="750">
        <v>-5.7695600068481435E-2</v>
      </c>
      <c r="AU437" s="750">
        <v>-5.8534405719392335E-2</v>
      </c>
      <c r="AV437" s="750">
        <v>-5.9338255400601614E-2</v>
      </c>
      <c r="AW437" s="750">
        <v>-6.0109289617486357E-2</v>
      </c>
      <c r="AX437" s="750">
        <v>-6.0849477608022291E-2</v>
      </c>
      <c r="AY437" s="750">
        <v>-6.1560634136298163E-2</v>
      </c>
      <c r="AZ437" s="750">
        <v>-6.2244434348023667E-2</v>
      </c>
      <c r="BA437" s="750">
        <v>-6.2902426944031739E-2</v>
      </c>
      <c r="BB437" s="750">
        <v>-6.3536045889844961E-2</v>
      </c>
      <c r="BC437" s="750">
        <v>-6.4146620847651784E-2</v>
      </c>
      <c r="BD437" s="750">
        <v>-0.10101010101010101</v>
      </c>
      <c r="BE437" s="750">
        <v>-0.10587550901687028</v>
      </c>
      <c r="BF437" s="750">
        <v>-0.11081794195250658</v>
      </c>
      <c r="BG437" s="750">
        <v>-0.11583924349881797</v>
      </c>
      <c r="BH437" s="750">
        <v>-0.12094131665177241</v>
      </c>
      <c r="BI437" s="750">
        <v>-0.12612612612612611</v>
      </c>
      <c r="BJ437" s="750">
        <v>-0.13139570087798969</v>
      </c>
      <c r="BK437" s="750">
        <v>-0.13675213675213674</v>
      </c>
      <c r="BL437" s="750">
        <v>-0.14219759926131115</v>
      </c>
      <c r="BM437" s="750">
        <v>-0.14773432650527621</v>
      </c>
      <c r="BN437" s="750">
        <v>-0.15336463223787167</v>
      </c>
      <c r="BO437" s="750">
        <v>-0.15909090909090906</v>
      </c>
      <c r="BP437" s="750">
        <v>-0.20904522613065324</v>
      </c>
      <c r="BQ437" s="750">
        <v>-0.21124999999999999</v>
      </c>
      <c r="BR437" s="750">
        <v>-0.21343283582089548</v>
      </c>
      <c r="BS437" s="750">
        <v>-0.21559405940594056</v>
      </c>
      <c r="BT437" s="750">
        <v>-0.21773399014778322</v>
      </c>
      <c r="BU437" s="750">
        <v>-0.21985294117647053</v>
      </c>
      <c r="BV437" s="750">
        <v>-0.22195121951219504</v>
      </c>
      <c r="BW437" s="750">
        <v>-0.22402912621359217</v>
      </c>
      <c r="BX437" s="750">
        <v>-0.22608695652173905</v>
      </c>
      <c r="BY437" s="750">
        <v>-0.22812499999999991</v>
      </c>
      <c r="BZ437" s="750">
        <v>-0.23014354066985637</v>
      </c>
      <c r="CA437" s="750">
        <v>-0.23214285714285715</v>
      </c>
      <c r="CB437" s="750">
        <v>-0.27857142857142858</v>
      </c>
      <c r="CC437" s="750">
        <v>-0.27857142857142858</v>
      </c>
      <c r="CD437" s="750">
        <v>-0.27857142857142858</v>
      </c>
      <c r="CE437" s="750">
        <v>-0.27857142857142858</v>
      </c>
      <c r="CF437" s="750">
        <v>-0.27857142857142858</v>
      </c>
      <c r="CG437" s="750">
        <v>-0.27857142857142858</v>
      </c>
      <c r="CH437" s="750">
        <v>-0.27857142857142858</v>
      </c>
      <c r="CI437" s="750">
        <v>-0.27857142857142858</v>
      </c>
      <c r="CJ437" s="750">
        <v>-0.27857142857142858</v>
      </c>
      <c r="CK437" s="750">
        <v>-0.27857142857142858</v>
      </c>
      <c r="CL437" s="750">
        <v>-0.27857142857142858</v>
      </c>
      <c r="CM437" s="750">
        <v>-0.27857142857142858</v>
      </c>
      <c r="CN437" s="750">
        <v>-0.30642857142857144</v>
      </c>
      <c r="CO437" s="750">
        <v>-0.30642857142857144</v>
      </c>
      <c r="CP437" s="750">
        <v>-0.30642857142857144</v>
      </c>
      <c r="CQ437" s="750">
        <v>-0.30642857142857144</v>
      </c>
      <c r="CR437" s="750">
        <v>-0.30642857142857144</v>
      </c>
      <c r="CS437" s="750">
        <v>-0.30642857142857144</v>
      </c>
      <c r="CT437" s="750">
        <v>-0.30642857142857144</v>
      </c>
      <c r="CU437" s="750">
        <v>-0.30642857142857144</v>
      </c>
      <c r="CV437" s="750">
        <v>-0.30642857142857144</v>
      </c>
      <c r="CW437" s="750">
        <v>-0.30642857142857144</v>
      </c>
      <c r="CX437" s="750">
        <v>-0.30642857142857144</v>
      </c>
      <c r="CY437" s="750">
        <v>-0.30642857142857144</v>
      </c>
      <c r="CZ437" s="126"/>
      <c r="DA437" s="12">
        <v>0</v>
      </c>
      <c r="DB437" s="12">
        <v>0</v>
      </c>
      <c r="DC437" s="12">
        <v>-0.72364028392679325</v>
      </c>
      <c r="DD437" s="12">
        <v>-1.5511455429816885</v>
      </c>
      <c r="DE437" s="12">
        <v>-2.6493877527419829</v>
      </c>
      <c r="DF437" s="12">
        <v>-3.3428571428571421</v>
      </c>
      <c r="DG437" s="12">
        <v>-3.6771428571428575</v>
      </c>
    </row>
    <row r="438" spans="2:111">
      <c r="B438" s="126"/>
      <c r="C438" s="126"/>
      <c r="D438" s="698" t="s">
        <v>808</v>
      </c>
      <c r="E438" s="126"/>
      <c r="F438" s="126"/>
      <c r="G438" s="609" t="s">
        <v>736</v>
      </c>
      <c r="H438" s="609"/>
      <c r="I438" s="609"/>
      <c r="J438" s="609"/>
      <c r="K438" s="609"/>
      <c r="L438" s="126"/>
      <c r="M438" s="126"/>
      <c r="N438" s="126"/>
      <c r="O438" s="12"/>
      <c r="P438" s="12"/>
      <c r="Q438" s="12"/>
      <c r="R438" s="12"/>
      <c r="S438" s="12"/>
      <c r="T438" s="12"/>
      <c r="U438" s="12"/>
      <c r="V438" s="12"/>
      <c r="W438" s="12"/>
      <c r="X438" s="702"/>
      <c r="Y438" s="702"/>
      <c r="Z438" s="702"/>
      <c r="AA438" s="702"/>
      <c r="AB438" s="702"/>
      <c r="AC438" s="702"/>
      <c r="AD438" s="702"/>
      <c r="AE438" s="702"/>
      <c r="AF438" s="702"/>
      <c r="AG438" s="702"/>
      <c r="AH438" s="702"/>
      <c r="AI438" s="714"/>
      <c r="AJ438" s="714"/>
      <c r="AK438" s="714"/>
      <c r="AL438" s="714"/>
      <c r="AM438" s="714"/>
      <c r="AN438" s="714"/>
      <c r="AO438" s="714"/>
      <c r="AP438" s="714">
        <v>-2.468816E-3</v>
      </c>
      <c r="AQ438" s="714">
        <v>-1.2544071872832963E-2</v>
      </c>
      <c r="AR438" s="714">
        <v>-2.8282694461890846E-2</v>
      </c>
      <c r="AS438" s="714">
        <v>-4.6653223455338275E-2</v>
      </c>
      <c r="AT438" s="714">
        <v>-4.0532723787827116E-2</v>
      </c>
      <c r="AU438" s="714">
        <v>-3.1912729988761088E-2</v>
      </c>
      <c r="AV438" s="714">
        <v>-1.9898104563666433E-2</v>
      </c>
      <c r="AW438" s="714">
        <v>-4.373049346944582E-3</v>
      </c>
      <c r="AX438" s="714">
        <v>9.660351797439265E-3</v>
      </c>
      <c r="AY438" s="714">
        <v>1.0532200602609808E-2</v>
      </c>
      <c r="AZ438" s="714">
        <v>1.4496841791909736E-2</v>
      </c>
      <c r="BA438" s="714">
        <v>1.4076564829556614E-2</v>
      </c>
      <c r="BB438" s="714">
        <v>9.8087365683278138E-3</v>
      </c>
      <c r="BC438" s="714">
        <v>1.9902292930102372E-3</v>
      </c>
      <c r="BD438" s="714">
        <v>-7.1638024607567602E-2</v>
      </c>
      <c r="BE438" s="714">
        <v>-0.21332143493498806</v>
      </c>
      <c r="BF438" s="714">
        <v>-0.35925894749485537</v>
      </c>
      <c r="BG438" s="714">
        <v>-0.47029786726206213</v>
      </c>
      <c r="BH438" s="714">
        <v>-0.3898306617192871</v>
      </c>
      <c r="BI438" s="714">
        <v>-0.36541583179068743</v>
      </c>
      <c r="BJ438" s="714">
        <v>-0.42004851755292727</v>
      </c>
      <c r="BK438" s="714">
        <v>-0.42916922553026376</v>
      </c>
      <c r="BL438" s="714">
        <v>-0.50988009466016893</v>
      </c>
      <c r="BM438" s="714">
        <v>-0.54264676984850202</v>
      </c>
      <c r="BN438" s="714">
        <v>-0.58025675638382634</v>
      </c>
      <c r="BO438" s="714">
        <v>-0.619069347563175</v>
      </c>
      <c r="BP438" s="714">
        <v>-0.65296020778494523</v>
      </c>
      <c r="BQ438" s="714">
        <v>-0.68193859789049693</v>
      </c>
      <c r="BR438" s="714">
        <v>-0.71169460987215771</v>
      </c>
      <c r="BS438" s="714">
        <v>-0.74070167644286422</v>
      </c>
      <c r="BT438" s="714">
        <v>-0.77129248512764703</v>
      </c>
      <c r="BU438" s="714">
        <v>-0.80221399016699502</v>
      </c>
      <c r="BV438" s="714">
        <v>-0.84341434040811381</v>
      </c>
      <c r="BW438" s="714">
        <v>-0.8959772676040223</v>
      </c>
      <c r="BX438" s="714">
        <v>-0.94630242181604141</v>
      </c>
      <c r="BY438" s="714">
        <v>-1.1336125628750122</v>
      </c>
      <c r="BZ438" s="714">
        <v>-1.185516351091356</v>
      </c>
      <c r="CA438" s="714">
        <v>-1.2391994423471211</v>
      </c>
      <c r="CB438" s="714">
        <v>-1.3068391453181272</v>
      </c>
      <c r="CC438" s="714">
        <v>-1.3820528320706378</v>
      </c>
      <c r="CD438" s="714">
        <v>-1.4443093504303837</v>
      </c>
      <c r="CE438" s="714">
        <v>-1.6855759087164757</v>
      </c>
      <c r="CF438" s="714">
        <v>-1.7480965378795104</v>
      </c>
      <c r="CG438" s="714">
        <v>-1.8150042802569892</v>
      </c>
      <c r="CH438" s="714">
        <v>-1.8826867338288096</v>
      </c>
      <c r="CI438" s="714">
        <v>-1.9415968701274779</v>
      </c>
      <c r="CJ438" s="714">
        <v>-1.9893982317846901</v>
      </c>
      <c r="CK438" s="714">
        <v>-2.0378993049736058</v>
      </c>
      <c r="CL438" s="714">
        <v>-2.0867243387848422</v>
      </c>
      <c r="CM438" s="714">
        <v>-2.1395923839116806</v>
      </c>
      <c r="CN438" s="714">
        <v>-2.1926238556825672</v>
      </c>
      <c r="CO438" s="714">
        <v>-2.245931158625599</v>
      </c>
      <c r="CP438" s="714">
        <v>-2.299530806538586</v>
      </c>
      <c r="CQ438" s="714">
        <v>-2.3532350535182864</v>
      </c>
      <c r="CR438" s="714">
        <v>-2.4068112342066352</v>
      </c>
      <c r="CS438" s="714">
        <v>-2.4602794972619346</v>
      </c>
      <c r="CT438" s="714">
        <v>-2.5136497696636648</v>
      </c>
      <c r="CU438" s="714">
        <v>-2.567009147137584</v>
      </c>
      <c r="CV438" s="714">
        <v>-2.620360567310998</v>
      </c>
      <c r="CW438" s="714">
        <v>-2.6737097924144937</v>
      </c>
      <c r="CX438" s="714">
        <v>-2.7270629454757787</v>
      </c>
      <c r="CY438" s="714">
        <v>-2.78042214072671</v>
      </c>
      <c r="CZ438" s="126"/>
      <c r="DA438" s="14">
        <v>0</v>
      </c>
      <c r="DB438" s="12">
        <v>-1.5012887872832963E-2</v>
      </c>
      <c r="DC438" s="12">
        <v>-0.11108760072157482</v>
      </c>
      <c r="DD438" s="12">
        <v>-4.9708334793483111</v>
      </c>
      <c r="DE438" s="12">
        <v>-10.604823953426774</v>
      </c>
      <c r="DF438" s="12">
        <v>-21.459775918083228</v>
      </c>
      <c r="DG438" s="12">
        <v>-29.840625968562836</v>
      </c>
    </row>
    <row r="439" spans="2:111">
      <c r="B439" s="698"/>
      <c r="C439" s="698"/>
      <c r="D439" s="698"/>
      <c r="E439" s="126" t="s">
        <v>827</v>
      </c>
      <c r="F439" s="126"/>
      <c r="G439" s="609" t="s">
        <v>736</v>
      </c>
      <c r="H439" s="703"/>
      <c r="I439" s="703"/>
      <c r="J439" s="703"/>
      <c r="K439" s="703"/>
      <c r="L439" s="698"/>
      <c r="M439" s="698"/>
      <c r="N439" s="698"/>
      <c r="O439" s="14"/>
      <c r="P439" s="14"/>
      <c r="Q439" s="14"/>
      <c r="R439" s="14"/>
      <c r="S439" s="14"/>
      <c r="T439" s="14"/>
      <c r="U439" s="14"/>
      <c r="V439" s="14"/>
      <c r="W439" s="14"/>
      <c r="X439" s="708"/>
      <c r="Y439" s="708"/>
      <c r="Z439" s="708"/>
      <c r="AA439" s="708"/>
      <c r="AB439" s="708"/>
      <c r="AC439" s="708"/>
      <c r="AD439" s="708"/>
      <c r="AE439" s="708"/>
      <c r="AF439" s="708"/>
      <c r="AG439" s="708"/>
      <c r="AH439" s="708"/>
      <c r="AI439" s="710"/>
      <c r="AJ439" s="710"/>
      <c r="AK439" s="710"/>
      <c r="AL439" s="710"/>
      <c r="AM439" s="710"/>
      <c r="AN439" s="710"/>
      <c r="AO439" s="710"/>
      <c r="AP439" s="710">
        <v>0</v>
      </c>
      <c r="AQ439" s="710">
        <v>0</v>
      </c>
      <c r="AR439" s="710">
        <v>0</v>
      </c>
      <c r="AS439" s="710">
        <v>0</v>
      </c>
      <c r="AT439" s="710">
        <v>-6.7367159999999995E-2</v>
      </c>
      <c r="AU439" s="710">
        <v>-0.14118555149999998</v>
      </c>
      <c r="AV439" s="710">
        <v>-0.2213665474540909</v>
      </c>
      <c r="AW439" s="710">
        <v>-0.30902406161750701</v>
      </c>
      <c r="AX439" s="710">
        <v>-0.39380774853698158</v>
      </c>
      <c r="AY439" s="710">
        <v>-0.44575164153800872</v>
      </c>
      <c r="AZ439" s="710">
        <v>-0.51225406103434445</v>
      </c>
      <c r="BA439" s="710">
        <v>-0.57304513135132307</v>
      </c>
      <c r="BB439" s="710">
        <v>-0.63050701983033175</v>
      </c>
      <c r="BC439" s="710">
        <v>-0.68446525659228341</v>
      </c>
      <c r="BD439" s="710">
        <v>-0.69794563549485</v>
      </c>
      <c r="BE439" s="710">
        <v>-0.71843511616985023</v>
      </c>
      <c r="BF439" s="710">
        <v>-0.71201544974238873</v>
      </c>
      <c r="BG439" s="710">
        <v>-0.65803634270892819</v>
      </c>
      <c r="BH439" s="710">
        <v>-1.0939910790074963</v>
      </c>
      <c r="BI439" s="710">
        <v>-1.3471500694089802</v>
      </c>
      <c r="BJ439" s="710">
        <v>-1.3713513261767807</v>
      </c>
      <c r="BK439" s="710">
        <v>-1.508678896346787</v>
      </c>
      <c r="BL439" s="710">
        <v>-1.4516746099583768</v>
      </c>
      <c r="BM439" s="710">
        <v>-1.5656206444988199</v>
      </c>
      <c r="BN439" s="710">
        <v>-1.6767274393875113</v>
      </c>
      <c r="BO439" s="710">
        <v>-1.7861804075915118</v>
      </c>
      <c r="BP439" s="710">
        <v>-1.9084914422105792</v>
      </c>
      <c r="BQ439" s="710">
        <v>-2.0385414125230286</v>
      </c>
      <c r="BR439" s="710">
        <v>-2.1698361401789361</v>
      </c>
      <c r="BS439" s="710">
        <v>-2.3056381332395119</v>
      </c>
      <c r="BT439" s="710">
        <v>-2.4393571190957921</v>
      </c>
      <c r="BU439" s="710">
        <v>-2.5754475705806654</v>
      </c>
      <c r="BV439" s="710">
        <v>-2.713524647938141</v>
      </c>
      <c r="BW439" s="710">
        <v>-2.8533896297844628</v>
      </c>
      <c r="BX439" s="710">
        <v>-2.9953075378935319</v>
      </c>
      <c r="BY439" s="710">
        <v>-2.7469896030190832</v>
      </c>
      <c r="BZ439" s="710">
        <v>-2.8887046612111038</v>
      </c>
      <c r="CA439" s="710">
        <v>-3.029770320961251</v>
      </c>
      <c r="CB439" s="710">
        <v>-3.1720155766401907</v>
      </c>
      <c r="CC439" s="710">
        <v>-3.3158230035222744</v>
      </c>
      <c r="CD439" s="710">
        <v>-3.4616954023617312</v>
      </c>
      <c r="CE439" s="710">
        <v>-3.093957305629353</v>
      </c>
      <c r="CF439" s="710">
        <v>-3.2369226722789386</v>
      </c>
      <c r="CG439" s="710">
        <v>-3.3690089393324287</v>
      </c>
      <c r="CH439" s="710">
        <v>-3.5005917874787378</v>
      </c>
      <c r="CI439" s="710">
        <v>-3.6319253708446566</v>
      </c>
      <c r="CJ439" s="710">
        <v>-3.7635388092910342</v>
      </c>
      <c r="CK439" s="710">
        <v>-3.8954226483031231</v>
      </c>
      <c r="CL439" s="710">
        <v>-4.0276040260544121</v>
      </c>
      <c r="CM439" s="710">
        <v>-4.1492984879214152</v>
      </c>
      <c r="CN439" s="710">
        <v>-4.2715340069307297</v>
      </c>
      <c r="CO439" s="710">
        <v>-4.3940033060295427</v>
      </c>
      <c r="CP439" s="710">
        <v>-4.5166718949062759</v>
      </c>
      <c r="CQ439" s="710">
        <v>-4.6395192695312142</v>
      </c>
      <c r="CR439" s="710">
        <v>-4.7625481061745436</v>
      </c>
      <c r="CS439" s="710">
        <v>-4.8857603137975882</v>
      </c>
      <c r="CT439" s="710">
        <v>-5.0091582698551962</v>
      </c>
      <c r="CU439" s="710">
        <v>-5.1325180677689062</v>
      </c>
      <c r="CV439" s="710">
        <v>-5.2558538654289935</v>
      </c>
      <c r="CW439" s="710">
        <v>-5.3791716154093878</v>
      </c>
      <c r="CX439" s="710">
        <v>-5.50247602664344</v>
      </c>
      <c r="CY439" s="710">
        <v>-5.6257710527399958</v>
      </c>
      <c r="CZ439" s="698"/>
      <c r="DA439" s="12">
        <v>0</v>
      </c>
      <c r="DB439" s="12">
        <v>0</v>
      </c>
      <c r="DC439" s="12">
        <v>-3.9787741794548706</v>
      </c>
      <c r="DD439" s="12">
        <v>-14.587807016492281</v>
      </c>
      <c r="DE439" s="12">
        <v>-30.664998218636089</v>
      </c>
      <c r="DF439" s="12">
        <v>-42.617804029658295</v>
      </c>
      <c r="DG439" s="12">
        <v>-59.374985795215821</v>
      </c>
    </row>
    <row r="440" spans="2:111">
      <c r="B440" s="698"/>
      <c r="C440" s="698"/>
      <c r="D440" s="698"/>
      <c r="E440" s="126" t="s">
        <v>828</v>
      </c>
      <c r="F440" s="126"/>
      <c r="G440" s="609" t="s">
        <v>736</v>
      </c>
      <c r="H440" s="703"/>
      <c r="I440" s="703"/>
      <c r="J440" s="703"/>
      <c r="K440" s="703"/>
      <c r="L440" s="698"/>
      <c r="M440" s="698"/>
      <c r="N440" s="698"/>
      <c r="O440" s="14"/>
      <c r="P440" s="14"/>
      <c r="Q440" s="14"/>
      <c r="R440" s="14"/>
      <c r="S440" s="14"/>
      <c r="T440" s="14"/>
      <c r="U440" s="14"/>
      <c r="V440" s="14"/>
      <c r="W440" s="14"/>
      <c r="X440" s="708"/>
      <c r="Y440" s="708"/>
      <c r="Z440" s="708"/>
      <c r="AA440" s="708"/>
      <c r="AB440" s="708"/>
      <c r="AC440" s="708"/>
      <c r="AD440" s="708"/>
      <c r="AE440" s="708"/>
      <c r="AF440" s="708"/>
      <c r="AG440" s="708"/>
      <c r="AH440" s="708"/>
      <c r="AI440" s="710"/>
      <c r="AJ440" s="710"/>
      <c r="AK440" s="710"/>
      <c r="AL440" s="710"/>
      <c r="AM440" s="710"/>
      <c r="AN440" s="710"/>
      <c r="AO440" s="710"/>
      <c r="AP440" s="710">
        <v>0</v>
      </c>
      <c r="AQ440" s="710">
        <v>0</v>
      </c>
      <c r="AR440" s="710">
        <v>0</v>
      </c>
      <c r="AS440" s="710">
        <v>0</v>
      </c>
      <c r="AT440" s="710">
        <v>0</v>
      </c>
      <c r="AU440" s="710">
        <v>0</v>
      </c>
      <c r="AV440" s="710">
        <v>0</v>
      </c>
      <c r="AW440" s="710">
        <v>0</v>
      </c>
      <c r="AX440" s="710">
        <v>0</v>
      </c>
      <c r="AY440" s="710">
        <v>0</v>
      </c>
      <c r="AZ440" s="710">
        <v>0</v>
      </c>
      <c r="BA440" s="710">
        <v>0</v>
      </c>
      <c r="BB440" s="710">
        <v>0</v>
      </c>
      <c r="BC440" s="710">
        <v>0</v>
      </c>
      <c r="BD440" s="710">
        <v>0</v>
      </c>
      <c r="BE440" s="710">
        <v>0</v>
      </c>
      <c r="BF440" s="710">
        <v>0</v>
      </c>
      <c r="BG440" s="710">
        <v>0</v>
      </c>
      <c r="BH440" s="710">
        <v>0</v>
      </c>
      <c r="BI440" s="710">
        <v>0</v>
      </c>
      <c r="BJ440" s="710">
        <v>0</v>
      </c>
      <c r="BK440" s="710">
        <v>0</v>
      </c>
      <c r="BL440" s="710">
        <v>0</v>
      </c>
      <c r="BM440" s="710">
        <v>0</v>
      </c>
      <c r="BN440" s="710">
        <v>0</v>
      </c>
      <c r="BO440" s="710">
        <v>0</v>
      </c>
      <c r="BP440" s="710">
        <v>0</v>
      </c>
      <c r="BQ440" s="710">
        <v>0</v>
      </c>
      <c r="BR440" s="710">
        <v>0</v>
      </c>
      <c r="BS440" s="710">
        <v>0</v>
      </c>
      <c r="BT440" s="710">
        <v>0</v>
      </c>
      <c r="BU440" s="710">
        <v>0</v>
      </c>
      <c r="BV440" s="710">
        <v>0</v>
      </c>
      <c r="BW440" s="710">
        <v>0</v>
      </c>
      <c r="BX440" s="710">
        <v>0</v>
      </c>
      <c r="BY440" s="710">
        <v>0</v>
      </c>
      <c r="BZ440" s="710">
        <v>0</v>
      </c>
      <c r="CA440" s="710">
        <v>0</v>
      </c>
      <c r="CB440" s="710">
        <v>0</v>
      </c>
      <c r="CC440" s="710">
        <v>0</v>
      </c>
      <c r="CD440" s="710">
        <v>0</v>
      </c>
      <c r="CE440" s="710">
        <v>0</v>
      </c>
      <c r="CF440" s="710">
        <v>0</v>
      </c>
      <c r="CG440" s="710">
        <v>0</v>
      </c>
      <c r="CH440" s="710">
        <v>0</v>
      </c>
      <c r="CI440" s="710">
        <v>0</v>
      </c>
      <c r="CJ440" s="710">
        <v>0</v>
      </c>
      <c r="CK440" s="710">
        <v>0</v>
      </c>
      <c r="CL440" s="710">
        <v>0</v>
      </c>
      <c r="CM440" s="710">
        <v>0</v>
      </c>
      <c r="CN440" s="710">
        <v>0</v>
      </c>
      <c r="CO440" s="710">
        <v>0</v>
      </c>
      <c r="CP440" s="710">
        <v>0</v>
      </c>
      <c r="CQ440" s="710">
        <v>0</v>
      </c>
      <c r="CR440" s="710">
        <v>0</v>
      </c>
      <c r="CS440" s="710">
        <v>0</v>
      </c>
      <c r="CT440" s="710">
        <v>0</v>
      </c>
      <c r="CU440" s="710">
        <v>0</v>
      </c>
      <c r="CV440" s="710">
        <v>0</v>
      </c>
      <c r="CW440" s="710">
        <v>0</v>
      </c>
      <c r="CX440" s="710">
        <v>0</v>
      </c>
      <c r="CY440" s="710">
        <v>0</v>
      </c>
      <c r="CZ440" s="698"/>
      <c r="DA440" s="12">
        <v>0</v>
      </c>
      <c r="DB440" s="12">
        <v>0</v>
      </c>
      <c r="DC440" s="12">
        <v>0</v>
      </c>
      <c r="DD440" s="12">
        <v>0</v>
      </c>
      <c r="DE440" s="12">
        <v>0</v>
      </c>
      <c r="DF440" s="12">
        <v>0</v>
      </c>
      <c r="DG440" s="12">
        <v>0</v>
      </c>
    </row>
    <row r="441" spans="2:111">
      <c r="B441" s="698"/>
      <c r="C441" s="698" t="s">
        <v>820</v>
      </c>
      <c r="D441" s="126"/>
      <c r="E441" s="126"/>
      <c r="F441" s="609"/>
      <c r="G441" s="609" t="s">
        <v>736</v>
      </c>
      <c r="H441" s="703"/>
      <c r="I441" s="703"/>
      <c r="J441" s="703"/>
      <c r="K441" s="703"/>
      <c r="L441" s="698"/>
      <c r="M441" s="714"/>
      <c r="N441" s="714"/>
      <c r="O441" s="714"/>
      <c r="P441" s="714"/>
      <c r="Q441" s="714"/>
      <c r="R441" s="714"/>
      <c r="S441" s="714"/>
      <c r="T441" s="714"/>
      <c r="U441" s="714"/>
      <c r="V441" s="714"/>
      <c r="W441" s="714"/>
      <c r="X441" s="714"/>
      <c r="Y441" s="714"/>
      <c r="Z441" s="714"/>
      <c r="AA441" s="714"/>
      <c r="AB441" s="714"/>
      <c r="AC441" s="714"/>
      <c r="AD441" s="714"/>
      <c r="AE441" s="714"/>
      <c r="AF441" s="714"/>
      <c r="AG441" s="714"/>
      <c r="AH441" s="714"/>
      <c r="AI441" s="696"/>
      <c r="AJ441" s="696"/>
      <c r="AK441" s="696"/>
      <c r="AL441" s="696"/>
      <c r="AM441" s="696"/>
      <c r="AN441" s="696"/>
      <c r="AO441" s="696"/>
      <c r="AP441" s="696">
        <v>-6.3138655999999987E-2</v>
      </c>
      <c r="AQ441" s="696">
        <v>-0.12168935152188165</v>
      </c>
      <c r="AR441" s="696">
        <v>-0.17068592466744231</v>
      </c>
      <c r="AS441" s="696">
        <v>-0.15731295084686794</v>
      </c>
      <c r="AT441" s="696">
        <v>-0.13418843647058301</v>
      </c>
      <c r="AU441" s="696">
        <v>-0.10998138938675434</v>
      </c>
      <c r="AV441" s="696">
        <v>-8.6472266781724316E-2</v>
      </c>
      <c r="AW441" s="696">
        <v>-8.4694274171376732E-2</v>
      </c>
      <c r="AX441" s="696">
        <v>-0.12119029250432389</v>
      </c>
      <c r="AY441" s="696">
        <v>-0.16999405415906849</v>
      </c>
      <c r="AZ441" s="696">
        <v>-0.2188314070831342</v>
      </c>
      <c r="BA441" s="696">
        <v>-0.26764146871130046</v>
      </c>
      <c r="BB441" s="696">
        <v>-0.29915045357044789</v>
      </c>
      <c r="BC441" s="696">
        <v>-0.3131211234662401</v>
      </c>
      <c r="BD441" s="696">
        <v>-0.35903848396268945</v>
      </c>
      <c r="BE441" s="696">
        <v>-0.18985745657258879</v>
      </c>
      <c r="BF441" s="696">
        <v>-1.3505777908310312E-3</v>
      </c>
      <c r="BG441" s="696">
        <v>0.10625888784578885</v>
      </c>
      <c r="BH441" s="696">
        <v>0.26662157055161462</v>
      </c>
      <c r="BI441" s="696">
        <v>0.39837331962926381</v>
      </c>
      <c r="BJ441" s="696">
        <v>0.5003534567606549</v>
      </c>
      <c r="BK441" s="696">
        <v>0.47097987675623143</v>
      </c>
      <c r="BL441" s="696">
        <v>0.19460500118443069</v>
      </c>
      <c r="BM441" s="696">
        <v>0.15337165544863263</v>
      </c>
      <c r="BN441" s="696">
        <v>0.21021156605559455</v>
      </c>
      <c r="BO441" s="696">
        <v>0.26926759128331534</v>
      </c>
      <c r="BP441" s="696">
        <v>0.34119323739086571</v>
      </c>
      <c r="BQ441" s="696">
        <v>0.36089675312382674</v>
      </c>
      <c r="BR441" s="696">
        <v>0.38480861544994438</v>
      </c>
      <c r="BS441" s="696">
        <v>0.40714989320379158</v>
      </c>
      <c r="BT441" s="696">
        <v>0.42021839986412446</v>
      </c>
      <c r="BU441" s="696">
        <v>0.43053607396667459</v>
      </c>
      <c r="BV441" s="696">
        <v>0.49112740463277493</v>
      </c>
      <c r="BW441" s="696">
        <v>0.53361838031629372</v>
      </c>
      <c r="BX441" s="696">
        <v>0.57812015902242742</v>
      </c>
      <c r="BY441" s="696">
        <v>0.55248458115681309</v>
      </c>
      <c r="BZ441" s="696">
        <v>0.59710763747457341</v>
      </c>
      <c r="CA441" s="696">
        <v>0.64228774244363196</v>
      </c>
      <c r="CB441" s="696">
        <v>0.85022594011310781</v>
      </c>
      <c r="CC441" s="696">
        <v>1.1595390899345355</v>
      </c>
      <c r="CD441" s="696">
        <v>1.2291375222376368</v>
      </c>
      <c r="CE441" s="696">
        <v>1.2071722620442902</v>
      </c>
      <c r="CF441" s="696">
        <v>1.2761583707671544</v>
      </c>
      <c r="CG441" s="696">
        <v>1.3426241276420559</v>
      </c>
      <c r="CH441" s="696">
        <v>1.5861034285751563</v>
      </c>
      <c r="CI441" s="696">
        <v>1.9322006654548813</v>
      </c>
      <c r="CJ441" s="696">
        <v>1.9688679987073208</v>
      </c>
      <c r="CK441" s="696">
        <v>2.0132734481377117</v>
      </c>
      <c r="CL441" s="696">
        <v>2.0588377408840581</v>
      </c>
      <c r="CM441" s="696">
        <v>2.1032379707063944</v>
      </c>
      <c r="CN441" s="696">
        <v>2.1202695568006886</v>
      </c>
      <c r="CO441" s="696">
        <v>2.1655956529364357</v>
      </c>
      <c r="CP441" s="696">
        <v>2.2150659437768141</v>
      </c>
      <c r="CQ441" s="696">
        <v>2.2707109865933921</v>
      </c>
      <c r="CR441" s="696">
        <v>2.3258842984136612</v>
      </c>
      <c r="CS441" s="696">
        <v>2.3808086319479793</v>
      </c>
      <c r="CT441" s="696">
        <v>2.4355298679553457</v>
      </c>
      <c r="CU441" s="696">
        <v>2.4900344468746081</v>
      </c>
      <c r="CV441" s="696">
        <v>2.5443371689383261</v>
      </c>
      <c r="CW441" s="696">
        <v>2.598451526553383</v>
      </c>
      <c r="CX441" s="696">
        <v>2.6524684470379194</v>
      </c>
      <c r="CY441" s="696">
        <v>2.7065187684311223</v>
      </c>
      <c r="CZ441" s="698"/>
      <c r="DA441" s="14">
        <v>0</v>
      </c>
      <c r="DB441" s="14">
        <v>-0.18482800752188164</v>
      </c>
      <c r="DC441" s="14">
        <v>-2.1332640418192641</v>
      </c>
      <c r="DD441" s="14">
        <v>2.0197964071894177</v>
      </c>
      <c r="DE441" s="14">
        <v>5.739548878045742</v>
      </c>
      <c r="DF441" s="14">
        <v>18.727378565204305</v>
      </c>
      <c r="DG441" s="14">
        <v>28.90567529625968</v>
      </c>
    </row>
    <row r="442" spans="2:111">
      <c r="B442" s="698"/>
      <c r="C442" s="229"/>
      <c r="D442" s="230" t="s">
        <v>423</v>
      </c>
      <c r="E442" s="126"/>
      <c r="F442" s="609"/>
      <c r="G442" s="609" t="s">
        <v>736</v>
      </c>
      <c r="H442" s="703"/>
      <c r="I442" s="703"/>
      <c r="J442" s="703"/>
      <c r="K442" s="703"/>
      <c r="L442" s="698"/>
      <c r="M442" s="714"/>
      <c r="N442" s="714"/>
      <c r="O442" s="714"/>
      <c r="P442" s="714"/>
      <c r="Q442" s="714"/>
      <c r="R442" s="714"/>
      <c r="S442" s="714"/>
      <c r="T442" s="714"/>
      <c r="U442" s="714"/>
      <c r="V442" s="714"/>
      <c r="W442" s="714"/>
      <c r="X442" s="714"/>
      <c r="Y442" s="714"/>
      <c r="Z442" s="714"/>
      <c r="AA442" s="714"/>
      <c r="AB442" s="714"/>
      <c r="AC442" s="714"/>
      <c r="AD442" s="714"/>
      <c r="AE442" s="714"/>
      <c r="AF442" s="714"/>
      <c r="AG442" s="714"/>
      <c r="AH442" s="714"/>
      <c r="AI442" s="696"/>
      <c r="AJ442" s="696"/>
      <c r="AK442" s="696"/>
      <c r="AL442" s="696"/>
      <c r="AM442" s="696"/>
      <c r="AN442" s="696"/>
      <c r="AO442" s="696"/>
      <c r="AP442" s="739">
        <v>0</v>
      </c>
      <c r="AQ442" s="739">
        <v>0</v>
      </c>
      <c r="AR442" s="739">
        <v>0</v>
      </c>
      <c r="AS442" s="739">
        <v>0</v>
      </c>
      <c r="AT442" s="739">
        <v>6.7367159999999995E-2</v>
      </c>
      <c r="AU442" s="739">
        <v>0.20855271149999999</v>
      </c>
      <c r="AV442" s="739">
        <v>0.42991925895409089</v>
      </c>
      <c r="AW442" s="739">
        <v>0.73894332057159795</v>
      </c>
      <c r="AX442" s="739">
        <v>1.0653839091085795</v>
      </c>
      <c r="AY442" s="739">
        <v>1.3699499991465882</v>
      </c>
      <c r="AZ442" s="739">
        <v>1.6608375127268418</v>
      </c>
      <c r="BA442" s="739">
        <v>1.9248585824606577</v>
      </c>
      <c r="BB442" s="739">
        <v>2.1615578537540081</v>
      </c>
      <c r="BC442" s="739">
        <v>2.4002714688082829</v>
      </c>
      <c r="BD442" s="739">
        <v>2.5859630432687881</v>
      </c>
      <c r="BE442" s="739">
        <v>2.7313530280873155</v>
      </c>
      <c r="BF442" s="739">
        <v>2.812861457999372</v>
      </c>
      <c r="BG442" s="739">
        <v>2.7864325441160172</v>
      </c>
      <c r="BH442" s="739">
        <v>3.1824779876286633</v>
      </c>
      <c r="BI442" s="739">
        <v>3.8111929408677931</v>
      </c>
      <c r="BJ442" s="739">
        <v>4.4705288173021849</v>
      </c>
      <c r="BK442" s="739">
        <v>5.3211713709400446</v>
      </c>
      <c r="BL442" s="739">
        <v>5.678854901890924</v>
      </c>
      <c r="BM442" s="739">
        <v>5.8973254769807637</v>
      </c>
      <c r="BN442" s="739">
        <v>6.202701590191495</v>
      </c>
      <c r="BO442" s="739">
        <v>6.4802031014362198</v>
      </c>
      <c r="BP442" s="739">
        <v>6.937019933688422</v>
      </c>
      <c r="BQ442" s="739">
        <v>7.40994070171263</v>
      </c>
      <c r="BR442" s="739">
        <v>7.9030494025040552</v>
      </c>
      <c r="BS442" s="739">
        <v>8.4225071281520556</v>
      </c>
      <c r="BT442" s="739">
        <v>8.9533728050372687</v>
      </c>
      <c r="BU442" s="739">
        <v>9.4902789630949052</v>
      </c>
      <c r="BV442" s="739">
        <v>10.03396747085411</v>
      </c>
      <c r="BW442" s="739">
        <v>10.581718967399061</v>
      </c>
      <c r="BX442" s="739">
        <v>11.137669386196801</v>
      </c>
      <c r="BY442" s="739">
        <v>11.309211418635218</v>
      </c>
      <c r="BZ442" s="739">
        <v>11.484391431908183</v>
      </c>
      <c r="CA442" s="739">
        <v>11.660772123084971</v>
      </c>
      <c r="CB442" s="739">
        <v>11.837480161831628</v>
      </c>
      <c r="CC442" s="739">
        <v>12.406313562334821</v>
      </c>
      <c r="CD442" s="739">
        <v>12.979304303485449</v>
      </c>
      <c r="CE442" s="739">
        <v>13.04349128815355</v>
      </c>
      <c r="CF442" s="739">
        <v>13.108398383792297</v>
      </c>
      <c r="CG442" s="739">
        <v>13.161584319602451</v>
      </c>
      <c r="CH442" s="739">
        <v>13.200480704719457</v>
      </c>
      <c r="CI442" s="739">
        <v>13.738448769934761</v>
      </c>
      <c r="CJ442" s="739">
        <v>14.265064906946858</v>
      </c>
      <c r="CK442" s="739">
        <v>14.791478615917553</v>
      </c>
      <c r="CL442" s="739">
        <v>15.318490854493227</v>
      </c>
      <c r="CM442" s="739">
        <v>15.835863971569985</v>
      </c>
      <c r="CN442" s="739">
        <v>16.343859169209679</v>
      </c>
      <c r="CO442" s="739">
        <v>16.842439826936101</v>
      </c>
      <c r="CP442" s="739">
        <v>17.331507695787963</v>
      </c>
      <c r="CQ442" s="739">
        <v>17.821728477397762</v>
      </c>
      <c r="CR442" s="739">
        <v>18.312742576641575</v>
      </c>
      <c r="CS442" s="739">
        <v>18.804499584409619</v>
      </c>
      <c r="CT442" s="739">
        <v>19.296985959358544</v>
      </c>
      <c r="CU442" s="739">
        <v>19.789984757596233</v>
      </c>
      <c r="CV442" s="739">
        <v>20.283290516850684</v>
      </c>
      <c r="CW442" s="739">
        <v>20.776701818462485</v>
      </c>
      <c r="CX442" s="739">
        <v>21.270019575250728</v>
      </c>
      <c r="CY442" s="739">
        <v>21.763272560221814</v>
      </c>
      <c r="CZ442" s="698"/>
      <c r="DA442" s="11">
        <v>0</v>
      </c>
      <c r="DB442" s="11">
        <v>0</v>
      </c>
      <c r="DC442" s="11">
        <v>2.4002714688082829</v>
      </c>
      <c r="DD442" s="11">
        <v>6.4802031014362198</v>
      </c>
      <c r="DE442" s="11">
        <v>11.660772123084971</v>
      </c>
      <c r="DF442" s="11">
        <v>15.835863971569985</v>
      </c>
      <c r="DG442" s="11">
        <v>21.763272560221814</v>
      </c>
    </row>
    <row r="443" spans="2:111">
      <c r="B443" s="698"/>
      <c r="C443" s="229"/>
      <c r="D443" s="230" t="s">
        <v>810</v>
      </c>
      <c r="E443" s="126"/>
      <c r="F443" s="609"/>
      <c r="G443" s="609" t="s">
        <v>736</v>
      </c>
      <c r="H443" s="703"/>
      <c r="I443" s="703"/>
      <c r="J443" s="703"/>
      <c r="K443" s="703"/>
      <c r="L443" s="698"/>
      <c r="M443" s="714"/>
      <c r="N443" s="714"/>
      <c r="O443" s="714"/>
      <c r="P443" s="714"/>
      <c r="Q443" s="714"/>
      <c r="R443" s="714"/>
      <c r="S443" s="714"/>
      <c r="T443" s="714"/>
      <c r="U443" s="714"/>
      <c r="V443" s="714"/>
      <c r="W443" s="714"/>
      <c r="X443" s="714"/>
      <c r="Y443" s="714"/>
      <c r="Z443" s="714"/>
      <c r="AA443" s="714"/>
      <c r="AB443" s="714"/>
      <c r="AC443" s="714"/>
      <c r="AD443" s="714"/>
      <c r="AE443" s="714"/>
      <c r="AF443" s="714"/>
      <c r="AG443" s="714"/>
      <c r="AH443" s="714"/>
      <c r="AI443" s="696"/>
      <c r="AJ443" s="696"/>
      <c r="AK443" s="696"/>
      <c r="AL443" s="696"/>
      <c r="AM443" s="696"/>
      <c r="AN443" s="696"/>
      <c r="AO443" s="696"/>
      <c r="AP443" s="739">
        <v>0</v>
      </c>
      <c r="AQ443" s="739">
        <v>7.8792000000000001E-2</v>
      </c>
      <c r="AR443" s="739">
        <v>0.2360421</v>
      </c>
      <c r="AS443" s="739">
        <v>0.47489177263636362</v>
      </c>
      <c r="AT443" s="739">
        <v>0.80300178088735541</v>
      </c>
      <c r="AU443" s="739">
        <v>1.2158016028052465</v>
      </c>
      <c r="AV443" s="739">
        <v>1.7054922094811251</v>
      </c>
      <c r="AW443" s="739">
        <v>2.236333677581213</v>
      </c>
      <c r="AX443" s="739">
        <v>2.760003765173543</v>
      </c>
      <c r="AY443" s="739">
        <v>3.2662231084520865</v>
      </c>
      <c r="AZ443" s="739">
        <v>3.7452092365835097</v>
      </c>
      <c r="BA443" s="739">
        <v>4.1856753043514354</v>
      </c>
      <c r="BB443" s="739">
        <v>4.5864384773197182</v>
      </c>
      <c r="BC443" s="739">
        <v>4.9752879596585089</v>
      </c>
      <c r="BD443" s="739">
        <v>5.0980010123818449</v>
      </c>
      <c r="BE443" s="739">
        <v>5.7983775191986382</v>
      </c>
      <c r="BF443" s="739">
        <v>6.6839393768333943</v>
      </c>
      <c r="BG443" s="739">
        <v>7.4406785622131029</v>
      </c>
      <c r="BH443" s="739">
        <v>8.3273040865606163</v>
      </c>
      <c r="BI443" s="739">
        <v>9.0570915437023416</v>
      </c>
      <c r="BJ443" s="739">
        <v>9.9587267580584165</v>
      </c>
      <c r="BK443" s="739">
        <v>11.038643436037201</v>
      </c>
      <c r="BL443" s="739">
        <v>11.799934926851812</v>
      </c>
      <c r="BM443" s="739">
        <v>12.435522221364343</v>
      </c>
      <c r="BN443" s="739">
        <v>13.182054202146364</v>
      </c>
      <c r="BO443" s="739">
        <v>13.924881264571724</v>
      </c>
      <c r="BP443" s="739">
        <v>14.863040421388094</v>
      </c>
      <c r="BQ443" s="739">
        <v>15.820791709806306</v>
      </c>
      <c r="BR443" s="739">
        <v>16.804483801705402</v>
      </c>
      <c r="BS443" s="739">
        <v>17.817886910842525</v>
      </c>
      <c r="BT443" s="739">
        <v>18.850024349777463</v>
      </c>
      <c r="BU443" s="739">
        <v>19.895275219678965</v>
      </c>
      <c r="BV443" s="739">
        <v>20.393421705486936</v>
      </c>
      <c r="BW443" s="739">
        <v>21.009125562816696</v>
      </c>
      <c r="BX443" s="739">
        <v>21.667587003119252</v>
      </c>
      <c r="BY443" s="739">
        <v>22.353145148698953</v>
      </c>
      <c r="BZ443" s="739">
        <v>23.045241576447523</v>
      </c>
      <c r="CA443" s="739">
        <v>23.744521078443569</v>
      </c>
      <c r="CB443" s="739">
        <v>23.713566200320091</v>
      </c>
      <c r="CC443" s="739">
        <v>24.219666441225918</v>
      </c>
      <c r="CD443" s="739">
        <v>24.758050948363572</v>
      </c>
      <c r="CE443" s="739">
        <v>25.312046816960731</v>
      </c>
      <c r="CF443" s="739">
        <v>25.85437861859824</v>
      </c>
      <c r="CG443" s="739">
        <v>26.384574396191567</v>
      </c>
      <c r="CH443" s="739">
        <v>26.900925167931153</v>
      </c>
      <c r="CI443" s="739">
        <v>27.917377128537609</v>
      </c>
      <c r="CJ443" s="739">
        <v>28.908103776964079</v>
      </c>
      <c r="CK443" s="739">
        <v>29.887716259573025</v>
      </c>
      <c r="CL443" s="739">
        <v>30.857841825151532</v>
      </c>
      <c r="CM443" s="739">
        <v>31.819450311431154</v>
      </c>
      <c r="CN443" s="739">
        <v>32.772410683360107</v>
      </c>
      <c r="CO443" s="739">
        <v>33.716630382500362</v>
      </c>
      <c r="CP443" s="739">
        <v>34.651995369003345</v>
      </c>
      <c r="CQ443" s="739">
        <v>35.589179746044408</v>
      </c>
      <c r="CR443" s="739">
        <v>36.527508415611948</v>
      </c>
      <c r="CS443" s="739">
        <v>37.466697533862622</v>
      </c>
      <c r="CT443" s="739">
        <v>38.406522580683621</v>
      </c>
      <c r="CU443" s="739">
        <v>39.346795060695044</v>
      </c>
      <c r="CV443" s="739">
        <v>40.287326819762669</v>
      </c>
      <c r="CW443" s="739">
        <v>41.227931564029042</v>
      </c>
      <c r="CX443" s="739">
        <v>42.168424472304331</v>
      </c>
      <c r="CY443" s="739">
        <v>43.108848487500651</v>
      </c>
      <c r="CZ443" s="698"/>
      <c r="DA443" s="11">
        <v>0</v>
      </c>
      <c r="DB443" s="11">
        <v>7.8792000000000001E-2</v>
      </c>
      <c r="DC443" s="11">
        <v>4.9752879596585089</v>
      </c>
      <c r="DD443" s="11">
        <v>13.924881264571724</v>
      </c>
      <c r="DE443" s="11">
        <v>23.744521078443569</v>
      </c>
      <c r="DF443" s="11">
        <v>31.819450311431154</v>
      </c>
      <c r="DG443" s="11">
        <v>43.108848487500651</v>
      </c>
    </row>
    <row r="444" spans="2:111">
      <c r="B444" s="698"/>
      <c r="C444" s="230" t="s">
        <v>811</v>
      </c>
      <c r="D444" s="229"/>
      <c r="E444" s="126"/>
      <c r="F444" s="609"/>
      <c r="G444" s="609" t="s">
        <v>812</v>
      </c>
      <c r="H444" s="703"/>
      <c r="I444" s="703"/>
      <c r="J444" s="703"/>
      <c r="K444" s="703"/>
      <c r="L444" s="698"/>
      <c r="M444" s="714"/>
      <c r="N444" s="714"/>
      <c r="O444" s="714"/>
      <c r="P444" s="714"/>
      <c r="Q444" s="714"/>
      <c r="R444" s="714"/>
      <c r="S444" s="714"/>
      <c r="T444" s="714"/>
      <c r="U444" s="714"/>
      <c r="V444" s="714"/>
      <c r="W444" s="714"/>
      <c r="X444" s="714"/>
      <c r="Y444" s="714"/>
      <c r="Z444" s="714"/>
      <c r="AA444" s="714"/>
      <c r="AB444" s="714"/>
      <c r="AC444" s="714"/>
      <c r="AD444" s="714"/>
      <c r="AE444" s="714"/>
      <c r="AF444" s="714"/>
      <c r="AG444" s="714"/>
      <c r="AH444" s="714"/>
      <c r="AI444" s="696"/>
      <c r="AJ444" s="696"/>
      <c r="AK444" s="696"/>
      <c r="AL444" s="696"/>
      <c r="AM444" s="696"/>
      <c r="AN444" s="696"/>
      <c r="AO444" s="696"/>
      <c r="AP444" s="753">
        <v>0</v>
      </c>
      <c r="AQ444" s="753">
        <v>0</v>
      </c>
      <c r="AR444" s="753">
        <v>0</v>
      </c>
      <c r="AS444" s="753">
        <v>0</v>
      </c>
      <c r="AT444" s="753">
        <v>2.0045595430094871E-3</v>
      </c>
      <c r="AU444" s="753">
        <v>5.591833569487537E-3</v>
      </c>
      <c r="AV444" s="753">
        <v>1.0460428782240327E-2</v>
      </c>
      <c r="AW444" s="753">
        <v>1.6551888118286534E-2</v>
      </c>
      <c r="AX444" s="753">
        <v>2.1897729789966187E-2</v>
      </c>
      <c r="AY444" s="753">
        <v>2.5914800470758687E-2</v>
      </c>
      <c r="AZ444" s="753">
        <v>2.9330420288016138E-2</v>
      </c>
      <c r="BA444" s="753">
        <v>3.1908373850030661E-2</v>
      </c>
      <c r="BB444" s="753">
        <v>3.3726695073539863E-2</v>
      </c>
      <c r="BC444" s="753">
        <v>3.526789717373803E-2</v>
      </c>
      <c r="BD444" s="753">
        <v>3.5920508386092939E-2</v>
      </c>
      <c r="BE444" s="753">
        <v>3.5960552345804676E-2</v>
      </c>
      <c r="BF444" s="753">
        <v>3.5276202599425918E-2</v>
      </c>
      <c r="BG444" s="753">
        <v>3.3388802564516068E-2</v>
      </c>
      <c r="BH444" s="753">
        <v>3.6492428302641711E-2</v>
      </c>
      <c r="BI444" s="753">
        <v>4.193106081195884E-2</v>
      </c>
      <c r="BJ444" s="753">
        <v>4.7361991974252303E-2</v>
      </c>
      <c r="BK444" s="753">
        <v>5.4314498711276804E-2</v>
      </c>
      <c r="BL444" s="753">
        <v>5.6130731317000984E-2</v>
      </c>
      <c r="BM444" s="753">
        <v>5.6642151549788529E-2</v>
      </c>
      <c r="BN444" s="753">
        <v>5.8042781631804548E-2</v>
      </c>
      <c r="BO444" s="753">
        <v>5.9205960981654683E-2</v>
      </c>
      <c r="BP444" s="753">
        <v>6.1961593736568517E-2</v>
      </c>
      <c r="BQ444" s="753">
        <v>6.4758200559073373E-2</v>
      </c>
      <c r="BR444" s="753">
        <v>6.7615870016134588E-2</v>
      </c>
      <c r="BS444" s="753">
        <v>7.0575550673955059E-2</v>
      </c>
      <c r="BT444" s="753">
        <v>7.3502066942844668E-2</v>
      </c>
      <c r="BU444" s="753">
        <v>7.6352504040376967E-2</v>
      </c>
      <c r="BV444" s="753">
        <v>7.9137146211887305E-2</v>
      </c>
      <c r="BW444" s="753">
        <v>8.1839161372761468E-2</v>
      </c>
      <c r="BX444" s="753">
        <v>8.4496345251494548E-2</v>
      </c>
      <c r="BY444" s="753">
        <v>8.4190231170726854E-2</v>
      </c>
      <c r="BZ444" s="753">
        <v>8.3921347477865102E-2</v>
      </c>
      <c r="CA444" s="753">
        <v>8.367104429765683E-2</v>
      </c>
      <c r="CB444" s="753">
        <v>8.3432591854123994E-2</v>
      </c>
      <c r="CC444" s="753">
        <v>8.5918823498509211E-2</v>
      </c>
      <c r="CD444" s="753">
        <v>8.8348920738560696E-2</v>
      </c>
      <c r="CE444" s="753">
        <v>8.7292647250351615E-2</v>
      </c>
      <c r="CF444" s="753">
        <v>8.6276367497876663E-2</v>
      </c>
      <c r="CG444" s="753">
        <v>8.5217411396253717E-2</v>
      </c>
      <c r="CH444" s="753">
        <v>8.4101350821526977E-2</v>
      </c>
      <c r="CI444" s="753">
        <v>8.6149963637051033E-2</v>
      </c>
      <c r="CJ444" s="753">
        <v>8.8064894683363482E-2</v>
      </c>
      <c r="CK444" s="753">
        <v>8.9920038901372915E-2</v>
      </c>
      <c r="CL444" s="753">
        <v>9.1722895214160327E-2</v>
      </c>
      <c r="CM444" s="753">
        <v>9.3415408835854002E-2</v>
      </c>
      <c r="CN444" s="753">
        <v>9.5003946615065574E-2</v>
      </c>
      <c r="CO444" s="753">
        <v>9.6492801233992551E-2</v>
      </c>
      <c r="CP444" s="753">
        <v>9.7885670634766442E-2</v>
      </c>
      <c r="CQ444" s="753">
        <v>9.9245984923584052E-2</v>
      </c>
      <c r="CR444" s="753">
        <v>0.10057311954247618</v>
      </c>
      <c r="CS444" s="753">
        <v>0.10186815678538509</v>
      </c>
      <c r="CT444" s="753">
        <v>0.10313231660331292</v>
      </c>
      <c r="CU444" s="753">
        <v>0.10436568105113934</v>
      </c>
      <c r="CV444" s="753">
        <v>0.10556838756885174</v>
      </c>
      <c r="CW444" s="753">
        <v>0.1067405874706987</v>
      </c>
      <c r="CX444" s="753">
        <v>0.10788243649482983</v>
      </c>
      <c r="CY444" s="753">
        <v>0.10899522403031416</v>
      </c>
      <c r="CZ444" s="698"/>
      <c r="DA444" s="729">
        <v>0</v>
      </c>
      <c r="DB444" s="729">
        <v>0</v>
      </c>
      <c r="DC444" s="729">
        <v>3.526789717373803E-2</v>
      </c>
      <c r="DD444" s="729">
        <v>5.9205960981654683E-2</v>
      </c>
      <c r="DE444" s="729">
        <v>8.367104429765683E-2</v>
      </c>
      <c r="DF444" s="729">
        <v>9.3415408835854002E-2</v>
      </c>
      <c r="DG444" s="729">
        <v>0.10899522403031416</v>
      </c>
    </row>
    <row r="445" spans="2:111">
      <c r="B445" s="698"/>
      <c r="C445" s="230" t="s">
        <v>813</v>
      </c>
      <c r="D445" s="229"/>
      <c r="E445" s="126"/>
      <c r="F445" s="609"/>
      <c r="G445" s="609" t="s">
        <v>812</v>
      </c>
      <c r="H445" s="703"/>
      <c r="I445" s="703"/>
      <c r="J445" s="703"/>
      <c r="K445" s="703"/>
      <c r="L445" s="698"/>
      <c r="M445" s="714"/>
      <c r="N445" s="714"/>
      <c r="O445" s="714"/>
      <c r="P445" s="714"/>
      <c r="Q445" s="714"/>
      <c r="R445" s="714"/>
      <c r="S445" s="714"/>
      <c r="T445" s="714"/>
      <c r="U445" s="714"/>
      <c r="V445" s="714"/>
      <c r="W445" s="714"/>
      <c r="X445" s="714"/>
      <c r="Y445" s="714"/>
      <c r="Z445" s="714"/>
      <c r="AA445" s="714"/>
      <c r="AB445" s="714"/>
      <c r="AC445" s="714"/>
      <c r="AD445" s="714"/>
      <c r="AE445" s="714"/>
      <c r="AF445" s="714"/>
      <c r="AG445" s="714"/>
      <c r="AH445" s="714"/>
      <c r="AI445" s="696"/>
      <c r="AJ445" s="696"/>
      <c r="AK445" s="696"/>
      <c r="AL445" s="696"/>
      <c r="AM445" s="696"/>
      <c r="AN445" s="696"/>
      <c r="AO445" s="696"/>
      <c r="AP445" s="753">
        <v>0</v>
      </c>
      <c r="AQ445" s="753">
        <v>4.322111609420338E-3</v>
      </c>
      <c r="AR445" s="753">
        <v>9.6036196535245026E-3</v>
      </c>
      <c r="AS445" s="753">
        <v>1.6076921199472217E-2</v>
      </c>
      <c r="AT445" s="753">
        <v>2.3893910370147139E-2</v>
      </c>
      <c r="AU445" s="753">
        <v>3.2598762046798568E-2</v>
      </c>
      <c r="AV445" s="753">
        <v>4.1496582031111298E-2</v>
      </c>
      <c r="AW445" s="753">
        <v>5.0092535917163068E-2</v>
      </c>
      <c r="AX445" s="753">
        <v>5.6728674191849425E-2</v>
      </c>
      <c r="AY445" s="753">
        <v>6.1785846345666487E-2</v>
      </c>
      <c r="AZ445" s="753">
        <v>6.6140462347336934E-2</v>
      </c>
      <c r="BA445" s="753">
        <v>6.9385924578080682E-2</v>
      </c>
      <c r="BB445" s="753">
        <v>7.1562004102489446E-2</v>
      </c>
      <c r="BC445" s="753">
        <v>7.3103374535419416E-2</v>
      </c>
      <c r="BD445" s="753">
        <v>7.0814155134288348E-2</v>
      </c>
      <c r="BE445" s="753">
        <v>7.6340500900352298E-2</v>
      </c>
      <c r="BF445" s="753">
        <v>8.3823538108825021E-2</v>
      </c>
      <c r="BG445" s="753">
        <v>8.9158931187611271E-2</v>
      </c>
      <c r="BH445" s="753">
        <v>9.5486456941541689E-2</v>
      </c>
      <c r="BI445" s="753">
        <v>9.9646872302399936E-2</v>
      </c>
      <c r="BJ445" s="753">
        <v>0.10550544601422983</v>
      </c>
      <c r="BK445" s="753">
        <v>0.11267413561517528</v>
      </c>
      <c r="BL445" s="753">
        <v>0.11663248813007557</v>
      </c>
      <c r="BM445" s="753">
        <v>0.11943969126559023</v>
      </c>
      <c r="BN445" s="753">
        <v>0.1233532005995103</v>
      </c>
      <c r="BO445" s="753">
        <v>0.1272237866497867</v>
      </c>
      <c r="BP445" s="753">
        <v>0.1327569591962498</v>
      </c>
      <c r="BQ445" s="753">
        <v>0.13826372487841468</v>
      </c>
      <c r="BR445" s="753">
        <v>0.14377359099695552</v>
      </c>
      <c r="BS445" s="753">
        <v>0.14930318982761981</v>
      </c>
      <c r="BT445" s="753">
        <v>0.15474791252432696</v>
      </c>
      <c r="BU445" s="753">
        <v>0.16006421808064181</v>
      </c>
      <c r="BV445" s="753">
        <v>0.16084138203115181</v>
      </c>
      <c r="BW445" s="753">
        <v>0.16248486871869525</v>
      </c>
      <c r="BX445" s="753">
        <v>0.16438195898069638</v>
      </c>
      <c r="BY445" s="753">
        <v>0.16640563057834173</v>
      </c>
      <c r="BZ445" s="753">
        <v>0.16840141138650266</v>
      </c>
      <c r="CA445" s="753">
        <v>0.1703771288908002</v>
      </c>
      <c r="CB445" s="753">
        <v>0.16713728455287419</v>
      </c>
      <c r="CC445" s="753">
        <v>0.16773115040990744</v>
      </c>
      <c r="CD445" s="753">
        <v>0.16852575683049767</v>
      </c>
      <c r="CE445" s="753">
        <v>0.16939909148282381</v>
      </c>
      <c r="CF445" s="753">
        <v>0.17016738474209397</v>
      </c>
      <c r="CG445" s="753">
        <v>0.17083240712036357</v>
      </c>
      <c r="CH445" s="753">
        <v>0.17138801196557668</v>
      </c>
      <c r="CI445" s="753">
        <v>0.17506205138156772</v>
      </c>
      <c r="CJ445" s="753">
        <v>0.17846319881617401</v>
      </c>
      <c r="CK445" s="753">
        <v>0.1816927623342468</v>
      </c>
      <c r="CL445" s="753">
        <v>0.18476823984480836</v>
      </c>
      <c r="CM445" s="753">
        <v>0.1877022286318486</v>
      </c>
      <c r="CN445" s="753">
        <v>0.19050019476884078</v>
      </c>
      <c r="CO445" s="753">
        <v>0.19316750703632748</v>
      </c>
      <c r="CP445" s="753">
        <v>0.19570910188915921</v>
      </c>
      <c r="CQ445" s="753">
        <v>0.19818970988129334</v>
      </c>
      <c r="CR445" s="753">
        <v>0.20060815331713533</v>
      </c>
      <c r="CS445" s="753">
        <v>0.20296543396317906</v>
      </c>
      <c r="CT445" s="753">
        <v>0.20526281434652693</v>
      </c>
      <c r="CU445" s="753">
        <v>0.20750167895469515</v>
      </c>
      <c r="CV445" s="753">
        <v>0.20968334148191553</v>
      </c>
      <c r="CW445" s="753">
        <v>0.21180905775120187</v>
      </c>
      <c r="CX445" s="753">
        <v>0.21388002766644254</v>
      </c>
      <c r="CY445" s="753">
        <v>0.21589853206047949</v>
      </c>
      <c r="CZ445" s="698"/>
      <c r="DA445" s="729">
        <v>0</v>
      </c>
      <c r="DB445" s="729">
        <v>4.322111609420338E-3</v>
      </c>
      <c r="DC445" s="729">
        <v>7.3103374535419416E-2</v>
      </c>
      <c r="DD445" s="729">
        <v>0.1272237866497867</v>
      </c>
      <c r="DE445" s="729">
        <v>0.1703771288908002</v>
      </c>
      <c r="DF445" s="729">
        <v>0.1877022286318486</v>
      </c>
      <c r="DG445" s="729">
        <v>0.21589853206047949</v>
      </c>
    </row>
    <row r="446" spans="2:111">
      <c r="B446" s="698"/>
      <c r="C446" s="230" t="s">
        <v>814</v>
      </c>
      <c r="D446" s="229"/>
      <c r="E446" s="126"/>
      <c r="F446" s="609"/>
      <c r="G446" s="609" t="s">
        <v>812</v>
      </c>
      <c r="H446" s="703"/>
      <c r="I446" s="703"/>
      <c r="J446" s="703"/>
      <c r="K446" s="703"/>
      <c r="L446" s="698"/>
      <c r="M446" s="714"/>
      <c r="N446" s="714"/>
      <c r="O446" s="714"/>
      <c r="P446" s="714"/>
      <c r="Q446" s="714"/>
      <c r="R446" s="714"/>
      <c r="S446" s="714"/>
      <c r="T446" s="714"/>
      <c r="U446" s="714"/>
      <c r="V446" s="714"/>
      <c r="W446" s="714"/>
      <c r="X446" s="714"/>
      <c r="Y446" s="714"/>
      <c r="Z446" s="714"/>
      <c r="AA446" s="714"/>
      <c r="AB446" s="714"/>
      <c r="AC446" s="714"/>
      <c r="AD446" s="714"/>
      <c r="AE446" s="714"/>
      <c r="AF446" s="714"/>
      <c r="AG446" s="714"/>
      <c r="AH446" s="714"/>
      <c r="AI446" s="730"/>
      <c r="AJ446" s="730"/>
      <c r="AK446" s="730"/>
      <c r="AL446" s="730"/>
      <c r="AM446" s="730"/>
      <c r="AN446" s="730"/>
      <c r="AO446" s="730"/>
      <c r="AP446" s="730">
        <v>-5.0651999999999997E-3</v>
      </c>
      <c r="AQ446" s="730">
        <v>-2.0298284999999999E-2</v>
      </c>
      <c r="AR446" s="730">
        <v>-1.9329269718749993E-2</v>
      </c>
      <c r="AS446" s="730">
        <v>-4.5568154056278405E-2</v>
      </c>
      <c r="AT446" s="730">
        <v>-8.9857460115632309E-2</v>
      </c>
      <c r="AU446" s="730">
        <v>-0.15263298547787588</v>
      </c>
      <c r="AV446" s="730">
        <v>-0.23435742957076622</v>
      </c>
      <c r="AW446" s="730">
        <v>-0.35742323383847985</v>
      </c>
      <c r="AX446" s="730">
        <v>-0.5633537905879904</v>
      </c>
      <c r="AY446" s="730">
        <v>-0.85215168819249465</v>
      </c>
      <c r="AZ446" s="730">
        <v>-1.2323618827010998</v>
      </c>
      <c r="BA446" s="730">
        <v>-1.7060841604396326</v>
      </c>
      <c r="BB446" s="730">
        <v>-2.2595272520582439</v>
      </c>
      <c r="BC446" s="730">
        <v>-2.8779354823219103</v>
      </c>
      <c r="BD446" s="730">
        <v>-0.75776590909670183</v>
      </c>
      <c r="BE446" s="730">
        <v>-1.5704413183339616</v>
      </c>
      <c r="BF446" s="730">
        <v>-2.4303205371062138</v>
      </c>
      <c r="BG446" s="730">
        <v>-3.3052313229129799</v>
      </c>
      <c r="BH446" s="730">
        <v>-4.2759995912412565</v>
      </c>
      <c r="BI446" s="730">
        <v>-5.2918353226476933</v>
      </c>
      <c r="BJ446" s="730">
        <v>-6.2996503849644352</v>
      </c>
      <c r="BK446" s="730">
        <v>-7.4586958931771292</v>
      </c>
      <c r="BL446" s="730">
        <v>-8.9538855692997785</v>
      </c>
      <c r="BM446" s="730">
        <v>-10.631277837536556</v>
      </c>
      <c r="BN446" s="730">
        <v>-12.398241420309663</v>
      </c>
      <c r="BO446" s="730">
        <v>-14.252423848975445</v>
      </c>
      <c r="BP446" s="730">
        <v>-1.8908112129003454</v>
      </c>
      <c r="BQ446" s="730">
        <v>-3.9164856183818992</v>
      </c>
      <c r="BR446" s="730">
        <v>-6.0751726737050262</v>
      </c>
      <c r="BS446" s="730">
        <v>-8.3712278917503848</v>
      </c>
      <c r="BT446" s="730">
        <v>-10.814450509716648</v>
      </c>
      <c r="BU446" s="730">
        <v>-13.410244896892873</v>
      </c>
      <c r="BV446" s="730">
        <v>-16.129080916229103</v>
      </c>
      <c r="BW446" s="730">
        <v>-19.011616060526379</v>
      </c>
      <c r="BX446" s="730">
        <v>-22.053403594509263</v>
      </c>
      <c r="BY446" s="730">
        <v>-25.188412433872013</v>
      </c>
      <c r="BZ446" s="730">
        <v>-28.484614421016072</v>
      </c>
      <c r="CA446" s="730">
        <v>-31.943773671035487</v>
      </c>
      <c r="CB446" s="730">
        <v>-3.4461543278321769</v>
      </c>
      <c r="CC446" s="730">
        <v>-6.8399854938368154</v>
      </c>
      <c r="CD446" s="730">
        <v>-10.399209874760194</v>
      </c>
      <c r="CE446" s="730">
        <v>-14.034227884532998</v>
      </c>
      <c r="CF446" s="730">
        <v>-17.832834892106728</v>
      </c>
      <c r="CG446" s="730">
        <v>-21.79481964570294</v>
      </c>
      <c r="CH446" s="730">
        <v>-25.74410393171717</v>
      </c>
      <c r="CI446" s="730">
        <v>-29.561529103057978</v>
      </c>
      <c r="CJ446" s="730">
        <v>-33.536174336956115</v>
      </c>
      <c r="CK446" s="730">
        <v>-37.661871382072512</v>
      </c>
      <c r="CL446" s="730">
        <v>-41.938360574986142</v>
      </c>
      <c r="CM446" s="730">
        <v>-46.363827512322857</v>
      </c>
      <c r="CN446" s="730">
        <v>-4.574800746397667</v>
      </c>
      <c r="CO446" s="730">
        <v>-9.2992439726526008</v>
      </c>
      <c r="CP446" s="730">
        <v>-14.169927700210867</v>
      </c>
      <c r="CQ446" s="730">
        <v>-19.181050218254079</v>
      </c>
      <c r="CR446" s="730">
        <v>-24.333026882398713</v>
      </c>
      <c r="CS446" s="730">
        <v>-29.626089623449058</v>
      </c>
      <c r="CT446" s="730">
        <v>-35.060445304724283</v>
      </c>
      <c r="CU446" s="730">
        <v>-40.636252191731238</v>
      </c>
      <c r="CV446" s="730">
        <v>-46.353673363228047</v>
      </c>
      <c r="CW446" s="730">
        <v>-52.212875059425258</v>
      </c>
      <c r="CX446" s="730">
        <v>-58.213948673485795</v>
      </c>
      <c r="CY446" s="730">
        <v>-64.356862640572842</v>
      </c>
      <c r="CZ446" s="698"/>
      <c r="DA446" s="729"/>
      <c r="DB446" s="729"/>
      <c r="DC446" s="729"/>
      <c r="DD446" s="729"/>
      <c r="DE446" s="729"/>
      <c r="DF446" s="729"/>
      <c r="DG446" s="12">
        <v>-64.356862640572842</v>
      </c>
    </row>
    <row r="447" spans="2:111">
      <c r="B447" s="698"/>
      <c r="C447" s="230" t="s">
        <v>815</v>
      </c>
      <c r="D447" s="229"/>
      <c r="E447" s="126"/>
      <c r="F447" s="609"/>
      <c r="G447" s="609" t="s">
        <v>812</v>
      </c>
      <c r="H447" s="703"/>
      <c r="I447" s="703"/>
      <c r="J447" s="703"/>
      <c r="K447" s="703"/>
      <c r="L447" s="698"/>
      <c r="M447" s="714"/>
      <c r="N447" s="714"/>
      <c r="O447" s="714"/>
      <c r="P447" s="714"/>
      <c r="Q447" s="714"/>
      <c r="R447" s="714"/>
      <c r="S447" s="714"/>
      <c r="T447" s="714"/>
      <c r="U447" s="714"/>
      <c r="V447" s="714"/>
      <c r="W447" s="714"/>
      <c r="X447" s="714"/>
      <c r="Y447" s="714"/>
      <c r="Z447" s="714"/>
      <c r="AA447" s="714"/>
      <c r="AB447" s="714"/>
      <c r="AC447" s="714"/>
      <c r="AD447" s="714"/>
      <c r="AE447" s="714"/>
      <c r="AF447" s="714"/>
      <c r="AG447" s="714"/>
      <c r="AH447" s="714"/>
      <c r="AI447" s="697"/>
      <c r="AJ447" s="697"/>
      <c r="AK447" s="697"/>
      <c r="AL447" s="697"/>
      <c r="AM447" s="697"/>
      <c r="AN447" s="697"/>
      <c r="AO447" s="697"/>
      <c r="AP447" s="697">
        <v>-8.9999999999999993E-3</v>
      </c>
      <c r="AQ447" s="697">
        <v>-1.7705454045885423E-2</v>
      </c>
      <c r="AR447" s="697">
        <v>-8.3084635649845612E-3</v>
      </c>
      <c r="AS447" s="697">
        <v>-1.5146310534663993E-2</v>
      </c>
      <c r="AT447" s="697">
        <v>-2.3964341581120967E-2</v>
      </c>
      <c r="AU447" s="697">
        <v>-3.3658043958255182E-2</v>
      </c>
      <c r="AV447" s="697">
        <v>-4.3760167057295032E-2</v>
      </c>
      <c r="AW447" s="697">
        <v>-5.7587504948860654E-2</v>
      </c>
      <c r="AX447" s="697">
        <v>-7.9512736130229397E-2</v>
      </c>
      <c r="AY447" s="697">
        <v>-0.10666613191657681</v>
      </c>
      <c r="AZ447" s="697">
        <v>-0.13820330317683108</v>
      </c>
      <c r="BA447" s="697">
        <v>-0.17288311207034426</v>
      </c>
      <c r="BB447" s="697">
        <v>-0.20839338145277128</v>
      </c>
      <c r="BC447" s="697">
        <v>-0.24308608100712484</v>
      </c>
      <c r="BD447" s="697">
        <v>-2.5179761490512216E-2</v>
      </c>
      <c r="BE447" s="697">
        <v>-4.5075421127360134E-2</v>
      </c>
      <c r="BF447" s="697">
        <v>-6.28031908956692E-2</v>
      </c>
      <c r="BG447" s="697">
        <v>-7.8628712339585363E-2</v>
      </c>
      <c r="BH447" s="697">
        <v>-9.4877502746361725E-2</v>
      </c>
      <c r="BI447" s="697">
        <v>-0.11042801831732067</v>
      </c>
      <c r="BJ447" s="697">
        <v>-0.12432755631961674</v>
      </c>
      <c r="BK447" s="697">
        <v>-0.13977423735556896</v>
      </c>
      <c r="BL447" s="697">
        <v>-0.15980509274650995</v>
      </c>
      <c r="BM447" s="697">
        <v>-0.18113330447505158</v>
      </c>
      <c r="BN447" s="697">
        <v>-0.2020384206465117</v>
      </c>
      <c r="BO447" s="697">
        <v>-0.2224929037920938</v>
      </c>
      <c r="BP447" s="697">
        <v>-1.9056185098622301E-2</v>
      </c>
      <c r="BQ447" s="697">
        <v>-3.8352770106240976E-2</v>
      </c>
      <c r="BR447" s="697">
        <v>-5.7834111951180059E-2</v>
      </c>
      <c r="BS447" s="697">
        <v>-7.7508433502836163E-2</v>
      </c>
      <c r="BT447" s="697">
        <v>-9.7432142278307432E-2</v>
      </c>
      <c r="BU447" s="697">
        <v>-0.1176169644017185</v>
      </c>
      <c r="BV447" s="697">
        <v>-0.13777467509567196</v>
      </c>
      <c r="BW447" s="697">
        <v>-0.15823042916603303</v>
      </c>
      <c r="BX447" s="697">
        <v>-0.17891067676059125</v>
      </c>
      <c r="BY447" s="697">
        <v>-0.19926157972258293</v>
      </c>
      <c r="BZ447" s="697">
        <v>-0.2198173654758058</v>
      </c>
      <c r="CA447" s="697">
        <v>-0.24056254678671837</v>
      </c>
      <c r="CB447" s="697">
        <v>-1.9733271398851726E-2</v>
      </c>
      <c r="CC447" s="697">
        <v>-3.8419278997771159E-2</v>
      </c>
      <c r="CD447" s="697">
        <v>-5.7315711141969927E-2</v>
      </c>
      <c r="CE447" s="697">
        <v>-7.592569224916329E-2</v>
      </c>
      <c r="CF447" s="697">
        <v>-9.4730905006062918E-2</v>
      </c>
      <c r="CG447" s="697">
        <v>-0.11371972046004981</v>
      </c>
      <c r="CH447" s="697">
        <v>-0.13197977479149903</v>
      </c>
      <c r="CI447" s="697">
        <v>-0.14894818204311983</v>
      </c>
      <c r="CJ447" s="697">
        <v>-0.16612230157943267</v>
      </c>
      <c r="CK447" s="697">
        <v>-0.18346183649833095</v>
      </c>
      <c r="CL447" s="697">
        <v>-0.2009574355494195</v>
      </c>
      <c r="CM447" s="697">
        <v>-0.21859301882698451</v>
      </c>
      <c r="CN447" s="697">
        <v>-2.1227826284457803E-2</v>
      </c>
      <c r="CO447" s="697">
        <v>-4.2478170884727703E-2</v>
      </c>
      <c r="CP447" s="697">
        <v>-6.3734677516614033E-2</v>
      </c>
      <c r="CQ447" s="697">
        <v>-8.4971351443431445E-2</v>
      </c>
      <c r="CR447" s="697">
        <v>-0.10619087948890932</v>
      </c>
      <c r="CS447" s="697">
        <v>-0.1273950044794066</v>
      </c>
      <c r="CT447" s="697">
        <v>-0.14858526397969149</v>
      </c>
      <c r="CU447" s="697">
        <v>-0.16976290621035975</v>
      </c>
      <c r="CV447" s="697">
        <v>-0.19092913007473739</v>
      </c>
      <c r="CW447" s="697">
        <v>-0.21208508165649767</v>
      </c>
      <c r="CX447" s="697">
        <v>-0.23323154513578762</v>
      </c>
      <c r="CY447" s="697">
        <v>-0.25436877689781695</v>
      </c>
      <c r="CZ447" s="698"/>
      <c r="DA447" s="729">
        <v>0</v>
      </c>
      <c r="DB447" s="729">
        <v>-1.7705454045885423E-2</v>
      </c>
      <c r="DC447" s="729">
        <v>-0.24308608100712484</v>
      </c>
      <c r="DD447" s="729">
        <v>-0.2224929037920938</v>
      </c>
      <c r="DE447" s="729">
        <v>-0.24056254678671837</v>
      </c>
      <c r="DF447" s="729">
        <v>-0.21859301882698451</v>
      </c>
      <c r="DG447" s="729">
        <v>-0.25436877689781695</v>
      </c>
    </row>
    <row r="448" spans="2:111">
      <c r="B448" s="126"/>
      <c r="C448" s="126"/>
      <c r="D448" s="698"/>
      <c r="E448" s="126"/>
      <c r="F448" s="609"/>
      <c r="G448" s="609"/>
      <c r="H448" s="609"/>
      <c r="I448" s="609"/>
      <c r="J448" s="609"/>
      <c r="K448" s="609"/>
      <c r="L448" s="126"/>
      <c r="M448" s="710"/>
      <c r="N448" s="710"/>
      <c r="O448" s="710"/>
      <c r="P448" s="710"/>
      <c r="Q448" s="710"/>
      <c r="R448" s="710"/>
      <c r="S448" s="710"/>
      <c r="T448" s="710"/>
      <c r="U448" s="710"/>
      <c r="V448" s="710"/>
      <c r="W448" s="710"/>
      <c r="X448" s="710"/>
      <c r="Y448" s="710"/>
      <c r="Z448" s="710"/>
      <c r="AA448" s="710"/>
      <c r="AB448" s="710"/>
      <c r="AC448" s="710"/>
      <c r="AD448" s="710"/>
      <c r="AE448" s="710"/>
      <c r="AF448" s="710"/>
      <c r="AG448" s="710"/>
      <c r="AH448" s="710"/>
      <c r="AI448" s="710"/>
      <c r="AJ448" s="710"/>
      <c r="AK448" s="710"/>
      <c r="AL448" s="710"/>
      <c r="AM448" s="710"/>
      <c r="AN448" s="710"/>
      <c r="AO448" s="710"/>
      <c r="AP448" s="710"/>
      <c r="AQ448" s="710"/>
      <c r="AR448" s="710"/>
      <c r="AS448" s="710"/>
      <c r="AT448" s="710"/>
      <c r="AU448" s="710"/>
      <c r="AV448" s="710"/>
      <c r="AW448" s="710"/>
      <c r="AX448" s="710"/>
      <c r="AY448" s="710"/>
      <c r="AZ448" s="710"/>
      <c r="BA448" s="710"/>
      <c r="BB448" s="710"/>
      <c r="BC448" s="710"/>
      <c r="BD448" s="710"/>
      <c r="BE448" s="710"/>
      <c r="BF448" s="710"/>
      <c r="BG448" s="710"/>
      <c r="BH448" s="710"/>
      <c r="BI448" s="710"/>
      <c r="BJ448" s="710"/>
      <c r="BK448" s="710"/>
      <c r="BL448" s="710"/>
      <c r="BM448" s="710"/>
      <c r="BN448" s="710"/>
      <c r="BO448" s="710"/>
      <c r="BP448" s="710"/>
      <c r="BQ448" s="710"/>
      <c r="BR448" s="710"/>
      <c r="BS448" s="710"/>
      <c r="BT448" s="710"/>
      <c r="BU448" s="710"/>
      <c r="BV448" s="710"/>
      <c r="BW448" s="710"/>
      <c r="BX448" s="710"/>
      <c r="BY448" s="710"/>
      <c r="BZ448" s="710"/>
      <c r="CA448" s="710"/>
      <c r="CB448" s="710"/>
      <c r="CC448" s="710"/>
      <c r="CD448" s="710"/>
      <c r="CE448" s="710"/>
      <c r="CF448" s="710"/>
      <c r="CG448" s="710"/>
      <c r="CH448" s="710"/>
      <c r="CI448" s="710"/>
      <c r="CJ448" s="710"/>
      <c r="CK448" s="710"/>
      <c r="CL448" s="710"/>
      <c r="CM448" s="710"/>
      <c r="CN448" s="710"/>
      <c r="CO448" s="710"/>
      <c r="CP448" s="710"/>
      <c r="CQ448" s="710"/>
      <c r="CR448" s="710"/>
      <c r="CS448" s="710"/>
      <c r="CT448" s="710"/>
      <c r="CU448" s="710"/>
      <c r="CV448" s="710"/>
      <c r="CW448" s="710"/>
      <c r="CX448" s="710"/>
      <c r="CY448" s="710"/>
      <c r="CZ448" s="126"/>
      <c r="DA448" s="12"/>
      <c r="DB448" s="12"/>
      <c r="DC448" s="12"/>
      <c r="DD448" s="12"/>
      <c r="DE448" s="12"/>
      <c r="DF448" s="12"/>
      <c r="DG448" s="126"/>
    </row>
    <row r="449" spans="2:111">
      <c r="B449" s="126"/>
      <c r="C449" s="126"/>
      <c r="D449" s="126"/>
      <c r="E449" s="126"/>
      <c r="F449" s="609"/>
      <c r="G449" s="609"/>
      <c r="H449" s="609"/>
      <c r="I449" s="609"/>
      <c r="J449" s="609"/>
      <c r="K449" s="609"/>
      <c r="L449" s="126"/>
      <c r="M449" s="710"/>
      <c r="N449" s="710"/>
      <c r="O449" s="710"/>
      <c r="P449" s="710"/>
      <c r="Q449" s="710"/>
      <c r="R449" s="710"/>
      <c r="S449" s="710"/>
      <c r="T449" s="710"/>
      <c r="U449" s="710"/>
      <c r="V449" s="710"/>
      <c r="W449" s="710"/>
      <c r="X449" s="710"/>
      <c r="Y449" s="710"/>
      <c r="Z449" s="710"/>
      <c r="AA449" s="710"/>
      <c r="AB449" s="710"/>
      <c r="AC449" s="710"/>
      <c r="AD449" s="710"/>
      <c r="AE449" s="710"/>
      <c r="AF449" s="710"/>
      <c r="AG449" s="710"/>
      <c r="AH449" s="710"/>
      <c r="AI449" s="710"/>
      <c r="AJ449" s="710"/>
      <c r="AK449" s="710"/>
      <c r="AL449" s="710"/>
      <c r="AM449" s="710"/>
      <c r="AN449" s="710"/>
      <c r="AO449" s="710"/>
      <c r="AP449" s="710"/>
      <c r="AQ449" s="710"/>
      <c r="AR449" s="710"/>
      <c r="AS449" s="710"/>
      <c r="AT449" s="710"/>
      <c r="AU449" s="710"/>
      <c r="AV449" s="710"/>
      <c r="AW449" s="710"/>
      <c r="AX449" s="710"/>
      <c r="AY449" s="710"/>
      <c r="AZ449" s="710"/>
      <c r="BA449" s="710"/>
      <c r="BB449" s="710"/>
      <c r="BC449" s="710"/>
      <c r="BD449" s="710"/>
      <c r="BE449" s="710"/>
      <c r="BF449" s="710"/>
      <c r="BG449" s="710"/>
      <c r="BH449" s="710"/>
      <c r="BI449" s="710"/>
      <c r="BJ449" s="710"/>
      <c r="BK449" s="710"/>
      <c r="BL449" s="710"/>
      <c r="BM449" s="710"/>
      <c r="BN449" s="710"/>
      <c r="BO449" s="710"/>
      <c r="BP449" s="710"/>
      <c r="BQ449" s="710"/>
      <c r="BR449" s="710"/>
      <c r="BS449" s="710"/>
      <c r="BT449" s="710"/>
      <c r="BU449" s="710"/>
      <c r="BV449" s="710"/>
      <c r="BW449" s="710"/>
      <c r="BX449" s="710"/>
      <c r="BY449" s="710"/>
      <c r="BZ449" s="710"/>
      <c r="CA449" s="710"/>
      <c r="CB449" s="710"/>
      <c r="CC449" s="710"/>
      <c r="CD449" s="710"/>
      <c r="CE449" s="710"/>
      <c r="CF449" s="710"/>
      <c r="CG449" s="710"/>
      <c r="CH449" s="710"/>
      <c r="CI449" s="710"/>
      <c r="CJ449" s="710"/>
      <c r="CK449" s="710"/>
      <c r="CL449" s="710"/>
      <c r="CM449" s="710"/>
      <c r="CN449" s="710"/>
      <c r="CO449" s="710"/>
      <c r="CP449" s="710"/>
      <c r="CQ449" s="710"/>
      <c r="CR449" s="710"/>
      <c r="CS449" s="710"/>
      <c r="CT449" s="710"/>
      <c r="CU449" s="710"/>
      <c r="CV449" s="710"/>
      <c r="CW449" s="710"/>
      <c r="CX449" s="710"/>
      <c r="CY449" s="710"/>
      <c r="CZ449" s="126"/>
      <c r="DA449" s="12"/>
      <c r="DB449" s="12"/>
      <c r="DC449" s="12"/>
      <c r="DD449" s="12"/>
      <c r="DE449" s="12"/>
      <c r="DF449" s="12"/>
      <c r="DG449" s="126"/>
    </row>
    <row r="450" spans="2:111">
      <c r="B450" s="126"/>
      <c r="C450" s="735" t="s">
        <v>851</v>
      </c>
      <c r="D450" s="734"/>
      <c r="E450" s="734"/>
      <c r="F450" s="736"/>
      <c r="G450" s="736"/>
      <c r="H450" s="609"/>
      <c r="I450" s="609"/>
      <c r="J450" s="609"/>
      <c r="K450" s="609"/>
      <c r="L450" s="126"/>
      <c r="M450" s="696"/>
      <c r="N450" s="696"/>
      <c r="O450" s="696"/>
      <c r="P450" s="696"/>
      <c r="Q450" s="696"/>
      <c r="R450" s="696"/>
      <c r="S450" s="696"/>
      <c r="T450" s="696"/>
      <c r="U450" s="696"/>
      <c r="V450" s="696"/>
      <c r="W450" s="696"/>
      <c r="X450" s="697"/>
      <c r="Y450" s="697"/>
      <c r="Z450" s="697"/>
      <c r="AA450" s="697"/>
      <c r="AB450" s="697"/>
      <c r="AC450" s="697"/>
      <c r="AD450" s="697"/>
      <c r="AE450" s="697"/>
      <c r="AF450" s="697"/>
      <c r="AG450" s="697"/>
      <c r="AH450" s="697"/>
      <c r="AI450" s="697"/>
      <c r="AJ450" s="697"/>
      <c r="AK450" s="697"/>
      <c r="AL450" s="697"/>
      <c r="AM450" s="697"/>
      <c r="AN450" s="697"/>
      <c r="AO450" s="697"/>
      <c r="AP450" s="697"/>
      <c r="AQ450" s="697"/>
      <c r="AR450" s="697"/>
      <c r="AS450" s="697"/>
      <c r="AT450" s="697"/>
      <c r="AU450" s="697"/>
      <c r="AV450" s="697"/>
      <c r="AW450" s="697"/>
      <c r="AX450" s="697"/>
      <c r="AY450" s="697"/>
      <c r="AZ450" s="697"/>
      <c r="BA450" s="697"/>
      <c r="BB450" s="697"/>
      <c r="BC450" s="697"/>
      <c r="BD450" s="697"/>
      <c r="BE450" s="697"/>
      <c r="BF450" s="697"/>
      <c r="BG450" s="697"/>
      <c r="BH450" s="697"/>
      <c r="BI450" s="697"/>
      <c r="BJ450" s="697"/>
      <c r="BK450" s="697"/>
      <c r="BL450" s="697"/>
      <c r="BM450" s="697"/>
      <c r="BN450" s="697"/>
      <c r="BO450" s="697"/>
      <c r="BP450" s="697"/>
      <c r="BQ450" s="697"/>
      <c r="BR450" s="697"/>
      <c r="BS450" s="697"/>
      <c r="BT450" s="697"/>
      <c r="BU450" s="697"/>
      <c r="BV450" s="697"/>
      <c r="BW450" s="697"/>
      <c r="BX450" s="697"/>
      <c r="BY450" s="697"/>
      <c r="BZ450" s="697"/>
      <c r="CA450" s="697"/>
      <c r="CB450" s="697"/>
      <c r="CC450" s="697"/>
      <c r="CD450" s="697"/>
      <c r="CE450" s="697"/>
      <c r="CF450" s="697"/>
      <c r="CG450" s="697"/>
      <c r="CH450" s="697"/>
      <c r="CI450" s="697"/>
      <c r="CJ450" s="697"/>
      <c r="CK450" s="697"/>
      <c r="CL450" s="697"/>
      <c r="CM450" s="697"/>
      <c r="CN450" s="697"/>
      <c r="CO450" s="697"/>
      <c r="CP450" s="697"/>
      <c r="CQ450" s="697"/>
      <c r="CR450" s="697"/>
      <c r="CS450" s="697"/>
      <c r="CT450" s="697"/>
      <c r="CU450" s="697"/>
      <c r="CV450" s="697"/>
      <c r="CW450" s="697"/>
      <c r="CX450" s="697"/>
      <c r="CY450" s="697"/>
      <c r="CZ450" s="126"/>
      <c r="DA450" s="126"/>
      <c r="DB450" s="126"/>
      <c r="DC450" s="126"/>
      <c r="DD450" s="126"/>
      <c r="DE450" s="126"/>
      <c r="DF450" s="126"/>
      <c r="DG450" s="126"/>
    </row>
    <row r="451" spans="2:111">
      <c r="B451" s="126"/>
      <c r="C451" s="698"/>
      <c r="D451" s="126" t="s">
        <v>845</v>
      </c>
      <c r="E451" s="126"/>
      <c r="F451" s="609"/>
      <c r="G451" s="699" t="s">
        <v>743</v>
      </c>
      <c r="H451" s="609"/>
      <c r="I451" s="609"/>
      <c r="J451" s="609"/>
      <c r="K451" s="609"/>
      <c r="L451" s="126"/>
      <c r="M451" s="696"/>
      <c r="N451" s="696"/>
      <c r="O451" s="696"/>
      <c r="P451" s="696"/>
      <c r="Q451" s="696"/>
      <c r="R451" s="696"/>
      <c r="S451" s="696"/>
      <c r="T451" s="696"/>
      <c r="U451" s="696"/>
      <c r="V451" s="696"/>
      <c r="W451" s="696"/>
      <c r="X451" s="697"/>
      <c r="Y451" s="697"/>
      <c r="Z451" s="697"/>
      <c r="AA451" s="697"/>
      <c r="AB451" s="697"/>
      <c r="AC451" s="697"/>
      <c r="AD451" s="697"/>
      <c r="AE451" s="697"/>
      <c r="AF451" s="697"/>
      <c r="AG451" s="697"/>
      <c r="AH451" s="697"/>
      <c r="AI451" s="697"/>
      <c r="AJ451" s="697"/>
      <c r="AK451" s="697"/>
      <c r="AL451" s="697"/>
      <c r="AM451" s="697"/>
      <c r="AN451" s="738"/>
      <c r="AO451" s="738"/>
      <c r="AP451" s="738">
        <v>1.5</v>
      </c>
      <c r="AQ451" s="738">
        <v>2.5</v>
      </c>
      <c r="AR451" s="739">
        <v>2.6041666666666665</v>
      </c>
      <c r="AS451" s="739">
        <v>2.708333333333333</v>
      </c>
      <c r="AT451" s="739">
        <v>2.8124999999999996</v>
      </c>
      <c r="AU451" s="739">
        <v>2.9166666666666661</v>
      </c>
      <c r="AV451" s="739">
        <v>3.0208333333333326</v>
      </c>
      <c r="AW451" s="739">
        <v>3.1249999999999991</v>
      </c>
      <c r="AX451" s="739">
        <v>3.2291666666666656</v>
      </c>
      <c r="AY451" s="739">
        <v>3.3333333333333321</v>
      </c>
      <c r="AZ451" s="739">
        <v>3.4374999999999987</v>
      </c>
      <c r="BA451" s="739">
        <v>3.5416666666666652</v>
      </c>
      <c r="BB451" s="739">
        <v>3.6458333333333317</v>
      </c>
      <c r="BC451" s="738">
        <v>3.75</v>
      </c>
      <c r="BD451" s="739">
        <v>3.7708333333333335</v>
      </c>
      <c r="BE451" s="739">
        <v>3.791666666666667</v>
      </c>
      <c r="BF451" s="739">
        <v>3.8125000000000004</v>
      </c>
      <c r="BG451" s="739">
        <v>3.8333333333333339</v>
      </c>
      <c r="BH451" s="739">
        <v>3.8541666666666674</v>
      </c>
      <c r="BI451" s="739">
        <v>3.8750000000000009</v>
      </c>
      <c r="BJ451" s="739">
        <v>3.8958333333333344</v>
      </c>
      <c r="BK451" s="739">
        <v>3.9166666666666679</v>
      </c>
      <c r="BL451" s="739">
        <v>3.9375000000000013</v>
      </c>
      <c r="BM451" s="739">
        <v>3.9583333333333348</v>
      </c>
      <c r="BN451" s="739">
        <v>3.9791666666666683</v>
      </c>
      <c r="BO451" s="738">
        <v>4</v>
      </c>
      <c r="BP451" s="739">
        <v>4</v>
      </c>
      <c r="BQ451" s="739">
        <v>4</v>
      </c>
      <c r="BR451" s="739">
        <v>4</v>
      </c>
      <c r="BS451" s="739">
        <v>4</v>
      </c>
      <c r="BT451" s="739">
        <v>4</v>
      </c>
      <c r="BU451" s="739">
        <v>4</v>
      </c>
      <c r="BV451" s="739">
        <v>4</v>
      </c>
      <c r="BW451" s="739">
        <v>4</v>
      </c>
      <c r="BX451" s="739">
        <v>4</v>
      </c>
      <c r="BY451" s="739">
        <v>4</v>
      </c>
      <c r="BZ451" s="739">
        <v>4</v>
      </c>
      <c r="CA451" s="738">
        <v>4</v>
      </c>
      <c r="CB451" s="739">
        <v>4</v>
      </c>
      <c r="CC451" s="739">
        <v>4</v>
      </c>
      <c r="CD451" s="739">
        <v>4</v>
      </c>
      <c r="CE451" s="739">
        <v>4</v>
      </c>
      <c r="CF451" s="739">
        <v>4</v>
      </c>
      <c r="CG451" s="739">
        <v>4</v>
      </c>
      <c r="CH451" s="739">
        <v>4</v>
      </c>
      <c r="CI451" s="739">
        <v>4</v>
      </c>
      <c r="CJ451" s="739">
        <v>4</v>
      </c>
      <c r="CK451" s="739">
        <v>4</v>
      </c>
      <c r="CL451" s="739">
        <v>4</v>
      </c>
      <c r="CM451" s="738">
        <v>4</v>
      </c>
      <c r="CN451" s="710">
        <v>4</v>
      </c>
      <c r="CO451" s="710">
        <v>4</v>
      </c>
      <c r="CP451" s="710">
        <v>4</v>
      </c>
      <c r="CQ451" s="710">
        <v>4</v>
      </c>
      <c r="CR451" s="710">
        <v>4</v>
      </c>
      <c r="CS451" s="710">
        <v>4</v>
      </c>
      <c r="CT451" s="710">
        <v>4</v>
      </c>
      <c r="CU451" s="710">
        <v>4</v>
      </c>
      <c r="CV451" s="710">
        <v>4</v>
      </c>
      <c r="CW451" s="710">
        <v>4</v>
      </c>
      <c r="CX451" s="710">
        <v>4</v>
      </c>
      <c r="CY451" s="738">
        <v>4</v>
      </c>
      <c r="CZ451" s="126"/>
      <c r="DA451" s="11">
        <v>0</v>
      </c>
      <c r="DB451" s="12">
        <v>4</v>
      </c>
      <c r="DC451" s="12">
        <v>38.124999999999986</v>
      </c>
      <c r="DD451" s="12">
        <v>46.625000000000014</v>
      </c>
      <c r="DE451" s="12">
        <v>48</v>
      </c>
      <c r="DF451" s="12">
        <v>48</v>
      </c>
      <c r="DG451" s="12">
        <v>48</v>
      </c>
    </row>
    <row r="452" spans="2:111">
      <c r="B452" s="126"/>
      <c r="C452" s="698"/>
      <c r="D452" s="126" t="s">
        <v>194</v>
      </c>
      <c r="E452" s="126"/>
      <c r="F452" s="609"/>
      <c r="G452" s="699" t="s">
        <v>743</v>
      </c>
      <c r="H452" s="609"/>
      <c r="I452" s="609"/>
      <c r="J452" s="609"/>
      <c r="K452" s="609"/>
      <c r="L452" s="126"/>
      <c r="M452" s="696"/>
      <c r="N452" s="696"/>
      <c r="O452" s="696"/>
      <c r="P452" s="696"/>
      <c r="Q452" s="696"/>
      <c r="R452" s="696"/>
      <c r="S452" s="696"/>
      <c r="T452" s="696"/>
      <c r="U452" s="696"/>
      <c r="V452" s="696"/>
      <c r="W452" s="696"/>
      <c r="X452" s="697"/>
      <c r="Y452" s="697"/>
      <c r="Z452" s="697"/>
      <c r="AA452" s="697"/>
      <c r="AB452" s="697"/>
      <c r="AC452" s="697"/>
      <c r="AD452" s="697"/>
      <c r="AE452" s="697"/>
      <c r="AF452" s="697"/>
      <c r="AG452" s="697"/>
      <c r="AH452" s="697"/>
      <c r="AI452" s="697"/>
      <c r="AJ452" s="697"/>
      <c r="AK452" s="697"/>
      <c r="AL452" s="697"/>
      <c r="AM452" s="697"/>
      <c r="AN452" s="739"/>
      <c r="AO452" s="739"/>
      <c r="AP452" s="739">
        <v>1.5</v>
      </c>
      <c r="AQ452" s="739">
        <v>4</v>
      </c>
      <c r="AR452" s="739">
        <v>6.6041666666666661</v>
      </c>
      <c r="AS452" s="739">
        <v>9.3125</v>
      </c>
      <c r="AT452" s="739">
        <v>12.125</v>
      </c>
      <c r="AU452" s="739">
        <v>15.041666666666666</v>
      </c>
      <c r="AV452" s="739">
        <v>18.0625</v>
      </c>
      <c r="AW452" s="739">
        <v>21.1875</v>
      </c>
      <c r="AX452" s="739">
        <v>24.416666666666664</v>
      </c>
      <c r="AY452" s="739">
        <v>27.749999999999996</v>
      </c>
      <c r="AZ452" s="739">
        <v>31.187499999999996</v>
      </c>
      <c r="BA452" s="739">
        <v>34.729166666666664</v>
      </c>
      <c r="BB452" s="739">
        <v>38.374999999999993</v>
      </c>
      <c r="BC452" s="739">
        <v>42.124999999999993</v>
      </c>
      <c r="BD452" s="739">
        <v>45.895833333333329</v>
      </c>
      <c r="BE452" s="739">
        <v>49.687499999999993</v>
      </c>
      <c r="BF452" s="739">
        <v>53.499999999999993</v>
      </c>
      <c r="BG452" s="739">
        <v>57.333333333333329</v>
      </c>
      <c r="BH452" s="739">
        <v>61.187499999999993</v>
      </c>
      <c r="BI452" s="739">
        <v>65.0625</v>
      </c>
      <c r="BJ452" s="739">
        <v>68.958333333333329</v>
      </c>
      <c r="BK452" s="739">
        <v>72.875</v>
      </c>
      <c r="BL452" s="739">
        <v>76.8125</v>
      </c>
      <c r="BM452" s="739">
        <v>80.770833333333329</v>
      </c>
      <c r="BN452" s="739">
        <v>84.75</v>
      </c>
      <c r="BO452" s="739">
        <v>88.75</v>
      </c>
      <c r="BP452" s="739">
        <v>92.75</v>
      </c>
      <c r="BQ452" s="739">
        <v>96.75</v>
      </c>
      <c r="BR452" s="739">
        <v>100.75</v>
      </c>
      <c r="BS452" s="739">
        <v>104.75</v>
      </c>
      <c r="BT452" s="739">
        <v>108.75</v>
      </c>
      <c r="BU452" s="739">
        <v>112.75</v>
      </c>
      <c r="BV452" s="739">
        <v>116.75</v>
      </c>
      <c r="BW452" s="739">
        <v>120.75</v>
      </c>
      <c r="BX452" s="739">
        <v>124.75</v>
      </c>
      <c r="BY452" s="739">
        <v>128.75</v>
      </c>
      <c r="BZ452" s="739">
        <v>132.75</v>
      </c>
      <c r="CA452" s="739">
        <v>136.75</v>
      </c>
      <c r="CB452" s="739">
        <v>140.75</v>
      </c>
      <c r="CC452" s="739">
        <v>144.75</v>
      </c>
      <c r="CD452" s="739">
        <v>148.75</v>
      </c>
      <c r="CE452" s="739">
        <v>152.75</v>
      </c>
      <c r="CF452" s="739">
        <v>156.75</v>
      </c>
      <c r="CG452" s="739">
        <v>160.75</v>
      </c>
      <c r="CH452" s="739">
        <v>164.75</v>
      </c>
      <c r="CI452" s="739">
        <v>168.75</v>
      </c>
      <c r="CJ452" s="739">
        <v>172.75</v>
      </c>
      <c r="CK452" s="739">
        <v>176.75</v>
      </c>
      <c r="CL452" s="739">
        <v>180.75</v>
      </c>
      <c r="CM452" s="739">
        <v>184.75</v>
      </c>
      <c r="CN452" s="739">
        <v>188.75</v>
      </c>
      <c r="CO452" s="739">
        <v>192.75</v>
      </c>
      <c r="CP452" s="739">
        <v>196.75</v>
      </c>
      <c r="CQ452" s="739">
        <v>200.75</v>
      </c>
      <c r="CR452" s="739">
        <v>204.75</v>
      </c>
      <c r="CS452" s="739">
        <v>208.75</v>
      </c>
      <c r="CT452" s="739">
        <v>212.75</v>
      </c>
      <c r="CU452" s="739">
        <v>216.75</v>
      </c>
      <c r="CV452" s="739">
        <v>220.75</v>
      </c>
      <c r="CW452" s="739">
        <v>224.75</v>
      </c>
      <c r="CX452" s="739">
        <v>228.75</v>
      </c>
      <c r="CY452" s="739">
        <v>232.75</v>
      </c>
      <c r="CZ452" s="126"/>
      <c r="DA452" s="12">
        <v>0</v>
      </c>
      <c r="DB452" s="11">
        <v>4</v>
      </c>
      <c r="DC452" s="11">
        <v>42.124999999999993</v>
      </c>
      <c r="DD452" s="11">
        <v>88.75</v>
      </c>
      <c r="DE452" s="11">
        <v>136.75</v>
      </c>
      <c r="DF452" s="11">
        <v>184.75</v>
      </c>
      <c r="DG452" s="11">
        <v>232.75</v>
      </c>
    </row>
    <row r="453" spans="2:111">
      <c r="B453" s="126"/>
      <c r="C453" s="698"/>
      <c r="D453" s="126" t="s">
        <v>794</v>
      </c>
      <c r="E453" s="126"/>
      <c r="F453" s="609"/>
      <c r="G453" s="699" t="s">
        <v>743</v>
      </c>
      <c r="H453" s="609"/>
      <c r="I453" s="609"/>
      <c r="J453" s="609"/>
      <c r="K453" s="609"/>
      <c r="L453" s="126"/>
      <c r="M453" s="696"/>
      <c r="N453" s="696"/>
      <c r="O453" s="696"/>
      <c r="P453" s="696"/>
      <c r="Q453" s="696"/>
      <c r="R453" s="696"/>
      <c r="S453" s="696"/>
      <c r="T453" s="696"/>
      <c r="U453" s="696"/>
      <c r="V453" s="696"/>
      <c r="W453" s="696"/>
      <c r="X453" s="697"/>
      <c r="Y453" s="697"/>
      <c r="Z453" s="697"/>
      <c r="AA453" s="697"/>
      <c r="AB453" s="697"/>
      <c r="AC453" s="697"/>
      <c r="AD453" s="697"/>
      <c r="AE453" s="697"/>
      <c r="AF453" s="697"/>
      <c r="AG453" s="697"/>
      <c r="AH453" s="697"/>
      <c r="AI453" s="697"/>
      <c r="AJ453" s="697"/>
      <c r="AK453" s="697"/>
      <c r="AL453" s="697"/>
      <c r="AM453" s="697"/>
      <c r="AN453" s="739"/>
      <c r="AO453" s="739"/>
      <c r="AP453" s="739">
        <v>0.60000000000000009</v>
      </c>
      <c r="AQ453" s="739">
        <v>1.6</v>
      </c>
      <c r="AR453" s="739">
        <v>2.3114583333333329</v>
      </c>
      <c r="AS453" s="739">
        <v>3.2593749999999999</v>
      </c>
      <c r="AT453" s="739">
        <v>4.2437499999999995</v>
      </c>
      <c r="AU453" s="739">
        <v>5.2645833333333325</v>
      </c>
      <c r="AV453" s="739">
        <v>6.3218749999999995</v>
      </c>
      <c r="AW453" s="739">
        <v>7.4156249999999995</v>
      </c>
      <c r="AX453" s="739">
        <v>8.5458333333333325</v>
      </c>
      <c r="AY453" s="739">
        <v>9.7124999999999986</v>
      </c>
      <c r="AZ453" s="739">
        <v>10.915624999999999</v>
      </c>
      <c r="BA453" s="739">
        <v>12.155208333333333</v>
      </c>
      <c r="BB453" s="739">
        <v>13.431249999999997</v>
      </c>
      <c r="BC453" s="739">
        <v>14.743749999999997</v>
      </c>
      <c r="BD453" s="739">
        <v>22.947916666666664</v>
      </c>
      <c r="BE453" s="739">
        <v>24.843749999999996</v>
      </c>
      <c r="BF453" s="739">
        <v>26.749999999999996</v>
      </c>
      <c r="BG453" s="739">
        <v>28.666666666666664</v>
      </c>
      <c r="BH453" s="739">
        <v>30.593749999999996</v>
      </c>
      <c r="BI453" s="739">
        <v>32.53125</v>
      </c>
      <c r="BJ453" s="739">
        <v>34.479166666666664</v>
      </c>
      <c r="BK453" s="739">
        <v>36.4375</v>
      </c>
      <c r="BL453" s="739">
        <v>38.40625</v>
      </c>
      <c r="BM453" s="739">
        <v>40.385416666666664</v>
      </c>
      <c r="BN453" s="739">
        <v>42.375</v>
      </c>
      <c r="BO453" s="739">
        <v>44.375</v>
      </c>
      <c r="BP453" s="739">
        <v>46.375</v>
      </c>
      <c r="BQ453" s="739">
        <v>48.375</v>
      </c>
      <c r="BR453" s="739">
        <v>50.375</v>
      </c>
      <c r="BS453" s="739">
        <v>52.375</v>
      </c>
      <c r="BT453" s="739">
        <v>54.375</v>
      </c>
      <c r="BU453" s="739">
        <v>56.375</v>
      </c>
      <c r="BV453" s="739">
        <v>58.375</v>
      </c>
      <c r="BW453" s="739">
        <v>60.375</v>
      </c>
      <c r="BX453" s="739">
        <v>62.375</v>
      </c>
      <c r="BY453" s="739">
        <v>64.375</v>
      </c>
      <c r="BZ453" s="739">
        <v>66.375</v>
      </c>
      <c r="CA453" s="739">
        <v>68.375</v>
      </c>
      <c r="CB453" s="739">
        <v>70.375</v>
      </c>
      <c r="CC453" s="739">
        <v>72.375</v>
      </c>
      <c r="CD453" s="739">
        <v>74.375</v>
      </c>
      <c r="CE453" s="739">
        <v>76.375</v>
      </c>
      <c r="CF453" s="739">
        <v>78.375</v>
      </c>
      <c r="CG453" s="739">
        <v>80.375</v>
      </c>
      <c r="CH453" s="739">
        <v>82.375</v>
      </c>
      <c r="CI453" s="739">
        <v>84.375</v>
      </c>
      <c r="CJ453" s="739">
        <v>86.375</v>
      </c>
      <c r="CK453" s="739">
        <v>88.375</v>
      </c>
      <c r="CL453" s="739">
        <v>90.375</v>
      </c>
      <c r="CM453" s="739">
        <v>92.375</v>
      </c>
      <c r="CN453" s="739">
        <v>94.375</v>
      </c>
      <c r="CO453" s="739">
        <v>96.375</v>
      </c>
      <c r="CP453" s="739">
        <v>98.375</v>
      </c>
      <c r="CQ453" s="739">
        <v>100.375</v>
      </c>
      <c r="CR453" s="739">
        <v>102.375</v>
      </c>
      <c r="CS453" s="739">
        <v>104.375</v>
      </c>
      <c r="CT453" s="739">
        <v>106.375</v>
      </c>
      <c r="CU453" s="739">
        <v>108.375</v>
      </c>
      <c r="CV453" s="739">
        <v>110.375</v>
      </c>
      <c r="CW453" s="739">
        <v>112.375</v>
      </c>
      <c r="CX453" s="739">
        <v>114.375</v>
      </c>
      <c r="CY453" s="739">
        <v>116.375</v>
      </c>
      <c r="CZ453" s="126"/>
      <c r="DA453" s="11">
        <v>0</v>
      </c>
      <c r="DB453" s="11">
        <v>1.6</v>
      </c>
      <c r="DC453" s="11">
        <v>14.743749999999997</v>
      </c>
      <c r="DD453" s="11">
        <v>44.375</v>
      </c>
      <c r="DE453" s="11">
        <v>68.375</v>
      </c>
      <c r="DF453" s="11">
        <v>92.375</v>
      </c>
      <c r="DG453" s="11">
        <v>116.375</v>
      </c>
    </row>
    <row r="454" spans="2:111">
      <c r="B454" s="126"/>
      <c r="C454" s="698"/>
      <c r="D454" s="12" t="s">
        <v>847</v>
      </c>
      <c r="E454" s="126"/>
      <c r="F454" s="609"/>
      <c r="G454" s="609" t="s">
        <v>736</v>
      </c>
      <c r="H454" s="609"/>
      <c r="I454" s="609"/>
      <c r="J454" s="609"/>
      <c r="K454" s="609"/>
      <c r="L454" s="126"/>
      <c r="M454" s="696"/>
      <c r="N454" s="696"/>
      <c r="O454" s="696"/>
      <c r="P454" s="696"/>
      <c r="Q454" s="696"/>
      <c r="R454" s="696"/>
      <c r="S454" s="696"/>
      <c r="T454" s="696"/>
      <c r="U454" s="696"/>
      <c r="V454" s="696"/>
      <c r="W454" s="696"/>
      <c r="X454" s="697"/>
      <c r="Y454" s="697"/>
      <c r="Z454" s="697"/>
      <c r="AA454" s="697"/>
      <c r="AB454" s="697"/>
      <c r="AC454" s="697"/>
      <c r="AD454" s="697"/>
      <c r="AE454" s="697"/>
      <c r="AF454" s="697"/>
      <c r="AG454" s="697"/>
      <c r="AH454" s="697"/>
      <c r="AI454" s="697"/>
      <c r="AJ454" s="697"/>
      <c r="AK454" s="697"/>
      <c r="AL454" s="697"/>
      <c r="AM454" s="697"/>
      <c r="AN454" s="739"/>
      <c r="AO454" s="739"/>
      <c r="AP454" s="739">
        <v>0.60000000000000009</v>
      </c>
      <c r="AQ454" s="739">
        <v>1.6</v>
      </c>
      <c r="AR454" s="739">
        <v>2.3114583333333329</v>
      </c>
      <c r="AS454" s="739">
        <v>3.2593749999999999</v>
      </c>
      <c r="AT454" s="739">
        <v>4.2437499999999995</v>
      </c>
      <c r="AU454" s="739">
        <v>5.2645833333333325</v>
      </c>
      <c r="AV454" s="739">
        <v>6.3218749999999995</v>
      </c>
      <c r="AW454" s="739">
        <v>7.4156249999999995</v>
      </c>
      <c r="AX454" s="739">
        <v>8.5458333333333325</v>
      </c>
      <c r="AY454" s="739">
        <v>9.7124999999999986</v>
      </c>
      <c r="AZ454" s="739">
        <v>10.915624999999999</v>
      </c>
      <c r="BA454" s="739">
        <v>12.155208333333333</v>
      </c>
      <c r="BB454" s="739">
        <v>13.431249999999997</v>
      </c>
      <c r="BC454" s="739">
        <v>14.743749999999997</v>
      </c>
      <c r="BD454" s="739">
        <v>22.947916666666664</v>
      </c>
      <c r="BE454" s="739">
        <v>24.843749999999996</v>
      </c>
      <c r="BF454" s="739">
        <v>26.749999999999996</v>
      </c>
      <c r="BG454" s="739">
        <v>28.666666666666664</v>
      </c>
      <c r="BH454" s="739">
        <v>30.593749999999996</v>
      </c>
      <c r="BI454" s="739">
        <v>32.53125</v>
      </c>
      <c r="BJ454" s="739">
        <v>34.479166666666664</v>
      </c>
      <c r="BK454" s="739">
        <v>36.4375</v>
      </c>
      <c r="BL454" s="739">
        <v>38.40625</v>
      </c>
      <c r="BM454" s="739">
        <v>40.385416666666664</v>
      </c>
      <c r="BN454" s="739">
        <v>42.375</v>
      </c>
      <c r="BO454" s="739">
        <v>44.375</v>
      </c>
      <c r="BP454" s="739">
        <v>46.375</v>
      </c>
      <c r="BQ454" s="739">
        <v>48.375</v>
      </c>
      <c r="BR454" s="739">
        <v>50.375</v>
      </c>
      <c r="BS454" s="739">
        <v>52.375</v>
      </c>
      <c r="BT454" s="739">
        <v>54.375</v>
      </c>
      <c r="BU454" s="739">
        <v>56.375</v>
      </c>
      <c r="BV454" s="739">
        <v>58.375</v>
      </c>
      <c r="BW454" s="739">
        <v>60.375</v>
      </c>
      <c r="BX454" s="739">
        <v>62.375</v>
      </c>
      <c r="BY454" s="739">
        <v>64.375</v>
      </c>
      <c r="BZ454" s="739">
        <v>66.375</v>
      </c>
      <c r="CA454" s="739">
        <v>68.375</v>
      </c>
      <c r="CB454" s="739">
        <v>70.375</v>
      </c>
      <c r="CC454" s="739">
        <v>72.375</v>
      </c>
      <c r="CD454" s="739">
        <v>74.375</v>
      </c>
      <c r="CE454" s="739">
        <v>76.375</v>
      </c>
      <c r="CF454" s="739">
        <v>78.375</v>
      </c>
      <c r="CG454" s="739">
        <v>80.375</v>
      </c>
      <c r="CH454" s="739">
        <v>82.375</v>
      </c>
      <c r="CI454" s="739">
        <v>84.375</v>
      </c>
      <c r="CJ454" s="739">
        <v>86.375</v>
      </c>
      <c r="CK454" s="739">
        <v>88.375</v>
      </c>
      <c r="CL454" s="739">
        <v>90.375</v>
      </c>
      <c r="CM454" s="739">
        <v>92.375</v>
      </c>
      <c r="CN454" s="739">
        <v>94.375</v>
      </c>
      <c r="CO454" s="739">
        <v>96.375</v>
      </c>
      <c r="CP454" s="739">
        <v>98.375</v>
      </c>
      <c r="CQ454" s="739">
        <v>100.375</v>
      </c>
      <c r="CR454" s="739">
        <v>102.375</v>
      </c>
      <c r="CS454" s="739">
        <v>104.375</v>
      </c>
      <c r="CT454" s="739">
        <v>106.375</v>
      </c>
      <c r="CU454" s="739">
        <v>108.375</v>
      </c>
      <c r="CV454" s="739">
        <v>110.375</v>
      </c>
      <c r="CW454" s="739">
        <v>112.375</v>
      </c>
      <c r="CX454" s="739">
        <v>114.375</v>
      </c>
      <c r="CY454" s="739">
        <v>116.375</v>
      </c>
      <c r="CZ454" s="126"/>
      <c r="DA454" s="12">
        <v>0</v>
      </c>
      <c r="DB454" s="12">
        <v>2.2000000000000002</v>
      </c>
      <c r="DC454" s="12">
        <v>98.320833333333312</v>
      </c>
      <c r="DD454" s="12">
        <v>402.79166666666669</v>
      </c>
      <c r="DE454" s="12">
        <v>688.5</v>
      </c>
      <c r="DF454" s="12">
        <v>976.5</v>
      </c>
      <c r="DG454" s="12">
        <v>1264.5</v>
      </c>
    </row>
    <row r="455" spans="2:111">
      <c r="B455" s="126"/>
      <c r="C455" s="698"/>
      <c r="D455" s="12" t="s">
        <v>796</v>
      </c>
      <c r="E455" s="126"/>
      <c r="F455" s="609"/>
      <c r="G455" s="609" t="s">
        <v>736</v>
      </c>
      <c r="H455" s="609"/>
      <c r="I455" s="609"/>
      <c r="J455" s="609"/>
      <c r="K455" s="609"/>
      <c r="L455" s="126"/>
      <c r="M455" s="696"/>
      <c r="N455" s="696"/>
      <c r="O455" s="696"/>
      <c r="P455" s="696"/>
      <c r="Q455" s="696"/>
      <c r="R455" s="696"/>
      <c r="S455" s="696"/>
      <c r="T455" s="696"/>
      <c r="U455" s="696"/>
      <c r="V455" s="696"/>
      <c r="W455" s="696"/>
      <c r="X455" s="697"/>
      <c r="Y455" s="697"/>
      <c r="Z455" s="697"/>
      <c r="AA455" s="697"/>
      <c r="AB455" s="697"/>
      <c r="AC455" s="697"/>
      <c r="AD455" s="697"/>
      <c r="AE455" s="697"/>
      <c r="AF455" s="697"/>
      <c r="AG455" s="697"/>
      <c r="AH455" s="697"/>
      <c r="AI455" s="697"/>
      <c r="AJ455" s="697"/>
      <c r="AK455" s="697"/>
      <c r="AL455" s="697"/>
      <c r="AM455" s="697"/>
      <c r="AN455" s="739"/>
      <c r="AO455" s="739"/>
      <c r="AP455" s="739">
        <v>0.60000000000000009</v>
      </c>
      <c r="AQ455" s="739">
        <v>1.84</v>
      </c>
      <c r="AR455" s="739">
        <v>3.323458333333333</v>
      </c>
      <c r="AS455" s="739">
        <v>5.0872770833333334</v>
      </c>
      <c r="AT455" s="739">
        <v>7.041752395833333</v>
      </c>
      <c r="AU455" s="739">
        <v>9.1375471510416659</v>
      </c>
      <c r="AV455" s="739">
        <v>11.347525933072916</v>
      </c>
      <c r="AW455" s="739">
        <v>13.584944263190103</v>
      </c>
      <c r="AX455" s="739">
        <v>15.867414678087888</v>
      </c>
      <c r="AY455" s="739">
        <v>18.186451915902882</v>
      </c>
      <c r="AZ455" s="739">
        <v>20.556540393911252</v>
      </c>
      <c r="BA455" s="739">
        <v>22.994337553883064</v>
      </c>
      <c r="BB455" s="739">
        <v>25.544341669998218</v>
      </c>
      <c r="BC455" s="739">
        <v>28.174857458623897</v>
      </c>
      <c r="BD455" s="739">
        <v>37.752561388936236</v>
      </c>
      <c r="BE455" s="739">
        <v>44.849523872727133</v>
      </c>
      <c r="BF455" s="739">
        <v>50.599242751297709</v>
      </c>
      <c r="BG455" s="739">
        <v>55.666761765449699</v>
      </c>
      <c r="BH455" s="739">
        <v>60.360300734071828</v>
      </c>
      <c r="BI455" s="739">
        <v>64.887811376370692</v>
      </c>
      <c r="BJ455" s="739">
        <v>69.389974390250032</v>
      </c>
      <c r="BK455" s="739">
        <v>73.494257356292678</v>
      </c>
      <c r="BL455" s="739">
        <v>77.491431499598434</v>
      </c>
      <c r="BM455" s="739">
        <v>81.64449412052349</v>
      </c>
      <c r="BN455" s="739">
        <v>85.777826795023699</v>
      </c>
      <c r="BO455" s="739">
        <v>90.107664871127795</v>
      </c>
      <c r="BP455" s="739">
        <v>94.379013064108378</v>
      </c>
      <c r="BQ455" s="739">
        <v>98.623599167253033</v>
      </c>
      <c r="BR455" s="739">
        <v>102.86963085903078</v>
      </c>
      <c r="BS455" s="739">
        <v>107.11272088934567</v>
      </c>
      <c r="BT455" s="739">
        <v>111.34598160154596</v>
      </c>
      <c r="BU455" s="739">
        <v>115.57660053055365</v>
      </c>
      <c r="BV455" s="739">
        <v>119.79908003451609</v>
      </c>
      <c r="BW455" s="739">
        <v>124.02329919304064</v>
      </c>
      <c r="BX455" s="739">
        <v>128.24883841168787</v>
      </c>
      <c r="BY455" s="739">
        <v>132.47485138633013</v>
      </c>
      <c r="BZ455" s="739">
        <v>136.70146651616548</v>
      </c>
      <c r="CA455" s="739">
        <v>140.92883694430154</v>
      </c>
      <c r="CB455" s="739">
        <v>145.49775918403469</v>
      </c>
      <c r="CC455" s="739">
        <v>149.91378624348894</v>
      </c>
      <c r="CD455" s="739">
        <v>154.24787863902631</v>
      </c>
      <c r="CE455" s="739">
        <v>158.53753098126086</v>
      </c>
      <c r="CF455" s="739">
        <v>162.80306427626786</v>
      </c>
      <c r="CG455" s="739">
        <v>167.05520477410823</v>
      </c>
      <c r="CH455" s="739">
        <v>171.72208101908669</v>
      </c>
      <c r="CI455" s="739">
        <v>176.18838098348525</v>
      </c>
      <c r="CJ455" s="739">
        <v>180.55738634000068</v>
      </c>
      <c r="CK455" s="739">
        <v>184.87511353540711</v>
      </c>
      <c r="CL455" s="739">
        <v>189.16578443892894</v>
      </c>
      <c r="CM455" s="739">
        <v>193.44183865597208</v>
      </c>
      <c r="CN455" s="739">
        <v>197.70991736822654</v>
      </c>
      <c r="CO455" s="739">
        <v>201.964694473902</v>
      </c>
      <c r="CP455" s="739">
        <v>206.22527101692583</v>
      </c>
      <c r="CQ455" s="739">
        <v>210.49054758757032</v>
      </c>
      <c r="CR455" s="739">
        <v>214.75924376139301</v>
      </c>
      <c r="CS455" s="739">
        <v>219.03019344829858</v>
      </c>
      <c r="CT455" s="739">
        <v>223.30252962343141</v>
      </c>
      <c r="CU455" s="739">
        <v>227.57564275563462</v>
      </c>
      <c r="CV455" s="739">
        <v>231.84931274639231</v>
      </c>
      <c r="CW455" s="739">
        <v>236.12282776953668</v>
      </c>
      <c r="CX455" s="739">
        <v>240.39610929322984</v>
      </c>
      <c r="CY455" s="739">
        <v>248.59286011127642</v>
      </c>
      <c r="CZ455" s="126"/>
      <c r="DA455" s="11">
        <v>0</v>
      </c>
      <c r="DB455" s="11">
        <v>1.84</v>
      </c>
      <c r="DC455" s="11">
        <v>28.174857458623897</v>
      </c>
      <c r="DD455" s="11">
        <v>90.107664871127795</v>
      </c>
      <c r="DE455" s="11">
        <v>140.92883694430154</v>
      </c>
      <c r="DF455" s="11">
        <v>193.44183865597208</v>
      </c>
      <c r="DG455" s="11">
        <v>248.59286011127642</v>
      </c>
    </row>
    <row r="456" spans="2:111">
      <c r="B456" s="126"/>
      <c r="C456" s="698"/>
      <c r="D456" s="740" t="s">
        <v>848</v>
      </c>
      <c r="E456" s="126"/>
      <c r="F456" s="609"/>
      <c r="G456" s="609" t="s">
        <v>736</v>
      </c>
      <c r="H456" s="609"/>
      <c r="I456" s="609"/>
      <c r="J456" s="609"/>
      <c r="K456" s="609"/>
      <c r="L456" s="126"/>
      <c r="M456" s="696"/>
      <c r="N456" s="696"/>
      <c r="O456" s="696"/>
      <c r="P456" s="696"/>
      <c r="Q456" s="696"/>
      <c r="R456" s="696"/>
      <c r="S456" s="696"/>
      <c r="T456" s="696"/>
      <c r="U456" s="696"/>
      <c r="V456" s="696"/>
      <c r="W456" s="696"/>
      <c r="X456" s="697"/>
      <c r="Y456" s="697"/>
      <c r="Z456" s="697"/>
      <c r="AA456" s="697"/>
      <c r="AB456" s="697"/>
      <c r="AC456" s="697"/>
      <c r="AD456" s="697"/>
      <c r="AE456" s="697"/>
      <c r="AF456" s="697"/>
      <c r="AG456" s="697"/>
      <c r="AH456" s="697"/>
      <c r="AI456" s="697"/>
      <c r="AJ456" s="697"/>
      <c r="AK456" s="697"/>
      <c r="AL456" s="697"/>
      <c r="AM456" s="697"/>
      <c r="AN456" s="721"/>
      <c r="AO456" s="739"/>
      <c r="AP456" s="739">
        <v>0.60000000000000009</v>
      </c>
      <c r="AQ456" s="739">
        <v>1.84</v>
      </c>
      <c r="AR456" s="739">
        <v>3.323458333333333</v>
      </c>
      <c r="AS456" s="739">
        <v>5.0872770833333334</v>
      </c>
      <c r="AT456" s="739">
        <v>7.041752395833333</v>
      </c>
      <c r="AU456" s="739">
        <v>9.1375471510416659</v>
      </c>
      <c r="AV456" s="739">
        <v>11.347525933072916</v>
      </c>
      <c r="AW456" s="739">
        <v>13.584944263190103</v>
      </c>
      <c r="AX456" s="739">
        <v>15.867414678087888</v>
      </c>
      <c r="AY456" s="739">
        <v>18.186451915902882</v>
      </c>
      <c r="AZ456" s="739">
        <v>20.556540393911252</v>
      </c>
      <c r="BA456" s="739">
        <v>22.994337553883064</v>
      </c>
      <c r="BB456" s="739">
        <v>25.544341669998218</v>
      </c>
      <c r="BC456" s="739">
        <v>28.174857458623897</v>
      </c>
      <c r="BD456" s="739">
        <v>37.752561388936236</v>
      </c>
      <c r="BE456" s="739">
        <v>44.849523872727133</v>
      </c>
      <c r="BF456" s="739">
        <v>50.599242751297709</v>
      </c>
      <c r="BG456" s="739">
        <v>55.666761765449699</v>
      </c>
      <c r="BH456" s="739">
        <v>60.360300734071828</v>
      </c>
      <c r="BI456" s="739">
        <v>64.887811376370692</v>
      </c>
      <c r="BJ456" s="739">
        <v>69.389974390250032</v>
      </c>
      <c r="BK456" s="739">
        <v>73.494257356292678</v>
      </c>
      <c r="BL456" s="739">
        <v>77.491431499598434</v>
      </c>
      <c r="BM456" s="739">
        <v>81.64449412052349</v>
      </c>
      <c r="BN456" s="739">
        <v>85.777826795023699</v>
      </c>
      <c r="BO456" s="739">
        <v>90.107664871127795</v>
      </c>
      <c r="BP456" s="739">
        <v>94.379013064108378</v>
      </c>
      <c r="BQ456" s="739">
        <v>98.623599167253033</v>
      </c>
      <c r="BR456" s="739">
        <v>102.86963085903078</v>
      </c>
      <c r="BS456" s="739">
        <v>107.11272088934567</v>
      </c>
      <c r="BT456" s="739">
        <v>111.34598160154596</v>
      </c>
      <c r="BU456" s="739">
        <v>115.57660053055365</v>
      </c>
      <c r="BV456" s="739">
        <v>119.79908003451609</v>
      </c>
      <c r="BW456" s="739">
        <v>124.02329919304064</v>
      </c>
      <c r="BX456" s="739">
        <v>128.24883841168787</v>
      </c>
      <c r="BY456" s="739">
        <v>132.47485138633013</v>
      </c>
      <c r="BZ456" s="739">
        <v>136.70146651616548</v>
      </c>
      <c r="CA456" s="739">
        <v>140.92883694430154</v>
      </c>
      <c r="CB456" s="739">
        <v>145.49775918403469</v>
      </c>
      <c r="CC456" s="739">
        <v>149.91378624348894</v>
      </c>
      <c r="CD456" s="739">
        <v>154.24787863902631</v>
      </c>
      <c r="CE456" s="739">
        <v>158.53753098126086</v>
      </c>
      <c r="CF456" s="739">
        <v>162.80306427626786</v>
      </c>
      <c r="CG456" s="739">
        <v>167.05520477410823</v>
      </c>
      <c r="CH456" s="739">
        <v>171.72208101908669</v>
      </c>
      <c r="CI456" s="739">
        <v>176.18838098348525</v>
      </c>
      <c r="CJ456" s="739">
        <v>180.55738634000068</v>
      </c>
      <c r="CK456" s="739">
        <v>184.87511353540711</v>
      </c>
      <c r="CL456" s="739">
        <v>189.16578443892894</v>
      </c>
      <c r="CM456" s="739">
        <v>193.44183865597208</v>
      </c>
      <c r="CN456" s="739">
        <v>197.70991736822654</v>
      </c>
      <c r="CO456" s="739">
        <v>201.964694473902</v>
      </c>
      <c r="CP456" s="739">
        <v>206.22527101692583</v>
      </c>
      <c r="CQ456" s="739">
        <v>210.49054758757032</v>
      </c>
      <c r="CR456" s="739">
        <v>214.75924376139301</v>
      </c>
      <c r="CS456" s="739">
        <v>219.03019344829858</v>
      </c>
      <c r="CT456" s="739">
        <v>223.30252962343141</v>
      </c>
      <c r="CU456" s="739">
        <v>227.57564275563462</v>
      </c>
      <c r="CV456" s="739">
        <v>231.84931274639231</v>
      </c>
      <c r="CW456" s="739">
        <v>236.12282776953668</v>
      </c>
      <c r="CX456" s="739">
        <v>240.39610929322984</v>
      </c>
      <c r="CY456" s="739">
        <v>248.59286011127642</v>
      </c>
      <c r="CZ456" s="126"/>
      <c r="DA456" s="11">
        <v>0</v>
      </c>
      <c r="DB456" s="11">
        <v>1.84</v>
      </c>
      <c r="DC456" s="11">
        <v>28.174857458623897</v>
      </c>
      <c r="DD456" s="11">
        <v>90.107664871127795</v>
      </c>
      <c r="DE456" s="11">
        <v>140.92883694430154</v>
      </c>
      <c r="DF456" s="11">
        <v>193.44183865597208</v>
      </c>
      <c r="DG456" s="11">
        <v>248.59286011127642</v>
      </c>
    </row>
    <row r="457" spans="2:111">
      <c r="B457" s="126"/>
      <c r="C457" s="698"/>
      <c r="D457" s="740" t="s">
        <v>849</v>
      </c>
      <c r="E457" s="126"/>
      <c r="F457" s="609"/>
      <c r="G457" s="609" t="s">
        <v>736</v>
      </c>
      <c r="H457" s="609"/>
      <c r="I457" s="609"/>
      <c r="J457" s="609"/>
      <c r="K457" s="609"/>
      <c r="L457" s="126"/>
      <c r="M457" s="696"/>
      <c r="N457" s="696"/>
      <c r="O457" s="696"/>
      <c r="P457" s="696"/>
      <c r="Q457" s="696"/>
      <c r="R457" s="696"/>
      <c r="S457" s="696"/>
      <c r="T457" s="696"/>
      <c r="U457" s="696"/>
      <c r="V457" s="696"/>
      <c r="W457" s="696"/>
      <c r="X457" s="697"/>
      <c r="Y457" s="697"/>
      <c r="Z457" s="697"/>
      <c r="AA457" s="697"/>
      <c r="AB457" s="697"/>
      <c r="AC457" s="697"/>
      <c r="AD457" s="697"/>
      <c r="AE457" s="697"/>
      <c r="AF457" s="697"/>
      <c r="AG457" s="697"/>
      <c r="AH457" s="697"/>
      <c r="AI457" s="697"/>
      <c r="AJ457" s="697"/>
      <c r="AK457" s="697"/>
      <c r="AL457" s="697"/>
      <c r="AM457" s="697"/>
      <c r="AN457" s="739"/>
      <c r="AO457" s="739"/>
      <c r="AP457" s="739">
        <v>0</v>
      </c>
      <c r="AQ457" s="739">
        <v>0</v>
      </c>
      <c r="AR457" s="739">
        <v>0</v>
      </c>
      <c r="AS457" s="739">
        <v>0</v>
      </c>
      <c r="AT457" s="739">
        <v>0</v>
      </c>
      <c r="AU457" s="739">
        <v>0</v>
      </c>
      <c r="AV457" s="739">
        <v>0</v>
      </c>
      <c r="AW457" s="739">
        <v>0</v>
      </c>
      <c r="AX457" s="739">
        <v>0</v>
      </c>
      <c r="AY457" s="739">
        <v>0</v>
      </c>
      <c r="AZ457" s="739">
        <v>0</v>
      </c>
      <c r="BA457" s="739">
        <v>0</v>
      </c>
      <c r="BB457" s="739">
        <v>0</v>
      </c>
      <c r="BC457" s="739">
        <v>0</v>
      </c>
      <c r="BD457" s="739">
        <v>0</v>
      </c>
      <c r="BE457" s="739">
        <v>0</v>
      </c>
      <c r="BF457" s="739">
        <v>0</v>
      </c>
      <c r="BG457" s="739">
        <v>0</v>
      </c>
      <c r="BH457" s="739">
        <v>0</v>
      </c>
      <c r="BI457" s="739">
        <v>0</v>
      </c>
      <c r="BJ457" s="739">
        <v>0</v>
      </c>
      <c r="BK457" s="739">
        <v>0</v>
      </c>
      <c r="BL457" s="739">
        <v>0</v>
      </c>
      <c r="BM457" s="739">
        <v>0</v>
      </c>
      <c r="BN457" s="739">
        <v>0</v>
      </c>
      <c r="BO457" s="739">
        <v>0</v>
      </c>
      <c r="BP457" s="739">
        <v>0</v>
      </c>
      <c r="BQ457" s="739">
        <v>0</v>
      </c>
      <c r="BR457" s="739">
        <v>0</v>
      </c>
      <c r="BS457" s="739">
        <v>0</v>
      </c>
      <c r="BT457" s="739">
        <v>0</v>
      </c>
      <c r="BU457" s="739">
        <v>0</v>
      </c>
      <c r="BV457" s="739">
        <v>0</v>
      </c>
      <c r="BW457" s="739">
        <v>0</v>
      </c>
      <c r="BX457" s="739">
        <v>0</v>
      </c>
      <c r="BY457" s="739">
        <v>0</v>
      </c>
      <c r="BZ457" s="739">
        <v>0</v>
      </c>
      <c r="CA457" s="739">
        <v>0</v>
      </c>
      <c r="CB457" s="739">
        <v>0</v>
      </c>
      <c r="CC457" s="739">
        <v>0</v>
      </c>
      <c r="CD457" s="739">
        <v>0</v>
      </c>
      <c r="CE457" s="739">
        <v>0</v>
      </c>
      <c r="CF457" s="739">
        <v>0</v>
      </c>
      <c r="CG457" s="739">
        <v>0</v>
      </c>
      <c r="CH457" s="739">
        <v>0</v>
      </c>
      <c r="CI457" s="739">
        <v>0</v>
      </c>
      <c r="CJ457" s="739">
        <v>0</v>
      </c>
      <c r="CK457" s="739">
        <v>0</v>
      </c>
      <c r="CL457" s="739">
        <v>0</v>
      </c>
      <c r="CM457" s="739">
        <v>0</v>
      </c>
      <c r="CN457" s="739">
        <v>0</v>
      </c>
      <c r="CO457" s="739">
        <v>0</v>
      </c>
      <c r="CP457" s="739">
        <v>0</v>
      </c>
      <c r="CQ457" s="739">
        <v>0</v>
      </c>
      <c r="CR457" s="739">
        <v>0</v>
      </c>
      <c r="CS457" s="739">
        <v>0</v>
      </c>
      <c r="CT457" s="739">
        <v>0</v>
      </c>
      <c r="CU457" s="739">
        <v>0</v>
      </c>
      <c r="CV457" s="739">
        <v>0</v>
      </c>
      <c r="CW457" s="739">
        <v>0</v>
      </c>
      <c r="CX457" s="739">
        <v>0</v>
      </c>
      <c r="CY457" s="739">
        <v>0</v>
      </c>
      <c r="CZ457" s="126"/>
      <c r="DA457" s="11">
        <v>0</v>
      </c>
      <c r="DB457" s="11">
        <v>0</v>
      </c>
      <c r="DC457" s="11">
        <v>0</v>
      </c>
      <c r="DD457" s="11">
        <v>0</v>
      </c>
      <c r="DE457" s="11">
        <v>0</v>
      </c>
      <c r="DF457" s="11">
        <v>0</v>
      </c>
      <c r="DG457" s="11">
        <v>0</v>
      </c>
    </row>
    <row r="458" spans="2:111">
      <c r="B458" s="126"/>
      <c r="C458" s="698"/>
      <c r="D458" s="12" t="s">
        <v>203</v>
      </c>
      <c r="E458" s="126"/>
      <c r="F458" s="609"/>
      <c r="G458" s="609" t="s">
        <v>736</v>
      </c>
      <c r="H458" s="609"/>
      <c r="I458" s="609"/>
      <c r="J458" s="609"/>
      <c r="K458" s="609"/>
      <c r="L458" s="126"/>
      <c r="M458" s="696"/>
      <c r="N458" s="696"/>
      <c r="O458" s="696"/>
      <c r="P458" s="696"/>
      <c r="Q458" s="696"/>
      <c r="R458" s="696"/>
      <c r="S458" s="696"/>
      <c r="T458" s="696"/>
      <c r="U458" s="696"/>
      <c r="V458" s="696"/>
      <c r="W458" s="696"/>
      <c r="X458" s="697"/>
      <c r="Y458" s="697"/>
      <c r="Z458" s="697"/>
      <c r="AA458" s="697"/>
      <c r="AB458" s="697"/>
      <c r="AC458" s="697"/>
      <c r="AD458" s="697"/>
      <c r="AE458" s="697"/>
      <c r="AF458" s="697"/>
      <c r="AG458" s="697"/>
      <c r="AH458" s="697"/>
      <c r="AI458" s="697"/>
      <c r="AJ458" s="697"/>
      <c r="AK458" s="697"/>
      <c r="AL458" s="697"/>
      <c r="AM458" s="697"/>
      <c r="AN458" s="739"/>
      <c r="AO458" s="739"/>
      <c r="AP458" s="739">
        <v>0</v>
      </c>
      <c r="AQ458" s="739">
        <v>0.27000000000000007</v>
      </c>
      <c r="AR458" s="739">
        <v>0.82800000000000007</v>
      </c>
      <c r="AS458" s="739">
        <v>1.8279020833333333</v>
      </c>
      <c r="AT458" s="739">
        <v>2.7980023958333335</v>
      </c>
      <c r="AU458" s="739">
        <v>3.8729638177083334</v>
      </c>
      <c r="AV458" s="739">
        <v>5.0256509330729164</v>
      </c>
      <c r="AW458" s="739">
        <v>6.2411392631901039</v>
      </c>
      <c r="AX458" s="739">
        <v>7.4717193447545567</v>
      </c>
      <c r="AY458" s="739">
        <v>8.7270780729483395</v>
      </c>
      <c r="AZ458" s="739">
        <v>10.002548553746585</v>
      </c>
      <c r="BA458" s="739">
        <v>11.306097216651189</v>
      </c>
      <c r="BB458" s="739">
        <v>12.646885654635685</v>
      </c>
      <c r="BC458" s="739">
        <v>14.04938791849902</v>
      </c>
      <c r="BD458" s="739">
        <v>15.496171602243145</v>
      </c>
      <c r="BE458" s="739">
        <v>20.76390876391493</v>
      </c>
      <c r="BF458" s="739">
        <v>24.667238129999927</v>
      </c>
      <c r="BG458" s="739">
        <v>27.829583513213741</v>
      </c>
      <c r="BH458" s="739">
        <v>30.616718970997336</v>
      </c>
      <c r="BI458" s="739">
        <v>33.198165403739509</v>
      </c>
      <c r="BJ458" s="739">
        <v>35.688296257003884</v>
      </c>
      <c r="BK458" s="739">
        <v>38.164485914637524</v>
      </c>
      <c r="BL458" s="739">
        <v>40.421841545960973</v>
      </c>
      <c r="BM458" s="739">
        <v>42.620287324779142</v>
      </c>
      <c r="BN458" s="739">
        <v>44.904471766287926</v>
      </c>
      <c r="BO458" s="739">
        <v>47.177804737263038</v>
      </c>
      <c r="BP458" s="739">
        <v>49.559215679120292</v>
      </c>
      <c r="BQ458" s="739">
        <v>51.908457185259614</v>
      </c>
      <c r="BR458" s="739">
        <v>54.242979541989172</v>
      </c>
      <c r="BS458" s="739">
        <v>56.57829697246693</v>
      </c>
      <c r="BT458" s="739">
        <v>58.911996489140122</v>
      </c>
      <c r="BU458" s="739">
        <v>61.240289880850284</v>
      </c>
      <c r="BV458" s="739">
        <v>63.56713029180451</v>
      </c>
      <c r="BW458" s="739">
        <v>65.889494018983854</v>
      </c>
      <c r="BX458" s="739">
        <v>68.212814556172361</v>
      </c>
      <c r="BY458" s="739">
        <v>70.536861126428335</v>
      </c>
      <c r="BZ458" s="739">
        <v>72.861168262481584</v>
      </c>
      <c r="CA458" s="739">
        <v>75.185806583891022</v>
      </c>
      <c r="CB458" s="739">
        <v>77.510860319365847</v>
      </c>
      <c r="CC458" s="739">
        <v>80.02376755121908</v>
      </c>
      <c r="CD458" s="739">
        <v>82.45258243391892</v>
      </c>
      <c r="CE458" s="739">
        <v>84.836333251464481</v>
      </c>
      <c r="CF458" s="739">
        <v>87.195642039693482</v>
      </c>
      <c r="CG458" s="739">
        <v>89.541685351947336</v>
      </c>
      <c r="CH458" s="739">
        <v>91.880362625759531</v>
      </c>
      <c r="CI458" s="739">
        <v>94.447144560497691</v>
      </c>
      <c r="CJ458" s="739">
        <v>96.903609540916889</v>
      </c>
      <c r="CK458" s="739">
        <v>99.306562487000377</v>
      </c>
      <c r="CL458" s="739">
        <v>101.68131244447392</v>
      </c>
      <c r="CM458" s="739">
        <v>104.04118144141093</v>
      </c>
      <c r="CN458" s="739">
        <v>106.39301126078465</v>
      </c>
      <c r="CO458" s="739">
        <v>108.74045455252461</v>
      </c>
      <c r="CP458" s="739">
        <v>111.08058196064611</v>
      </c>
      <c r="CQ458" s="739">
        <v>113.42389905930922</v>
      </c>
      <c r="CR458" s="739">
        <v>115.76980117316369</v>
      </c>
      <c r="CS458" s="739">
        <v>118.11758406876616</v>
      </c>
      <c r="CT458" s="739">
        <v>120.46660639656423</v>
      </c>
      <c r="CU458" s="739">
        <v>122.81639129288729</v>
      </c>
      <c r="CV458" s="739">
        <v>125.16660351559905</v>
      </c>
      <c r="CW458" s="739">
        <v>127.51712201051578</v>
      </c>
      <c r="CX458" s="739">
        <v>129.86755527324519</v>
      </c>
      <c r="CY458" s="739">
        <v>132.21786011127642</v>
      </c>
      <c r="CZ458" s="126"/>
      <c r="DA458" s="11">
        <v>0</v>
      </c>
      <c r="DB458" s="11">
        <v>0.27000000000000007</v>
      </c>
      <c r="DC458" s="11">
        <v>14.04938791849902</v>
      </c>
      <c r="DD458" s="11">
        <v>47.177804737263038</v>
      </c>
      <c r="DE458" s="11">
        <v>75.185806583891022</v>
      </c>
      <c r="DF458" s="11">
        <v>104.04118144141093</v>
      </c>
      <c r="DG458" s="11">
        <v>132.21786011127642</v>
      </c>
    </row>
    <row r="459" spans="2:111">
      <c r="B459" s="126"/>
      <c r="C459" s="698"/>
      <c r="D459" s="12" t="s">
        <v>215</v>
      </c>
      <c r="E459" s="126"/>
      <c r="F459" s="609"/>
      <c r="G459" s="609" t="s">
        <v>736</v>
      </c>
      <c r="H459" s="609"/>
      <c r="I459" s="609"/>
      <c r="J459" s="609"/>
      <c r="K459" s="609"/>
      <c r="L459" s="126"/>
      <c r="M459" s="696"/>
      <c r="N459" s="696"/>
      <c r="O459" s="696"/>
      <c r="P459" s="696"/>
      <c r="Q459" s="696"/>
      <c r="R459" s="696"/>
      <c r="S459" s="696"/>
      <c r="T459" s="696"/>
      <c r="U459" s="696"/>
      <c r="V459" s="696"/>
      <c r="W459" s="696"/>
      <c r="X459" s="697"/>
      <c r="Y459" s="697"/>
      <c r="Z459" s="697"/>
      <c r="AA459" s="697"/>
      <c r="AB459" s="697"/>
      <c r="AC459" s="697"/>
      <c r="AD459" s="697"/>
      <c r="AE459" s="697"/>
      <c r="AF459" s="697"/>
      <c r="AG459" s="697"/>
      <c r="AH459" s="697"/>
      <c r="AI459" s="697"/>
      <c r="AJ459" s="697"/>
      <c r="AK459" s="697"/>
      <c r="AL459" s="697"/>
      <c r="AM459" s="697"/>
      <c r="AN459" s="702"/>
      <c r="AO459" s="702"/>
      <c r="AP459" s="702">
        <v>2.2042500000000003E-2</v>
      </c>
      <c r="AQ459" s="702">
        <v>6.3024111413043482E-2</v>
      </c>
      <c r="AR459" s="702">
        <v>9.8372252079713077E-2</v>
      </c>
      <c r="AS459" s="702">
        <v>0.14876164278530443</v>
      </c>
      <c r="AT459" s="702">
        <v>0.20193638304993983</v>
      </c>
      <c r="AU459" s="702">
        <v>0.25312886625079545</v>
      </c>
      <c r="AV459" s="702">
        <v>0.30405527127568188</v>
      </c>
      <c r="AW459" s="702">
        <v>0.35476405855408177</v>
      </c>
      <c r="AX459" s="702">
        <v>0.40636322894903593</v>
      </c>
      <c r="AY459" s="702">
        <v>0.46034259385739684</v>
      </c>
      <c r="AZ459" s="702">
        <v>0.51768511582980525</v>
      </c>
      <c r="BA459" s="702">
        <v>0.57967445709668253</v>
      </c>
      <c r="BB459" s="702">
        <v>0.64708626429654048</v>
      </c>
      <c r="BC459" s="702">
        <v>0.7197192798015084</v>
      </c>
      <c r="BD459" s="702">
        <v>0.9841064419910005</v>
      </c>
      <c r="BE459" s="702">
        <v>1.2044246835628749</v>
      </c>
      <c r="BF459" s="702">
        <v>1.4006300844381343</v>
      </c>
      <c r="BG459" s="702">
        <v>1.5582141233659508</v>
      </c>
      <c r="BH459" s="702">
        <v>1.6975590177141795</v>
      </c>
      <c r="BI459" s="702">
        <v>1.8270748634515988</v>
      </c>
      <c r="BJ459" s="702">
        <v>1.9526742746887551</v>
      </c>
      <c r="BK459" s="702">
        <v>2.0683750142204387</v>
      </c>
      <c r="BL459" s="702">
        <v>2.1802150165302088</v>
      </c>
      <c r="BM459" s="702">
        <v>2.2970064501866525</v>
      </c>
      <c r="BN459" s="702">
        <v>2.4164486271444585</v>
      </c>
      <c r="BO459" s="702">
        <v>2.5368569932625933</v>
      </c>
      <c r="BP459" s="702">
        <v>2.6567004116865967</v>
      </c>
      <c r="BQ459" s="702">
        <v>2.7738930385903271</v>
      </c>
      <c r="BR459" s="702">
        <v>2.8908404631919669</v>
      </c>
      <c r="BS459" s="702">
        <v>3.0075819933202683</v>
      </c>
      <c r="BT459" s="702">
        <v>3.1239591829350055</v>
      </c>
      <c r="BU459" s="702">
        <v>3.2401550953070988</v>
      </c>
      <c r="BV459" s="702">
        <v>3.3662205892216104</v>
      </c>
      <c r="BW459" s="702">
        <v>3.5010295567465253</v>
      </c>
      <c r="BX459" s="702">
        <v>3.6332877359176274</v>
      </c>
      <c r="BY459" s="702">
        <v>3.7647064030175716</v>
      </c>
      <c r="BZ459" s="702">
        <v>3.8959348361751962</v>
      </c>
      <c r="CA459" s="702">
        <v>4.0273498073048382</v>
      </c>
      <c r="CB459" s="702">
        <v>4.1724067662427942</v>
      </c>
      <c r="CC459" s="702">
        <v>4.3240193392748818</v>
      </c>
      <c r="CD459" s="702">
        <v>4.4657091182905031</v>
      </c>
      <c r="CE459" s="702">
        <v>4.6045145512373722</v>
      </c>
      <c r="CF459" s="702">
        <v>4.7421813613413342</v>
      </c>
      <c r="CG459" s="702">
        <v>4.879679068051562</v>
      </c>
      <c r="CH459" s="702">
        <v>5.0185310523603359</v>
      </c>
      <c r="CI459" s="702">
        <v>5.1523808454854105</v>
      </c>
      <c r="CJ459" s="702">
        <v>5.2785052895713083</v>
      </c>
      <c r="CK459" s="702">
        <v>5.4027317088909026</v>
      </c>
      <c r="CL459" s="702">
        <v>5.5260493976987508</v>
      </c>
      <c r="CM459" s="702">
        <v>5.6490114414006101</v>
      </c>
      <c r="CN459" s="702">
        <v>5.7719068090166106</v>
      </c>
      <c r="CO459" s="702">
        <v>5.8948710920085414</v>
      </c>
      <c r="CP459" s="702">
        <v>6.0181434548560535</v>
      </c>
      <c r="CQ459" s="702">
        <v>6.1417799203908547</v>
      </c>
      <c r="CR459" s="702">
        <v>6.2655850670414708</v>
      </c>
      <c r="CS459" s="702">
        <v>6.3894817050344397</v>
      </c>
      <c r="CT459" s="702">
        <v>6.5134191460442157</v>
      </c>
      <c r="CU459" s="702">
        <v>6.6373668968413604</v>
      </c>
      <c r="CV459" s="702">
        <v>6.7613083185665364</v>
      </c>
      <c r="CW459" s="702">
        <v>6.8852316837290459</v>
      </c>
      <c r="CX459" s="702">
        <v>7.0091354301132629</v>
      </c>
      <c r="CY459" s="702">
        <v>7.1451324854281193</v>
      </c>
      <c r="CZ459" s="126"/>
      <c r="DA459" s="12">
        <v>0</v>
      </c>
      <c r="DB459" s="12">
        <v>8.5066611413043489E-2</v>
      </c>
      <c r="DC459" s="12">
        <v>4.6918894138264866</v>
      </c>
      <c r="DD459" s="12">
        <v>22.123585590556846</v>
      </c>
      <c r="DE459" s="12">
        <v>39.881659113414628</v>
      </c>
      <c r="DF459" s="12">
        <v>59.215719939845762</v>
      </c>
      <c r="DG459" s="12">
        <v>77.433362009070507</v>
      </c>
    </row>
    <row r="460" spans="2:111">
      <c r="B460" s="126"/>
      <c r="C460" s="698"/>
      <c r="D460" s="12" t="s">
        <v>99</v>
      </c>
      <c r="E460" s="126"/>
      <c r="F460" s="609"/>
      <c r="G460" s="609" t="s">
        <v>736</v>
      </c>
      <c r="H460" s="609"/>
      <c r="I460" s="609"/>
      <c r="J460" s="609"/>
      <c r="K460" s="609"/>
      <c r="L460" s="126"/>
      <c r="M460" s="696"/>
      <c r="N460" s="696"/>
      <c r="O460" s="696"/>
      <c r="P460" s="696"/>
      <c r="Q460" s="696"/>
      <c r="R460" s="696"/>
      <c r="S460" s="696"/>
      <c r="T460" s="696"/>
      <c r="U460" s="696"/>
      <c r="V460" s="696"/>
      <c r="W460" s="696"/>
      <c r="X460" s="697"/>
      <c r="Y460" s="697"/>
      <c r="Z460" s="697"/>
      <c r="AA460" s="697"/>
      <c r="AB460" s="697"/>
      <c r="AC460" s="697"/>
      <c r="AD460" s="697"/>
      <c r="AE460" s="697"/>
      <c r="AF460" s="697"/>
      <c r="AG460" s="697"/>
      <c r="AH460" s="697"/>
      <c r="AI460" s="697"/>
      <c r="AJ460" s="697"/>
      <c r="AK460" s="697"/>
      <c r="AL460" s="697"/>
      <c r="AM460" s="697"/>
      <c r="AN460" s="702"/>
      <c r="AO460" s="702"/>
      <c r="AP460" s="702">
        <v>-2.7500000000000007E-3</v>
      </c>
      <c r="AQ460" s="702">
        <v>-5.5916666666666675E-3</v>
      </c>
      <c r="AR460" s="702">
        <v>-1.1832925347222223E-2</v>
      </c>
      <c r="AS460" s="702">
        <v>-1.9274601996527776E-2</v>
      </c>
      <c r="AT460" s="702">
        <v>-2.7795692556423612E-2</v>
      </c>
      <c r="AU460" s="702">
        <v>-3.7077561461588547E-2</v>
      </c>
      <c r="AV460" s="702">
        <v>-4.6944959151095915E-2</v>
      </c>
      <c r="AW460" s="702">
        <v>-5.7136910866436082E-2</v>
      </c>
      <c r="AX460" s="702">
        <v>-6.7494989240428738E-2</v>
      </c>
      <c r="AY460" s="702">
        <v>-7.8040110944562174E-2</v>
      </c>
      <c r="AZ460" s="702">
        <v>-8.8786024043324072E-2</v>
      </c>
      <c r="BA460" s="702">
        <v>-9.9804095297028647E-2</v>
      </c>
      <c r="BB460" s="702">
        <v>-0.11123447322139461</v>
      </c>
      <c r="BC460" s="702">
        <v>-0.12310649800309235</v>
      </c>
      <c r="BD460" s="702">
        <v>-0.1510836681923253</v>
      </c>
      <c r="BE460" s="702">
        <v>-0.18929644539131188</v>
      </c>
      <c r="BF460" s="702">
        <v>-0.21873675684672358</v>
      </c>
      <c r="BG460" s="702">
        <v>-0.24352626035087951</v>
      </c>
      <c r="BH460" s="702">
        <v>-0.26589535156140348</v>
      </c>
      <c r="BI460" s="702">
        <v>-0.28702692358643078</v>
      </c>
      <c r="BJ460" s="702">
        <v>-0.30771992571517248</v>
      </c>
      <c r="BK460" s="702">
        <v>-0.32744303108582701</v>
      </c>
      <c r="BL460" s="702">
        <v>-0.34600887029475041</v>
      </c>
      <c r="BM460" s="702">
        <v>-0.36468649621277938</v>
      </c>
      <c r="BN460" s="702">
        <v>-0.38367615209812894</v>
      </c>
      <c r="BO460" s="702">
        <v>-0.4030709184015972</v>
      </c>
      <c r="BP460" s="702">
        <v>-0.4227819702682496</v>
      </c>
      <c r="BQ460" s="702">
        <v>-0.44229765303020324</v>
      </c>
      <c r="BR460" s="702">
        <v>-0.46175531881023374</v>
      </c>
      <c r="BS460" s="702">
        <v>-0.48120955609002936</v>
      </c>
      <c r="BT460" s="702">
        <v>-0.50063452654162666</v>
      </c>
      <c r="BU460" s="702">
        <v>-0.52003091738606155</v>
      </c>
      <c r="BV460" s="702">
        <v>-0.53940260129495143</v>
      </c>
      <c r="BW460" s="702">
        <v>-0.55875961906315086</v>
      </c>
      <c r="BX460" s="702">
        <v>-0.57812364867750288</v>
      </c>
      <c r="BY460" s="702">
        <v>-0.59749178912045786</v>
      </c>
      <c r="BZ460" s="702">
        <v>-0.61686239519321917</v>
      </c>
      <c r="CA460" s="702">
        <v>-0.63623611209690356</v>
      </c>
      <c r="CB460" s="702">
        <v>-0.65639428279410372</v>
      </c>
      <c r="CC460" s="702">
        <v>-0.67698479160474168</v>
      </c>
      <c r="CD460" s="702">
        <v>-0.6970371486890975</v>
      </c>
      <c r="CE460" s="702">
        <v>-0.71679989704649139</v>
      </c>
      <c r="CF460" s="702">
        <v>-0.73640553079850335</v>
      </c>
      <c r="CG460" s="702">
        <v>-0.75592519990711182</v>
      </c>
      <c r="CH460" s="702">
        <v>-0.77636461327607165</v>
      </c>
      <c r="CI460" s="702">
        <v>-0.79729480875589409</v>
      </c>
      <c r="CJ460" s="702">
        <v>-0.81754238344965513</v>
      </c>
      <c r="CK460" s="702">
        <v>-0.83744947888114274</v>
      </c>
      <c r="CL460" s="702">
        <v>-0.85717705785785359</v>
      </c>
      <c r="CM460" s="702">
        <v>-0.87680913625914814</v>
      </c>
      <c r="CN460" s="702">
        <v>-0.89638944088878858</v>
      </c>
      <c r="CO460" s="702">
        <v>-0.91592098547154466</v>
      </c>
      <c r="CP460" s="702">
        <v>-0.93543533758314712</v>
      </c>
      <c r="CQ460" s="702">
        <v>-0.9549737509686369</v>
      </c>
      <c r="CR460" s="702">
        <v>-0.97453077184137415</v>
      </c>
      <c r="CS460" s="702">
        <v>-0.99410079360554315</v>
      </c>
      <c r="CT460" s="702">
        <v>-1.0136791570393813</v>
      </c>
      <c r="CU460" s="702">
        <v>-1.033262478368693</v>
      </c>
      <c r="CV460" s="702">
        <v>-1.0528488563588116</v>
      </c>
      <c r="CW460" s="702">
        <v>-1.072436155349004</v>
      </c>
      <c r="CX460" s="702">
        <v>-1.0920225641021732</v>
      </c>
      <c r="CY460" s="702">
        <v>-1.1205997215519936</v>
      </c>
      <c r="CZ460" s="126"/>
      <c r="DA460" s="12">
        <v>0</v>
      </c>
      <c r="DB460" s="12">
        <v>-8.3416666666666674E-3</v>
      </c>
      <c r="DC460" s="12">
        <v>-0.76852884212912476</v>
      </c>
      <c r="DD460" s="12">
        <v>-3.4881707997373299</v>
      </c>
      <c r="DE460" s="12">
        <v>-6.3555861075725888</v>
      </c>
      <c r="DF460" s="12">
        <v>-9.2021843293198149</v>
      </c>
      <c r="DG460" s="12">
        <v>-12.056200013129093</v>
      </c>
    </row>
    <row r="461" spans="2:111">
      <c r="B461" s="126"/>
      <c r="C461" s="698" t="s">
        <v>217</v>
      </c>
      <c r="D461" s="698"/>
      <c r="E461" s="698"/>
      <c r="F461" s="703"/>
      <c r="G461" s="609" t="s">
        <v>736</v>
      </c>
      <c r="H461" s="609"/>
      <c r="I461" s="609"/>
      <c r="J461" s="609"/>
      <c r="K461" s="609"/>
      <c r="L461" s="126"/>
      <c r="M461" s="696"/>
      <c r="N461" s="696"/>
      <c r="O461" s="696"/>
      <c r="P461" s="696"/>
      <c r="Q461" s="696"/>
      <c r="R461" s="696"/>
      <c r="S461" s="696"/>
      <c r="T461" s="696"/>
      <c r="U461" s="696"/>
      <c r="V461" s="696"/>
      <c r="W461" s="696"/>
      <c r="X461" s="697"/>
      <c r="Y461" s="697"/>
      <c r="Z461" s="697"/>
      <c r="AA461" s="697"/>
      <c r="AB461" s="697"/>
      <c r="AC461" s="697"/>
      <c r="AD461" s="697"/>
      <c r="AE461" s="697"/>
      <c r="AF461" s="697"/>
      <c r="AG461" s="697"/>
      <c r="AH461" s="697"/>
      <c r="AI461" s="697"/>
      <c r="AJ461" s="697"/>
      <c r="AK461" s="697"/>
      <c r="AL461" s="697"/>
      <c r="AM461" s="697"/>
      <c r="AN461" s="708"/>
      <c r="AO461" s="708"/>
      <c r="AP461" s="708">
        <v>1.9292500000000004E-2</v>
      </c>
      <c r="AQ461" s="708">
        <v>5.7432444746376814E-2</v>
      </c>
      <c r="AR461" s="708">
        <v>8.6539326732490846E-2</v>
      </c>
      <c r="AS461" s="708">
        <v>0.12948704078877665</v>
      </c>
      <c r="AT461" s="708">
        <v>0.17414069049351621</v>
      </c>
      <c r="AU461" s="708">
        <v>0.21605130478920689</v>
      </c>
      <c r="AV461" s="708">
        <v>0.25711031212458602</v>
      </c>
      <c r="AW461" s="708">
        <v>0.29762714768764575</v>
      </c>
      <c r="AX461" s="708">
        <v>0.33886823970860719</v>
      </c>
      <c r="AY461" s="708">
        <v>0.38230248291283464</v>
      </c>
      <c r="AZ461" s="708">
        <v>0.42889909178648117</v>
      </c>
      <c r="BA461" s="708">
        <v>0.47987036179965392</v>
      </c>
      <c r="BB461" s="708">
        <v>0.5358517910751458</v>
      </c>
      <c r="BC461" s="708">
        <v>0.59661278179841593</v>
      </c>
      <c r="BD461" s="708">
        <v>0.83302277379867518</v>
      </c>
      <c r="BE461" s="708">
        <v>1.0151282381715632</v>
      </c>
      <c r="BF461" s="708">
        <v>1.181893327591411</v>
      </c>
      <c r="BG461" s="708">
        <v>1.3146878630150711</v>
      </c>
      <c r="BH461" s="708">
        <v>1.431663666152776</v>
      </c>
      <c r="BI461" s="708">
        <v>1.5400479398651681</v>
      </c>
      <c r="BJ461" s="708">
        <v>1.6449543489735827</v>
      </c>
      <c r="BK461" s="708">
        <v>1.7409319831346117</v>
      </c>
      <c r="BL461" s="708">
        <v>1.8342061462354584</v>
      </c>
      <c r="BM461" s="708">
        <v>1.9323199539738731</v>
      </c>
      <c r="BN461" s="708">
        <v>2.0327724750463299</v>
      </c>
      <c r="BO461" s="708">
        <v>2.1337860748609958</v>
      </c>
      <c r="BP461" s="708">
        <v>2.2339184414183468</v>
      </c>
      <c r="BQ461" s="708">
        <v>2.3315953855601239</v>
      </c>
      <c r="BR461" s="708">
        <v>2.429085144381733</v>
      </c>
      <c r="BS461" s="708">
        <v>2.526372437230239</v>
      </c>
      <c r="BT461" s="708">
        <v>2.623324656393379</v>
      </c>
      <c r="BU461" s="708">
        <v>2.7201241779210372</v>
      </c>
      <c r="BV461" s="708">
        <v>2.8268179879266588</v>
      </c>
      <c r="BW461" s="708">
        <v>2.9422699376833745</v>
      </c>
      <c r="BX461" s="708">
        <v>3.0551640872401249</v>
      </c>
      <c r="BY461" s="708">
        <v>3.167214613897114</v>
      </c>
      <c r="BZ461" s="708">
        <v>3.2790724409819774</v>
      </c>
      <c r="CA461" s="708">
        <v>3.3911136952079346</v>
      </c>
      <c r="CB461" s="708">
        <v>3.5160124834486899</v>
      </c>
      <c r="CC461" s="708">
        <v>3.6470345476701396</v>
      </c>
      <c r="CD461" s="708">
        <v>3.7686719696014053</v>
      </c>
      <c r="CE461" s="708">
        <v>3.8877146541908809</v>
      </c>
      <c r="CF461" s="708">
        <v>4.0057758305428308</v>
      </c>
      <c r="CG461" s="708">
        <v>4.1237538681444494</v>
      </c>
      <c r="CH461" s="708">
        <v>4.2421664390842642</v>
      </c>
      <c r="CI461" s="708">
        <v>4.3550860367295154</v>
      </c>
      <c r="CJ461" s="708">
        <v>4.4609629061216527</v>
      </c>
      <c r="CK461" s="708">
        <v>4.5652822300097595</v>
      </c>
      <c r="CL461" s="708">
        <v>4.6688723398408971</v>
      </c>
      <c r="CM461" s="708">
        <v>4.7722023051414624</v>
      </c>
      <c r="CN461" s="708">
        <v>4.8755173681278219</v>
      </c>
      <c r="CO461" s="708">
        <v>4.9789501065369972</v>
      </c>
      <c r="CP461" s="708">
        <v>5.0827081172729063</v>
      </c>
      <c r="CQ461" s="708">
        <v>5.1868061694222174</v>
      </c>
      <c r="CR461" s="708">
        <v>5.2910542952000972</v>
      </c>
      <c r="CS461" s="708">
        <v>5.3953809114288962</v>
      </c>
      <c r="CT461" s="708">
        <v>5.4997399890048344</v>
      </c>
      <c r="CU461" s="708">
        <v>5.6041044184726676</v>
      </c>
      <c r="CV461" s="708">
        <v>5.708459462207724</v>
      </c>
      <c r="CW461" s="708">
        <v>5.8127955283800414</v>
      </c>
      <c r="CX461" s="708">
        <v>5.9171128660110899</v>
      </c>
      <c r="CY461" s="708">
        <v>6.0245327638761257</v>
      </c>
      <c r="CZ461" s="698"/>
      <c r="DA461" s="14">
        <v>0</v>
      </c>
      <c r="DB461" s="14">
        <v>7.6724944746376811E-2</v>
      </c>
      <c r="DC461" s="14">
        <v>3.9233605716973603</v>
      </c>
      <c r="DD461" s="14">
        <v>18.635414790819517</v>
      </c>
      <c r="DE461" s="14">
        <v>33.526073005842044</v>
      </c>
      <c r="DF461" s="14">
        <v>50.013535610525942</v>
      </c>
      <c r="DG461" s="14">
        <v>65.377161995941421</v>
      </c>
    </row>
    <row r="462" spans="2:111">
      <c r="B462" s="126"/>
      <c r="C462" s="698"/>
      <c r="D462" s="14" t="s">
        <v>218</v>
      </c>
      <c r="E462" s="698"/>
      <c r="F462" s="703"/>
      <c r="G462" s="609" t="s">
        <v>736</v>
      </c>
      <c r="H462" s="609"/>
      <c r="I462" s="609"/>
      <c r="J462" s="609"/>
      <c r="K462" s="609"/>
      <c r="L462" s="126"/>
      <c r="M462" s="696"/>
      <c r="N462" s="696"/>
      <c r="O462" s="696"/>
      <c r="P462" s="696"/>
      <c r="Q462" s="696"/>
      <c r="R462" s="696"/>
      <c r="S462" s="696"/>
      <c r="T462" s="696"/>
      <c r="U462" s="696"/>
      <c r="V462" s="696"/>
      <c r="W462" s="696"/>
      <c r="X462" s="697"/>
      <c r="Y462" s="697"/>
      <c r="Z462" s="697"/>
      <c r="AA462" s="697"/>
      <c r="AB462" s="697"/>
      <c r="AC462" s="697"/>
      <c r="AD462" s="697"/>
      <c r="AE462" s="697"/>
      <c r="AF462" s="697"/>
      <c r="AG462" s="697"/>
      <c r="AH462" s="697"/>
      <c r="AI462" s="697"/>
      <c r="AJ462" s="697"/>
      <c r="AK462" s="697"/>
      <c r="AL462" s="697"/>
      <c r="AM462" s="697"/>
      <c r="AN462" s="708"/>
      <c r="AO462" s="708"/>
      <c r="AP462" s="708">
        <v>-2.7500000000000007E-3</v>
      </c>
      <c r="AQ462" s="708">
        <v>-1.4645552536231886E-3</v>
      </c>
      <c r="AR462" s="708">
        <v>4.256386793745395E-3</v>
      </c>
      <c r="AS462" s="708">
        <v>1.80836718284406E-2</v>
      </c>
      <c r="AT462" s="708">
        <v>3.4727686583440484E-2</v>
      </c>
      <c r="AU462" s="708">
        <v>4.9704598857445902E-2</v>
      </c>
      <c r="AV462" s="708">
        <v>6.4702636839560984E-2</v>
      </c>
      <c r="AW462" s="708">
        <v>7.9848471188467912E-2</v>
      </c>
      <c r="AX462" s="708">
        <v>9.5587837963074018E-2</v>
      </c>
      <c r="AY462" s="708">
        <v>0.11179610566294026</v>
      </c>
      <c r="AZ462" s="708">
        <v>0.1292790178481143</v>
      </c>
      <c r="BA462" s="708">
        <v>0.14836340192111691</v>
      </c>
      <c r="BB462" s="708">
        <v>0.16938455946650122</v>
      </c>
      <c r="BC462" s="708">
        <v>0.19190103917084628</v>
      </c>
      <c r="BD462" s="708">
        <v>0.23644431956002213</v>
      </c>
      <c r="BE462" s="708">
        <v>0.29563308247415188</v>
      </c>
      <c r="BF462" s="708">
        <v>0.39106459867825516</v>
      </c>
      <c r="BG462" s="708">
        <v>0.46351642298113271</v>
      </c>
      <c r="BH462" s="708">
        <v>0.51979221354462757</v>
      </c>
      <c r="BI462" s="708">
        <v>0.57197200751085042</v>
      </c>
      <c r="BJ462" s="708">
        <v>0.61729659329101161</v>
      </c>
      <c r="BK462" s="708">
        <v>0.65747511473652831</v>
      </c>
      <c r="BL462" s="708">
        <v>0.70001398022258665</v>
      </c>
      <c r="BM462" s="708">
        <v>0.74191841689638593</v>
      </c>
      <c r="BN462" s="708">
        <v>0.78224282781649634</v>
      </c>
      <c r="BO462" s="708">
        <v>0.82459428789164768</v>
      </c>
      <c r="BP462" s="708">
        <v>0.86448181738890617</v>
      </c>
      <c r="BQ462" s="708">
        <v>0.90575425787667974</v>
      </c>
      <c r="BR462" s="708">
        <v>0.94660470346273229</v>
      </c>
      <c r="BS462" s="708">
        <v>0.98706739051482018</v>
      </c>
      <c r="BT462" s="708">
        <v>1.0273998753163647</v>
      </c>
      <c r="BU462" s="708">
        <v>1.0677187363229004</v>
      </c>
      <c r="BV462" s="708">
        <v>1.1178591329149405</v>
      </c>
      <c r="BW462" s="708">
        <v>1.1661420599205554</v>
      </c>
      <c r="BX462" s="708">
        <v>1.2138492321339407</v>
      </c>
      <c r="BY462" s="708">
        <v>1.2613139990924926</v>
      </c>
      <c r="BZ462" s="708">
        <v>1.3089000556713923</v>
      </c>
      <c r="CA462" s="708">
        <v>1.3565849091477566</v>
      </c>
      <c r="CB462" s="708">
        <v>1.4169205651090326</v>
      </c>
      <c r="CC462" s="708">
        <v>1.4693678785280606</v>
      </c>
      <c r="CD462" s="708">
        <v>1.5230622105450555</v>
      </c>
      <c r="CE462" s="708">
        <v>1.5749754970349508</v>
      </c>
      <c r="CF462" s="708">
        <v>1.6262843045486624</v>
      </c>
      <c r="CG462" s="708">
        <v>1.6773543084780305</v>
      </c>
      <c r="CH462" s="708">
        <v>1.728518764456104</v>
      </c>
      <c r="CI462" s="708">
        <v>1.7729614895937034</v>
      </c>
      <c r="CJ462" s="708">
        <v>1.8199739414798692</v>
      </c>
      <c r="CK462" s="708">
        <v>1.8651652407470389</v>
      </c>
      <c r="CL462" s="708">
        <v>1.909527035486184</v>
      </c>
      <c r="CM462" s="708">
        <v>1.9535069342006883</v>
      </c>
      <c r="CN462" s="708">
        <v>1.9973507370296071</v>
      </c>
      <c r="CO462" s="708">
        <v>2.0411828411247028</v>
      </c>
      <c r="CP462" s="708">
        <v>2.085221461002174</v>
      </c>
      <c r="CQ462" s="708">
        <v>2.1292400428945641</v>
      </c>
      <c r="CR462" s="708">
        <v>2.1733434992909659</v>
      </c>
      <c r="CS462" s="708">
        <v>2.2174980326850235</v>
      </c>
      <c r="CT462" s="708">
        <v>2.2616797413609211</v>
      </c>
      <c r="CU462" s="708">
        <v>2.3058720093848084</v>
      </c>
      <c r="CV462" s="708">
        <v>2.3500649209411062</v>
      </c>
      <c r="CW462" s="708">
        <v>2.3942498947451063</v>
      </c>
      <c r="CX462" s="708">
        <v>2.4384317267326283</v>
      </c>
      <c r="CY462" s="708">
        <v>2.4841070937303456</v>
      </c>
      <c r="CZ462" s="698"/>
      <c r="DA462" s="14">
        <v>0</v>
      </c>
      <c r="DB462" s="14">
        <v>-4.2145552536231893E-3</v>
      </c>
      <c r="DC462" s="14">
        <v>1.0976354141236944</v>
      </c>
      <c r="DD462" s="14">
        <v>6.801963865603696</v>
      </c>
      <c r="DE462" s="14">
        <v>13.223676169763481</v>
      </c>
      <c r="DF462" s="14">
        <v>20.337618170207378</v>
      </c>
      <c r="DG462" s="14">
        <v>26.878242000921951</v>
      </c>
    </row>
    <row r="463" spans="2:111">
      <c r="B463" s="126"/>
      <c r="C463" s="126"/>
      <c r="D463" s="126" t="s">
        <v>737</v>
      </c>
      <c r="E463" s="126"/>
      <c r="F463" s="609"/>
      <c r="G463" s="609" t="s">
        <v>736</v>
      </c>
      <c r="H463" s="609"/>
      <c r="I463" s="609"/>
      <c r="J463" s="609"/>
      <c r="K463" s="609"/>
      <c r="L463" s="126"/>
      <c r="M463" s="696"/>
      <c r="N463" s="696"/>
      <c r="O463" s="696"/>
      <c r="P463" s="696"/>
      <c r="Q463" s="696"/>
      <c r="R463" s="696"/>
      <c r="S463" s="696"/>
      <c r="T463" s="696"/>
      <c r="U463" s="696"/>
      <c r="V463" s="696"/>
      <c r="W463" s="696"/>
      <c r="X463" s="697"/>
      <c r="Y463" s="697"/>
      <c r="Z463" s="697"/>
      <c r="AA463" s="697"/>
      <c r="AB463" s="697"/>
      <c r="AC463" s="697"/>
      <c r="AD463" s="697"/>
      <c r="AE463" s="697"/>
      <c r="AF463" s="697"/>
      <c r="AG463" s="697"/>
      <c r="AH463" s="697"/>
      <c r="AI463" s="697"/>
      <c r="AJ463" s="697"/>
      <c r="AK463" s="697"/>
      <c r="AL463" s="697"/>
      <c r="AM463" s="697"/>
      <c r="AN463" s="710"/>
      <c r="AO463" s="710"/>
      <c r="AP463" s="710">
        <v>0</v>
      </c>
      <c r="AQ463" s="710">
        <v>4.1271114130434789E-3</v>
      </c>
      <c r="AR463" s="710">
        <v>1.6089312140967617E-2</v>
      </c>
      <c r="AS463" s="710">
        <v>3.7358273824968376E-2</v>
      </c>
      <c r="AT463" s="710">
        <v>6.2523379139864096E-2</v>
      </c>
      <c r="AU463" s="710">
        <v>8.6782160319034449E-2</v>
      </c>
      <c r="AV463" s="710">
        <v>0.11164759599065691</v>
      </c>
      <c r="AW463" s="710">
        <v>0.13698538205490399</v>
      </c>
      <c r="AX463" s="710">
        <v>0.16308282720350276</v>
      </c>
      <c r="AY463" s="710">
        <v>0.18983621660750244</v>
      </c>
      <c r="AZ463" s="710">
        <v>0.21806504189143835</v>
      </c>
      <c r="BA463" s="710">
        <v>0.24816749721814554</v>
      </c>
      <c r="BB463" s="710">
        <v>0.28061903268789584</v>
      </c>
      <c r="BC463" s="710">
        <v>0.31500753717393865</v>
      </c>
      <c r="BD463" s="710">
        <v>0.38752798775234742</v>
      </c>
      <c r="BE463" s="710">
        <v>0.48492952786546373</v>
      </c>
      <c r="BF463" s="710">
        <v>0.60980135552497872</v>
      </c>
      <c r="BG463" s="710">
        <v>0.70704268333201226</v>
      </c>
      <c r="BH463" s="710">
        <v>0.78568756510603099</v>
      </c>
      <c r="BI463" s="710">
        <v>0.8589989310972812</v>
      </c>
      <c r="BJ463" s="710">
        <v>0.92501651900618409</v>
      </c>
      <c r="BK463" s="710">
        <v>0.98491814582235537</v>
      </c>
      <c r="BL463" s="710">
        <v>1.046022850517337</v>
      </c>
      <c r="BM463" s="710">
        <v>1.1066049131091653</v>
      </c>
      <c r="BN463" s="710">
        <v>1.1659189799146252</v>
      </c>
      <c r="BO463" s="710">
        <v>1.2276652062932449</v>
      </c>
      <c r="BP463" s="710">
        <v>1.2872637876571558</v>
      </c>
      <c r="BQ463" s="710">
        <v>1.3480519109068829</v>
      </c>
      <c r="BR463" s="710">
        <v>1.408360022272966</v>
      </c>
      <c r="BS463" s="710">
        <v>1.4682769466048495</v>
      </c>
      <c r="BT463" s="710">
        <v>1.5280344018579912</v>
      </c>
      <c r="BU463" s="710">
        <v>1.5877496537089619</v>
      </c>
      <c r="BV463" s="710">
        <v>1.6572617342098921</v>
      </c>
      <c r="BW463" s="710">
        <v>1.7249016789837064</v>
      </c>
      <c r="BX463" s="710">
        <v>1.7919728808114435</v>
      </c>
      <c r="BY463" s="710">
        <v>1.8588057882129505</v>
      </c>
      <c r="BZ463" s="710">
        <v>1.9257624508646114</v>
      </c>
      <c r="CA463" s="710">
        <v>1.9928210212446602</v>
      </c>
      <c r="CB463" s="710">
        <v>2.0733148479031365</v>
      </c>
      <c r="CC463" s="710">
        <v>2.1463526701328024</v>
      </c>
      <c r="CD463" s="710">
        <v>2.2200993592341529</v>
      </c>
      <c r="CE463" s="710">
        <v>2.291775394081442</v>
      </c>
      <c r="CF463" s="710">
        <v>2.3626898353471657</v>
      </c>
      <c r="CG463" s="710">
        <v>2.4332795083851422</v>
      </c>
      <c r="CH463" s="710">
        <v>2.5048833777321757</v>
      </c>
      <c r="CI463" s="710">
        <v>2.5702562983495976</v>
      </c>
      <c r="CJ463" s="710">
        <v>2.6375163249295244</v>
      </c>
      <c r="CK463" s="710">
        <v>2.7026147196281816</v>
      </c>
      <c r="CL463" s="710">
        <v>2.7667040933440377</v>
      </c>
      <c r="CM463" s="710">
        <v>2.8303160704598365</v>
      </c>
      <c r="CN463" s="710">
        <v>2.8937401779183958</v>
      </c>
      <c r="CO463" s="710">
        <v>2.9571038265962475</v>
      </c>
      <c r="CP463" s="710">
        <v>3.0206567985853212</v>
      </c>
      <c r="CQ463" s="710">
        <v>3.084213793863201</v>
      </c>
      <c r="CR463" s="710">
        <v>3.14787427113234</v>
      </c>
      <c r="CS463" s="710">
        <v>3.2115988262905666</v>
      </c>
      <c r="CT463" s="710">
        <v>3.2753588984003024</v>
      </c>
      <c r="CU463" s="710">
        <v>3.3391344877535016</v>
      </c>
      <c r="CV463" s="710">
        <v>3.4029137772999176</v>
      </c>
      <c r="CW463" s="710">
        <v>3.4666860500941103</v>
      </c>
      <c r="CX463" s="710">
        <v>3.5304542908348018</v>
      </c>
      <c r="CY463" s="710">
        <v>3.6047068152823392</v>
      </c>
      <c r="CZ463" s="126"/>
      <c r="DA463" s="12">
        <v>0</v>
      </c>
      <c r="DB463" s="12">
        <v>4.1271114130434789E-3</v>
      </c>
      <c r="DC463" s="12">
        <v>1.8661642562528191</v>
      </c>
      <c r="DD463" s="12">
        <v>10.290134665341027</v>
      </c>
      <c r="DE463" s="12">
        <v>19.579262277336067</v>
      </c>
      <c r="DF463" s="12">
        <v>29.539802499527198</v>
      </c>
      <c r="DG463" s="12">
        <v>38.934442014051051</v>
      </c>
    </row>
    <row r="464" spans="2:111">
      <c r="B464" s="126"/>
      <c r="C464" s="126"/>
      <c r="D464" s="126" t="s">
        <v>798</v>
      </c>
      <c r="E464" s="126"/>
      <c r="F464" s="609"/>
      <c r="G464" s="609" t="s">
        <v>736</v>
      </c>
      <c r="H464" s="609"/>
      <c r="I464" s="609"/>
      <c r="J464" s="609"/>
      <c r="K464" s="609"/>
      <c r="L464" s="126"/>
      <c r="M464" s="696"/>
      <c r="N464" s="696"/>
      <c r="O464" s="696"/>
      <c r="P464" s="696"/>
      <c r="Q464" s="696"/>
      <c r="R464" s="696"/>
      <c r="S464" s="696"/>
      <c r="T464" s="696"/>
      <c r="U464" s="696"/>
      <c r="V464" s="696"/>
      <c r="W464" s="696"/>
      <c r="X464" s="697"/>
      <c r="Y464" s="697"/>
      <c r="Z464" s="697"/>
      <c r="AA464" s="697"/>
      <c r="AB464" s="697"/>
      <c r="AC464" s="697"/>
      <c r="AD464" s="697"/>
      <c r="AE464" s="697"/>
      <c r="AF464" s="697"/>
      <c r="AG464" s="697"/>
      <c r="AH464" s="697"/>
      <c r="AI464" s="697"/>
      <c r="AJ464" s="697"/>
      <c r="AK464" s="697"/>
      <c r="AL464" s="697"/>
      <c r="AM464" s="697"/>
      <c r="AN464" s="710"/>
      <c r="AO464" s="710"/>
      <c r="AP464" s="710">
        <v>-2.7500000000000007E-3</v>
      </c>
      <c r="AQ464" s="710">
        <v>-5.5916666666666675E-3</v>
      </c>
      <c r="AR464" s="710">
        <v>-1.1832925347222223E-2</v>
      </c>
      <c r="AS464" s="710">
        <v>-1.9274601996527776E-2</v>
      </c>
      <c r="AT464" s="710">
        <v>-2.7795692556423612E-2</v>
      </c>
      <c r="AU464" s="710">
        <v>-3.7077561461588547E-2</v>
      </c>
      <c r="AV464" s="710">
        <v>-4.6944959151095915E-2</v>
      </c>
      <c r="AW464" s="710">
        <v>-5.7136910866436082E-2</v>
      </c>
      <c r="AX464" s="710">
        <v>-6.7494989240428738E-2</v>
      </c>
      <c r="AY464" s="710">
        <v>-7.8040110944562174E-2</v>
      </c>
      <c r="AZ464" s="710">
        <v>-8.8786024043324072E-2</v>
      </c>
      <c r="BA464" s="710">
        <v>-9.9804095297028647E-2</v>
      </c>
      <c r="BB464" s="710">
        <v>-0.11123447322139461</v>
      </c>
      <c r="BC464" s="710">
        <v>-0.12310649800309235</v>
      </c>
      <c r="BD464" s="710">
        <v>-0.1510836681923253</v>
      </c>
      <c r="BE464" s="710">
        <v>-0.18929644539131188</v>
      </c>
      <c r="BF464" s="710">
        <v>-0.21873675684672358</v>
      </c>
      <c r="BG464" s="710">
        <v>-0.24352626035087951</v>
      </c>
      <c r="BH464" s="710">
        <v>-0.26589535156140348</v>
      </c>
      <c r="BI464" s="710">
        <v>-0.28702692358643078</v>
      </c>
      <c r="BJ464" s="710">
        <v>-0.30771992571517248</v>
      </c>
      <c r="BK464" s="710">
        <v>-0.32744303108582701</v>
      </c>
      <c r="BL464" s="710">
        <v>-0.34600887029475041</v>
      </c>
      <c r="BM464" s="710">
        <v>-0.36468649621277938</v>
      </c>
      <c r="BN464" s="710">
        <v>-0.38367615209812894</v>
      </c>
      <c r="BO464" s="710">
        <v>-0.4030709184015972</v>
      </c>
      <c r="BP464" s="710">
        <v>-0.4227819702682496</v>
      </c>
      <c r="BQ464" s="710">
        <v>-0.44229765303020324</v>
      </c>
      <c r="BR464" s="710">
        <v>-0.46175531881023374</v>
      </c>
      <c r="BS464" s="710">
        <v>-0.48120955609002936</v>
      </c>
      <c r="BT464" s="710">
        <v>-0.50063452654162666</v>
      </c>
      <c r="BU464" s="710">
        <v>-0.52003091738606155</v>
      </c>
      <c r="BV464" s="710">
        <v>-0.53940260129495143</v>
      </c>
      <c r="BW464" s="710">
        <v>-0.55875961906315086</v>
      </c>
      <c r="BX464" s="710">
        <v>-0.57812364867750288</v>
      </c>
      <c r="BY464" s="710">
        <v>-0.59749178912045786</v>
      </c>
      <c r="BZ464" s="710">
        <v>-0.61686239519321917</v>
      </c>
      <c r="CA464" s="710">
        <v>-0.63623611209690356</v>
      </c>
      <c r="CB464" s="710">
        <v>-0.65639428279410372</v>
      </c>
      <c r="CC464" s="710">
        <v>-0.67698479160474168</v>
      </c>
      <c r="CD464" s="710">
        <v>-0.6970371486890975</v>
      </c>
      <c r="CE464" s="710">
        <v>-0.71679989704649139</v>
      </c>
      <c r="CF464" s="710">
        <v>-0.73640553079850335</v>
      </c>
      <c r="CG464" s="710">
        <v>-0.75592519990711182</v>
      </c>
      <c r="CH464" s="710">
        <v>-0.77636461327607165</v>
      </c>
      <c r="CI464" s="710">
        <v>-0.79729480875589409</v>
      </c>
      <c r="CJ464" s="710">
        <v>-0.81754238344965513</v>
      </c>
      <c r="CK464" s="710">
        <v>-0.83744947888114274</v>
      </c>
      <c r="CL464" s="710">
        <v>-0.85717705785785359</v>
      </c>
      <c r="CM464" s="710">
        <v>-0.87680913625914814</v>
      </c>
      <c r="CN464" s="710">
        <v>-0.89638944088878858</v>
      </c>
      <c r="CO464" s="710">
        <v>-0.91592098547154466</v>
      </c>
      <c r="CP464" s="710">
        <v>-0.93543533758314712</v>
      </c>
      <c r="CQ464" s="710">
        <v>-0.9549737509686369</v>
      </c>
      <c r="CR464" s="710">
        <v>-0.97453077184137415</v>
      </c>
      <c r="CS464" s="710">
        <v>-0.99410079360554315</v>
      </c>
      <c r="CT464" s="710">
        <v>-1.0136791570393813</v>
      </c>
      <c r="CU464" s="710">
        <v>-1.033262478368693</v>
      </c>
      <c r="CV464" s="710">
        <v>-1.0528488563588116</v>
      </c>
      <c r="CW464" s="710">
        <v>-1.072436155349004</v>
      </c>
      <c r="CX464" s="710">
        <v>-1.0920225641021732</v>
      </c>
      <c r="CY464" s="710">
        <v>-1.1205997215519936</v>
      </c>
      <c r="CZ464" s="126"/>
      <c r="DA464" s="12">
        <v>0</v>
      </c>
      <c r="DB464" s="12">
        <v>-8.3416666666666674E-3</v>
      </c>
      <c r="DC464" s="12">
        <v>-0.76852884212912476</v>
      </c>
      <c r="DD464" s="12">
        <v>-3.4881707997373299</v>
      </c>
      <c r="DE464" s="12">
        <v>-6.3555861075725888</v>
      </c>
      <c r="DF464" s="12">
        <v>-9.2021843293198149</v>
      </c>
      <c r="DG464" s="12">
        <v>-12.056200013129093</v>
      </c>
    </row>
    <row r="465" spans="2:111">
      <c r="B465" s="126"/>
      <c r="C465" s="698"/>
      <c r="D465" s="698" t="s">
        <v>830</v>
      </c>
      <c r="E465" s="698"/>
      <c r="F465" s="703"/>
      <c r="G465" s="609" t="s">
        <v>736</v>
      </c>
      <c r="H465" s="609"/>
      <c r="I465" s="609"/>
      <c r="J465" s="609"/>
      <c r="K465" s="609"/>
      <c r="L465" s="126"/>
      <c r="M465" s="696"/>
      <c r="N465" s="696"/>
      <c r="O465" s="696"/>
      <c r="P465" s="696"/>
      <c r="Q465" s="696"/>
      <c r="R465" s="696"/>
      <c r="S465" s="696"/>
      <c r="T465" s="696"/>
      <c r="U465" s="696"/>
      <c r="V465" s="696"/>
      <c r="W465" s="696"/>
      <c r="X465" s="697"/>
      <c r="Y465" s="697"/>
      <c r="Z465" s="697"/>
      <c r="AA465" s="697"/>
      <c r="AB465" s="697"/>
      <c r="AC465" s="697"/>
      <c r="AD465" s="697"/>
      <c r="AE465" s="697"/>
      <c r="AF465" s="697"/>
      <c r="AG465" s="697"/>
      <c r="AH465" s="697"/>
      <c r="AI465" s="697"/>
      <c r="AJ465" s="697"/>
      <c r="AK465" s="697"/>
      <c r="AL465" s="697"/>
      <c r="AM465" s="697"/>
      <c r="AN465" s="696"/>
      <c r="AO465" s="696"/>
      <c r="AP465" s="696">
        <v>2.2042500000000003E-2</v>
      </c>
      <c r="AQ465" s="696">
        <v>5.8897000000000005E-2</v>
      </c>
      <c r="AR465" s="696">
        <v>8.2282939938745456E-2</v>
      </c>
      <c r="AS465" s="696">
        <v>0.11140336896033606</v>
      </c>
      <c r="AT465" s="696">
        <v>0.13941300391007574</v>
      </c>
      <c r="AU465" s="696">
        <v>0.16634670593176099</v>
      </c>
      <c r="AV465" s="696">
        <v>0.192407675285025</v>
      </c>
      <c r="AW465" s="696">
        <v>0.21777867649917781</v>
      </c>
      <c r="AX465" s="696">
        <v>0.24328040174553317</v>
      </c>
      <c r="AY465" s="696">
        <v>0.2705063772498944</v>
      </c>
      <c r="AZ465" s="696">
        <v>0.29962007393836687</v>
      </c>
      <c r="BA465" s="696">
        <v>0.33150695987853701</v>
      </c>
      <c r="BB465" s="696">
        <v>0.36646723160864458</v>
      </c>
      <c r="BC465" s="696">
        <v>0.4047117426275697</v>
      </c>
      <c r="BD465" s="696">
        <v>0.59657845423865308</v>
      </c>
      <c r="BE465" s="696">
        <v>0.71949515569741118</v>
      </c>
      <c r="BF465" s="696">
        <v>0.7908287289131557</v>
      </c>
      <c r="BG465" s="696">
        <v>0.85117144003393852</v>
      </c>
      <c r="BH465" s="696">
        <v>0.91187145260814839</v>
      </c>
      <c r="BI465" s="696">
        <v>0.96807593235431766</v>
      </c>
      <c r="BJ465" s="696">
        <v>1.027657755682571</v>
      </c>
      <c r="BK465" s="696">
        <v>1.0834568683980834</v>
      </c>
      <c r="BL465" s="696">
        <v>1.1341921660128718</v>
      </c>
      <c r="BM465" s="696">
        <v>1.1904015370774872</v>
      </c>
      <c r="BN465" s="696">
        <v>1.2505296472298333</v>
      </c>
      <c r="BO465" s="696">
        <v>1.3091917869693481</v>
      </c>
      <c r="BP465" s="696">
        <v>1.3694366240294407</v>
      </c>
      <c r="BQ465" s="696">
        <v>1.4258411276834442</v>
      </c>
      <c r="BR465" s="696">
        <v>1.4824804409190009</v>
      </c>
      <c r="BS465" s="696">
        <v>1.5393050467154188</v>
      </c>
      <c r="BT465" s="696">
        <v>1.5959247810770143</v>
      </c>
      <c r="BU465" s="696">
        <v>1.6524054415981371</v>
      </c>
      <c r="BV465" s="696">
        <v>1.7089588550117183</v>
      </c>
      <c r="BW465" s="696">
        <v>1.7761278777628191</v>
      </c>
      <c r="BX465" s="696">
        <v>1.8413148551061842</v>
      </c>
      <c r="BY465" s="696">
        <v>1.9059006148046214</v>
      </c>
      <c r="BZ465" s="696">
        <v>1.9701723853105848</v>
      </c>
      <c r="CA465" s="696">
        <v>2.0345287860601777</v>
      </c>
      <c r="CB465" s="696">
        <v>2.0990919183396572</v>
      </c>
      <c r="CC465" s="696">
        <v>2.177666669142079</v>
      </c>
      <c r="CD465" s="696">
        <v>2.2456097590563497</v>
      </c>
      <c r="CE465" s="696">
        <v>2.3127391571559301</v>
      </c>
      <c r="CF465" s="696">
        <v>2.379491525994168</v>
      </c>
      <c r="CG465" s="696">
        <v>2.4463995596664194</v>
      </c>
      <c r="CH465" s="696">
        <v>2.5136476746281602</v>
      </c>
      <c r="CI465" s="696">
        <v>2.5821245471358125</v>
      </c>
      <c r="CJ465" s="696">
        <v>2.6409889646417839</v>
      </c>
      <c r="CK465" s="696">
        <v>2.7001169892627206</v>
      </c>
      <c r="CL465" s="696">
        <v>2.7593453043547127</v>
      </c>
      <c r="CM465" s="696">
        <v>2.818695370940774</v>
      </c>
      <c r="CN465" s="696">
        <v>2.8781666310982148</v>
      </c>
      <c r="CO465" s="696">
        <v>2.9377672654122944</v>
      </c>
      <c r="CP465" s="696">
        <v>2.9974866562707319</v>
      </c>
      <c r="CQ465" s="696">
        <v>3.0575661265276532</v>
      </c>
      <c r="CR465" s="696">
        <v>3.1177107959091312</v>
      </c>
      <c r="CS465" s="696">
        <v>3.1778828787438731</v>
      </c>
      <c r="CT465" s="696">
        <v>3.2380602476439133</v>
      </c>
      <c r="CU465" s="696">
        <v>3.2982324090878592</v>
      </c>
      <c r="CV465" s="696">
        <v>3.3583945412666183</v>
      </c>
      <c r="CW465" s="696">
        <v>3.4185456336349356</v>
      </c>
      <c r="CX465" s="696">
        <v>3.4786811392784616</v>
      </c>
      <c r="CY465" s="696">
        <v>3.5404256701457806</v>
      </c>
      <c r="CZ465" s="698"/>
      <c r="DA465" s="14">
        <v>0</v>
      </c>
      <c r="DB465" s="14">
        <v>8.0939500000000011E-2</v>
      </c>
      <c r="DC465" s="14">
        <v>2.8257251575736673</v>
      </c>
      <c r="DD465" s="14">
        <v>11.83345092521582</v>
      </c>
      <c r="DE465" s="14">
        <v>20.302396836078561</v>
      </c>
      <c r="DF465" s="14">
        <v>29.675917440318571</v>
      </c>
      <c r="DG465" s="14">
        <v>38.49891999501947</v>
      </c>
    </row>
    <row r="466" spans="2:111">
      <c r="B466" s="126"/>
      <c r="C466" s="698"/>
      <c r="D466" s="126" t="s">
        <v>540</v>
      </c>
      <c r="E466" s="698"/>
      <c r="F466" s="703"/>
      <c r="G466" s="609" t="s">
        <v>736</v>
      </c>
      <c r="H466" s="609"/>
      <c r="I466" s="609"/>
      <c r="J466" s="609"/>
      <c r="K466" s="609"/>
      <c r="L466" s="126"/>
      <c r="M466" s="696"/>
      <c r="N466" s="696"/>
      <c r="O466" s="696"/>
      <c r="P466" s="696"/>
      <c r="Q466" s="696"/>
      <c r="R466" s="696"/>
      <c r="S466" s="696"/>
      <c r="T466" s="696"/>
      <c r="U466" s="696"/>
      <c r="V466" s="696"/>
      <c r="W466" s="696"/>
      <c r="X466" s="697"/>
      <c r="Y466" s="697"/>
      <c r="Z466" s="697"/>
      <c r="AA466" s="697"/>
      <c r="AB466" s="697"/>
      <c r="AC466" s="697"/>
      <c r="AD466" s="697"/>
      <c r="AE466" s="697"/>
      <c r="AF466" s="697"/>
      <c r="AG466" s="697"/>
      <c r="AH466" s="697"/>
      <c r="AI466" s="697"/>
      <c r="AJ466" s="697"/>
      <c r="AK466" s="697"/>
      <c r="AL466" s="697"/>
      <c r="AM466" s="697"/>
      <c r="AN466" s="696"/>
      <c r="AO466" s="696"/>
      <c r="AP466" s="696"/>
      <c r="AQ466" s="696"/>
      <c r="AR466" s="696"/>
      <c r="AS466" s="696"/>
      <c r="AT466" s="696"/>
      <c r="AU466" s="696"/>
      <c r="AV466" s="696"/>
      <c r="AW466" s="696"/>
      <c r="AX466" s="696"/>
      <c r="AY466" s="696"/>
      <c r="AZ466" s="696"/>
      <c r="BA466" s="696"/>
      <c r="BB466" s="696"/>
      <c r="BC466" s="696"/>
      <c r="BD466" s="696"/>
      <c r="BE466" s="696"/>
      <c r="BF466" s="696"/>
      <c r="BG466" s="696"/>
      <c r="BH466" s="696"/>
      <c r="BI466" s="696"/>
      <c r="BJ466" s="696"/>
      <c r="BK466" s="696"/>
      <c r="BL466" s="696"/>
      <c r="BM466" s="696"/>
      <c r="BN466" s="696"/>
      <c r="BO466" s="696"/>
      <c r="BP466" s="696"/>
      <c r="BQ466" s="696"/>
      <c r="BR466" s="696"/>
      <c r="BS466" s="696"/>
      <c r="BT466" s="696"/>
      <c r="BU466" s="696"/>
      <c r="BV466" s="696"/>
      <c r="BW466" s="696"/>
      <c r="BX466" s="696"/>
      <c r="BY466" s="696"/>
      <c r="BZ466" s="696"/>
      <c r="CA466" s="696"/>
      <c r="CB466" s="696"/>
      <c r="CC466" s="696"/>
      <c r="CD466" s="696"/>
      <c r="CE466" s="696"/>
      <c r="CF466" s="696"/>
      <c r="CG466" s="696"/>
      <c r="CH466" s="696"/>
      <c r="CI466" s="696"/>
      <c r="CJ466" s="696"/>
      <c r="CK466" s="696"/>
      <c r="CL466" s="696"/>
      <c r="CM466" s="696"/>
      <c r="CN466" s="696"/>
      <c r="CO466" s="696"/>
      <c r="CP466" s="696"/>
      <c r="CQ466" s="696"/>
      <c r="CR466" s="696"/>
      <c r="CS466" s="696"/>
      <c r="CT466" s="696"/>
      <c r="CU466" s="696"/>
      <c r="CV466" s="696"/>
      <c r="CW466" s="696"/>
      <c r="CX466" s="696"/>
      <c r="CY466" s="696"/>
      <c r="CZ466" s="698"/>
      <c r="DA466" s="12">
        <v>0</v>
      </c>
      <c r="DB466" s="12">
        <v>0</v>
      </c>
      <c r="DC466" s="12">
        <v>0</v>
      </c>
      <c r="DD466" s="12">
        <v>0</v>
      </c>
      <c r="DE466" s="12">
        <v>0</v>
      </c>
      <c r="DF466" s="12">
        <v>0</v>
      </c>
      <c r="DG466" s="12">
        <v>0</v>
      </c>
    </row>
    <row r="467" spans="2:111">
      <c r="B467" s="126"/>
      <c r="C467" s="698"/>
      <c r="D467" s="126" t="s">
        <v>799</v>
      </c>
      <c r="E467" s="698"/>
      <c r="F467" s="703"/>
      <c r="G467" s="609" t="s">
        <v>736</v>
      </c>
      <c r="H467" s="609"/>
      <c r="I467" s="609"/>
      <c r="J467" s="609"/>
      <c r="K467" s="609"/>
      <c r="L467" s="126"/>
      <c r="M467" s="696"/>
      <c r="N467" s="696"/>
      <c r="O467" s="696"/>
      <c r="P467" s="696"/>
      <c r="Q467" s="696"/>
      <c r="R467" s="696"/>
      <c r="S467" s="696"/>
      <c r="T467" s="696"/>
      <c r="U467" s="696"/>
      <c r="V467" s="696"/>
      <c r="W467" s="696"/>
      <c r="X467" s="697"/>
      <c r="Y467" s="697"/>
      <c r="Z467" s="697"/>
      <c r="AA467" s="697"/>
      <c r="AB467" s="697"/>
      <c r="AC467" s="697"/>
      <c r="AD467" s="697"/>
      <c r="AE467" s="697"/>
      <c r="AF467" s="697"/>
      <c r="AG467" s="697"/>
      <c r="AH467" s="697"/>
      <c r="AI467" s="697"/>
      <c r="AJ467" s="697"/>
      <c r="AK467" s="697"/>
      <c r="AL467" s="697"/>
      <c r="AM467" s="697"/>
      <c r="AN467" s="696"/>
      <c r="AO467" s="696"/>
      <c r="AP467" s="696"/>
      <c r="AQ467" s="696"/>
      <c r="AR467" s="696"/>
      <c r="AS467" s="696"/>
      <c r="AT467" s="696"/>
      <c r="AU467" s="696"/>
      <c r="AV467" s="696"/>
      <c r="AW467" s="696"/>
      <c r="AX467" s="696"/>
      <c r="AY467" s="696"/>
      <c r="AZ467" s="696"/>
      <c r="BA467" s="696"/>
      <c r="BB467" s="696"/>
      <c r="BC467" s="696"/>
      <c r="BD467" s="696"/>
      <c r="BE467" s="696"/>
      <c r="BF467" s="696"/>
      <c r="BG467" s="696"/>
      <c r="BH467" s="696"/>
      <c r="BI467" s="696"/>
      <c r="BJ467" s="696"/>
      <c r="BK467" s="696"/>
      <c r="BL467" s="696"/>
      <c r="BM467" s="696"/>
      <c r="BN467" s="696"/>
      <c r="BO467" s="696"/>
      <c r="BP467" s="696"/>
      <c r="BQ467" s="696"/>
      <c r="BR467" s="696"/>
      <c r="BS467" s="696"/>
      <c r="BT467" s="696"/>
      <c r="BU467" s="696"/>
      <c r="BV467" s="696"/>
      <c r="BW467" s="696"/>
      <c r="BX467" s="696"/>
      <c r="BY467" s="696"/>
      <c r="BZ467" s="696"/>
      <c r="CA467" s="696"/>
      <c r="CB467" s="696"/>
      <c r="CC467" s="696"/>
      <c r="CD467" s="696"/>
      <c r="CE467" s="696"/>
      <c r="CF467" s="696"/>
      <c r="CG467" s="696"/>
      <c r="CH467" s="696"/>
      <c r="CI467" s="696"/>
      <c r="CJ467" s="696"/>
      <c r="CK467" s="696"/>
      <c r="CL467" s="696"/>
      <c r="CM467" s="696"/>
      <c r="CN467" s="696"/>
      <c r="CO467" s="696"/>
      <c r="CP467" s="696"/>
      <c r="CQ467" s="696"/>
      <c r="CR467" s="696"/>
      <c r="CS467" s="696"/>
      <c r="CT467" s="696"/>
      <c r="CU467" s="696"/>
      <c r="CV467" s="696"/>
      <c r="CW467" s="696"/>
      <c r="CX467" s="696"/>
      <c r="CY467" s="696"/>
      <c r="CZ467" s="698"/>
      <c r="DA467" s="12">
        <v>0</v>
      </c>
      <c r="DB467" s="12">
        <v>0</v>
      </c>
      <c r="DC467" s="12">
        <v>0</v>
      </c>
      <c r="DD467" s="12">
        <v>0</v>
      </c>
      <c r="DE467" s="12">
        <v>0</v>
      </c>
      <c r="DF467" s="12">
        <v>0</v>
      </c>
      <c r="DG467" s="12">
        <v>0</v>
      </c>
    </row>
    <row r="468" spans="2:111">
      <c r="B468" s="126"/>
      <c r="C468" s="126"/>
      <c r="D468" s="126" t="s">
        <v>800</v>
      </c>
      <c r="E468" s="126"/>
      <c r="F468" s="609"/>
      <c r="G468" s="609" t="s">
        <v>736</v>
      </c>
      <c r="H468" s="609"/>
      <c r="I468" s="609"/>
      <c r="J468" s="609"/>
      <c r="K468" s="609"/>
      <c r="L468" s="126"/>
      <c r="M468" s="696"/>
      <c r="N468" s="696"/>
      <c r="O468" s="696"/>
      <c r="P468" s="696"/>
      <c r="Q468" s="696"/>
      <c r="R468" s="696"/>
      <c r="S468" s="696"/>
      <c r="T468" s="696"/>
      <c r="U468" s="696"/>
      <c r="V468" s="696"/>
      <c r="W468" s="696"/>
      <c r="X468" s="697"/>
      <c r="Y468" s="697"/>
      <c r="Z468" s="697"/>
      <c r="AA468" s="697"/>
      <c r="AB468" s="697"/>
      <c r="AC468" s="697"/>
      <c r="AD468" s="697"/>
      <c r="AE468" s="697"/>
      <c r="AF468" s="697"/>
      <c r="AG468" s="697"/>
      <c r="AH468" s="697"/>
      <c r="AI468" s="697"/>
      <c r="AJ468" s="697"/>
      <c r="AK468" s="697"/>
      <c r="AL468" s="697"/>
      <c r="AM468" s="697"/>
      <c r="AN468" s="710"/>
      <c r="AO468" s="710"/>
      <c r="AP468" s="710"/>
      <c r="AQ468" s="710"/>
      <c r="AR468" s="710"/>
      <c r="AS468" s="710"/>
      <c r="AT468" s="710"/>
      <c r="AU468" s="710"/>
      <c r="AV468" s="710"/>
      <c r="AW468" s="710"/>
      <c r="AX468" s="710"/>
      <c r="AY468" s="710"/>
      <c r="AZ468" s="710"/>
      <c r="BA468" s="710"/>
      <c r="BB468" s="710"/>
      <c r="BC468" s="710"/>
      <c r="BD468" s="710"/>
      <c r="BE468" s="710"/>
      <c r="BF468" s="710"/>
      <c r="BG468" s="710"/>
      <c r="BH468" s="710"/>
      <c r="BI468" s="710"/>
      <c r="BJ468" s="710"/>
      <c r="BK468" s="710"/>
      <c r="BL468" s="710"/>
      <c r="BM468" s="710"/>
      <c r="BN468" s="710"/>
      <c r="BO468" s="710"/>
      <c r="BP468" s="710"/>
      <c r="BQ468" s="710"/>
      <c r="BR468" s="710"/>
      <c r="BS468" s="710"/>
      <c r="BT468" s="710"/>
      <c r="BU468" s="710"/>
      <c r="BV468" s="710"/>
      <c r="BW468" s="710"/>
      <c r="BX468" s="710"/>
      <c r="BY468" s="710"/>
      <c r="BZ468" s="710"/>
      <c r="CA468" s="710"/>
      <c r="CB468" s="710"/>
      <c r="CC468" s="710"/>
      <c r="CD468" s="710"/>
      <c r="CE468" s="710"/>
      <c r="CF468" s="710"/>
      <c r="CG468" s="710"/>
      <c r="CH468" s="710"/>
      <c r="CI468" s="710"/>
      <c r="CJ468" s="710"/>
      <c r="CK468" s="710"/>
      <c r="CL468" s="710"/>
      <c r="CM468" s="710"/>
      <c r="CN468" s="710"/>
      <c r="CO468" s="710"/>
      <c r="CP468" s="710"/>
      <c r="CQ468" s="710"/>
      <c r="CR468" s="710"/>
      <c r="CS468" s="710"/>
      <c r="CT468" s="710"/>
      <c r="CU468" s="710"/>
      <c r="CV468" s="710"/>
      <c r="CW468" s="710"/>
      <c r="CX468" s="710"/>
      <c r="CY468" s="710"/>
      <c r="CZ468" s="126"/>
      <c r="DA468" s="12">
        <v>0</v>
      </c>
      <c r="DB468" s="12">
        <v>0</v>
      </c>
      <c r="DC468" s="12">
        <v>0</v>
      </c>
      <c r="DD468" s="12">
        <v>0</v>
      </c>
      <c r="DE468" s="12">
        <v>0</v>
      </c>
      <c r="DF468" s="12">
        <v>0</v>
      </c>
      <c r="DG468" s="12">
        <v>0</v>
      </c>
    </row>
    <row r="469" spans="2:111">
      <c r="B469" s="126"/>
      <c r="C469" s="126"/>
      <c r="D469" s="126" t="s">
        <v>223</v>
      </c>
      <c r="E469" s="126"/>
      <c r="F469" s="609"/>
      <c r="G469" s="609" t="s">
        <v>736</v>
      </c>
      <c r="H469" s="609"/>
      <c r="I469" s="609"/>
      <c r="J469" s="609"/>
      <c r="K469" s="609"/>
      <c r="L469" s="126"/>
      <c r="M469" s="696"/>
      <c r="N469" s="696"/>
      <c r="O469" s="696"/>
      <c r="P469" s="696"/>
      <c r="Q469" s="696"/>
      <c r="R469" s="696"/>
      <c r="S469" s="696"/>
      <c r="T469" s="696"/>
      <c r="U469" s="696"/>
      <c r="V469" s="696"/>
      <c r="W469" s="696"/>
      <c r="X469" s="697"/>
      <c r="Y469" s="697"/>
      <c r="Z469" s="697"/>
      <c r="AA469" s="697"/>
      <c r="AB469" s="697"/>
      <c r="AC469" s="697"/>
      <c r="AD469" s="697"/>
      <c r="AE469" s="697"/>
      <c r="AF469" s="697"/>
      <c r="AG469" s="697"/>
      <c r="AH469" s="697"/>
      <c r="AI469" s="697"/>
      <c r="AJ469" s="697"/>
      <c r="AK469" s="697"/>
      <c r="AL469" s="697"/>
      <c r="AM469" s="697"/>
      <c r="AN469" s="710"/>
      <c r="AO469" s="710"/>
      <c r="AP469" s="710">
        <v>1.8000000000000002E-2</v>
      </c>
      <c r="AQ469" s="710">
        <v>4.8000000000000001E-2</v>
      </c>
      <c r="AR469" s="710">
        <v>6.9343749999999982E-2</v>
      </c>
      <c r="AS469" s="710">
        <v>9.778125E-2</v>
      </c>
      <c r="AT469" s="710">
        <v>0.1273125</v>
      </c>
      <c r="AU469" s="710">
        <v>0.15793749999999998</v>
      </c>
      <c r="AV469" s="710">
        <v>0.18965624999999997</v>
      </c>
      <c r="AW469" s="710">
        <v>0.22246874999999997</v>
      </c>
      <c r="AX469" s="710">
        <v>0.25637500000000002</v>
      </c>
      <c r="AY469" s="710">
        <v>0.29137499999999994</v>
      </c>
      <c r="AZ469" s="710">
        <v>0.32746874999999992</v>
      </c>
      <c r="BA469" s="710">
        <v>0.36465625000000002</v>
      </c>
      <c r="BB469" s="710">
        <v>0.40293749999999989</v>
      </c>
      <c r="BC469" s="710">
        <v>0.44231249999999989</v>
      </c>
      <c r="BD469" s="710">
        <v>0.68843749999999992</v>
      </c>
      <c r="BE469" s="710">
        <v>0.74531249999999993</v>
      </c>
      <c r="BF469" s="710">
        <v>0.80249999999999988</v>
      </c>
      <c r="BG469" s="710">
        <v>0.85999999999999988</v>
      </c>
      <c r="BH469" s="710">
        <v>0.91781249999999992</v>
      </c>
      <c r="BI469" s="710">
        <v>0.97593750000000001</v>
      </c>
      <c r="BJ469" s="710">
        <v>1.034375</v>
      </c>
      <c r="BK469" s="710">
        <v>1.0931249999999999</v>
      </c>
      <c r="BL469" s="710">
        <v>1.1521874999999999</v>
      </c>
      <c r="BM469" s="710">
        <v>1.2115625000000001</v>
      </c>
      <c r="BN469" s="710">
        <v>1.27125</v>
      </c>
      <c r="BO469" s="710">
        <v>1.33125</v>
      </c>
      <c r="BP469" s="710">
        <v>1.3912500000000001</v>
      </c>
      <c r="BQ469" s="710">
        <v>1.4512499999999999</v>
      </c>
      <c r="BR469" s="710">
        <v>1.51125</v>
      </c>
      <c r="BS469" s="710">
        <v>1.57125</v>
      </c>
      <c r="BT469" s="710">
        <v>1.6312500000000001</v>
      </c>
      <c r="BU469" s="710">
        <v>1.6912499999999999</v>
      </c>
      <c r="BV469" s="710">
        <v>1.75125</v>
      </c>
      <c r="BW469" s="710">
        <v>1.81125</v>
      </c>
      <c r="BX469" s="710">
        <v>1.8712500000000001</v>
      </c>
      <c r="BY469" s="710">
        <v>1.9312499999999999</v>
      </c>
      <c r="BZ469" s="710">
        <v>1.99125</v>
      </c>
      <c r="CA469" s="710">
        <v>2.05125</v>
      </c>
      <c r="CB469" s="710">
        <v>2.1112500000000001</v>
      </c>
      <c r="CC469" s="710">
        <v>2.1712500000000001</v>
      </c>
      <c r="CD469" s="710">
        <v>2.2312500000000002</v>
      </c>
      <c r="CE469" s="710">
        <v>2.2912499999999998</v>
      </c>
      <c r="CF469" s="710">
        <v>2.3512499999999998</v>
      </c>
      <c r="CG469" s="710">
        <v>2.4112499999999999</v>
      </c>
      <c r="CH469" s="710">
        <v>2.4712499999999999</v>
      </c>
      <c r="CI469" s="710">
        <v>2.53125</v>
      </c>
      <c r="CJ469" s="710">
        <v>2.5912500000000001</v>
      </c>
      <c r="CK469" s="710">
        <v>2.6512500000000001</v>
      </c>
      <c r="CL469" s="710">
        <v>2.7112500000000002</v>
      </c>
      <c r="CM469" s="710">
        <v>2.7712500000000002</v>
      </c>
      <c r="CN469" s="710">
        <v>2.8312499999999998</v>
      </c>
      <c r="CO469" s="710">
        <v>2.8912499999999999</v>
      </c>
      <c r="CP469" s="710">
        <v>2.9512499999999999</v>
      </c>
      <c r="CQ469" s="710">
        <v>3.01125</v>
      </c>
      <c r="CR469" s="710">
        <v>3.07125</v>
      </c>
      <c r="CS469" s="710">
        <v>3.1312500000000001</v>
      </c>
      <c r="CT469" s="710">
        <v>3.1912500000000001</v>
      </c>
      <c r="CU469" s="710">
        <v>3.2512500000000002</v>
      </c>
      <c r="CV469" s="710">
        <v>3.3112499999999998</v>
      </c>
      <c r="CW469" s="710">
        <v>3.3712499999999999</v>
      </c>
      <c r="CX469" s="710">
        <v>3.4312499999999999</v>
      </c>
      <c r="CY469" s="710">
        <v>3.49125</v>
      </c>
      <c r="CZ469" s="126"/>
      <c r="DA469" s="12">
        <v>0</v>
      </c>
      <c r="DB469" s="12">
        <v>6.6000000000000003E-2</v>
      </c>
      <c r="DC469" s="12">
        <v>2.9496249999999993</v>
      </c>
      <c r="DD469" s="12">
        <v>12.083749999999998</v>
      </c>
      <c r="DE469" s="12">
        <v>20.655000000000001</v>
      </c>
      <c r="DF469" s="12">
        <v>29.295000000000002</v>
      </c>
      <c r="DG469" s="12">
        <v>37.935000000000002</v>
      </c>
    </row>
    <row r="470" spans="2:111">
      <c r="B470" s="126"/>
      <c r="C470" s="126"/>
      <c r="D470" s="126" t="s">
        <v>221</v>
      </c>
      <c r="E470" s="126"/>
      <c r="F470" s="609"/>
      <c r="G470" s="609" t="s">
        <v>736</v>
      </c>
      <c r="H470" s="609"/>
      <c r="I470" s="609"/>
      <c r="J470" s="609"/>
      <c r="K470" s="609"/>
      <c r="L470" s="126"/>
      <c r="M470" s="696"/>
      <c r="N470" s="696"/>
      <c r="O470" s="696"/>
      <c r="P470" s="696"/>
      <c r="Q470" s="696"/>
      <c r="R470" s="696"/>
      <c r="S470" s="696"/>
      <c r="T470" s="696"/>
      <c r="U470" s="696"/>
      <c r="V470" s="696"/>
      <c r="W470" s="696"/>
      <c r="X470" s="697"/>
      <c r="Y470" s="697"/>
      <c r="Z470" s="697"/>
      <c r="AA470" s="697"/>
      <c r="AB470" s="697"/>
      <c r="AC470" s="697"/>
      <c r="AD470" s="697"/>
      <c r="AE470" s="697"/>
      <c r="AF470" s="697"/>
      <c r="AG470" s="697"/>
      <c r="AH470" s="697"/>
      <c r="AI470" s="697"/>
      <c r="AJ470" s="697"/>
      <c r="AK470" s="697"/>
      <c r="AL470" s="697"/>
      <c r="AM470" s="697"/>
      <c r="AN470" s="710"/>
      <c r="AO470" s="710"/>
      <c r="AP470" s="710">
        <v>0</v>
      </c>
      <c r="AQ470" s="710">
        <v>0</v>
      </c>
      <c r="AR470" s="710">
        <v>0</v>
      </c>
      <c r="AS470" s="710">
        <v>0</v>
      </c>
      <c r="AT470" s="710">
        <v>0</v>
      </c>
      <c r="AU470" s="710">
        <v>0</v>
      </c>
      <c r="AV470" s="710">
        <v>0</v>
      </c>
      <c r="AW470" s="710">
        <v>0</v>
      </c>
      <c r="AX470" s="710">
        <v>0</v>
      </c>
      <c r="AY470" s="710">
        <v>0</v>
      </c>
      <c r="AZ470" s="710">
        <v>0</v>
      </c>
      <c r="BA470" s="710">
        <v>0</v>
      </c>
      <c r="BB470" s="710">
        <v>0</v>
      </c>
      <c r="BC470" s="710">
        <v>0</v>
      </c>
      <c r="BD470" s="710">
        <v>0</v>
      </c>
      <c r="BE470" s="710">
        <v>0</v>
      </c>
      <c r="BF470" s="710">
        <v>0</v>
      </c>
      <c r="BG470" s="710">
        <v>0</v>
      </c>
      <c r="BH470" s="710">
        <v>0</v>
      </c>
      <c r="BI470" s="710">
        <v>0</v>
      </c>
      <c r="BJ470" s="710">
        <v>0</v>
      </c>
      <c r="BK470" s="710">
        <v>0</v>
      </c>
      <c r="BL470" s="710">
        <v>0</v>
      </c>
      <c r="BM470" s="710">
        <v>0</v>
      </c>
      <c r="BN470" s="710">
        <v>0</v>
      </c>
      <c r="BO470" s="710">
        <v>0</v>
      </c>
      <c r="BP470" s="710">
        <v>0</v>
      </c>
      <c r="BQ470" s="710">
        <v>0</v>
      </c>
      <c r="BR470" s="710">
        <v>0</v>
      </c>
      <c r="BS470" s="710">
        <v>0</v>
      </c>
      <c r="BT470" s="710">
        <v>0</v>
      </c>
      <c r="BU470" s="710">
        <v>0</v>
      </c>
      <c r="BV470" s="710">
        <v>0</v>
      </c>
      <c r="BW470" s="710">
        <v>0</v>
      </c>
      <c r="BX470" s="710">
        <v>0</v>
      </c>
      <c r="BY470" s="710">
        <v>0</v>
      </c>
      <c r="BZ470" s="710">
        <v>0</v>
      </c>
      <c r="CA470" s="710">
        <v>0</v>
      </c>
      <c r="CB470" s="710">
        <v>0</v>
      </c>
      <c r="CC470" s="710">
        <v>0</v>
      </c>
      <c r="CD470" s="710">
        <v>0</v>
      </c>
      <c r="CE470" s="710">
        <v>0</v>
      </c>
      <c r="CF470" s="710">
        <v>0</v>
      </c>
      <c r="CG470" s="710">
        <v>0</v>
      </c>
      <c r="CH470" s="710">
        <v>0</v>
      </c>
      <c r="CI470" s="710">
        <v>0</v>
      </c>
      <c r="CJ470" s="710">
        <v>0</v>
      </c>
      <c r="CK470" s="710">
        <v>0</v>
      </c>
      <c r="CL470" s="710">
        <v>0</v>
      </c>
      <c r="CM470" s="710">
        <v>0</v>
      </c>
      <c r="CN470" s="710">
        <v>0</v>
      </c>
      <c r="CO470" s="710">
        <v>0</v>
      </c>
      <c r="CP470" s="710">
        <v>0</v>
      </c>
      <c r="CQ470" s="710">
        <v>0</v>
      </c>
      <c r="CR470" s="710">
        <v>0</v>
      </c>
      <c r="CS470" s="710">
        <v>0</v>
      </c>
      <c r="CT470" s="710">
        <v>0</v>
      </c>
      <c r="CU470" s="710">
        <v>0</v>
      </c>
      <c r="CV470" s="710">
        <v>0</v>
      </c>
      <c r="CW470" s="710">
        <v>0</v>
      </c>
      <c r="CX470" s="710">
        <v>0</v>
      </c>
      <c r="CY470" s="710">
        <v>0</v>
      </c>
      <c r="CZ470" s="126"/>
      <c r="DA470" s="12">
        <v>0</v>
      </c>
      <c r="DB470" s="12">
        <v>0</v>
      </c>
      <c r="DC470" s="12">
        <v>0</v>
      </c>
      <c r="DD470" s="12">
        <v>0</v>
      </c>
      <c r="DE470" s="12">
        <v>0</v>
      </c>
      <c r="DF470" s="12">
        <v>0</v>
      </c>
      <c r="DG470" s="12">
        <v>0</v>
      </c>
    </row>
    <row r="471" spans="2:111">
      <c r="B471" s="126"/>
      <c r="C471" s="126"/>
      <c r="D471" s="126" t="s">
        <v>801</v>
      </c>
      <c r="E471" s="126"/>
      <c r="F471" s="609"/>
      <c r="G471" s="609" t="s">
        <v>736</v>
      </c>
      <c r="H471" s="609"/>
      <c r="I471" s="609"/>
      <c r="J471" s="609"/>
      <c r="K471" s="609"/>
      <c r="L471" s="126"/>
      <c r="M471" s="696"/>
      <c r="N471" s="696"/>
      <c r="O471" s="696"/>
      <c r="P471" s="696"/>
      <c r="Q471" s="696"/>
      <c r="R471" s="696"/>
      <c r="S471" s="696"/>
      <c r="T471" s="696"/>
      <c r="U471" s="696"/>
      <c r="V471" s="696"/>
      <c r="W471" s="696"/>
      <c r="X471" s="697"/>
      <c r="Y471" s="697"/>
      <c r="Z471" s="697"/>
      <c r="AA471" s="697"/>
      <c r="AB471" s="697"/>
      <c r="AC471" s="697"/>
      <c r="AD471" s="697"/>
      <c r="AE471" s="697"/>
      <c r="AF471" s="697"/>
      <c r="AG471" s="697"/>
      <c r="AH471" s="697"/>
      <c r="AI471" s="697"/>
      <c r="AJ471" s="697"/>
      <c r="AK471" s="697"/>
      <c r="AL471" s="697"/>
      <c r="AM471" s="697"/>
      <c r="AN471" s="710"/>
      <c r="AO471" s="710"/>
      <c r="AP471" s="710">
        <v>0</v>
      </c>
      <c r="AQ471" s="710">
        <v>0</v>
      </c>
      <c r="AR471" s="710">
        <v>0</v>
      </c>
      <c r="AS471" s="710">
        <v>0</v>
      </c>
      <c r="AT471" s="710">
        <v>0</v>
      </c>
      <c r="AU471" s="710">
        <v>0</v>
      </c>
      <c r="AV471" s="710">
        <v>0</v>
      </c>
      <c r="AW471" s="710">
        <v>0</v>
      </c>
      <c r="AX471" s="710">
        <v>0</v>
      </c>
      <c r="AY471" s="710">
        <v>0</v>
      </c>
      <c r="AZ471" s="710">
        <v>0</v>
      </c>
      <c r="BA471" s="710">
        <v>0</v>
      </c>
      <c r="BB471" s="710">
        <v>0</v>
      </c>
      <c r="BC471" s="710">
        <v>0</v>
      </c>
      <c r="BD471" s="710">
        <v>0</v>
      </c>
      <c r="BE471" s="710">
        <v>0</v>
      </c>
      <c r="BF471" s="710">
        <v>0</v>
      </c>
      <c r="BG471" s="710">
        <v>0</v>
      </c>
      <c r="BH471" s="710">
        <v>0</v>
      </c>
      <c r="BI471" s="710">
        <v>0</v>
      </c>
      <c r="BJ471" s="710">
        <v>0</v>
      </c>
      <c r="BK471" s="710">
        <v>0</v>
      </c>
      <c r="BL471" s="710">
        <v>0</v>
      </c>
      <c r="BM471" s="710">
        <v>0</v>
      </c>
      <c r="BN471" s="710">
        <v>0</v>
      </c>
      <c r="BO471" s="710">
        <v>0</v>
      </c>
      <c r="BP471" s="710">
        <v>0</v>
      </c>
      <c r="BQ471" s="710">
        <v>0</v>
      </c>
      <c r="BR471" s="710">
        <v>0</v>
      </c>
      <c r="BS471" s="710">
        <v>0</v>
      </c>
      <c r="BT471" s="710">
        <v>0</v>
      </c>
      <c r="BU471" s="710">
        <v>0</v>
      </c>
      <c r="BV471" s="710">
        <v>0</v>
      </c>
      <c r="BW471" s="710">
        <v>0</v>
      </c>
      <c r="BX471" s="710">
        <v>0</v>
      </c>
      <c r="BY471" s="710">
        <v>0</v>
      </c>
      <c r="BZ471" s="710">
        <v>0</v>
      </c>
      <c r="CA471" s="710">
        <v>0</v>
      </c>
      <c r="CB471" s="710">
        <v>0</v>
      </c>
      <c r="CC471" s="710">
        <v>0</v>
      </c>
      <c r="CD471" s="710">
        <v>0</v>
      </c>
      <c r="CE471" s="710">
        <v>0</v>
      </c>
      <c r="CF471" s="710">
        <v>0</v>
      </c>
      <c r="CG471" s="710">
        <v>0</v>
      </c>
      <c r="CH471" s="710">
        <v>0</v>
      </c>
      <c r="CI471" s="710">
        <v>0</v>
      </c>
      <c r="CJ471" s="710">
        <v>0</v>
      </c>
      <c r="CK471" s="710">
        <v>0</v>
      </c>
      <c r="CL471" s="710">
        <v>0</v>
      </c>
      <c r="CM471" s="710">
        <v>0</v>
      </c>
      <c r="CN471" s="710">
        <v>0</v>
      </c>
      <c r="CO471" s="710">
        <v>0</v>
      </c>
      <c r="CP471" s="710">
        <v>0</v>
      </c>
      <c r="CQ471" s="710">
        <v>0</v>
      </c>
      <c r="CR471" s="710">
        <v>0</v>
      </c>
      <c r="CS471" s="710">
        <v>0</v>
      </c>
      <c r="CT471" s="710">
        <v>0</v>
      </c>
      <c r="CU471" s="710">
        <v>0</v>
      </c>
      <c r="CV471" s="710">
        <v>0</v>
      </c>
      <c r="CW471" s="710">
        <v>0</v>
      </c>
      <c r="CX471" s="710">
        <v>0</v>
      </c>
      <c r="CY471" s="710">
        <v>0</v>
      </c>
      <c r="CZ471" s="126"/>
      <c r="DA471" s="12">
        <v>0</v>
      </c>
      <c r="DB471" s="12">
        <v>0</v>
      </c>
      <c r="DC471" s="12">
        <v>0</v>
      </c>
      <c r="DD471" s="12">
        <v>0</v>
      </c>
      <c r="DE471" s="12">
        <v>0</v>
      </c>
      <c r="DF471" s="12">
        <v>0</v>
      </c>
      <c r="DG471" s="12">
        <v>0</v>
      </c>
    </row>
    <row r="472" spans="2:111">
      <c r="B472" s="126"/>
      <c r="C472" s="126"/>
      <c r="D472" s="126" t="s">
        <v>802</v>
      </c>
      <c r="E472" s="126"/>
      <c r="F472" s="609"/>
      <c r="G472" s="609" t="s">
        <v>736</v>
      </c>
      <c r="H472" s="609"/>
      <c r="I472" s="609"/>
      <c r="J472" s="609"/>
      <c r="K472" s="609"/>
      <c r="L472" s="126"/>
      <c r="M472" s="696"/>
      <c r="N472" s="696"/>
      <c r="O472" s="696"/>
      <c r="P472" s="696"/>
      <c r="Q472" s="696"/>
      <c r="R472" s="696"/>
      <c r="S472" s="696"/>
      <c r="T472" s="696"/>
      <c r="U472" s="696"/>
      <c r="V472" s="696"/>
      <c r="W472" s="696"/>
      <c r="X472" s="697"/>
      <c r="Y472" s="697"/>
      <c r="Z472" s="697"/>
      <c r="AA472" s="697"/>
      <c r="AB472" s="697"/>
      <c r="AC472" s="697"/>
      <c r="AD472" s="697"/>
      <c r="AE472" s="697"/>
      <c r="AF472" s="697"/>
      <c r="AG472" s="697"/>
      <c r="AH472" s="697"/>
      <c r="AI472" s="697"/>
      <c r="AJ472" s="697"/>
      <c r="AK472" s="697"/>
      <c r="AL472" s="697"/>
      <c r="AM472" s="697"/>
      <c r="AN472" s="710"/>
      <c r="AO472" s="710"/>
      <c r="AP472" s="710"/>
      <c r="AQ472" s="710"/>
      <c r="AR472" s="710"/>
      <c r="AS472" s="710"/>
      <c r="AT472" s="710"/>
      <c r="AU472" s="710"/>
      <c r="AV472" s="710"/>
      <c r="AW472" s="710"/>
      <c r="AX472" s="710"/>
      <c r="AY472" s="710"/>
      <c r="AZ472" s="710"/>
      <c r="BA472" s="710"/>
      <c r="BB472" s="710"/>
      <c r="BC472" s="710"/>
      <c r="BD472" s="710"/>
      <c r="BE472" s="710"/>
      <c r="BF472" s="710"/>
      <c r="BG472" s="710"/>
      <c r="BH472" s="710"/>
      <c r="BI472" s="710"/>
      <c r="BJ472" s="710"/>
      <c r="BK472" s="710"/>
      <c r="BL472" s="710"/>
      <c r="BM472" s="710"/>
      <c r="BN472" s="710"/>
      <c r="BO472" s="710"/>
      <c r="BP472" s="710"/>
      <c r="BQ472" s="710"/>
      <c r="BR472" s="710"/>
      <c r="BS472" s="710"/>
      <c r="BT472" s="710"/>
      <c r="BU472" s="710"/>
      <c r="BV472" s="710"/>
      <c r="BW472" s="710"/>
      <c r="BX472" s="710"/>
      <c r="BY472" s="710"/>
      <c r="BZ472" s="710"/>
      <c r="CA472" s="710"/>
      <c r="CB472" s="710"/>
      <c r="CC472" s="710"/>
      <c r="CD472" s="710"/>
      <c r="CE472" s="710"/>
      <c r="CF472" s="710"/>
      <c r="CG472" s="710"/>
      <c r="CH472" s="710"/>
      <c r="CI472" s="710"/>
      <c r="CJ472" s="710"/>
      <c r="CK472" s="710"/>
      <c r="CL472" s="710"/>
      <c r="CM472" s="710"/>
      <c r="CN472" s="710"/>
      <c r="CO472" s="710"/>
      <c r="CP472" s="710"/>
      <c r="CQ472" s="710"/>
      <c r="CR472" s="710"/>
      <c r="CS472" s="710"/>
      <c r="CT472" s="710"/>
      <c r="CU472" s="710"/>
      <c r="CV472" s="710"/>
      <c r="CW472" s="710"/>
      <c r="CX472" s="710"/>
      <c r="CY472" s="710"/>
      <c r="CZ472" s="126"/>
      <c r="DA472" s="12">
        <v>0</v>
      </c>
      <c r="DB472" s="12">
        <v>0</v>
      </c>
      <c r="DC472" s="12">
        <v>0</v>
      </c>
      <c r="DD472" s="12">
        <v>0</v>
      </c>
      <c r="DE472" s="12">
        <v>0</v>
      </c>
      <c r="DF472" s="12">
        <v>0</v>
      </c>
      <c r="DG472" s="12">
        <v>0</v>
      </c>
    </row>
    <row r="473" spans="2:111">
      <c r="B473" s="126"/>
      <c r="C473" s="126"/>
      <c r="D473" s="126" t="s">
        <v>222</v>
      </c>
      <c r="E473" s="126"/>
      <c r="F473" s="609"/>
      <c r="G473" s="609" t="s">
        <v>736</v>
      </c>
      <c r="H473" s="609"/>
      <c r="I473" s="609"/>
      <c r="J473" s="609"/>
      <c r="K473" s="609"/>
      <c r="L473" s="126"/>
      <c r="M473" s="696"/>
      <c r="N473" s="696"/>
      <c r="O473" s="696"/>
      <c r="P473" s="696"/>
      <c r="Q473" s="696"/>
      <c r="R473" s="696"/>
      <c r="S473" s="696"/>
      <c r="T473" s="696"/>
      <c r="U473" s="696"/>
      <c r="V473" s="696"/>
      <c r="W473" s="696"/>
      <c r="X473" s="697"/>
      <c r="Y473" s="697"/>
      <c r="Z473" s="697"/>
      <c r="AA473" s="697"/>
      <c r="AB473" s="697"/>
      <c r="AC473" s="697"/>
      <c r="AD473" s="697"/>
      <c r="AE473" s="697"/>
      <c r="AF473" s="697"/>
      <c r="AG473" s="697"/>
      <c r="AH473" s="697"/>
      <c r="AI473" s="697"/>
      <c r="AJ473" s="697"/>
      <c r="AK473" s="697"/>
      <c r="AL473" s="697"/>
      <c r="AM473" s="697"/>
      <c r="AN473" s="710"/>
      <c r="AO473" s="710"/>
      <c r="AP473" s="710">
        <v>4.0425000000000001E-3</v>
      </c>
      <c r="AQ473" s="710">
        <v>1.0897000000000002E-2</v>
      </c>
      <c r="AR473" s="710">
        <v>1.8130602604166667E-2</v>
      </c>
      <c r="AS473" s="710">
        <v>2.5761297578125005E-2</v>
      </c>
      <c r="AT473" s="710">
        <v>3.3745354292968752E-2</v>
      </c>
      <c r="AU473" s="710">
        <v>4.2058720902799475E-2</v>
      </c>
      <c r="AV473" s="710">
        <v>5.0688168892373049E-2</v>
      </c>
      <c r="AW473" s="710">
        <v>5.9591410328305179E-2</v>
      </c>
      <c r="AX473" s="710">
        <v>6.8777031322234505E-2</v>
      </c>
      <c r="AY473" s="710">
        <v>7.8240895309002648E-2</v>
      </c>
      <c r="AZ473" s="710">
        <v>8.7990063442031724E-2</v>
      </c>
      <c r="BA473" s="710">
        <v>9.8032656224184667E-2</v>
      </c>
      <c r="BB473" s="710">
        <v>0.10839036656412411</v>
      </c>
      <c r="BC473" s="710">
        <v>0.11904774301107915</v>
      </c>
      <c r="BD473" s="710">
        <v>0.13314395701043974</v>
      </c>
      <c r="BE473" s="710">
        <v>0.14608289288795448</v>
      </c>
      <c r="BF473" s="710">
        <v>0.15841713084125761</v>
      </c>
      <c r="BG473" s="710">
        <v>0.17047087969399008</v>
      </c>
      <c r="BH473" s="710">
        <v>0.18239439660786</v>
      </c>
      <c r="BI473" s="710">
        <v>0.19428905804598073</v>
      </c>
      <c r="BJ473" s="710">
        <v>0.20622344584858021</v>
      </c>
      <c r="BK473" s="710">
        <v>0.21801595046119268</v>
      </c>
      <c r="BL473" s="710">
        <v>0.22980832285605426</v>
      </c>
      <c r="BM473" s="710">
        <v>0.24172877421708852</v>
      </c>
      <c r="BN473" s="710">
        <v>0.25369169056257407</v>
      </c>
      <c r="BO473" s="710">
        <v>0.26580248662467482</v>
      </c>
      <c r="BP473" s="710">
        <v>0.27788476886875285</v>
      </c>
      <c r="BQ473" s="710">
        <v>0.28995400459403592</v>
      </c>
      <c r="BR473" s="710">
        <v>0.3020239450437775</v>
      </c>
      <c r="BS473" s="710">
        <v>0.31409245143355602</v>
      </c>
      <c r="BT473" s="710">
        <v>0.3261561660307537</v>
      </c>
      <c r="BU473" s="710">
        <v>0.33821859275864496</v>
      </c>
      <c r="BV473" s="710">
        <v>0.35027705151682664</v>
      </c>
      <c r="BW473" s="710">
        <v>0.36233635835660732</v>
      </c>
      <c r="BX473" s="710">
        <v>0.37439630872569785</v>
      </c>
      <c r="BY473" s="710">
        <v>0.38645649005083599</v>
      </c>
      <c r="BZ473" s="710">
        <v>0.39851696492663069</v>
      </c>
      <c r="CA473" s="710">
        <v>0.41057780801034705</v>
      </c>
      <c r="CB473" s="710">
        <v>0.42280515760221693</v>
      </c>
      <c r="CC473" s="710">
        <v>0.43495797079370085</v>
      </c>
      <c r="CD473" s="710">
        <v>0.44707084083652537</v>
      </c>
      <c r="CE473" s="710">
        <v>0.45916204635336472</v>
      </c>
      <c r="CF473" s="710">
        <v>0.47124149383468061</v>
      </c>
      <c r="CG473" s="710">
        <v>0.48331441232737776</v>
      </c>
      <c r="CH473" s="710">
        <v>0.49558951449680483</v>
      </c>
      <c r="CI473" s="710">
        <v>0.50776683572944903</v>
      </c>
      <c r="CJ473" s="710">
        <v>0.51989672584075031</v>
      </c>
      <c r="CK473" s="710">
        <v>0.53200161784851097</v>
      </c>
      <c r="CL473" s="710">
        <v>0.54409331991397791</v>
      </c>
      <c r="CM473" s="710">
        <v>0.55617789634478643</v>
      </c>
      <c r="CN473" s="710">
        <v>0.56825858471701052</v>
      </c>
      <c r="CO473" s="710">
        <v>0.58033278855602721</v>
      </c>
      <c r="CP473" s="710">
        <v>0.59240981962075145</v>
      </c>
      <c r="CQ473" s="710">
        <v>0.60448914194894054</v>
      </c>
      <c r="CR473" s="710">
        <v>0.61657013133367922</v>
      </c>
      <c r="CS473" s="710">
        <v>0.62865221930604553</v>
      </c>
      <c r="CT473" s="710">
        <v>0.64073498319142286</v>
      </c>
      <c r="CU473" s="710">
        <v>0.65281812584337184</v>
      </c>
      <c r="CV473" s="710">
        <v>0.66490153996386625</v>
      </c>
      <c r="CW473" s="710">
        <v>0.67698487853764922</v>
      </c>
      <c r="CX473" s="710">
        <v>0.68906810328044954</v>
      </c>
      <c r="CY473" s="710">
        <v>0.70306401930424733</v>
      </c>
      <c r="CZ473" s="126"/>
      <c r="DA473" s="12">
        <v>0</v>
      </c>
      <c r="DB473" s="12">
        <v>1.4939500000000001E-2</v>
      </c>
      <c r="DC473" s="12">
        <v>0.79045431047139492</v>
      </c>
      <c r="DD473" s="12">
        <v>2.4000689856576471</v>
      </c>
      <c r="DE473" s="12">
        <v>4.1308909103164666</v>
      </c>
      <c r="DF473" s="12">
        <v>5.8740778319221469</v>
      </c>
      <c r="DG473" s="12">
        <v>7.6182843356034615</v>
      </c>
    </row>
    <row r="474" spans="2:111">
      <c r="B474" s="126"/>
      <c r="C474" s="126"/>
      <c r="D474" s="126" t="s">
        <v>803</v>
      </c>
      <c r="E474" s="126"/>
      <c r="F474" s="609"/>
      <c r="G474" s="609" t="s">
        <v>736</v>
      </c>
      <c r="H474" s="609"/>
      <c r="I474" s="609"/>
      <c r="J474" s="609"/>
      <c r="K474" s="609"/>
      <c r="L474" s="126"/>
      <c r="M474" s="696"/>
      <c r="N474" s="696"/>
      <c r="O474" s="696"/>
      <c r="P474" s="696"/>
      <c r="Q474" s="696"/>
      <c r="R474" s="696"/>
      <c r="S474" s="696"/>
      <c r="T474" s="696"/>
      <c r="U474" s="696"/>
      <c r="V474" s="696"/>
      <c r="W474" s="696"/>
      <c r="X474" s="697"/>
      <c r="Y474" s="697"/>
      <c r="Z474" s="697"/>
      <c r="AA474" s="697"/>
      <c r="AB474" s="697"/>
      <c r="AC474" s="697"/>
      <c r="AD474" s="697"/>
      <c r="AE474" s="697"/>
      <c r="AF474" s="697"/>
      <c r="AG474" s="697"/>
      <c r="AH474" s="697"/>
      <c r="AI474" s="697"/>
      <c r="AJ474" s="697"/>
      <c r="AK474" s="697"/>
      <c r="AL474" s="697"/>
      <c r="AM474" s="697"/>
      <c r="AN474" s="710"/>
      <c r="AO474" s="710"/>
      <c r="AP474" s="710">
        <v>0</v>
      </c>
      <c r="AQ474" s="710">
        <v>0</v>
      </c>
      <c r="AR474" s="710">
        <v>0</v>
      </c>
      <c r="AS474" s="710">
        <v>0</v>
      </c>
      <c r="AT474" s="710">
        <v>0</v>
      </c>
      <c r="AU474" s="710">
        <v>0</v>
      </c>
      <c r="AV474" s="710">
        <v>0</v>
      </c>
      <c r="AW474" s="710">
        <v>0</v>
      </c>
      <c r="AX474" s="710">
        <v>0</v>
      </c>
      <c r="AY474" s="710">
        <v>0</v>
      </c>
      <c r="AZ474" s="710">
        <v>0</v>
      </c>
      <c r="BA474" s="710">
        <v>0</v>
      </c>
      <c r="BB474" s="710">
        <v>0</v>
      </c>
      <c r="BC474" s="710">
        <v>0</v>
      </c>
      <c r="BD474" s="710">
        <v>0</v>
      </c>
      <c r="BE474" s="710">
        <v>0</v>
      </c>
      <c r="BF474" s="710">
        <v>0</v>
      </c>
      <c r="BG474" s="710">
        <v>0</v>
      </c>
      <c r="BH474" s="710">
        <v>0</v>
      </c>
      <c r="BI474" s="710">
        <v>0</v>
      </c>
      <c r="BJ474" s="710">
        <v>0</v>
      </c>
      <c r="BK474" s="710">
        <v>0</v>
      </c>
      <c r="BL474" s="710">
        <v>0</v>
      </c>
      <c r="BM474" s="710">
        <v>0</v>
      </c>
      <c r="BN474" s="710">
        <v>0</v>
      </c>
      <c r="BO474" s="710">
        <v>0</v>
      </c>
      <c r="BP474" s="710">
        <v>0</v>
      </c>
      <c r="BQ474" s="710">
        <v>0</v>
      </c>
      <c r="BR474" s="710">
        <v>0</v>
      </c>
      <c r="BS474" s="710">
        <v>0</v>
      </c>
      <c r="BT474" s="710">
        <v>0</v>
      </c>
      <c r="BU474" s="710">
        <v>0</v>
      </c>
      <c r="BV474" s="710">
        <v>0</v>
      </c>
      <c r="BW474" s="710">
        <v>0</v>
      </c>
      <c r="BX474" s="710">
        <v>0</v>
      </c>
      <c r="BY474" s="710">
        <v>0</v>
      </c>
      <c r="BZ474" s="710">
        <v>0</v>
      </c>
      <c r="CA474" s="710">
        <v>0</v>
      </c>
      <c r="CB474" s="710">
        <v>0</v>
      </c>
      <c r="CC474" s="710">
        <v>0</v>
      </c>
      <c r="CD474" s="710">
        <v>0</v>
      </c>
      <c r="CE474" s="710">
        <v>0</v>
      </c>
      <c r="CF474" s="710">
        <v>0</v>
      </c>
      <c r="CG474" s="710">
        <v>0</v>
      </c>
      <c r="CH474" s="710">
        <v>0</v>
      </c>
      <c r="CI474" s="710">
        <v>0</v>
      </c>
      <c r="CJ474" s="710">
        <v>0</v>
      </c>
      <c r="CK474" s="710">
        <v>0</v>
      </c>
      <c r="CL474" s="710">
        <v>0</v>
      </c>
      <c r="CM474" s="710">
        <v>0</v>
      </c>
      <c r="CN474" s="710">
        <v>0</v>
      </c>
      <c r="CO474" s="710">
        <v>0</v>
      </c>
      <c r="CP474" s="710">
        <v>0</v>
      </c>
      <c r="CQ474" s="710">
        <v>0</v>
      </c>
      <c r="CR474" s="710">
        <v>0</v>
      </c>
      <c r="CS474" s="710">
        <v>0</v>
      </c>
      <c r="CT474" s="710">
        <v>0</v>
      </c>
      <c r="CU474" s="710">
        <v>0</v>
      </c>
      <c r="CV474" s="710">
        <v>0</v>
      </c>
      <c r="CW474" s="710">
        <v>0</v>
      </c>
      <c r="CX474" s="710">
        <v>0</v>
      </c>
      <c r="CY474" s="710">
        <v>0</v>
      </c>
      <c r="CZ474" s="126"/>
      <c r="DA474" s="12">
        <v>0</v>
      </c>
      <c r="DB474" s="12">
        <v>0</v>
      </c>
      <c r="DC474" s="12">
        <v>0</v>
      </c>
      <c r="DD474" s="12">
        <v>0</v>
      </c>
      <c r="DE474" s="12">
        <v>0</v>
      </c>
      <c r="DF474" s="12">
        <v>0</v>
      </c>
      <c r="DG474" s="12">
        <v>0</v>
      </c>
    </row>
    <row r="475" spans="2:111">
      <c r="B475" s="126"/>
      <c r="C475" s="126"/>
      <c r="D475" s="126" t="s">
        <v>224</v>
      </c>
      <c r="E475" s="126"/>
      <c r="F475" s="609"/>
      <c r="G475" s="609" t="s">
        <v>736</v>
      </c>
      <c r="H475" s="609"/>
      <c r="I475" s="609"/>
      <c r="J475" s="609"/>
      <c r="K475" s="609"/>
      <c r="L475" s="126"/>
      <c r="M475" s="696"/>
      <c r="N475" s="696"/>
      <c r="O475" s="696"/>
      <c r="P475" s="696"/>
      <c r="Q475" s="696"/>
      <c r="R475" s="696"/>
      <c r="S475" s="696"/>
      <c r="T475" s="696"/>
      <c r="U475" s="696"/>
      <c r="V475" s="696"/>
      <c r="W475" s="696"/>
      <c r="X475" s="697"/>
      <c r="Y475" s="697"/>
      <c r="Z475" s="697"/>
      <c r="AA475" s="697"/>
      <c r="AB475" s="697"/>
      <c r="AC475" s="697"/>
      <c r="AD475" s="697"/>
      <c r="AE475" s="697"/>
      <c r="AF475" s="697"/>
      <c r="AG475" s="697"/>
      <c r="AH475" s="697"/>
      <c r="AI475" s="697"/>
      <c r="AJ475" s="697"/>
      <c r="AK475" s="697"/>
      <c r="AL475" s="697"/>
      <c r="AM475" s="697"/>
      <c r="AN475" s="710"/>
      <c r="AO475" s="710"/>
      <c r="AP475" s="710">
        <v>0</v>
      </c>
      <c r="AQ475" s="710">
        <v>0</v>
      </c>
      <c r="AR475" s="710">
        <v>0</v>
      </c>
      <c r="AS475" s="710">
        <v>0</v>
      </c>
      <c r="AT475" s="710">
        <v>0</v>
      </c>
      <c r="AU475" s="710">
        <v>0</v>
      </c>
      <c r="AV475" s="710">
        <v>0</v>
      </c>
      <c r="AW475" s="710">
        <v>0</v>
      </c>
      <c r="AX475" s="710">
        <v>0</v>
      </c>
      <c r="AY475" s="710">
        <v>0</v>
      </c>
      <c r="AZ475" s="710">
        <v>0</v>
      </c>
      <c r="BA475" s="710">
        <v>0</v>
      </c>
      <c r="BB475" s="710">
        <v>0</v>
      </c>
      <c r="BC475" s="710">
        <v>0</v>
      </c>
      <c r="BD475" s="710">
        <v>0</v>
      </c>
      <c r="BE475" s="710">
        <v>0</v>
      </c>
      <c r="BF475" s="710">
        <v>0</v>
      </c>
      <c r="BG475" s="710">
        <v>0</v>
      </c>
      <c r="BH475" s="710">
        <v>0</v>
      </c>
      <c r="BI475" s="710">
        <v>0</v>
      </c>
      <c r="BJ475" s="710">
        <v>0</v>
      </c>
      <c r="BK475" s="710">
        <v>0</v>
      </c>
      <c r="BL475" s="710">
        <v>0</v>
      </c>
      <c r="BM475" s="710">
        <v>0</v>
      </c>
      <c r="BN475" s="710">
        <v>0</v>
      </c>
      <c r="BO475" s="710">
        <v>0</v>
      </c>
      <c r="BP475" s="710">
        <v>0</v>
      </c>
      <c r="BQ475" s="710">
        <v>0</v>
      </c>
      <c r="BR475" s="710">
        <v>0</v>
      </c>
      <c r="BS475" s="710">
        <v>0</v>
      </c>
      <c r="BT475" s="710">
        <v>0</v>
      </c>
      <c r="BU475" s="710">
        <v>0</v>
      </c>
      <c r="BV475" s="710">
        <v>0</v>
      </c>
      <c r="BW475" s="710">
        <v>0</v>
      </c>
      <c r="BX475" s="710">
        <v>0</v>
      </c>
      <c r="BY475" s="710">
        <v>0</v>
      </c>
      <c r="BZ475" s="710">
        <v>0</v>
      </c>
      <c r="CA475" s="710">
        <v>0</v>
      </c>
      <c r="CB475" s="710">
        <v>0</v>
      </c>
      <c r="CC475" s="710">
        <v>0</v>
      </c>
      <c r="CD475" s="710">
        <v>0</v>
      </c>
      <c r="CE475" s="710">
        <v>0</v>
      </c>
      <c r="CF475" s="710">
        <v>0</v>
      </c>
      <c r="CG475" s="710">
        <v>0</v>
      </c>
      <c r="CH475" s="710">
        <v>0</v>
      </c>
      <c r="CI475" s="710">
        <v>0</v>
      </c>
      <c r="CJ475" s="710">
        <v>0</v>
      </c>
      <c r="CK475" s="710">
        <v>0</v>
      </c>
      <c r="CL475" s="710">
        <v>0</v>
      </c>
      <c r="CM475" s="710">
        <v>0</v>
      </c>
      <c r="CN475" s="710">
        <v>0</v>
      </c>
      <c r="CO475" s="710">
        <v>0</v>
      </c>
      <c r="CP475" s="710">
        <v>0</v>
      </c>
      <c r="CQ475" s="710">
        <v>0</v>
      </c>
      <c r="CR475" s="710">
        <v>0</v>
      </c>
      <c r="CS475" s="710">
        <v>0</v>
      </c>
      <c r="CT475" s="710">
        <v>0</v>
      </c>
      <c r="CU475" s="710">
        <v>0</v>
      </c>
      <c r="CV475" s="710">
        <v>0</v>
      </c>
      <c r="CW475" s="710">
        <v>0</v>
      </c>
      <c r="CX475" s="710">
        <v>0</v>
      </c>
      <c r="CY475" s="710">
        <v>0</v>
      </c>
      <c r="CZ475" s="126"/>
      <c r="DA475" s="12">
        <v>0</v>
      </c>
      <c r="DB475" s="12">
        <v>0</v>
      </c>
      <c r="DC475" s="12">
        <v>0</v>
      </c>
      <c r="DD475" s="12">
        <v>0</v>
      </c>
      <c r="DE475" s="12">
        <v>0</v>
      </c>
      <c r="DF475" s="12">
        <v>0</v>
      </c>
      <c r="DG475" s="12">
        <v>0</v>
      </c>
    </row>
    <row r="476" spans="2:111">
      <c r="B476" s="126"/>
      <c r="C476" s="126"/>
      <c r="D476" s="126" t="s">
        <v>804</v>
      </c>
      <c r="E476" s="230"/>
      <c r="F476" s="232"/>
      <c r="G476" s="609" t="s">
        <v>736</v>
      </c>
      <c r="H476" s="609"/>
      <c r="I476" s="609"/>
      <c r="J476" s="609"/>
      <c r="K476" s="609"/>
      <c r="L476" s="126"/>
      <c r="M476" s="696"/>
      <c r="N476" s="696"/>
      <c r="O476" s="696"/>
      <c r="P476" s="696"/>
      <c r="Q476" s="696"/>
      <c r="R476" s="696"/>
      <c r="S476" s="696"/>
      <c r="T476" s="696"/>
      <c r="U476" s="696"/>
      <c r="V476" s="696"/>
      <c r="W476" s="696"/>
      <c r="X476" s="697"/>
      <c r="Y476" s="697"/>
      <c r="Z476" s="697"/>
      <c r="AA476" s="697"/>
      <c r="AB476" s="697"/>
      <c r="AC476" s="697"/>
      <c r="AD476" s="697"/>
      <c r="AE476" s="697"/>
      <c r="AF476" s="697"/>
      <c r="AG476" s="697"/>
      <c r="AH476" s="697"/>
      <c r="AI476" s="697"/>
      <c r="AJ476" s="697"/>
      <c r="AK476" s="697"/>
      <c r="AL476" s="697"/>
      <c r="AM476" s="697"/>
      <c r="AN476" s="710"/>
      <c r="AO476" s="710"/>
      <c r="AP476" s="710">
        <v>0</v>
      </c>
      <c r="AQ476" s="710">
        <v>0</v>
      </c>
      <c r="AR476" s="710">
        <v>-5.1914126654212028E-3</v>
      </c>
      <c r="AS476" s="710">
        <v>-1.2139178617788951E-2</v>
      </c>
      <c r="AT476" s="710">
        <v>-2.1644850382893016E-2</v>
      </c>
      <c r="AU476" s="710">
        <v>-3.3649514971038477E-2</v>
      </c>
      <c r="AV476" s="710">
        <v>-4.7936743607348016E-2</v>
      </c>
      <c r="AW476" s="710">
        <v>-6.4281483829127364E-2</v>
      </c>
      <c r="AX476" s="710">
        <v>-8.1871629576701369E-2</v>
      </c>
      <c r="AY476" s="710">
        <v>-9.9109518059108156E-2</v>
      </c>
      <c r="AZ476" s="710">
        <v>-0.11583873950366476</v>
      </c>
      <c r="BA476" s="710">
        <v>-0.13118194634564767</v>
      </c>
      <c r="BB476" s="710">
        <v>-0.14486063495547943</v>
      </c>
      <c r="BC476" s="710">
        <v>-0.15664850038350933</v>
      </c>
      <c r="BD476" s="710">
        <v>-0.2250030027717865</v>
      </c>
      <c r="BE476" s="710">
        <v>-0.17190023719054329</v>
      </c>
      <c r="BF476" s="710">
        <v>-0.17008840192810185</v>
      </c>
      <c r="BG476" s="710">
        <v>-0.17929943966005132</v>
      </c>
      <c r="BH476" s="710">
        <v>-0.18833544399971158</v>
      </c>
      <c r="BI476" s="710">
        <v>-0.20215062569166309</v>
      </c>
      <c r="BJ476" s="710">
        <v>-0.21294069016600908</v>
      </c>
      <c r="BK476" s="710">
        <v>-0.22768408206310917</v>
      </c>
      <c r="BL476" s="710">
        <v>-0.24780365684318242</v>
      </c>
      <c r="BM476" s="710">
        <v>-0.26288973713960145</v>
      </c>
      <c r="BN476" s="710">
        <v>-0.27441204333274077</v>
      </c>
      <c r="BO476" s="710">
        <v>-0.28786069965532685</v>
      </c>
      <c r="BP476" s="710">
        <v>-0.29969814483931234</v>
      </c>
      <c r="BQ476" s="710">
        <v>-0.31536287691059156</v>
      </c>
      <c r="BR476" s="710">
        <v>-0.3307935041247767</v>
      </c>
      <c r="BS476" s="710">
        <v>-0.34603740471813715</v>
      </c>
      <c r="BT476" s="710">
        <v>-0.36148138495373949</v>
      </c>
      <c r="BU476" s="710">
        <v>-0.37706315116050787</v>
      </c>
      <c r="BV476" s="710">
        <v>-0.39256819650510832</v>
      </c>
      <c r="BW476" s="710">
        <v>-0.39745848059378813</v>
      </c>
      <c r="BX476" s="710">
        <v>-0.40433145361951384</v>
      </c>
      <c r="BY476" s="710">
        <v>-0.41180587524621448</v>
      </c>
      <c r="BZ476" s="710">
        <v>-0.41959457961604602</v>
      </c>
      <c r="CA476" s="710">
        <v>-0.42729902195016922</v>
      </c>
      <c r="CB476" s="710">
        <v>-0.43496323926255975</v>
      </c>
      <c r="CC476" s="710">
        <v>-0.42854130165162219</v>
      </c>
      <c r="CD476" s="710">
        <v>-0.43271108178017575</v>
      </c>
      <c r="CE476" s="710">
        <v>-0.43767288919743452</v>
      </c>
      <c r="CF476" s="710">
        <v>-0.44299996784051271</v>
      </c>
      <c r="CG476" s="710">
        <v>-0.44816485266095829</v>
      </c>
      <c r="CH476" s="710">
        <v>-0.4531918398686447</v>
      </c>
      <c r="CI476" s="710">
        <v>-0.45689228859363651</v>
      </c>
      <c r="CJ476" s="710">
        <v>-0.4701577611989663</v>
      </c>
      <c r="CK476" s="710">
        <v>-0.48313462858579087</v>
      </c>
      <c r="CL476" s="710">
        <v>-0.49599801555926504</v>
      </c>
      <c r="CM476" s="710">
        <v>-0.50873252540401259</v>
      </c>
      <c r="CN476" s="710">
        <v>-0.52134195361879565</v>
      </c>
      <c r="CO476" s="710">
        <v>-0.53381552314373282</v>
      </c>
      <c r="CP476" s="710">
        <v>-0.54617316335001964</v>
      </c>
      <c r="CQ476" s="710">
        <v>-0.5581730154212875</v>
      </c>
      <c r="CR476" s="710">
        <v>-0.57010933542454822</v>
      </c>
      <c r="CS476" s="710">
        <v>-0.58201934056217242</v>
      </c>
      <c r="CT476" s="710">
        <v>-0.59392473554750924</v>
      </c>
      <c r="CU476" s="710">
        <v>-0.60583571675551273</v>
      </c>
      <c r="CV476" s="710">
        <v>-0.61775699869724787</v>
      </c>
      <c r="CW476" s="710">
        <v>-0.62968924490271294</v>
      </c>
      <c r="CX476" s="710">
        <v>-0.64163696400198778</v>
      </c>
      <c r="CY476" s="710">
        <v>-0.65388834915846672</v>
      </c>
      <c r="CZ476" s="126"/>
      <c r="DA476" s="12">
        <v>0</v>
      </c>
      <c r="DB476" s="12">
        <v>0</v>
      </c>
      <c r="DC476" s="12">
        <v>-0.9143541528977277</v>
      </c>
      <c r="DD476" s="12">
        <v>-2.6503680604418274</v>
      </c>
      <c r="DE476" s="12">
        <v>-4.4834940742379059</v>
      </c>
      <c r="DF476" s="12">
        <v>-5.4931603916035803</v>
      </c>
      <c r="DG476" s="12">
        <v>-7.0543643405839935</v>
      </c>
    </row>
    <row r="477" spans="2:111">
      <c r="B477" s="126"/>
      <c r="C477" s="720" t="s">
        <v>621</v>
      </c>
      <c r="D477" s="126"/>
      <c r="E477" s="126"/>
      <c r="F477" s="609"/>
      <c r="G477" s="609" t="s">
        <v>736</v>
      </c>
      <c r="H477" s="609"/>
      <c r="I477" s="609"/>
      <c r="J477" s="609"/>
      <c r="K477" s="609"/>
      <c r="L477" s="126"/>
      <c r="M477" s="696"/>
      <c r="N477" s="696"/>
      <c r="O477" s="696"/>
      <c r="P477" s="696"/>
      <c r="Q477" s="696"/>
      <c r="R477" s="696"/>
      <c r="S477" s="696"/>
      <c r="T477" s="696"/>
      <c r="U477" s="696"/>
      <c r="V477" s="696"/>
      <c r="W477" s="696"/>
      <c r="X477" s="697"/>
      <c r="Y477" s="697"/>
      <c r="Z477" s="697"/>
      <c r="AA477" s="697"/>
      <c r="AB477" s="697"/>
      <c r="AC477" s="697"/>
      <c r="AD477" s="697"/>
      <c r="AE477" s="697"/>
      <c r="AF477" s="697"/>
      <c r="AG477" s="697"/>
      <c r="AH477" s="697"/>
      <c r="AI477" s="697"/>
      <c r="AJ477" s="697"/>
      <c r="AK477" s="697"/>
      <c r="AL477" s="697"/>
      <c r="AM477" s="697"/>
      <c r="AN477" s="710"/>
      <c r="AO477" s="714"/>
      <c r="AP477" s="714">
        <v>-5.4000000000000003E-3</v>
      </c>
      <c r="AQ477" s="714">
        <v>-1.6200000000000003E-2</v>
      </c>
      <c r="AR477" s="714">
        <v>-2.2408828124999999E-2</v>
      </c>
      <c r="AS477" s="714">
        <v>-3.1008990847537873E-2</v>
      </c>
      <c r="AT477" s="714">
        <v>-5.1409982859809744E-2</v>
      </c>
      <c r="AU477" s="714">
        <v>-7.2181239647210571E-2</v>
      </c>
      <c r="AV477" s="714">
        <v>-9.6500582877077065E-2</v>
      </c>
      <c r="AW477" s="714">
        <v>-0.14336880862996762</v>
      </c>
      <c r="AX477" s="714">
        <v>-0.23435489520967839</v>
      </c>
      <c r="AY477" s="714">
        <v>-0.33046648042160515</v>
      </c>
      <c r="AZ477" s="714">
        <v>-0.44546321750978174</v>
      </c>
      <c r="BA477" s="714">
        <v>-0.56050041649382321</v>
      </c>
      <c r="BB477" s="714">
        <v>-0.65943839024235629</v>
      </c>
      <c r="BC477" s="714">
        <v>-0.74072876995604953</v>
      </c>
      <c r="BD477" s="714">
        <v>-0.86289365261228845</v>
      </c>
      <c r="BE477" s="714">
        <v>-0.93835590149271697</v>
      </c>
      <c r="BF477" s="714">
        <v>-0.99796846513629589</v>
      </c>
      <c r="BG477" s="714">
        <v>-1.0161189541035029</v>
      </c>
      <c r="BH477" s="714">
        <v>-1.0925436608082317</v>
      </c>
      <c r="BI477" s="714">
        <v>-1.1317599759911503</v>
      </c>
      <c r="BJ477" s="714">
        <v>-1.1178990770793444</v>
      </c>
      <c r="BK477" s="714">
        <v>-1.2224274976542724</v>
      </c>
      <c r="BL477" s="714">
        <v>-1.4857735426583081</v>
      </c>
      <c r="BM477" s="714">
        <v>-1.6514543490737255</v>
      </c>
      <c r="BN477" s="714">
        <v>-1.7378639054775247</v>
      </c>
      <c r="BO477" s="714">
        <v>-1.8217066029778415</v>
      </c>
      <c r="BP477" s="714">
        <v>-1.8487606562100947</v>
      </c>
      <c r="BQ477" s="714">
        <v>-1.9707843230446409</v>
      </c>
      <c r="BR477" s="714">
        <v>-2.0839339174673817</v>
      </c>
      <c r="BS477" s="714">
        <v>-2.190232736027613</v>
      </c>
      <c r="BT477" s="714">
        <v>-2.3003698713378009</v>
      </c>
      <c r="BU477" s="714">
        <v>-2.4142447101324698</v>
      </c>
      <c r="BV477" s="714">
        <v>-2.5007870061734723</v>
      </c>
      <c r="BW477" s="714">
        <v>-2.6226918109080604</v>
      </c>
      <c r="BX477" s="714">
        <v>-2.7368349993042163</v>
      </c>
      <c r="BY477" s="714">
        <v>-2.7912261703862473</v>
      </c>
      <c r="BZ477" s="714">
        <v>-2.9033886520732768</v>
      </c>
      <c r="CA477" s="714">
        <v>-3.0148631178558012</v>
      </c>
      <c r="CB477" s="714">
        <v>-2.9765225658006238</v>
      </c>
      <c r="CC477" s="714">
        <v>-2.8974626967092245</v>
      </c>
      <c r="CD477" s="714">
        <v>-3.0083225256516419</v>
      </c>
      <c r="CE477" s="714">
        <v>-3.0442889089649241</v>
      </c>
      <c r="CF477" s="714">
        <v>-3.152621443112023</v>
      </c>
      <c r="CG477" s="714">
        <v>-3.2587066415552686</v>
      </c>
      <c r="CH477" s="714">
        <v>-3.2225591052382505</v>
      </c>
      <c r="CI477" s="714">
        <v>-3.0868321519798636</v>
      </c>
      <c r="CJ477" s="714">
        <v>-3.1927251904482112</v>
      </c>
      <c r="CK477" s="714">
        <v>-3.2907903801423664</v>
      </c>
      <c r="CL477" s="714">
        <v>-3.3889205024518252</v>
      </c>
      <c r="CM477" s="714">
        <v>-3.4841757130976858</v>
      </c>
      <c r="CN477" s="714">
        <v>-3.5790567464502216</v>
      </c>
      <c r="CO477" s="714">
        <v>-3.6767926890247167</v>
      </c>
      <c r="CP477" s="714">
        <v>-3.775221952926997</v>
      </c>
      <c r="CQ477" s="714">
        <v>-3.8655945735432535</v>
      </c>
      <c r="CR477" s="714">
        <v>-3.9548026239415881</v>
      </c>
      <c r="CS477" s="714">
        <v>-4.0433725369358973</v>
      </c>
      <c r="CT477" s="714">
        <v>-4.1317495463381313</v>
      </c>
      <c r="CU477" s="714">
        <v>-4.2200572504985843</v>
      </c>
      <c r="CV477" s="714">
        <v>-4.3083246692796582</v>
      </c>
      <c r="CW477" s="714">
        <v>-4.3966778983545547</v>
      </c>
      <c r="CX477" s="714">
        <v>-4.4853484293218324</v>
      </c>
      <c r="CY477" s="714">
        <v>-4.6079763881059037</v>
      </c>
      <c r="CZ477" s="126"/>
      <c r="DA477" s="14">
        <v>0</v>
      </c>
      <c r="DB477" s="12">
        <v>-2.1600000000000001E-2</v>
      </c>
      <c r="DC477" s="12">
        <v>-3.3878306028198968</v>
      </c>
      <c r="DD477" s="12">
        <v>-15.076765585065202</v>
      </c>
      <c r="DE477" s="12">
        <v>-29.378117970921071</v>
      </c>
      <c r="DF477" s="12">
        <v>-38.003927825151905</v>
      </c>
      <c r="DG477" s="14">
        <v>-49.044975304721341</v>
      </c>
    </row>
    <row r="478" spans="2:111">
      <c r="B478" s="126"/>
      <c r="C478" s="724" t="s">
        <v>701</v>
      </c>
      <c r="D478" s="698"/>
      <c r="E478" s="698"/>
      <c r="F478" s="703"/>
      <c r="G478" s="609" t="s">
        <v>736</v>
      </c>
      <c r="H478" s="609"/>
      <c r="I478" s="609"/>
      <c r="J478" s="609"/>
      <c r="K478" s="609"/>
      <c r="L478" s="126"/>
      <c r="M478" s="696"/>
      <c r="N478" s="696"/>
      <c r="O478" s="696"/>
      <c r="P478" s="696"/>
      <c r="Q478" s="696"/>
      <c r="R478" s="696"/>
      <c r="S478" s="696"/>
      <c r="T478" s="696"/>
      <c r="U478" s="696"/>
      <c r="V478" s="696"/>
      <c r="W478" s="696"/>
      <c r="X478" s="697"/>
      <c r="Y478" s="697"/>
      <c r="Z478" s="697"/>
      <c r="AA478" s="697"/>
      <c r="AB478" s="697"/>
      <c r="AC478" s="697"/>
      <c r="AD478" s="697"/>
      <c r="AE478" s="697"/>
      <c r="AF478" s="697"/>
      <c r="AG478" s="697"/>
      <c r="AH478" s="697"/>
      <c r="AI478" s="697"/>
      <c r="AJ478" s="697"/>
      <c r="AK478" s="697"/>
      <c r="AL478" s="697"/>
      <c r="AM478" s="697"/>
      <c r="AN478" s="696"/>
      <c r="AO478" s="696"/>
      <c r="AP478" s="696">
        <v>-0.18312924999999999</v>
      </c>
      <c r="AQ478" s="696">
        <v>-0.31074324447463769</v>
      </c>
      <c r="AR478" s="696">
        <v>-0.4121915646761129</v>
      </c>
      <c r="AS478" s="696">
        <v>-0.43399386180551397</v>
      </c>
      <c r="AT478" s="696">
        <v>-0.45708960352546862</v>
      </c>
      <c r="AU478" s="696">
        <v>-0.48003768744943004</v>
      </c>
      <c r="AV478" s="696">
        <v>-0.50303073486299166</v>
      </c>
      <c r="AW478" s="696">
        <v>-0.52610288372569147</v>
      </c>
      <c r="AX478" s="696">
        <v>-0.54450105701937224</v>
      </c>
      <c r="AY478" s="696">
        <v>-0.56808150678418023</v>
      </c>
      <c r="AZ478" s="696">
        <v>-0.59212191546366988</v>
      </c>
      <c r="BA478" s="696">
        <v>-0.61674569609824159</v>
      </c>
      <c r="BB478" s="696">
        <v>-0.64201842022972533</v>
      </c>
      <c r="BC478" s="696">
        <v>-0.66791890275028831</v>
      </c>
      <c r="BD478" s="696">
        <v>-0.74534938235822257</v>
      </c>
      <c r="BE478" s="696">
        <v>-0.80887998132151928</v>
      </c>
      <c r="BF478" s="696">
        <v>-0.8393630959517534</v>
      </c>
      <c r="BG478" s="696">
        <v>-0.86653013381923771</v>
      </c>
      <c r="BH478" s="696">
        <v>-0.8921969743007111</v>
      </c>
      <c r="BI478" s="696">
        <v>-0.91708705750003039</v>
      </c>
      <c r="BJ478" s="696">
        <v>-0.94171249325339845</v>
      </c>
      <c r="BK478" s="696">
        <v>-0.96552895838672137</v>
      </c>
      <c r="BL478" s="696">
        <v>-0.9891597766734076</v>
      </c>
      <c r="BM478" s="696">
        <v>-1.0133600796618196</v>
      </c>
      <c r="BN478" s="696">
        <v>-1.037880621917779</v>
      </c>
      <c r="BO478" s="696">
        <v>-1.0625445165770087</v>
      </c>
      <c r="BP478" s="696">
        <v>-1.1270095577096739</v>
      </c>
      <c r="BQ478" s="696">
        <v>-1.1457845385560126</v>
      </c>
      <c r="BR478" s="696">
        <v>-1.1645506786172777</v>
      </c>
      <c r="BS478" s="696">
        <v>-1.1833063031289646</v>
      </c>
      <c r="BT478" s="696">
        <v>-1.2020380075112593</v>
      </c>
      <c r="BU478" s="696">
        <v>-1.2207638883803391</v>
      </c>
      <c r="BV478" s="696">
        <v>-1.2404885061097393</v>
      </c>
      <c r="BW478" s="696">
        <v>-1.261098110273192</v>
      </c>
      <c r="BX478" s="696">
        <v>-1.281460973941404</v>
      </c>
      <c r="BY478" s="696">
        <v>-1.3017483844666347</v>
      </c>
      <c r="BZ478" s="696">
        <v>-1.3220253062991549</v>
      </c>
      <c r="CA478" s="696">
        <v>-1.3423292266636508</v>
      </c>
      <c r="CB478" s="696">
        <v>-1.4019619626305835</v>
      </c>
      <c r="CC478" s="696">
        <v>-1.4250641690527284</v>
      </c>
      <c r="CD478" s="696">
        <v>-1.447227911245855</v>
      </c>
      <c r="CE478" s="696">
        <v>-1.4691321797048025</v>
      </c>
      <c r="CF478" s="696">
        <v>-1.4909382973399976</v>
      </c>
      <c r="CG478" s="696">
        <v>-1.5127361011001592</v>
      </c>
      <c r="CH478" s="696">
        <v>-1.5345773581941409</v>
      </c>
      <c r="CI478" s="696">
        <v>-1.555869317958666</v>
      </c>
      <c r="CJ478" s="696">
        <v>-1.5764570048978797</v>
      </c>
      <c r="CK478" s="696">
        <v>-1.5968889372866903</v>
      </c>
      <c r="CL478" s="696">
        <v>-1.6172479482698041</v>
      </c>
      <c r="CM478" s="696">
        <v>-1.6375809447998606</v>
      </c>
      <c r="CN478" s="696">
        <v>-1.6801981653842109</v>
      </c>
      <c r="CO478" s="696">
        <v>-1.7005414392251283</v>
      </c>
      <c r="CP478" s="696">
        <v>-1.7209172402987192</v>
      </c>
      <c r="CQ478" s="696">
        <v>-1.7413270455136505</v>
      </c>
      <c r="CR478" s="696">
        <v>-1.7617518580914384</v>
      </c>
      <c r="CS478" s="696">
        <v>-1.7821845197143182</v>
      </c>
      <c r="CT478" s="696">
        <v>-1.802620427471912</v>
      </c>
      <c r="CU478" s="696">
        <v>-1.8230568704186951</v>
      </c>
      <c r="CV478" s="696">
        <v>-1.843492374792201</v>
      </c>
      <c r="CW478" s="696">
        <v>-1.8639259814094327</v>
      </c>
      <c r="CX478" s="696">
        <v>-1.8843577151725377</v>
      </c>
      <c r="CY478" s="696">
        <v>-1.9050997049590412</v>
      </c>
      <c r="CZ478" s="698"/>
      <c r="DA478" s="12">
        <v>0</v>
      </c>
      <c r="DB478" s="14">
        <v>-0.49387249447463766</v>
      </c>
      <c r="DC478" s="14">
        <v>-6.4438338343906869</v>
      </c>
      <c r="DD478" s="14">
        <v>-11.079593071721607</v>
      </c>
      <c r="DE478" s="14">
        <v>-14.7926034816573</v>
      </c>
      <c r="DF478" s="14">
        <v>-18.265682132481171</v>
      </c>
      <c r="DG478" s="14">
        <v>-21.509473342451287</v>
      </c>
    </row>
    <row r="479" spans="2:111">
      <c r="B479" s="126"/>
      <c r="C479" s="126"/>
      <c r="D479" s="126" t="s">
        <v>100</v>
      </c>
      <c r="E479" s="126"/>
      <c r="F479" s="609"/>
      <c r="G479" s="609" t="s">
        <v>736</v>
      </c>
      <c r="H479" s="609"/>
      <c r="I479" s="609"/>
      <c r="J479" s="609"/>
      <c r="K479" s="609"/>
      <c r="L479" s="126"/>
      <c r="M479" s="696"/>
      <c r="N479" s="696"/>
      <c r="O479" s="696"/>
      <c r="P479" s="696"/>
      <c r="Q479" s="696"/>
      <c r="R479" s="696"/>
      <c r="S479" s="696"/>
      <c r="T479" s="696"/>
      <c r="U479" s="696"/>
      <c r="V479" s="696"/>
      <c r="W479" s="696"/>
      <c r="X479" s="697"/>
      <c r="Y479" s="697"/>
      <c r="Z479" s="697"/>
      <c r="AA479" s="697"/>
      <c r="AB479" s="697"/>
      <c r="AC479" s="697"/>
      <c r="AD479" s="697"/>
      <c r="AE479" s="697"/>
      <c r="AF479" s="697"/>
      <c r="AG479" s="697"/>
      <c r="AH479" s="697"/>
      <c r="AI479" s="697"/>
      <c r="AJ479" s="697"/>
      <c r="AK479" s="697"/>
      <c r="AL479" s="697"/>
      <c r="AM479" s="697"/>
      <c r="AN479" s="710"/>
      <c r="AO479" s="710"/>
      <c r="AP479" s="710">
        <v>-0.15</v>
      </c>
      <c r="AQ479" s="710">
        <v>-0.25</v>
      </c>
      <c r="AR479" s="710">
        <v>-0.26041666666666663</v>
      </c>
      <c r="AS479" s="710">
        <v>-0.27083333333333331</v>
      </c>
      <c r="AT479" s="710">
        <v>-0.28124999999999994</v>
      </c>
      <c r="AU479" s="710">
        <v>-0.29166666666666663</v>
      </c>
      <c r="AV479" s="710">
        <v>-0.30208333333333326</v>
      </c>
      <c r="AW479" s="710">
        <v>-0.31249999999999989</v>
      </c>
      <c r="AX479" s="710">
        <v>-0.32291666666666657</v>
      </c>
      <c r="AY479" s="710">
        <v>-0.3333333333333332</v>
      </c>
      <c r="AZ479" s="710">
        <v>-0.34374999999999989</v>
      </c>
      <c r="BA479" s="710">
        <v>-0.35416666666666652</v>
      </c>
      <c r="BB479" s="710">
        <v>-0.36458333333333315</v>
      </c>
      <c r="BC479" s="710">
        <v>-0.375</v>
      </c>
      <c r="BD479" s="710">
        <v>-0.37708333333333338</v>
      </c>
      <c r="BE479" s="710">
        <v>-0.37916666666666671</v>
      </c>
      <c r="BF479" s="710">
        <v>-0.38125000000000003</v>
      </c>
      <c r="BG479" s="710">
        <v>-0.38333333333333336</v>
      </c>
      <c r="BH479" s="710">
        <v>-0.38541666666666674</v>
      </c>
      <c r="BI479" s="710">
        <v>-0.38750000000000012</v>
      </c>
      <c r="BJ479" s="710">
        <v>-0.38958333333333345</v>
      </c>
      <c r="BK479" s="710">
        <v>-0.39166666666666677</v>
      </c>
      <c r="BL479" s="710">
        <v>-0.3937500000000001</v>
      </c>
      <c r="BM479" s="710">
        <v>-0.39583333333333348</v>
      </c>
      <c r="BN479" s="710">
        <v>-0.39791666666666686</v>
      </c>
      <c r="BO479" s="710">
        <v>-0.4</v>
      </c>
      <c r="BP479" s="710">
        <v>-0.4</v>
      </c>
      <c r="BQ479" s="710">
        <v>-0.4</v>
      </c>
      <c r="BR479" s="710">
        <v>-0.4</v>
      </c>
      <c r="BS479" s="710">
        <v>-0.4</v>
      </c>
      <c r="BT479" s="710">
        <v>-0.4</v>
      </c>
      <c r="BU479" s="710">
        <v>-0.4</v>
      </c>
      <c r="BV479" s="710">
        <v>-0.4</v>
      </c>
      <c r="BW479" s="710">
        <v>-0.4</v>
      </c>
      <c r="BX479" s="710">
        <v>-0.4</v>
      </c>
      <c r="BY479" s="710">
        <v>-0.4</v>
      </c>
      <c r="BZ479" s="710">
        <v>-0.4</v>
      </c>
      <c r="CA479" s="710">
        <v>-0.4</v>
      </c>
      <c r="CB479" s="710">
        <v>-0.4</v>
      </c>
      <c r="CC479" s="710">
        <v>-0.4</v>
      </c>
      <c r="CD479" s="710">
        <v>-0.4</v>
      </c>
      <c r="CE479" s="710">
        <v>-0.4</v>
      </c>
      <c r="CF479" s="710">
        <v>-0.4</v>
      </c>
      <c r="CG479" s="710">
        <v>-0.4</v>
      </c>
      <c r="CH479" s="710">
        <v>-0.4</v>
      </c>
      <c r="CI479" s="710">
        <v>-0.4</v>
      </c>
      <c r="CJ479" s="710">
        <v>-0.4</v>
      </c>
      <c r="CK479" s="710">
        <v>-0.4</v>
      </c>
      <c r="CL479" s="710">
        <v>-0.4</v>
      </c>
      <c r="CM479" s="710">
        <v>-0.4</v>
      </c>
      <c r="CN479" s="710">
        <v>-0.4</v>
      </c>
      <c r="CO479" s="710">
        <v>-0.4</v>
      </c>
      <c r="CP479" s="710">
        <v>-0.4</v>
      </c>
      <c r="CQ479" s="710">
        <v>-0.4</v>
      </c>
      <c r="CR479" s="710">
        <v>-0.4</v>
      </c>
      <c r="CS479" s="710">
        <v>-0.4</v>
      </c>
      <c r="CT479" s="710">
        <v>-0.4</v>
      </c>
      <c r="CU479" s="710">
        <v>-0.4</v>
      </c>
      <c r="CV479" s="710">
        <v>-0.4</v>
      </c>
      <c r="CW479" s="710">
        <v>-0.4</v>
      </c>
      <c r="CX479" s="710">
        <v>-0.4</v>
      </c>
      <c r="CY479" s="710">
        <v>-0.4</v>
      </c>
      <c r="CZ479" s="126"/>
      <c r="DA479" s="12">
        <v>0</v>
      </c>
      <c r="DB479" s="12">
        <v>-0.4</v>
      </c>
      <c r="DC479" s="12">
        <v>-3.8124999999999987</v>
      </c>
      <c r="DD479" s="12">
        <v>-4.6625000000000014</v>
      </c>
      <c r="DE479" s="12">
        <v>-4.8</v>
      </c>
      <c r="DF479" s="12">
        <v>-4.8</v>
      </c>
      <c r="DG479" s="12">
        <v>-4.8</v>
      </c>
    </row>
    <row r="480" spans="2:111">
      <c r="B480" s="126"/>
      <c r="C480" s="126"/>
      <c r="D480" s="126" t="s">
        <v>107</v>
      </c>
      <c r="E480" s="126"/>
      <c r="F480" s="609"/>
      <c r="G480" s="609" t="s">
        <v>736</v>
      </c>
      <c r="H480" s="609"/>
      <c r="I480" s="609"/>
      <c r="J480" s="609"/>
      <c r="K480" s="609"/>
      <c r="L480" s="126"/>
      <c r="M480" s="696"/>
      <c r="N480" s="696"/>
      <c r="O480" s="696"/>
      <c r="P480" s="696"/>
      <c r="Q480" s="696"/>
      <c r="R480" s="696"/>
      <c r="S480" s="696"/>
      <c r="T480" s="696"/>
      <c r="U480" s="696"/>
      <c r="V480" s="696"/>
      <c r="W480" s="696"/>
      <c r="X480" s="697"/>
      <c r="Y480" s="697"/>
      <c r="Z480" s="697"/>
      <c r="AA480" s="697"/>
      <c r="AB480" s="697"/>
      <c r="AC480" s="697"/>
      <c r="AD480" s="697"/>
      <c r="AE480" s="697"/>
      <c r="AF480" s="697"/>
      <c r="AG480" s="697"/>
      <c r="AH480" s="697"/>
      <c r="AI480" s="697"/>
      <c r="AJ480" s="697"/>
      <c r="AK480" s="697"/>
      <c r="AL480" s="697"/>
      <c r="AM480" s="697"/>
      <c r="AN480" s="710"/>
      <c r="AO480" s="710"/>
      <c r="AP480" s="710">
        <v>0</v>
      </c>
      <c r="AQ480" s="710">
        <v>-3.0000000000000005E-3</v>
      </c>
      <c r="AR480" s="710">
        <v>-8.0000000000000002E-3</v>
      </c>
      <c r="AS480" s="710">
        <v>-1.1557291666666664E-2</v>
      </c>
      <c r="AT480" s="710">
        <v>-1.6296874999999999E-2</v>
      </c>
      <c r="AU480" s="710">
        <v>-2.1218749999999998E-2</v>
      </c>
      <c r="AV480" s="710">
        <v>-2.6322916666666665E-2</v>
      </c>
      <c r="AW480" s="710">
        <v>-3.1609374999999995E-2</v>
      </c>
      <c r="AX480" s="710">
        <v>-3.7078125000000003E-2</v>
      </c>
      <c r="AY480" s="710">
        <v>-4.2729166666666665E-2</v>
      </c>
      <c r="AZ480" s="710">
        <v>-4.8562499999999995E-2</v>
      </c>
      <c r="BA480" s="710">
        <v>-5.4578124999999991E-2</v>
      </c>
      <c r="BB480" s="710">
        <v>-6.0776041666666662E-2</v>
      </c>
      <c r="BC480" s="710">
        <v>-6.7156249999999987E-2</v>
      </c>
      <c r="BD480" s="710">
        <v>-7.3718749999999986E-2</v>
      </c>
      <c r="BE480" s="710">
        <v>-0.11473958333333331</v>
      </c>
      <c r="BF480" s="710">
        <v>-0.12421874999999999</v>
      </c>
      <c r="BG480" s="710">
        <v>-0.13374999999999998</v>
      </c>
      <c r="BH480" s="710">
        <v>-0.14333333333333331</v>
      </c>
      <c r="BI480" s="710">
        <v>-0.15296874999999996</v>
      </c>
      <c r="BJ480" s="710">
        <v>-0.16265625</v>
      </c>
      <c r="BK480" s="710">
        <v>-0.1723958333333333</v>
      </c>
      <c r="BL480" s="710">
        <v>-0.1821875</v>
      </c>
      <c r="BM480" s="710">
        <v>-0.19203124999999999</v>
      </c>
      <c r="BN480" s="710">
        <v>-0.20192708333333331</v>
      </c>
      <c r="BO480" s="710">
        <v>-0.21187500000000001</v>
      </c>
      <c r="BP480" s="710">
        <v>-0.22187499999999999</v>
      </c>
      <c r="BQ480" s="710">
        <v>-0.231875</v>
      </c>
      <c r="BR480" s="710">
        <v>-0.24187500000000001</v>
      </c>
      <c r="BS480" s="710">
        <v>-0.25187500000000002</v>
      </c>
      <c r="BT480" s="710">
        <v>-0.26187500000000002</v>
      </c>
      <c r="BU480" s="710">
        <v>-0.27187499999999998</v>
      </c>
      <c r="BV480" s="710">
        <v>-0.28187499999999999</v>
      </c>
      <c r="BW480" s="710">
        <v>-0.291875</v>
      </c>
      <c r="BX480" s="710">
        <v>-0.301875</v>
      </c>
      <c r="BY480" s="710">
        <v>-0.31187500000000001</v>
      </c>
      <c r="BZ480" s="710">
        <v>-0.32187500000000002</v>
      </c>
      <c r="CA480" s="710">
        <v>-0.33187499999999998</v>
      </c>
      <c r="CB480" s="710">
        <v>-0.34187499999999998</v>
      </c>
      <c r="CC480" s="710">
        <v>-0.35187499999999999</v>
      </c>
      <c r="CD480" s="710">
        <v>-0.361875</v>
      </c>
      <c r="CE480" s="710">
        <v>-0.37187500000000001</v>
      </c>
      <c r="CF480" s="710">
        <v>-0.38187500000000002</v>
      </c>
      <c r="CG480" s="710">
        <v>-0.39187499999999997</v>
      </c>
      <c r="CH480" s="710">
        <v>-0.40187499999999998</v>
      </c>
      <c r="CI480" s="710">
        <v>-0.41187499999999999</v>
      </c>
      <c r="CJ480" s="710">
        <v>-0.421875</v>
      </c>
      <c r="CK480" s="710">
        <v>-0.43187500000000001</v>
      </c>
      <c r="CL480" s="710">
        <v>-0.44187500000000002</v>
      </c>
      <c r="CM480" s="710">
        <v>-0.45187500000000003</v>
      </c>
      <c r="CN480" s="710">
        <v>-0.46187499999999998</v>
      </c>
      <c r="CO480" s="710">
        <v>-0.47187499999999999</v>
      </c>
      <c r="CP480" s="710">
        <v>-0.481875</v>
      </c>
      <c r="CQ480" s="710">
        <v>-0.49187500000000001</v>
      </c>
      <c r="CR480" s="710">
        <v>-0.50187499999999996</v>
      </c>
      <c r="CS480" s="710">
        <v>-0.51187499999999997</v>
      </c>
      <c r="CT480" s="710">
        <v>-0.52187499999999998</v>
      </c>
      <c r="CU480" s="710">
        <v>-0.53187499999999999</v>
      </c>
      <c r="CV480" s="710">
        <v>-0.541875</v>
      </c>
      <c r="CW480" s="710">
        <v>-0.551875</v>
      </c>
      <c r="CX480" s="710">
        <v>-0.56187500000000001</v>
      </c>
      <c r="CY480" s="710">
        <v>-0.57187500000000002</v>
      </c>
      <c r="CZ480" s="126"/>
      <c r="DA480" s="12">
        <v>0</v>
      </c>
      <c r="DB480" s="12">
        <v>-3.0000000000000005E-3</v>
      </c>
      <c r="DC480" s="12">
        <v>-0.42588541666666663</v>
      </c>
      <c r="DD480" s="12">
        <v>-1.8658020833333333</v>
      </c>
      <c r="DE480" s="12">
        <v>-3.3225000000000002</v>
      </c>
      <c r="DF480" s="12">
        <v>-4.7625000000000002</v>
      </c>
      <c r="DG480" s="12">
        <v>-6.2024999999999997</v>
      </c>
    </row>
    <row r="481" spans="2:111">
      <c r="B481" s="126"/>
      <c r="C481" s="126"/>
      <c r="D481" s="126" t="s">
        <v>806</v>
      </c>
      <c r="E481" s="126"/>
      <c r="F481" s="609"/>
      <c r="G481" s="609" t="s">
        <v>736</v>
      </c>
      <c r="H481" s="609"/>
      <c r="I481" s="609"/>
      <c r="J481" s="609"/>
      <c r="K481" s="609"/>
      <c r="L481" s="126"/>
      <c r="M481" s="696"/>
      <c r="N481" s="696"/>
      <c r="O481" s="696"/>
      <c r="P481" s="696"/>
      <c r="Q481" s="696"/>
      <c r="R481" s="696"/>
      <c r="S481" s="696"/>
      <c r="T481" s="696"/>
      <c r="U481" s="696"/>
      <c r="V481" s="696"/>
      <c r="W481" s="696"/>
      <c r="X481" s="697"/>
      <c r="Y481" s="697"/>
      <c r="Z481" s="697"/>
      <c r="AA481" s="697"/>
      <c r="AB481" s="697"/>
      <c r="AC481" s="697"/>
      <c r="AD481" s="697"/>
      <c r="AE481" s="697"/>
      <c r="AF481" s="697"/>
      <c r="AG481" s="697"/>
      <c r="AH481" s="697"/>
      <c r="AI481" s="697"/>
      <c r="AJ481" s="697"/>
      <c r="AK481" s="697"/>
      <c r="AL481" s="697"/>
      <c r="AM481" s="697"/>
      <c r="AN481" s="710"/>
      <c r="AO481" s="710"/>
      <c r="AP481" s="710">
        <v>-6.0000000000000001E-3</v>
      </c>
      <c r="AQ481" s="710">
        <v>-0.01</v>
      </c>
      <c r="AR481" s="710">
        <v>-1.0416666666666666E-2</v>
      </c>
      <c r="AS481" s="710">
        <v>-1.0833333333333332E-2</v>
      </c>
      <c r="AT481" s="710">
        <v>-1.1249999999999998E-2</v>
      </c>
      <c r="AU481" s="710">
        <v>-1.1666666666666664E-2</v>
      </c>
      <c r="AV481" s="710">
        <v>-1.208333333333333E-2</v>
      </c>
      <c r="AW481" s="710">
        <v>-1.2499999999999997E-2</v>
      </c>
      <c r="AX481" s="710">
        <v>-1.2916666666666663E-2</v>
      </c>
      <c r="AY481" s="710">
        <v>-1.3333333333333329E-2</v>
      </c>
      <c r="AZ481" s="710">
        <v>-1.3749999999999995E-2</v>
      </c>
      <c r="BA481" s="710">
        <v>-1.4166666666666661E-2</v>
      </c>
      <c r="BB481" s="710">
        <v>-1.4583333333333327E-2</v>
      </c>
      <c r="BC481" s="710">
        <v>-1.4999999999999999E-2</v>
      </c>
      <c r="BD481" s="710">
        <v>-1.5083333333333334E-2</v>
      </c>
      <c r="BE481" s="710">
        <v>-1.5166666666666669E-2</v>
      </c>
      <c r="BF481" s="710">
        <v>-1.5250000000000001E-2</v>
      </c>
      <c r="BG481" s="710">
        <v>-1.5333333333333336E-2</v>
      </c>
      <c r="BH481" s="710">
        <v>-1.5416666666666671E-2</v>
      </c>
      <c r="BI481" s="710">
        <v>-1.5500000000000003E-2</v>
      </c>
      <c r="BJ481" s="710">
        <v>-1.5583333333333338E-2</v>
      </c>
      <c r="BK481" s="710">
        <v>-1.5666666666666672E-2</v>
      </c>
      <c r="BL481" s="710">
        <v>-1.5750000000000007E-2</v>
      </c>
      <c r="BM481" s="710">
        <v>-1.5833333333333338E-2</v>
      </c>
      <c r="BN481" s="710">
        <v>-1.5916666666666673E-2</v>
      </c>
      <c r="BO481" s="710">
        <v>-1.6E-2</v>
      </c>
      <c r="BP481" s="710">
        <v>-1.6E-2</v>
      </c>
      <c r="BQ481" s="710">
        <v>-1.6E-2</v>
      </c>
      <c r="BR481" s="710">
        <v>-1.6E-2</v>
      </c>
      <c r="BS481" s="710">
        <v>-1.6E-2</v>
      </c>
      <c r="BT481" s="710">
        <v>-1.6E-2</v>
      </c>
      <c r="BU481" s="710">
        <v>-1.6E-2</v>
      </c>
      <c r="BV481" s="710">
        <v>-1.6E-2</v>
      </c>
      <c r="BW481" s="710">
        <v>-1.6E-2</v>
      </c>
      <c r="BX481" s="710">
        <v>-1.6E-2</v>
      </c>
      <c r="BY481" s="710">
        <v>-1.6E-2</v>
      </c>
      <c r="BZ481" s="710">
        <v>-1.6E-2</v>
      </c>
      <c r="CA481" s="710">
        <v>-1.6E-2</v>
      </c>
      <c r="CB481" s="710">
        <v>-1.6E-2</v>
      </c>
      <c r="CC481" s="710">
        <v>-1.6E-2</v>
      </c>
      <c r="CD481" s="710">
        <v>-1.6E-2</v>
      </c>
      <c r="CE481" s="710">
        <v>-1.6E-2</v>
      </c>
      <c r="CF481" s="710">
        <v>-1.6E-2</v>
      </c>
      <c r="CG481" s="710">
        <v>-1.6E-2</v>
      </c>
      <c r="CH481" s="710">
        <v>-1.6E-2</v>
      </c>
      <c r="CI481" s="710">
        <v>-1.6E-2</v>
      </c>
      <c r="CJ481" s="710">
        <v>-1.6E-2</v>
      </c>
      <c r="CK481" s="710">
        <v>-1.6E-2</v>
      </c>
      <c r="CL481" s="710">
        <v>-1.6E-2</v>
      </c>
      <c r="CM481" s="710">
        <v>-1.6E-2</v>
      </c>
      <c r="CN481" s="710">
        <v>-1.6E-2</v>
      </c>
      <c r="CO481" s="710">
        <v>-1.6E-2</v>
      </c>
      <c r="CP481" s="710">
        <v>-1.6E-2</v>
      </c>
      <c r="CQ481" s="710">
        <v>-1.6E-2</v>
      </c>
      <c r="CR481" s="710">
        <v>-1.6E-2</v>
      </c>
      <c r="CS481" s="710">
        <v>-1.6E-2</v>
      </c>
      <c r="CT481" s="710">
        <v>-1.6E-2</v>
      </c>
      <c r="CU481" s="710">
        <v>-1.6E-2</v>
      </c>
      <c r="CV481" s="710">
        <v>-1.6E-2</v>
      </c>
      <c r="CW481" s="710">
        <v>-1.6E-2</v>
      </c>
      <c r="CX481" s="710">
        <v>-1.6E-2</v>
      </c>
      <c r="CY481" s="710">
        <v>-1.6E-2</v>
      </c>
      <c r="CZ481" s="126"/>
      <c r="DA481" s="12">
        <v>0</v>
      </c>
      <c r="DB481" s="12">
        <v>-1.6E-2</v>
      </c>
      <c r="DC481" s="12">
        <v>-0.15249999999999997</v>
      </c>
      <c r="DD481" s="12">
        <v>-0.18650000000000005</v>
      </c>
      <c r="DE481" s="12">
        <v>-0.19200000000000006</v>
      </c>
      <c r="DF481" s="12">
        <v>-0.19200000000000006</v>
      </c>
      <c r="DG481" s="12">
        <v>-0.19200000000000006</v>
      </c>
    </row>
    <row r="482" spans="2:111">
      <c r="B482" s="126"/>
      <c r="C482" s="126"/>
      <c r="D482" s="126" t="s">
        <v>807</v>
      </c>
      <c r="E482" s="126"/>
      <c r="F482" s="609"/>
      <c r="G482" s="609" t="s">
        <v>736</v>
      </c>
      <c r="H482" s="609"/>
      <c r="I482" s="609"/>
      <c r="J482" s="609"/>
      <c r="K482" s="609"/>
      <c r="L482" s="126"/>
      <c r="M482" s="696"/>
      <c r="N482" s="696"/>
      <c r="O482" s="696"/>
      <c r="P482" s="696"/>
      <c r="Q482" s="696"/>
      <c r="R482" s="696"/>
      <c r="S482" s="696"/>
      <c r="T482" s="696"/>
      <c r="U482" s="696"/>
      <c r="V482" s="696"/>
      <c r="W482" s="696"/>
      <c r="X482" s="697"/>
      <c r="Y482" s="697"/>
      <c r="Z482" s="697"/>
      <c r="AA482" s="697"/>
      <c r="AB482" s="697"/>
      <c r="AC482" s="697"/>
      <c r="AD482" s="697"/>
      <c r="AE482" s="697"/>
      <c r="AF482" s="697"/>
      <c r="AG482" s="697"/>
      <c r="AH482" s="697"/>
      <c r="AI482" s="697"/>
      <c r="AJ482" s="697"/>
      <c r="AK482" s="697"/>
      <c r="AL482" s="697"/>
      <c r="AM482" s="697"/>
      <c r="AN482" s="710"/>
      <c r="AO482" s="710"/>
      <c r="AP482" s="710"/>
      <c r="AQ482" s="710"/>
      <c r="AR482" s="710"/>
      <c r="AS482" s="710"/>
      <c r="AT482" s="710"/>
      <c r="AU482" s="710"/>
      <c r="AV482" s="710"/>
      <c r="AW482" s="710"/>
      <c r="AX482" s="710"/>
      <c r="AY482" s="710"/>
      <c r="AZ482" s="710"/>
      <c r="BA482" s="710"/>
      <c r="BB482" s="710"/>
      <c r="BC482" s="710"/>
      <c r="BD482" s="710"/>
      <c r="BE482" s="710"/>
      <c r="BF482" s="710"/>
      <c r="BG482" s="710"/>
      <c r="BH482" s="710"/>
      <c r="BI482" s="710"/>
      <c r="BJ482" s="710"/>
      <c r="BK482" s="710"/>
      <c r="BL482" s="710"/>
      <c r="BM482" s="710"/>
      <c r="BN482" s="710"/>
      <c r="BO482" s="710"/>
      <c r="BP482" s="710"/>
      <c r="BQ482" s="710"/>
      <c r="BR482" s="710"/>
      <c r="BS482" s="710"/>
      <c r="BT482" s="710"/>
      <c r="BU482" s="710"/>
      <c r="BV482" s="710"/>
      <c r="BW482" s="710"/>
      <c r="BX482" s="710"/>
      <c r="BY482" s="710"/>
      <c r="BZ482" s="710"/>
      <c r="CA482" s="710"/>
      <c r="CB482" s="710"/>
      <c r="CC482" s="710"/>
      <c r="CD482" s="710"/>
      <c r="CE482" s="710"/>
      <c r="CF482" s="710"/>
      <c r="CG482" s="710"/>
      <c r="CH482" s="710"/>
      <c r="CI482" s="710"/>
      <c r="CJ482" s="710"/>
      <c r="CK482" s="710"/>
      <c r="CL482" s="710"/>
      <c r="CM482" s="710"/>
      <c r="CN482" s="710"/>
      <c r="CO482" s="710"/>
      <c r="CP482" s="710"/>
      <c r="CQ482" s="710"/>
      <c r="CR482" s="710"/>
      <c r="CS482" s="710"/>
      <c r="CT482" s="710"/>
      <c r="CU482" s="710"/>
      <c r="CV482" s="710"/>
      <c r="CW482" s="710"/>
      <c r="CX482" s="710"/>
      <c r="CY482" s="710"/>
      <c r="CZ482" s="126"/>
      <c r="DA482" s="14">
        <v>0</v>
      </c>
      <c r="DB482" s="12">
        <v>0</v>
      </c>
      <c r="DC482" s="12">
        <v>0</v>
      </c>
      <c r="DD482" s="12">
        <v>0</v>
      </c>
      <c r="DE482" s="12">
        <v>0</v>
      </c>
      <c r="DF482" s="12">
        <v>0</v>
      </c>
      <c r="DG482" s="12">
        <v>0</v>
      </c>
    </row>
    <row r="483" spans="2:111">
      <c r="B483" s="126"/>
      <c r="C483" s="126"/>
      <c r="D483" s="126" t="s">
        <v>703</v>
      </c>
      <c r="E483" s="702"/>
      <c r="F483" s="725"/>
      <c r="G483" s="609" t="s">
        <v>736</v>
      </c>
      <c r="H483" s="609"/>
      <c r="I483" s="609"/>
      <c r="J483" s="609"/>
      <c r="K483" s="609"/>
      <c r="L483" s="126"/>
      <c r="M483" s="696"/>
      <c r="N483" s="696"/>
      <c r="O483" s="696"/>
      <c r="P483" s="696"/>
      <c r="Q483" s="696"/>
      <c r="R483" s="696"/>
      <c r="S483" s="696"/>
      <c r="T483" s="696"/>
      <c r="U483" s="696"/>
      <c r="V483" s="696"/>
      <c r="W483" s="696"/>
      <c r="X483" s="697"/>
      <c r="Y483" s="697"/>
      <c r="Z483" s="697"/>
      <c r="AA483" s="697"/>
      <c r="AB483" s="697"/>
      <c r="AC483" s="697"/>
      <c r="AD483" s="697"/>
      <c r="AE483" s="697"/>
      <c r="AF483" s="697"/>
      <c r="AG483" s="697"/>
      <c r="AH483" s="697"/>
      <c r="AI483" s="697"/>
      <c r="AJ483" s="697"/>
      <c r="AK483" s="697"/>
      <c r="AL483" s="697"/>
      <c r="AM483" s="697"/>
      <c r="AN483" s="710"/>
      <c r="AO483" s="710"/>
      <c r="AP483" s="710"/>
      <c r="AQ483" s="710"/>
      <c r="AR483" s="710"/>
      <c r="AS483" s="710"/>
      <c r="AT483" s="710"/>
      <c r="AU483" s="710"/>
      <c r="AV483" s="710"/>
      <c r="AW483" s="710"/>
      <c r="AX483" s="710"/>
      <c r="AY483" s="710"/>
      <c r="AZ483" s="710"/>
      <c r="BA483" s="710"/>
      <c r="BB483" s="710"/>
      <c r="BC483" s="710"/>
      <c r="BD483" s="710"/>
      <c r="BE483" s="710"/>
      <c r="BF483" s="710"/>
      <c r="BG483" s="710"/>
      <c r="BH483" s="710"/>
      <c r="BI483" s="710"/>
      <c r="BJ483" s="710"/>
      <c r="BK483" s="710"/>
      <c r="BL483" s="710"/>
      <c r="BM483" s="710"/>
      <c r="BN483" s="710"/>
      <c r="BO483" s="710"/>
      <c r="BP483" s="710"/>
      <c r="BQ483" s="710"/>
      <c r="BR483" s="710"/>
      <c r="BS483" s="710"/>
      <c r="BT483" s="710"/>
      <c r="BU483" s="710"/>
      <c r="BV483" s="710"/>
      <c r="BW483" s="710"/>
      <c r="BX483" s="710"/>
      <c r="BY483" s="710"/>
      <c r="BZ483" s="710"/>
      <c r="CA483" s="710"/>
      <c r="CB483" s="710"/>
      <c r="CC483" s="710"/>
      <c r="CD483" s="710"/>
      <c r="CE483" s="710"/>
      <c r="CF483" s="710"/>
      <c r="CG483" s="710"/>
      <c r="CH483" s="710"/>
      <c r="CI483" s="710"/>
      <c r="CJ483" s="710"/>
      <c r="CK483" s="710"/>
      <c r="CL483" s="710"/>
      <c r="CM483" s="710"/>
      <c r="CN483" s="710"/>
      <c r="CO483" s="710"/>
      <c r="CP483" s="710"/>
      <c r="CQ483" s="710"/>
      <c r="CR483" s="710"/>
      <c r="CS483" s="710"/>
      <c r="CT483" s="710"/>
      <c r="CU483" s="710"/>
      <c r="CV483" s="710"/>
      <c r="CW483" s="710"/>
      <c r="CX483" s="710"/>
      <c r="CY483" s="710"/>
      <c r="CZ483" s="126"/>
      <c r="DA483" s="12">
        <v>0</v>
      </c>
      <c r="DB483" s="12">
        <v>0</v>
      </c>
      <c r="DC483" s="12">
        <v>0</v>
      </c>
      <c r="DD483" s="12">
        <v>0</v>
      </c>
      <c r="DE483" s="12">
        <v>0</v>
      </c>
      <c r="DF483" s="12">
        <v>0</v>
      </c>
      <c r="DG483" s="12">
        <v>0</v>
      </c>
    </row>
    <row r="484" spans="2:111">
      <c r="B484" s="126"/>
      <c r="C484" s="126"/>
      <c r="D484" s="126" t="s">
        <v>163</v>
      </c>
      <c r="E484" s="702"/>
      <c r="F484" s="725"/>
      <c r="G484" s="609" t="s">
        <v>736</v>
      </c>
      <c r="H484" s="609"/>
      <c r="I484" s="609"/>
      <c r="J484" s="609"/>
      <c r="K484" s="609"/>
      <c r="L484" s="126"/>
      <c r="M484" s="696"/>
      <c r="N484" s="696"/>
      <c r="O484" s="696"/>
      <c r="P484" s="696"/>
      <c r="Q484" s="696"/>
      <c r="R484" s="696"/>
      <c r="S484" s="696"/>
      <c r="T484" s="696"/>
      <c r="U484" s="696"/>
      <c r="V484" s="696"/>
      <c r="W484" s="696"/>
      <c r="X484" s="697"/>
      <c r="Y484" s="697"/>
      <c r="Z484" s="697"/>
      <c r="AA484" s="697"/>
      <c r="AB484" s="697"/>
      <c r="AC484" s="697"/>
      <c r="AD484" s="697"/>
      <c r="AE484" s="697"/>
      <c r="AF484" s="697"/>
      <c r="AG484" s="697"/>
      <c r="AH484" s="697"/>
      <c r="AI484" s="697"/>
      <c r="AJ484" s="697"/>
      <c r="AK484" s="697"/>
      <c r="AL484" s="697"/>
      <c r="AM484" s="697"/>
      <c r="AN484" s="710"/>
      <c r="AO484" s="749"/>
      <c r="AP484" s="749">
        <v>-2.52E-2</v>
      </c>
      <c r="AQ484" s="749">
        <v>-4.2000000000000003E-2</v>
      </c>
      <c r="AR484" s="749">
        <v>-4.3749999999999997E-2</v>
      </c>
      <c r="AS484" s="749">
        <v>-4.5499999999999999E-2</v>
      </c>
      <c r="AT484" s="749">
        <v>-4.7249999999999993E-2</v>
      </c>
      <c r="AU484" s="749">
        <v>-4.8999999999999995E-2</v>
      </c>
      <c r="AV484" s="749">
        <v>-5.074999999999999E-2</v>
      </c>
      <c r="AW484" s="749">
        <v>-5.2499999999999977E-2</v>
      </c>
      <c r="AX484" s="749">
        <v>-5.4249999999999979E-2</v>
      </c>
      <c r="AY484" s="749">
        <v>-5.599999999999998E-2</v>
      </c>
      <c r="AZ484" s="749">
        <v>-5.7749999999999975E-2</v>
      </c>
      <c r="BA484" s="749">
        <v>-5.9499999999999977E-2</v>
      </c>
      <c r="BB484" s="749">
        <v>-6.1249999999999971E-2</v>
      </c>
      <c r="BC484" s="749">
        <v>-6.3E-2</v>
      </c>
      <c r="BD484" s="749">
        <v>-6.3350000000000004E-2</v>
      </c>
      <c r="BE484" s="749">
        <v>-6.3700000000000007E-2</v>
      </c>
      <c r="BF484" s="749">
        <v>-6.405000000000001E-2</v>
      </c>
      <c r="BG484" s="749">
        <v>-6.4400000000000013E-2</v>
      </c>
      <c r="BH484" s="749">
        <v>-6.4750000000000002E-2</v>
      </c>
      <c r="BI484" s="749">
        <v>-6.5100000000000019E-2</v>
      </c>
      <c r="BJ484" s="749">
        <v>-6.5450000000000022E-2</v>
      </c>
      <c r="BK484" s="749">
        <v>-6.5800000000000011E-2</v>
      </c>
      <c r="BL484" s="749">
        <v>-6.6150000000000014E-2</v>
      </c>
      <c r="BM484" s="749">
        <v>-6.6500000000000017E-2</v>
      </c>
      <c r="BN484" s="749">
        <v>-6.6850000000000034E-2</v>
      </c>
      <c r="BO484" s="749">
        <v>-6.7199999999999996E-2</v>
      </c>
      <c r="BP484" s="749">
        <v>-6.7199999999999996E-2</v>
      </c>
      <c r="BQ484" s="749">
        <v>-6.7199999999999996E-2</v>
      </c>
      <c r="BR484" s="749">
        <v>-6.7199999999999996E-2</v>
      </c>
      <c r="BS484" s="749">
        <v>-6.7199999999999996E-2</v>
      </c>
      <c r="BT484" s="749">
        <v>-6.7199999999999996E-2</v>
      </c>
      <c r="BU484" s="749">
        <v>-6.7199999999999996E-2</v>
      </c>
      <c r="BV484" s="749">
        <v>-6.7199999999999996E-2</v>
      </c>
      <c r="BW484" s="749">
        <v>-6.7199999999999996E-2</v>
      </c>
      <c r="BX484" s="749">
        <v>-6.7199999999999996E-2</v>
      </c>
      <c r="BY484" s="749">
        <v>-6.7199999999999996E-2</v>
      </c>
      <c r="BZ484" s="749">
        <v>-6.7199999999999996E-2</v>
      </c>
      <c r="CA484" s="749">
        <v>-6.7199999999999996E-2</v>
      </c>
      <c r="CB484" s="749">
        <v>-6.7199999999999996E-2</v>
      </c>
      <c r="CC484" s="749">
        <v>-6.7199999999999996E-2</v>
      </c>
      <c r="CD484" s="749">
        <v>-6.7199999999999996E-2</v>
      </c>
      <c r="CE484" s="749">
        <v>-6.7199999999999996E-2</v>
      </c>
      <c r="CF484" s="749">
        <v>-6.7199999999999996E-2</v>
      </c>
      <c r="CG484" s="749">
        <v>-6.7199999999999996E-2</v>
      </c>
      <c r="CH484" s="749">
        <v>-6.7199999999999996E-2</v>
      </c>
      <c r="CI484" s="749">
        <v>-6.7199999999999996E-2</v>
      </c>
      <c r="CJ484" s="749">
        <v>-6.7199999999999996E-2</v>
      </c>
      <c r="CK484" s="749">
        <v>-6.7199999999999996E-2</v>
      </c>
      <c r="CL484" s="749">
        <v>-6.7199999999999996E-2</v>
      </c>
      <c r="CM484" s="749">
        <v>-6.7199999999999996E-2</v>
      </c>
      <c r="CN484" s="749">
        <v>-6.7199999999999996E-2</v>
      </c>
      <c r="CO484" s="749">
        <v>-6.7199999999999996E-2</v>
      </c>
      <c r="CP484" s="749">
        <v>-6.7199999999999996E-2</v>
      </c>
      <c r="CQ484" s="749">
        <v>-6.7199999999999996E-2</v>
      </c>
      <c r="CR484" s="749">
        <v>-6.7199999999999996E-2</v>
      </c>
      <c r="CS484" s="749">
        <v>-6.7199999999999996E-2</v>
      </c>
      <c r="CT484" s="749">
        <v>-6.7199999999999996E-2</v>
      </c>
      <c r="CU484" s="749">
        <v>-6.7199999999999996E-2</v>
      </c>
      <c r="CV484" s="749">
        <v>-6.7199999999999996E-2</v>
      </c>
      <c r="CW484" s="749">
        <v>-6.7199999999999996E-2</v>
      </c>
      <c r="CX484" s="749">
        <v>-6.7199999999999996E-2</v>
      </c>
      <c r="CY484" s="749">
        <v>-6.7199999999999996E-2</v>
      </c>
      <c r="CZ484" s="126"/>
      <c r="DA484" s="12">
        <v>0</v>
      </c>
      <c r="DB484" s="12">
        <v>-6.720000000000001E-2</v>
      </c>
      <c r="DC484" s="12">
        <v>-0.64049999999999985</v>
      </c>
      <c r="DD484" s="12">
        <v>-0.78330000000000022</v>
      </c>
      <c r="DE484" s="12">
        <v>-0.80640000000000012</v>
      </c>
      <c r="DF484" s="12">
        <v>-0.80640000000000012</v>
      </c>
      <c r="DG484" s="12">
        <v>-0.80640000000000012</v>
      </c>
    </row>
    <row r="485" spans="2:111">
      <c r="B485" s="126"/>
      <c r="C485" s="126"/>
      <c r="D485" s="718" t="s">
        <v>152</v>
      </c>
      <c r="E485" s="126"/>
      <c r="F485" s="609"/>
      <c r="G485" s="609" t="s">
        <v>736</v>
      </c>
      <c r="H485" s="609"/>
      <c r="I485" s="609"/>
      <c r="J485" s="609"/>
      <c r="K485" s="609"/>
      <c r="L485" s="126"/>
      <c r="M485" s="696"/>
      <c r="N485" s="696"/>
      <c r="O485" s="696"/>
      <c r="P485" s="696"/>
      <c r="Q485" s="696"/>
      <c r="R485" s="696"/>
      <c r="S485" s="696"/>
      <c r="T485" s="696"/>
      <c r="U485" s="696"/>
      <c r="V485" s="696"/>
      <c r="W485" s="696"/>
      <c r="X485" s="697"/>
      <c r="Y485" s="697"/>
      <c r="Z485" s="697"/>
      <c r="AA485" s="697"/>
      <c r="AB485" s="697"/>
      <c r="AC485" s="697"/>
      <c r="AD485" s="697"/>
      <c r="AE485" s="697"/>
      <c r="AF485" s="697"/>
      <c r="AG485" s="697"/>
      <c r="AH485" s="697"/>
      <c r="AI485" s="697"/>
      <c r="AJ485" s="697"/>
      <c r="AK485" s="697"/>
      <c r="AL485" s="697"/>
      <c r="AM485" s="697"/>
      <c r="AN485" s="710"/>
      <c r="AO485" s="749"/>
      <c r="AP485" s="749"/>
      <c r="AQ485" s="749"/>
      <c r="AR485" s="751">
        <v>-6.3764095221048875E-3</v>
      </c>
      <c r="AS485" s="751">
        <v>-6.484074203710187E-3</v>
      </c>
      <c r="AT485" s="751">
        <v>-6.5870570107858248E-3</v>
      </c>
      <c r="AU485" s="751">
        <v>-6.6856568364611268E-3</v>
      </c>
      <c r="AV485" s="751">
        <v>-6.7801476620180483E-3</v>
      </c>
      <c r="AW485" s="751">
        <v>-6.8707810993249756E-3</v>
      </c>
      <c r="AX485" s="751">
        <v>-2.075129941723106E-3</v>
      </c>
      <c r="AY485" s="751">
        <v>-2.1000617665225445E-3</v>
      </c>
      <c r="AZ485" s="751">
        <v>-2.1240345297592004E-3</v>
      </c>
      <c r="BA485" s="751">
        <v>-2.1471025260029718E-3</v>
      </c>
      <c r="BB485" s="751">
        <v>-2.1693160274172374E-3</v>
      </c>
      <c r="BC485" s="751">
        <v>-2.1907216494845361E-3</v>
      </c>
      <c r="BD485" s="751">
        <v>-2.2200577200577202E-3</v>
      </c>
      <c r="BE485" s="751">
        <v>-2.2498545666084935E-3</v>
      </c>
      <c r="BF485" s="751">
        <v>-2.2801231310466143E-3</v>
      </c>
      <c r="BG485" s="751">
        <v>-2.3108747044917263E-3</v>
      </c>
      <c r="BH485" s="751">
        <v>-2.3421209413166523E-3</v>
      </c>
      <c r="BI485" s="751">
        <v>-2.3738738738738746E-3</v>
      </c>
      <c r="BJ485" s="751">
        <v>-2.4061459279442936E-3</v>
      </c>
      <c r="BK485" s="751">
        <v>-2.4389499389499392E-3</v>
      </c>
      <c r="BL485" s="751">
        <v>-2.4722991689750699E-3</v>
      </c>
      <c r="BM485" s="751">
        <v>-2.5062073246430797E-3</v>
      </c>
      <c r="BN485" s="751">
        <v>-2.5406885758998445E-3</v>
      </c>
      <c r="BO485" s="751">
        <v>-2.5757575757575759E-3</v>
      </c>
      <c r="BP485" s="751">
        <v>-2.5628140703517592E-3</v>
      </c>
      <c r="BQ485" s="751">
        <v>-2.5500000000000006E-3</v>
      </c>
      <c r="BR485" s="751">
        <v>-2.5373134328358212E-3</v>
      </c>
      <c r="BS485" s="751">
        <v>-2.5247524752475253E-3</v>
      </c>
      <c r="BT485" s="751">
        <v>-2.5123152709359609E-3</v>
      </c>
      <c r="BU485" s="751">
        <v>-2.5000000000000009E-3</v>
      </c>
      <c r="BV485" s="751">
        <v>-2.487804878048781E-3</v>
      </c>
      <c r="BW485" s="751">
        <v>-2.4757281553398065E-3</v>
      </c>
      <c r="BX485" s="751">
        <v>-2.4637681159420297E-3</v>
      </c>
      <c r="BY485" s="751">
        <v>-2.4519230769230777E-3</v>
      </c>
      <c r="BZ485" s="751">
        <v>-2.4401913875598093E-3</v>
      </c>
      <c r="CA485" s="751">
        <v>-2.4285714285714288E-3</v>
      </c>
      <c r="CB485" s="751">
        <v>-2.4285714285714288E-3</v>
      </c>
      <c r="CC485" s="751">
        <v>-2.4285714285714288E-3</v>
      </c>
      <c r="CD485" s="751">
        <v>-2.4285714285714288E-3</v>
      </c>
      <c r="CE485" s="751">
        <v>-2.4285714285714288E-3</v>
      </c>
      <c r="CF485" s="751">
        <v>-2.4285714285714288E-3</v>
      </c>
      <c r="CG485" s="751">
        <v>-2.4285714285714288E-3</v>
      </c>
      <c r="CH485" s="751">
        <v>-2.4285714285714288E-3</v>
      </c>
      <c r="CI485" s="751">
        <v>-2.4285714285714288E-3</v>
      </c>
      <c r="CJ485" s="751">
        <v>-2.4285714285714288E-3</v>
      </c>
      <c r="CK485" s="751">
        <v>-2.4285714285714288E-3</v>
      </c>
      <c r="CL485" s="751">
        <v>-2.4285714285714288E-3</v>
      </c>
      <c r="CM485" s="751">
        <v>-2.4285714285714288E-3</v>
      </c>
      <c r="CN485" s="751">
        <v>-2.4285714285714288E-3</v>
      </c>
      <c r="CO485" s="751">
        <v>-2.4285714285714288E-3</v>
      </c>
      <c r="CP485" s="751">
        <v>-2.4285714285714288E-3</v>
      </c>
      <c r="CQ485" s="751">
        <v>-2.4285714285714288E-3</v>
      </c>
      <c r="CR485" s="751">
        <v>-2.4285714285714288E-3</v>
      </c>
      <c r="CS485" s="751">
        <v>-2.4285714285714288E-3</v>
      </c>
      <c r="CT485" s="751">
        <v>-2.4285714285714288E-3</v>
      </c>
      <c r="CU485" s="751">
        <v>-2.4285714285714288E-3</v>
      </c>
      <c r="CV485" s="751">
        <v>-2.4285714285714288E-3</v>
      </c>
      <c r="CW485" s="751">
        <v>-2.4285714285714288E-3</v>
      </c>
      <c r="CX485" s="751">
        <v>-2.4285714285714288E-3</v>
      </c>
      <c r="CY485" s="751">
        <v>-2.4285714285714288E-3</v>
      </c>
      <c r="CZ485" s="126"/>
      <c r="DA485" s="12"/>
      <c r="DB485" s="12">
        <v>0</v>
      </c>
      <c r="DC485" s="12">
        <v>-5.2590492775314655E-2</v>
      </c>
      <c r="DD485" s="12">
        <v>-2.8716953449564882E-2</v>
      </c>
      <c r="DE485" s="12">
        <v>-2.9935182291755999E-2</v>
      </c>
      <c r="DF485" s="12">
        <v>-2.9142857142857147E-2</v>
      </c>
      <c r="DG485" s="12">
        <v>-2.9142857142857147E-2</v>
      </c>
    </row>
    <row r="486" spans="2:111">
      <c r="B486" s="126"/>
      <c r="C486" s="126"/>
      <c r="D486" s="126" t="s">
        <v>144</v>
      </c>
      <c r="E486" s="718"/>
      <c r="F486" s="727"/>
      <c r="G486" s="609" t="s">
        <v>736</v>
      </c>
      <c r="H486" s="609"/>
      <c r="I486" s="609"/>
      <c r="J486" s="609"/>
      <c r="K486" s="609"/>
      <c r="L486" s="126"/>
      <c r="M486" s="696"/>
      <c r="N486" s="696"/>
      <c r="O486" s="696"/>
      <c r="P486" s="696"/>
      <c r="Q486" s="696"/>
      <c r="R486" s="696"/>
      <c r="S486" s="696"/>
      <c r="T486" s="696"/>
      <c r="U486" s="696"/>
      <c r="V486" s="696"/>
      <c r="W486" s="696"/>
      <c r="X486" s="697"/>
      <c r="Y486" s="697"/>
      <c r="Z486" s="697"/>
      <c r="AA486" s="697"/>
      <c r="AB486" s="697"/>
      <c r="AC486" s="697"/>
      <c r="AD486" s="697"/>
      <c r="AE486" s="697"/>
      <c r="AF486" s="697"/>
      <c r="AG486" s="697"/>
      <c r="AH486" s="697"/>
      <c r="AI486" s="697"/>
      <c r="AJ486" s="697"/>
      <c r="AK486" s="697"/>
      <c r="AL486" s="697"/>
      <c r="AM486" s="697"/>
      <c r="AN486" s="710"/>
      <c r="AO486" s="749"/>
      <c r="AP486" s="749"/>
      <c r="AQ486" s="749"/>
      <c r="AR486" s="751">
        <v>-7.457788914742558E-2</v>
      </c>
      <c r="AS486" s="751">
        <v>-7.5837125189592819E-2</v>
      </c>
      <c r="AT486" s="751">
        <v>-7.7041602465331274E-2</v>
      </c>
      <c r="AU486" s="751">
        <v>-7.8194816800714925E-2</v>
      </c>
      <c r="AV486" s="751">
        <v>-7.929997265518185E-2</v>
      </c>
      <c r="AW486" s="751">
        <v>-8.0360012857602053E-2</v>
      </c>
      <c r="AX486" s="751">
        <v>-8.1377644773455132E-2</v>
      </c>
      <c r="AY486" s="751">
        <v>-8.2355363393040976E-2</v>
      </c>
      <c r="AZ486" s="751">
        <v>-8.3295471755262765E-2</v>
      </c>
      <c r="BA486" s="751">
        <v>-8.4200099058940062E-2</v>
      </c>
      <c r="BB486" s="751">
        <v>-8.5071216761460303E-2</v>
      </c>
      <c r="BC486" s="751">
        <v>-8.5910652920962199E-2</v>
      </c>
      <c r="BD486" s="751">
        <v>-0.13059163059163059</v>
      </c>
      <c r="BE486" s="751">
        <v>-0.13234438627108785</v>
      </c>
      <c r="BF486" s="751">
        <v>-0.13412489006156553</v>
      </c>
      <c r="BG486" s="751">
        <v>-0.13593380614657213</v>
      </c>
      <c r="BH486" s="751">
        <v>-0.13777182007745012</v>
      </c>
      <c r="BI486" s="751">
        <v>-0.13963963963963966</v>
      </c>
      <c r="BJ486" s="751">
        <v>-0.14153799576142903</v>
      </c>
      <c r="BK486" s="751">
        <v>-0.14346764346764349</v>
      </c>
      <c r="BL486" s="751">
        <v>-0.14542936288088645</v>
      </c>
      <c r="BM486" s="751">
        <v>-0.14742396027312232</v>
      </c>
      <c r="BN486" s="751">
        <v>-0.14945226917057911</v>
      </c>
      <c r="BO486" s="751">
        <v>-0.15151515151515152</v>
      </c>
      <c r="BP486" s="751">
        <v>-0.19597989949748745</v>
      </c>
      <c r="BQ486" s="751">
        <v>-0.19500000000000003</v>
      </c>
      <c r="BR486" s="751">
        <v>-0.19402985074626869</v>
      </c>
      <c r="BS486" s="751">
        <v>-0.1930693069306931</v>
      </c>
      <c r="BT486" s="751">
        <v>-0.19211822660098526</v>
      </c>
      <c r="BU486" s="751">
        <v>-0.19117647058823534</v>
      </c>
      <c r="BV486" s="751">
        <v>-0.19024390243902442</v>
      </c>
      <c r="BW486" s="751">
        <v>-0.18932038834951462</v>
      </c>
      <c r="BX486" s="751">
        <v>-0.18840579710144931</v>
      </c>
      <c r="BY486" s="751">
        <v>-0.18750000000000006</v>
      </c>
      <c r="BZ486" s="751">
        <v>-0.18660287081339719</v>
      </c>
      <c r="CA486" s="751">
        <v>-0.18571428571428572</v>
      </c>
      <c r="CB486" s="751">
        <v>-0.22285714285714286</v>
      </c>
      <c r="CC486" s="751">
        <v>-0.22285714285714286</v>
      </c>
      <c r="CD486" s="751">
        <v>-0.22285714285714286</v>
      </c>
      <c r="CE486" s="751">
        <v>-0.22285714285714286</v>
      </c>
      <c r="CF486" s="751">
        <v>-0.22285714285714286</v>
      </c>
      <c r="CG486" s="751">
        <v>-0.22285714285714286</v>
      </c>
      <c r="CH486" s="751">
        <v>-0.22285714285714286</v>
      </c>
      <c r="CI486" s="751">
        <v>-0.22285714285714286</v>
      </c>
      <c r="CJ486" s="751">
        <v>-0.22285714285714286</v>
      </c>
      <c r="CK486" s="751">
        <v>-0.22285714285714286</v>
      </c>
      <c r="CL486" s="751">
        <v>-0.22285714285714286</v>
      </c>
      <c r="CM486" s="751">
        <v>-0.22285714285714286</v>
      </c>
      <c r="CN486" s="751">
        <v>-0.24514285714285716</v>
      </c>
      <c r="CO486" s="751">
        <v>-0.24514285714285716</v>
      </c>
      <c r="CP486" s="751">
        <v>-0.24514285714285716</v>
      </c>
      <c r="CQ486" s="751">
        <v>-0.24514285714285716</v>
      </c>
      <c r="CR486" s="751">
        <v>-0.24514285714285716</v>
      </c>
      <c r="CS486" s="751">
        <v>-0.24514285714285716</v>
      </c>
      <c r="CT486" s="751">
        <v>-0.24514285714285716</v>
      </c>
      <c r="CU486" s="751">
        <v>-0.24514285714285716</v>
      </c>
      <c r="CV486" s="751">
        <v>-0.24514285714285716</v>
      </c>
      <c r="CW486" s="751">
        <v>-0.24514285714285716</v>
      </c>
      <c r="CX486" s="751">
        <v>-0.24514285714285716</v>
      </c>
      <c r="CY486" s="751">
        <v>-0.24514285714285716</v>
      </c>
      <c r="CZ486" s="126"/>
      <c r="DA486" s="12">
        <v>0</v>
      </c>
      <c r="DB486" s="12">
        <v>0</v>
      </c>
      <c r="DC486" s="12">
        <v>-0.96752186777896998</v>
      </c>
      <c r="DD486" s="12">
        <v>-1.689232555856758</v>
      </c>
      <c r="DE486" s="12">
        <v>-2.289160998781341</v>
      </c>
      <c r="DF486" s="12">
        <v>-2.6742857142857144</v>
      </c>
      <c r="DG486" s="12">
        <v>-2.9417142857142857</v>
      </c>
    </row>
    <row r="487" spans="2:111">
      <c r="B487" s="126"/>
      <c r="C487" s="126"/>
      <c r="D487" s="698" t="s">
        <v>808</v>
      </c>
      <c r="E487" s="126"/>
      <c r="F487" s="126"/>
      <c r="G487" s="609" t="s">
        <v>736</v>
      </c>
      <c r="H487" s="609"/>
      <c r="I487" s="609"/>
      <c r="J487" s="609"/>
      <c r="K487" s="609"/>
      <c r="L487" s="126"/>
      <c r="M487" s="696"/>
      <c r="N487" s="696"/>
      <c r="O487" s="696"/>
      <c r="P487" s="696"/>
      <c r="Q487" s="696"/>
      <c r="R487" s="696"/>
      <c r="S487" s="696"/>
      <c r="T487" s="696"/>
      <c r="U487" s="696"/>
      <c r="V487" s="696"/>
      <c r="W487" s="696"/>
      <c r="X487" s="697"/>
      <c r="Y487" s="697"/>
      <c r="Z487" s="697"/>
      <c r="AA487" s="697"/>
      <c r="AB487" s="697"/>
      <c r="AC487" s="697"/>
      <c r="AD487" s="697"/>
      <c r="AE487" s="697"/>
      <c r="AF487" s="697"/>
      <c r="AG487" s="697"/>
      <c r="AH487" s="697"/>
      <c r="AI487" s="697"/>
      <c r="AJ487" s="697"/>
      <c r="AK487" s="697"/>
      <c r="AL487" s="697"/>
      <c r="AM487" s="697"/>
      <c r="AN487" s="714"/>
      <c r="AO487" s="714"/>
      <c r="AP487" s="714">
        <v>-1.9292500000000004E-3</v>
      </c>
      <c r="AQ487" s="714">
        <v>-5.7432444746376814E-3</v>
      </c>
      <c r="AR487" s="714">
        <v>-8.6539326732490846E-3</v>
      </c>
      <c r="AS487" s="714">
        <v>-1.2948704078877667E-2</v>
      </c>
      <c r="AT487" s="714">
        <v>-1.7414069049351621E-2</v>
      </c>
      <c r="AU487" s="714">
        <v>-2.1605130478920691E-2</v>
      </c>
      <c r="AV487" s="714">
        <v>-2.5711031212458602E-2</v>
      </c>
      <c r="AW487" s="714">
        <v>-2.9762714768764575E-2</v>
      </c>
      <c r="AX487" s="714">
        <v>-3.3886823970860722E-2</v>
      </c>
      <c r="AY487" s="714">
        <v>-3.8230248291283464E-2</v>
      </c>
      <c r="AZ487" s="714">
        <v>-4.2889909178648121E-2</v>
      </c>
      <c r="BA487" s="714">
        <v>-4.7987036179965394E-2</v>
      </c>
      <c r="BB487" s="714">
        <v>-5.3585179107514584E-2</v>
      </c>
      <c r="BC487" s="714">
        <v>-5.9661278179841598E-2</v>
      </c>
      <c r="BD487" s="714">
        <v>-8.330227737986752E-2</v>
      </c>
      <c r="BE487" s="714">
        <v>-0.10151282381715632</v>
      </c>
      <c r="BF487" s="714">
        <v>-0.11818933275914111</v>
      </c>
      <c r="BG487" s="714">
        <v>-0.13146878630150713</v>
      </c>
      <c r="BH487" s="714">
        <v>-0.1431663666152776</v>
      </c>
      <c r="BI487" s="714">
        <v>-0.15400479398651681</v>
      </c>
      <c r="BJ487" s="714">
        <v>-0.16449543489735829</v>
      </c>
      <c r="BK487" s="714">
        <v>-0.17409319831346118</v>
      </c>
      <c r="BL487" s="714">
        <v>-0.18342061462354586</v>
      </c>
      <c r="BM487" s="714">
        <v>-0.19323199539738733</v>
      </c>
      <c r="BN487" s="714">
        <v>-0.203277247504633</v>
      </c>
      <c r="BO487" s="714">
        <v>-0.2133786074860996</v>
      </c>
      <c r="BP487" s="714">
        <v>-0.22339184414183469</v>
      </c>
      <c r="BQ487" s="714">
        <v>-0.2331595385560124</v>
      </c>
      <c r="BR487" s="714">
        <v>-0.2429085144381733</v>
      </c>
      <c r="BS487" s="714">
        <v>-0.25263724372302393</v>
      </c>
      <c r="BT487" s="714">
        <v>-0.26233246563933793</v>
      </c>
      <c r="BU487" s="714">
        <v>-0.27201241779210372</v>
      </c>
      <c r="BV487" s="714">
        <v>-0.28268179879266592</v>
      </c>
      <c r="BW487" s="714">
        <v>-0.29422699376833744</v>
      </c>
      <c r="BX487" s="714">
        <v>-0.30551640872401253</v>
      </c>
      <c r="BY487" s="714">
        <v>-0.31672146138971141</v>
      </c>
      <c r="BZ487" s="714">
        <v>-0.32790724409819777</v>
      </c>
      <c r="CA487" s="714">
        <v>-0.33911136952079346</v>
      </c>
      <c r="CB487" s="714">
        <v>-0.351601248344869</v>
      </c>
      <c r="CC487" s="714">
        <v>-0.36470345476701399</v>
      </c>
      <c r="CD487" s="714">
        <v>-0.37686719696014054</v>
      </c>
      <c r="CE487" s="714">
        <v>-0.38877146541908814</v>
      </c>
      <c r="CF487" s="714">
        <v>-0.40057758305428309</v>
      </c>
      <c r="CG487" s="714">
        <v>-0.41237538681444497</v>
      </c>
      <c r="CH487" s="714">
        <v>-0.42421664390842645</v>
      </c>
      <c r="CI487" s="714">
        <v>-0.43550860367295158</v>
      </c>
      <c r="CJ487" s="714">
        <v>-0.44609629061216527</v>
      </c>
      <c r="CK487" s="714">
        <v>-0.45652822300097595</v>
      </c>
      <c r="CL487" s="714">
        <v>-0.46688723398408971</v>
      </c>
      <c r="CM487" s="714">
        <v>-0.47722023051414625</v>
      </c>
      <c r="CN487" s="714">
        <v>-0.48755173681278219</v>
      </c>
      <c r="CO487" s="714">
        <v>-0.49789501065369973</v>
      </c>
      <c r="CP487" s="714">
        <v>-0.50827081172729061</v>
      </c>
      <c r="CQ487" s="714">
        <v>-0.51868061694222178</v>
      </c>
      <c r="CR487" s="714">
        <v>-0.52910542952000972</v>
      </c>
      <c r="CS487" s="714">
        <v>-0.53953809114288964</v>
      </c>
      <c r="CT487" s="714">
        <v>-0.54997399890048349</v>
      </c>
      <c r="CU487" s="714">
        <v>-0.56041044184726674</v>
      </c>
      <c r="CV487" s="714">
        <v>-0.57084594622077245</v>
      </c>
      <c r="CW487" s="714">
        <v>-0.58127955283800414</v>
      </c>
      <c r="CX487" s="714">
        <v>-0.59171128660110905</v>
      </c>
      <c r="CY487" s="714">
        <v>-0.60245327638761259</v>
      </c>
      <c r="CZ487" s="126"/>
      <c r="DA487" s="14">
        <v>0</v>
      </c>
      <c r="DB487" s="12">
        <v>-7.6724944746376818E-3</v>
      </c>
      <c r="DC487" s="12">
        <v>-0.39233605716973619</v>
      </c>
      <c r="DD487" s="12">
        <v>-1.863541479081952</v>
      </c>
      <c r="DE487" s="12">
        <v>-3.352607300584205</v>
      </c>
      <c r="DF487" s="12">
        <v>-5.0013535610525945</v>
      </c>
      <c r="DG487" s="12">
        <v>-6.5377161995941417</v>
      </c>
    </row>
    <row r="488" spans="2:111">
      <c r="B488" s="126"/>
      <c r="C488" s="126"/>
      <c r="D488" s="698"/>
      <c r="E488" s="126" t="s">
        <v>827</v>
      </c>
      <c r="F488" s="126"/>
      <c r="G488" s="609" t="s">
        <v>736</v>
      </c>
      <c r="H488" s="609"/>
      <c r="I488" s="609"/>
      <c r="J488" s="609"/>
      <c r="K488" s="609"/>
      <c r="L488" s="126"/>
      <c r="M488" s="696"/>
      <c r="N488" s="696"/>
      <c r="O488" s="696"/>
      <c r="P488" s="696"/>
      <c r="Q488" s="696"/>
      <c r="R488" s="696"/>
      <c r="S488" s="696"/>
      <c r="T488" s="696"/>
      <c r="U488" s="696"/>
      <c r="V488" s="696"/>
      <c r="W488" s="696"/>
      <c r="X488" s="697"/>
      <c r="Y488" s="697"/>
      <c r="Z488" s="697"/>
      <c r="AA488" s="697"/>
      <c r="AB488" s="697"/>
      <c r="AC488" s="697"/>
      <c r="AD488" s="697"/>
      <c r="AE488" s="697"/>
      <c r="AF488" s="697"/>
      <c r="AG488" s="697"/>
      <c r="AH488" s="697"/>
      <c r="AI488" s="697"/>
      <c r="AJ488" s="697"/>
      <c r="AK488" s="697"/>
      <c r="AL488" s="697"/>
      <c r="AM488" s="697"/>
      <c r="AN488" s="710"/>
      <c r="AO488" s="710"/>
      <c r="AP488" s="710"/>
      <c r="AQ488" s="710"/>
      <c r="AR488" s="710"/>
      <c r="AS488" s="710"/>
      <c r="AT488" s="710"/>
      <c r="AU488" s="710"/>
      <c r="AV488" s="710"/>
      <c r="AW488" s="710"/>
      <c r="AX488" s="710"/>
      <c r="AY488" s="710"/>
      <c r="AZ488" s="710"/>
      <c r="BA488" s="710"/>
      <c r="BB488" s="710"/>
      <c r="BC488" s="710"/>
      <c r="BD488" s="710"/>
      <c r="BE488" s="710"/>
      <c r="BF488" s="710"/>
      <c r="BG488" s="710"/>
      <c r="BH488" s="710"/>
      <c r="BI488" s="710"/>
      <c r="BJ488" s="710"/>
      <c r="BK488" s="710"/>
      <c r="BL488" s="710"/>
      <c r="BM488" s="710"/>
      <c r="BN488" s="710"/>
      <c r="BO488" s="710"/>
      <c r="BP488" s="710"/>
      <c r="BQ488" s="710"/>
      <c r="BR488" s="710"/>
      <c r="BS488" s="710"/>
      <c r="BT488" s="710"/>
      <c r="BU488" s="710"/>
      <c r="BV488" s="710"/>
      <c r="BW488" s="710"/>
      <c r="BX488" s="710"/>
      <c r="BY488" s="710"/>
      <c r="BZ488" s="710"/>
      <c r="CA488" s="710"/>
      <c r="CB488" s="710"/>
      <c r="CC488" s="710"/>
      <c r="CD488" s="710"/>
      <c r="CE488" s="710"/>
      <c r="CF488" s="710"/>
      <c r="CG488" s="710"/>
      <c r="CH488" s="710"/>
      <c r="CI488" s="710"/>
      <c r="CJ488" s="710"/>
      <c r="CK488" s="710"/>
      <c r="CL488" s="710"/>
      <c r="CM488" s="710"/>
      <c r="CN488" s="710"/>
      <c r="CO488" s="710"/>
      <c r="CP488" s="710"/>
      <c r="CQ488" s="710"/>
      <c r="CR488" s="710"/>
      <c r="CS488" s="710"/>
      <c r="CT488" s="710"/>
      <c r="CU488" s="710"/>
      <c r="CV488" s="710"/>
      <c r="CW488" s="710"/>
      <c r="CX488" s="710"/>
      <c r="CY488" s="710"/>
      <c r="CZ488" s="126"/>
      <c r="DA488" s="12">
        <v>0</v>
      </c>
      <c r="DB488" s="12">
        <v>0</v>
      </c>
      <c r="DC488" s="12">
        <v>0</v>
      </c>
      <c r="DD488" s="12">
        <v>0</v>
      </c>
      <c r="DE488" s="12">
        <v>0</v>
      </c>
      <c r="DF488" s="12">
        <v>0</v>
      </c>
      <c r="DG488" s="12">
        <v>0</v>
      </c>
    </row>
    <row r="489" spans="2:111">
      <c r="B489" s="126"/>
      <c r="C489" s="126"/>
      <c r="D489" s="698"/>
      <c r="E489" s="126" t="s">
        <v>828</v>
      </c>
      <c r="F489" s="126"/>
      <c r="G489" s="609" t="s">
        <v>736</v>
      </c>
      <c r="H489" s="609"/>
      <c r="I489" s="609"/>
      <c r="J489" s="609"/>
      <c r="K489" s="609"/>
      <c r="L489" s="126"/>
      <c r="M489" s="696"/>
      <c r="N489" s="696"/>
      <c r="O489" s="696"/>
      <c r="P489" s="696"/>
      <c r="Q489" s="696"/>
      <c r="R489" s="696"/>
      <c r="S489" s="696"/>
      <c r="T489" s="696"/>
      <c r="U489" s="696"/>
      <c r="V489" s="696"/>
      <c r="W489" s="696"/>
      <c r="X489" s="697"/>
      <c r="Y489" s="697"/>
      <c r="Z489" s="697"/>
      <c r="AA489" s="697"/>
      <c r="AB489" s="697"/>
      <c r="AC489" s="697"/>
      <c r="AD489" s="697"/>
      <c r="AE489" s="697"/>
      <c r="AF489" s="697"/>
      <c r="AG489" s="697"/>
      <c r="AH489" s="697"/>
      <c r="AI489" s="697"/>
      <c r="AJ489" s="697"/>
      <c r="AK489" s="697"/>
      <c r="AL489" s="697"/>
      <c r="AM489" s="697"/>
      <c r="AN489" s="710"/>
      <c r="AO489" s="710"/>
      <c r="AP489" s="710"/>
      <c r="AQ489" s="710"/>
      <c r="AR489" s="710"/>
      <c r="AS489" s="710"/>
      <c r="AT489" s="710"/>
      <c r="AU489" s="710"/>
      <c r="AV489" s="710"/>
      <c r="AW489" s="710"/>
      <c r="AX489" s="710"/>
      <c r="AY489" s="710"/>
      <c r="AZ489" s="710"/>
      <c r="BA489" s="710"/>
      <c r="BB489" s="710"/>
      <c r="BC489" s="710"/>
      <c r="BD489" s="710"/>
      <c r="BE489" s="710"/>
      <c r="BF489" s="710"/>
      <c r="BG489" s="710"/>
      <c r="BH489" s="710"/>
      <c r="BI489" s="710"/>
      <c r="BJ489" s="710"/>
      <c r="BK489" s="710"/>
      <c r="BL489" s="710"/>
      <c r="BM489" s="710"/>
      <c r="BN489" s="710"/>
      <c r="BO489" s="710"/>
      <c r="BP489" s="710"/>
      <c r="BQ489" s="710"/>
      <c r="BR489" s="710"/>
      <c r="BS489" s="710"/>
      <c r="BT489" s="710"/>
      <c r="BU489" s="710"/>
      <c r="BV489" s="710"/>
      <c r="BW489" s="710"/>
      <c r="BX489" s="710"/>
      <c r="BY489" s="710"/>
      <c r="BZ489" s="710"/>
      <c r="CA489" s="710"/>
      <c r="CB489" s="710"/>
      <c r="CC489" s="710"/>
      <c r="CD489" s="710"/>
      <c r="CE489" s="710"/>
      <c r="CF489" s="710"/>
      <c r="CG489" s="710"/>
      <c r="CH489" s="710"/>
      <c r="CI489" s="710"/>
      <c r="CJ489" s="710"/>
      <c r="CK489" s="710"/>
      <c r="CL489" s="710"/>
      <c r="CM489" s="710"/>
      <c r="CN489" s="710"/>
      <c r="CO489" s="710"/>
      <c r="CP489" s="710"/>
      <c r="CQ489" s="710"/>
      <c r="CR489" s="710"/>
      <c r="CS489" s="710"/>
      <c r="CT489" s="710"/>
      <c r="CU489" s="710"/>
      <c r="CV489" s="710"/>
      <c r="CW489" s="710"/>
      <c r="CX489" s="710"/>
      <c r="CY489" s="710"/>
      <c r="CZ489" s="126"/>
      <c r="DA489" s="12">
        <v>0</v>
      </c>
      <c r="DB489" s="12">
        <v>0</v>
      </c>
      <c r="DC489" s="12">
        <v>0</v>
      </c>
      <c r="DD489" s="12">
        <v>0</v>
      </c>
      <c r="DE489" s="12">
        <v>0</v>
      </c>
      <c r="DF489" s="12">
        <v>0</v>
      </c>
      <c r="DG489" s="12">
        <v>0</v>
      </c>
    </row>
    <row r="490" spans="2:111">
      <c r="B490" s="126"/>
      <c r="C490" s="698" t="s">
        <v>820</v>
      </c>
      <c r="D490" s="126"/>
      <c r="E490" s="126"/>
      <c r="F490" s="609"/>
      <c r="G490" s="609" t="s">
        <v>736</v>
      </c>
      <c r="H490" s="609"/>
      <c r="I490" s="609"/>
      <c r="J490" s="609"/>
      <c r="K490" s="609"/>
      <c r="L490" s="126"/>
      <c r="M490" s="696"/>
      <c r="N490" s="696"/>
      <c r="O490" s="696"/>
      <c r="P490" s="696"/>
      <c r="Q490" s="696"/>
      <c r="R490" s="696"/>
      <c r="S490" s="696"/>
      <c r="T490" s="696"/>
      <c r="U490" s="696"/>
      <c r="V490" s="696"/>
      <c r="W490" s="696"/>
      <c r="X490" s="697"/>
      <c r="Y490" s="697"/>
      <c r="Z490" s="697"/>
      <c r="AA490" s="697"/>
      <c r="AB490" s="697"/>
      <c r="AC490" s="697"/>
      <c r="AD490" s="697"/>
      <c r="AE490" s="697"/>
      <c r="AF490" s="697"/>
      <c r="AG490" s="697"/>
      <c r="AH490" s="697"/>
      <c r="AI490" s="697"/>
      <c r="AJ490" s="697"/>
      <c r="AK490" s="697"/>
      <c r="AL490" s="697"/>
      <c r="AM490" s="697"/>
      <c r="AN490" s="696"/>
      <c r="AO490" s="696"/>
      <c r="AP490" s="696">
        <v>-0.16923674999999999</v>
      </c>
      <c r="AQ490" s="696">
        <v>-0.26951079972826086</v>
      </c>
      <c r="AR490" s="696">
        <v>-0.34806106606862208</v>
      </c>
      <c r="AS490" s="696">
        <v>-0.3355158118642752</v>
      </c>
      <c r="AT490" s="696">
        <v>-0.33435889589176215</v>
      </c>
      <c r="AU490" s="696">
        <v>-0.33616762230743369</v>
      </c>
      <c r="AV490" s="696">
        <v>-0.34242100561548272</v>
      </c>
      <c r="AW490" s="696">
        <v>-0.37184454466801331</v>
      </c>
      <c r="AX490" s="696">
        <v>-0.43998771252044344</v>
      </c>
      <c r="AY490" s="696">
        <v>-0.5162455042929508</v>
      </c>
      <c r="AZ490" s="696">
        <v>-0.60868604118697045</v>
      </c>
      <c r="BA490" s="696">
        <v>-0.69737575079241088</v>
      </c>
      <c r="BB490" s="696">
        <v>-0.76560501939693582</v>
      </c>
      <c r="BC490" s="696">
        <v>-0.81203489090792191</v>
      </c>
      <c r="BD490" s="696">
        <v>-0.77522026117183584</v>
      </c>
      <c r="BE490" s="696">
        <v>-0.73210764464267308</v>
      </c>
      <c r="BF490" s="696">
        <v>-0.65543823349663832</v>
      </c>
      <c r="BG490" s="696">
        <v>-0.56796122490766954</v>
      </c>
      <c r="BH490" s="696">
        <v>-0.55307696895616687</v>
      </c>
      <c r="BI490" s="696">
        <v>-0.50879909362601261</v>
      </c>
      <c r="BJ490" s="696">
        <v>-0.41465722135916017</v>
      </c>
      <c r="BK490" s="696">
        <v>-0.44702447290638203</v>
      </c>
      <c r="BL490" s="696">
        <v>-0.64072717309625726</v>
      </c>
      <c r="BM490" s="696">
        <v>-0.73249447476167195</v>
      </c>
      <c r="BN490" s="696">
        <v>-0.74297205234897379</v>
      </c>
      <c r="BO490" s="696">
        <v>-0.75046504469385433</v>
      </c>
      <c r="BP490" s="696">
        <v>-0.74185177250142176</v>
      </c>
      <c r="BQ490" s="696">
        <v>-0.78497347604052958</v>
      </c>
      <c r="BR490" s="696">
        <v>-0.81939945170292638</v>
      </c>
      <c r="BS490" s="696">
        <v>-0.84716660192633864</v>
      </c>
      <c r="BT490" s="696">
        <v>-0.87908322245568127</v>
      </c>
      <c r="BU490" s="696">
        <v>-0.91488442059177166</v>
      </c>
      <c r="BV490" s="696">
        <v>-0.9144575243565527</v>
      </c>
      <c r="BW490" s="696">
        <v>-0.9415199834978778</v>
      </c>
      <c r="BX490" s="696">
        <v>-0.96313188600549537</v>
      </c>
      <c r="BY490" s="696">
        <v>-0.92575994095576797</v>
      </c>
      <c r="BZ490" s="696">
        <v>-0.94634151739045436</v>
      </c>
      <c r="CA490" s="696">
        <v>-0.96607864931151743</v>
      </c>
      <c r="CB490" s="696">
        <v>-0.86247204498251739</v>
      </c>
      <c r="CC490" s="696">
        <v>-0.67549231809181332</v>
      </c>
      <c r="CD490" s="696">
        <v>-0.6868784672960917</v>
      </c>
      <c r="CE490" s="696">
        <v>-0.62570643447884566</v>
      </c>
      <c r="CF490" s="696">
        <v>-0.63778390990918976</v>
      </c>
      <c r="CG490" s="696">
        <v>-0.64768887451097834</v>
      </c>
      <c r="CH490" s="696">
        <v>-0.51497002434812722</v>
      </c>
      <c r="CI490" s="696">
        <v>-0.28761543320901417</v>
      </c>
      <c r="CJ490" s="696">
        <v>-0.3082192892244382</v>
      </c>
      <c r="CK490" s="696">
        <v>-0.32239708741929718</v>
      </c>
      <c r="CL490" s="696">
        <v>-0.33729611088073219</v>
      </c>
      <c r="CM490" s="696">
        <v>-0.34955435275608404</v>
      </c>
      <c r="CN490" s="696">
        <v>-0.38373754370661062</v>
      </c>
      <c r="CO490" s="696">
        <v>-0.39838402171284781</v>
      </c>
      <c r="CP490" s="696">
        <v>-0.41343107595280992</v>
      </c>
      <c r="CQ490" s="696">
        <v>-0.42011544963468661</v>
      </c>
      <c r="CR490" s="696">
        <v>-0.42550018683292934</v>
      </c>
      <c r="CS490" s="696">
        <v>-0.43017614522131931</v>
      </c>
      <c r="CT490" s="696">
        <v>-0.43462998480520887</v>
      </c>
      <c r="CU490" s="696">
        <v>-0.43900970244461179</v>
      </c>
      <c r="CV490" s="696">
        <v>-0.4433575818641351</v>
      </c>
      <c r="CW490" s="696">
        <v>-0.44780835138394592</v>
      </c>
      <c r="CX490" s="696">
        <v>-0.45259327848328024</v>
      </c>
      <c r="CY490" s="696">
        <v>-0.48854332918881926</v>
      </c>
      <c r="CZ490" s="126"/>
      <c r="DA490" s="14">
        <v>0</v>
      </c>
      <c r="DB490" s="14">
        <v>-0.43874754972826085</v>
      </c>
      <c r="DC490" s="14">
        <v>-5.9083038655132221</v>
      </c>
      <c r="DD490" s="14">
        <v>-7.520943865967296</v>
      </c>
      <c r="DE490" s="14">
        <v>-10.644648446736335</v>
      </c>
      <c r="DF490" s="14">
        <v>-6.2560743471071287</v>
      </c>
      <c r="DG490" s="14">
        <v>-5.1772866512312046</v>
      </c>
    </row>
    <row r="491" spans="2:111">
      <c r="B491" s="126"/>
      <c r="C491" s="229"/>
      <c r="D491" s="230" t="s">
        <v>423</v>
      </c>
      <c r="E491" s="126"/>
      <c r="F491" s="609"/>
      <c r="G491" s="609" t="s">
        <v>736</v>
      </c>
      <c r="H491" s="609"/>
      <c r="I491" s="609"/>
      <c r="J491" s="609"/>
      <c r="K491" s="609"/>
      <c r="L491" s="126"/>
      <c r="M491" s="696"/>
      <c r="N491" s="696"/>
      <c r="O491" s="696"/>
      <c r="P491" s="696"/>
      <c r="Q491" s="696"/>
      <c r="R491" s="696"/>
      <c r="S491" s="696"/>
      <c r="T491" s="696"/>
      <c r="U491" s="696"/>
      <c r="V491" s="696"/>
      <c r="W491" s="696"/>
      <c r="X491" s="697"/>
      <c r="Y491" s="697"/>
      <c r="Z491" s="697"/>
      <c r="AA491" s="697"/>
      <c r="AB491" s="697"/>
      <c r="AC491" s="697"/>
      <c r="AD491" s="697"/>
      <c r="AE491" s="697"/>
      <c r="AF491" s="697"/>
      <c r="AG491" s="697"/>
      <c r="AH491" s="697"/>
      <c r="AI491" s="697"/>
      <c r="AJ491" s="697"/>
      <c r="AK491" s="697"/>
      <c r="AL491" s="697"/>
      <c r="AM491" s="697"/>
      <c r="AN491" s="696"/>
      <c r="AO491" s="739"/>
      <c r="AP491" s="739">
        <v>0</v>
      </c>
      <c r="AQ491" s="739">
        <v>0</v>
      </c>
      <c r="AR491" s="739">
        <v>0</v>
      </c>
      <c r="AS491" s="739">
        <v>0</v>
      </c>
      <c r="AT491" s="739">
        <v>7.1820000000000009E-2</v>
      </c>
      <c r="AU491" s="739">
        <v>0.22195799999999999</v>
      </c>
      <c r="AV491" s="739">
        <v>0.47508415704545448</v>
      </c>
      <c r="AW491" s="739">
        <v>0.8367173168807851</v>
      </c>
      <c r="AX491" s="739">
        <v>1.2318653129822428</v>
      </c>
      <c r="AY491" s="739">
        <v>1.6155212976197069</v>
      </c>
      <c r="AZ491" s="739">
        <v>1.9806756004493704</v>
      </c>
      <c r="BA491" s="739">
        <v>2.310569320587609</v>
      </c>
      <c r="BB491" s="739">
        <v>2.6017362156739448</v>
      </c>
      <c r="BC491" s="739">
        <v>2.8859376097386953</v>
      </c>
      <c r="BD491" s="739">
        <v>3.0971455642942844</v>
      </c>
      <c r="BE491" s="739">
        <v>3.2557869212462225</v>
      </c>
      <c r="BF491" s="739">
        <v>3.3392560574272432</v>
      </c>
      <c r="BG491" s="739">
        <v>3.2987492121455437</v>
      </c>
      <c r="BH491" s="739">
        <v>3.5769893560596824</v>
      </c>
      <c r="BI491" s="739">
        <v>4.0634811654967118</v>
      </c>
      <c r="BJ491" s="739">
        <v>4.5830870090502227</v>
      </c>
      <c r="BK491" s="739">
        <v>5.3072434468939322</v>
      </c>
      <c r="BL491" s="739">
        <v>5.6446547546843338</v>
      </c>
      <c r="BM491" s="739">
        <v>5.8631973233337016</v>
      </c>
      <c r="BN491" s="739">
        <v>6.1618454704179513</v>
      </c>
      <c r="BO491" s="739">
        <v>6.4085491821121243</v>
      </c>
      <c r="BP491" s="739">
        <v>6.8039853990981376</v>
      </c>
      <c r="BQ491" s="739">
        <v>7.1897976716804042</v>
      </c>
      <c r="BR491" s="739">
        <v>7.5686290039704627</v>
      </c>
      <c r="BS491" s="739">
        <v>7.9633305783004857</v>
      </c>
      <c r="BT491" s="739">
        <v>8.3639493211224298</v>
      </c>
      <c r="BU491" s="739">
        <v>8.7619105780127455</v>
      </c>
      <c r="BV491" s="739">
        <v>9.1602309678143055</v>
      </c>
      <c r="BW491" s="739">
        <v>9.5518824568419962</v>
      </c>
      <c r="BX491" s="739">
        <v>9.942657270488267</v>
      </c>
      <c r="BY491" s="739">
        <v>9.9917822613349507</v>
      </c>
      <c r="BZ491" s="739">
        <v>10.039753828966884</v>
      </c>
      <c r="CA491" s="739">
        <v>10.084755877543373</v>
      </c>
      <c r="CB491" s="739">
        <v>10.12658850815752</v>
      </c>
      <c r="CC491" s="739">
        <v>10.506065136251985</v>
      </c>
      <c r="CD491" s="739">
        <v>10.882564406360951</v>
      </c>
      <c r="CE491" s="739">
        <v>10.836142218141184</v>
      </c>
      <c r="CF491" s="739">
        <v>10.796103524950002</v>
      </c>
      <c r="CG491" s="739">
        <v>10.74974896244056</v>
      </c>
      <c r="CH491" s="739">
        <v>10.694717336194737</v>
      </c>
      <c r="CI491" s="739">
        <v>11.051963735066877</v>
      </c>
      <c r="CJ491" s="739">
        <v>11.392542943493266</v>
      </c>
      <c r="CK491" s="739">
        <v>11.729413635135188</v>
      </c>
      <c r="CL491" s="739">
        <v>12.073724762164554</v>
      </c>
      <c r="CM491" s="739">
        <v>12.413507700339839</v>
      </c>
      <c r="CN491" s="739">
        <v>12.747516386639917</v>
      </c>
      <c r="CO491" s="739">
        <v>13.074979905852462</v>
      </c>
      <c r="CP491" s="739">
        <v>13.386610447697441</v>
      </c>
      <c r="CQ491" s="739">
        <v>13.695376277110004</v>
      </c>
      <c r="CR491" s="739">
        <v>14.002773342623755</v>
      </c>
      <c r="CS491" s="739">
        <v>14.309506700059806</v>
      </c>
      <c r="CT491" s="739">
        <v>14.616410320571292</v>
      </c>
      <c r="CU491" s="739">
        <v>14.923779527453812</v>
      </c>
      <c r="CV491" s="739">
        <v>15.231716492337215</v>
      </c>
      <c r="CW491" s="739">
        <v>15.54039556293629</v>
      </c>
      <c r="CX491" s="739">
        <v>15.849374285969809</v>
      </c>
      <c r="CY491" s="739">
        <v>16.1585073480659</v>
      </c>
      <c r="CZ491" s="126"/>
      <c r="DA491" s="11">
        <v>0</v>
      </c>
      <c r="DB491" s="11">
        <v>0</v>
      </c>
      <c r="DC491" s="11">
        <v>2.8859376097386953</v>
      </c>
      <c r="DD491" s="11">
        <v>6.4085491821121243</v>
      </c>
      <c r="DE491" s="11">
        <v>10.084755877543373</v>
      </c>
      <c r="DF491" s="11">
        <v>12.413507700339839</v>
      </c>
      <c r="DG491" s="11">
        <v>16.1585073480659</v>
      </c>
    </row>
    <row r="492" spans="2:111">
      <c r="B492" s="126"/>
      <c r="C492" s="229"/>
      <c r="D492" s="230" t="s">
        <v>810</v>
      </c>
      <c r="E492" s="126"/>
      <c r="F492" s="609"/>
      <c r="G492" s="609" t="s">
        <v>736</v>
      </c>
      <c r="H492" s="609"/>
      <c r="I492" s="609"/>
      <c r="J492" s="609"/>
      <c r="K492" s="609"/>
      <c r="L492" s="126"/>
      <c r="M492" s="696"/>
      <c r="N492" s="696"/>
      <c r="O492" s="696"/>
      <c r="P492" s="696"/>
      <c r="Q492" s="696"/>
      <c r="R492" s="696"/>
      <c r="S492" s="696"/>
      <c r="T492" s="696"/>
      <c r="U492" s="696"/>
      <c r="V492" s="696"/>
      <c r="W492" s="696"/>
      <c r="X492" s="697"/>
      <c r="Y492" s="697"/>
      <c r="Z492" s="697"/>
      <c r="AA492" s="697"/>
      <c r="AB492" s="697"/>
      <c r="AC492" s="697"/>
      <c r="AD492" s="697"/>
      <c r="AE492" s="697"/>
      <c r="AF492" s="697"/>
      <c r="AG492" s="697"/>
      <c r="AH492" s="697"/>
      <c r="AI492" s="697"/>
      <c r="AJ492" s="697"/>
      <c r="AK492" s="697"/>
      <c r="AL492" s="697"/>
      <c r="AM492" s="697"/>
      <c r="AN492" s="696"/>
      <c r="AO492" s="739"/>
      <c r="AP492" s="739">
        <v>0</v>
      </c>
      <c r="AQ492" s="739">
        <v>8.4000000000000019E-2</v>
      </c>
      <c r="AR492" s="739">
        <v>0.25120000000000003</v>
      </c>
      <c r="AS492" s="739">
        <v>0.52591398484848484</v>
      </c>
      <c r="AT492" s="739">
        <v>0.9113693464049587</v>
      </c>
      <c r="AU492" s="739">
        <v>1.401912040031718</v>
      </c>
      <c r="AV492" s="739">
        <v>1.9893077581485288</v>
      </c>
      <c r="AW492" s="739">
        <v>2.6312461139939614</v>
      </c>
      <c r="AX492" s="739">
        <v>3.2728608714493288</v>
      </c>
      <c r="AY492" s="739">
        <v>3.900591527359007</v>
      </c>
      <c r="AZ492" s="739">
        <v>4.4832365809948769</v>
      </c>
      <c r="BA492" s="739">
        <v>5.0110469626083773</v>
      </c>
      <c r="BB492" s="739">
        <v>5.4832235500322239</v>
      </c>
      <c r="BC492" s="739">
        <v>5.9354829328654395</v>
      </c>
      <c r="BD492" s="739">
        <v>6.0669618939463721</v>
      </c>
      <c r="BE492" s="739">
        <v>6.6155408532037523</v>
      </c>
      <c r="BF492" s="739">
        <v>7.3367881707509186</v>
      </c>
      <c r="BG492" s="739">
        <v>7.9409490504667115</v>
      </c>
      <c r="BH492" s="739">
        <v>8.6891098682520624</v>
      </c>
      <c r="BI492" s="739">
        <v>9.281310553576601</v>
      </c>
      <c r="BJ492" s="739">
        <v>10.041504066788457</v>
      </c>
      <c r="BK492" s="739">
        <v>10.981790145251539</v>
      </c>
      <c r="BL492" s="739">
        <v>11.681359877699807</v>
      </c>
      <c r="BM492" s="739">
        <v>12.243218105285674</v>
      </c>
      <c r="BN492" s="739">
        <v>12.884185837621272</v>
      </c>
      <c r="BO492" s="739">
        <v>13.48258416144453</v>
      </c>
      <c r="BP492" s="739">
        <v>14.24475870401095</v>
      </c>
      <c r="BQ492" s="739">
        <v>14.993159218580097</v>
      </c>
      <c r="BR492" s="739">
        <v>15.733985117533575</v>
      </c>
      <c r="BS492" s="739">
        <v>16.484082934679176</v>
      </c>
      <c r="BT492" s="739">
        <v>17.239515655125931</v>
      </c>
      <c r="BU492" s="739">
        <v>17.99155904104855</v>
      </c>
      <c r="BV492" s="739">
        <v>18.255221431617809</v>
      </c>
      <c r="BW492" s="739">
        <v>18.608793027112185</v>
      </c>
      <c r="BX492" s="739">
        <v>18.989183695946565</v>
      </c>
      <c r="BY492" s="739">
        <v>19.383246146642556</v>
      </c>
      <c r="BZ492" s="739">
        <v>19.772708023231026</v>
      </c>
      <c r="CA492" s="739">
        <v>20.158356076984827</v>
      </c>
      <c r="CB492" s="739">
        <v>19.936947922953539</v>
      </c>
      <c r="CC492" s="739">
        <v>20.183465833678014</v>
      </c>
      <c r="CD492" s="739">
        <v>20.454545706471581</v>
      </c>
      <c r="CE492" s="739">
        <v>20.735852608597963</v>
      </c>
      <c r="CF492" s="739">
        <v>21.005639341159828</v>
      </c>
      <c r="CG492" s="739">
        <v>21.265068782588518</v>
      </c>
      <c r="CH492" s="739">
        <v>21.514220672851316</v>
      </c>
      <c r="CI492" s="739">
        <v>22.188049951817597</v>
      </c>
      <c r="CJ492" s="739">
        <v>22.836587725445696</v>
      </c>
      <c r="CK492" s="739">
        <v>23.473635094776739</v>
      </c>
      <c r="CL492" s="739">
        <v>24.101395591312006</v>
      </c>
      <c r="CM492" s="739">
        <v>24.721550081752849</v>
      </c>
      <c r="CN492" s="739">
        <v>25.334415020178419</v>
      </c>
      <c r="CO492" s="739">
        <v>25.940153607830549</v>
      </c>
      <c r="CP492" s="739">
        <v>26.529702701751503</v>
      </c>
      <c r="CQ492" s="739">
        <v>27.116883399195853</v>
      </c>
      <c r="CR492" s="739">
        <v>27.703298770162032</v>
      </c>
      <c r="CS492" s="739">
        <v>28.289831138716771</v>
      </c>
      <c r="CT492" s="739">
        <v>28.876854374927596</v>
      </c>
      <c r="CU492" s="739">
        <v>29.464513745745268</v>
      </c>
      <c r="CV492" s="739">
        <v>30.052813768393552</v>
      </c>
      <c r="CW492" s="739">
        <v>30.641876538000556</v>
      </c>
      <c r="CX492" s="739">
        <v>31.231212526926214</v>
      </c>
      <c r="CY492" s="739">
        <v>31.820663778046089</v>
      </c>
      <c r="CZ492" s="126"/>
      <c r="DA492" s="11">
        <v>0</v>
      </c>
      <c r="DB492" s="11">
        <v>8.4000000000000019E-2</v>
      </c>
      <c r="DC492" s="11">
        <v>5.9354829328654395</v>
      </c>
      <c r="DD492" s="11">
        <v>13.48258416144453</v>
      </c>
      <c r="DE492" s="11">
        <v>20.158356076984827</v>
      </c>
      <c r="DF492" s="11">
        <v>24.721550081752849</v>
      </c>
      <c r="DG492" s="11">
        <v>31.820663778046089</v>
      </c>
    </row>
    <row r="493" spans="2:111">
      <c r="B493" s="126"/>
      <c r="C493" s="230" t="s">
        <v>811</v>
      </c>
      <c r="D493" s="229"/>
      <c r="E493" s="126"/>
      <c r="F493" s="609"/>
      <c r="G493" s="609" t="s">
        <v>812</v>
      </c>
      <c r="H493" s="609"/>
      <c r="I493" s="609"/>
      <c r="J493" s="609"/>
      <c r="K493" s="609"/>
      <c r="L493" s="126"/>
      <c r="M493" s="696"/>
      <c r="N493" s="696"/>
      <c r="O493" s="696"/>
      <c r="P493" s="696"/>
      <c r="Q493" s="696"/>
      <c r="R493" s="696"/>
      <c r="S493" s="696"/>
      <c r="T493" s="696"/>
      <c r="U493" s="696"/>
      <c r="V493" s="696"/>
      <c r="W493" s="696"/>
      <c r="X493" s="697"/>
      <c r="Y493" s="697"/>
      <c r="Z493" s="697"/>
      <c r="AA493" s="697"/>
      <c r="AB493" s="697"/>
      <c r="AC493" s="697"/>
      <c r="AD493" s="697"/>
      <c r="AE493" s="697"/>
      <c r="AF493" s="697"/>
      <c r="AG493" s="697"/>
      <c r="AH493" s="697"/>
      <c r="AI493" s="697"/>
      <c r="AJ493" s="697"/>
      <c r="AK493" s="697"/>
      <c r="AL493" s="697"/>
      <c r="AM493" s="697"/>
      <c r="AN493" s="696"/>
      <c r="AO493" s="753"/>
      <c r="AP493" s="753">
        <v>0</v>
      </c>
      <c r="AQ493" s="753">
        <v>0</v>
      </c>
      <c r="AR493" s="753">
        <v>0</v>
      </c>
      <c r="AS493" s="753">
        <v>0</v>
      </c>
      <c r="AT493" s="753">
        <v>1.0199165770511404E-2</v>
      </c>
      <c r="AU493" s="753">
        <v>2.4290763848446695E-2</v>
      </c>
      <c r="AV493" s="753">
        <v>4.1866761076156576E-2</v>
      </c>
      <c r="AW493" s="753">
        <v>6.1591516363299514E-2</v>
      </c>
      <c r="AX493" s="753">
        <v>7.7634910158577222E-2</v>
      </c>
      <c r="AY493" s="753">
        <v>8.883103230306498E-2</v>
      </c>
      <c r="AZ493" s="753">
        <v>9.6352575019677769E-2</v>
      </c>
      <c r="BA493" s="753">
        <v>0.10048427423374161</v>
      </c>
      <c r="BB493" s="753">
        <v>0.10185176229182995</v>
      </c>
      <c r="BC493" s="753">
        <v>0.10242953718494691</v>
      </c>
      <c r="BD493" s="753">
        <v>8.2038024715375565E-2</v>
      </c>
      <c r="BE493" s="753">
        <v>7.2593567113118387E-2</v>
      </c>
      <c r="BF493" s="753">
        <v>6.5994190344708312E-2</v>
      </c>
      <c r="BG493" s="753">
        <v>5.9258866647295357E-2</v>
      </c>
      <c r="BH493" s="753">
        <v>5.9260628468680979E-2</v>
      </c>
      <c r="BI493" s="753">
        <v>6.2623181138398737E-2</v>
      </c>
      <c r="BJ493" s="753">
        <v>6.6048259122778855E-2</v>
      </c>
      <c r="BK493" s="753">
        <v>7.2213035926942643E-2</v>
      </c>
      <c r="BL493" s="753">
        <v>7.2842308439141232E-2</v>
      </c>
      <c r="BM493" s="753">
        <v>7.1813750412593136E-2</v>
      </c>
      <c r="BN493" s="753">
        <v>7.1834945004405543E-2</v>
      </c>
      <c r="BO493" s="753">
        <v>7.1121021627601241E-2</v>
      </c>
      <c r="BP493" s="753">
        <v>7.2092143986252827E-2</v>
      </c>
      <c r="BQ493" s="753">
        <v>7.2901392084539773E-2</v>
      </c>
      <c r="BR493" s="753">
        <v>7.3574960275129858E-2</v>
      </c>
      <c r="BS493" s="753">
        <v>7.4345329968110122E-2</v>
      </c>
      <c r="BT493" s="753">
        <v>7.5116759498811608E-2</v>
      </c>
      <c r="BU493" s="753">
        <v>7.5810419564092138E-2</v>
      </c>
      <c r="BV493" s="753">
        <v>7.6463283066740509E-2</v>
      </c>
      <c r="BW493" s="753">
        <v>7.7016838924552522E-2</v>
      </c>
      <c r="BX493" s="753">
        <v>7.7526294924961672E-2</v>
      </c>
      <c r="BY493" s="753">
        <v>7.5423992982610641E-2</v>
      </c>
      <c r="BZ493" s="753">
        <v>7.3442912390260601E-2</v>
      </c>
      <c r="CA493" s="753">
        <v>7.1559207442612405E-2</v>
      </c>
      <c r="CB493" s="753">
        <v>6.9599618337412156E-2</v>
      </c>
      <c r="CC493" s="753">
        <v>7.0080713718937801E-2</v>
      </c>
      <c r="CD493" s="753">
        <v>7.0552441319653575E-2</v>
      </c>
      <c r="CE493" s="753">
        <v>6.8350643226694485E-2</v>
      </c>
      <c r="CF493" s="753">
        <v>6.6313884034944245E-2</v>
      </c>
      <c r="CG493" s="753">
        <v>6.4348482748420519E-2</v>
      </c>
      <c r="CH493" s="753">
        <v>6.2279220428303757E-2</v>
      </c>
      <c r="CI493" s="753">
        <v>6.2728107684370038E-2</v>
      </c>
      <c r="CJ493" s="753">
        <v>6.3096521136168898E-2</v>
      </c>
      <c r="CK493" s="753">
        <v>6.3445065216356344E-2</v>
      </c>
      <c r="CL493" s="753">
        <v>6.3826155443361829E-2</v>
      </c>
      <c r="CM493" s="753">
        <v>6.4171783036123448E-2</v>
      </c>
      <c r="CN493" s="753">
        <v>6.4475857136180967E-2</v>
      </c>
      <c r="CO493" s="753">
        <v>6.4738938357080125E-2</v>
      </c>
      <c r="CP493" s="753">
        <v>6.4912560820922588E-2</v>
      </c>
      <c r="CQ493" s="753">
        <v>6.5064091637712707E-2</v>
      </c>
      <c r="CR493" s="753">
        <v>6.5202191520945446E-2</v>
      </c>
      <c r="CS493" s="753">
        <v>6.5331206053276497E-2</v>
      </c>
      <c r="CT493" s="753">
        <v>6.5455641479833793E-2</v>
      </c>
      <c r="CU493" s="753">
        <v>6.5577226748640305E-2</v>
      </c>
      <c r="CV493" s="753">
        <v>6.569662127486392E-2</v>
      </c>
      <c r="CW493" s="753">
        <v>6.5814879949278787E-2</v>
      </c>
      <c r="CX493" s="753">
        <v>6.593024459741606E-2</v>
      </c>
      <c r="CY493" s="753">
        <v>6.4999885116704251E-2</v>
      </c>
      <c r="CZ493" s="126"/>
      <c r="DA493" s="729">
        <v>0</v>
      </c>
      <c r="DB493" s="729">
        <v>0</v>
      </c>
      <c r="DC493" s="729">
        <v>0.10242953718494691</v>
      </c>
      <c r="DD493" s="729">
        <v>7.1121021627601241E-2</v>
      </c>
      <c r="DE493" s="729">
        <v>7.1559207442612405E-2</v>
      </c>
      <c r="DF493" s="729">
        <v>6.4171783036123448E-2</v>
      </c>
      <c r="DG493" s="729">
        <v>6.4999885116704251E-2</v>
      </c>
    </row>
    <row r="494" spans="2:111">
      <c r="B494" s="126"/>
      <c r="C494" s="230" t="s">
        <v>813</v>
      </c>
      <c r="D494" s="229"/>
      <c r="E494" s="126"/>
      <c r="F494" s="609"/>
      <c r="G494" s="609" t="s">
        <v>812</v>
      </c>
      <c r="H494" s="609"/>
      <c r="I494" s="609"/>
      <c r="J494" s="609"/>
      <c r="K494" s="609"/>
      <c r="L494" s="126"/>
      <c r="M494" s="696"/>
      <c r="N494" s="696"/>
      <c r="O494" s="696"/>
      <c r="P494" s="696"/>
      <c r="Q494" s="696"/>
      <c r="R494" s="696"/>
      <c r="S494" s="696"/>
      <c r="T494" s="696"/>
      <c r="U494" s="696"/>
      <c r="V494" s="696"/>
      <c r="W494" s="696"/>
      <c r="X494" s="697"/>
      <c r="Y494" s="697"/>
      <c r="Z494" s="697"/>
      <c r="AA494" s="697"/>
      <c r="AB494" s="697"/>
      <c r="AC494" s="697"/>
      <c r="AD494" s="697"/>
      <c r="AE494" s="697"/>
      <c r="AF494" s="697"/>
      <c r="AG494" s="697"/>
      <c r="AH494" s="697"/>
      <c r="AI494" s="697"/>
      <c r="AJ494" s="697"/>
      <c r="AK494" s="697"/>
      <c r="AL494" s="697"/>
      <c r="AM494" s="697"/>
      <c r="AN494" s="697"/>
      <c r="AO494" s="753"/>
      <c r="AP494" s="753">
        <v>0</v>
      </c>
      <c r="AQ494" s="753">
        <v>4.5652173913043485E-2</v>
      </c>
      <c r="AR494" s="753">
        <v>7.558391735516469E-2</v>
      </c>
      <c r="AS494" s="753">
        <v>0.10337828591476887</v>
      </c>
      <c r="AT494" s="753">
        <v>0.12942365694996943</v>
      </c>
      <c r="AU494" s="753">
        <v>0.1534232345790853</v>
      </c>
      <c r="AV494" s="753">
        <v>0.17530761946536685</v>
      </c>
      <c r="AW494" s="753">
        <v>0.19368839967371904</v>
      </c>
      <c r="AX494" s="753">
        <v>0.20626302002234725</v>
      </c>
      <c r="AY494" s="753">
        <v>0.21447787316602371</v>
      </c>
      <c r="AZ494" s="753">
        <v>0.21809295217413091</v>
      </c>
      <c r="BA494" s="753">
        <v>0.21792525881060487</v>
      </c>
      <c r="BB494" s="753">
        <v>0.21465511309192439</v>
      </c>
      <c r="BC494" s="753">
        <v>0.21066594361948326</v>
      </c>
      <c r="BD494" s="753">
        <v>0.1607033184170745</v>
      </c>
      <c r="BE494" s="753">
        <v>0.14750526386806626</v>
      </c>
      <c r="BF494" s="753">
        <v>0.14499798360248689</v>
      </c>
      <c r="BG494" s="753">
        <v>0.14265153564932825</v>
      </c>
      <c r="BH494" s="753">
        <v>0.14395405196096522</v>
      </c>
      <c r="BI494" s="753">
        <v>0.1430362707064034</v>
      </c>
      <c r="BJ494" s="753">
        <v>0.1447111654821332</v>
      </c>
      <c r="BK494" s="753">
        <v>0.14942378548044832</v>
      </c>
      <c r="BL494" s="753">
        <v>0.15074389066822622</v>
      </c>
      <c r="BM494" s="753">
        <v>0.1499576699833825</v>
      </c>
      <c r="BN494" s="753">
        <v>0.15020415320627747</v>
      </c>
      <c r="BO494" s="753">
        <v>0.14962749484993706</v>
      </c>
      <c r="BP494" s="753">
        <v>0.15093142258581346</v>
      </c>
      <c r="BQ494" s="753">
        <v>0.15202405251053161</v>
      </c>
      <c r="BR494" s="753">
        <v>0.152950729832937</v>
      </c>
      <c r="BS494" s="753">
        <v>0.15389472695505788</v>
      </c>
      <c r="BT494" s="753">
        <v>0.15482835938182229</v>
      </c>
      <c r="BU494" s="753">
        <v>0.1556678337869293</v>
      </c>
      <c r="BV494" s="753">
        <v>0.15238198345394788</v>
      </c>
      <c r="BW494" s="753">
        <v>0.15004271897450366</v>
      </c>
      <c r="BX494" s="753">
        <v>0.14806515155318553</v>
      </c>
      <c r="BY494" s="753">
        <v>0.14631642114559626</v>
      </c>
      <c r="BZ494" s="753">
        <v>0.14464152087858417</v>
      </c>
      <c r="CA494" s="753">
        <v>0.14303925664945275</v>
      </c>
      <c r="CB494" s="753">
        <v>0.13702580737161757</v>
      </c>
      <c r="CC494" s="753">
        <v>0.13463382080748842</v>
      </c>
      <c r="CD494" s="753">
        <v>0.13260827887519724</v>
      </c>
      <c r="CE494" s="753">
        <v>0.13079459784856207</v>
      </c>
      <c r="CF494" s="753">
        <v>0.12902484013147572</v>
      </c>
      <c r="CG494" s="753">
        <v>0.12729366206424461</v>
      </c>
      <c r="CH494" s="753">
        <v>0.1252851150252485</v>
      </c>
      <c r="CI494" s="753">
        <v>0.12593367296960042</v>
      </c>
      <c r="CJ494" s="753">
        <v>0.12647828033156724</v>
      </c>
      <c r="CK494" s="753">
        <v>0.12697022679735145</v>
      </c>
      <c r="CL494" s="753">
        <v>0.12740885283666614</v>
      </c>
      <c r="CM494" s="753">
        <v>0.12779836178934928</v>
      </c>
      <c r="CN494" s="753">
        <v>0.12813932329451191</v>
      </c>
      <c r="CO494" s="753">
        <v>0.12843905057466642</v>
      </c>
      <c r="CP494" s="753">
        <v>0.12864428578966006</v>
      </c>
      <c r="CQ494" s="753">
        <v>0.12882708373360294</v>
      </c>
      <c r="CR494" s="753">
        <v>0.12899700280627557</v>
      </c>
      <c r="CS494" s="753">
        <v>0.12915950396306664</v>
      </c>
      <c r="CT494" s="753">
        <v>0.1293171842863777</v>
      </c>
      <c r="CU494" s="753">
        <v>0.12947129749462499</v>
      </c>
      <c r="CV494" s="753">
        <v>0.1296221818059333</v>
      </c>
      <c r="CW494" s="753">
        <v>0.12977091976853672</v>
      </c>
      <c r="CX494" s="753">
        <v>0.12991563224025007</v>
      </c>
      <c r="CY494" s="753">
        <v>0.12800312834327726</v>
      </c>
      <c r="CZ494" s="126"/>
      <c r="DA494" s="729">
        <v>0</v>
      </c>
      <c r="DB494" s="729">
        <v>4.5652173913043485E-2</v>
      </c>
      <c r="DC494" s="729">
        <v>0.21066594361948326</v>
      </c>
      <c r="DD494" s="729">
        <v>0.14962749484993706</v>
      </c>
      <c r="DE494" s="729">
        <v>0.14303925664945275</v>
      </c>
      <c r="DF494" s="729">
        <v>0.12779836178934928</v>
      </c>
      <c r="DG494" s="729">
        <v>0.12800312834327726</v>
      </c>
    </row>
    <row r="495" spans="2:111">
      <c r="B495" s="126"/>
      <c r="C495" s="230" t="s">
        <v>814</v>
      </c>
      <c r="D495" s="229"/>
      <c r="E495" s="126"/>
      <c r="F495" s="609"/>
      <c r="G495" s="609" t="s">
        <v>812</v>
      </c>
      <c r="H495" s="609"/>
      <c r="I495" s="609"/>
      <c r="J495" s="609"/>
      <c r="K495" s="609"/>
      <c r="L495" s="126"/>
      <c r="M495" s="696"/>
      <c r="N495" s="696"/>
      <c r="O495" s="696"/>
      <c r="P495" s="696"/>
      <c r="Q495" s="696"/>
      <c r="R495" s="696"/>
      <c r="S495" s="696"/>
      <c r="T495" s="696"/>
      <c r="U495" s="696"/>
      <c r="V495" s="696"/>
      <c r="W495" s="696"/>
      <c r="X495" s="697"/>
      <c r="Y495" s="697"/>
      <c r="Z495" s="697"/>
      <c r="AA495" s="697"/>
      <c r="AB495" s="697"/>
      <c r="AC495" s="697"/>
      <c r="AD495" s="697"/>
      <c r="AE495" s="697"/>
      <c r="AF495" s="697"/>
      <c r="AG495" s="697"/>
      <c r="AH495" s="697"/>
      <c r="AI495" s="697"/>
      <c r="AJ495" s="697"/>
      <c r="AK495" s="697"/>
      <c r="AL495" s="697"/>
      <c r="AM495" s="697"/>
      <c r="AN495" s="697"/>
      <c r="AO495" s="730"/>
      <c r="AP495" s="730">
        <v>-5.4000000000000003E-3</v>
      </c>
      <c r="AQ495" s="730">
        <v>-2.1600000000000001E-2</v>
      </c>
      <c r="AR495" s="730">
        <v>-2.2408828124999999E-2</v>
      </c>
      <c r="AS495" s="730">
        <v>-5.3417818972537875E-2</v>
      </c>
      <c r="AT495" s="730">
        <v>-0.10482780183234762</v>
      </c>
      <c r="AU495" s="730">
        <v>-0.1770090414795582</v>
      </c>
      <c r="AV495" s="730">
        <v>-0.27350962435663528</v>
      </c>
      <c r="AW495" s="730">
        <v>-0.41687843298660288</v>
      </c>
      <c r="AX495" s="730">
        <v>-0.65123332819628121</v>
      </c>
      <c r="AY495" s="730">
        <v>-0.9816998086178863</v>
      </c>
      <c r="AZ495" s="730">
        <v>-1.427163026127668</v>
      </c>
      <c r="BA495" s="730">
        <v>-1.9876634426214912</v>
      </c>
      <c r="BB495" s="730">
        <v>-2.6471018328638474</v>
      </c>
      <c r="BC495" s="730">
        <v>-3.3878306028198968</v>
      </c>
      <c r="BD495" s="730">
        <v>-0.86289365261228845</v>
      </c>
      <c r="BE495" s="730">
        <v>-1.8012495541050053</v>
      </c>
      <c r="BF495" s="730">
        <v>-2.7992180192413012</v>
      </c>
      <c r="BG495" s="730">
        <v>-3.8153369733448042</v>
      </c>
      <c r="BH495" s="730">
        <v>-4.9078806341530363</v>
      </c>
      <c r="BI495" s="730">
        <v>-6.0396406101441862</v>
      </c>
      <c r="BJ495" s="730">
        <v>-7.1575396872235304</v>
      </c>
      <c r="BK495" s="730">
        <v>-8.3799671848778026</v>
      </c>
      <c r="BL495" s="730">
        <v>-9.8657407275361102</v>
      </c>
      <c r="BM495" s="730">
        <v>-11.517195076609836</v>
      </c>
      <c r="BN495" s="730">
        <v>-13.255058982087361</v>
      </c>
      <c r="BO495" s="730">
        <v>-15.076765585065202</v>
      </c>
      <c r="BP495" s="730">
        <v>-1.8487606562100947</v>
      </c>
      <c r="BQ495" s="730">
        <v>-3.8195449792547356</v>
      </c>
      <c r="BR495" s="730">
        <v>-5.9034788967221168</v>
      </c>
      <c r="BS495" s="730">
        <v>-8.0937116327497307</v>
      </c>
      <c r="BT495" s="730">
        <v>-10.394081504087531</v>
      </c>
      <c r="BU495" s="730">
        <v>-12.808326214220001</v>
      </c>
      <c r="BV495" s="730">
        <v>-15.309113220393474</v>
      </c>
      <c r="BW495" s="730">
        <v>-17.931805031301536</v>
      </c>
      <c r="BX495" s="730">
        <v>-20.668640030605751</v>
      </c>
      <c r="BY495" s="730">
        <v>-23.459866200991996</v>
      </c>
      <c r="BZ495" s="730">
        <v>-26.363254853065271</v>
      </c>
      <c r="CA495" s="730">
        <v>-29.378117970921071</v>
      </c>
      <c r="CB495" s="730">
        <v>-2.9765225658006238</v>
      </c>
      <c r="CC495" s="730">
        <v>-5.8739852625098479</v>
      </c>
      <c r="CD495" s="730">
        <v>-8.8823077881614907</v>
      </c>
      <c r="CE495" s="730">
        <v>-11.926596697126415</v>
      </c>
      <c r="CF495" s="730">
        <v>-15.079218140238439</v>
      </c>
      <c r="CG495" s="730">
        <v>-18.337924781793706</v>
      </c>
      <c r="CH495" s="730">
        <v>-21.560483887031957</v>
      </c>
      <c r="CI495" s="730">
        <v>-24.64731603901182</v>
      </c>
      <c r="CJ495" s="730">
        <v>-27.840041229460031</v>
      </c>
      <c r="CK495" s="730">
        <v>-31.130831609602396</v>
      </c>
      <c r="CL495" s="730">
        <v>-34.519752112054221</v>
      </c>
      <c r="CM495" s="730">
        <v>-38.003927825151905</v>
      </c>
      <c r="CN495" s="730">
        <v>-3.5790567464502216</v>
      </c>
      <c r="CO495" s="730">
        <v>-7.2558494354749383</v>
      </c>
      <c r="CP495" s="730">
        <v>-11.031071388401935</v>
      </c>
      <c r="CQ495" s="730">
        <v>-14.896665961945189</v>
      </c>
      <c r="CR495" s="730">
        <v>-18.851468585886778</v>
      </c>
      <c r="CS495" s="730">
        <v>-22.894841122822676</v>
      </c>
      <c r="CT495" s="730">
        <v>-27.026590669160807</v>
      </c>
      <c r="CU495" s="730">
        <v>-31.246647919659392</v>
      </c>
      <c r="CV495" s="730">
        <v>-35.554972588939052</v>
      </c>
      <c r="CW495" s="730">
        <v>-39.951650487293605</v>
      </c>
      <c r="CX495" s="730">
        <v>-44.436998916615437</v>
      </c>
      <c r="CY495" s="730">
        <v>-49.044975304721341</v>
      </c>
      <c r="CZ495" s="126"/>
      <c r="DA495" s="729"/>
      <c r="DB495" s="11">
        <v>-2.1600000000000001E-2</v>
      </c>
      <c r="DC495" s="11">
        <v>-3.3878306028198968</v>
      </c>
      <c r="DD495" s="11">
        <v>-15.076765585065202</v>
      </c>
      <c r="DE495" s="11">
        <v>-29.378117970921071</v>
      </c>
      <c r="DF495" s="11">
        <v>-38.003927825151905</v>
      </c>
      <c r="DG495" s="11">
        <v>-49.044975304721341</v>
      </c>
    </row>
    <row r="496" spans="2:111">
      <c r="B496" s="126"/>
      <c r="C496" s="230" t="s">
        <v>815</v>
      </c>
      <c r="D496" s="229"/>
      <c r="E496" s="126"/>
      <c r="F496" s="609"/>
      <c r="G496" s="609" t="s">
        <v>812</v>
      </c>
      <c r="H496" s="609"/>
      <c r="I496" s="609"/>
      <c r="J496" s="609"/>
      <c r="K496" s="609"/>
      <c r="L496" s="126"/>
      <c r="M496" s="696"/>
      <c r="N496" s="696"/>
      <c r="O496" s="696"/>
      <c r="P496" s="696"/>
      <c r="Q496" s="696"/>
      <c r="R496" s="696"/>
      <c r="S496" s="696"/>
      <c r="T496" s="696"/>
      <c r="U496" s="696"/>
      <c r="V496" s="696"/>
      <c r="W496" s="696"/>
      <c r="X496" s="697"/>
      <c r="Y496" s="697"/>
      <c r="Z496" s="697"/>
      <c r="AA496" s="697"/>
      <c r="AB496" s="697"/>
      <c r="AC496" s="697"/>
      <c r="AD496" s="697"/>
      <c r="AE496" s="697"/>
      <c r="AF496" s="697"/>
      <c r="AG496" s="697"/>
      <c r="AH496" s="697"/>
      <c r="AI496" s="697"/>
      <c r="AJ496" s="697"/>
      <c r="AK496" s="697"/>
      <c r="AL496" s="697"/>
      <c r="AM496" s="697"/>
      <c r="AN496" s="697"/>
      <c r="AO496" s="697"/>
      <c r="AP496" s="697">
        <v>-8.9999999999999993E-3</v>
      </c>
      <c r="AQ496" s="697">
        <v>-1.7704918032786884E-2</v>
      </c>
      <c r="AR496" s="697">
        <v>-8.6797749408907155E-3</v>
      </c>
      <c r="AS496" s="697">
        <v>-1.563336193977435E-2</v>
      </c>
      <c r="AT496" s="697">
        <v>-2.4248171337515032E-2</v>
      </c>
      <c r="AU496" s="697">
        <v>-3.3486342663513212E-2</v>
      </c>
      <c r="AV496" s="697">
        <v>-4.3440013256305129E-2</v>
      </c>
      <c r="AW496" s="697">
        <v>-5.6814772212277286E-2</v>
      </c>
      <c r="AX496" s="697">
        <v>-7.7493274395276465E-2</v>
      </c>
      <c r="AY496" s="697">
        <v>-0.10343799550545042</v>
      </c>
      <c r="AZ496" s="697">
        <v>-0.13467243630508766</v>
      </c>
      <c r="BA496" s="697">
        <v>-0.16953372208391665</v>
      </c>
      <c r="BB496" s="697">
        <v>-0.20558471835276976</v>
      </c>
      <c r="BC496" s="697">
        <v>-0.24107862470735825</v>
      </c>
      <c r="BD496" s="697">
        <v>-2.6177079815835159E-2</v>
      </c>
      <c r="BE496" s="697">
        <v>-4.8780445908852423E-2</v>
      </c>
      <c r="BF496" s="697">
        <v>-6.9383670485486507E-2</v>
      </c>
      <c r="BG496" s="697">
        <v>-8.7893594837201466E-2</v>
      </c>
      <c r="BH496" s="697">
        <v>-0.10615334903355335</v>
      </c>
      <c r="BI496" s="697">
        <v>-0.12351325901297136</v>
      </c>
      <c r="BJ496" s="697">
        <v>-0.13908903448359369</v>
      </c>
      <c r="BK496" s="697">
        <v>-0.15544836278417357</v>
      </c>
      <c r="BL496" s="697">
        <v>-0.17533897654476299</v>
      </c>
      <c r="BM496" s="697">
        <v>-0.19662725489833541</v>
      </c>
      <c r="BN496" s="697">
        <v>-0.21786480594274457</v>
      </c>
      <c r="BO496" s="697">
        <v>-0.23896456862512913</v>
      </c>
      <c r="BP496" s="697">
        <v>-2.0042213095290272E-2</v>
      </c>
      <c r="BQ496" s="697">
        <v>-4.0474104490442246E-2</v>
      </c>
      <c r="BR496" s="697">
        <v>-6.1179131607137026E-2</v>
      </c>
      <c r="BS496" s="697">
        <v>-8.2070904726479377E-2</v>
      </c>
      <c r="BT496" s="697">
        <v>-0.10317754019361283</v>
      </c>
      <c r="BU496" s="697">
        <v>-0.12452276303598984</v>
      </c>
      <c r="BV496" s="697">
        <v>-0.14583331942918609</v>
      </c>
      <c r="BW496" s="697">
        <v>-0.16744132717054927</v>
      </c>
      <c r="BX496" s="697">
        <v>-0.18925828111133627</v>
      </c>
      <c r="BY496" s="697">
        <v>-0.21073549558019036</v>
      </c>
      <c r="BZ496" s="697">
        <v>-0.23240117239999827</v>
      </c>
      <c r="CA496" s="697">
        <v>-0.2542388985697932</v>
      </c>
      <c r="CB496" s="697">
        <v>-2.0783842045638556E-2</v>
      </c>
      <c r="CC496" s="697">
        <v>-4.0385800855152316E-2</v>
      </c>
      <c r="CD496" s="697">
        <v>-6.0159054112985742E-2</v>
      </c>
      <c r="CE496" s="697">
        <v>-7.9603431256922944E-2</v>
      </c>
      <c r="CF496" s="697">
        <v>-9.9213121966176487E-2</v>
      </c>
      <c r="CG496" s="697">
        <v>-0.11896883198490651</v>
      </c>
      <c r="CH496" s="697">
        <v>-0.13790919009316246</v>
      </c>
      <c r="CI496" s="697">
        <v>-0.15546057593501691</v>
      </c>
      <c r="CJ496" s="697">
        <v>-0.17319361821598989</v>
      </c>
      <c r="CK496" s="697">
        <v>-0.19105840805080665</v>
      </c>
      <c r="CL496" s="697">
        <v>-0.20905300478818117</v>
      </c>
      <c r="CM496" s="697">
        <v>-0.22715673900000191</v>
      </c>
      <c r="CN496" s="697">
        <v>-2.1118542247578163E-2</v>
      </c>
      <c r="CO496" s="697">
        <v>-4.22734988619963E-2</v>
      </c>
      <c r="CP496" s="697">
        <v>-6.346912783978928E-2</v>
      </c>
      <c r="CQ496" s="697">
        <v>-8.4659244608945389E-2</v>
      </c>
      <c r="CR496" s="697">
        <v>-0.10583827518370419</v>
      </c>
      <c r="CS496" s="697">
        <v>-0.12700363143984739</v>
      </c>
      <c r="CT496" s="697">
        <v>-0.14815516070910237</v>
      </c>
      <c r="CU496" s="697">
        <v>-0.16929330353856484</v>
      </c>
      <c r="CV496" s="697">
        <v>-0.19041856945464439</v>
      </c>
      <c r="CW496" s="697">
        <v>-0.21153209058877445</v>
      </c>
      <c r="CX496" s="697">
        <v>-0.23263612724217678</v>
      </c>
      <c r="CY496" s="697">
        <v>-0.25370082859888848</v>
      </c>
      <c r="CZ496" s="126"/>
      <c r="DA496" s="729">
        <v>0</v>
      </c>
      <c r="DB496" s="729">
        <v>-1.7704918032786884E-2</v>
      </c>
      <c r="DC496" s="729">
        <v>-0.24107862470735825</v>
      </c>
      <c r="DD496" s="729">
        <v>-0.23896456862512913</v>
      </c>
      <c r="DE496" s="729">
        <v>-0.2542388985697932</v>
      </c>
      <c r="DF496" s="729">
        <v>-0.22715673900000191</v>
      </c>
      <c r="DG496" s="729">
        <v>-0.25370082859888848</v>
      </c>
    </row>
    <row r="499" spans="6:58">
      <c r="AR499">
        <v>1</v>
      </c>
      <c r="AS499">
        <v>2</v>
      </c>
      <c r="AT499">
        <f>AS499+1</f>
        <v>3</v>
      </c>
      <c r="AU499">
        <f t="shared" ref="AU499:BC499" si="104">AT499+1</f>
        <v>4</v>
      </c>
      <c r="AV499">
        <f t="shared" si="104"/>
        <v>5</v>
      </c>
      <c r="AW499">
        <f t="shared" si="104"/>
        <v>6</v>
      </c>
      <c r="AX499">
        <f t="shared" si="104"/>
        <v>7</v>
      </c>
      <c r="AY499">
        <f t="shared" si="104"/>
        <v>8</v>
      </c>
      <c r="AZ499">
        <f t="shared" si="104"/>
        <v>9</v>
      </c>
      <c r="BA499">
        <f t="shared" si="104"/>
        <v>10</v>
      </c>
      <c r="BB499">
        <f t="shared" si="104"/>
        <v>11</v>
      </c>
      <c r="BC499">
        <f t="shared" si="104"/>
        <v>12</v>
      </c>
    </row>
    <row r="500" spans="6:58">
      <c r="F500" t="s">
        <v>495</v>
      </c>
      <c r="AR500" s="823">
        <v>4.6239999999999997</v>
      </c>
      <c r="AS500" s="823">
        <v>4.9480000000000004</v>
      </c>
      <c r="AT500" s="823">
        <v>5.649</v>
      </c>
      <c r="AU500" s="823">
        <v>6.4029999999999996</v>
      </c>
      <c r="AV500" s="823">
        <v>7.157</v>
      </c>
      <c r="AW500" s="823">
        <v>7.9109999999999996</v>
      </c>
      <c r="AX500" s="823">
        <v>8.6660000000000004</v>
      </c>
      <c r="AY500" s="823">
        <v>9.42</v>
      </c>
      <c r="AZ500" s="823">
        <v>10.173999999999999</v>
      </c>
      <c r="BA500" s="823">
        <v>10</v>
      </c>
      <c r="BB500" s="823">
        <v>10</v>
      </c>
      <c r="BC500" s="823">
        <v>10.5</v>
      </c>
      <c r="BD500" s="823">
        <v>12.436999999999999</v>
      </c>
      <c r="BE500" s="823"/>
      <c r="BF500" s="823">
        <v>100</v>
      </c>
    </row>
    <row r="501" spans="6:58">
      <c r="F501" t="s">
        <v>894</v>
      </c>
      <c r="AR501" s="823">
        <v>8.7959999999999994</v>
      </c>
      <c r="AS501" s="823">
        <v>6.1890000000000001</v>
      </c>
      <c r="AT501" s="823">
        <v>8.1029999999999998</v>
      </c>
      <c r="AU501" s="823">
        <v>8.1850000000000005</v>
      </c>
      <c r="AV501" s="823">
        <v>8.27</v>
      </c>
      <c r="AW501" s="823">
        <v>8.3569999999999993</v>
      </c>
      <c r="AX501" s="823">
        <v>8.4459999999999997</v>
      </c>
      <c r="AY501" s="823">
        <v>8.5380000000000003</v>
      </c>
      <c r="AZ501" s="823">
        <v>8.6319999999999997</v>
      </c>
      <c r="BA501" s="823">
        <v>8.7279999999999998</v>
      </c>
      <c r="BB501" s="823">
        <v>8.827</v>
      </c>
      <c r="BC501" s="823">
        <v>8.9290000000000003</v>
      </c>
    </row>
    <row r="502" spans="6:58">
      <c r="BA502">
        <v>0.92800000000000005</v>
      </c>
      <c r="BB502">
        <v>1.6830000000000001</v>
      </c>
      <c r="BC502">
        <v>1.9370000000000001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6EE01-1D89-49EE-843B-C0E565AE1177}">
  <dimension ref="A1:CX38"/>
  <sheetViews>
    <sheetView workbookViewId="0">
      <selection activeCell="AY10" sqref="AY10"/>
    </sheetView>
  </sheetViews>
  <sheetFormatPr baseColWidth="10" defaultColWidth="8.83203125" defaultRowHeight="15"/>
  <cols>
    <col min="7" max="42" width="0" hidden="1" customWidth="1"/>
    <col min="43" max="43" width="13.5" customWidth="1"/>
    <col min="44" max="44" width="12.83203125" customWidth="1"/>
    <col min="45" max="54" width="11" bestFit="1" customWidth="1"/>
    <col min="55" max="102" width="0" hidden="1" customWidth="1"/>
  </cols>
  <sheetData>
    <row r="1" spans="1:102">
      <c r="A1" s="230"/>
      <c r="B1" s="230"/>
      <c r="C1" s="230"/>
      <c r="D1" s="230"/>
      <c r="E1" s="232"/>
      <c r="F1" s="232"/>
      <c r="G1" s="584">
        <v>44562</v>
      </c>
      <c r="H1" s="584">
        <v>44593</v>
      </c>
      <c r="I1" s="584">
        <v>44621</v>
      </c>
      <c r="J1" s="584">
        <v>44652</v>
      </c>
      <c r="K1" s="584">
        <v>44682</v>
      </c>
      <c r="L1" s="584">
        <v>44713</v>
      </c>
      <c r="M1" s="584">
        <v>44743</v>
      </c>
      <c r="N1" s="584">
        <v>44774</v>
      </c>
      <c r="O1" s="584">
        <v>44805</v>
      </c>
      <c r="P1" s="584">
        <v>44835</v>
      </c>
      <c r="Q1" s="584">
        <v>44866</v>
      </c>
      <c r="R1" s="584">
        <v>44896</v>
      </c>
      <c r="S1" s="678">
        <v>44927</v>
      </c>
      <c r="T1" s="678">
        <v>44958</v>
      </c>
      <c r="U1" s="678">
        <v>44986</v>
      </c>
      <c r="V1" s="678">
        <v>45017</v>
      </c>
      <c r="W1" s="678">
        <v>45047</v>
      </c>
      <c r="X1" s="678">
        <v>45078</v>
      </c>
      <c r="Y1" s="678">
        <v>45108</v>
      </c>
      <c r="Z1" s="678">
        <v>45139</v>
      </c>
      <c r="AA1" s="678">
        <v>45170</v>
      </c>
      <c r="AB1" s="678">
        <v>45200</v>
      </c>
      <c r="AC1" s="678">
        <v>45231</v>
      </c>
      <c r="AD1" s="678">
        <v>45261</v>
      </c>
      <c r="AE1" s="679">
        <v>45292</v>
      </c>
      <c r="AF1" s="679">
        <v>45323</v>
      </c>
      <c r="AG1" s="679">
        <v>45352</v>
      </c>
      <c r="AH1" s="679">
        <v>45383</v>
      </c>
      <c r="AI1" s="679">
        <v>45413</v>
      </c>
      <c r="AJ1" s="679">
        <v>45444</v>
      </c>
      <c r="AK1" s="679">
        <v>45474</v>
      </c>
      <c r="AL1" s="679">
        <v>45505</v>
      </c>
      <c r="AM1" s="679">
        <v>45536</v>
      </c>
      <c r="AN1" s="679">
        <v>45566</v>
      </c>
      <c r="AO1" s="679">
        <v>45597</v>
      </c>
      <c r="AP1" s="679">
        <v>45627</v>
      </c>
      <c r="AQ1" s="228">
        <v>45658</v>
      </c>
      <c r="AR1" s="228">
        <v>45689</v>
      </c>
      <c r="AS1" s="228">
        <v>45717</v>
      </c>
      <c r="AT1" s="228">
        <v>45748</v>
      </c>
      <c r="AU1" s="228">
        <v>45778</v>
      </c>
      <c r="AV1" s="228">
        <v>45809</v>
      </c>
      <c r="AW1" s="228">
        <v>45839</v>
      </c>
      <c r="AX1" s="228">
        <v>45870</v>
      </c>
      <c r="AY1" s="228">
        <v>45901</v>
      </c>
      <c r="AZ1" s="228">
        <v>45931</v>
      </c>
      <c r="BA1" s="228">
        <v>45962</v>
      </c>
      <c r="BB1" s="228">
        <v>45992</v>
      </c>
      <c r="BC1" s="584">
        <v>46023</v>
      </c>
      <c r="BD1" s="584">
        <v>46054</v>
      </c>
      <c r="BE1" s="584">
        <v>46082</v>
      </c>
      <c r="BF1" s="584">
        <v>46113</v>
      </c>
      <c r="BG1" s="584">
        <v>46143</v>
      </c>
      <c r="BH1" s="584">
        <v>46174</v>
      </c>
      <c r="BI1" s="584">
        <v>46204</v>
      </c>
      <c r="BJ1" s="584">
        <v>46235</v>
      </c>
      <c r="BK1" s="584">
        <v>46266</v>
      </c>
      <c r="BL1" s="584">
        <v>46296</v>
      </c>
      <c r="BM1" s="584">
        <v>46327</v>
      </c>
      <c r="BN1" s="584">
        <v>46357</v>
      </c>
      <c r="BO1" s="584">
        <v>46388</v>
      </c>
      <c r="BP1" s="584">
        <v>46419</v>
      </c>
      <c r="BQ1" s="584">
        <v>46447</v>
      </c>
      <c r="BR1" s="584">
        <v>46478</v>
      </c>
      <c r="BS1" s="584">
        <v>46508</v>
      </c>
      <c r="BT1" s="584">
        <v>46539</v>
      </c>
      <c r="BU1" s="584">
        <v>46569</v>
      </c>
      <c r="BV1" s="584">
        <v>46600</v>
      </c>
      <c r="BW1" s="584">
        <v>46631</v>
      </c>
      <c r="BX1" s="584">
        <v>46661</v>
      </c>
      <c r="BY1" s="584">
        <v>46692</v>
      </c>
      <c r="BZ1" s="584">
        <v>46722</v>
      </c>
      <c r="CA1" s="584">
        <v>46753</v>
      </c>
      <c r="CB1" s="584">
        <v>46784</v>
      </c>
      <c r="CC1" s="584">
        <v>46813</v>
      </c>
      <c r="CD1" s="584">
        <v>46844</v>
      </c>
      <c r="CE1" s="584">
        <v>46874</v>
      </c>
      <c r="CF1" s="584">
        <v>46905</v>
      </c>
      <c r="CG1" s="584">
        <v>46935</v>
      </c>
      <c r="CH1" s="584">
        <v>46966</v>
      </c>
      <c r="CI1" s="584">
        <v>46997</v>
      </c>
      <c r="CJ1" s="584">
        <v>47027</v>
      </c>
      <c r="CK1" s="584">
        <v>47058</v>
      </c>
      <c r="CL1" s="584">
        <v>47088</v>
      </c>
      <c r="CM1" s="584">
        <v>47119</v>
      </c>
      <c r="CN1" s="584">
        <v>47150</v>
      </c>
      <c r="CO1" s="584">
        <v>47178</v>
      </c>
      <c r="CP1" s="584">
        <v>47209</v>
      </c>
      <c r="CQ1" s="584">
        <v>47239</v>
      </c>
      <c r="CR1" s="584">
        <v>47270</v>
      </c>
      <c r="CS1" s="584">
        <v>47300</v>
      </c>
      <c r="CT1" s="584">
        <v>47331</v>
      </c>
      <c r="CU1" s="584">
        <v>47362</v>
      </c>
      <c r="CV1" s="584">
        <v>47392</v>
      </c>
      <c r="CW1" s="584">
        <v>47423</v>
      </c>
      <c r="CX1" s="584">
        <v>47453</v>
      </c>
    </row>
    <row r="2" spans="1:102">
      <c r="A2" s="680"/>
      <c r="B2" s="680"/>
      <c r="C2" s="680"/>
      <c r="D2" s="272"/>
      <c r="E2" s="272"/>
      <c r="F2" s="272"/>
      <c r="G2" s="586"/>
      <c r="H2" s="586"/>
      <c r="I2" s="586"/>
      <c r="J2" s="586"/>
      <c r="K2" s="586"/>
      <c r="L2" s="586"/>
      <c r="M2" s="586"/>
      <c r="N2" s="586"/>
      <c r="O2" s="586"/>
      <c r="P2" s="586"/>
      <c r="Q2" s="586"/>
      <c r="R2" s="586"/>
      <c r="S2" s="586"/>
      <c r="T2" s="586"/>
      <c r="U2" s="586"/>
      <c r="V2" s="586"/>
      <c r="W2" s="586"/>
      <c r="X2" s="586"/>
      <c r="Y2" s="586"/>
      <c r="Z2" s="586"/>
      <c r="AA2" s="586"/>
      <c r="AB2" s="586"/>
      <c r="AC2" s="586"/>
      <c r="AD2" s="586"/>
      <c r="AE2" s="586"/>
      <c r="AF2" s="586"/>
      <c r="AG2" s="586"/>
      <c r="AH2" s="586"/>
      <c r="AI2" s="586"/>
      <c r="AJ2" s="586"/>
      <c r="AK2" s="586"/>
      <c r="AL2" s="586"/>
      <c r="AM2" s="586"/>
      <c r="AN2" s="586"/>
      <c r="AO2" s="586"/>
      <c r="AP2" s="586"/>
      <c r="AQ2" s="586"/>
      <c r="AR2" s="586"/>
      <c r="AS2" s="586"/>
      <c r="AT2" s="586"/>
      <c r="AU2" s="586"/>
      <c r="AV2" s="586"/>
      <c r="AW2" s="586"/>
      <c r="AX2" s="586"/>
      <c r="AY2" s="586"/>
      <c r="AZ2" s="586"/>
      <c r="BA2" s="586"/>
      <c r="BB2" s="586"/>
      <c r="BC2" s="586"/>
      <c r="BD2" s="586"/>
      <c r="BE2" s="586"/>
      <c r="BF2" s="586"/>
      <c r="BG2" s="586"/>
      <c r="BH2" s="586"/>
      <c r="BI2" s="586"/>
      <c r="BJ2" s="586"/>
      <c r="BK2" s="586"/>
      <c r="BL2" s="586"/>
      <c r="BM2" s="586"/>
      <c r="BN2" s="586"/>
      <c r="BO2" s="586"/>
      <c r="BP2" s="586"/>
      <c r="BQ2" s="586"/>
      <c r="BR2" s="586"/>
      <c r="BS2" s="586"/>
      <c r="BT2" s="586"/>
      <c r="BU2" s="586"/>
      <c r="BV2" s="586"/>
      <c r="BW2" s="586"/>
      <c r="BX2" s="586"/>
      <c r="BY2" s="586"/>
      <c r="BZ2" s="586"/>
      <c r="CA2" s="586"/>
      <c r="CB2" s="586"/>
      <c r="CC2" s="586"/>
      <c r="CD2" s="586"/>
      <c r="CE2" s="586"/>
      <c r="CF2" s="586"/>
      <c r="CG2" s="586"/>
      <c r="CH2" s="586"/>
      <c r="CI2" s="586"/>
      <c r="CJ2" s="586"/>
      <c r="CK2" s="586"/>
      <c r="CL2" s="586"/>
      <c r="CM2" s="586"/>
      <c r="CN2" s="586"/>
      <c r="CO2" s="586"/>
      <c r="CP2" s="586"/>
      <c r="CQ2" s="586"/>
      <c r="CR2" s="586"/>
      <c r="CS2" s="586"/>
      <c r="CT2" s="586"/>
      <c r="CU2" s="586"/>
      <c r="CV2" s="586"/>
      <c r="CW2" s="586"/>
      <c r="CX2" s="586"/>
    </row>
    <row r="3" spans="1:102">
      <c r="A3" s="230"/>
      <c r="B3" s="230"/>
      <c r="C3" s="230"/>
      <c r="D3" s="232"/>
      <c r="E3" s="232"/>
      <c r="F3" s="587" t="s">
        <v>743</v>
      </c>
      <c r="G3" s="681">
        <v>32.680999999999997</v>
      </c>
      <c r="H3" s="681">
        <v>27.259</v>
      </c>
      <c r="I3" s="681">
        <v>42.466000000000001</v>
      </c>
      <c r="J3" s="681">
        <v>32.969000000000001</v>
      </c>
      <c r="K3" s="681">
        <v>29.524999999999999</v>
      </c>
      <c r="L3" s="681">
        <v>22.661999999999999</v>
      </c>
      <c r="M3" s="681">
        <v>24.37</v>
      </c>
      <c r="N3" s="681">
        <v>25.847000000000001</v>
      </c>
      <c r="O3" s="681">
        <v>27.73</v>
      </c>
      <c r="P3" s="681">
        <v>28.33</v>
      </c>
      <c r="Q3" s="681">
        <v>37.451000000000001</v>
      </c>
      <c r="R3" s="681">
        <v>38.463999999999999</v>
      </c>
      <c r="S3" s="681">
        <v>31.22</v>
      </c>
      <c r="T3" s="681">
        <v>25.41</v>
      </c>
      <c r="U3" s="681">
        <v>32.241</v>
      </c>
      <c r="V3" s="681">
        <v>21.951000000000001</v>
      </c>
      <c r="W3" s="681">
        <v>21.834</v>
      </c>
      <c r="X3" s="681">
        <v>23.385000000000002</v>
      </c>
      <c r="Y3" s="681">
        <v>22.952000000000002</v>
      </c>
      <c r="Z3" s="681">
        <v>17.462</v>
      </c>
      <c r="AA3" s="681">
        <v>14.154</v>
      </c>
      <c r="AB3" s="681">
        <v>12.458</v>
      </c>
      <c r="AC3" s="681">
        <v>10.548999999999999</v>
      </c>
      <c r="AD3" s="681">
        <v>10.098000000000001</v>
      </c>
      <c r="AE3" s="594">
        <v>10.039999999999999</v>
      </c>
      <c r="AF3" s="594">
        <v>7.48</v>
      </c>
      <c r="AG3" s="594">
        <v>8.641</v>
      </c>
      <c r="AH3" s="594">
        <v>6.7549999999999999</v>
      </c>
      <c r="AI3" s="594">
        <v>7.2679999999999998</v>
      </c>
      <c r="AJ3" s="594">
        <v>9.2390000000000008</v>
      </c>
      <c r="AK3" s="594">
        <v>11.504</v>
      </c>
      <c r="AL3" s="597">
        <v>9.8040000000000003</v>
      </c>
      <c r="AM3" s="597">
        <v>18.061</v>
      </c>
      <c r="AN3" s="597">
        <v>6.0339999999999998</v>
      </c>
      <c r="AO3" s="246" t="e" vm="1">
        <v>#VALUE!</v>
      </c>
      <c r="AP3" s="246" t="e" vm="1">
        <v>#VALUE!</v>
      </c>
      <c r="AQ3" s="246" t="e" vm="1">
        <v>#VALUE!</v>
      </c>
      <c r="AR3" s="246" t="e" vm="1">
        <v>#VALUE!</v>
      </c>
      <c r="AS3" s="246" t="e" vm="1">
        <v>#VALUE!</v>
      </c>
      <c r="AT3" s="246" t="e" vm="1">
        <v>#VALUE!</v>
      </c>
      <c r="AU3" s="246" t="e" vm="1">
        <v>#VALUE!</v>
      </c>
      <c r="AV3" s="246" t="e" vm="1">
        <v>#VALUE!</v>
      </c>
      <c r="AW3" s="246" t="e" vm="1">
        <v>#VALUE!</v>
      </c>
      <c r="AX3" s="246" t="e" vm="1">
        <v>#VALUE!</v>
      </c>
      <c r="AY3" s="246" t="e" vm="1">
        <v>#VALUE!</v>
      </c>
      <c r="AZ3" s="246" t="e" vm="1">
        <v>#VALUE!</v>
      </c>
      <c r="BA3" s="246" t="e" vm="1">
        <v>#VALUE!</v>
      </c>
      <c r="BB3" s="246" t="e" vm="1">
        <v>#VALUE!</v>
      </c>
      <c r="BC3" s="246" t="e" vm="1">
        <v>#VALUE!</v>
      </c>
      <c r="BD3" s="246" t="e" vm="1">
        <v>#VALUE!</v>
      </c>
      <c r="BE3" s="246" t="e" vm="1">
        <v>#VALUE!</v>
      </c>
      <c r="BF3" s="246" t="e" vm="1">
        <v>#VALUE!</v>
      </c>
      <c r="BG3" s="246" t="e" vm="1">
        <v>#VALUE!</v>
      </c>
      <c r="BH3" s="246" t="e" vm="1">
        <v>#VALUE!</v>
      </c>
      <c r="BI3" s="246" t="e" vm="1">
        <v>#VALUE!</v>
      </c>
      <c r="BJ3" s="246" t="e" vm="1">
        <v>#VALUE!</v>
      </c>
      <c r="BK3" s="246" t="e" vm="1">
        <v>#VALUE!</v>
      </c>
      <c r="BL3" s="246" t="e" vm="1">
        <v>#VALUE!</v>
      </c>
      <c r="BM3" s="246" t="e" vm="1">
        <v>#VALUE!</v>
      </c>
      <c r="BN3" s="246" t="e" vm="1">
        <v>#VALUE!</v>
      </c>
      <c r="BO3" s="246" t="e" vm="1">
        <v>#VALUE!</v>
      </c>
      <c r="BP3" s="246" t="e" vm="1">
        <v>#VALUE!</v>
      </c>
      <c r="BQ3" s="246" t="e" vm="1">
        <v>#VALUE!</v>
      </c>
      <c r="BR3" s="246" t="e" vm="1">
        <v>#VALUE!</v>
      </c>
      <c r="BS3" s="246" t="e" vm="1">
        <v>#VALUE!</v>
      </c>
      <c r="BT3" s="246" t="e" vm="1">
        <v>#VALUE!</v>
      </c>
      <c r="BU3" s="246" t="e" vm="1">
        <v>#VALUE!</v>
      </c>
      <c r="BV3" s="246" t="e" vm="1">
        <v>#VALUE!</v>
      </c>
      <c r="BW3" s="246" t="e" vm="1">
        <v>#VALUE!</v>
      </c>
      <c r="BX3" s="246" t="e" vm="1">
        <v>#VALUE!</v>
      </c>
      <c r="BY3" s="246" t="e" vm="1">
        <v>#VALUE!</v>
      </c>
      <c r="BZ3" s="246" t="e" vm="1">
        <v>#VALUE!</v>
      </c>
      <c r="CA3" s="246" t="e" vm="1">
        <v>#VALUE!</v>
      </c>
      <c r="CB3" s="246" t="e" vm="1">
        <v>#VALUE!</v>
      </c>
      <c r="CC3" s="246" t="e" vm="1">
        <v>#VALUE!</v>
      </c>
      <c r="CD3" s="246" t="e" vm="1">
        <v>#VALUE!</v>
      </c>
      <c r="CE3" s="246" t="e" vm="1">
        <v>#VALUE!</v>
      </c>
      <c r="CF3" s="246" t="e" vm="1">
        <v>#VALUE!</v>
      </c>
      <c r="CG3" s="246" t="e" vm="1">
        <v>#VALUE!</v>
      </c>
      <c r="CH3" s="246" t="e" vm="1">
        <v>#VALUE!</v>
      </c>
      <c r="CI3" s="246" t="e" vm="1">
        <v>#VALUE!</v>
      </c>
      <c r="CJ3" s="246" t="e" vm="1">
        <v>#VALUE!</v>
      </c>
      <c r="CK3" s="246" t="e" vm="1">
        <v>#VALUE!</v>
      </c>
      <c r="CL3" s="246" t="e" vm="1">
        <v>#VALUE!</v>
      </c>
      <c r="CM3" s="246" t="e" vm="1">
        <v>#VALUE!</v>
      </c>
      <c r="CN3" s="246" t="e" vm="1">
        <v>#VALUE!</v>
      </c>
      <c r="CO3" s="246" t="e" vm="1">
        <v>#VALUE!</v>
      </c>
      <c r="CP3" s="246" t="e" vm="1">
        <v>#VALUE!</v>
      </c>
      <c r="CQ3" s="246" t="e" vm="1">
        <v>#VALUE!</v>
      </c>
      <c r="CR3" s="246" t="e" vm="1">
        <v>#VALUE!</v>
      </c>
      <c r="CS3" s="246" t="e" vm="1">
        <v>#VALUE!</v>
      </c>
      <c r="CT3" s="246" t="e" vm="1">
        <v>#VALUE!</v>
      </c>
      <c r="CU3" s="246" t="e" vm="1">
        <v>#VALUE!</v>
      </c>
      <c r="CV3" s="246" t="e" vm="1">
        <v>#VALUE!</v>
      </c>
      <c r="CW3" s="246" t="e" vm="1">
        <v>#VALUE!</v>
      </c>
      <c r="CX3" s="246" t="e" vm="1">
        <v>#VALUE!</v>
      </c>
    </row>
    <row r="4" spans="1:102">
      <c r="A4" s="230"/>
      <c r="B4" s="230"/>
      <c r="C4" s="230"/>
      <c r="D4" s="232"/>
      <c r="E4" s="232"/>
      <c r="F4" s="587" t="s">
        <v>743</v>
      </c>
      <c r="G4" s="266">
        <f t="shared" ref="G4:Q4" si="0">H4-H3</f>
        <v>211.76300000000003</v>
      </c>
      <c r="H4" s="681">
        <f t="shared" si="0"/>
        <v>239.02200000000005</v>
      </c>
      <c r="I4" s="681">
        <f t="shared" si="0"/>
        <v>281.48800000000006</v>
      </c>
      <c r="J4" s="681">
        <f t="shared" si="0"/>
        <v>314.45700000000005</v>
      </c>
      <c r="K4" s="681">
        <f t="shared" si="0"/>
        <v>343.98200000000003</v>
      </c>
      <c r="L4" s="681">
        <f t="shared" si="0"/>
        <v>366.64400000000001</v>
      </c>
      <c r="M4" s="681">
        <f t="shared" si="0"/>
        <v>391.01400000000001</v>
      </c>
      <c r="N4" s="681">
        <f t="shared" si="0"/>
        <v>416.86099999999999</v>
      </c>
      <c r="O4" s="681">
        <f t="shared" si="0"/>
        <v>444.59100000000001</v>
      </c>
      <c r="P4" s="681">
        <f t="shared" si="0"/>
        <v>472.92099999999999</v>
      </c>
      <c r="Q4" s="681">
        <f t="shared" si="0"/>
        <v>510.37200000000001</v>
      </c>
      <c r="R4" s="681">
        <f>S4-S3</f>
        <v>548.83600000000001</v>
      </c>
      <c r="S4" s="681">
        <v>580.05600000000004</v>
      </c>
      <c r="T4" s="681">
        <v>605.46600000000001</v>
      </c>
      <c r="U4" s="681">
        <v>637.70699999999999</v>
      </c>
      <c r="V4" s="681">
        <v>659.65800000000002</v>
      </c>
      <c r="W4" s="681">
        <v>681.49199999999996</v>
      </c>
      <c r="X4" s="681">
        <v>704.87699999999995</v>
      </c>
      <c r="Y4" s="681">
        <v>727.82899999999995</v>
      </c>
      <c r="Z4" s="681">
        <v>731.40099999999995</v>
      </c>
      <c r="AA4" s="681">
        <v>745.29100000000005</v>
      </c>
      <c r="AB4" s="681">
        <v>757.74900000000002</v>
      </c>
      <c r="AC4" s="681">
        <v>768.298</v>
      </c>
      <c r="AD4" s="681">
        <v>778.39599999999996</v>
      </c>
      <c r="AE4" s="594">
        <v>788.43600000000004</v>
      </c>
      <c r="AF4" s="594">
        <v>795.91600000000005</v>
      </c>
      <c r="AG4" s="594">
        <v>804.55700000000002</v>
      </c>
      <c r="AH4" s="594">
        <v>811.31200000000001</v>
      </c>
      <c r="AI4" s="594">
        <v>818.58</v>
      </c>
      <c r="AJ4" s="594">
        <v>827.81899999999996</v>
      </c>
      <c r="AK4" s="594">
        <v>839.32299999999998</v>
      </c>
      <c r="AL4" s="597">
        <v>849.12699999999995</v>
      </c>
      <c r="AM4" s="597">
        <f t="shared" ref="AM4:CX4" si="1">AL4+AM3</f>
        <v>867.18799999999999</v>
      </c>
      <c r="AN4" s="597">
        <f t="shared" si="1"/>
        <v>873.22199999999998</v>
      </c>
      <c r="AO4" s="246" t="e" vm="2">
        <f t="shared" si="1"/>
        <v>#VALUE!</v>
      </c>
      <c r="AP4" s="246" t="e" vm="2">
        <f t="shared" si="1"/>
        <v>#VALUE!</v>
      </c>
      <c r="AQ4" s="246" t="e" vm="2">
        <f t="shared" si="1"/>
        <v>#VALUE!</v>
      </c>
      <c r="AR4" s="246" t="e" vm="2">
        <f t="shared" si="1"/>
        <v>#VALUE!</v>
      </c>
      <c r="AS4" s="246" t="e" vm="2">
        <f t="shared" si="1"/>
        <v>#VALUE!</v>
      </c>
      <c r="AT4" s="246" t="e" vm="2">
        <f t="shared" si="1"/>
        <v>#VALUE!</v>
      </c>
      <c r="AU4" s="246" t="e" vm="2">
        <f t="shared" si="1"/>
        <v>#VALUE!</v>
      </c>
      <c r="AV4" s="246" t="e" vm="2">
        <f t="shared" si="1"/>
        <v>#VALUE!</v>
      </c>
      <c r="AW4" s="246" t="e" vm="2">
        <f t="shared" si="1"/>
        <v>#VALUE!</v>
      </c>
      <c r="AX4" s="246" t="e" vm="2">
        <f t="shared" si="1"/>
        <v>#VALUE!</v>
      </c>
      <c r="AY4" s="246" t="e" vm="2">
        <f t="shared" si="1"/>
        <v>#VALUE!</v>
      </c>
      <c r="AZ4" s="246" t="e" vm="2">
        <f t="shared" si="1"/>
        <v>#VALUE!</v>
      </c>
      <c r="BA4" s="246" t="e" vm="2">
        <f t="shared" si="1"/>
        <v>#VALUE!</v>
      </c>
      <c r="BB4" s="246" t="e" vm="2">
        <f t="shared" si="1"/>
        <v>#VALUE!</v>
      </c>
      <c r="BC4" s="246" t="e" vm="2">
        <f t="shared" si="1"/>
        <v>#VALUE!</v>
      </c>
      <c r="BD4" s="246" t="e" vm="2">
        <f t="shared" si="1"/>
        <v>#VALUE!</v>
      </c>
      <c r="BE4" s="246" t="e" vm="2">
        <f t="shared" si="1"/>
        <v>#VALUE!</v>
      </c>
      <c r="BF4" s="246" t="e" vm="2">
        <f t="shared" si="1"/>
        <v>#VALUE!</v>
      </c>
      <c r="BG4" s="246" t="e" vm="2">
        <f t="shared" si="1"/>
        <v>#VALUE!</v>
      </c>
      <c r="BH4" s="246" t="e" vm="2">
        <f t="shared" si="1"/>
        <v>#VALUE!</v>
      </c>
      <c r="BI4" s="246" t="e" vm="2">
        <f t="shared" si="1"/>
        <v>#VALUE!</v>
      </c>
      <c r="BJ4" s="246" t="e" vm="2">
        <f t="shared" si="1"/>
        <v>#VALUE!</v>
      </c>
      <c r="BK4" s="246" t="e" vm="2">
        <f t="shared" si="1"/>
        <v>#VALUE!</v>
      </c>
      <c r="BL4" s="246" t="e" vm="2">
        <f t="shared" si="1"/>
        <v>#VALUE!</v>
      </c>
      <c r="BM4" s="246" t="e" vm="2">
        <f t="shared" si="1"/>
        <v>#VALUE!</v>
      </c>
      <c r="BN4" s="246" t="e" vm="2">
        <f t="shared" si="1"/>
        <v>#VALUE!</v>
      </c>
      <c r="BO4" s="246" t="e" vm="2">
        <f t="shared" si="1"/>
        <v>#VALUE!</v>
      </c>
      <c r="BP4" s="246" t="e" vm="2">
        <f t="shared" si="1"/>
        <v>#VALUE!</v>
      </c>
      <c r="BQ4" s="246" t="e" vm="2">
        <f t="shared" si="1"/>
        <v>#VALUE!</v>
      </c>
      <c r="BR4" s="246" t="e" vm="2">
        <f t="shared" si="1"/>
        <v>#VALUE!</v>
      </c>
      <c r="BS4" s="246" t="e" vm="2">
        <f t="shared" si="1"/>
        <v>#VALUE!</v>
      </c>
      <c r="BT4" s="246" t="e" vm="2">
        <f t="shared" si="1"/>
        <v>#VALUE!</v>
      </c>
      <c r="BU4" s="246" t="e" vm="2">
        <f t="shared" si="1"/>
        <v>#VALUE!</v>
      </c>
      <c r="BV4" s="246" t="e" vm="2">
        <f t="shared" si="1"/>
        <v>#VALUE!</v>
      </c>
      <c r="BW4" s="246" t="e" vm="2">
        <f t="shared" si="1"/>
        <v>#VALUE!</v>
      </c>
      <c r="BX4" s="246" t="e" vm="2">
        <f t="shared" si="1"/>
        <v>#VALUE!</v>
      </c>
      <c r="BY4" s="246" t="e" vm="2">
        <f t="shared" si="1"/>
        <v>#VALUE!</v>
      </c>
      <c r="BZ4" s="246" t="e" vm="2">
        <f t="shared" si="1"/>
        <v>#VALUE!</v>
      </c>
      <c r="CA4" s="246" t="e" vm="2">
        <f t="shared" si="1"/>
        <v>#VALUE!</v>
      </c>
      <c r="CB4" s="246" t="e" vm="2">
        <f t="shared" si="1"/>
        <v>#VALUE!</v>
      </c>
      <c r="CC4" s="246" t="e" vm="2">
        <f t="shared" si="1"/>
        <v>#VALUE!</v>
      </c>
      <c r="CD4" s="246" t="e" vm="2">
        <f t="shared" si="1"/>
        <v>#VALUE!</v>
      </c>
      <c r="CE4" s="246" t="e" vm="2">
        <f t="shared" si="1"/>
        <v>#VALUE!</v>
      </c>
      <c r="CF4" s="246" t="e" vm="2">
        <f t="shared" si="1"/>
        <v>#VALUE!</v>
      </c>
      <c r="CG4" s="246" t="e" vm="2">
        <f t="shared" si="1"/>
        <v>#VALUE!</v>
      </c>
      <c r="CH4" s="246" t="e" vm="2">
        <f t="shared" si="1"/>
        <v>#VALUE!</v>
      </c>
      <c r="CI4" s="246" t="e" vm="2">
        <f t="shared" si="1"/>
        <v>#VALUE!</v>
      </c>
      <c r="CJ4" s="246" t="e" vm="2">
        <f t="shared" si="1"/>
        <v>#VALUE!</v>
      </c>
      <c r="CK4" s="246" t="e" vm="2">
        <f t="shared" si="1"/>
        <v>#VALUE!</v>
      </c>
      <c r="CL4" s="246" t="e" vm="2">
        <f t="shared" si="1"/>
        <v>#VALUE!</v>
      </c>
      <c r="CM4" s="246" t="e" vm="2">
        <f t="shared" si="1"/>
        <v>#VALUE!</v>
      </c>
      <c r="CN4" s="246" t="e" vm="2">
        <f t="shared" si="1"/>
        <v>#VALUE!</v>
      </c>
      <c r="CO4" s="246" t="e" vm="2">
        <f t="shared" si="1"/>
        <v>#VALUE!</v>
      </c>
      <c r="CP4" s="246" t="e" vm="2">
        <f t="shared" si="1"/>
        <v>#VALUE!</v>
      </c>
      <c r="CQ4" s="246" t="e" vm="2">
        <f t="shared" si="1"/>
        <v>#VALUE!</v>
      </c>
      <c r="CR4" s="246" t="e" vm="2">
        <f t="shared" si="1"/>
        <v>#VALUE!</v>
      </c>
      <c r="CS4" s="246" t="e" vm="2">
        <f t="shared" si="1"/>
        <v>#VALUE!</v>
      </c>
      <c r="CT4" s="246" t="e" vm="2">
        <f t="shared" si="1"/>
        <v>#VALUE!</v>
      </c>
      <c r="CU4" s="246" t="e" vm="2">
        <f t="shared" si="1"/>
        <v>#VALUE!</v>
      </c>
      <c r="CV4" s="246" t="e" vm="2">
        <f t="shared" si="1"/>
        <v>#VALUE!</v>
      </c>
      <c r="CW4" s="246" t="e" vm="2">
        <f t="shared" si="1"/>
        <v>#VALUE!</v>
      </c>
      <c r="CX4" s="246" t="e" vm="2">
        <f t="shared" si="1"/>
        <v>#VALUE!</v>
      </c>
    </row>
    <row r="5" spans="1:102">
      <c r="A5" s="230"/>
      <c r="B5" s="230"/>
      <c r="C5" s="230"/>
      <c r="D5" s="232"/>
      <c r="E5" s="232"/>
      <c r="F5" s="682" t="s">
        <v>743</v>
      </c>
      <c r="G5" s="610">
        <v>119.26</v>
      </c>
      <c r="H5" s="610">
        <v>131.25399999999999</v>
      </c>
      <c r="I5" s="610">
        <v>145.18199999999999</v>
      </c>
      <c r="J5" s="610">
        <v>156.88300000000001</v>
      </c>
      <c r="K5" s="610">
        <v>165.18799999999999</v>
      </c>
      <c r="L5" s="610">
        <v>173.739</v>
      </c>
      <c r="M5" s="610">
        <v>182.928</v>
      </c>
      <c r="N5" s="610">
        <v>192.392</v>
      </c>
      <c r="O5" s="610">
        <v>201.678</v>
      </c>
      <c r="P5" s="610">
        <v>210.173</v>
      </c>
      <c r="Q5" s="610">
        <v>220.44900000000001</v>
      </c>
      <c r="R5" s="610">
        <v>230.66499999999999</v>
      </c>
      <c r="S5" s="681">
        <v>239.53299999999999</v>
      </c>
      <c r="T5" s="681">
        <v>249.73599999999999</v>
      </c>
      <c r="U5" s="681">
        <v>260.07600000000002</v>
      </c>
      <c r="V5" s="681">
        <v>263.959</v>
      </c>
      <c r="W5" s="681">
        <v>267.49400000000003</v>
      </c>
      <c r="X5" s="681">
        <v>271.02800000000002</v>
      </c>
      <c r="Y5" s="681">
        <v>274.95600000000002</v>
      </c>
      <c r="Z5" s="681">
        <v>278.52800000000002</v>
      </c>
      <c r="AA5" s="681">
        <v>281.40100000000001</v>
      </c>
      <c r="AB5" s="681">
        <v>284.02800000000002</v>
      </c>
      <c r="AC5" s="681">
        <v>286.25400000000002</v>
      </c>
      <c r="AD5" s="681">
        <v>288.27</v>
      </c>
      <c r="AE5" s="594">
        <v>267.51400000000001</v>
      </c>
      <c r="AF5" s="594">
        <v>268.50200000000001</v>
      </c>
      <c r="AG5" s="594">
        <v>268.74700000000001</v>
      </c>
      <c r="AH5" s="594">
        <v>269.02600000000001</v>
      </c>
      <c r="AI5" s="594">
        <v>269.37200000000001</v>
      </c>
      <c r="AJ5" s="594">
        <v>273.29500000000002</v>
      </c>
      <c r="AK5" s="594">
        <v>280.46100000000001</v>
      </c>
      <c r="AL5" s="597">
        <v>79.546000000000006</v>
      </c>
      <c r="AM5" s="597">
        <v>51.036000000000001</v>
      </c>
      <c r="AN5" s="597">
        <v>56.23</v>
      </c>
      <c r="AO5" s="246" t="e" vm="2">
        <f t="shared" ref="AO5:CX5" si="2">AN5+AO3/2</f>
        <v>#VALUE!</v>
      </c>
      <c r="AP5" s="246" t="e" vm="2">
        <f t="shared" si="2"/>
        <v>#VALUE!</v>
      </c>
      <c r="AQ5" s="246" t="e" vm="2">
        <f t="shared" si="2"/>
        <v>#VALUE!</v>
      </c>
      <c r="AR5" s="246" t="e" vm="2">
        <f t="shared" si="2"/>
        <v>#VALUE!</v>
      </c>
      <c r="AS5" s="246" t="e" vm="2">
        <f t="shared" si="2"/>
        <v>#VALUE!</v>
      </c>
      <c r="AT5" s="246" t="e" vm="2">
        <f t="shared" si="2"/>
        <v>#VALUE!</v>
      </c>
      <c r="AU5" s="246" t="e" vm="2">
        <f t="shared" si="2"/>
        <v>#VALUE!</v>
      </c>
      <c r="AV5" s="246" t="e" vm="2">
        <f t="shared" si="2"/>
        <v>#VALUE!</v>
      </c>
      <c r="AW5" s="246" t="e" vm="2">
        <f t="shared" si="2"/>
        <v>#VALUE!</v>
      </c>
      <c r="AX5" s="246" t="e" vm="2">
        <f t="shared" si="2"/>
        <v>#VALUE!</v>
      </c>
      <c r="AY5" s="246" t="e" vm="2">
        <f t="shared" si="2"/>
        <v>#VALUE!</v>
      </c>
      <c r="AZ5" s="246" t="e" vm="2">
        <f t="shared" si="2"/>
        <v>#VALUE!</v>
      </c>
      <c r="BA5" s="246" t="e" vm="2">
        <f t="shared" si="2"/>
        <v>#VALUE!</v>
      </c>
      <c r="BB5" s="246" t="e" vm="2">
        <f t="shared" si="2"/>
        <v>#VALUE!</v>
      </c>
      <c r="BC5" s="246" t="e" vm="2">
        <f t="shared" si="2"/>
        <v>#VALUE!</v>
      </c>
      <c r="BD5" s="246" t="e" vm="2">
        <f t="shared" si="2"/>
        <v>#VALUE!</v>
      </c>
      <c r="BE5" s="246" t="e" vm="2">
        <f t="shared" si="2"/>
        <v>#VALUE!</v>
      </c>
      <c r="BF5" s="246" t="e" vm="2">
        <f t="shared" si="2"/>
        <v>#VALUE!</v>
      </c>
      <c r="BG5" s="246" t="e" vm="2">
        <f t="shared" si="2"/>
        <v>#VALUE!</v>
      </c>
      <c r="BH5" s="246" t="e" vm="2">
        <f t="shared" si="2"/>
        <v>#VALUE!</v>
      </c>
      <c r="BI5" s="246" t="e" vm="2">
        <f t="shared" si="2"/>
        <v>#VALUE!</v>
      </c>
      <c r="BJ5" s="246" t="e" vm="2">
        <f t="shared" si="2"/>
        <v>#VALUE!</v>
      </c>
      <c r="BK5" s="246" t="e" vm="2">
        <f t="shared" si="2"/>
        <v>#VALUE!</v>
      </c>
      <c r="BL5" s="246" t="e" vm="2">
        <f t="shared" si="2"/>
        <v>#VALUE!</v>
      </c>
      <c r="BM5" s="246" t="e" vm="2">
        <f t="shared" si="2"/>
        <v>#VALUE!</v>
      </c>
      <c r="BN5" s="246" t="e" vm="2">
        <f t="shared" si="2"/>
        <v>#VALUE!</v>
      </c>
      <c r="BO5" s="246" t="e" vm="2">
        <f t="shared" si="2"/>
        <v>#VALUE!</v>
      </c>
      <c r="BP5" s="246" t="e" vm="2">
        <f t="shared" si="2"/>
        <v>#VALUE!</v>
      </c>
      <c r="BQ5" s="246" t="e" vm="2">
        <f t="shared" si="2"/>
        <v>#VALUE!</v>
      </c>
      <c r="BR5" s="246" t="e" vm="2">
        <f t="shared" si="2"/>
        <v>#VALUE!</v>
      </c>
      <c r="BS5" s="246" t="e" vm="2">
        <f t="shared" si="2"/>
        <v>#VALUE!</v>
      </c>
      <c r="BT5" s="246" t="e" vm="2">
        <f t="shared" si="2"/>
        <v>#VALUE!</v>
      </c>
      <c r="BU5" s="246" t="e" vm="2">
        <f t="shared" si="2"/>
        <v>#VALUE!</v>
      </c>
      <c r="BV5" s="246" t="e" vm="2">
        <f t="shared" si="2"/>
        <v>#VALUE!</v>
      </c>
      <c r="BW5" s="246" t="e" vm="2">
        <f t="shared" si="2"/>
        <v>#VALUE!</v>
      </c>
      <c r="BX5" s="246" t="e" vm="2">
        <f t="shared" si="2"/>
        <v>#VALUE!</v>
      </c>
      <c r="BY5" s="246" t="e" vm="2">
        <f t="shared" si="2"/>
        <v>#VALUE!</v>
      </c>
      <c r="BZ5" s="246" t="e" vm="2">
        <f t="shared" si="2"/>
        <v>#VALUE!</v>
      </c>
      <c r="CA5" s="246" t="e" vm="2">
        <f t="shared" si="2"/>
        <v>#VALUE!</v>
      </c>
      <c r="CB5" s="246" t="e" vm="2">
        <f t="shared" si="2"/>
        <v>#VALUE!</v>
      </c>
      <c r="CC5" s="246" t="e" vm="2">
        <f t="shared" si="2"/>
        <v>#VALUE!</v>
      </c>
      <c r="CD5" s="246" t="e" vm="2">
        <f t="shared" si="2"/>
        <v>#VALUE!</v>
      </c>
      <c r="CE5" s="246" t="e" vm="2">
        <f t="shared" si="2"/>
        <v>#VALUE!</v>
      </c>
      <c r="CF5" s="246" t="e" vm="2">
        <f t="shared" si="2"/>
        <v>#VALUE!</v>
      </c>
      <c r="CG5" s="246" t="e" vm="2">
        <f t="shared" si="2"/>
        <v>#VALUE!</v>
      </c>
      <c r="CH5" s="246" t="e" vm="2">
        <f t="shared" si="2"/>
        <v>#VALUE!</v>
      </c>
      <c r="CI5" s="246" t="e" vm="2">
        <f t="shared" si="2"/>
        <v>#VALUE!</v>
      </c>
      <c r="CJ5" s="246" t="e" vm="2">
        <f t="shared" si="2"/>
        <v>#VALUE!</v>
      </c>
      <c r="CK5" s="246" t="e" vm="2">
        <f t="shared" si="2"/>
        <v>#VALUE!</v>
      </c>
      <c r="CL5" s="246" t="e" vm="2">
        <f t="shared" si="2"/>
        <v>#VALUE!</v>
      </c>
      <c r="CM5" s="246" t="e" vm="2">
        <f t="shared" si="2"/>
        <v>#VALUE!</v>
      </c>
      <c r="CN5" s="246" t="e" vm="2">
        <f t="shared" si="2"/>
        <v>#VALUE!</v>
      </c>
      <c r="CO5" s="246" t="e" vm="2">
        <f t="shared" si="2"/>
        <v>#VALUE!</v>
      </c>
      <c r="CP5" s="246" t="e" vm="2">
        <f t="shared" si="2"/>
        <v>#VALUE!</v>
      </c>
      <c r="CQ5" s="246" t="e" vm="2">
        <f t="shared" si="2"/>
        <v>#VALUE!</v>
      </c>
      <c r="CR5" s="246" t="e" vm="2">
        <f t="shared" si="2"/>
        <v>#VALUE!</v>
      </c>
      <c r="CS5" s="246" t="e" vm="2">
        <f t="shared" si="2"/>
        <v>#VALUE!</v>
      </c>
      <c r="CT5" s="246" t="e" vm="2">
        <f t="shared" si="2"/>
        <v>#VALUE!</v>
      </c>
      <c r="CU5" s="246" t="e" vm="2">
        <f t="shared" si="2"/>
        <v>#VALUE!</v>
      </c>
      <c r="CV5" s="246" t="e" vm="2">
        <f t="shared" si="2"/>
        <v>#VALUE!</v>
      </c>
      <c r="CW5" s="246" t="e" vm="2">
        <f t="shared" si="2"/>
        <v>#VALUE!</v>
      </c>
      <c r="CX5" s="246" t="e" vm="2">
        <f t="shared" si="2"/>
        <v>#VALUE!</v>
      </c>
    </row>
    <row r="6" spans="1:102">
      <c r="A6" s="230"/>
      <c r="B6" s="230"/>
      <c r="C6" s="230"/>
      <c r="D6" s="232"/>
      <c r="E6" s="232"/>
      <c r="F6" s="682" t="s">
        <v>743</v>
      </c>
      <c r="G6" s="610">
        <v>14.587999999999999</v>
      </c>
      <c r="H6" s="610">
        <v>14.138</v>
      </c>
      <c r="I6" s="610">
        <v>19.628</v>
      </c>
      <c r="J6" s="610">
        <v>20.866</v>
      </c>
      <c r="K6" s="610">
        <v>20.228999999999999</v>
      </c>
      <c r="L6" s="610">
        <v>22.321999999999999</v>
      </c>
      <c r="M6" s="610">
        <v>24.716999999999999</v>
      </c>
      <c r="N6" s="610">
        <v>26.445</v>
      </c>
      <c r="O6" s="610">
        <v>28.297000000000001</v>
      </c>
      <c r="P6" s="610">
        <v>29.422999999999998</v>
      </c>
      <c r="Q6" s="610">
        <v>30.780999999999999</v>
      </c>
      <c r="R6" s="610">
        <v>32.746000000000002</v>
      </c>
      <c r="S6" s="681">
        <v>31.847999999999999</v>
      </c>
      <c r="T6" s="681">
        <v>30.734999999999999</v>
      </c>
      <c r="U6" s="681">
        <v>36.588000000000001</v>
      </c>
      <c r="V6" s="681">
        <v>35.914999999999999</v>
      </c>
      <c r="W6" s="681">
        <v>35.332000000000001</v>
      </c>
      <c r="X6" s="681">
        <v>35.372999999999998</v>
      </c>
      <c r="Y6" s="681">
        <v>35.433999999999997</v>
      </c>
      <c r="Z6" s="681">
        <v>35.034999999999997</v>
      </c>
      <c r="AA6" s="681">
        <v>34.051000000000002</v>
      </c>
      <c r="AB6" s="681">
        <v>34.087000000000003</v>
      </c>
      <c r="AC6" s="681">
        <v>33.713999999999999</v>
      </c>
      <c r="AD6" s="681">
        <v>33.567999999999998</v>
      </c>
      <c r="AE6" s="594">
        <v>31.803000000000001</v>
      </c>
      <c r="AF6" s="594">
        <v>28.710999999999999</v>
      </c>
      <c r="AG6" s="594">
        <v>30.917999999999999</v>
      </c>
      <c r="AH6" s="594">
        <v>30.472000000000001</v>
      </c>
      <c r="AI6" s="594">
        <v>30.655000000000001</v>
      </c>
      <c r="AJ6" s="594">
        <v>29.131</v>
      </c>
      <c r="AK6" s="594">
        <v>21.131</v>
      </c>
      <c r="AL6" s="597">
        <v>45.758000000000003</v>
      </c>
      <c r="AM6" s="597">
        <v>17.811</v>
      </c>
      <c r="AN6" s="597">
        <v>11.234</v>
      </c>
      <c r="AO6" s="246" t="e" vm="2">
        <v>#VALUE!</v>
      </c>
      <c r="AP6" s="246" t="e" vm="2">
        <v>#VALUE!</v>
      </c>
      <c r="AQ6" s="246" t="e" vm="2">
        <v>#VALUE!</v>
      </c>
      <c r="AR6" s="246" t="e" vm="2">
        <v>#VALUE!</v>
      </c>
      <c r="AS6" s="246" t="e" vm="2">
        <v>#VALUE!</v>
      </c>
      <c r="AT6" s="246" t="e" vm="2">
        <v>#VALUE!</v>
      </c>
      <c r="AU6" s="246" t="e" vm="2">
        <v>#VALUE!</v>
      </c>
      <c r="AV6" s="246" t="e" vm="2">
        <v>#VALUE!</v>
      </c>
      <c r="AW6" s="246" t="e" vm="2">
        <v>#VALUE!</v>
      </c>
      <c r="AX6" s="246" t="e" vm="2">
        <v>#VALUE!</v>
      </c>
      <c r="AY6" s="246" t="e" vm="2">
        <v>#VALUE!</v>
      </c>
      <c r="AZ6" s="246" t="e" vm="2">
        <v>#VALUE!</v>
      </c>
      <c r="BA6" s="246" t="e" vm="2">
        <v>#VALUE!</v>
      </c>
      <c r="BB6" s="246" t="e" vm="2">
        <v>#VALUE!</v>
      </c>
      <c r="BC6" s="246" t="e" vm="2">
        <v>#VALUE!</v>
      </c>
      <c r="BD6" s="246" t="e" vm="2">
        <v>#VALUE!</v>
      </c>
      <c r="BE6" s="246" t="e" vm="2">
        <v>#VALUE!</v>
      </c>
      <c r="BF6" s="246" t="e" vm="2">
        <v>#VALUE!</v>
      </c>
      <c r="BG6" s="246" t="e" vm="2">
        <v>#VALUE!</v>
      </c>
      <c r="BH6" s="246" t="e" vm="2">
        <v>#VALUE!</v>
      </c>
      <c r="BI6" s="246" t="e" vm="2">
        <v>#VALUE!</v>
      </c>
      <c r="BJ6" s="246" t="e" vm="2">
        <v>#VALUE!</v>
      </c>
      <c r="BK6" s="246" t="e" vm="2">
        <v>#VALUE!</v>
      </c>
      <c r="BL6" s="246" t="e" vm="2">
        <v>#VALUE!</v>
      </c>
      <c r="BM6" s="246" t="e" vm="2">
        <v>#VALUE!</v>
      </c>
      <c r="BN6" s="246" t="e" vm="2">
        <v>#VALUE!</v>
      </c>
      <c r="BO6" s="246" t="e" vm="2">
        <v>#VALUE!</v>
      </c>
      <c r="BP6" s="246" t="e" vm="2">
        <v>#VALUE!</v>
      </c>
      <c r="BQ6" s="246" t="e" vm="2">
        <v>#VALUE!</v>
      </c>
      <c r="BR6" s="246" t="e" vm="2">
        <v>#VALUE!</v>
      </c>
      <c r="BS6" s="246" t="e" vm="2">
        <v>#VALUE!</v>
      </c>
      <c r="BT6" s="246" t="e" vm="2">
        <v>#VALUE!</v>
      </c>
      <c r="BU6" s="246" t="e" vm="2">
        <v>#VALUE!</v>
      </c>
      <c r="BV6" s="246" t="e" vm="2">
        <v>#VALUE!</v>
      </c>
      <c r="BW6" s="246" t="e" vm="2">
        <v>#VALUE!</v>
      </c>
      <c r="BX6" s="246" t="e" vm="2">
        <v>#VALUE!</v>
      </c>
      <c r="BY6" s="246" t="e" vm="2">
        <v>#VALUE!</v>
      </c>
      <c r="BZ6" s="246" t="e" vm="2">
        <v>#VALUE!</v>
      </c>
      <c r="CA6" s="246" t="e" vm="2">
        <v>#VALUE!</v>
      </c>
      <c r="CB6" s="246" t="e" vm="2">
        <v>#VALUE!</v>
      </c>
      <c r="CC6" s="246" t="e" vm="2">
        <v>#VALUE!</v>
      </c>
      <c r="CD6" s="246" t="e" vm="2">
        <v>#VALUE!</v>
      </c>
      <c r="CE6" s="246" t="e" vm="2">
        <v>#VALUE!</v>
      </c>
      <c r="CF6" s="246" t="e" vm="2">
        <v>#VALUE!</v>
      </c>
      <c r="CG6" s="246" t="e" vm="2">
        <v>#VALUE!</v>
      </c>
      <c r="CH6" s="246" t="e" vm="2">
        <v>#VALUE!</v>
      </c>
      <c r="CI6" s="246" t="e" vm="2">
        <v>#VALUE!</v>
      </c>
      <c r="CJ6" s="246" t="e" vm="2">
        <v>#VALUE!</v>
      </c>
      <c r="CK6" s="246" t="e" vm="2">
        <v>#VALUE!</v>
      </c>
      <c r="CL6" s="246" t="e" vm="2">
        <v>#VALUE!</v>
      </c>
      <c r="CM6" s="246" t="e" vm="2">
        <v>#VALUE!</v>
      </c>
      <c r="CN6" s="246" t="e" vm="2">
        <v>#VALUE!</v>
      </c>
      <c r="CO6" s="246" t="e" vm="2">
        <v>#VALUE!</v>
      </c>
      <c r="CP6" s="246" t="e" vm="2">
        <v>#VALUE!</v>
      </c>
      <c r="CQ6" s="246" t="e" vm="2">
        <v>#VALUE!</v>
      </c>
      <c r="CR6" s="246" t="e" vm="2">
        <v>#VALUE!</v>
      </c>
      <c r="CS6" s="246" t="e" vm="2">
        <v>#VALUE!</v>
      </c>
      <c r="CT6" s="246" t="e" vm="2">
        <v>#VALUE!</v>
      </c>
      <c r="CU6" s="246" t="e" vm="2">
        <v>#VALUE!</v>
      </c>
      <c r="CV6" s="246" t="e" vm="2">
        <v>#VALUE!</v>
      </c>
      <c r="CW6" s="246" t="e" vm="2">
        <v>#VALUE!</v>
      </c>
      <c r="CX6" s="246" t="e" vm="2">
        <v>#VALUE!</v>
      </c>
    </row>
    <row r="7" spans="1:102">
      <c r="A7" s="230"/>
      <c r="B7" s="230"/>
      <c r="C7" s="230"/>
      <c r="D7" s="232"/>
      <c r="E7" s="232"/>
      <c r="F7" s="683" t="s">
        <v>736</v>
      </c>
      <c r="G7" s="594">
        <v>51.612227360999995</v>
      </c>
      <c r="H7" s="594">
        <v>51.612227360999995</v>
      </c>
      <c r="I7" s="594">
        <v>51.612227360999995</v>
      </c>
      <c r="J7" s="594">
        <v>51.612227360999995</v>
      </c>
      <c r="K7" s="594">
        <v>51.612227360999995</v>
      </c>
      <c r="L7" s="594">
        <v>51.612227360999995</v>
      </c>
      <c r="M7" s="594">
        <v>51.612227360999995</v>
      </c>
      <c r="N7" s="594">
        <v>51.612227360999995</v>
      </c>
      <c r="O7" s="594">
        <v>51.612227360999995</v>
      </c>
      <c r="P7" s="594">
        <v>51.612227360999995</v>
      </c>
      <c r="Q7" s="594">
        <v>51.612227360999995</v>
      </c>
      <c r="R7" s="594">
        <v>51.612227360999995</v>
      </c>
      <c r="S7" s="610">
        <v>41.632124343000001</v>
      </c>
      <c r="T7" s="610">
        <v>73.630187347000003</v>
      </c>
      <c r="U7" s="610">
        <v>74.555999999999997</v>
      </c>
      <c r="V7" s="610">
        <v>60.948730581999996</v>
      </c>
      <c r="W7" s="610">
        <v>64.029439750999998</v>
      </c>
      <c r="X7" s="610">
        <v>67.133131130999999</v>
      </c>
      <c r="Y7" s="610">
        <v>70.107725336999991</v>
      </c>
      <c r="Z7" s="610">
        <v>62.553736000000001</v>
      </c>
      <c r="AA7" s="610">
        <v>54.316000000000003</v>
      </c>
      <c r="AB7" s="610">
        <v>99.055850640000003</v>
      </c>
      <c r="AC7" s="610">
        <v>95.429896880999991</v>
      </c>
      <c r="AD7" s="610">
        <v>110.409735086</v>
      </c>
      <c r="AE7" s="594">
        <v>30.881805402999998</v>
      </c>
      <c r="AF7" s="594">
        <v>32.241641640000005</v>
      </c>
      <c r="AG7" s="594">
        <v>24.321499059999997</v>
      </c>
      <c r="AH7" s="594">
        <v>30.614263334</v>
      </c>
      <c r="AI7" s="594">
        <v>28.716788820999998</v>
      </c>
      <c r="AJ7" s="594">
        <v>28.83266047</v>
      </c>
      <c r="AK7" s="594">
        <v>23.385456976</v>
      </c>
      <c r="AL7" s="597">
        <v>20.312174458000001</v>
      </c>
      <c r="AM7" s="628">
        <v>13.623199113</v>
      </c>
      <c r="AN7" s="597">
        <v>11.541861087999999</v>
      </c>
      <c r="AO7" s="246" t="e" vm="2">
        <v>#VALUE!</v>
      </c>
      <c r="AP7" s="246" t="e" vm="2">
        <v>#VALUE!</v>
      </c>
      <c r="AQ7" s="246" t="e" vm="2">
        <v>#VALUE!</v>
      </c>
      <c r="AR7" s="246" t="e" vm="2">
        <v>#VALUE!</v>
      </c>
      <c r="AS7" s="246" t="e" vm="2">
        <v>#VALUE!</v>
      </c>
      <c r="AT7" s="246" t="e" vm="2">
        <v>#VALUE!</v>
      </c>
      <c r="AU7" s="246" t="e" vm="2">
        <v>#VALUE!</v>
      </c>
      <c r="AV7" s="246" t="e" vm="2">
        <v>#VALUE!</v>
      </c>
      <c r="AW7" s="246" t="e" vm="2">
        <v>#VALUE!</v>
      </c>
      <c r="AX7" s="246" t="e" vm="2">
        <v>#VALUE!</v>
      </c>
      <c r="AY7" s="246" t="e" vm="2">
        <v>#VALUE!</v>
      </c>
      <c r="AZ7" s="246" t="e" vm="2">
        <v>#VALUE!</v>
      </c>
      <c r="BA7" s="246" t="e" vm="2">
        <v>#VALUE!</v>
      </c>
      <c r="BB7" s="246" t="e" vm="2">
        <v>#VALUE!</v>
      </c>
      <c r="BC7" s="246" t="e" vm="2">
        <v>#VALUE!</v>
      </c>
      <c r="BD7" s="246" t="e" vm="2">
        <v>#VALUE!</v>
      </c>
      <c r="BE7" s="246" t="e" vm="2">
        <v>#VALUE!</v>
      </c>
      <c r="BF7" s="246" t="e" vm="2">
        <v>#VALUE!</v>
      </c>
      <c r="BG7" s="246" t="e" vm="2">
        <v>#VALUE!</v>
      </c>
      <c r="BH7" s="246" t="e" vm="2">
        <v>#VALUE!</v>
      </c>
      <c r="BI7" s="246" t="e" vm="2">
        <v>#VALUE!</v>
      </c>
      <c r="BJ7" s="246" t="e" vm="2">
        <v>#VALUE!</v>
      </c>
      <c r="BK7" s="246" t="e" vm="2">
        <v>#VALUE!</v>
      </c>
      <c r="BL7" s="246" t="e" vm="2">
        <v>#VALUE!</v>
      </c>
      <c r="BM7" s="246" t="e" vm="2">
        <v>#VALUE!</v>
      </c>
      <c r="BN7" s="246" t="e" vm="2">
        <v>#VALUE!</v>
      </c>
      <c r="BO7" s="246" t="e" vm="2">
        <v>#VALUE!</v>
      </c>
      <c r="BP7" s="246" t="e" vm="2">
        <v>#VALUE!</v>
      </c>
      <c r="BQ7" s="246" t="e" vm="2">
        <v>#VALUE!</v>
      </c>
      <c r="BR7" s="246" t="e" vm="2">
        <v>#VALUE!</v>
      </c>
      <c r="BS7" s="246" t="e" vm="2">
        <v>#VALUE!</v>
      </c>
      <c r="BT7" s="246" t="e" vm="2">
        <v>#VALUE!</v>
      </c>
      <c r="BU7" s="246" t="e" vm="2">
        <v>#VALUE!</v>
      </c>
      <c r="BV7" s="246" t="e" vm="2">
        <v>#VALUE!</v>
      </c>
      <c r="BW7" s="246" t="e" vm="2">
        <v>#VALUE!</v>
      </c>
      <c r="BX7" s="246" t="e" vm="2">
        <v>#VALUE!</v>
      </c>
      <c r="BY7" s="246" t="e" vm="2">
        <v>#VALUE!</v>
      </c>
      <c r="BZ7" s="246" t="e" vm="2">
        <v>#VALUE!</v>
      </c>
      <c r="CA7" s="246" t="e" vm="2">
        <v>#VALUE!</v>
      </c>
      <c r="CB7" s="246" t="e" vm="2">
        <v>#VALUE!</v>
      </c>
      <c r="CC7" s="246" t="e" vm="2">
        <v>#VALUE!</v>
      </c>
      <c r="CD7" s="246" t="e" vm="2">
        <v>#VALUE!</v>
      </c>
      <c r="CE7" s="246" t="e" vm="2">
        <v>#VALUE!</v>
      </c>
      <c r="CF7" s="246" t="e" vm="2">
        <v>#VALUE!</v>
      </c>
      <c r="CG7" s="246" t="e" vm="2">
        <v>#VALUE!</v>
      </c>
      <c r="CH7" s="246" t="e" vm="2">
        <v>#VALUE!</v>
      </c>
      <c r="CI7" s="246" t="e" vm="2">
        <v>#VALUE!</v>
      </c>
      <c r="CJ7" s="246" t="e" vm="2">
        <v>#VALUE!</v>
      </c>
      <c r="CK7" s="246" t="e" vm="2">
        <v>#VALUE!</v>
      </c>
      <c r="CL7" s="246" t="e" vm="2">
        <v>#VALUE!</v>
      </c>
      <c r="CM7" s="246" t="e" vm="2">
        <v>#VALUE!</v>
      </c>
      <c r="CN7" s="246" t="e" vm="2">
        <v>#VALUE!</v>
      </c>
      <c r="CO7" s="246" t="e" vm="2">
        <v>#VALUE!</v>
      </c>
      <c r="CP7" s="246" t="e" vm="2">
        <v>#VALUE!</v>
      </c>
      <c r="CQ7" s="246" t="e" vm="2">
        <v>#VALUE!</v>
      </c>
      <c r="CR7" s="246" t="e" vm="2">
        <v>#VALUE!</v>
      </c>
      <c r="CS7" s="246" t="e" vm="2">
        <v>#VALUE!</v>
      </c>
      <c r="CT7" s="246" t="e" vm="2">
        <v>#VALUE!</v>
      </c>
      <c r="CU7" s="246" t="e" vm="2">
        <v>#VALUE!</v>
      </c>
      <c r="CV7" s="246" t="e" vm="2">
        <v>#VALUE!</v>
      </c>
      <c r="CW7" s="246" t="e" vm="2">
        <v>#VALUE!</v>
      </c>
      <c r="CX7" s="246" t="e" vm="2">
        <v>#VALUE!</v>
      </c>
    </row>
    <row r="8" spans="1:102">
      <c r="A8" s="230"/>
      <c r="B8" s="230"/>
      <c r="C8" s="230"/>
      <c r="D8" s="230"/>
      <c r="E8" s="232"/>
      <c r="F8" s="232" t="s">
        <v>736</v>
      </c>
      <c r="G8" s="237">
        <f t="shared" ref="G8:BR8" si="3">G11+G24</f>
        <v>0.29650492100000003</v>
      </c>
      <c r="H8" s="237">
        <f t="shared" si="3"/>
        <v>0.29899398999999999</v>
      </c>
      <c r="I8" s="261">
        <f t="shared" si="3"/>
        <v>0.90925242899999992</v>
      </c>
      <c r="J8" s="261">
        <f t="shared" si="3"/>
        <v>0.675913184</v>
      </c>
      <c r="K8" s="261">
        <f t="shared" si="3"/>
        <v>0.294334553</v>
      </c>
      <c r="L8" s="261">
        <f t="shared" si="3"/>
        <v>0.40962092099999997</v>
      </c>
      <c r="M8" s="261">
        <f t="shared" si="3"/>
        <v>0.40497237327272695</v>
      </c>
      <c r="N8" s="261">
        <f t="shared" si="3"/>
        <v>0.60910396600003902</v>
      </c>
      <c r="O8" s="261">
        <f t="shared" si="3"/>
        <v>0.59312688472727304</v>
      </c>
      <c r="P8" s="261">
        <f t="shared" si="3"/>
        <v>0.81349191500000007</v>
      </c>
      <c r="Q8" s="261">
        <f t="shared" si="3"/>
        <v>0.89882735699999994</v>
      </c>
      <c r="R8" s="261">
        <f t="shared" si="3"/>
        <v>2.0499677939999996</v>
      </c>
      <c r="S8" s="237">
        <f t="shared" si="3"/>
        <v>0.71553051599999995</v>
      </c>
      <c r="T8" s="237">
        <f t="shared" si="3"/>
        <v>0.87103351299999998</v>
      </c>
      <c r="U8" s="237">
        <f t="shared" si="3"/>
        <v>1.192775608</v>
      </c>
      <c r="V8" s="237">
        <f t="shared" si="3"/>
        <v>0.97976101100000001</v>
      </c>
      <c r="W8" s="237">
        <f t="shared" si="3"/>
        <v>1.2489259700000002</v>
      </c>
      <c r="X8" s="237">
        <f t="shared" si="3"/>
        <v>1.160902187</v>
      </c>
      <c r="Y8" s="237">
        <f t="shared" si="3"/>
        <v>1.108906379</v>
      </c>
      <c r="Z8" s="237">
        <f t="shared" si="3"/>
        <v>1.1418174780000001</v>
      </c>
      <c r="AA8" s="237">
        <f t="shared" si="3"/>
        <v>0.78278396800000005</v>
      </c>
      <c r="AB8" s="237">
        <f t="shared" si="3"/>
        <v>0.69604069099999999</v>
      </c>
      <c r="AC8" s="237">
        <f t="shared" si="3"/>
        <v>0.85094999500000001</v>
      </c>
      <c r="AD8" s="237">
        <f t="shared" si="3"/>
        <v>0.67968860700000011</v>
      </c>
      <c r="AE8" s="262">
        <f t="shared" si="3"/>
        <v>0.642152995</v>
      </c>
      <c r="AF8" s="262">
        <f t="shared" si="3"/>
        <v>0.49117301800000002</v>
      </c>
      <c r="AG8" s="262">
        <f t="shared" si="3"/>
        <v>0.61922541399999997</v>
      </c>
      <c r="AH8" s="262">
        <f t="shared" si="3"/>
        <v>0.547410709</v>
      </c>
      <c r="AI8" s="262">
        <f t="shared" si="3"/>
        <v>0.70761497799999995</v>
      </c>
      <c r="AJ8" s="262">
        <f t="shared" si="3"/>
        <v>10.318681015000001</v>
      </c>
      <c r="AK8" s="262">
        <f t="shared" si="3"/>
        <v>3.7482269329999998</v>
      </c>
      <c r="AL8" s="262">
        <f t="shared" si="3"/>
        <v>0.73261349099999995</v>
      </c>
      <c r="AM8" s="262">
        <f t="shared" si="3"/>
        <v>0.78458218499999999</v>
      </c>
      <c r="AN8" s="262">
        <f t="shared" si="3"/>
        <v>0.60700706700000007</v>
      </c>
      <c r="AO8" s="262" t="e" vm="2">
        <f t="shared" si="3"/>
        <v>#VALUE!</v>
      </c>
      <c r="AP8" s="262" t="e" vm="2">
        <f t="shared" si="3"/>
        <v>#VALUE!</v>
      </c>
      <c r="AQ8" s="262" t="e" vm="2">
        <f t="shared" si="3"/>
        <v>#VALUE!</v>
      </c>
      <c r="AR8" s="262" t="e" vm="2">
        <f t="shared" si="3"/>
        <v>#VALUE!</v>
      </c>
      <c r="AS8" s="262" t="e" vm="2">
        <f t="shared" si="3"/>
        <v>#VALUE!</v>
      </c>
      <c r="AT8" s="262" t="e" vm="2">
        <f t="shared" si="3"/>
        <v>#VALUE!</v>
      </c>
      <c r="AU8" s="262" t="e" vm="2">
        <f t="shared" si="3"/>
        <v>#VALUE!</v>
      </c>
      <c r="AV8" s="262" t="e" vm="2">
        <f t="shared" si="3"/>
        <v>#VALUE!</v>
      </c>
      <c r="AW8" s="262" t="e" vm="2">
        <f t="shared" si="3"/>
        <v>#VALUE!</v>
      </c>
      <c r="AX8" s="262" t="e" vm="2">
        <f t="shared" si="3"/>
        <v>#VALUE!</v>
      </c>
      <c r="AY8" s="262" t="e" vm="2">
        <f t="shared" si="3"/>
        <v>#VALUE!</v>
      </c>
      <c r="AZ8" s="262" t="e" vm="2">
        <f t="shared" si="3"/>
        <v>#VALUE!</v>
      </c>
      <c r="BA8" s="262" t="e" vm="2">
        <f t="shared" si="3"/>
        <v>#VALUE!</v>
      </c>
      <c r="BB8" s="262" t="e" vm="2">
        <f t="shared" si="3"/>
        <v>#VALUE!</v>
      </c>
      <c r="BC8" s="262" t="e" vm="2">
        <f t="shared" si="3"/>
        <v>#VALUE!</v>
      </c>
      <c r="BD8" s="262" t="e" vm="2">
        <f t="shared" si="3"/>
        <v>#VALUE!</v>
      </c>
      <c r="BE8" s="262" t="e" vm="2">
        <f t="shared" si="3"/>
        <v>#VALUE!</v>
      </c>
      <c r="BF8" s="262" t="e" vm="2">
        <f t="shared" si="3"/>
        <v>#VALUE!</v>
      </c>
      <c r="BG8" s="262" t="e" vm="2">
        <f t="shared" si="3"/>
        <v>#VALUE!</v>
      </c>
      <c r="BH8" s="262" t="e" vm="2">
        <f t="shared" si="3"/>
        <v>#VALUE!</v>
      </c>
      <c r="BI8" s="262" t="e" vm="2">
        <f t="shared" si="3"/>
        <v>#VALUE!</v>
      </c>
      <c r="BJ8" s="262" t="e" vm="2">
        <f t="shared" si="3"/>
        <v>#VALUE!</v>
      </c>
      <c r="BK8" s="262" t="e" vm="2">
        <f t="shared" si="3"/>
        <v>#VALUE!</v>
      </c>
      <c r="BL8" s="262" t="e" vm="2">
        <f t="shared" si="3"/>
        <v>#VALUE!</v>
      </c>
      <c r="BM8" s="262" t="e" vm="2">
        <f t="shared" si="3"/>
        <v>#VALUE!</v>
      </c>
      <c r="BN8" s="262" t="e" vm="2">
        <f t="shared" si="3"/>
        <v>#VALUE!</v>
      </c>
      <c r="BO8" s="262" t="e" vm="2">
        <f t="shared" si="3"/>
        <v>#VALUE!</v>
      </c>
      <c r="BP8" s="262" t="e" vm="2">
        <f t="shared" si="3"/>
        <v>#VALUE!</v>
      </c>
      <c r="BQ8" s="262" t="e" vm="2">
        <f t="shared" si="3"/>
        <v>#VALUE!</v>
      </c>
      <c r="BR8" s="262" t="e" vm="2">
        <f t="shared" si="3"/>
        <v>#VALUE!</v>
      </c>
      <c r="BS8" s="262" t="e" vm="2">
        <f t="shared" ref="BS8:CX8" si="4">BS11+BS24</f>
        <v>#VALUE!</v>
      </c>
      <c r="BT8" s="262" t="e" vm="2">
        <f t="shared" si="4"/>
        <v>#VALUE!</v>
      </c>
      <c r="BU8" s="262" t="e" vm="2">
        <f t="shared" si="4"/>
        <v>#VALUE!</v>
      </c>
      <c r="BV8" s="262" t="e" vm="2">
        <f t="shared" si="4"/>
        <v>#VALUE!</v>
      </c>
      <c r="BW8" s="262" t="e" vm="2">
        <f t="shared" si="4"/>
        <v>#VALUE!</v>
      </c>
      <c r="BX8" s="262" t="e" vm="2">
        <f t="shared" si="4"/>
        <v>#VALUE!</v>
      </c>
      <c r="BY8" s="262" t="e" vm="2">
        <f t="shared" si="4"/>
        <v>#VALUE!</v>
      </c>
      <c r="BZ8" s="262" t="e" vm="2">
        <f t="shared" si="4"/>
        <v>#VALUE!</v>
      </c>
      <c r="CA8" s="262" t="e" vm="2">
        <f t="shared" si="4"/>
        <v>#VALUE!</v>
      </c>
      <c r="CB8" s="262" t="e" vm="2">
        <f t="shared" si="4"/>
        <v>#VALUE!</v>
      </c>
      <c r="CC8" s="262" t="e" vm="2">
        <f t="shared" si="4"/>
        <v>#VALUE!</v>
      </c>
      <c r="CD8" s="262" t="e" vm="2">
        <f t="shared" si="4"/>
        <v>#VALUE!</v>
      </c>
      <c r="CE8" s="262" t="e" vm="2">
        <f t="shared" si="4"/>
        <v>#VALUE!</v>
      </c>
      <c r="CF8" s="262" t="e" vm="2">
        <f t="shared" si="4"/>
        <v>#VALUE!</v>
      </c>
      <c r="CG8" s="262" t="e" vm="2">
        <f t="shared" si="4"/>
        <v>#VALUE!</v>
      </c>
      <c r="CH8" s="262" t="e" vm="2">
        <f t="shared" si="4"/>
        <v>#VALUE!</v>
      </c>
      <c r="CI8" s="262" t="e" vm="2">
        <f t="shared" si="4"/>
        <v>#VALUE!</v>
      </c>
      <c r="CJ8" s="262" t="e" vm="2">
        <f t="shared" si="4"/>
        <v>#VALUE!</v>
      </c>
      <c r="CK8" s="262" t="e" vm="2">
        <f t="shared" si="4"/>
        <v>#VALUE!</v>
      </c>
      <c r="CL8" s="262" t="e" vm="2">
        <f t="shared" si="4"/>
        <v>#VALUE!</v>
      </c>
      <c r="CM8" s="262" t="e" vm="2">
        <f t="shared" si="4"/>
        <v>#VALUE!</v>
      </c>
      <c r="CN8" s="262" t="e" vm="2">
        <f t="shared" si="4"/>
        <v>#VALUE!</v>
      </c>
      <c r="CO8" s="262" t="e" vm="2">
        <f t="shared" si="4"/>
        <v>#VALUE!</v>
      </c>
      <c r="CP8" s="262" t="e" vm="2">
        <f t="shared" si="4"/>
        <v>#VALUE!</v>
      </c>
      <c r="CQ8" s="262" t="e" vm="2">
        <f t="shared" si="4"/>
        <v>#VALUE!</v>
      </c>
      <c r="CR8" s="262" t="e" vm="2">
        <f t="shared" si="4"/>
        <v>#VALUE!</v>
      </c>
      <c r="CS8" s="262" t="e" vm="2">
        <f t="shared" si="4"/>
        <v>#VALUE!</v>
      </c>
      <c r="CT8" s="262" t="e" vm="2">
        <f t="shared" si="4"/>
        <v>#VALUE!</v>
      </c>
      <c r="CU8" s="262" t="e" vm="2">
        <f t="shared" si="4"/>
        <v>#VALUE!</v>
      </c>
      <c r="CV8" s="262" t="e" vm="2">
        <f t="shared" si="4"/>
        <v>#VALUE!</v>
      </c>
      <c r="CW8" s="262" t="e" vm="2">
        <f t="shared" si="4"/>
        <v>#VALUE!</v>
      </c>
      <c r="CX8" s="262" t="e" vm="2">
        <f t="shared" si="4"/>
        <v>#VALUE!</v>
      </c>
    </row>
    <row r="9" spans="1:102">
      <c r="A9" s="230"/>
      <c r="B9" s="230"/>
      <c r="C9" s="230"/>
      <c r="D9" s="230"/>
      <c r="E9" s="232"/>
      <c r="F9" s="232" t="s">
        <v>736</v>
      </c>
      <c r="G9" s="237">
        <f t="shared" ref="G9:AC9" si="5">G17</f>
        <v>-1.4448912199999999</v>
      </c>
      <c r="H9" s="237">
        <f t="shared" si="5"/>
        <v>-1.0811280233333331</v>
      </c>
      <c r="I9" s="261">
        <f t="shared" si="5"/>
        <v>-2.4998654481111107</v>
      </c>
      <c r="J9" s="261">
        <f t="shared" si="5"/>
        <v>-2.8148273627777782</v>
      </c>
      <c r="K9" s="261">
        <f t="shared" si="5"/>
        <v>-1.728479592444444</v>
      </c>
      <c r="L9" s="261">
        <f t="shared" si="5"/>
        <v>-1.8558428588888887</v>
      </c>
      <c r="M9" s="261">
        <f t="shared" si="5"/>
        <v>-1.9468773855555557</v>
      </c>
      <c r="N9" s="261">
        <f t="shared" si="5"/>
        <v>-2.5197785433333335</v>
      </c>
      <c r="O9" s="261">
        <f t="shared" si="5"/>
        <v>-2.8816610966666665</v>
      </c>
      <c r="P9" s="261">
        <f t="shared" si="5"/>
        <v>-4.5355737511111105</v>
      </c>
      <c r="Q9" s="261">
        <f t="shared" si="5"/>
        <v>-3.0708654859999998</v>
      </c>
      <c r="R9" s="261">
        <f t="shared" si="5"/>
        <v>-4.3449835740000005</v>
      </c>
      <c r="S9" s="237">
        <f t="shared" si="5"/>
        <v>-3.7020295499999998</v>
      </c>
      <c r="T9" s="237">
        <f t="shared" si="5"/>
        <v>-4.6494968679999999</v>
      </c>
      <c r="U9" s="237">
        <f t="shared" si="5"/>
        <v>-4.4617291020000005</v>
      </c>
      <c r="V9" s="237">
        <f t="shared" si="5"/>
        <v>-4.2141998430000003</v>
      </c>
      <c r="W9" s="237">
        <f t="shared" si="5"/>
        <v>-5.3332650919999995</v>
      </c>
      <c r="X9" s="237">
        <f t="shared" si="5"/>
        <v>-4.0224837549999997</v>
      </c>
      <c r="Y9" s="237">
        <f t="shared" si="5"/>
        <v>-4.8127223539999999</v>
      </c>
      <c r="Z9" s="237">
        <f t="shared" si="5"/>
        <v>-3.8063283050000001</v>
      </c>
      <c r="AA9" s="237">
        <f t="shared" si="5"/>
        <v>-3.4230447540000002</v>
      </c>
      <c r="AB9" s="237">
        <f t="shared" si="5"/>
        <v>-3.7527957980000002</v>
      </c>
      <c r="AC9" s="237">
        <f t="shared" si="5"/>
        <v>-2.7708642709999998</v>
      </c>
      <c r="AD9" s="237">
        <f>AD17</f>
        <v>-3.3382655249999997</v>
      </c>
      <c r="AE9" s="262">
        <f t="shared" ref="AE9:CP9" si="6">AE17</f>
        <v>-2.6425735240000003</v>
      </c>
      <c r="AF9" s="262">
        <f t="shared" si="6"/>
        <v>-2.3878515199999999</v>
      </c>
      <c r="AG9" s="262">
        <f t="shared" si="6"/>
        <v>-3.0801340719999999</v>
      </c>
      <c r="AH9" s="262">
        <f t="shared" si="6"/>
        <v>-2.5674684909999996</v>
      </c>
      <c r="AI9" s="262">
        <f t="shared" si="6"/>
        <v>-2.7471483560000003</v>
      </c>
      <c r="AJ9" s="262">
        <f t="shared" si="6"/>
        <v>-2.5979802449999996</v>
      </c>
      <c r="AK9" s="262">
        <f t="shared" si="6"/>
        <v>-2.3476377959999999</v>
      </c>
      <c r="AL9" s="262">
        <f t="shared" si="6"/>
        <v>-2.3536398969999999</v>
      </c>
      <c r="AM9" s="262">
        <f t="shared" si="6"/>
        <v>-1.2685225105969773</v>
      </c>
      <c r="AN9" s="262">
        <f t="shared" si="6"/>
        <v>-0.72783825225127774</v>
      </c>
      <c r="AO9" s="262">
        <f t="shared" si="6"/>
        <v>-1.054130038</v>
      </c>
      <c r="AP9" s="262">
        <f t="shared" si="6"/>
        <v>-0.55413003800000005</v>
      </c>
      <c r="AQ9" s="262">
        <f t="shared" si="6"/>
        <v>-0.55413003800000005</v>
      </c>
      <c r="AR9" s="262">
        <f t="shared" si="6"/>
        <v>-0.55413003800000005</v>
      </c>
      <c r="AS9" s="262">
        <f t="shared" si="6"/>
        <v>-0.55413003800000005</v>
      </c>
      <c r="AT9" s="262">
        <f t="shared" si="6"/>
        <v>-0.55413003800000005</v>
      </c>
      <c r="AU9" s="262">
        <f t="shared" si="6"/>
        <v>-0.55413003800000005</v>
      </c>
      <c r="AV9" s="262">
        <f t="shared" si="6"/>
        <v>-0.55413003800000005</v>
      </c>
      <c r="AW9" s="262">
        <f t="shared" si="6"/>
        <v>-0.55413003800000005</v>
      </c>
      <c r="AX9" s="262">
        <f t="shared" si="6"/>
        <v>-0.55413003800000005</v>
      </c>
      <c r="AY9" s="262">
        <f t="shared" si="6"/>
        <v>-0.55413003800000005</v>
      </c>
      <c r="AZ9" s="262">
        <f t="shared" si="6"/>
        <v>-0.55413003800000005</v>
      </c>
      <c r="BA9" s="262">
        <f t="shared" si="6"/>
        <v>-0.55413003800000005</v>
      </c>
      <c r="BB9" s="262">
        <f t="shared" si="6"/>
        <v>-0.55413003800000005</v>
      </c>
      <c r="BC9" s="262">
        <f t="shared" si="6"/>
        <v>-0.35413003799999998</v>
      </c>
      <c r="BD9" s="262">
        <f t="shared" si="6"/>
        <v>-0.35413003799999998</v>
      </c>
      <c r="BE9" s="262">
        <f t="shared" si="6"/>
        <v>-0.35413003799999998</v>
      </c>
      <c r="BF9" s="262">
        <f t="shared" si="6"/>
        <v>-0.35413003799999998</v>
      </c>
      <c r="BG9" s="262">
        <f t="shared" si="6"/>
        <v>-0.35413003799999998</v>
      </c>
      <c r="BH9" s="262">
        <f t="shared" si="6"/>
        <v>-0.35413003799999998</v>
      </c>
      <c r="BI9" s="262">
        <f t="shared" si="6"/>
        <v>-0.35413003799999998</v>
      </c>
      <c r="BJ9" s="262">
        <f t="shared" si="6"/>
        <v>-0.35413003799999998</v>
      </c>
      <c r="BK9" s="262">
        <f t="shared" si="6"/>
        <v>-0.35413003799999998</v>
      </c>
      <c r="BL9" s="262">
        <f t="shared" si="6"/>
        <v>-0.35413003799999998</v>
      </c>
      <c r="BM9" s="262">
        <f t="shared" si="6"/>
        <v>-0.35413003799999998</v>
      </c>
      <c r="BN9" s="262">
        <f t="shared" si="6"/>
        <v>-0.35413003799999998</v>
      </c>
      <c r="BO9" s="262">
        <f t="shared" si="6"/>
        <v>-0.35413003799999998</v>
      </c>
      <c r="BP9" s="262">
        <f t="shared" si="6"/>
        <v>-0.35413003799999998</v>
      </c>
      <c r="BQ9" s="262">
        <f t="shared" si="6"/>
        <v>-0.35413003799999998</v>
      </c>
      <c r="BR9" s="262">
        <f t="shared" si="6"/>
        <v>-0.35413003799999998</v>
      </c>
      <c r="BS9" s="262">
        <f t="shared" si="6"/>
        <v>-0.35413003799999998</v>
      </c>
      <c r="BT9" s="262">
        <f t="shared" si="6"/>
        <v>-0.35413003799999998</v>
      </c>
      <c r="BU9" s="262">
        <f t="shared" si="6"/>
        <v>-0.35413003799999998</v>
      </c>
      <c r="BV9" s="262">
        <f t="shared" si="6"/>
        <v>-0.35413003799999998</v>
      </c>
      <c r="BW9" s="262">
        <f t="shared" si="6"/>
        <v>-0.35413003799999998</v>
      </c>
      <c r="BX9" s="262">
        <f t="shared" si="6"/>
        <v>-0.35413003799999998</v>
      </c>
      <c r="BY9" s="262">
        <f t="shared" si="6"/>
        <v>-0.35413003799999998</v>
      </c>
      <c r="BZ9" s="262">
        <f t="shared" si="6"/>
        <v>-0.35413003799999998</v>
      </c>
      <c r="CA9" s="262">
        <f t="shared" si="6"/>
        <v>-5.4130037999999998E-2</v>
      </c>
      <c r="CB9" s="262">
        <f t="shared" si="6"/>
        <v>-5.4130037999999998E-2</v>
      </c>
      <c r="CC9" s="262">
        <f t="shared" si="6"/>
        <v>-5.4130037999999998E-2</v>
      </c>
      <c r="CD9" s="262">
        <f t="shared" si="6"/>
        <v>-5.4130037999999998E-2</v>
      </c>
      <c r="CE9" s="262">
        <f t="shared" si="6"/>
        <v>-5.4130037999999998E-2</v>
      </c>
      <c r="CF9" s="262">
        <f t="shared" si="6"/>
        <v>-5.4130037999999998E-2</v>
      </c>
      <c r="CG9" s="262">
        <f t="shared" si="6"/>
        <v>-5.4130037999999998E-2</v>
      </c>
      <c r="CH9" s="262">
        <f t="shared" si="6"/>
        <v>-5.4130037999999998E-2</v>
      </c>
      <c r="CI9" s="262">
        <f t="shared" si="6"/>
        <v>-5.4130037999999998E-2</v>
      </c>
      <c r="CJ9" s="262">
        <f t="shared" si="6"/>
        <v>-5.4130037999999998E-2</v>
      </c>
      <c r="CK9" s="262">
        <f t="shared" si="6"/>
        <v>-5.4130037999999998E-2</v>
      </c>
      <c r="CL9" s="262">
        <f t="shared" si="6"/>
        <v>-5.4130037999999998E-2</v>
      </c>
      <c r="CM9" s="262">
        <f t="shared" si="6"/>
        <v>-5.4130037999999998E-2</v>
      </c>
      <c r="CN9" s="262">
        <f t="shared" si="6"/>
        <v>-5.4130037999999998E-2</v>
      </c>
      <c r="CO9" s="262">
        <f t="shared" si="6"/>
        <v>-5.4130037999999998E-2</v>
      </c>
      <c r="CP9" s="262">
        <f t="shared" si="6"/>
        <v>-5.4130037999999998E-2</v>
      </c>
      <c r="CQ9" s="262">
        <f t="shared" ref="CQ9:CX9" si="7">CQ17</f>
        <v>-5.4130037999999998E-2</v>
      </c>
      <c r="CR9" s="262">
        <f t="shared" si="7"/>
        <v>-5.4130037999999998E-2</v>
      </c>
      <c r="CS9" s="262">
        <f t="shared" si="7"/>
        <v>-5.4130037999999998E-2</v>
      </c>
      <c r="CT9" s="262">
        <f t="shared" si="7"/>
        <v>-5.4130037999999998E-2</v>
      </c>
      <c r="CU9" s="262">
        <f t="shared" si="7"/>
        <v>-5.4130037999999998E-2</v>
      </c>
      <c r="CV9" s="262">
        <f t="shared" si="7"/>
        <v>-5.4130037999999998E-2</v>
      </c>
      <c r="CW9" s="262">
        <f t="shared" si="7"/>
        <v>-5.4130037999999998E-2</v>
      </c>
      <c r="CX9" s="262">
        <f t="shared" si="7"/>
        <v>-5.4130037999999998E-2</v>
      </c>
    </row>
    <row r="10" spans="1:102">
      <c r="A10" s="229" t="s">
        <v>217</v>
      </c>
      <c r="B10" s="229"/>
      <c r="C10" s="229"/>
      <c r="D10" s="229"/>
      <c r="E10" s="203"/>
      <c r="F10" s="232" t="s">
        <v>736</v>
      </c>
      <c r="G10" s="275">
        <f t="shared" ref="G10:BR10" si="8">G11+G17+G24</f>
        <v>-1.1483862989999998</v>
      </c>
      <c r="H10" s="275">
        <f t="shared" si="8"/>
        <v>-0.78213403333333309</v>
      </c>
      <c r="I10" s="275">
        <f t="shared" si="8"/>
        <v>-1.5906130191111107</v>
      </c>
      <c r="J10" s="275">
        <f t="shared" si="8"/>
        <v>-2.1389141787777781</v>
      </c>
      <c r="K10" s="275">
        <f t="shared" si="8"/>
        <v>-1.4341450394444442</v>
      </c>
      <c r="L10" s="275">
        <f t="shared" si="8"/>
        <v>-1.4462219378888888</v>
      </c>
      <c r="M10" s="275">
        <f t="shared" si="8"/>
        <v>-1.5419050122828288</v>
      </c>
      <c r="N10" s="275">
        <f t="shared" si="8"/>
        <v>-1.9106745773332945</v>
      </c>
      <c r="O10" s="275">
        <f t="shared" si="8"/>
        <v>-2.2885342119393934</v>
      </c>
      <c r="P10" s="275">
        <f t="shared" si="8"/>
        <v>-3.7220818361111103</v>
      </c>
      <c r="Q10" s="275">
        <f t="shared" si="8"/>
        <v>-2.1720381289999997</v>
      </c>
      <c r="R10" s="275">
        <f t="shared" si="8"/>
        <v>-2.2950157800000008</v>
      </c>
      <c r="S10" s="275">
        <f t="shared" si="8"/>
        <v>-2.9864990339999999</v>
      </c>
      <c r="T10" s="275">
        <f t="shared" si="8"/>
        <v>-3.778463355</v>
      </c>
      <c r="U10" s="275">
        <f t="shared" si="8"/>
        <v>-3.2689534940000007</v>
      </c>
      <c r="V10" s="275">
        <f t="shared" si="8"/>
        <v>-3.2344388320000004</v>
      </c>
      <c r="W10" s="275">
        <f t="shared" si="8"/>
        <v>-4.0843391219999994</v>
      </c>
      <c r="X10" s="275">
        <f t="shared" si="8"/>
        <v>-2.8615815679999996</v>
      </c>
      <c r="Y10" s="275">
        <f t="shared" si="8"/>
        <v>-3.7038159749999999</v>
      </c>
      <c r="Z10" s="275">
        <f t="shared" si="8"/>
        <v>-2.664510827</v>
      </c>
      <c r="AA10" s="275">
        <f t="shared" si="8"/>
        <v>-2.6402607860000002</v>
      </c>
      <c r="AB10" s="275">
        <f t="shared" si="8"/>
        <v>-3.0567551070000003</v>
      </c>
      <c r="AC10" s="275">
        <f t="shared" si="8"/>
        <v>-1.9199142759999996</v>
      </c>
      <c r="AD10" s="275">
        <f t="shared" si="8"/>
        <v>-2.6585769179999996</v>
      </c>
      <c r="AE10" s="626">
        <f t="shared" si="8"/>
        <v>-2.0004205290000003</v>
      </c>
      <c r="AF10" s="626">
        <f t="shared" si="8"/>
        <v>-1.8966785019999999</v>
      </c>
      <c r="AG10" s="626">
        <f t="shared" si="8"/>
        <v>-2.4609086580000001</v>
      </c>
      <c r="AH10" s="626">
        <f t="shared" si="8"/>
        <v>-2.0200577819999994</v>
      </c>
      <c r="AI10" s="626">
        <f t="shared" si="8"/>
        <v>-2.0395333780000002</v>
      </c>
      <c r="AJ10" s="626">
        <f t="shared" si="8"/>
        <v>7.7207007700000014</v>
      </c>
      <c r="AK10" s="277">
        <f>AK11+AK17+AK24</f>
        <v>1.4005891370000001</v>
      </c>
      <c r="AL10" s="277">
        <f t="shared" si="8"/>
        <v>-1.6210264059999999</v>
      </c>
      <c r="AM10" s="277">
        <f t="shared" si="8"/>
        <v>-0.48394032559697731</v>
      </c>
      <c r="AN10" s="277">
        <f t="shared" si="8"/>
        <v>-0.12083118525127767</v>
      </c>
      <c r="AO10" s="277" t="e" vm="2">
        <f t="shared" si="8"/>
        <v>#VALUE!</v>
      </c>
      <c r="AP10" s="277" t="e" vm="2">
        <f t="shared" si="8"/>
        <v>#VALUE!</v>
      </c>
      <c r="AQ10" s="277" t="e" vm="2">
        <f t="shared" si="8"/>
        <v>#VALUE!</v>
      </c>
      <c r="AR10" s="277" t="e" vm="2">
        <f t="shared" si="8"/>
        <v>#VALUE!</v>
      </c>
      <c r="AS10" s="277" t="e" vm="2">
        <f t="shared" si="8"/>
        <v>#VALUE!</v>
      </c>
      <c r="AT10" s="277" t="e" vm="2">
        <f t="shared" si="8"/>
        <v>#VALUE!</v>
      </c>
      <c r="AU10" s="277" t="e" vm="2">
        <f t="shared" si="8"/>
        <v>#VALUE!</v>
      </c>
      <c r="AV10" s="277" t="e" vm="2">
        <f t="shared" si="8"/>
        <v>#VALUE!</v>
      </c>
      <c r="AW10" s="277" t="e" vm="2">
        <f t="shared" si="8"/>
        <v>#VALUE!</v>
      </c>
      <c r="AX10" s="277" t="e" vm="2">
        <f t="shared" si="8"/>
        <v>#VALUE!</v>
      </c>
      <c r="AY10" s="277" t="e" vm="2">
        <f t="shared" si="8"/>
        <v>#VALUE!</v>
      </c>
      <c r="AZ10" s="277" t="e" vm="2">
        <f t="shared" si="8"/>
        <v>#VALUE!</v>
      </c>
      <c r="BA10" s="277" t="e" vm="2">
        <f t="shared" si="8"/>
        <v>#VALUE!</v>
      </c>
      <c r="BB10" s="277" t="e" vm="2">
        <f t="shared" si="8"/>
        <v>#VALUE!</v>
      </c>
      <c r="BC10" s="277" t="e" vm="2">
        <f t="shared" si="8"/>
        <v>#VALUE!</v>
      </c>
      <c r="BD10" s="277" t="e" vm="2">
        <f t="shared" si="8"/>
        <v>#VALUE!</v>
      </c>
      <c r="BE10" s="277" t="e" vm="2">
        <f t="shared" si="8"/>
        <v>#VALUE!</v>
      </c>
      <c r="BF10" s="277" t="e" vm="2">
        <f t="shared" si="8"/>
        <v>#VALUE!</v>
      </c>
      <c r="BG10" s="277" t="e" vm="2">
        <f t="shared" si="8"/>
        <v>#VALUE!</v>
      </c>
      <c r="BH10" s="277" t="e" vm="2">
        <f t="shared" si="8"/>
        <v>#VALUE!</v>
      </c>
      <c r="BI10" s="277" t="e" vm="2">
        <f t="shared" si="8"/>
        <v>#VALUE!</v>
      </c>
      <c r="BJ10" s="277" t="e" vm="2">
        <f t="shared" si="8"/>
        <v>#VALUE!</v>
      </c>
      <c r="BK10" s="277" t="e" vm="2">
        <f t="shared" si="8"/>
        <v>#VALUE!</v>
      </c>
      <c r="BL10" s="277" t="e" vm="2">
        <f t="shared" si="8"/>
        <v>#VALUE!</v>
      </c>
      <c r="BM10" s="277" t="e" vm="2">
        <f t="shared" si="8"/>
        <v>#VALUE!</v>
      </c>
      <c r="BN10" s="277" t="e" vm="2">
        <f t="shared" si="8"/>
        <v>#VALUE!</v>
      </c>
      <c r="BO10" s="277" t="e" vm="2">
        <f t="shared" si="8"/>
        <v>#VALUE!</v>
      </c>
      <c r="BP10" s="277" t="e" vm="2">
        <f t="shared" si="8"/>
        <v>#VALUE!</v>
      </c>
      <c r="BQ10" s="277" t="e" vm="2">
        <f t="shared" si="8"/>
        <v>#VALUE!</v>
      </c>
      <c r="BR10" s="277" t="e" vm="2">
        <f t="shared" si="8"/>
        <v>#VALUE!</v>
      </c>
      <c r="BS10" s="277" t="e" vm="2">
        <f t="shared" ref="BS10:CX10" si="9">BS11+BS17+BS24</f>
        <v>#VALUE!</v>
      </c>
      <c r="BT10" s="277" t="e" vm="2">
        <f t="shared" si="9"/>
        <v>#VALUE!</v>
      </c>
      <c r="BU10" s="277" t="e" vm="2">
        <f t="shared" si="9"/>
        <v>#VALUE!</v>
      </c>
      <c r="BV10" s="277" t="e" vm="2">
        <f t="shared" si="9"/>
        <v>#VALUE!</v>
      </c>
      <c r="BW10" s="277" t="e" vm="2">
        <f t="shared" si="9"/>
        <v>#VALUE!</v>
      </c>
      <c r="BX10" s="277" t="e" vm="2">
        <f t="shared" si="9"/>
        <v>#VALUE!</v>
      </c>
      <c r="BY10" s="277" t="e" vm="2">
        <f t="shared" si="9"/>
        <v>#VALUE!</v>
      </c>
      <c r="BZ10" s="277" t="e" vm="2">
        <f t="shared" si="9"/>
        <v>#VALUE!</v>
      </c>
      <c r="CA10" s="277" t="e" vm="2">
        <f t="shared" si="9"/>
        <v>#VALUE!</v>
      </c>
      <c r="CB10" s="277" t="e" vm="2">
        <f t="shared" si="9"/>
        <v>#VALUE!</v>
      </c>
      <c r="CC10" s="277" t="e" vm="2">
        <f t="shared" si="9"/>
        <v>#VALUE!</v>
      </c>
      <c r="CD10" s="277" t="e" vm="2">
        <f t="shared" si="9"/>
        <v>#VALUE!</v>
      </c>
      <c r="CE10" s="277" t="e" vm="2">
        <f t="shared" si="9"/>
        <v>#VALUE!</v>
      </c>
      <c r="CF10" s="277" t="e" vm="2">
        <f t="shared" si="9"/>
        <v>#VALUE!</v>
      </c>
      <c r="CG10" s="277" t="e" vm="2">
        <f t="shared" si="9"/>
        <v>#VALUE!</v>
      </c>
      <c r="CH10" s="277" t="e" vm="2">
        <f t="shared" si="9"/>
        <v>#VALUE!</v>
      </c>
      <c r="CI10" s="277" t="e" vm="2">
        <f t="shared" si="9"/>
        <v>#VALUE!</v>
      </c>
      <c r="CJ10" s="277" t="e" vm="2">
        <f t="shared" si="9"/>
        <v>#VALUE!</v>
      </c>
      <c r="CK10" s="277" t="e" vm="2">
        <f t="shared" si="9"/>
        <v>#VALUE!</v>
      </c>
      <c r="CL10" s="277" t="e" vm="2">
        <f t="shared" si="9"/>
        <v>#VALUE!</v>
      </c>
      <c r="CM10" s="277" t="e" vm="2">
        <f t="shared" si="9"/>
        <v>#VALUE!</v>
      </c>
      <c r="CN10" s="277" t="e" vm="2">
        <f t="shared" si="9"/>
        <v>#VALUE!</v>
      </c>
      <c r="CO10" s="277" t="e" vm="2">
        <f t="shared" si="9"/>
        <v>#VALUE!</v>
      </c>
      <c r="CP10" s="277" t="e" vm="2">
        <f t="shared" si="9"/>
        <v>#VALUE!</v>
      </c>
      <c r="CQ10" s="277" t="e" vm="2">
        <f t="shared" si="9"/>
        <v>#VALUE!</v>
      </c>
      <c r="CR10" s="277" t="e" vm="2">
        <f t="shared" si="9"/>
        <v>#VALUE!</v>
      </c>
      <c r="CS10" s="277" t="e" vm="2">
        <f t="shared" si="9"/>
        <v>#VALUE!</v>
      </c>
      <c r="CT10" s="277" t="e" vm="2">
        <f t="shared" si="9"/>
        <v>#VALUE!</v>
      </c>
      <c r="CU10" s="277" t="e" vm="2">
        <f t="shared" si="9"/>
        <v>#VALUE!</v>
      </c>
      <c r="CV10" s="277" t="e" vm="2">
        <f t="shared" si="9"/>
        <v>#VALUE!</v>
      </c>
      <c r="CW10" s="277" t="e" vm="2">
        <f t="shared" si="9"/>
        <v>#VALUE!</v>
      </c>
      <c r="CX10" s="277" t="e" vm="2">
        <f t="shared" si="9"/>
        <v>#VALUE!</v>
      </c>
    </row>
    <row r="11" spans="1:102">
      <c r="A11" s="230"/>
      <c r="B11" s="229" t="s">
        <v>22</v>
      </c>
      <c r="C11" s="230"/>
      <c r="D11" s="230"/>
      <c r="E11" s="232"/>
      <c r="F11" s="232" t="s">
        <v>736</v>
      </c>
      <c r="G11" s="237">
        <f t="shared" ref="G11:BR11" si="10">SUM(G12:G16)</f>
        <v>0.29650492100000003</v>
      </c>
      <c r="H11" s="237">
        <f t="shared" si="10"/>
        <v>0.29899398999999999</v>
      </c>
      <c r="I11" s="237">
        <f t="shared" si="10"/>
        <v>0.90925242899999992</v>
      </c>
      <c r="J11" s="237">
        <f t="shared" si="10"/>
        <v>0.675913184</v>
      </c>
      <c r="K11" s="237">
        <f t="shared" si="10"/>
        <v>0.294334553</v>
      </c>
      <c r="L11" s="237">
        <f t="shared" si="10"/>
        <v>0.40962092099999997</v>
      </c>
      <c r="M11" s="237">
        <f t="shared" si="10"/>
        <v>0.40497237327272695</v>
      </c>
      <c r="N11" s="237">
        <f t="shared" si="10"/>
        <v>0.60910396600003902</v>
      </c>
      <c r="O11" s="237">
        <f t="shared" si="10"/>
        <v>0.59312688472727304</v>
      </c>
      <c r="P11" s="237">
        <f t="shared" si="10"/>
        <v>0.81349191500000007</v>
      </c>
      <c r="Q11" s="237">
        <f t="shared" si="10"/>
        <v>0.89882735699999994</v>
      </c>
      <c r="R11" s="237">
        <f t="shared" si="10"/>
        <v>2.0499677939999996</v>
      </c>
      <c r="S11" s="237">
        <f t="shared" si="10"/>
        <v>0.71553051599999995</v>
      </c>
      <c r="T11" s="237">
        <f t="shared" si="10"/>
        <v>0.87103351299999998</v>
      </c>
      <c r="U11" s="237">
        <f t="shared" si="10"/>
        <v>1.192775608</v>
      </c>
      <c r="V11" s="237">
        <f t="shared" si="10"/>
        <v>0.97976101100000001</v>
      </c>
      <c r="W11" s="237">
        <f t="shared" si="10"/>
        <v>1.2489259700000002</v>
      </c>
      <c r="X11" s="237">
        <f t="shared" si="10"/>
        <v>1.160902187</v>
      </c>
      <c r="Y11" s="237">
        <f t="shared" si="10"/>
        <v>1.108906379</v>
      </c>
      <c r="Z11" s="237">
        <f t="shared" si="10"/>
        <v>1.1418174780000001</v>
      </c>
      <c r="AA11" s="237">
        <f t="shared" si="10"/>
        <v>0.78278396800000005</v>
      </c>
      <c r="AB11" s="237">
        <f t="shared" si="10"/>
        <v>0.69604069099999999</v>
      </c>
      <c r="AC11" s="237">
        <f t="shared" si="10"/>
        <v>0.85094999500000001</v>
      </c>
      <c r="AD11" s="237">
        <f t="shared" si="10"/>
        <v>0.67968860700000011</v>
      </c>
      <c r="AE11" s="627">
        <f t="shared" si="10"/>
        <v>0.642152995</v>
      </c>
      <c r="AF11" s="627">
        <f t="shared" si="10"/>
        <v>0.49117301800000002</v>
      </c>
      <c r="AG11" s="627">
        <f t="shared" si="10"/>
        <v>0.61922541399999997</v>
      </c>
      <c r="AH11" s="627">
        <f t="shared" si="10"/>
        <v>0.547410709</v>
      </c>
      <c r="AI11" s="627">
        <f t="shared" si="10"/>
        <v>0.70761497799999995</v>
      </c>
      <c r="AJ11" s="627">
        <f t="shared" si="10"/>
        <v>10.318681015000001</v>
      </c>
      <c r="AK11" s="262">
        <f t="shared" si="10"/>
        <v>0.74640875099999993</v>
      </c>
      <c r="AL11" s="262">
        <f t="shared" si="10"/>
        <v>0.73261349099999995</v>
      </c>
      <c r="AM11" s="262">
        <f t="shared" si="10"/>
        <v>0.78458218499999999</v>
      </c>
      <c r="AN11" s="262">
        <f t="shared" si="10"/>
        <v>0.60700706700000007</v>
      </c>
      <c r="AO11" s="262" t="e" vm="2">
        <f t="shared" si="10"/>
        <v>#VALUE!</v>
      </c>
      <c r="AP11" s="262" t="e" vm="2">
        <f t="shared" si="10"/>
        <v>#VALUE!</v>
      </c>
      <c r="AQ11" s="262" t="e" vm="2">
        <f t="shared" si="10"/>
        <v>#VALUE!</v>
      </c>
      <c r="AR11" s="262" t="e" vm="2">
        <f t="shared" si="10"/>
        <v>#VALUE!</v>
      </c>
      <c r="AS11" s="262" t="e" vm="2">
        <f t="shared" si="10"/>
        <v>#VALUE!</v>
      </c>
      <c r="AT11" s="262" t="e" vm="2">
        <f t="shared" si="10"/>
        <v>#VALUE!</v>
      </c>
      <c r="AU11" s="262" t="e" vm="2">
        <f t="shared" si="10"/>
        <v>#VALUE!</v>
      </c>
      <c r="AV11" s="262" t="e" vm="2">
        <f t="shared" si="10"/>
        <v>#VALUE!</v>
      </c>
      <c r="AW11" s="262" t="e" vm="2">
        <f t="shared" si="10"/>
        <v>#VALUE!</v>
      </c>
      <c r="AX11" s="262" t="e" vm="2">
        <f t="shared" si="10"/>
        <v>#VALUE!</v>
      </c>
      <c r="AY11" s="262" t="e" vm="2">
        <f t="shared" si="10"/>
        <v>#VALUE!</v>
      </c>
      <c r="AZ11" s="262" t="e" vm="2">
        <f t="shared" si="10"/>
        <v>#VALUE!</v>
      </c>
      <c r="BA11" s="262" t="e" vm="2">
        <f t="shared" si="10"/>
        <v>#VALUE!</v>
      </c>
      <c r="BB11" s="262" t="e" vm="2">
        <f t="shared" si="10"/>
        <v>#VALUE!</v>
      </c>
      <c r="BC11" s="262" t="e" vm="2">
        <f t="shared" si="10"/>
        <v>#VALUE!</v>
      </c>
      <c r="BD11" s="262" t="e" vm="2">
        <f t="shared" si="10"/>
        <v>#VALUE!</v>
      </c>
      <c r="BE11" s="262" t="e" vm="2">
        <f t="shared" si="10"/>
        <v>#VALUE!</v>
      </c>
      <c r="BF11" s="262" t="e" vm="2">
        <f t="shared" si="10"/>
        <v>#VALUE!</v>
      </c>
      <c r="BG11" s="262" t="e" vm="2">
        <f t="shared" si="10"/>
        <v>#VALUE!</v>
      </c>
      <c r="BH11" s="262" t="e" vm="2">
        <f t="shared" si="10"/>
        <v>#VALUE!</v>
      </c>
      <c r="BI11" s="262" t="e" vm="2">
        <f t="shared" si="10"/>
        <v>#VALUE!</v>
      </c>
      <c r="BJ11" s="262" t="e" vm="2">
        <f t="shared" si="10"/>
        <v>#VALUE!</v>
      </c>
      <c r="BK11" s="262" t="e" vm="2">
        <f t="shared" si="10"/>
        <v>#VALUE!</v>
      </c>
      <c r="BL11" s="262" t="e" vm="2">
        <f t="shared" si="10"/>
        <v>#VALUE!</v>
      </c>
      <c r="BM11" s="262" t="e" vm="2">
        <f t="shared" si="10"/>
        <v>#VALUE!</v>
      </c>
      <c r="BN11" s="262" t="e" vm="2">
        <f t="shared" si="10"/>
        <v>#VALUE!</v>
      </c>
      <c r="BO11" s="262" t="e" vm="2">
        <f t="shared" si="10"/>
        <v>#VALUE!</v>
      </c>
      <c r="BP11" s="262" t="e" vm="2">
        <f t="shared" si="10"/>
        <v>#VALUE!</v>
      </c>
      <c r="BQ11" s="262" t="e" vm="2">
        <f t="shared" si="10"/>
        <v>#VALUE!</v>
      </c>
      <c r="BR11" s="262" t="e" vm="2">
        <f t="shared" si="10"/>
        <v>#VALUE!</v>
      </c>
      <c r="BS11" s="262" t="e" vm="2">
        <f t="shared" ref="BS11:CX11" si="11">SUM(BS12:BS16)</f>
        <v>#VALUE!</v>
      </c>
      <c r="BT11" s="262" t="e" vm="2">
        <f t="shared" si="11"/>
        <v>#VALUE!</v>
      </c>
      <c r="BU11" s="262" t="e" vm="2">
        <f t="shared" si="11"/>
        <v>#VALUE!</v>
      </c>
      <c r="BV11" s="262" t="e" vm="2">
        <f t="shared" si="11"/>
        <v>#VALUE!</v>
      </c>
      <c r="BW11" s="262" t="e" vm="2">
        <f t="shared" si="11"/>
        <v>#VALUE!</v>
      </c>
      <c r="BX11" s="262" t="e" vm="2">
        <f t="shared" si="11"/>
        <v>#VALUE!</v>
      </c>
      <c r="BY11" s="262" t="e" vm="2">
        <f t="shared" si="11"/>
        <v>#VALUE!</v>
      </c>
      <c r="BZ11" s="262" t="e" vm="2">
        <f t="shared" si="11"/>
        <v>#VALUE!</v>
      </c>
      <c r="CA11" s="262" t="e" vm="2">
        <f t="shared" si="11"/>
        <v>#VALUE!</v>
      </c>
      <c r="CB11" s="262" t="e" vm="2">
        <f t="shared" si="11"/>
        <v>#VALUE!</v>
      </c>
      <c r="CC11" s="262" t="e" vm="2">
        <f t="shared" si="11"/>
        <v>#VALUE!</v>
      </c>
      <c r="CD11" s="262" t="e" vm="2">
        <f t="shared" si="11"/>
        <v>#VALUE!</v>
      </c>
      <c r="CE11" s="262" t="e" vm="2">
        <f t="shared" si="11"/>
        <v>#VALUE!</v>
      </c>
      <c r="CF11" s="262" t="e" vm="2">
        <f t="shared" si="11"/>
        <v>#VALUE!</v>
      </c>
      <c r="CG11" s="262" t="e" vm="2">
        <f t="shared" si="11"/>
        <v>#VALUE!</v>
      </c>
      <c r="CH11" s="262" t="e" vm="2">
        <f t="shared" si="11"/>
        <v>#VALUE!</v>
      </c>
      <c r="CI11" s="262" t="e" vm="2">
        <f t="shared" si="11"/>
        <v>#VALUE!</v>
      </c>
      <c r="CJ11" s="262" t="e" vm="2">
        <f t="shared" si="11"/>
        <v>#VALUE!</v>
      </c>
      <c r="CK11" s="262" t="e" vm="2">
        <f t="shared" si="11"/>
        <v>#VALUE!</v>
      </c>
      <c r="CL11" s="262" t="e" vm="2">
        <f t="shared" si="11"/>
        <v>#VALUE!</v>
      </c>
      <c r="CM11" s="262" t="e" vm="2">
        <f t="shared" si="11"/>
        <v>#VALUE!</v>
      </c>
      <c r="CN11" s="262" t="e" vm="2">
        <f t="shared" si="11"/>
        <v>#VALUE!</v>
      </c>
      <c r="CO11" s="262" t="e" vm="2">
        <f t="shared" si="11"/>
        <v>#VALUE!</v>
      </c>
      <c r="CP11" s="262" t="e" vm="2">
        <f t="shared" si="11"/>
        <v>#VALUE!</v>
      </c>
      <c r="CQ11" s="262" t="e" vm="2">
        <f t="shared" si="11"/>
        <v>#VALUE!</v>
      </c>
      <c r="CR11" s="262" t="e" vm="2">
        <f t="shared" si="11"/>
        <v>#VALUE!</v>
      </c>
      <c r="CS11" s="262" t="e" vm="2">
        <f t="shared" si="11"/>
        <v>#VALUE!</v>
      </c>
      <c r="CT11" s="262" t="e" vm="2">
        <f t="shared" si="11"/>
        <v>#VALUE!</v>
      </c>
      <c r="CU11" s="262" t="e" vm="2">
        <f t="shared" si="11"/>
        <v>#VALUE!</v>
      </c>
      <c r="CV11" s="262" t="e" vm="2">
        <f t="shared" si="11"/>
        <v>#VALUE!</v>
      </c>
      <c r="CW11" s="262" t="e" vm="2">
        <f t="shared" si="11"/>
        <v>#VALUE!</v>
      </c>
      <c r="CX11" s="262" t="e" vm="2">
        <f t="shared" si="11"/>
        <v>#VALUE!</v>
      </c>
    </row>
    <row r="12" spans="1:102">
      <c r="A12" s="230"/>
      <c r="B12" s="230"/>
      <c r="C12" s="230" t="s">
        <v>392</v>
      </c>
      <c r="D12" s="230"/>
      <c r="E12" s="232"/>
      <c r="F12" s="232" t="s">
        <v>736</v>
      </c>
      <c r="G12" s="684">
        <v>0.17002546499999999</v>
      </c>
      <c r="H12" s="684">
        <v>0.17060181999999999</v>
      </c>
      <c r="I12" s="684">
        <v>0.36253442299999999</v>
      </c>
      <c r="J12" s="684">
        <v>0.34532934700000001</v>
      </c>
      <c r="K12" s="684">
        <v>0.18139823499999999</v>
      </c>
      <c r="L12" s="684">
        <v>0.25808394899999998</v>
      </c>
      <c r="M12" s="684">
        <v>0.27339652599999997</v>
      </c>
      <c r="N12" s="684">
        <v>0.37170989100003898</v>
      </c>
      <c r="O12" s="684">
        <v>0.33723643199999997</v>
      </c>
      <c r="P12" s="684">
        <v>0.42758628199999998</v>
      </c>
      <c r="Q12" s="684">
        <v>0.494735808</v>
      </c>
      <c r="R12" s="684">
        <v>1.6174231969999999</v>
      </c>
      <c r="S12" s="600">
        <v>0.425618936</v>
      </c>
      <c r="T12" s="600">
        <v>0.46263188999999999</v>
      </c>
      <c r="U12" s="600">
        <v>0.63332701499999999</v>
      </c>
      <c r="V12" s="600">
        <v>0.49911539700000002</v>
      </c>
      <c r="W12" s="600">
        <v>0.63122164800000002</v>
      </c>
      <c r="X12" s="600">
        <v>0.60040491699999998</v>
      </c>
      <c r="Y12" s="600">
        <v>0.55169217599999998</v>
      </c>
      <c r="Z12" s="600">
        <v>0.60354440799999998</v>
      </c>
      <c r="AA12" s="600">
        <v>0.43868920300000003</v>
      </c>
      <c r="AB12" s="600">
        <v>0.39373279700000002</v>
      </c>
      <c r="AC12" s="600">
        <v>0.471246096</v>
      </c>
      <c r="AD12" s="597">
        <v>0.37196543500000001</v>
      </c>
      <c r="AE12" s="594">
        <f>367451124/10^9</f>
        <v>0.36745112400000002</v>
      </c>
      <c r="AF12" s="594">
        <f>252272418/10^9</f>
        <v>0.252272418</v>
      </c>
      <c r="AG12" s="594">
        <v>0.32217194900000001</v>
      </c>
      <c r="AH12" s="594">
        <v>0.28494328099999999</v>
      </c>
      <c r="AI12" s="594">
        <v>0.37439677199999999</v>
      </c>
      <c r="AJ12" s="594">
        <v>0.29257476200000004</v>
      </c>
      <c r="AK12" s="594">
        <v>0.29759922799999999</v>
      </c>
      <c r="AL12" s="629">
        <v>0.26856487200000001</v>
      </c>
      <c r="AM12" s="629">
        <v>0.16190944600000001</v>
      </c>
      <c r="AN12" s="629">
        <v>0.12981699399999999</v>
      </c>
      <c r="AO12" s="253" t="e" vm="2">
        <v>#VALUE!</v>
      </c>
      <c r="AP12" s="253" t="e" vm="2">
        <v>#VALUE!</v>
      </c>
      <c r="AQ12" s="253" t="e" vm="2">
        <v>#VALUE!</v>
      </c>
      <c r="AR12" s="253" t="e" vm="2">
        <v>#VALUE!</v>
      </c>
      <c r="AS12" s="253" t="e" vm="2">
        <v>#VALUE!</v>
      </c>
      <c r="AT12" s="253" t="e" vm="2">
        <v>#VALUE!</v>
      </c>
      <c r="AU12" s="253" t="e" vm="2">
        <v>#VALUE!</v>
      </c>
      <c r="AV12" s="253" t="e" vm="2">
        <v>#VALUE!</v>
      </c>
      <c r="AW12" s="253" t="e" vm="2">
        <v>#VALUE!</v>
      </c>
      <c r="AX12" s="253" t="e" vm="2">
        <v>#VALUE!</v>
      </c>
      <c r="AY12" s="253" t="e" vm="2">
        <v>#VALUE!</v>
      </c>
      <c r="AZ12" s="253" t="e" vm="2">
        <v>#VALUE!</v>
      </c>
      <c r="BA12" s="253" t="e" vm="2">
        <v>#VALUE!</v>
      </c>
      <c r="BB12" s="253" t="e" vm="2">
        <v>#VALUE!</v>
      </c>
      <c r="BC12" s="253" t="e" vm="2">
        <v>#VALUE!</v>
      </c>
      <c r="BD12" s="253" t="e" vm="2">
        <v>#VALUE!</v>
      </c>
      <c r="BE12" s="253" t="e" vm="2">
        <v>#VALUE!</v>
      </c>
      <c r="BF12" s="253" t="e" vm="2">
        <v>#VALUE!</v>
      </c>
      <c r="BG12" s="253" t="e" vm="2">
        <v>#VALUE!</v>
      </c>
      <c r="BH12" s="253" t="e" vm="2">
        <v>#VALUE!</v>
      </c>
      <c r="BI12" s="253" t="e" vm="2">
        <v>#VALUE!</v>
      </c>
      <c r="BJ12" s="253" t="e" vm="2">
        <v>#VALUE!</v>
      </c>
      <c r="BK12" s="253" t="e" vm="2">
        <v>#VALUE!</v>
      </c>
      <c r="BL12" s="253" t="e" vm="2">
        <v>#VALUE!</v>
      </c>
      <c r="BM12" s="253" t="e" vm="2">
        <v>#VALUE!</v>
      </c>
      <c r="BN12" s="253" t="e" vm="2">
        <v>#VALUE!</v>
      </c>
      <c r="BO12" s="253" t="e" vm="2">
        <v>#VALUE!</v>
      </c>
      <c r="BP12" s="253" t="e" vm="2">
        <v>#VALUE!</v>
      </c>
      <c r="BQ12" s="253" t="e" vm="2">
        <v>#VALUE!</v>
      </c>
      <c r="BR12" s="253" t="e" vm="2">
        <v>#VALUE!</v>
      </c>
      <c r="BS12" s="253" t="e" vm="2">
        <v>#VALUE!</v>
      </c>
      <c r="BT12" s="253" t="e" vm="2">
        <v>#VALUE!</v>
      </c>
      <c r="BU12" s="253" t="e" vm="2">
        <v>#VALUE!</v>
      </c>
      <c r="BV12" s="253" t="e" vm="2">
        <v>#VALUE!</v>
      </c>
      <c r="BW12" s="253" t="e" vm="2">
        <v>#VALUE!</v>
      </c>
      <c r="BX12" s="253" t="e" vm="2">
        <v>#VALUE!</v>
      </c>
      <c r="BY12" s="253" t="e" vm="2">
        <v>#VALUE!</v>
      </c>
      <c r="BZ12" s="253" t="e" vm="2">
        <v>#VALUE!</v>
      </c>
      <c r="CA12" s="253" t="e" vm="2">
        <v>#VALUE!</v>
      </c>
      <c r="CB12" s="253" t="e" vm="2">
        <v>#VALUE!</v>
      </c>
      <c r="CC12" s="253" t="e" vm="2">
        <v>#VALUE!</v>
      </c>
      <c r="CD12" s="253" t="e" vm="2">
        <v>#VALUE!</v>
      </c>
      <c r="CE12" s="253" t="e" vm="2">
        <v>#VALUE!</v>
      </c>
      <c r="CF12" s="253" t="e" vm="2">
        <v>#VALUE!</v>
      </c>
      <c r="CG12" s="253" t="e" vm="2">
        <v>#VALUE!</v>
      </c>
      <c r="CH12" s="253" t="e" vm="2">
        <v>#VALUE!</v>
      </c>
      <c r="CI12" s="253" t="e" vm="2">
        <v>#VALUE!</v>
      </c>
      <c r="CJ12" s="253" t="e" vm="2">
        <v>#VALUE!</v>
      </c>
      <c r="CK12" s="253" t="e" vm="2">
        <v>#VALUE!</v>
      </c>
      <c r="CL12" s="253" t="e" vm="2">
        <v>#VALUE!</v>
      </c>
      <c r="CM12" s="253" t="e" vm="2">
        <v>#VALUE!</v>
      </c>
      <c r="CN12" s="253" t="e" vm="2">
        <v>#VALUE!</v>
      </c>
      <c r="CO12" s="253" t="e" vm="2">
        <v>#VALUE!</v>
      </c>
      <c r="CP12" s="253" t="e" vm="2">
        <v>#VALUE!</v>
      </c>
      <c r="CQ12" s="253" t="e" vm="2">
        <v>#VALUE!</v>
      </c>
      <c r="CR12" s="253" t="e" vm="2">
        <v>#VALUE!</v>
      </c>
      <c r="CS12" s="253" t="e" vm="2">
        <v>#VALUE!</v>
      </c>
      <c r="CT12" s="253" t="e" vm="2">
        <v>#VALUE!</v>
      </c>
      <c r="CU12" s="253" t="e" vm="2">
        <v>#VALUE!</v>
      </c>
      <c r="CV12" s="253" t="e" vm="2">
        <v>#VALUE!</v>
      </c>
      <c r="CW12" s="253" t="e" vm="2">
        <v>#VALUE!</v>
      </c>
      <c r="CX12" s="253" t="e" vm="2">
        <v>#VALUE!</v>
      </c>
    </row>
    <row r="13" spans="1:102">
      <c r="A13" s="230"/>
      <c r="B13" s="230"/>
      <c r="C13" s="230" t="s">
        <v>41</v>
      </c>
      <c r="D13" s="230"/>
      <c r="E13" s="232"/>
      <c r="F13" s="232" t="s">
        <v>736</v>
      </c>
      <c r="G13" s="684">
        <v>0.11762945599999999</v>
      </c>
      <c r="H13" s="684">
        <v>0.11619217</v>
      </c>
      <c r="I13" s="684">
        <v>0.316718006</v>
      </c>
      <c r="J13" s="684">
        <v>0.31763383699999997</v>
      </c>
      <c r="K13" s="684">
        <v>9.8236318000000003E-2</v>
      </c>
      <c r="L13" s="684">
        <v>0.135336972</v>
      </c>
      <c r="M13" s="684">
        <v>0.10873684727272699</v>
      </c>
      <c r="N13" s="684">
        <v>0.21585889699999999</v>
      </c>
      <c r="O13" s="684">
        <v>0.230038662727273</v>
      </c>
      <c r="P13" s="684">
        <v>0.35726323300000001</v>
      </c>
      <c r="Q13" s="684">
        <v>0.373841549</v>
      </c>
      <c r="R13" s="684">
        <v>0.39419459699999998</v>
      </c>
      <c r="S13" s="600">
        <v>0.25441158000000003</v>
      </c>
      <c r="T13" s="600">
        <v>0.37345162300000001</v>
      </c>
      <c r="U13" s="600">
        <v>0.52049859300000001</v>
      </c>
      <c r="V13" s="600">
        <v>0.44854561399999998</v>
      </c>
      <c r="W13" s="600">
        <v>0.58190432199999997</v>
      </c>
      <c r="X13" s="600">
        <v>0.51420638100000005</v>
      </c>
      <c r="Y13" s="600">
        <v>0.52086420300000003</v>
      </c>
      <c r="Z13" s="600">
        <v>0.49574404799999999</v>
      </c>
      <c r="AA13" s="600">
        <v>0.31329476499999998</v>
      </c>
      <c r="AB13" s="600">
        <v>0.26565789400000001</v>
      </c>
      <c r="AC13" s="600">
        <v>0.348613899</v>
      </c>
      <c r="AD13" s="597">
        <v>0.27697317199999999</v>
      </c>
      <c r="AE13" s="594">
        <f>246601871/10^9</f>
        <v>0.246601871</v>
      </c>
      <c r="AF13" s="594">
        <f>20450000/10^9</f>
        <v>2.0449999999999999E-2</v>
      </c>
      <c r="AG13" s="594">
        <v>0.27180346500000002</v>
      </c>
      <c r="AH13" s="594">
        <v>0.240067428</v>
      </c>
      <c r="AI13" s="594">
        <v>0.31296820600000003</v>
      </c>
      <c r="AJ13" s="594">
        <v>0.246562004</v>
      </c>
      <c r="AK13" s="594">
        <v>0.312385882</v>
      </c>
      <c r="AL13" s="629">
        <v>0.32139822899999998</v>
      </c>
      <c r="AM13" s="629">
        <v>0.29065242299999999</v>
      </c>
      <c r="AN13" s="629">
        <v>0.29096481800000001</v>
      </c>
      <c r="AO13" s="253" t="e" vm="2">
        <v>#VALUE!</v>
      </c>
      <c r="AP13" s="253" t="e" vm="2">
        <v>#VALUE!</v>
      </c>
      <c r="AQ13" s="253" t="e" vm="2">
        <v>#VALUE!</v>
      </c>
      <c r="AR13" s="253" t="e" vm="2">
        <v>#VALUE!</v>
      </c>
      <c r="AS13" s="253" t="e" vm="2">
        <v>#VALUE!</v>
      </c>
      <c r="AT13" s="253" t="e" vm="2">
        <v>#VALUE!</v>
      </c>
      <c r="AU13" s="253" t="e" vm="2">
        <v>#VALUE!</v>
      </c>
      <c r="AV13" s="253" t="e" vm="2">
        <v>#VALUE!</v>
      </c>
      <c r="AW13" s="253" t="e" vm="2">
        <v>#VALUE!</v>
      </c>
      <c r="AX13" s="253" t="e" vm="2">
        <v>#VALUE!</v>
      </c>
      <c r="AY13" s="253" t="e" vm="2">
        <v>#VALUE!</v>
      </c>
      <c r="AZ13" s="253" t="e" vm="2">
        <v>#VALUE!</v>
      </c>
      <c r="BA13" s="253" t="e" vm="2">
        <v>#VALUE!</v>
      </c>
      <c r="BB13" s="253" t="e" vm="2">
        <v>#VALUE!</v>
      </c>
      <c r="BC13" s="253" t="e" vm="2">
        <v>#VALUE!</v>
      </c>
      <c r="BD13" s="253" t="e" vm="2">
        <v>#VALUE!</v>
      </c>
      <c r="BE13" s="253" t="e" vm="2">
        <v>#VALUE!</v>
      </c>
      <c r="BF13" s="253" t="e" vm="2">
        <v>#VALUE!</v>
      </c>
      <c r="BG13" s="253" t="e" vm="2">
        <v>#VALUE!</v>
      </c>
      <c r="BH13" s="253" t="e" vm="2">
        <v>#VALUE!</v>
      </c>
      <c r="BI13" s="253" t="e" vm="2">
        <v>#VALUE!</v>
      </c>
      <c r="BJ13" s="253" t="e" vm="2">
        <v>#VALUE!</v>
      </c>
      <c r="BK13" s="253" t="e" vm="2">
        <v>#VALUE!</v>
      </c>
      <c r="BL13" s="253" t="e" vm="2">
        <v>#VALUE!</v>
      </c>
      <c r="BM13" s="253" t="e" vm="2">
        <v>#VALUE!</v>
      </c>
      <c r="BN13" s="253" t="e" vm="2">
        <v>#VALUE!</v>
      </c>
      <c r="BO13" s="253" t="e" vm="2">
        <v>#VALUE!</v>
      </c>
      <c r="BP13" s="253" t="e" vm="2">
        <v>#VALUE!</v>
      </c>
      <c r="BQ13" s="253" t="e" vm="2">
        <v>#VALUE!</v>
      </c>
      <c r="BR13" s="253" t="e" vm="2">
        <v>#VALUE!</v>
      </c>
      <c r="BS13" s="253" t="e" vm="2">
        <v>#VALUE!</v>
      </c>
      <c r="BT13" s="253" t="e" vm="2">
        <v>#VALUE!</v>
      </c>
      <c r="BU13" s="253" t="e" vm="2">
        <v>#VALUE!</v>
      </c>
      <c r="BV13" s="253" t="e" vm="2">
        <v>#VALUE!</v>
      </c>
      <c r="BW13" s="253" t="e" vm="2">
        <v>#VALUE!</v>
      </c>
      <c r="BX13" s="253" t="e" vm="2">
        <v>#VALUE!</v>
      </c>
      <c r="BY13" s="253" t="e" vm="2">
        <v>#VALUE!</v>
      </c>
      <c r="BZ13" s="253" t="e" vm="2">
        <v>#VALUE!</v>
      </c>
      <c r="CA13" s="253" t="e" vm="2">
        <v>#VALUE!</v>
      </c>
      <c r="CB13" s="253" t="e" vm="2">
        <v>#VALUE!</v>
      </c>
      <c r="CC13" s="253" t="e" vm="2">
        <v>#VALUE!</v>
      </c>
      <c r="CD13" s="253" t="e" vm="2">
        <v>#VALUE!</v>
      </c>
      <c r="CE13" s="253" t="e" vm="2">
        <v>#VALUE!</v>
      </c>
      <c r="CF13" s="253" t="e" vm="2">
        <v>#VALUE!</v>
      </c>
      <c r="CG13" s="253" t="e" vm="2">
        <v>#VALUE!</v>
      </c>
      <c r="CH13" s="253" t="e" vm="2">
        <v>#VALUE!</v>
      </c>
      <c r="CI13" s="253" t="e" vm="2">
        <v>#VALUE!</v>
      </c>
      <c r="CJ13" s="253" t="e" vm="2">
        <v>#VALUE!</v>
      </c>
      <c r="CK13" s="253" t="e" vm="2">
        <v>#VALUE!</v>
      </c>
      <c r="CL13" s="253" t="e" vm="2">
        <v>#VALUE!</v>
      </c>
      <c r="CM13" s="253" t="e" vm="2">
        <v>#VALUE!</v>
      </c>
      <c r="CN13" s="253" t="e" vm="2">
        <v>#VALUE!</v>
      </c>
      <c r="CO13" s="253" t="e" vm="2">
        <v>#VALUE!</v>
      </c>
      <c r="CP13" s="253" t="e" vm="2">
        <v>#VALUE!</v>
      </c>
      <c r="CQ13" s="253" t="e" vm="2">
        <v>#VALUE!</v>
      </c>
      <c r="CR13" s="253" t="e" vm="2">
        <v>#VALUE!</v>
      </c>
      <c r="CS13" s="253" t="e" vm="2">
        <v>#VALUE!</v>
      </c>
      <c r="CT13" s="253" t="e" vm="2">
        <v>#VALUE!</v>
      </c>
      <c r="CU13" s="253" t="e" vm="2">
        <v>#VALUE!</v>
      </c>
      <c r="CV13" s="253" t="e" vm="2">
        <v>#VALUE!</v>
      </c>
      <c r="CW13" s="253" t="e" vm="2">
        <v>#VALUE!</v>
      </c>
      <c r="CX13" s="253" t="e" vm="2">
        <v>#VALUE!</v>
      </c>
    </row>
    <row r="14" spans="1:102">
      <c r="A14" s="230"/>
      <c r="B14" s="230"/>
      <c r="C14" s="230" t="s">
        <v>888</v>
      </c>
      <c r="D14" s="230"/>
      <c r="E14" s="232"/>
      <c r="F14" s="232" t="s">
        <v>736</v>
      </c>
      <c r="G14" s="684">
        <v>8.8500000000000002E-3</v>
      </c>
      <c r="H14" s="684">
        <v>1.2200000000000001E-2</v>
      </c>
      <c r="I14" s="684">
        <v>0.23</v>
      </c>
      <c r="J14" s="684">
        <v>1.295E-2</v>
      </c>
      <c r="K14" s="684">
        <v>1.47E-2</v>
      </c>
      <c r="L14" s="684">
        <v>1.6199999999999999E-2</v>
      </c>
      <c r="M14" s="684">
        <v>2.2839000000000002E-2</v>
      </c>
      <c r="N14" s="684">
        <v>2.1535177999999999E-2</v>
      </c>
      <c r="O14" s="684">
        <v>2.5851789999999999E-2</v>
      </c>
      <c r="P14" s="684">
        <v>2.8642400000000068E-2</v>
      </c>
      <c r="Q14" s="684">
        <v>3.0249999999999999E-2</v>
      </c>
      <c r="R14" s="684">
        <v>3.8350000000000002E-2</v>
      </c>
      <c r="S14" s="600">
        <v>3.5499999999999997E-2</v>
      </c>
      <c r="T14" s="600">
        <v>3.4950000000000002E-2</v>
      </c>
      <c r="U14" s="600">
        <v>3.8949999999999999E-2</v>
      </c>
      <c r="V14" s="600">
        <v>3.2099999999999997E-2</v>
      </c>
      <c r="W14" s="600">
        <v>3.5799999999999998E-2</v>
      </c>
      <c r="X14" s="600">
        <v>4.6290889000000002E-2</v>
      </c>
      <c r="Y14" s="600">
        <v>3.635E-2</v>
      </c>
      <c r="Z14" s="600">
        <v>4.2529022E-2</v>
      </c>
      <c r="AA14" s="600">
        <v>3.0800000000000001E-2</v>
      </c>
      <c r="AB14" s="600">
        <v>3.6650000000000002E-2</v>
      </c>
      <c r="AC14" s="600">
        <v>3.109E-2</v>
      </c>
      <c r="AD14" s="597">
        <v>3.075E-2</v>
      </c>
      <c r="AE14" s="594">
        <f>28100000/10^9</f>
        <v>2.81E-2</v>
      </c>
      <c r="AF14" s="594">
        <f>218450600/10^9</f>
        <v>0.21845059999999999</v>
      </c>
      <c r="AG14" s="594">
        <v>2.5250000000000002E-2</v>
      </c>
      <c r="AH14" s="594">
        <v>2.24E-2</v>
      </c>
      <c r="AI14" s="594">
        <v>2.0250000000000001E-2</v>
      </c>
      <c r="AJ14" s="594">
        <v>0.11515</v>
      </c>
      <c r="AK14" s="594">
        <v>0.13635</v>
      </c>
      <c r="AL14" s="629">
        <v>0.14069999999999999</v>
      </c>
      <c r="AM14" s="629">
        <v>0.33195000000000002</v>
      </c>
      <c r="AN14" s="629">
        <v>0.18404999999999999</v>
      </c>
      <c r="AO14" s="246">
        <f>AN14</f>
        <v>0.18404999999999999</v>
      </c>
      <c r="AP14" s="246">
        <f>AO14</f>
        <v>0.18404999999999999</v>
      </c>
      <c r="AQ14" s="246">
        <f>AP14</f>
        <v>0.18404999999999999</v>
      </c>
      <c r="AR14" s="246">
        <f t="shared" ref="AR14:BB14" si="12">AQ14</f>
        <v>0.18404999999999999</v>
      </c>
      <c r="AS14" s="246">
        <f t="shared" si="12"/>
        <v>0.18404999999999999</v>
      </c>
      <c r="AT14" s="246">
        <f t="shared" si="12"/>
        <v>0.18404999999999999</v>
      </c>
      <c r="AU14" s="246">
        <f t="shared" si="12"/>
        <v>0.18404999999999999</v>
      </c>
      <c r="AV14" s="246">
        <f t="shared" si="12"/>
        <v>0.18404999999999999</v>
      </c>
      <c r="AW14" s="246">
        <f t="shared" si="12"/>
        <v>0.18404999999999999</v>
      </c>
      <c r="AX14" s="246">
        <f t="shared" si="12"/>
        <v>0.18404999999999999</v>
      </c>
      <c r="AY14" s="246">
        <f t="shared" si="12"/>
        <v>0.18404999999999999</v>
      </c>
      <c r="AZ14" s="246">
        <f t="shared" si="12"/>
        <v>0.18404999999999999</v>
      </c>
      <c r="BA14" s="246">
        <f t="shared" si="12"/>
        <v>0.18404999999999999</v>
      </c>
      <c r="BB14" s="246">
        <f t="shared" si="12"/>
        <v>0.18404999999999999</v>
      </c>
      <c r="BC14" s="246">
        <f>BB14</f>
        <v>0.18404999999999999</v>
      </c>
      <c r="BD14" s="246">
        <f t="shared" ref="BD14:CX14" si="13">BC14</f>
        <v>0.18404999999999999</v>
      </c>
      <c r="BE14" s="246">
        <f t="shared" si="13"/>
        <v>0.18404999999999999</v>
      </c>
      <c r="BF14" s="246">
        <f t="shared" si="13"/>
        <v>0.18404999999999999</v>
      </c>
      <c r="BG14" s="246">
        <f t="shared" si="13"/>
        <v>0.18404999999999999</v>
      </c>
      <c r="BH14" s="246">
        <f t="shared" si="13"/>
        <v>0.18404999999999999</v>
      </c>
      <c r="BI14" s="246">
        <f t="shared" si="13"/>
        <v>0.18404999999999999</v>
      </c>
      <c r="BJ14" s="246">
        <f t="shared" si="13"/>
        <v>0.18404999999999999</v>
      </c>
      <c r="BK14" s="246">
        <f t="shared" si="13"/>
        <v>0.18404999999999999</v>
      </c>
      <c r="BL14" s="246">
        <f t="shared" si="13"/>
        <v>0.18404999999999999</v>
      </c>
      <c r="BM14" s="246">
        <f t="shared" si="13"/>
        <v>0.18404999999999999</v>
      </c>
      <c r="BN14" s="246">
        <f t="shared" si="13"/>
        <v>0.18404999999999999</v>
      </c>
      <c r="BO14" s="246">
        <f t="shared" si="13"/>
        <v>0.18404999999999999</v>
      </c>
      <c r="BP14" s="246">
        <f t="shared" si="13"/>
        <v>0.18404999999999999</v>
      </c>
      <c r="BQ14" s="246">
        <f t="shared" si="13"/>
        <v>0.18404999999999999</v>
      </c>
      <c r="BR14" s="246">
        <f t="shared" si="13"/>
        <v>0.18404999999999999</v>
      </c>
      <c r="BS14" s="246">
        <f t="shared" si="13"/>
        <v>0.18404999999999999</v>
      </c>
      <c r="BT14" s="246">
        <f t="shared" si="13"/>
        <v>0.18404999999999999</v>
      </c>
      <c r="BU14" s="246">
        <f t="shared" si="13"/>
        <v>0.18404999999999999</v>
      </c>
      <c r="BV14" s="246">
        <f t="shared" si="13"/>
        <v>0.18404999999999999</v>
      </c>
      <c r="BW14" s="246">
        <f t="shared" si="13"/>
        <v>0.18404999999999999</v>
      </c>
      <c r="BX14" s="246">
        <f t="shared" si="13"/>
        <v>0.18404999999999999</v>
      </c>
      <c r="BY14" s="246">
        <f t="shared" si="13"/>
        <v>0.18404999999999999</v>
      </c>
      <c r="BZ14" s="246">
        <f t="shared" si="13"/>
        <v>0.18404999999999999</v>
      </c>
      <c r="CA14" s="246">
        <f t="shared" si="13"/>
        <v>0.18404999999999999</v>
      </c>
      <c r="CB14" s="246">
        <f t="shared" si="13"/>
        <v>0.18404999999999999</v>
      </c>
      <c r="CC14" s="246">
        <f t="shared" si="13"/>
        <v>0.18404999999999999</v>
      </c>
      <c r="CD14" s="246">
        <f t="shared" si="13"/>
        <v>0.18404999999999999</v>
      </c>
      <c r="CE14" s="246">
        <f t="shared" si="13"/>
        <v>0.18404999999999999</v>
      </c>
      <c r="CF14" s="246">
        <f t="shared" si="13"/>
        <v>0.18404999999999999</v>
      </c>
      <c r="CG14" s="246">
        <f t="shared" si="13"/>
        <v>0.18404999999999999</v>
      </c>
      <c r="CH14" s="246">
        <f t="shared" si="13"/>
        <v>0.18404999999999999</v>
      </c>
      <c r="CI14" s="246">
        <f t="shared" si="13"/>
        <v>0.18404999999999999</v>
      </c>
      <c r="CJ14" s="246">
        <f t="shared" si="13"/>
        <v>0.18404999999999999</v>
      </c>
      <c r="CK14" s="246">
        <f t="shared" si="13"/>
        <v>0.18404999999999999</v>
      </c>
      <c r="CL14" s="246">
        <f t="shared" si="13"/>
        <v>0.18404999999999999</v>
      </c>
      <c r="CM14" s="246">
        <f t="shared" si="13"/>
        <v>0.18404999999999999</v>
      </c>
      <c r="CN14" s="246">
        <f t="shared" si="13"/>
        <v>0.18404999999999999</v>
      </c>
      <c r="CO14" s="246">
        <f t="shared" si="13"/>
        <v>0.18404999999999999</v>
      </c>
      <c r="CP14" s="246">
        <f t="shared" si="13"/>
        <v>0.18404999999999999</v>
      </c>
      <c r="CQ14" s="246">
        <f t="shared" si="13"/>
        <v>0.18404999999999999</v>
      </c>
      <c r="CR14" s="246">
        <f t="shared" si="13"/>
        <v>0.18404999999999999</v>
      </c>
      <c r="CS14" s="246">
        <f t="shared" si="13"/>
        <v>0.18404999999999999</v>
      </c>
      <c r="CT14" s="246">
        <f t="shared" si="13"/>
        <v>0.18404999999999999</v>
      </c>
      <c r="CU14" s="246">
        <f t="shared" si="13"/>
        <v>0.18404999999999999</v>
      </c>
      <c r="CV14" s="246">
        <f t="shared" si="13"/>
        <v>0.18404999999999999</v>
      </c>
      <c r="CW14" s="246">
        <f t="shared" si="13"/>
        <v>0.18404999999999999</v>
      </c>
      <c r="CX14" s="246">
        <f t="shared" si="13"/>
        <v>0.18404999999999999</v>
      </c>
    </row>
    <row r="15" spans="1:102">
      <c r="A15" s="230"/>
      <c r="B15" s="230"/>
      <c r="C15" s="230" t="s">
        <v>889</v>
      </c>
      <c r="D15" s="230"/>
      <c r="E15" s="232"/>
      <c r="F15" s="232" t="s">
        <v>736</v>
      </c>
      <c r="G15" s="232"/>
      <c r="H15" s="232"/>
      <c r="I15" s="232"/>
      <c r="J15" s="232"/>
      <c r="K15" s="230"/>
      <c r="L15" s="230"/>
      <c r="M15" s="230"/>
      <c r="N15" s="230"/>
      <c r="O15" s="230"/>
      <c r="P15" s="230"/>
      <c r="Q15" s="230"/>
      <c r="R15" s="230"/>
      <c r="S15" s="600"/>
      <c r="T15" s="600"/>
      <c r="U15" s="600"/>
      <c r="V15" s="600"/>
      <c r="W15" s="600"/>
      <c r="X15" s="600"/>
      <c r="Y15" s="600"/>
      <c r="Z15" s="600"/>
      <c r="AA15" s="600"/>
      <c r="AB15" s="600"/>
      <c r="AC15" s="600"/>
      <c r="AD15" s="597"/>
      <c r="AE15" s="594"/>
      <c r="AF15" s="594"/>
      <c r="AG15" s="594"/>
      <c r="AH15" s="594"/>
      <c r="AI15" s="594"/>
      <c r="AJ15" s="594">
        <v>2.3088300000000001E-4</v>
      </c>
      <c r="AK15" s="594">
        <v>7.3640999999999995E-5</v>
      </c>
      <c r="AL15" s="629">
        <v>1.95039E-3</v>
      </c>
      <c r="AM15" s="629">
        <v>7.0315999999999996E-5</v>
      </c>
      <c r="AN15" s="629">
        <v>2.1752550000000001E-3</v>
      </c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  <c r="BA15" s="246"/>
      <c r="BB15" s="246"/>
      <c r="BC15" s="246"/>
      <c r="BD15" s="246"/>
      <c r="BE15" s="246"/>
      <c r="BF15" s="246"/>
      <c r="BG15" s="246"/>
      <c r="BH15" s="246"/>
      <c r="BI15" s="246"/>
      <c r="BJ15" s="246"/>
      <c r="BK15" s="246"/>
      <c r="BL15" s="246"/>
      <c r="BM15" s="246"/>
      <c r="BN15" s="246"/>
      <c r="BO15" s="246"/>
      <c r="BP15" s="246"/>
      <c r="BQ15" s="246"/>
      <c r="BR15" s="246"/>
      <c r="BS15" s="246"/>
      <c r="BT15" s="246"/>
      <c r="BU15" s="246"/>
      <c r="BV15" s="246"/>
      <c r="BW15" s="246"/>
      <c r="BX15" s="246"/>
      <c r="BY15" s="246"/>
      <c r="BZ15" s="246"/>
      <c r="CA15" s="246"/>
      <c r="CB15" s="246"/>
      <c r="CC15" s="246"/>
      <c r="CD15" s="246"/>
      <c r="CE15" s="246"/>
      <c r="CF15" s="246"/>
      <c r="CG15" s="246"/>
      <c r="CH15" s="246"/>
      <c r="CI15" s="246"/>
      <c r="CJ15" s="246"/>
      <c r="CK15" s="246"/>
      <c r="CL15" s="246"/>
      <c r="CM15" s="246"/>
      <c r="CN15" s="246"/>
      <c r="CO15" s="246"/>
      <c r="CP15" s="246"/>
      <c r="CQ15" s="246"/>
      <c r="CR15" s="246"/>
      <c r="CS15" s="246"/>
      <c r="CT15" s="246"/>
      <c r="CU15" s="246"/>
      <c r="CV15" s="246"/>
      <c r="CW15" s="246"/>
      <c r="CX15" s="246"/>
    </row>
    <row r="16" spans="1:102">
      <c r="A16" s="230"/>
      <c r="B16" s="230"/>
      <c r="C16" s="230" t="s">
        <v>890</v>
      </c>
      <c r="D16" s="230"/>
      <c r="E16" s="232"/>
      <c r="F16" s="232" t="s">
        <v>736</v>
      </c>
      <c r="G16" s="232"/>
      <c r="H16" s="232"/>
      <c r="I16" s="232"/>
      <c r="J16" s="232"/>
      <c r="K16" s="230"/>
      <c r="L16" s="230"/>
      <c r="M16" s="230"/>
      <c r="N16" s="230"/>
      <c r="O16" s="230"/>
      <c r="P16" s="230"/>
      <c r="Q16" s="230"/>
      <c r="R16" s="230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604">
        <v>9.6641633660000004</v>
      </c>
      <c r="AK16" s="237"/>
      <c r="AL16" s="237"/>
      <c r="AM16" s="237"/>
      <c r="AN16" s="237"/>
      <c r="AO16" s="237"/>
      <c r="AP16" s="237"/>
      <c r="AQ16" s="237"/>
      <c r="AR16" s="237"/>
      <c r="AS16" s="237"/>
      <c r="AT16" s="237"/>
      <c r="AU16" s="237"/>
      <c r="AV16" s="237"/>
      <c r="AW16" s="237"/>
      <c r="AX16" s="237"/>
      <c r="AY16" s="237"/>
      <c r="AZ16" s="237"/>
      <c r="BA16" s="237"/>
      <c r="BB16" s="237"/>
      <c r="BC16" s="237"/>
      <c r="BD16" s="237"/>
      <c r="BE16" s="237"/>
      <c r="BF16" s="237"/>
      <c r="BG16" s="237"/>
      <c r="BH16" s="237"/>
      <c r="BI16" s="237"/>
      <c r="BJ16" s="237"/>
      <c r="BK16" s="237"/>
      <c r="BL16" s="237"/>
      <c r="BM16" s="237"/>
      <c r="BN16" s="237"/>
      <c r="BO16" s="237"/>
      <c r="BP16" s="237"/>
      <c r="BQ16" s="237"/>
      <c r="BR16" s="237"/>
      <c r="BS16" s="237"/>
      <c r="BT16" s="237"/>
      <c r="BU16" s="237"/>
      <c r="BV16" s="237"/>
      <c r="BW16" s="237"/>
      <c r="BX16" s="237"/>
      <c r="BY16" s="237"/>
      <c r="BZ16" s="237"/>
      <c r="CA16" s="237"/>
      <c r="CB16" s="237"/>
      <c r="CC16" s="237"/>
      <c r="CD16" s="237"/>
      <c r="CE16" s="237"/>
      <c r="CF16" s="237"/>
      <c r="CG16" s="237"/>
      <c r="CH16" s="237"/>
      <c r="CI16" s="237"/>
      <c r="CJ16" s="237"/>
      <c r="CK16" s="237"/>
      <c r="CL16" s="237"/>
      <c r="CM16" s="237"/>
      <c r="CN16" s="237"/>
      <c r="CO16" s="237"/>
      <c r="CP16" s="237"/>
      <c r="CQ16" s="237"/>
      <c r="CR16" s="237"/>
      <c r="CS16" s="237"/>
      <c r="CT16" s="237"/>
      <c r="CU16" s="237"/>
      <c r="CV16" s="237"/>
      <c r="CW16" s="237"/>
      <c r="CX16" s="237"/>
    </row>
    <row r="17" spans="1:102">
      <c r="A17" s="230"/>
      <c r="B17" s="229" t="s">
        <v>786</v>
      </c>
      <c r="C17" s="229"/>
      <c r="D17" s="230"/>
      <c r="E17" s="232"/>
      <c r="F17" s="232" t="s">
        <v>736</v>
      </c>
      <c r="G17" s="237">
        <f t="shared" ref="G17:R17" si="14">SUM(G18:G23)</f>
        <v>-1.4448912199999999</v>
      </c>
      <c r="H17" s="237">
        <f t="shared" si="14"/>
        <v>-1.0811280233333331</v>
      </c>
      <c r="I17" s="237">
        <f t="shared" si="14"/>
        <v>-2.4998654481111107</v>
      </c>
      <c r="J17" s="237">
        <f t="shared" si="14"/>
        <v>-2.8148273627777782</v>
      </c>
      <c r="K17" s="237">
        <f t="shared" si="14"/>
        <v>-1.728479592444444</v>
      </c>
      <c r="L17" s="237">
        <f t="shared" si="14"/>
        <v>-1.8558428588888887</v>
      </c>
      <c r="M17" s="237">
        <f t="shared" si="14"/>
        <v>-1.9468773855555557</v>
      </c>
      <c r="N17" s="237">
        <f t="shared" si="14"/>
        <v>-2.5197785433333335</v>
      </c>
      <c r="O17" s="237">
        <f t="shared" si="14"/>
        <v>-2.8816610966666665</v>
      </c>
      <c r="P17" s="237">
        <f t="shared" si="14"/>
        <v>-4.5355737511111105</v>
      </c>
      <c r="Q17" s="237">
        <f t="shared" si="14"/>
        <v>-3.0708654859999998</v>
      </c>
      <c r="R17" s="237">
        <f t="shared" si="14"/>
        <v>-4.3449835740000005</v>
      </c>
      <c r="S17" s="237">
        <f>SUM(S18:S23)</f>
        <v>-3.7020295499999998</v>
      </c>
      <c r="T17" s="237">
        <f t="shared" ref="T17:CE17" si="15">SUM(T18:T23)</f>
        <v>-4.6494968679999999</v>
      </c>
      <c r="U17" s="237">
        <f t="shared" si="15"/>
        <v>-4.4617291020000005</v>
      </c>
      <c r="V17" s="237">
        <f t="shared" si="15"/>
        <v>-4.2141998430000003</v>
      </c>
      <c r="W17" s="237">
        <f t="shared" si="15"/>
        <v>-5.3332650919999995</v>
      </c>
      <c r="X17" s="237">
        <f t="shared" si="15"/>
        <v>-4.0224837549999997</v>
      </c>
      <c r="Y17" s="237">
        <f t="shared" si="15"/>
        <v>-4.8127223539999999</v>
      </c>
      <c r="Z17" s="237">
        <f t="shared" si="15"/>
        <v>-3.8063283050000001</v>
      </c>
      <c r="AA17" s="237">
        <f t="shared" si="15"/>
        <v>-3.4230447540000002</v>
      </c>
      <c r="AB17" s="237">
        <f t="shared" si="15"/>
        <v>-3.7527957980000002</v>
      </c>
      <c r="AC17" s="237">
        <f t="shared" si="15"/>
        <v>-2.7708642709999998</v>
      </c>
      <c r="AD17" s="237">
        <f t="shared" si="15"/>
        <v>-3.3382655249999997</v>
      </c>
      <c r="AE17" s="663">
        <f t="shared" si="15"/>
        <v>-2.6425735240000003</v>
      </c>
      <c r="AF17" s="663">
        <f t="shared" si="15"/>
        <v>-2.3878515199999999</v>
      </c>
      <c r="AG17" s="663">
        <f t="shared" si="15"/>
        <v>-3.0801340719999999</v>
      </c>
      <c r="AH17" s="663">
        <f t="shared" si="15"/>
        <v>-2.5674684909999996</v>
      </c>
      <c r="AI17" s="663">
        <f t="shared" si="15"/>
        <v>-2.7471483560000003</v>
      </c>
      <c r="AJ17" s="663">
        <f>SUM(AJ18:AJ23)</f>
        <v>-2.5979802449999996</v>
      </c>
      <c r="AK17" s="262">
        <f t="shared" si="15"/>
        <v>-2.3476377959999999</v>
      </c>
      <c r="AL17" s="262">
        <f t="shared" si="15"/>
        <v>-2.3536398969999999</v>
      </c>
      <c r="AM17" s="262">
        <f t="shared" si="15"/>
        <v>-1.2685225105969773</v>
      </c>
      <c r="AN17" s="262">
        <f t="shared" si="15"/>
        <v>-0.72783825225127774</v>
      </c>
      <c r="AO17" s="262">
        <f t="shared" si="15"/>
        <v>-1.054130038</v>
      </c>
      <c r="AP17" s="262">
        <f t="shared" si="15"/>
        <v>-0.55413003800000005</v>
      </c>
      <c r="AQ17" s="262">
        <f t="shared" si="15"/>
        <v>-0.55413003800000005</v>
      </c>
      <c r="AR17" s="262">
        <f t="shared" si="15"/>
        <v>-0.55413003800000005</v>
      </c>
      <c r="AS17" s="262">
        <f t="shared" si="15"/>
        <v>-0.55413003800000005</v>
      </c>
      <c r="AT17" s="262">
        <f t="shared" si="15"/>
        <v>-0.55413003800000005</v>
      </c>
      <c r="AU17" s="262">
        <f t="shared" si="15"/>
        <v>-0.55413003800000005</v>
      </c>
      <c r="AV17" s="262">
        <f t="shared" si="15"/>
        <v>-0.55413003800000005</v>
      </c>
      <c r="AW17" s="262">
        <f t="shared" si="15"/>
        <v>-0.55413003800000005</v>
      </c>
      <c r="AX17" s="262">
        <f t="shared" si="15"/>
        <v>-0.55413003800000005</v>
      </c>
      <c r="AY17" s="262">
        <f t="shared" si="15"/>
        <v>-0.55413003800000005</v>
      </c>
      <c r="AZ17" s="262">
        <f t="shared" si="15"/>
        <v>-0.55413003800000005</v>
      </c>
      <c r="BA17" s="262">
        <f t="shared" si="15"/>
        <v>-0.55413003800000005</v>
      </c>
      <c r="BB17" s="262">
        <f t="shared" si="15"/>
        <v>-0.55413003800000005</v>
      </c>
      <c r="BC17" s="262">
        <f t="shared" si="15"/>
        <v>-0.35413003799999998</v>
      </c>
      <c r="BD17" s="262">
        <f t="shared" si="15"/>
        <v>-0.35413003799999998</v>
      </c>
      <c r="BE17" s="262">
        <f t="shared" si="15"/>
        <v>-0.35413003799999998</v>
      </c>
      <c r="BF17" s="262">
        <f t="shared" si="15"/>
        <v>-0.35413003799999998</v>
      </c>
      <c r="BG17" s="262">
        <f t="shared" si="15"/>
        <v>-0.35413003799999998</v>
      </c>
      <c r="BH17" s="262">
        <f t="shared" si="15"/>
        <v>-0.35413003799999998</v>
      </c>
      <c r="BI17" s="262">
        <f t="shared" si="15"/>
        <v>-0.35413003799999998</v>
      </c>
      <c r="BJ17" s="262">
        <f t="shared" si="15"/>
        <v>-0.35413003799999998</v>
      </c>
      <c r="BK17" s="262">
        <f t="shared" si="15"/>
        <v>-0.35413003799999998</v>
      </c>
      <c r="BL17" s="262">
        <f t="shared" si="15"/>
        <v>-0.35413003799999998</v>
      </c>
      <c r="BM17" s="262">
        <f t="shared" si="15"/>
        <v>-0.35413003799999998</v>
      </c>
      <c r="BN17" s="262">
        <f t="shared" si="15"/>
        <v>-0.35413003799999998</v>
      </c>
      <c r="BO17" s="262">
        <f t="shared" si="15"/>
        <v>-0.35413003799999998</v>
      </c>
      <c r="BP17" s="262">
        <f t="shared" si="15"/>
        <v>-0.35413003799999998</v>
      </c>
      <c r="BQ17" s="262">
        <f t="shared" si="15"/>
        <v>-0.35413003799999998</v>
      </c>
      <c r="BR17" s="262">
        <f t="shared" si="15"/>
        <v>-0.35413003799999998</v>
      </c>
      <c r="BS17" s="262">
        <f t="shared" si="15"/>
        <v>-0.35413003799999998</v>
      </c>
      <c r="BT17" s="262">
        <f t="shared" si="15"/>
        <v>-0.35413003799999998</v>
      </c>
      <c r="BU17" s="262">
        <f t="shared" si="15"/>
        <v>-0.35413003799999998</v>
      </c>
      <c r="BV17" s="262">
        <f t="shared" si="15"/>
        <v>-0.35413003799999998</v>
      </c>
      <c r="BW17" s="262">
        <f t="shared" si="15"/>
        <v>-0.35413003799999998</v>
      </c>
      <c r="BX17" s="262">
        <f t="shared" si="15"/>
        <v>-0.35413003799999998</v>
      </c>
      <c r="BY17" s="262">
        <f t="shared" si="15"/>
        <v>-0.35413003799999998</v>
      </c>
      <c r="BZ17" s="262">
        <f t="shared" si="15"/>
        <v>-0.35413003799999998</v>
      </c>
      <c r="CA17" s="262">
        <f t="shared" si="15"/>
        <v>-5.4130037999999998E-2</v>
      </c>
      <c r="CB17" s="262">
        <f t="shared" si="15"/>
        <v>-5.4130037999999998E-2</v>
      </c>
      <c r="CC17" s="262">
        <f t="shared" si="15"/>
        <v>-5.4130037999999998E-2</v>
      </c>
      <c r="CD17" s="262">
        <f t="shared" si="15"/>
        <v>-5.4130037999999998E-2</v>
      </c>
      <c r="CE17" s="262">
        <f t="shared" si="15"/>
        <v>-5.4130037999999998E-2</v>
      </c>
      <c r="CF17" s="262">
        <f t="shared" ref="CF17:CX17" si="16">SUM(CF18:CF23)</f>
        <v>-5.4130037999999998E-2</v>
      </c>
      <c r="CG17" s="262">
        <f t="shared" si="16"/>
        <v>-5.4130037999999998E-2</v>
      </c>
      <c r="CH17" s="262">
        <f t="shared" si="16"/>
        <v>-5.4130037999999998E-2</v>
      </c>
      <c r="CI17" s="262">
        <f t="shared" si="16"/>
        <v>-5.4130037999999998E-2</v>
      </c>
      <c r="CJ17" s="262">
        <f t="shared" si="16"/>
        <v>-5.4130037999999998E-2</v>
      </c>
      <c r="CK17" s="262">
        <f t="shared" si="16"/>
        <v>-5.4130037999999998E-2</v>
      </c>
      <c r="CL17" s="262">
        <f t="shared" si="16"/>
        <v>-5.4130037999999998E-2</v>
      </c>
      <c r="CM17" s="262">
        <f t="shared" si="16"/>
        <v>-5.4130037999999998E-2</v>
      </c>
      <c r="CN17" s="262">
        <f t="shared" si="16"/>
        <v>-5.4130037999999998E-2</v>
      </c>
      <c r="CO17" s="262">
        <f t="shared" si="16"/>
        <v>-5.4130037999999998E-2</v>
      </c>
      <c r="CP17" s="262">
        <f t="shared" si="16"/>
        <v>-5.4130037999999998E-2</v>
      </c>
      <c r="CQ17" s="262">
        <f t="shared" si="16"/>
        <v>-5.4130037999999998E-2</v>
      </c>
      <c r="CR17" s="262">
        <f t="shared" si="16"/>
        <v>-5.4130037999999998E-2</v>
      </c>
      <c r="CS17" s="262">
        <f t="shared" si="16"/>
        <v>-5.4130037999999998E-2</v>
      </c>
      <c r="CT17" s="262">
        <f t="shared" si="16"/>
        <v>-5.4130037999999998E-2</v>
      </c>
      <c r="CU17" s="262">
        <f t="shared" si="16"/>
        <v>-5.4130037999999998E-2</v>
      </c>
      <c r="CV17" s="262">
        <f t="shared" si="16"/>
        <v>-5.4130037999999998E-2</v>
      </c>
      <c r="CW17" s="262">
        <f t="shared" si="16"/>
        <v>-5.4130037999999998E-2</v>
      </c>
      <c r="CX17" s="262">
        <f t="shared" si="16"/>
        <v>-5.4130037999999998E-2</v>
      </c>
    </row>
    <row r="18" spans="1:102">
      <c r="A18" s="230"/>
      <c r="B18" s="230"/>
      <c r="C18" s="230" t="s">
        <v>398</v>
      </c>
      <c r="D18" s="230"/>
      <c r="E18" s="232"/>
      <c r="F18" s="232" t="s">
        <v>736</v>
      </c>
      <c r="G18" s="603">
        <v>-3.9609999999999999E-2</v>
      </c>
      <c r="H18" s="603">
        <v>-2.8542500000000002E-2</v>
      </c>
      <c r="I18" s="603">
        <v>-5.6923065555555555E-2</v>
      </c>
      <c r="J18" s="603">
        <v>-4.8231000000000003E-2</v>
      </c>
      <c r="K18" s="603">
        <v>-4.4270000000000004E-2</v>
      </c>
      <c r="L18" s="603">
        <v>-3.7933565555555555E-2</v>
      </c>
      <c r="M18" s="603">
        <v>-3.74431E-2</v>
      </c>
      <c r="N18" s="603">
        <v>-4.2522499999999998E-2</v>
      </c>
      <c r="O18" s="603">
        <v>-4.4270000000000004E-2</v>
      </c>
      <c r="P18" s="603">
        <v>-4.4386499999999995E-2</v>
      </c>
      <c r="Q18" s="603">
        <v>-4.4270000000000004E-2</v>
      </c>
      <c r="R18" s="603">
        <v>-5.6525799999999994E-2</v>
      </c>
      <c r="S18" s="600">
        <v>-5.8250000000000003E-2</v>
      </c>
      <c r="T18" s="600">
        <v>-4.7765000000000002E-2</v>
      </c>
      <c r="U18" s="600">
        <v>-5.5919999999999997E-2</v>
      </c>
      <c r="V18" s="600">
        <v>-3.1454999999999997E-2</v>
      </c>
      <c r="W18" s="600">
        <v>-1.0368499999999999E-2</v>
      </c>
      <c r="X18" s="600">
        <v>-2.7959999999999999E-2</v>
      </c>
      <c r="Y18" s="600">
        <v>-2.9474500000000001E-2</v>
      </c>
      <c r="Z18" s="600">
        <v>-2.50475E-2</v>
      </c>
      <c r="AA18" s="600">
        <v>-2.4465000000000001E-2</v>
      </c>
      <c r="AB18" s="600">
        <v>-2.3E-2</v>
      </c>
      <c r="AC18" s="600">
        <v>-2.3E-2</v>
      </c>
      <c r="AD18" s="597">
        <v>-1.3979999999999999E-2</v>
      </c>
      <c r="AE18" s="594">
        <v>-1.3979999999999999E-2</v>
      </c>
      <c r="AF18" s="594">
        <v>-1.38E-2</v>
      </c>
      <c r="AG18" s="594">
        <v>-1.32E-2</v>
      </c>
      <c r="AH18" s="594">
        <v>-1.2E-2</v>
      </c>
      <c r="AI18" s="594">
        <v>-9.5999999999999992E-3</v>
      </c>
      <c r="AJ18" s="594">
        <v>-1.6800000000000001E-3</v>
      </c>
      <c r="AK18" s="594">
        <v>0</v>
      </c>
      <c r="AL18" s="253">
        <f>0</f>
        <v>0</v>
      </c>
      <c r="AM18" s="594">
        <v>0</v>
      </c>
      <c r="AN18" s="253">
        <f t="shared" ref="AN18:CX22" si="17">AM18</f>
        <v>0</v>
      </c>
      <c r="AO18" s="253">
        <f t="shared" si="17"/>
        <v>0</v>
      </c>
      <c r="AP18" s="253">
        <f t="shared" si="17"/>
        <v>0</v>
      </c>
      <c r="AQ18" s="253">
        <f t="shared" si="17"/>
        <v>0</v>
      </c>
      <c r="AR18" s="253">
        <f t="shared" si="17"/>
        <v>0</v>
      </c>
      <c r="AS18" s="253">
        <f t="shared" si="17"/>
        <v>0</v>
      </c>
      <c r="AT18" s="253">
        <f t="shared" si="17"/>
        <v>0</v>
      </c>
      <c r="AU18" s="253">
        <f t="shared" si="17"/>
        <v>0</v>
      </c>
      <c r="AV18" s="253">
        <f t="shared" si="17"/>
        <v>0</v>
      </c>
      <c r="AW18" s="253">
        <f t="shared" si="17"/>
        <v>0</v>
      </c>
      <c r="AX18" s="253">
        <f t="shared" si="17"/>
        <v>0</v>
      </c>
      <c r="AY18" s="253">
        <f t="shared" si="17"/>
        <v>0</v>
      </c>
      <c r="AZ18" s="253">
        <f t="shared" si="17"/>
        <v>0</v>
      </c>
      <c r="BA18" s="253">
        <f t="shared" si="17"/>
        <v>0</v>
      </c>
      <c r="BB18" s="253">
        <f t="shared" si="17"/>
        <v>0</v>
      </c>
      <c r="BC18" s="253">
        <f t="shared" si="17"/>
        <v>0</v>
      </c>
      <c r="BD18" s="253">
        <f t="shared" si="17"/>
        <v>0</v>
      </c>
      <c r="BE18" s="253">
        <f t="shared" si="17"/>
        <v>0</v>
      </c>
      <c r="BF18" s="253">
        <f t="shared" si="17"/>
        <v>0</v>
      </c>
      <c r="BG18" s="253">
        <f t="shared" si="17"/>
        <v>0</v>
      </c>
      <c r="BH18" s="253">
        <f t="shared" si="17"/>
        <v>0</v>
      </c>
      <c r="BI18" s="253">
        <f t="shared" si="17"/>
        <v>0</v>
      </c>
      <c r="BJ18" s="253">
        <f t="shared" si="17"/>
        <v>0</v>
      </c>
      <c r="BK18" s="253">
        <f t="shared" si="17"/>
        <v>0</v>
      </c>
      <c r="BL18" s="253">
        <f t="shared" si="17"/>
        <v>0</v>
      </c>
      <c r="BM18" s="253">
        <f t="shared" si="17"/>
        <v>0</v>
      </c>
      <c r="BN18" s="253">
        <f t="shared" si="17"/>
        <v>0</v>
      </c>
      <c r="BO18" s="253">
        <f t="shared" si="17"/>
        <v>0</v>
      </c>
      <c r="BP18" s="253">
        <f t="shared" si="17"/>
        <v>0</v>
      </c>
      <c r="BQ18" s="253">
        <f t="shared" si="17"/>
        <v>0</v>
      </c>
      <c r="BR18" s="253">
        <f t="shared" si="17"/>
        <v>0</v>
      </c>
      <c r="BS18" s="253">
        <f t="shared" si="17"/>
        <v>0</v>
      </c>
      <c r="BT18" s="253">
        <f t="shared" si="17"/>
        <v>0</v>
      </c>
      <c r="BU18" s="253">
        <f t="shared" si="17"/>
        <v>0</v>
      </c>
      <c r="BV18" s="253">
        <f t="shared" si="17"/>
        <v>0</v>
      </c>
      <c r="BW18" s="253">
        <f t="shared" si="17"/>
        <v>0</v>
      </c>
      <c r="BX18" s="253">
        <f t="shared" si="17"/>
        <v>0</v>
      </c>
      <c r="BY18" s="253">
        <f t="shared" si="17"/>
        <v>0</v>
      </c>
      <c r="BZ18" s="253">
        <f t="shared" si="17"/>
        <v>0</v>
      </c>
      <c r="CA18" s="253">
        <f t="shared" si="17"/>
        <v>0</v>
      </c>
      <c r="CB18" s="253">
        <f t="shared" si="17"/>
        <v>0</v>
      </c>
      <c r="CC18" s="253">
        <f t="shared" si="17"/>
        <v>0</v>
      </c>
      <c r="CD18" s="253">
        <f t="shared" si="17"/>
        <v>0</v>
      </c>
      <c r="CE18" s="253">
        <f t="shared" si="17"/>
        <v>0</v>
      </c>
      <c r="CF18" s="253">
        <f t="shared" si="17"/>
        <v>0</v>
      </c>
      <c r="CG18" s="253">
        <f t="shared" si="17"/>
        <v>0</v>
      </c>
      <c r="CH18" s="253">
        <f t="shared" si="17"/>
        <v>0</v>
      </c>
      <c r="CI18" s="253">
        <f t="shared" si="17"/>
        <v>0</v>
      </c>
      <c r="CJ18" s="253">
        <f t="shared" si="17"/>
        <v>0</v>
      </c>
      <c r="CK18" s="253">
        <f t="shared" si="17"/>
        <v>0</v>
      </c>
      <c r="CL18" s="253">
        <f t="shared" si="17"/>
        <v>0</v>
      </c>
      <c r="CM18" s="253">
        <f t="shared" si="17"/>
        <v>0</v>
      </c>
      <c r="CN18" s="253">
        <f t="shared" si="17"/>
        <v>0</v>
      </c>
      <c r="CO18" s="253">
        <f t="shared" si="17"/>
        <v>0</v>
      </c>
      <c r="CP18" s="253">
        <f t="shared" si="17"/>
        <v>0</v>
      </c>
      <c r="CQ18" s="253">
        <f t="shared" si="17"/>
        <v>0</v>
      </c>
      <c r="CR18" s="253">
        <f t="shared" si="17"/>
        <v>0</v>
      </c>
      <c r="CS18" s="253">
        <f t="shared" si="17"/>
        <v>0</v>
      </c>
      <c r="CT18" s="253">
        <f t="shared" si="17"/>
        <v>0</v>
      </c>
      <c r="CU18" s="253">
        <f t="shared" si="17"/>
        <v>0</v>
      </c>
      <c r="CV18" s="253">
        <f t="shared" si="17"/>
        <v>0</v>
      </c>
      <c r="CW18" s="253">
        <f t="shared" si="17"/>
        <v>0</v>
      </c>
      <c r="CX18" s="253">
        <f t="shared" si="17"/>
        <v>0</v>
      </c>
    </row>
    <row r="19" spans="1:102">
      <c r="A19" s="93"/>
      <c r="B19" s="230"/>
      <c r="C19" s="230" t="s">
        <v>400</v>
      </c>
      <c r="D19" s="93"/>
      <c r="E19" s="94"/>
      <c r="F19" s="232" t="s">
        <v>736</v>
      </c>
      <c r="G19" s="603">
        <v>-0.15076605222222222</v>
      </c>
      <c r="H19" s="603">
        <v>-0.138402</v>
      </c>
      <c r="I19" s="603">
        <v>-0.13513883555555556</v>
      </c>
      <c r="J19" s="603">
        <v>-0.23536153666666668</v>
      </c>
      <c r="K19" s="603">
        <v>-0.21925299999999998</v>
      </c>
      <c r="L19" s="603">
        <v>-0.29255109111111105</v>
      </c>
      <c r="M19" s="603">
        <v>-0.21203</v>
      </c>
      <c r="N19" s="603">
        <v>-0.23602899999999999</v>
      </c>
      <c r="O19" s="603">
        <v>-0.29963799999999996</v>
      </c>
      <c r="P19" s="603">
        <v>-0.31116031555555557</v>
      </c>
      <c r="Q19" s="603">
        <v>-0.31834789999999996</v>
      </c>
      <c r="R19" s="603">
        <v>-0.68446011111111105</v>
      </c>
      <c r="S19" s="604">
        <v>-0.35019899999999998</v>
      </c>
      <c r="T19" s="604">
        <v>-0.33998686</v>
      </c>
      <c r="U19" s="604">
        <v>-0.31198700000000001</v>
      </c>
      <c r="V19" s="604">
        <v>-0.36907200000000001</v>
      </c>
      <c r="W19" s="604">
        <v>-0.34623799999999999</v>
      </c>
      <c r="X19" s="604">
        <v>-0.33715800000000001</v>
      </c>
      <c r="Y19" s="604">
        <v>-0.289644911</v>
      </c>
      <c r="Z19" s="604">
        <v>-0.32177299999999998</v>
      </c>
      <c r="AA19" s="604">
        <v>-0.34924290200000002</v>
      </c>
      <c r="AB19" s="604">
        <v>-0.33272499999999999</v>
      </c>
      <c r="AC19" s="604">
        <v>-0.19492293099999999</v>
      </c>
      <c r="AD19" s="597">
        <v>-0.31986378999999998</v>
      </c>
      <c r="AE19" s="594">
        <v>-0.27272712599999999</v>
      </c>
      <c r="AF19" s="594">
        <v>-0.29578141800000002</v>
      </c>
      <c r="AG19" s="594">
        <v>-0.28116000000000002</v>
      </c>
      <c r="AH19" s="594">
        <v>-0.27360000000000001</v>
      </c>
      <c r="AI19" s="594">
        <v>-0.221839851</v>
      </c>
      <c r="AJ19" s="594">
        <v>-0.203860807</v>
      </c>
      <c r="AK19" s="594">
        <v>-0.16188</v>
      </c>
      <c r="AL19" s="646">
        <f>-200850000/10^9</f>
        <v>-0.20085</v>
      </c>
      <c r="AM19" s="594">
        <v>-8.1600000000000006E-2</v>
      </c>
      <c r="AN19" s="253"/>
      <c r="AO19" s="253">
        <f>AN19</f>
        <v>0</v>
      </c>
      <c r="AP19" s="253">
        <f>AO19</f>
        <v>0</v>
      </c>
      <c r="AQ19" s="253"/>
      <c r="AR19" s="253">
        <f t="shared" si="17"/>
        <v>0</v>
      </c>
      <c r="AS19" s="253">
        <f t="shared" si="17"/>
        <v>0</v>
      </c>
      <c r="AT19" s="253">
        <f t="shared" si="17"/>
        <v>0</v>
      </c>
      <c r="AU19" s="253">
        <f t="shared" si="17"/>
        <v>0</v>
      </c>
      <c r="AV19" s="253">
        <f t="shared" si="17"/>
        <v>0</v>
      </c>
      <c r="AW19" s="253">
        <f t="shared" si="17"/>
        <v>0</v>
      </c>
      <c r="AX19" s="253">
        <f t="shared" si="17"/>
        <v>0</v>
      </c>
      <c r="AY19" s="253">
        <f t="shared" si="17"/>
        <v>0</v>
      </c>
      <c r="AZ19" s="253">
        <f t="shared" si="17"/>
        <v>0</v>
      </c>
      <c r="BA19" s="253">
        <f t="shared" si="17"/>
        <v>0</v>
      </c>
      <c r="BB19" s="253">
        <f t="shared" si="17"/>
        <v>0</v>
      </c>
      <c r="BC19" s="253">
        <f t="shared" si="17"/>
        <v>0</v>
      </c>
      <c r="BD19" s="253">
        <f t="shared" si="17"/>
        <v>0</v>
      </c>
      <c r="BE19" s="253">
        <f t="shared" si="17"/>
        <v>0</v>
      </c>
      <c r="BF19" s="253">
        <f t="shared" si="17"/>
        <v>0</v>
      </c>
      <c r="BG19" s="253">
        <f t="shared" si="17"/>
        <v>0</v>
      </c>
      <c r="BH19" s="253">
        <f t="shared" si="17"/>
        <v>0</v>
      </c>
      <c r="BI19" s="253">
        <f t="shared" si="17"/>
        <v>0</v>
      </c>
      <c r="BJ19" s="253">
        <f t="shared" si="17"/>
        <v>0</v>
      </c>
      <c r="BK19" s="253">
        <f t="shared" si="17"/>
        <v>0</v>
      </c>
      <c r="BL19" s="253">
        <f t="shared" si="17"/>
        <v>0</v>
      </c>
      <c r="BM19" s="253">
        <f t="shared" si="17"/>
        <v>0</v>
      </c>
      <c r="BN19" s="253">
        <f t="shared" si="17"/>
        <v>0</v>
      </c>
      <c r="BO19" s="253">
        <f t="shared" si="17"/>
        <v>0</v>
      </c>
      <c r="BP19" s="253">
        <f t="shared" si="17"/>
        <v>0</v>
      </c>
      <c r="BQ19" s="253">
        <f t="shared" si="17"/>
        <v>0</v>
      </c>
      <c r="BR19" s="253">
        <f t="shared" si="17"/>
        <v>0</v>
      </c>
      <c r="BS19" s="253">
        <f t="shared" si="17"/>
        <v>0</v>
      </c>
      <c r="BT19" s="253">
        <f t="shared" si="17"/>
        <v>0</v>
      </c>
      <c r="BU19" s="253">
        <f t="shared" si="17"/>
        <v>0</v>
      </c>
      <c r="BV19" s="253">
        <f t="shared" si="17"/>
        <v>0</v>
      </c>
      <c r="BW19" s="253">
        <f t="shared" si="17"/>
        <v>0</v>
      </c>
      <c r="BX19" s="253">
        <f t="shared" si="17"/>
        <v>0</v>
      </c>
      <c r="BY19" s="253">
        <f t="shared" si="17"/>
        <v>0</v>
      </c>
      <c r="BZ19" s="253">
        <f t="shared" si="17"/>
        <v>0</v>
      </c>
      <c r="CA19" s="253">
        <f t="shared" si="17"/>
        <v>0</v>
      </c>
      <c r="CB19" s="253">
        <f t="shared" si="17"/>
        <v>0</v>
      </c>
      <c r="CC19" s="253">
        <f t="shared" si="17"/>
        <v>0</v>
      </c>
      <c r="CD19" s="253">
        <f t="shared" si="17"/>
        <v>0</v>
      </c>
      <c r="CE19" s="253">
        <f t="shared" si="17"/>
        <v>0</v>
      </c>
      <c r="CF19" s="253">
        <f t="shared" si="17"/>
        <v>0</v>
      </c>
      <c r="CG19" s="253">
        <f t="shared" si="17"/>
        <v>0</v>
      </c>
      <c r="CH19" s="253">
        <f t="shared" si="17"/>
        <v>0</v>
      </c>
      <c r="CI19" s="253">
        <f t="shared" si="17"/>
        <v>0</v>
      </c>
      <c r="CJ19" s="253">
        <f t="shared" si="17"/>
        <v>0</v>
      </c>
      <c r="CK19" s="253">
        <f t="shared" si="17"/>
        <v>0</v>
      </c>
      <c r="CL19" s="253">
        <f t="shared" si="17"/>
        <v>0</v>
      </c>
      <c r="CM19" s="253">
        <f t="shared" si="17"/>
        <v>0</v>
      </c>
      <c r="CN19" s="253">
        <f t="shared" si="17"/>
        <v>0</v>
      </c>
      <c r="CO19" s="253">
        <f t="shared" si="17"/>
        <v>0</v>
      </c>
      <c r="CP19" s="253">
        <f t="shared" si="17"/>
        <v>0</v>
      </c>
      <c r="CQ19" s="253">
        <f t="shared" si="17"/>
        <v>0</v>
      </c>
      <c r="CR19" s="253">
        <f t="shared" si="17"/>
        <v>0</v>
      </c>
      <c r="CS19" s="253">
        <f t="shared" si="17"/>
        <v>0</v>
      </c>
      <c r="CT19" s="253">
        <f t="shared" si="17"/>
        <v>0</v>
      </c>
      <c r="CU19" s="253">
        <f t="shared" si="17"/>
        <v>0</v>
      </c>
      <c r="CV19" s="253">
        <f t="shared" si="17"/>
        <v>0</v>
      </c>
      <c r="CW19" s="253">
        <f t="shared" si="17"/>
        <v>0</v>
      </c>
      <c r="CX19" s="253">
        <f t="shared" si="17"/>
        <v>0</v>
      </c>
    </row>
    <row r="20" spans="1:102">
      <c r="A20" s="93"/>
      <c r="B20" s="230"/>
      <c r="C20" s="230" t="s">
        <v>891</v>
      </c>
      <c r="D20" s="93"/>
      <c r="E20" s="94"/>
      <c r="F20" s="232" t="s">
        <v>736</v>
      </c>
      <c r="G20" s="232"/>
      <c r="H20" s="232"/>
      <c r="I20" s="232"/>
      <c r="J20" s="232"/>
      <c r="K20" s="230"/>
      <c r="L20" s="230"/>
      <c r="M20" s="230"/>
      <c r="N20" s="230"/>
      <c r="O20" s="230"/>
      <c r="P20" s="230"/>
      <c r="Q20" s="230"/>
      <c r="R20" s="230"/>
      <c r="S20" s="604"/>
      <c r="T20" s="604"/>
      <c r="U20" s="604"/>
      <c r="V20" s="604"/>
      <c r="W20" s="604"/>
      <c r="X20" s="604"/>
      <c r="Y20" s="604"/>
      <c r="Z20" s="604"/>
      <c r="AA20" s="604"/>
      <c r="AB20" s="604"/>
      <c r="AC20" s="604"/>
      <c r="AD20" s="597"/>
      <c r="AE20" s="594"/>
      <c r="AF20" s="594"/>
      <c r="AG20" s="594"/>
      <c r="AH20" s="594"/>
      <c r="AI20" s="594"/>
      <c r="AJ20" s="594">
        <v>-0.04</v>
      </c>
      <c r="AK20" s="594">
        <v>-3.3000000000000002E-2</v>
      </c>
      <c r="AL20" s="646">
        <f>-16500000/10^9</f>
        <v>-1.6500000000000001E-2</v>
      </c>
      <c r="AM20" s="594">
        <v>-3.2608948596977237E-2</v>
      </c>
      <c r="AN20" s="594">
        <v>-4.3461013251277721E-2</v>
      </c>
      <c r="AO20" s="253">
        <v>-0.2</v>
      </c>
      <c r="AP20" s="253">
        <f>AO20</f>
        <v>-0.2</v>
      </c>
      <c r="AQ20" s="253">
        <f>AP20</f>
        <v>-0.2</v>
      </c>
      <c r="AR20" s="253">
        <f t="shared" si="17"/>
        <v>-0.2</v>
      </c>
      <c r="AS20" s="253">
        <f t="shared" si="17"/>
        <v>-0.2</v>
      </c>
      <c r="AT20" s="253">
        <f t="shared" si="17"/>
        <v>-0.2</v>
      </c>
      <c r="AU20" s="253">
        <f t="shared" si="17"/>
        <v>-0.2</v>
      </c>
      <c r="AV20" s="253">
        <f t="shared" si="17"/>
        <v>-0.2</v>
      </c>
      <c r="AW20" s="253">
        <f t="shared" si="17"/>
        <v>-0.2</v>
      </c>
      <c r="AX20" s="253">
        <f t="shared" si="17"/>
        <v>-0.2</v>
      </c>
      <c r="AY20" s="253">
        <f t="shared" si="17"/>
        <v>-0.2</v>
      </c>
      <c r="AZ20" s="253">
        <f t="shared" si="17"/>
        <v>-0.2</v>
      </c>
      <c r="BA20" s="253">
        <f t="shared" si="17"/>
        <v>-0.2</v>
      </c>
      <c r="BB20" s="253">
        <f t="shared" si="17"/>
        <v>-0.2</v>
      </c>
      <c r="BC20" s="253"/>
      <c r="BD20" s="253"/>
      <c r="BE20" s="253"/>
      <c r="BF20" s="253"/>
      <c r="BG20" s="253"/>
      <c r="BH20" s="253"/>
      <c r="BI20" s="253"/>
      <c r="BJ20" s="253"/>
      <c r="BK20" s="253"/>
      <c r="BL20" s="253"/>
      <c r="BM20" s="253"/>
      <c r="BN20" s="253"/>
      <c r="BO20" s="253"/>
      <c r="BP20" s="253"/>
      <c r="BQ20" s="253"/>
      <c r="BR20" s="253"/>
      <c r="BS20" s="253"/>
      <c r="BT20" s="253"/>
      <c r="BU20" s="253"/>
      <c r="BV20" s="253"/>
      <c r="BW20" s="253"/>
      <c r="BX20" s="253"/>
      <c r="BY20" s="253"/>
      <c r="BZ20" s="253"/>
      <c r="CA20" s="253"/>
      <c r="CB20" s="253"/>
      <c r="CC20" s="253"/>
      <c r="CD20" s="253"/>
      <c r="CE20" s="253"/>
      <c r="CF20" s="253"/>
      <c r="CG20" s="253"/>
      <c r="CH20" s="253"/>
      <c r="CI20" s="253"/>
      <c r="CJ20" s="253"/>
      <c r="CK20" s="253"/>
      <c r="CL20" s="253"/>
      <c r="CM20" s="253"/>
      <c r="CN20" s="253"/>
      <c r="CO20" s="253"/>
      <c r="CP20" s="253"/>
      <c r="CQ20" s="253"/>
      <c r="CR20" s="253"/>
      <c r="CS20" s="253"/>
      <c r="CT20" s="253"/>
      <c r="CU20" s="253"/>
      <c r="CV20" s="253"/>
      <c r="CW20" s="253"/>
      <c r="CX20" s="253"/>
    </row>
    <row r="21" spans="1:102">
      <c r="A21" s="230"/>
      <c r="B21" s="230"/>
      <c r="C21" s="230" t="s">
        <v>892</v>
      </c>
      <c r="D21" s="230"/>
      <c r="E21" s="232"/>
      <c r="F21" s="232" t="s">
        <v>736</v>
      </c>
      <c r="G21" s="594">
        <v>-1.2177651677777777</v>
      </c>
      <c r="H21" s="594">
        <v>-0.86019352333333321</v>
      </c>
      <c r="I21" s="594">
        <v>-2.1847235469999999</v>
      </c>
      <c r="J21" s="594">
        <v>-2.3834548261111115</v>
      </c>
      <c r="K21" s="594">
        <v>-1.4283665924444442</v>
      </c>
      <c r="L21" s="594">
        <v>-1.4601782022222221</v>
      </c>
      <c r="M21" s="594">
        <v>-1.6972042855555556</v>
      </c>
      <c r="N21" s="594">
        <v>-2.2369970433333335</v>
      </c>
      <c r="O21" s="594">
        <v>-2.1086630966666666</v>
      </c>
      <c r="P21" s="594">
        <v>-3.3402369355555552</v>
      </c>
      <c r="Q21" s="594">
        <v>-2.6651549399999999</v>
      </c>
      <c r="R21" s="594">
        <v>-3.5564018988888888</v>
      </c>
      <c r="S21" s="600">
        <v>-3.2212469179999998</v>
      </c>
      <c r="T21" s="600">
        <v>-4.0247286830000002</v>
      </c>
      <c r="U21" s="600">
        <v>-3.9310105769999999</v>
      </c>
      <c r="V21" s="600">
        <v>-3.607205982</v>
      </c>
      <c r="W21" s="600">
        <v>-4.6891354429999996</v>
      </c>
      <c r="X21" s="600">
        <v>-3.3638290780000002</v>
      </c>
      <c r="Y21" s="600">
        <v>-4.1634530410000004</v>
      </c>
      <c r="Z21" s="600">
        <v>-3.100339328</v>
      </c>
      <c r="AA21" s="600">
        <v>-2.815893505</v>
      </c>
      <c r="AB21" s="600">
        <v>-3.2104920859999999</v>
      </c>
      <c r="AC21" s="600">
        <v>-2.3895066869999999</v>
      </c>
      <c r="AD21" s="597">
        <v>-2.813682579</v>
      </c>
      <c r="AE21" s="594">
        <v>-2.1653431090000002</v>
      </c>
      <c r="AF21" s="594">
        <v>-1.948770157</v>
      </c>
      <c r="AG21" s="594">
        <v>-2.6059729709999999</v>
      </c>
      <c r="AH21" s="594">
        <v>-2.0925440809999998</v>
      </c>
      <c r="AI21" s="594">
        <v>-2.473246042</v>
      </c>
      <c r="AJ21" s="594">
        <v>-2.3305627499999999</v>
      </c>
      <c r="AK21" s="594">
        <v>-2.1168097590000001</v>
      </c>
      <c r="AL21" s="646">
        <f>-2062580239/10^9-12486316/10^9</f>
        <v>-2.0750665549999998</v>
      </c>
      <c r="AM21" s="594">
        <v>-1.100183524</v>
      </c>
      <c r="AN21" s="594">
        <v>-0.68437723900000003</v>
      </c>
      <c r="AO21" s="253">
        <v>-0.8</v>
      </c>
      <c r="AP21" s="253">
        <v>-0.3</v>
      </c>
      <c r="AQ21" s="253">
        <f>AP21</f>
        <v>-0.3</v>
      </c>
      <c r="AR21" s="253">
        <f t="shared" si="17"/>
        <v>-0.3</v>
      </c>
      <c r="AS21" s="253">
        <f t="shared" si="17"/>
        <v>-0.3</v>
      </c>
      <c r="AT21" s="253">
        <f t="shared" si="17"/>
        <v>-0.3</v>
      </c>
      <c r="AU21" s="253">
        <f t="shared" si="17"/>
        <v>-0.3</v>
      </c>
      <c r="AV21" s="253">
        <f t="shared" si="17"/>
        <v>-0.3</v>
      </c>
      <c r="AW21" s="253">
        <f t="shared" si="17"/>
        <v>-0.3</v>
      </c>
      <c r="AX21" s="253">
        <f t="shared" si="17"/>
        <v>-0.3</v>
      </c>
      <c r="AY21" s="253">
        <f t="shared" si="17"/>
        <v>-0.3</v>
      </c>
      <c r="AZ21" s="253">
        <f t="shared" si="17"/>
        <v>-0.3</v>
      </c>
      <c r="BA21" s="253">
        <f t="shared" si="17"/>
        <v>-0.3</v>
      </c>
      <c r="BB21" s="253">
        <f t="shared" si="17"/>
        <v>-0.3</v>
      </c>
      <c r="BC21" s="253">
        <f t="shared" si="17"/>
        <v>-0.3</v>
      </c>
      <c r="BD21" s="253">
        <f t="shared" si="17"/>
        <v>-0.3</v>
      </c>
      <c r="BE21" s="253">
        <f t="shared" si="17"/>
        <v>-0.3</v>
      </c>
      <c r="BF21" s="253">
        <f t="shared" si="17"/>
        <v>-0.3</v>
      </c>
      <c r="BG21" s="253">
        <f t="shared" si="17"/>
        <v>-0.3</v>
      </c>
      <c r="BH21" s="253">
        <f t="shared" si="17"/>
        <v>-0.3</v>
      </c>
      <c r="BI21" s="253">
        <f t="shared" si="17"/>
        <v>-0.3</v>
      </c>
      <c r="BJ21" s="253">
        <f t="shared" si="17"/>
        <v>-0.3</v>
      </c>
      <c r="BK21" s="253">
        <f t="shared" si="17"/>
        <v>-0.3</v>
      </c>
      <c r="BL21" s="253">
        <f t="shared" si="17"/>
        <v>-0.3</v>
      </c>
      <c r="BM21" s="253">
        <f t="shared" si="17"/>
        <v>-0.3</v>
      </c>
      <c r="BN21" s="253">
        <f t="shared" si="17"/>
        <v>-0.3</v>
      </c>
      <c r="BO21" s="253">
        <f t="shared" si="17"/>
        <v>-0.3</v>
      </c>
      <c r="BP21" s="253">
        <f t="shared" si="17"/>
        <v>-0.3</v>
      </c>
      <c r="BQ21" s="253">
        <f t="shared" si="17"/>
        <v>-0.3</v>
      </c>
      <c r="BR21" s="253">
        <f t="shared" si="17"/>
        <v>-0.3</v>
      </c>
      <c r="BS21" s="253">
        <f t="shared" si="17"/>
        <v>-0.3</v>
      </c>
      <c r="BT21" s="253">
        <f t="shared" si="17"/>
        <v>-0.3</v>
      </c>
      <c r="BU21" s="253">
        <f t="shared" si="17"/>
        <v>-0.3</v>
      </c>
      <c r="BV21" s="253">
        <f t="shared" si="17"/>
        <v>-0.3</v>
      </c>
      <c r="BW21" s="253">
        <f t="shared" si="17"/>
        <v>-0.3</v>
      </c>
      <c r="BX21" s="253">
        <f t="shared" si="17"/>
        <v>-0.3</v>
      </c>
      <c r="BY21" s="253">
        <f t="shared" si="17"/>
        <v>-0.3</v>
      </c>
      <c r="BZ21" s="253">
        <f t="shared" si="17"/>
        <v>-0.3</v>
      </c>
      <c r="CA21" s="253">
        <v>0</v>
      </c>
      <c r="CB21" s="253">
        <f t="shared" si="17"/>
        <v>0</v>
      </c>
      <c r="CC21" s="253">
        <f t="shared" si="17"/>
        <v>0</v>
      </c>
      <c r="CD21" s="253">
        <f t="shared" si="17"/>
        <v>0</v>
      </c>
      <c r="CE21" s="253">
        <f t="shared" si="17"/>
        <v>0</v>
      </c>
      <c r="CF21" s="253">
        <f t="shared" si="17"/>
        <v>0</v>
      </c>
      <c r="CG21" s="253">
        <f t="shared" si="17"/>
        <v>0</v>
      </c>
      <c r="CH21" s="253">
        <f t="shared" si="17"/>
        <v>0</v>
      </c>
      <c r="CI21" s="253">
        <f t="shared" si="17"/>
        <v>0</v>
      </c>
      <c r="CJ21" s="253">
        <f t="shared" si="17"/>
        <v>0</v>
      </c>
      <c r="CK21" s="253">
        <f t="shared" si="17"/>
        <v>0</v>
      </c>
      <c r="CL21" s="253">
        <f t="shared" si="17"/>
        <v>0</v>
      </c>
      <c r="CM21" s="253">
        <v>0</v>
      </c>
      <c r="CN21" s="253">
        <f t="shared" ref="CN21:CX22" si="18">CM21</f>
        <v>0</v>
      </c>
      <c r="CO21" s="253">
        <f t="shared" si="18"/>
        <v>0</v>
      </c>
      <c r="CP21" s="253">
        <f t="shared" si="18"/>
        <v>0</v>
      </c>
      <c r="CQ21" s="253">
        <f t="shared" si="18"/>
        <v>0</v>
      </c>
      <c r="CR21" s="253">
        <f t="shared" si="18"/>
        <v>0</v>
      </c>
      <c r="CS21" s="253">
        <f t="shared" si="18"/>
        <v>0</v>
      </c>
      <c r="CT21" s="253">
        <f t="shared" si="18"/>
        <v>0</v>
      </c>
      <c r="CU21" s="253">
        <f t="shared" si="18"/>
        <v>0</v>
      </c>
      <c r="CV21" s="253">
        <f t="shared" si="18"/>
        <v>0</v>
      </c>
      <c r="CW21" s="253">
        <f t="shared" si="18"/>
        <v>0</v>
      </c>
      <c r="CX21" s="253">
        <f t="shared" si="18"/>
        <v>0</v>
      </c>
    </row>
    <row r="22" spans="1:102">
      <c r="A22" s="230"/>
      <c r="B22" s="230"/>
      <c r="C22" s="230" t="s">
        <v>404</v>
      </c>
      <c r="D22" s="230"/>
      <c r="E22" s="232"/>
      <c r="F22" s="232" t="s">
        <v>736</v>
      </c>
      <c r="G22" s="594">
        <v>-3.6749999999999998E-2</v>
      </c>
      <c r="H22" s="594">
        <v>-5.3990000000000003E-2</v>
      </c>
      <c r="I22" s="594">
        <v>-0.12307999999999999</v>
      </c>
      <c r="J22" s="594">
        <v>-0.14777999999999999</v>
      </c>
      <c r="K22" s="594">
        <v>-3.6590000000000004E-2</v>
      </c>
      <c r="L22" s="594">
        <v>-6.5180000000000002E-2</v>
      </c>
      <c r="M22" s="594">
        <v>-2.0000000000000001E-4</v>
      </c>
      <c r="N22" s="594">
        <v>-4.2300000000000003E-3</v>
      </c>
      <c r="O22" s="594">
        <v>-0.42908999999999997</v>
      </c>
      <c r="P22" s="594">
        <v>-0.83978999999999993</v>
      </c>
      <c r="Q22" s="594">
        <v>-4.3092646000000005E-2</v>
      </c>
      <c r="R22" s="594">
        <v>-4.7595764000000006E-2</v>
      </c>
      <c r="S22" s="600">
        <v>-7.2333631999999995E-2</v>
      </c>
      <c r="T22" s="600">
        <v>-0.237016325</v>
      </c>
      <c r="U22" s="600">
        <v>-0.16281152500000001</v>
      </c>
      <c r="V22" s="600">
        <v>-0.206466861</v>
      </c>
      <c r="W22" s="600">
        <v>-0.28752314899999998</v>
      </c>
      <c r="X22" s="600">
        <v>-0.29353667700000002</v>
      </c>
      <c r="Y22" s="600">
        <v>-0.330149902</v>
      </c>
      <c r="Z22" s="600">
        <v>-0.35916847699999999</v>
      </c>
      <c r="AA22" s="600">
        <v>-0.233443347</v>
      </c>
      <c r="AB22" s="600">
        <v>-0.18657871200000001</v>
      </c>
      <c r="AC22" s="600">
        <v>-0.16343465300000001</v>
      </c>
      <c r="AD22" s="597">
        <v>-0.19073915599999999</v>
      </c>
      <c r="AE22" s="594">
        <v>-0.19052328900000001</v>
      </c>
      <c r="AF22" s="594">
        <v>-0.12949994500000001</v>
      </c>
      <c r="AG22" s="594">
        <v>-0.17980110099999999</v>
      </c>
      <c r="AH22" s="594">
        <v>-0.18932441</v>
      </c>
      <c r="AI22" s="594">
        <v>-4.2462462999999999E-2</v>
      </c>
      <c r="AJ22" s="594">
        <v>-2.1876687999999998E-2</v>
      </c>
      <c r="AK22" s="594">
        <v>-3.5948037000000002E-2</v>
      </c>
      <c r="AL22" s="646">
        <f>-61223342/10^9</f>
        <v>-6.1223342E-2</v>
      </c>
      <c r="AM22" s="594">
        <v>-5.4130037999999998E-2</v>
      </c>
      <c r="AN22" s="253"/>
      <c r="AO22" s="253">
        <v>-5.4130037999999998E-2</v>
      </c>
      <c r="AP22" s="253">
        <f>AO22</f>
        <v>-5.4130037999999998E-2</v>
      </c>
      <c r="AQ22" s="253">
        <f>AP22</f>
        <v>-5.4130037999999998E-2</v>
      </c>
      <c r="AR22" s="253">
        <f t="shared" si="17"/>
        <v>-5.4130037999999998E-2</v>
      </c>
      <c r="AS22" s="253">
        <f t="shared" si="17"/>
        <v>-5.4130037999999998E-2</v>
      </c>
      <c r="AT22" s="253">
        <f t="shared" si="17"/>
        <v>-5.4130037999999998E-2</v>
      </c>
      <c r="AU22" s="253">
        <f t="shared" si="17"/>
        <v>-5.4130037999999998E-2</v>
      </c>
      <c r="AV22" s="253">
        <f t="shared" si="17"/>
        <v>-5.4130037999999998E-2</v>
      </c>
      <c r="AW22" s="253">
        <f t="shared" si="17"/>
        <v>-5.4130037999999998E-2</v>
      </c>
      <c r="AX22" s="253">
        <f t="shared" si="17"/>
        <v>-5.4130037999999998E-2</v>
      </c>
      <c r="AY22" s="253">
        <f t="shared" si="17"/>
        <v>-5.4130037999999998E-2</v>
      </c>
      <c r="AZ22" s="253">
        <f t="shared" si="17"/>
        <v>-5.4130037999999998E-2</v>
      </c>
      <c r="BA22" s="253">
        <f t="shared" si="17"/>
        <v>-5.4130037999999998E-2</v>
      </c>
      <c r="BB22" s="253">
        <f t="shared" si="17"/>
        <v>-5.4130037999999998E-2</v>
      </c>
      <c r="BC22" s="253">
        <f t="shared" si="17"/>
        <v>-5.4130037999999998E-2</v>
      </c>
      <c r="BD22" s="253">
        <f t="shared" si="17"/>
        <v>-5.4130037999999998E-2</v>
      </c>
      <c r="BE22" s="253">
        <f t="shared" si="17"/>
        <v>-5.4130037999999998E-2</v>
      </c>
      <c r="BF22" s="253">
        <f t="shared" si="17"/>
        <v>-5.4130037999999998E-2</v>
      </c>
      <c r="BG22" s="253">
        <f t="shared" si="17"/>
        <v>-5.4130037999999998E-2</v>
      </c>
      <c r="BH22" s="253">
        <f t="shared" si="17"/>
        <v>-5.4130037999999998E-2</v>
      </c>
      <c r="BI22" s="253">
        <f t="shared" si="17"/>
        <v>-5.4130037999999998E-2</v>
      </c>
      <c r="BJ22" s="253">
        <f t="shared" si="17"/>
        <v>-5.4130037999999998E-2</v>
      </c>
      <c r="BK22" s="253">
        <f t="shared" si="17"/>
        <v>-5.4130037999999998E-2</v>
      </c>
      <c r="BL22" s="253">
        <f t="shared" si="17"/>
        <v>-5.4130037999999998E-2</v>
      </c>
      <c r="BM22" s="253">
        <f t="shared" si="17"/>
        <v>-5.4130037999999998E-2</v>
      </c>
      <c r="BN22" s="253">
        <f t="shared" si="17"/>
        <v>-5.4130037999999998E-2</v>
      </c>
      <c r="BO22" s="253">
        <f t="shared" si="17"/>
        <v>-5.4130037999999998E-2</v>
      </c>
      <c r="BP22" s="253">
        <f t="shared" si="17"/>
        <v>-5.4130037999999998E-2</v>
      </c>
      <c r="BQ22" s="253">
        <f t="shared" si="17"/>
        <v>-5.4130037999999998E-2</v>
      </c>
      <c r="BR22" s="253">
        <f t="shared" si="17"/>
        <v>-5.4130037999999998E-2</v>
      </c>
      <c r="BS22" s="253">
        <f t="shared" si="17"/>
        <v>-5.4130037999999998E-2</v>
      </c>
      <c r="BT22" s="253">
        <f t="shared" si="17"/>
        <v>-5.4130037999999998E-2</v>
      </c>
      <c r="BU22" s="253">
        <f t="shared" si="17"/>
        <v>-5.4130037999999998E-2</v>
      </c>
      <c r="BV22" s="253">
        <f t="shared" si="17"/>
        <v>-5.4130037999999998E-2</v>
      </c>
      <c r="BW22" s="253">
        <f t="shared" si="17"/>
        <v>-5.4130037999999998E-2</v>
      </c>
      <c r="BX22" s="253">
        <f t="shared" si="17"/>
        <v>-5.4130037999999998E-2</v>
      </c>
      <c r="BY22" s="253">
        <f t="shared" si="17"/>
        <v>-5.4130037999999998E-2</v>
      </c>
      <c r="BZ22" s="253">
        <f t="shared" si="17"/>
        <v>-5.4130037999999998E-2</v>
      </c>
      <c r="CA22" s="253">
        <f t="shared" si="17"/>
        <v>-5.4130037999999998E-2</v>
      </c>
      <c r="CB22" s="253">
        <f t="shared" si="17"/>
        <v>-5.4130037999999998E-2</v>
      </c>
      <c r="CC22" s="253">
        <f t="shared" si="17"/>
        <v>-5.4130037999999998E-2</v>
      </c>
      <c r="CD22" s="253">
        <f t="shared" si="17"/>
        <v>-5.4130037999999998E-2</v>
      </c>
      <c r="CE22" s="253">
        <f t="shared" si="17"/>
        <v>-5.4130037999999998E-2</v>
      </c>
      <c r="CF22" s="253">
        <f t="shared" si="17"/>
        <v>-5.4130037999999998E-2</v>
      </c>
      <c r="CG22" s="253">
        <f t="shared" si="17"/>
        <v>-5.4130037999999998E-2</v>
      </c>
      <c r="CH22" s="253">
        <f t="shared" si="17"/>
        <v>-5.4130037999999998E-2</v>
      </c>
      <c r="CI22" s="253">
        <f t="shared" si="17"/>
        <v>-5.4130037999999998E-2</v>
      </c>
      <c r="CJ22" s="253">
        <f t="shared" si="17"/>
        <v>-5.4130037999999998E-2</v>
      </c>
      <c r="CK22" s="253">
        <f t="shared" si="17"/>
        <v>-5.4130037999999998E-2</v>
      </c>
      <c r="CL22" s="253">
        <f t="shared" si="17"/>
        <v>-5.4130037999999998E-2</v>
      </c>
      <c r="CM22" s="253">
        <f>CL22</f>
        <v>-5.4130037999999998E-2</v>
      </c>
      <c r="CN22" s="253">
        <f t="shared" si="18"/>
        <v>-5.4130037999999998E-2</v>
      </c>
      <c r="CO22" s="253">
        <f t="shared" si="18"/>
        <v>-5.4130037999999998E-2</v>
      </c>
      <c r="CP22" s="253">
        <f t="shared" si="18"/>
        <v>-5.4130037999999998E-2</v>
      </c>
      <c r="CQ22" s="253">
        <f t="shared" si="18"/>
        <v>-5.4130037999999998E-2</v>
      </c>
      <c r="CR22" s="253">
        <f t="shared" si="18"/>
        <v>-5.4130037999999998E-2</v>
      </c>
      <c r="CS22" s="253">
        <f t="shared" si="18"/>
        <v>-5.4130037999999998E-2</v>
      </c>
      <c r="CT22" s="253">
        <f t="shared" si="18"/>
        <v>-5.4130037999999998E-2</v>
      </c>
      <c r="CU22" s="253">
        <f t="shared" si="18"/>
        <v>-5.4130037999999998E-2</v>
      </c>
      <c r="CV22" s="253">
        <f t="shared" si="18"/>
        <v>-5.4130037999999998E-2</v>
      </c>
      <c r="CW22" s="253">
        <f t="shared" si="18"/>
        <v>-5.4130037999999998E-2</v>
      </c>
      <c r="CX22" s="253">
        <f t="shared" si="18"/>
        <v>-5.4130037999999998E-2</v>
      </c>
    </row>
    <row r="23" spans="1:102">
      <c r="A23" s="230"/>
      <c r="B23" s="230"/>
      <c r="C23" s="230" t="s">
        <v>893</v>
      </c>
      <c r="D23" s="230"/>
      <c r="E23" s="232"/>
      <c r="F23" s="232" t="s">
        <v>736</v>
      </c>
      <c r="G23" s="232"/>
      <c r="H23" s="232"/>
      <c r="I23" s="232"/>
      <c r="J23" s="232"/>
      <c r="K23" s="230"/>
      <c r="L23" s="230"/>
      <c r="M23" s="230"/>
      <c r="N23" s="230"/>
      <c r="O23" s="230"/>
      <c r="P23" s="230"/>
      <c r="Q23" s="230"/>
      <c r="R23" s="230"/>
      <c r="S23" s="237"/>
      <c r="T23" s="237"/>
      <c r="U23" s="237"/>
      <c r="V23" s="237"/>
      <c r="W23" s="237"/>
      <c r="X23" s="237"/>
      <c r="Y23" s="237"/>
      <c r="Z23" s="237"/>
      <c r="AA23" s="237"/>
      <c r="AB23" s="237"/>
      <c r="AC23" s="237"/>
      <c r="AD23" s="237"/>
      <c r="AE23" s="262"/>
      <c r="AF23" s="262"/>
      <c r="AG23" s="262"/>
      <c r="AH23" s="262"/>
      <c r="AI23" s="262"/>
      <c r="AJ23" s="262"/>
      <c r="AK23" s="262"/>
      <c r="AL23" s="262"/>
      <c r="AM23" s="262"/>
      <c r="AN23" s="262"/>
      <c r="AO23" s="262"/>
      <c r="AP23" s="262"/>
      <c r="AQ23" s="262"/>
      <c r="AR23" s="262"/>
      <c r="AS23" s="262"/>
      <c r="AT23" s="262"/>
      <c r="AU23" s="262"/>
      <c r="AV23" s="262"/>
      <c r="AW23" s="262"/>
      <c r="AX23" s="262"/>
      <c r="AY23" s="262"/>
      <c r="AZ23" s="262"/>
      <c r="BA23" s="262"/>
      <c r="BB23" s="262"/>
      <c r="BC23" s="262"/>
      <c r="BD23" s="262"/>
      <c r="BE23" s="262"/>
      <c r="BF23" s="262"/>
      <c r="BG23" s="262"/>
      <c r="BH23" s="262"/>
      <c r="BI23" s="262"/>
      <c r="BJ23" s="262"/>
      <c r="BK23" s="262"/>
      <c r="BL23" s="262"/>
      <c r="BM23" s="262"/>
      <c r="BN23" s="262"/>
      <c r="BO23" s="262"/>
      <c r="BP23" s="262"/>
      <c r="BQ23" s="262"/>
      <c r="BR23" s="262"/>
      <c r="BS23" s="262"/>
      <c r="BT23" s="262"/>
      <c r="BU23" s="262"/>
      <c r="BV23" s="262"/>
      <c r="BW23" s="262"/>
      <c r="BX23" s="262"/>
      <c r="BY23" s="262"/>
      <c r="BZ23" s="262"/>
      <c r="CA23" s="262"/>
      <c r="CB23" s="262"/>
      <c r="CC23" s="262"/>
      <c r="CD23" s="262"/>
      <c r="CE23" s="262"/>
      <c r="CF23" s="262"/>
      <c r="CG23" s="262"/>
      <c r="CH23" s="262"/>
      <c r="CI23" s="262"/>
      <c r="CJ23" s="262"/>
      <c r="CK23" s="262"/>
      <c r="CL23" s="262"/>
      <c r="CM23" s="262"/>
      <c r="CN23" s="262"/>
      <c r="CO23" s="262"/>
      <c r="CP23" s="262"/>
      <c r="CQ23" s="262"/>
      <c r="CR23" s="262"/>
      <c r="CS23" s="262"/>
      <c r="CT23" s="262"/>
      <c r="CU23" s="262"/>
      <c r="CV23" s="262"/>
      <c r="CW23" s="262"/>
      <c r="CX23" s="262"/>
    </row>
    <row r="24" spans="1:102">
      <c r="A24" s="230"/>
      <c r="B24" s="229" t="s">
        <v>89</v>
      </c>
      <c r="C24" s="230"/>
      <c r="D24" s="230"/>
      <c r="E24" s="232"/>
      <c r="F24" s="232" t="s">
        <v>736</v>
      </c>
      <c r="G24" s="232"/>
      <c r="H24" s="232"/>
      <c r="I24" s="232"/>
      <c r="J24" s="232"/>
      <c r="K24" s="230"/>
      <c r="L24" s="230"/>
      <c r="M24" s="230"/>
      <c r="N24" s="230"/>
      <c r="O24" s="230"/>
      <c r="P24" s="230"/>
      <c r="Q24" s="230"/>
      <c r="R24" s="230"/>
      <c r="S24" s="237"/>
      <c r="T24" s="237"/>
      <c r="U24" s="237"/>
      <c r="V24" s="237"/>
      <c r="W24" s="237"/>
      <c r="X24" s="237"/>
      <c r="Y24" s="237"/>
      <c r="Z24" s="237"/>
      <c r="AA24" s="237"/>
      <c r="AB24" s="237"/>
      <c r="AC24" s="237"/>
      <c r="AD24" s="237"/>
      <c r="AE24" s="262"/>
      <c r="AF24" s="262"/>
      <c r="AG24" s="262"/>
      <c r="AH24" s="262"/>
      <c r="AI24" s="594"/>
      <c r="AJ24" s="594"/>
      <c r="AK24" s="594">
        <v>3.0018181820000001</v>
      </c>
      <c r="AL24" s="262"/>
      <c r="AM24" s="262"/>
      <c r="AN24" s="262"/>
      <c r="AO24" s="262"/>
      <c r="AP24" s="262"/>
      <c r="AQ24" s="262"/>
      <c r="AR24" s="262"/>
      <c r="AS24" s="262"/>
      <c r="AT24" s="262"/>
      <c r="AU24" s="262"/>
      <c r="AV24" s="262"/>
      <c r="AW24" s="262"/>
      <c r="AX24" s="262"/>
      <c r="AY24" s="253">
        <f>-SUM(AM21:AX21)</f>
        <v>5.2845607629999982</v>
      </c>
      <c r="AZ24" s="253"/>
      <c r="BA24" s="253"/>
      <c r="BB24" s="253"/>
      <c r="BC24" s="253"/>
      <c r="BD24" s="253"/>
      <c r="BE24" s="253"/>
      <c r="BF24" s="253"/>
      <c r="BG24" s="253"/>
      <c r="BH24" s="253"/>
      <c r="BI24" s="253"/>
      <c r="BJ24" s="253"/>
      <c r="BK24" s="253">
        <f>-75%*SUM(AY21:BJ21)</f>
        <v>2.6999999999999993</v>
      </c>
      <c r="BL24" s="253"/>
      <c r="BM24" s="253"/>
      <c r="BN24" s="253"/>
      <c r="BO24" s="253"/>
      <c r="BP24" s="253"/>
      <c r="BQ24" s="253"/>
      <c r="BR24" s="253"/>
      <c r="BS24" s="253"/>
      <c r="BT24" s="253"/>
      <c r="BU24" s="253"/>
      <c r="BV24" s="253"/>
      <c r="BW24" s="253">
        <f>-50%*SUM(BK21:BV21)</f>
        <v>1.7999999999999996</v>
      </c>
      <c r="BX24" s="253"/>
      <c r="BY24" s="253"/>
      <c r="BZ24" s="253"/>
      <c r="CA24" s="253"/>
      <c r="CB24" s="253"/>
      <c r="CC24" s="253"/>
      <c r="CD24" s="253"/>
      <c r="CE24" s="253"/>
      <c r="CF24" s="253"/>
      <c r="CG24" s="253"/>
      <c r="CH24" s="253"/>
      <c r="CI24" s="253"/>
      <c r="CJ24" s="253"/>
      <c r="CK24" s="253"/>
      <c r="CL24" s="253"/>
      <c r="CM24" s="253"/>
      <c r="CN24" s="253"/>
      <c r="CO24" s="253"/>
      <c r="CP24" s="253"/>
      <c r="CQ24" s="253"/>
      <c r="CR24" s="253"/>
      <c r="CS24" s="253"/>
      <c r="CT24" s="253"/>
      <c r="CU24" s="253"/>
      <c r="CV24" s="253"/>
      <c r="CW24" s="253"/>
      <c r="CX24" s="253"/>
    </row>
    <row r="25" spans="1:102">
      <c r="A25" s="95" t="s">
        <v>701</v>
      </c>
      <c r="B25" s="95"/>
      <c r="C25" s="230"/>
      <c r="D25" s="95"/>
      <c r="E25" s="214"/>
      <c r="F25" s="232" t="s">
        <v>736</v>
      </c>
      <c r="G25" s="275">
        <f t="shared" ref="G25:R25" si="19">SUM(G26:G30)</f>
        <v>0</v>
      </c>
      <c r="H25" s="275">
        <f t="shared" si="19"/>
        <v>0</v>
      </c>
      <c r="I25" s="275">
        <f t="shared" si="19"/>
        <v>0</v>
      </c>
      <c r="J25" s="275">
        <f t="shared" si="19"/>
        <v>0</v>
      </c>
      <c r="K25" s="275">
        <f t="shared" si="19"/>
        <v>0</v>
      </c>
      <c r="L25" s="275">
        <f t="shared" si="19"/>
        <v>0</v>
      </c>
      <c r="M25" s="275">
        <f t="shared" si="19"/>
        <v>0</v>
      </c>
      <c r="N25" s="275">
        <f t="shared" si="19"/>
        <v>0</v>
      </c>
      <c r="O25" s="275">
        <f t="shared" si="19"/>
        <v>0</v>
      </c>
      <c r="P25" s="275">
        <f t="shared" si="19"/>
        <v>0</v>
      </c>
      <c r="Q25" s="275">
        <f t="shared" si="19"/>
        <v>0</v>
      </c>
      <c r="R25" s="275">
        <f t="shared" si="19"/>
        <v>0</v>
      </c>
      <c r="S25" s="275">
        <f>SUM(S26:S30)</f>
        <v>-0.51023634600000001</v>
      </c>
      <c r="T25" s="275">
        <f t="shared" ref="T25:CE25" si="20">SUM(T26:T30)</f>
        <v>-0.474594615</v>
      </c>
      <c r="U25" s="275">
        <f t="shared" si="20"/>
        <v>-0.47076921100000002</v>
      </c>
      <c r="V25" s="275">
        <f t="shared" si="20"/>
        <v>-0.106565811</v>
      </c>
      <c r="W25" s="275">
        <f t="shared" si="20"/>
        <v>-0.106148034</v>
      </c>
      <c r="X25" s="275">
        <f t="shared" si="20"/>
        <v>-0.11571577700000001</v>
      </c>
      <c r="Y25" s="275">
        <f t="shared" si="20"/>
        <v>-0.14870760999999999</v>
      </c>
      <c r="Z25" s="275">
        <f t="shared" si="20"/>
        <v>-0.20989407400000001</v>
      </c>
      <c r="AA25" s="275">
        <f t="shared" si="20"/>
        <v>-0.23850760500000001</v>
      </c>
      <c r="AB25" s="275">
        <f t="shared" si="20"/>
        <v>-0.22585263999999999</v>
      </c>
      <c r="AC25" s="275">
        <f t="shared" si="20"/>
        <v>-0.19154204599999999</v>
      </c>
      <c r="AD25" s="275">
        <f t="shared" si="20"/>
        <v>-0.17527932299999999</v>
      </c>
      <c r="AE25" s="275">
        <f t="shared" si="20"/>
        <v>-0.17736540000000001</v>
      </c>
      <c r="AF25" s="275">
        <f t="shared" si="20"/>
        <v>-0.145266532</v>
      </c>
      <c r="AG25" s="275">
        <f t="shared" si="20"/>
        <v>-0.14970840000000002</v>
      </c>
      <c r="AH25" s="275">
        <f t="shared" si="20"/>
        <v>-0.1216487</v>
      </c>
      <c r="AI25" s="275">
        <f t="shared" si="20"/>
        <v>-0.12755615000000001</v>
      </c>
      <c r="AJ25" s="275">
        <f>SUM(AJ26:AJ30)</f>
        <v>-0.27985981800000004</v>
      </c>
      <c r="AK25" s="275">
        <f t="shared" si="20"/>
        <v>-0.450212055</v>
      </c>
      <c r="AL25" s="275">
        <f t="shared" si="20"/>
        <v>-0.30658886100000005</v>
      </c>
      <c r="AM25" s="275">
        <f t="shared" si="20"/>
        <v>-0.58889292400000004</v>
      </c>
      <c r="AN25" s="275">
        <f t="shared" si="20"/>
        <v>-8.8548500000000002E-2</v>
      </c>
      <c r="AO25" s="275" t="e" vm="2">
        <f t="shared" si="20"/>
        <v>#VALUE!</v>
      </c>
      <c r="AP25" s="275" t="e" vm="2">
        <f t="shared" si="20"/>
        <v>#VALUE!</v>
      </c>
      <c r="AQ25" s="275" t="e" vm="2">
        <f t="shared" si="20"/>
        <v>#VALUE!</v>
      </c>
      <c r="AR25" s="275" t="e" vm="2">
        <f t="shared" si="20"/>
        <v>#VALUE!</v>
      </c>
      <c r="AS25" s="275" t="e" vm="2">
        <f t="shared" si="20"/>
        <v>#VALUE!</v>
      </c>
      <c r="AT25" s="275" t="e" vm="2">
        <f t="shared" si="20"/>
        <v>#VALUE!</v>
      </c>
      <c r="AU25" s="275" t="e" vm="2">
        <f t="shared" si="20"/>
        <v>#VALUE!</v>
      </c>
      <c r="AV25" s="275" t="e" vm="2">
        <f t="shared" si="20"/>
        <v>#VALUE!</v>
      </c>
      <c r="AW25" s="275" t="e" vm="2">
        <f t="shared" si="20"/>
        <v>#VALUE!</v>
      </c>
      <c r="AX25" s="275" t="e" vm="2">
        <f t="shared" si="20"/>
        <v>#VALUE!</v>
      </c>
      <c r="AY25" s="275" t="e" vm="2">
        <f t="shared" si="20"/>
        <v>#VALUE!</v>
      </c>
      <c r="AZ25" s="275" t="e" vm="2">
        <f t="shared" si="20"/>
        <v>#VALUE!</v>
      </c>
      <c r="BA25" s="275" t="e" vm="2">
        <f t="shared" si="20"/>
        <v>#VALUE!</v>
      </c>
      <c r="BB25" s="275" t="e" vm="2">
        <f t="shared" si="20"/>
        <v>#VALUE!</v>
      </c>
      <c r="BC25" s="275" t="e" vm="2">
        <f t="shared" si="20"/>
        <v>#VALUE!</v>
      </c>
      <c r="BD25" s="275" t="e" vm="2">
        <f t="shared" si="20"/>
        <v>#VALUE!</v>
      </c>
      <c r="BE25" s="275" t="e" vm="2">
        <f t="shared" si="20"/>
        <v>#VALUE!</v>
      </c>
      <c r="BF25" s="275" t="e" vm="2">
        <f t="shared" si="20"/>
        <v>#VALUE!</v>
      </c>
      <c r="BG25" s="275" t="e" vm="2">
        <f t="shared" si="20"/>
        <v>#VALUE!</v>
      </c>
      <c r="BH25" s="275" t="e" vm="2">
        <f t="shared" si="20"/>
        <v>#VALUE!</v>
      </c>
      <c r="BI25" s="275" t="e" vm="2">
        <f t="shared" si="20"/>
        <v>#VALUE!</v>
      </c>
      <c r="BJ25" s="275" t="e" vm="2">
        <f t="shared" si="20"/>
        <v>#VALUE!</v>
      </c>
      <c r="BK25" s="275" t="e" vm="2">
        <f t="shared" si="20"/>
        <v>#VALUE!</v>
      </c>
      <c r="BL25" s="275" t="e" vm="2">
        <f t="shared" si="20"/>
        <v>#VALUE!</v>
      </c>
      <c r="BM25" s="275" t="e" vm="2">
        <f t="shared" si="20"/>
        <v>#VALUE!</v>
      </c>
      <c r="BN25" s="275" t="e" vm="2">
        <f t="shared" si="20"/>
        <v>#VALUE!</v>
      </c>
      <c r="BO25" s="275" t="e" vm="2">
        <f t="shared" si="20"/>
        <v>#VALUE!</v>
      </c>
      <c r="BP25" s="275" t="e" vm="2">
        <f t="shared" si="20"/>
        <v>#VALUE!</v>
      </c>
      <c r="BQ25" s="275" t="e" vm="2">
        <f t="shared" si="20"/>
        <v>#VALUE!</v>
      </c>
      <c r="BR25" s="275" t="e" vm="2">
        <f t="shared" si="20"/>
        <v>#VALUE!</v>
      </c>
      <c r="BS25" s="275" t="e" vm="2">
        <f t="shared" si="20"/>
        <v>#VALUE!</v>
      </c>
      <c r="BT25" s="275" t="e" vm="2">
        <f t="shared" si="20"/>
        <v>#VALUE!</v>
      </c>
      <c r="BU25" s="275" t="e" vm="2">
        <f t="shared" si="20"/>
        <v>#VALUE!</v>
      </c>
      <c r="BV25" s="275" t="e" vm="2">
        <f t="shared" si="20"/>
        <v>#VALUE!</v>
      </c>
      <c r="BW25" s="275" t="e" vm="2">
        <f t="shared" si="20"/>
        <v>#VALUE!</v>
      </c>
      <c r="BX25" s="275" t="e" vm="2">
        <f t="shared" si="20"/>
        <v>#VALUE!</v>
      </c>
      <c r="BY25" s="275" t="e" vm="2">
        <f t="shared" si="20"/>
        <v>#VALUE!</v>
      </c>
      <c r="BZ25" s="275" t="e" vm="2">
        <f t="shared" si="20"/>
        <v>#VALUE!</v>
      </c>
      <c r="CA25" s="275" t="e" vm="2">
        <f t="shared" si="20"/>
        <v>#VALUE!</v>
      </c>
      <c r="CB25" s="275" t="e" vm="2">
        <f t="shared" si="20"/>
        <v>#VALUE!</v>
      </c>
      <c r="CC25" s="275" t="e" vm="2">
        <f t="shared" si="20"/>
        <v>#VALUE!</v>
      </c>
      <c r="CD25" s="275" t="e" vm="2">
        <f t="shared" si="20"/>
        <v>#VALUE!</v>
      </c>
      <c r="CE25" s="275" t="e" vm="2">
        <f t="shared" si="20"/>
        <v>#VALUE!</v>
      </c>
      <c r="CF25" s="275" t="e" vm="2">
        <f t="shared" ref="CF25:CX25" si="21">SUM(CF26:CF30)</f>
        <v>#VALUE!</v>
      </c>
      <c r="CG25" s="275" t="e" vm="2">
        <f t="shared" si="21"/>
        <v>#VALUE!</v>
      </c>
      <c r="CH25" s="275" t="e" vm="2">
        <f t="shared" si="21"/>
        <v>#VALUE!</v>
      </c>
      <c r="CI25" s="275" t="e" vm="2">
        <f t="shared" si="21"/>
        <v>#VALUE!</v>
      </c>
      <c r="CJ25" s="275" t="e" vm="2">
        <f t="shared" si="21"/>
        <v>#VALUE!</v>
      </c>
      <c r="CK25" s="275" t="e" vm="2">
        <f t="shared" si="21"/>
        <v>#VALUE!</v>
      </c>
      <c r="CL25" s="275" t="e" vm="2">
        <f t="shared" si="21"/>
        <v>#VALUE!</v>
      </c>
      <c r="CM25" s="275" t="e" vm="2">
        <f t="shared" si="21"/>
        <v>#VALUE!</v>
      </c>
      <c r="CN25" s="275" t="e" vm="2">
        <f t="shared" si="21"/>
        <v>#VALUE!</v>
      </c>
      <c r="CO25" s="275" t="e" vm="2">
        <f t="shared" si="21"/>
        <v>#VALUE!</v>
      </c>
      <c r="CP25" s="275" t="e" vm="2">
        <f t="shared" si="21"/>
        <v>#VALUE!</v>
      </c>
      <c r="CQ25" s="275" t="e" vm="2">
        <f t="shared" si="21"/>
        <v>#VALUE!</v>
      </c>
      <c r="CR25" s="275" t="e" vm="2">
        <f t="shared" si="21"/>
        <v>#VALUE!</v>
      </c>
      <c r="CS25" s="275" t="e" vm="2">
        <f t="shared" si="21"/>
        <v>#VALUE!</v>
      </c>
      <c r="CT25" s="275" t="e" vm="2">
        <f t="shared" si="21"/>
        <v>#VALUE!</v>
      </c>
      <c r="CU25" s="275" t="e" vm="2">
        <f t="shared" si="21"/>
        <v>#VALUE!</v>
      </c>
      <c r="CV25" s="275" t="e" vm="2">
        <f t="shared" si="21"/>
        <v>#VALUE!</v>
      </c>
      <c r="CW25" s="275" t="e" vm="2">
        <f t="shared" si="21"/>
        <v>#VALUE!</v>
      </c>
      <c r="CX25" s="275" t="e" vm="2">
        <f t="shared" si="21"/>
        <v>#VALUE!</v>
      </c>
    </row>
    <row r="26" spans="1:102">
      <c r="A26" s="230"/>
      <c r="B26" s="230" t="s">
        <v>871</v>
      </c>
      <c r="C26" s="230"/>
      <c r="D26" s="232"/>
      <c r="E26" s="230"/>
      <c r="F26" s="232" t="s">
        <v>736</v>
      </c>
      <c r="G26" s="232"/>
      <c r="H26" s="232"/>
      <c r="I26" s="232"/>
      <c r="J26" s="232"/>
      <c r="K26" s="230"/>
      <c r="L26" s="230"/>
      <c r="M26" s="267"/>
      <c r="N26" s="267"/>
      <c r="O26" s="267"/>
      <c r="P26" s="267"/>
      <c r="Q26" s="267"/>
      <c r="R26" s="267"/>
      <c r="S26" s="597">
        <v>-0.51023634600000001</v>
      </c>
      <c r="T26" s="597">
        <v>-0.474594615</v>
      </c>
      <c r="U26" s="597">
        <v>-0.47076921100000002</v>
      </c>
      <c r="V26" s="597">
        <v>-0.106565811</v>
      </c>
      <c r="W26" s="597">
        <v>-0.106148034</v>
      </c>
      <c r="X26" s="597">
        <v>-0.11571577700000001</v>
      </c>
      <c r="Y26" s="597">
        <v>-0.12079861</v>
      </c>
      <c r="Z26" s="597">
        <v>-0.179915874</v>
      </c>
      <c r="AA26" s="597">
        <v>-0.21004210500000001</v>
      </c>
      <c r="AB26" s="597">
        <v>-0.20316074000000001</v>
      </c>
      <c r="AC26" s="597">
        <v>-0.17170474599999999</v>
      </c>
      <c r="AD26" s="597">
        <v>-0.155540023</v>
      </c>
      <c r="AE26" s="597">
        <v>-0.16011250000000002</v>
      </c>
      <c r="AF26" s="597">
        <v>-0.132786932</v>
      </c>
      <c r="AG26" s="597">
        <v>-0.13342500000000002</v>
      </c>
      <c r="AH26" s="597">
        <v>-0.10825700000000001</v>
      </c>
      <c r="AI26" s="597">
        <v>-0.11834750000000001</v>
      </c>
      <c r="AJ26" s="597">
        <f>-266509319/10^9</f>
        <v>-0.26650931900000002</v>
      </c>
      <c r="AK26" s="597">
        <v>-0.437854456</v>
      </c>
      <c r="AL26" s="685">
        <f>-294889500/10^9</f>
        <v>-0.29488950000000003</v>
      </c>
      <c r="AM26" s="597">
        <v>-0.58509</v>
      </c>
      <c r="AN26" s="597">
        <v>-8.8548500000000002E-2</v>
      </c>
      <c r="AO26" s="246" t="e" vm="2">
        <v>#VALUE!</v>
      </c>
      <c r="AP26" s="246" t="e" vm="2">
        <v>#VALUE!</v>
      </c>
      <c r="AQ26" s="246" t="e" vm="2">
        <v>#VALUE!</v>
      </c>
      <c r="AR26" s="246" t="e" vm="2">
        <v>#VALUE!</v>
      </c>
      <c r="AS26" s="246" t="e" vm="2">
        <v>#VALUE!</v>
      </c>
      <c r="AT26" s="246" t="e" vm="2">
        <v>#VALUE!</v>
      </c>
      <c r="AU26" s="246" t="e" vm="2">
        <v>#VALUE!</v>
      </c>
      <c r="AV26" s="246" t="e" vm="2">
        <v>#VALUE!</v>
      </c>
      <c r="AW26" s="246" t="e" vm="2">
        <v>#VALUE!</v>
      </c>
      <c r="AX26" s="246" t="e" vm="2">
        <v>#VALUE!</v>
      </c>
      <c r="AY26" s="246" t="e" vm="2">
        <v>#VALUE!</v>
      </c>
      <c r="AZ26" s="246" t="e" vm="2">
        <v>#VALUE!</v>
      </c>
      <c r="BA26" s="246" t="e" vm="2">
        <v>#VALUE!</v>
      </c>
      <c r="BB26" s="246" t="e" vm="2">
        <v>#VALUE!</v>
      </c>
      <c r="BC26" s="246" t="e" vm="2">
        <v>#VALUE!</v>
      </c>
      <c r="BD26" s="246" t="e" vm="2">
        <v>#VALUE!</v>
      </c>
      <c r="BE26" s="246" t="e" vm="2">
        <v>#VALUE!</v>
      </c>
      <c r="BF26" s="246" t="e" vm="2">
        <v>#VALUE!</v>
      </c>
      <c r="BG26" s="246" t="e" vm="2">
        <v>#VALUE!</v>
      </c>
      <c r="BH26" s="246" t="e" vm="2">
        <v>#VALUE!</v>
      </c>
      <c r="BI26" s="246" t="e" vm="2">
        <v>#VALUE!</v>
      </c>
      <c r="BJ26" s="246" t="e" vm="2">
        <v>#VALUE!</v>
      </c>
      <c r="BK26" s="246" t="e" vm="2">
        <v>#VALUE!</v>
      </c>
      <c r="BL26" s="246" t="e" vm="2">
        <v>#VALUE!</v>
      </c>
      <c r="BM26" s="246" t="e" vm="2">
        <v>#VALUE!</v>
      </c>
      <c r="BN26" s="246" t="e" vm="2">
        <v>#VALUE!</v>
      </c>
      <c r="BO26" s="246" t="e" vm="2">
        <v>#VALUE!</v>
      </c>
      <c r="BP26" s="246" t="e" vm="2">
        <v>#VALUE!</v>
      </c>
      <c r="BQ26" s="246" t="e" vm="2">
        <v>#VALUE!</v>
      </c>
      <c r="BR26" s="246" t="e" vm="2">
        <v>#VALUE!</v>
      </c>
      <c r="BS26" s="246" t="e" vm="2">
        <v>#VALUE!</v>
      </c>
      <c r="BT26" s="246" t="e" vm="2">
        <v>#VALUE!</v>
      </c>
      <c r="BU26" s="246" t="e" vm="2">
        <v>#VALUE!</v>
      </c>
      <c r="BV26" s="246" t="e" vm="2">
        <v>#VALUE!</v>
      </c>
      <c r="BW26" s="246" t="e" vm="2">
        <v>#VALUE!</v>
      </c>
      <c r="BX26" s="246" t="e" vm="2">
        <v>#VALUE!</v>
      </c>
      <c r="BY26" s="246" t="e" vm="2">
        <v>#VALUE!</v>
      </c>
      <c r="BZ26" s="246" t="e" vm="2">
        <v>#VALUE!</v>
      </c>
      <c r="CA26" s="246" t="e" vm="2">
        <v>#VALUE!</v>
      </c>
      <c r="CB26" s="246" t="e" vm="2">
        <v>#VALUE!</v>
      </c>
      <c r="CC26" s="246" t="e" vm="2">
        <v>#VALUE!</v>
      </c>
      <c r="CD26" s="246" t="e" vm="2">
        <v>#VALUE!</v>
      </c>
      <c r="CE26" s="246" t="e" vm="2">
        <v>#VALUE!</v>
      </c>
      <c r="CF26" s="246" t="e" vm="2">
        <v>#VALUE!</v>
      </c>
      <c r="CG26" s="246" t="e" vm="2">
        <v>#VALUE!</v>
      </c>
      <c r="CH26" s="246" t="e" vm="2">
        <v>#VALUE!</v>
      </c>
      <c r="CI26" s="246" t="e" vm="2">
        <v>#VALUE!</v>
      </c>
      <c r="CJ26" s="246" t="e" vm="2">
        <v>#VALUE!</v>
      </c>
      <c r="CK26" s="246" t="e" vm="2">
        <v>#VALUE!</v>
      </c>
      <c r="CL26" s="246" t="e" vm="2">
        <v>#VALUE!</v>
      </c>
      <c r="CM26" s="246" t="e" vm="2">
        <v>#VALUE!</v>
      </c>
      <c r="CN26" s="246" t="e" vm="2">
        <v>#VALUE!</v>
      </c>
      <c r="CO26" s="246" t="e" vm="2">
        <v>#VALUE!</v>
      </c>
      <c r="CP26" s="246" t="e" vm="2">
        <v>#VALUE!</v>
      </c>
      <c r="CQ26" s="246" t="e" vm="2">
        <v>#VALUE!</v>
      </c>
      <c r="CR26" s="246" t="e" vm="2">
        <v>#VALUE!</v>
      </c>
      <c r="CS26" s="246" t="e" vm="2">
        <v>#VALUE!</v>
      </c>
      <c r="CT26" s="246" t="e" vm="2">
        <v>#VALUE!</v>
      </c>
      <c r="CU26" s="246" t="e" vm="2">
        <v>#VALUE!</v>
      </c>
      <c r="CV26" s="246" t="e" vm="2">
        <v>#VALUE!</v>
      </c>
      <c r="CW26" s="246" t="e" vm="2">
        <v>#VALUE!</v>
      </c>
      <c r="CX26" s="246" t="e" vm="2">
        <v>#VALUE!</v>
      </c>
    </row>
    <row r="27" spans="1:102">
      <c r="A27" s="230"/>
      <c r="B27" s="230" t="s">
        <v>594</v>
      </c>
      <c r="C27" s="230"/>
      <c r="D27" s="232"/>
      <c r="E27" s="230"/>
      <c r="F27" s="232" t="s">
        <v>736</v>
      </c>
      <c r="G27" s="232"/>
      <c r="H27" s="232"/>
      <c r="I27" s="232"/>
      <c r="J27" s="232"/>
      <c r="K27" s="230"/>
      <c r="L27" s="230"/>
      <c r="M27" s="267"/>
      <c r="N27" s="267"/>
      <c r="O27" s="267"/>
      <c r="P27" s="267"/>
      <c r="Q27" s="267"/>
      <c r="R27" s="267"/>
      <c r="S27" s="597"/>
      <c r="T27" s="597"/>
      <c r="U27" s="597"/>
      <c r="V27" s="597"/>
      <c r="W27" s="597"/>
      <c r="X27" s="597"/>
      <c r="Y27" s="597"/>
      <c r="Z27" s="597"/>
      <c r="AA27" s="597"/>
      <c r="AB27" s="597"/>
      <c r="AC27" s="597"/>
      <c r="AD27" s="597"/>
      <c r="AE27" s="246"/>
      <c r="AF27" s="246"/>
      <c r="AG27" s="246"/>
      <c r="AH27" s="246"/>
      <c r="AI27" s="246"/>
      <c r="AJ27" s="597"/>
      <c r="AK27" s="597"/>
      <c r="AL27" s="246"/>
      <c r="AM27" s="597"/>
      <c r="AN27" s="246"/>
      <c r="AO27" s="246"/>
      <c r="AP27" s="246"/>
      <c r="AQ27" s="246"/>
      <c r="AR27" s="246"/>
      <c r="AS27" s="246"/>
      <c r="AT27" s="246"/>
      <c r="AU27" s="246"/>
      <c r="AV27" s="246"/>
      <c r="AW27" s="246"/>
      <c r="AX27" s="246"/>
      <c r="AY27" s="246"/>
      <c r="AZ27" s="246"/>
      <c r="BA27" s="246"/>
      <c r="BB27" s="246"/>
      <c r="BC27" s="246"/>
      <c r="BD27" s="246"/>
      <c r="BE27" s="246"/>
      <c r="BF27" s="246"/>
      <c r="BG27" s="246"/>
      <c r="BH27" s="246"/>
      <c r="BI27" s="246"/>
      <c r="BJ27" s="246"/>
      <c r="BK27" s="246"/>
      <c r="BL27" s="246"/>
      <c r="BM27" s="246"/>
      <c r="BN27" s="246"/>
      <c r="BO27" s="246"/>
      <c r="BP27" s="246"/>
      <c r="BQ27" s="246"/>
      <c r="BR27" s="246"/>
      <c r="BS27" s="246"/>
      <c r="BT27" s="246"/>
      <c r="BU27" s="246"/>
      <c r="BV27" s="246"/>
      <c r="BW27" s="246"/>
      <c r="BX27" s="246"/>
      <c r="BY27" s="246"/>
      <c r="BZ27" s="246"/>
      <c r="CA27" s="246"/>
      <c r="CB27" s="246"/>
      <c r="CC27" s="246"/>
      <c r="CD27" s="246"/>
      <c r="CE27" s="246"/>
      <c r="CF27" s="246"/>
      <c r="CG27" s="246"/>
      <c r="CH27" s="246"/>
      <c r="CI27" s="246"/>
      <c r="CJ27" s="246"/>
      <c r="CK27" s="246"/>
      <c r="CL27" s="246"/>
      <c r="CM27" s="246"/>
      <c r="CN27" s="246"/>
      <c r="CO27" s="246"/>
      <c r="CP27" s="246"/>
      <c r="CQ27" s="246"/>
      <c r="CR27" s="246"/>
      <c r="CS27" s="246"/>
      <c r="CT27" s="246"/>
      <c r="CU27" s="246"/>
      <c r="CV27" s="246"/>
      <c r="CW27" s="246"/>
      <c r="CX27" s="246"/>
    </row>
    <row r="28" spans="1:102">
      <c r="A28" s="230"/>
      <c r="B28" s="230" t="s">
        <v>319</v>
      </c>
      <c r="C28" s="230"/>
      <c r="D28" s="232"/>
      <c r="E28" s="230"/>
      <c r="F28" s="232" t="s">
        <v>736</v>
      </c>
      <c r="G28" s="232"/>
      <c r="H28" s="232"/>
      <c r="I28" s="232"/>
      <c r="J28" s="232"/>
      <c r="K28" s="230"/>
      <c r="L28" s="230"/>
      <c r="M28" s="267"/>
      <c r="N28" s="267"/>
      <c r="O28" s="267"/>
      <c r="P28" s="267"/>
      <c r="Q28" s="267"/>
      <c r="R28" s="267"/>
      <c r="S28" s="597"/>
      <c r="T28" s="597"/>
      <c r="U28" s="597"/>
      <c r="V28" s="597"/>
      <c r="W28" s="597"/>
      <c r="X28" s="597"/>
      <c r="Y28" s="597"/>
      <c r="Z28" s="597"/>
      <c r="AA28" s="597"/>
      <c r="AB28" s="597"/>
      <c r="AC28" s="597"/>
      <c r="AD28" s="597"/>
      <c r="AE28" s="246"/>
      <c r="AF28" s="246"/>
      <c r="AG28" s="246"/>
      <c r="AH28" s="246"/>
      <c r="AI28" s="246"/>
      <c r="AJ28" s="597"/>
      <c r="AK28" s="597"/>
      <c r="AL28" s="246"/>
      <c r="AM28" s="597"/>
      <c r="AN28" s="246"/>
      <c r="AO28" s="246"/>
      <c r="AP28" s="246"/>
      <c r="AQ28" s="246"/>
      <c r="AR28" s="246"/>
      <c r="AS28" s="246"/>
      <c r="AT28" s="246"/>
      <c r="AU28" s="246"/>
      <c r="AV28" s="246"/>
      <c r="AW28" s="246"/>
      <c r="AX28" s="246"/>
      <c r="AY28" s="246"/>
      <c r="AZ28" s="246"/>
      <c r="BA28" s="246"/>
      <c r="BB28" s="246"/>
      <c r="BC28" s="246"/>
      <c r="BD28" s="246"/>
      <c r="BE28" s="246"/>
      <c r="BF28" s="246"/>
      <c r="BG28" s="246"/>
      <c r="BH28" s="246"/>
      <c r="BI28" s="246"/>
      <c r="BJ28" s="246"/>
      <c r="BK28" s="246"/>
      <c r="BL28" s="246"/>
      <c r="BM28" s="246"/>
      <c r="BN28" s="246"/>
      <c r="BO28" s="246"/>
      <c r="BP28" s="246"/>
      <c r="BQ28" s="246"/>
      <c r="BR28" s="246"/>
      <c r="BS28" s="246"/>
      <c r="BT28" s="246"/>
      <c r="BU28" s="246"/>
      <c r="BV28" s="246"/>
      <c r="BW28" s="246"/>
      <c r="BX28" s="246"/>
      <c r="BY28" s="246"/>
      <c r="BZ28" s="246"/>
      <c r="CA28" s="246"/>
      <c r="CB28" s="246"/>
      <c r="CC28" s="246"/>
      <c r="CD28" s="246"/>
      <c r="CE28" s="246"/>
      <c r="CF28" s="246"/>
      <c r="CG28" s="246"/>
      <c r="CH28" s="246"/>
      <c r="CI28" s="246"/>
      <c r="CJ28" s="246"/>
      <c r="CK28" s="246"/>
      <c r="CL28" s="246"/>
      <c r="CM28" s="246"/>
      <c r="CN28" s="246"/>
      <c r="CO28" s="246"/>
      <c r="CP28" s="246"/>
      <c r="CQ28" s="246"/>
      <c r="CR28" s="246"/>
      <c r="CS28" s="246"/>
      <c r="CT28" s="246"/>
      <c r="CU28" s="246"/>
      <c r="CV28" s="246"/>
      <c r="CW28" s="246"/>
      <c r="CX28" s="246"/>
    </row>
    <row r="29" spans="1:102">
      <c r="A29" s="230"/>
      <c r="B29" s="230" t="s">
        <v>152</v>
      </c>
      <c r="C29" s="230"/>
      <c r="D29" s="232"/>
      <c r="E29" s="230"/>
      <c r="F29" s="232" t="s">
        <v>736</v>
      </c>
      <c r="G29" s="232"/>
      <c r="H29" s="232"/>
      <c r="I29" s="232"/>
      <c r="J29" s="232"/>
      <c r="K29" s="230"/>
      <c r="L29" s="230"/>
      <c r="M29" s="267"/>
      <c r="N29" s="267"/>
      <c r="O29" s="267"/>
      <c r="P29" s="267"/>
      <c r="Q29" s="267"/>
      <c r="R29" s="267"/>
      <c r="S29" s="597"/>
      <c r="T29" s="597"/>
      <c r="U29" s="597"/>
      <c r="V29" s="597"/>
      <c r="W29" s="597"/>
      <c r="X29" s="597"/>
      <c r="Y29" s="597"/>
      <c r="Z29" s="597"/>
      <c r="AA29" s="597"/>
      <c r="AB29" s="597"/>
      <c r="AC29" s="597"/>
      <c r="AD29" s="597"/>
      <c r="AE29" s="246"/>
      <c r="AF29" s="246"/>
      <c r="AG29" s="246"/>
      <c r="AH29" s="246"/>
      <c r="AI29" s="246"/>
      <c r="AJ29" s="597"/>
      <c r="AK29" s="597"/>
      <c r="AL29" s="246"/>
      <c r="AM29" s="597"/>
      <c r="AN29" s="246"/>
      <c r="AO29" s="246"/>
      <c r="AP29" s="246"/>
      <c r="AQ29" s="641">
        <v>-3.3188750061097284E-3</v>
      </c>
      <c r="AR29" s="641">
        <v>-3.4408000000000008E-2</v>
      </c>
      <c r="AS29" s="641">
        <v>-4.001942083333334E-2</v>
      </c>
      <c r="AT29" s="641">
        <v>-4.2304420833333328E-2</v>
      </c>
      <c r="AU29" s="641">
        <v>-1.4233167708333336E-2</v>
      </c>
      <c r="AV29" s="641">
        <v>-1.4923167708333336E-2</v>
      </c>
      <c r="AW29" s="641">
        <v>-1.5640667708333333E-2</v>
      </c>
      <c r="AX29" s="641">
        <v>-1.6385667708333336E-2</v>
      </c>
      <c r="AY29" s="641">
        <v>-1.7158167708333335E-2</v>
      </c>
      <c r="AZ29" s="641">
        <v>-1.7958167708333334E-2</v>
      </c>
      <c r="BA29" s="641">
        <v>-1.8785667708333335E-2</v>
      </c>
      <c r="BB29" s="641">
        <v>-1.9640667708333337E-2</v>
      </c>
      <c r="BC29" s="641">
        <v>-2.0523167708333331E-2</v>
      </c>
      <c r="BD29" s="641">
        <v>-2.1433167708333336E-2</v>
      </c>
      <c r="BE29" s="641">
        <v>-2.2370667708333333E-2</v>
      </c>
      <c r="BF29" s="641">
        <v>-2.333566770833333E-2</v>
      </c>
      <c r="BG29" s="641">
        <v>-2.1557271875000006E-2</v>
      </c>
      <c r="BH29" s="641">
        <v>-2.2436855208333339E-2</v>
      </c>
      <c r="BI29" s="641">
        <v>-2.3359980208333339E-2</v>
      </c>
      <c r="BJ29" s="641">
        <v>-2.4326646875000003E-2</v>
      </c>
      <c r="BK29" s="641">
        <v>-2.5336855208333332E-2</v>
      </c>
      <c r="BL29" s="641">
        <v>-2.6390605208333334E-2</v>
      </c>
      <c r="BM29" s="641">
        <v>-2.7487896875000001E-2</v>
      </c>
      <c r="BN29" s="641">
        <v>-2.8628730208333338E-2</v>
      </c>
      <c r="BO29" s="641">
        <v>-2.9813105208333336E-2</v>
      </c>
      <c r="BP29" s="641">
        <v>-3.1041021875000005E-2</v>
      </c>
      <c r="BQ29" s="641">
        <v>-3.2312480208333334E-2</v>
      </c>
      <c r="BR29" s="641">
        <v>-3.3627480208333331E-2</v>
      </c>
      <c r="BS29" s="641">
        <v>-3.4965969791666669E-2</v>
      </c>
      <c r="BT29" s="641">
        <v>-3.6327948958333335E-2</v>
      </c>
      <c r="BU29" s="641">
        <v>-3.7713417708333336E-2</v>
      </c>
      <c r="BV29" s="641">
        <v>-3.912237604166667E-2</v>
      </c>
      <c r="BW29" s="641">
        <v>-4.0554823958333333E-2</v>
      </c>
      <c r="BX29" s="641">
        <v>-4.201076145833333E-2</v>
      </c>
      <c r="BY29" s="641">
        <v>-4.3490188541666662E-2</v>
      </c>
      <c r="BZ29" s="641">
        <v>-4.4993105208333328E-2</v>
      </c>
      <c r="CA29" s="641">
        <v>-4.6519511458333329E-2</v>
      </c>
      <c r="CB29" s="641">
        <v>-4.8069407291666671E-2</v>
      </c>
      <c r="CC29" s="641">
        <v>-4.9642792708333328E-2</v>
      </c>
      <c r="CD29" s="641">
        <v>-5.1239667708333325E-2</v>
      </c>
      <c r="CE29" s="641">
        <v>-5.2860032291666664E-2</v>
      </c>
      <c r="CF29" s="641">
        <v>-5.4503886458333345E-2</v>
      </c>
      <c r="CG29" s="641">
        <v>-5.6171230208333339E-2</v>
      </c>
      <c r="CH29" s="641">
        <v>-5.7862063541666668E-2</v>
      </c>
      <c r="CI29" s="641">
        <v>-5.9576386458333346E-2</v>
      </c>
      <c r="CJ29" s="641">
        <v>-6.1314198958333337E-2</v>
      </c>
      <c r="CK29" s="641">
        <v>-6.3075501041666662E-2</v>
      </c>
      <c r="CL29" s="641">
        <v>-6.4860292708333322E-2</v>
      </c>
      <c r="CM29" s="641">
        <v>-6.6668573958333324E-2</v>
      </c>
      <c r="CN29" s="641">
        <v>-6.8500344791666654E-2</v>
      </c>
      <c r="CO29" s="641">
        <v>-7.0355605208333338E-2</v>
      </c>
      <c r="CP29" s="641">
        <v>-7.2234355208333337E-2</v>
      </c>
      <c r="CQ29" s="641">
        <v>-7.4132844791666666E-2</v>
      </c>
      <c r="CR29" s="641">
        <v>-7.605107395833334E-2</v>
      </c>
      <c r="CS29" s="641">
        <v>-7.7989042708333331E-2</v>
      </c>
      <c r="CT29" s="641">
        <v>-7.994675104166668E-2</v>
      </c>
      <c r="CU29" s="641">
        <v>-8.1924198958333347E-2</v>
      </c>
      <c r="CV29" s="641">
        <v>-8.392138645833333E-2</v>
      </c>
      <c r="CW29" s="641">
        <v>-8.5938313541666672E-2</v>
      </c>
      <c r="CX29" s="641">
        <v>-8.7974980208333331E-2</v>
      </c>
    </row>
    <row r="30" spans="1:102">
      <c r="A30" s="230"/>
      <c r="B30" s="230" t="s">
        <v>163</v>
      </c>
      <c r="C30" s="230"/>
      <c r="D30" s="232"/>
      <c r="E30" s="232"/>
      <c r="F30" s="232" t="s">
        <v>736</v>
      </c>
      <c r="G30" s="232"/>
      <c r="H30" s="232"/>
      <c r="I30" s="232"/>
      <c r="J30" s="232"/>
      <c r="K30" s="686"/>
      <c r="L30" s="686"/>
      <c r="M30" s="686"/>
      <c r="N30" s="686"/>
      <c r="O30" s="686"/>
      <c r="P30" s="686"/>
      <c r="Q30" s="686"/>
      <c r="R30" s="686"/>
      <c r="S30" s="687"/>
      <c r="T30" s="687"/>
      <c r="U30" s="687"/>
      <c r="V30" s="687"/>
      <c r="W30" s="687"/>
      <c r="X30" s="687"/>
      <c r="Y30" s="688">
        <v>-2.7909E-2</v>
      </c>
      <c r="Z30" s="688">
        <v>-2.99782E-2</v>
      </c>
      <c r="AA30" s="688">
        <v>-2.8465500000000001E-2</v>
      </c>
      <c r="AB30" s="688">
        <v>-2.2691900000000001E-2</v>
      </c>
      <c r="AC30" s="688">
        <v>-1.9837299999999999E-2</v>
      </c>
      <c r="AD30" s="688">
        <v>-1.9739300000000001E-2</v>
      </c>
      <c r="AE30" s="688">
        <v>-1.7252900000000002E-2</v>
      </c>
      <c r="AF30" s="688">
        <v>-1.24796E-2</v>
      </c>
      <c r="AG30" s="688">
        <v>-1.62834E-2</v>
      </c>
      <c r="AH30" s="688">
        <v>-1.3391699999999999E-2</v>
      </c>
      <c r="AI30" s="688">
        <v>-9.2086500000000005E-3</v>
      </c>
      <c r="AJ30" s="688">
        <v>-1.3350499E-2</v>
      </c>
      <c r="AK30" s="688">
        <v>-1.2357599E-2</v>
      </c>
      <c r="AL30" s="689">
        <f>-11699361/10^9</f>
        <v>-1.1699361E-2</v>
      </c>
      <c r="AM30" s="690">
        <v>-3.8029240000000001E-3</v>
      </c>
      <c r="AN30" s="632">
        <v>0</v>
      </c>
      <c r="AO30" s="632" t="e" vm="2">
        <v>#VALUE!</v>
      </c>
      <c r="AP30" s="632" t="e" vm="2">
        <v>#VALUE!</v>
      </c>
      <c r="AQ30" s="632" t="e" vm="2">
        <v>#VALUE!</v>
      </c>
      <c r="AR30" s="632" t="e" vm="2">
        <v>#VALUE!</v>
      </c>
      <c r="AS30" s="632" t="e" vm="2">
        <v>#VALUE!</v>
      </c>
      <c r="AT30" s="632" t="e" vm="2">
        <v>#VALUE!</v>
      </c>
      <c r="AU30" s="632" t="e" vm="2">
        <v>#VALUE!</v>
      </c>
      <c r="AV30" s="632" t="e" vm="2">
        <v>#VALUE!</v>
      </c>
      <c r="AW30" s="632" t="e" vm="2">
        <v>#VALUE!</v>
      </c>
      <c r="AX30" s="632" t="e" vm="2">
        <v>#VALUE!</v>
      </c>
      <c r="AY30" s="632" t="e" vm="2">
        <v>#VALUE!</v>
      </c>
      <c r="AZ30" s="632" t="e" vm="2">
        <v>#VALUE!</v>
      </c>
      <c r="BA30" s="632" t="e" vm="2">
        <v>#VALUE!</v>
      </c>
      <c r="BB30" s="632" t="e" vm="2">
        <v>#VALUE!</v>
      </c>
      <c r="BC30" s="632" t="e" vm="2">
        <v>#VALUE!</v>
      </c>
      <c r="BD30" s="632" t="e" vm="2">
        <v>#VALUE!</v>
      </c>
      <c r="BE30" s="632" t="e" vm="2">
        <v>#VALUE!</v>
      </c>
      <c r="BF30" s="632" t="e" vm="2">
        <v>#VALUE!</v>
      </c>
      <c r="BG30" s="632" t="e" vm="2">
        <v>#VALUE!</v>
      </c>
      <c r="BH30" s="632" t="e" vm="2">
        <v>#VALUE!</v>
      </c>
      <c r="BI30" s="632" t="e" vm="2">
        <v>#VALUE!</v>
      </c>
      <c r="BJ30" s="632" t="e" vm="2">
        <v>#VALUE!</v>
      </c>
      <c r="BK30" s="632" t="e" vm="2">
        <v>#VALUE!</v>
      </c>
      <c r="BL30" s="632" t="e" vm="2">
        <v>#VALUE!</v>
      </c>
      <c r="BM30" s="632" t="e" vm="2">
        <v>#VALUE!</v>
      </c>
      <c r="BN30" s="632" t="e" vm="2">
        <v>#VALUE!</v>
      </c>
      <c r="BO30" s="632" t="e" vm="2">
        <v>#VALUE!</v>
      </c>
      <c r="BP30" s="632" t="e" vm="2">
        <v>#VALUE!</v>
      </c>
      <c r="BQ30" s="632" t="e" vm="2">
        <v>#VALUE!</v>
      </c>
      <c r="BR30" s="632" t="e" vm="2">
        <v>#VALUE!</v>
      </c>
      <c r="BS30" s="632" t="e" vm="2">
        <v>#VALUE!</v>
      </c>
      <c r="BT30" s="632" t="e" vm="2">
        <v>#VALUE!</v>
      </c>
      <c r="BU30" s="632" t="e" vm="2">
        <v>#VALUE!</v>
      </c>
      <c r="BV30" s="632" t="e" vm="2">
        <v>#VALUE!</v>
      </c>
      <c r="BW30" s="632" t="e" vm="2">
        <v>#VALUE!</v>
      </c>
      <c r="BX30" s="632" t="e" vm="2">
        <v>#VALUE!</v>
      </c>
      <c r="BY30" s="632" t="e" vm="2">
        <v>#VALUE!</v>
      </c>
      <c r="BZ30" s="632" t="e" vm="2">
        <v>#VALUE!</v>
      </c>
      <c r="CA30" s="632" t="e" vm="2">
        <v>#VALUE!</v>
      </c>
      <c r="CB30" s="632" t="e" vm="2">
        <v>#VALUE!</v>
      </c>
      <c r="CC30" s="632" t="e" vm="2">
        <v>#VALUE!</v>
      </c>
      <c r="CD30" s="632" t="e" vm="2">
        <v>#VALUE!</v>
      </c>
      <c r="CE30" s="632" t="e" vm="2">
        <v>#VALUE!</v>
      </c>
      <c r="CF30" s="632" t="e" vm="2">
        <v>#VALUE!</v>
      </c>
      <c r="CG30" s="632" t="e" vm="2">
        <v>#VALUE!</v>
      </c>
      <c r="CH30" s="632" t="e" vm="2">
        <v>#VALUE!</v>
      </c>
      <c r="CI30" s="632" t="e" vm="2">
        <v>#VALUE!</v>
      </c>
      <c r="CJ30" s="632" t="e" vm="2">
        <v>#VALUE!</v>
      </c>
      <c r="CK30" s="632" t="e" vm="2">
        <v>#VALUE!</v>
      </c>
      <c r="CL30" s="632" t="e" vm="2">
        <v>#VALUE!</v>
      </c>
      <c r="CM30" s="632" t="e" vm="2">
        <v>#VALUE!</v>
      </c>
      <c r="CN30" s="632" t="e" vm="2">
        <v>#VALUE!</v>
      </c>
      <c r="CO30" s="632" t="e" vm="2">
        <v>#VALUE!</v>
      </c>
      <c r="CP30" s="632" t="e" vm="2">
        <v>#VALUE!</v>
      </c>
      <c r="CQ30" s="632" t="e" vm="2">
        <v>#VALUE!</v>
      </c>
      <c r="CR30" s="632" t="e" vm="2">
        <v>#VALUE!</v>
      </c>
      <c r="CS30" s="632" t="e" vm="2">
        <v>#VALUE!</v>
      </c>
      <c r="CT30" s="632" t="e" vm="2">
        <v>#VALUE!</v>
      </c>
      <c r="CU30" s="632" t="e" vm="2">
        <v>#VALUE!</v>
      </c>
      <c r="CV30" s="632" t="e" vm="2">
        <v>#VALUE!</v>
      </c>
      <c r="CW30" s="632" t="e" vm="2">
        <v>#VALUE!</v>
      </c>
      <c r="CX30" s="632" t="e" vm="2">
        <v>#VALUE!</v>
      </c>
    </row>
    <row r="31" spans="1:102">
      <c r="A31" s="229" t="s">
        <v>739</v>
      </c>
      <c r="B31" s="230"/>
      <c r="C31" s="230"/>
      <c r="D31" s="232"/>
      <c r="E31" s="232"/>
      <c r="F31" s="232" t="s">
        <v>736</v>
      </c>
      <c r="G31" s="232"/>
      <c r="H31" s="232"/>
      <c r="I31" s="232"/>
      <c r="J31" s="232"/>
      <c r="K31" s="267"/>
      <c r="L31" s="267"/>
      <c r="M31" s="267"/>
      <c r="N31" s="267"/>
      <c r="O31" s="267"/>
      <c r="P31" s="267"/>
      <c r="Q31" s="267"/>
      <c r="R31" s="267"/>
      <c r="S31" s="656">
        <f t="shared" ref="S31:CD31" si="22">SUM(S32:S35)</f>
        <v>0</v>
      </c>
      <c r="T31" s="656">
        <f t="shared" si="22"/>
        <v>0</v>
      </c>
      <c r="U31" s="656">
        <f t="shared" si="22"/>
        <v>0</v>
      </c>
      <c r="V31" s="656">
        <f t="shared" si="22"/>
        <v>0</v>
      </c>
      <c r="W31" s="656">
        <f t="shared" si="22"/>
        <v>0</v>
      </c>
      <c r="X31" s="656">
        <f t="shared" si="22"/>
        <v>0</v>
      </c>
      <c r="Y31" s="656">
        <f t="shared" si="22"/>
        <v>0</v>
      </c>
      <c r="Z31" s="656">
        <f t="shared" si="22"/>
        <v>0</v>
      </c>
      <c r="AA31" s="656">
        <f t="shared" si="22"/>
        <v>0</v>
      </c>
      <c r="AB31" s="656">
        <f t="shared" si="22"/>
        <v>0</v>
      </c>
      <c r="AC31" s="656">
        <f t="shared" si="22"/>
        <v>-0.87579789410403464</v>
      </c>
      <c r="AD31" s="656">
        <f t="shared" si="22"/>
        <v>-1.8146069825052464</v>
      </c>
      <c r="AE31" s="656">
        <f t="shared" si="22"/>
        <v>-0.78004224567185321</v>
      </c>
      <c r="AF31" s="656">
        <f t="shared" si="22"/>
        <v>-0.75031331079330932</v>
      </c>
      <c r="AG31" s="656">
        <f t="shared" si="22"/>
        <v>-0.83337641666106754</v>
      </c>
      <c r="AH31" s="656">
        <f t="shared" si="22"/>
        <v>-0.85024838107865652</v>
      </c>
      <c r="AI31" s="656">
        <f t="shared" si="22"/>
        <v>-0.73972533141707186</v>
      </c>
      <c r="AJ31" s="656">
        <f t="shared" si="22"/>
        <v>-0.75486098229777787</v>
      </c>
      <c r="AK31" s="656">
        <f t="shared" si="22"/>
        <v>-0.77531784783777791</v>
      </c>
      <c r="AL31" s="656">
        <f t="shared" si="22"/>
        <v>-0.84698462272666686</v>
      </c>
      <c r="AM31" s="656">
        <f t="shared" si="22"/>
        <v>-0.80157390119999994</v>
      </c>
      <c r="AN31" s="656">
        <f t="shared" si="22"/>
        <v>-1.58213237837369</v>
      </c>
      <c r="AO31" s="656">
        <f t="shared" si="22"/>
        <v>-1.58213237837369</v>
      </c>
      <c r="AP31" s="656">
        <f t="shared" si="22"/>
        <v>-1.58213237837369</v>
      </c>
      <c r="AQ31" s="656">
        <f t="shared" si="22"/>
        <v>-2.3469823055656165</v>
      </c>
      <c r="AR31" s="656">
        <f t="shared" si="22"/>
        <v>-2.3469823055656165</v>
      </c>
      <c r="AS31" s="656">
        <f t="shared" si="22"/>
        <v>-2.3469823055656165</v>
      </c>
      <c r="AT31" s="656">
        <f t="shared" si="22"/>
        <v>-2.3469823055656165</v>
      </c>
      <c r="AU31" s="656">
        <f t="shared" si="22"/>
        <v>-2.3469823055656165</v>
      </c>
      <c r="AV31" s="656">
        <f t="shared" si="22"/>
        <v>-2.3469823055656165</v>
      </c>
      <c r="AW31" s="656">
        <f t="shared" si="22"/>
        <v>-2.3469823055656165</v>
      </c>
      <c r="AX31" s="656">
        <f t="shared" si="22"/>
        <v>-2.3469823055656165</v>
      </c>
      <c r="AY31" s="656">
        <f t="shared" si="22"/>
        <v>-2.3469823055656165</v>
      </c>
      <c r="AZ31" s="656">
        <f t="shared" si="22"/>
        <v>-2.3469823055656165</v>
      </c>
      <c r="BA31" s="656">
        <f t="shared" si="22"/>
        <v>-2.3469823055656165</v>
      </c>
      <c r="BB31" s="656">
        <f t="shared" si="22"/>
        <v>-2.3469823055656165</v>
      </c>
      <c r="BC31" s="656">
        <f t="shared" si="22"/>
        <v>-2.7771060704367834</v>
      </c>
      <c r="BD31" s="656">
        <f t="shared" si="22"/>
        <v>-2.7771060704367834</v>
      </c>
      <c r="BE31" s="656">
        <f t="shared" si="22"/>
        <v>-2.7771060704367834</v>
      </c>
      <c r="BF31" s="656">
        <f t="shared" si="22"/>
        <v>-2.7771060704367834</v>
      </c>
      <c r="BG31" s="656">
        <f t="shared" si="22"/>
        <v>-2.7771060704367834</v>
      </c>
      <c r="BH31" s="656">
        <f t="shared" si="22"/>
        <v>-2.7771060704367834</v>
      </c>
      <c r="BI31" s="656">
        <f t="shared" si="22"/>
        <v>-2.7771060704367834</v>
      </c>
      <c r="BJ31" s="656">
        <f t="shared" si="22"/>
        <v>-2.7771060704367834</v>
      </c>
      <c r="BK31" s="656">
        <f t="shared" si="22"/>
        <v>-2.7771060704367834</v>
      </c>
      <c r="BL31" s="656">
        <f t="shared" si="22"/>
        <v>-2.7771060704367834</v>
      </c>
      <c r="BM31" s="656">
        <f t="shared" si="22"/>
        <v>-2.7771060704367834</v>
      </c>
      <c r="BN31" s="656">
        <f t="shared" si="22"/>
        <v>-2.7771060704367834</v>
      </c>
      <c r="BO31" s="656">
        <f t="shared" si="22"/>
        <v>-3.2979168290512137</v>
      </c>
      <c r="BP31" s="656">
        <f t="shared" si="22"/>
        <v>-3.2979168290512137</v>
      </c>
      <c r="BQ31" s="656">
        <f t="shared" si="22"/>
        <v>-3.2979168290512137</v>
      </c>
      <c r="BR31" s="656">
        <f t="shared" si="22"/>
        <v>-3.2979168290512137</v>
      </c>
      <c r="BS31" s="656">
        <f t="shared" si="22"/>
        <v>-3.2979168290512137</v>
      </c>
      <c r="BT31" s="656">
        <f t="shared" si="22"/>
        <v>-3.2979168290512137</v>
      </c>
      <c r="BU31" s="656">
        <f t="shared" si="22"/>
        <v>-3.2979168290512137</v>
      </c>
      <c r="BV31" s="656">
        <f t="shared" si="22"/>
        <v>-3.2979168290512137</v>
      </c>
      <c r="BW31" s="656">
        <f t="shared" si="22"/>
        <v>-3.2979168290512137</v>
      </c>
      <c r="BX31" s="656">
        <f t="shared" si="22"/>
        <v>-3.2979168290512137</v>
      </c>
      <c r="BY31" s="656">
        <f t="shared" si="22"/>
        <v>-3.2979168290512137</v>
      </c>
      <c r="BZ31" s="656">
        <f t="shared" si="22"/>
        <v>-3.2979168290512137</v>
      </c>
      <c r="CA31" s="656">
        <f t="shared" si="22"/>
        <v>-3.9458197476831232</v>
      </c>
      <c r="CB31" s="656">
        <f t="shared" si="22"/>
        <v>-3.9458197476831232</v>
      </c>
      <c r="CC31" s="656">
        <f t="shared" si="22"/>
        <v>-3.9458197476831232</v>
      </c>
      <c r="CD31" s="656">
        <f t="shared" si="22"/>
        <v>-3.9458197476831232</v>
      </c>
      <c r="CE31" s="656">
        <f t="shared" ref="CE31:CX31" si="23">SUM(CE32:CE35)</f>
        <v>-3.9458197476831232</v>
      </c>
      <c r="CF31" s="656">
        <f t="shared" si="23"/>
        <v>-3.9458197476831232</v>
      </c>
      <c r="CG31" s="656">
        <f t="shared" si="23"/>
        <v>-3.9458197476831232</v>
      </c>
      <c r="CH31" s="656">
        <f t="shared" si="23"/>
        <v>-3.9458197476831232</v>
      </c>
      <c r="CI31" s="656">
        <f t="shared" si="23"/>
        <v>-3.9458197476831232</v>
      </c>
      <c r="CJ31" s="656">
        <f t="shared" si="23"/>
        <v>-3.9458197476831232</v>
      </c>
      <c r="CK31" s="656">
        <f t="shared" si="23"/>
        <v>-3.9458197476831232</v>
      </c>
      <c r="CL31" s="656">
        <f t="shared" si="23"/>
        <v>-4.6914375067620648</v>
      </c>
      <c r="CM31" s="656">
        <f t="shared" si="23"/>
        <v>-4.6914375067620648</v>
      </c>
      <c r="CN31" s="656">
        <f t="shared" si="23"/>
        <v>-4.6914375067620648</v>
      </c>
      <c r="CO31" s="656">
        <f t="shared" si="23"/>
        <v>-4.6914375067620648</v>
      </c>
      <c r="CP31" s="656">
        <f t="shared" si="23"/>
        <v>-4.6914375067620648</v>
      </c>
      <c r="CQ31" s="656">
        <f t="shared" si="23"/>
        <v>-4.6914375067620648</v>
      </c>
      <c r="CR31" s="656">
        <f t="shared" si="23"/>
        <v>-4.6914375067620648</v>
      </c>
      <c r="CS31" s="656">
        <f t="shared" si="23"/>
        <v>-4.6914375067620648</v>
      </c>
      <c r="CT31" s="656">
        <f t="shared" si="23"/>
        <v>-4.6914375067620648</v>
      </c>
      <c r="CU31" s="656">
        <f t="shared" si="23"/>
        <v>-4.6914375067620648</v>
      </c>
      <c r="CV31" s="656">
        <f t="shared" si="23"/>
        <v>-4.6914375067620648</v>
      </c>
      <c r="CW31" s="656">
        <f t="shared" si="23"/>
        <v>-4.6914375067620648</v>
      </c>
      <c r="CX31" s="656">
        <f t="shared" si="23"/>
        <v>-4.6914375067620648</v>
      </c>
    </row>
    <row r="32" spans="1:102">
      <c r="A32" s="230"/>
      <c r="B32" s="498" t="s">
        <v>301</v>
      </c>
      <c r="C32" s="230"/>
      <c r="D32" s="203"/>
      <c r="E32" s="229"/>
      <c r="F32" s="232" t="s">
        <v>736</v>
      </c>
      <c r="G32" s="232"/>
      <c r="H32" s="203"/>
      <c r="I32" s="203"/>
      <c r="J32" s="203"/>
      <c r="K32" s="229"/>
      <c r="L32" s="229"/>
      <c r="M32" s="229"/>
      <c r="N32" s="229"/>
      <c r="O32" s="229"/>
      <c r="P32" s="229"/>
      <c r="Q32" s="229"/>
      <c r="R32" s="229"/>
      <c r="S32" s="234"/>
      <c r="T32" s="234"/>
      <c r="U32" s="234"/>
      <c r="V32" s="234"/>
      <c r="W32" s="234"/>
      <c r="X32" s="234"/>
      <c r="Y32" s="234"/>
      <c r="Z32" s="234"/>
      <c r="AA32" s="234"/>
      <c r="AB32" s="234"/>
      <c r="AC32" s="604">
        <v>-0.49139348404540539</v>
      </c>
      <c r="AD32" s="604">
        <v>-1.3448502936508546</v>
      </c>
      <c r="AE32" s="604">
        <v>-0.50004107620000005</v>
      </c>
      <c r="AF32" s="604">
        <v>-0.52101756799999999</v>
      </c>
      <c r="AG32" s="604">
        <v>-0.51339022320000005</v>
      </c>
      <c r="AH32" s="604">
        <v>-0.53825519120000009</v>
      </c>
      <c r="AI32" s="604">
        <v>-0.45113773200000001</v>
      </c>
      <c r="AJ32" s="604">
        <v>-0.43682720740000003</v>
      </c>
      <c r="AK32" s="604">
        <v>-0.44686055620000004</v>
      </c>
      <c r="AL32" s="601">
        <f>-526588767.6/10^9</f>
        <v>-0.52658876760000006</v>
      </c>
      <c r="AM32" s="601">
        <v>-0.47680968800000001</v>
      </c>
      <c r="AN32" s="253">
        <v>-1.0575465250000001E-2</v>
      </c>
      <c r="AO32" s="253">
        <v>-1.0575465250000001E-2</v>
      </c>
      <c r="AP32" s="253">
        <v>-1.0575465250000001E-2</v>
      </c>
      <c r="AQ32" s="253">
        <v>-9.6972749999999965E-3</v>
      </c>
      <c r="AR32" s="253">
        <v>-9.6972749999999965E-3</v>
      </c>
      <c r="AS32" s="253">
        <v>-9.6972749999999965E-3</v>
      </c>
      <c r="AT32" s="253">
        <v>-9.6972749999999965E-3</v>
      </c>
      <c r="AU32" s="253">
        <v>-9.6972749999999965E-3</v>
      </c>
      <c r="AV32" s="253">
        <v>-9.6972749999999965E-3</v>
      </c>
      <c r="AW32" s="253">
        <v>-9.6972749999999965E-3</v>
      </c>
      <c r="AX32" s="253">
        <v>-9.6972749999999965E-3</v>
      </c>
      <c r="AY32" s="253">
        <v>-9.6972749999999965E-3</v>
      </c>
      <c r="AZ32" s="253">
        <v>-9.6972749999999965E-3</v>
      </c>
      <c r="BA32" s="253">
        <v>-9.6972749999999965E-3</v>
      </c>
      <c r="BB32" s="253">
        <v>-9.6972749999999965E-3</v>
      </c>
      <c r="BC32" s="253">
        <v>-1.5052274999999999E-2</v>
      </c>
      <c r="BD32" s="253">
        <v>-1.5052274999999999E-2</v>
      </c>
      <c r="BE32" s="253">
        <v>-1.5052274999999999E-2</v>
      </c>
      <c r="BF32" s="253">
        <v>-1.5052274999999999E-2</v>
      </c>
      <c r="BG32" s="253">
        <v>-1.5052274999999999E-2</v>
      </c>
      <c r="BH32" s="253">
        <v>-1.5052274999999999E-2</v>
      </c>
      <c r="BI32" s="253">
        <v>-1.5052274999999999E-2</v>
      </c>
      <c r="BJ32" s="253">
        <v>-1.5052274999999999E-2</v>
      </c>
      <c r="BK32" s="253">
        <v>-1.5052274999999999E-2</v>
      </c>
      <c r="BL32" s="253">
        <v>-1.5052274999999999E-2</v>
      </c>
      <c r="BM32" s="253">
        <v>-1.5052274999999999E-2</v>
      </c>
      <c r="BN32" s="253">
        <v>-1.5052274999999999E-2</v>
      </c>
      <c r="BO32" s="253">
        <v>-2.0407274999999999E-2</v>
      </c>
      <c r="BP32" s="253">
        <v>-2.0407274999999999E-2</v>
      </c>
      <c r="BQ32" s="253">
        <v>-2.0407274999999999E-2</v>
      </c>
      <c r="BR32" s="253">
        <v>-2.0407274999999999E-2</v>
      </c>
      <c r="BS32" s="253">
        <v>-2.0407274999999999E-2</v>
      </c>
      <c r="BT32" s="253">
        <v>-2.0407274999999999E-2</v>
      </c>
      <c r="BU32" s="253">
        <v>-2.0407274999999999E-2</v>
      </c>
      <c r="BV32" s="253">
        <v>-2.0407274999999999E-2</v>
      </c>
      <c r="BW32" s="253">
        <v>-2.0407274999999999E-2</v>
      </c>
      <c r="BX32" s="253">
        <v>-2.0407274999999999E-2</v>
      </c>
      <c r="BY32" s="253">
        <v>-2.0407274999999999E-2</v>
      </c>
      <c r="BZ32" s="253">
        <v>-2.0407274999999999E-2</v>
      </c>
      <c r="CA32" s="253">
        <v>-2.5762274999999998E-2</v>
      </c>
      <c r="CB32" s="253">
        <v>-2.5762274999999998E-2</v>
      </c>
      <c r="CC32" s="253">
        <v>-2.5762274999999998E-2</v>
      </c>
      <c r="CD32" s="253">
        <v>-2.5762274999999998E-2</v>
      </c>
      <c r="CE32" s="253">
        <v>-2.5762274999999998E-2</v>
      </c>
      <c r="CF32" s="253">
        <v>-2.5762274999999998E-2</v>
      </c>
      <c r="CG32" s="253">
        <v>-2.5762274999999998E-2</v>
      </c>
      <c r="CH32" s="253">
        <v>-2.5762274999999998E-2</v>
      </c>
      <c r="CI32" s="253">
        <v>-2.5762274999999998E-2</v>
      </c>
      <c r="CJ32" s="253">
        <v>-2.5762274999999998E-2</v>
      </c>
      <c r="CK32" s="253">
        <v>-2.5762274999999998E-2</v>
      </c>
      <c r="CL32" s="253">
        <v>-3.1117274999999996E-2</v>
      </c>
      <c r="CM32" s="253">
        <v>-3.1117274999999996E-2</v>
      </c>
      <c r="CN32" s="253">
        <v>-3.1117274999999996E-2</v>
      </c>
      <c r="CO32" s="253">
        <v>-3.1117274999999996E-2</v>
      </c>
      <c r="CP32" s="253">
        <v>-3.1117274999999996E-2</v>
      </c>
      <c r="CQ32" s="253">
        <v>-3.1117274999999996E-2</v>
      </c>
      <c r="CR32" s="253">
        <v>-3.1117274999999996E-2</v>
      </c>
      <c r="CS32" s="253">
        <v>-3.1117274999999996E-2</v>
      </c>
      <c r="CT32" s="253">
        <v>-3.1117274999999996E-2</v>
      </c>
      <c r="CU32" s="253">
        <v>-3.1117274999999996E-2</v>
      </c>
      <c r="CV32" s="253">
        <v>-3.1117274999999996E-2</v>
      </c>
      <c r="CW32" s="253">
        <v>-3.1117274999999996E-2</v>
      </c>
      <c r="CX32" s="253">
        <v>-3.1117274999999996E-2</v>
      </c>
    </row>
    <row r="33" spans="1:102">
      <c r="A33" s="230"/>
      <c r="B33" s="230" t="s">
        <v>303</v>
      </c>
      <c r="C33" s="230"/>
      <c r="D33" s="203"/>
      <c r="E33" s="229"/>
      <c r="F33" s="232" t="s">
        <v>736</v>
      </c>
      <c r="G33" s="232"/>
      <c r="H33" s="203"/>
      <c r="I33" s="203"/>
      <c r="J33" s="203"/>
      <c r="K33" s="229"/>
      <c r="L33" s="229"/>
      <c r="M33" s="229"/>
      <c r="N33" s="229"/>
      <c r="O33" s="229"/>
      <c r="P33" s="229"/>
      <c r="Q33" s="229"/>
      <c r="R33" s="229"/>
      <c r="S33" s="234"/>
      <c r="T33" s="234"/>
      <c r="U33" s="234"/>
      <c r="V33" s="234"/>
      <c r="W33" s="234"/>
      <c r="X33" s="234"/>
      <c r="Y33" s="234"/>
      <c r="Z33" s="234"/>
      <c r="AA33" s="234"/>
      <c r="AB33" s="234"/>
      <c r="AC33" s="604">
        <v>-0.12952674384196253</v>
      </c>
      <c r="AD33" s="604">
        <v>-0.19931056428772534</v>
      </c>
      <c r="AE33" s="604">
        <v>-8.7249511000000002E-2</v>
      </c>
      <c r="AF33" s="604">
        <v>-9.0483790199999997E-2</v>
      </c>
      <c r="AG33" s="604">
        <v>-9.4619491200000003E-2</v>
      </c>
      <c r="AH33" s="604">
        <v>-9.3602475200000007E-2</v>
      </c>
      <c r="AI33" s="604">
        <v>-8.0326382200000004E-2</v>
      </c>
      <c r="AJ33" s="604">
        <v>-8.0370229000000001E-2</v>
      </c>
      <c r="AK33" s="604">
        <v>-8.0513916800000015E-2</v>
      </c>
      <c r="AL33" s="601">
        <f>-85912049.6/10^9</f>
        <v>-8.5912049599999998E-2</v>
      </c>
      <c r="AM33" s="601">
        <v>-8.4504213199999997E-2</v>
      </c>
      <c r="AN33" s="253">
        <v>-0.91019177054553635</v>
      </c>
      <c r="AO33" s="253">
        <v>-0.91019177054553635</v>
      </c>
      <c r="AP33" s="253">
        <v>-0.91019177054553635</v>
      </c>
      <c r="AQ33" s="253">
        <v>-1.3518509681241673</v>
      </c>
      <c r="AR33" s="253">
        <v>-1.3518509681241673</v>
      </c>
      <c r="AS33" s="253">
        <v>-1.3518509681241673</v>
      </c>
      <c r="AT33" s="253">
        <v>-1.3518509681241673</v>
      </c>
      <c r="AU33" s="253">
        <v>-1.3518509681241673</v>
      </c>
      <c r="AV33" s="253">
        <v>-1.3518509681241673</v>
      </c>
      <c r="AW33" s="253">
        <v>-1.3518509681241673</v>
      </c>
      <c r="AX33" s="253">
        <v>-1.3518509681241673</v>
      </c>
      <c r="AY33" s="253">
        <v>-1.3518509681241673</v>
      </c>
      <c r="AZ33" s="253">
        <v>-1.3518509681241673</v>
      </c>
      <c r="BA33" s="253">
        <v>-1.3518509681241673</v>
      </c>
      <c r="BB33" s="253">
        <v>-1.3518509681241673</v>
      </c>
      <c r="BC33" s="253">
        <v>-1.5795329205070445</v>
      </c>
      <c r="BD33" s="253">
        <v>-1.5795329205070445</v>
      </c>
      <c r="BE33" s="253">
        <v>-1.5795329205070445</v>
      </c>
      <c r="BF33" s="253">
        <v>-1.5795329205070445</v>
      </c>
      <c r="BG33" s="253">
        <v>-1.5795329205070445</v>
      </c>
      <c r="BH33" s="253">
        <v>-1.5795329205070445</v>
      </c>
      <c r="BI33" s="253">
        <v>-1.5795329205070445</v>
      </c>
      <c r="BJ33" s="253">
        <v>-1.5795329205070445</v>
      </c>
      <c r="BK33" s="253">
        <v>-1.5795329205070445</v>
      </c>
      <c r="BL33" s="253">
        <v>-1.5795329205070445</v>
      </c>
      <c r="BM33" s="253">
        <v>-1.5795329205070445</v>
      </c>
      <c r="BN33" s="253">
        <v>-1.5795329205070445</v>
      </c>
      <c r="BO33" s="253">
        <v>-1.8584845041355271</v>
      </c>
      <c r="BP33" s="253">
        <v>-1.8584845041355271</v>
      </c>
      <c r="BQ33" s="253">
        <v>-1.8584845041355271</v>
      </c>
      <c r="BR33" s="253">
        <v>-1.8584845041355271</v>
      </c>
      <c r="BS33" s="253">
        <v>-1.8584845041355271</v>
      </c>
      <c r="BT33" s="253">
        <v>-1.8584845041355271</v>
      </c>
      <c r="BU33" s="253">
        <v>-1.8584845041355271</v>
      </c>
      <c r="BV33" s="253">
        <v>-1.8584845041355271</v>
      </c>
      <c r="BW33" s="253">
        <v>-1.8584845041355271</v>
      </c>
      <c r="BX33" s="253">
        <v>-1.8584845041355271</v>
      </c>
      <c r="BY33" s="253">
        <v>-1.8584845041355271</v>
      </c>
      <c r="BZ33" s="253">
        <v>-1.8584845041355271</v>
      </c>
      <c r="CA33" s="253">
        <v>-2.217227412784299</v>
      </c>
      <c r="CB33" s="253">
        <v>-2.217227412784299</v>
      </c>
      <c r="CC33" s="253">
        <v>-2.217227412784299</v>
      </c>
      <c r="CD33" s="253">
        <v>-2.217227412784299</v>
      </c>
      <c r="CE33" s="253">
        <v>-2.217227412784299</v>
      </c>
      <c r="CF33" s="253">
        <v>-2.217227412784299</v>
      </c>
      <c r="CG33" s="253">
        <v>-2.217227412784299</v>
      </c>
      <c r="CH33" s="253">
        <v>-2.217227412784299</v>
      </c>
      <c r="CI33" s="253">
        <v>-2.217227412784299</v>
      </c>
      <c r="CJ33" s="253">
        <v>-2.217227412784299</v>
      </c>
      <c r="CK33" s="253">
        <v>-2.217227412784299</v>
      </c>
      <c r="CL33" s="253">
        <v>-2.6169241598834758</v>
      </c>
      <c r="CM33" s="253">
        <v>-2.6169241598834758</v>
      </c>
      <c r="CN33" s="253">
        <v>-2.6169241598834758</v>
      </c>
      <c r="CO33" s="253">
        <v>-2.6169241598834758</v>
      </c>
      <c r="CP33" s="253">
        <v>-2.6169241598834758</v>
      </c>
      <c r="CQ33" s="253">
        <v>-2.6169241598834758</v>
      </c>
      <c r="CR33" s="253">
        <v>-2.6169241598834758</v>
      </c>
      <c r="CS33" s="253">
        <v>-2.6169241598834758</v>
      </c>
      <c r="CT33" s="253">
        <v>-2.6169241598834758</v>
      </c>
      <c r="CU33" s="253">
        <v>-2.6169241598834758</v>
      </c>
      <c r="CV33" s="253">
        <v>-2.6169241598834758</v>
      </c>
      <c r="CW33" s="253">
        <v>-2.6169241598834758</v>
      </c>
      <c r="CX33" s="253">
        <v>-2.6169241598834758</v>
      </c>
    </row>
    <row r="34" spans="1:102">
      <c r="A34" s="230"/>
      <c r="B34" s="230" t="s">
        <v>305</v>
      </c>
      <c r="C34" s="230"/>
      <c r="D34" s="203"/>
      <c r="E34" s="229"/>
      <c r="F34" s="232" t="s">
        <v>736</v>
      </c>
      <c r="G34" s="232"/>
      <c r="H34" s="203"/>
      <c r="I34" s="203"/>
      <c r="J34" s="203"/>
      <c r="K34" s="229"/>
      <c r="L34" s="229"/>
      <c r="M34" s="229"/>
      <c r="N34" s="229"/>
      <c r="O34" s="229"/>
      <c r="P34" s="229"/>
      <c r="Q34" s="229"/>
      <c r="R34" s="229"/>
      <c r="S34" s="234"/>
      <c r="T34" s="234"/>
      <c r="U34" s="234"/>
      <c r="V34" s="234"/>
      <c r="W34" s="234"/>
      <c r="X34" s="234"/>
      <c r="Y34" s="234"/>
      <c r="Z34" s="234"/>
      <c r="AA34" s="234"/>
      <c r="AB34" s="234"/>
      <c r="AC34" s="604">
        <v>-0.12543657077888898</v>
      </c>
      <c r="AD34" s="604">
        <v>-0.14006234551555555</v>
      </c>
      <c r="AE34" s="604">
        <v>-0.1082127884009184</v>
      </c>
      <c r="AF34" s="604">
        <v>-5.9967515154127599E-2</v>
      </c>
      <c r="AG34" s="604">
        <v>-0.1114467389295388</v>
      </c>
      <c r="AH34" s="604">
        <v>-0.12110347463032502</v>
      </c>
      <c r="AI34" s="604">
        <v>-0.11136</v>
      </c>
      <c r="AJ34" s="604">
        <v>-0.12252206864666661</v>
      </c>
      <c r="AK34" s="604">
        <v>-0.12336</v>
      </c>
      <c r="AL34" s="601">
        <f>-134887686.148889/10^9</f>
        <v>-0.13488768614888902</v>
      </c>
      <c r="AM34" s="601">
        <v>-0.12894</v>
      </c>
      <c r="AN34" s="253">
        <v>-0.57156679305810909</v>
      </c>
      <c r="AO34" s="253">
        <v>-0.57156679305810909</v>
      </c>
      <c r="AP34" s="253">
        <v>-0.57156679305810909</v>
      </c>
      <c r="AQ34" s="253">
        <v>-0.85163452165658271</v>
      </c>
      <c r="AR34" s="253">
        <v>-0.85163452165658271</v>
      </c>
      <c r="AS34" s="253">
        <v>-0.85163452165658271</v>
      </c>
      <c r="AT34" s="253">
        <v>-0.85163452165658271</v>
      </c>
      <c r="AU34" s="253">
        <v>-0.85163452165658271</v>
      </c>
      <c r="AV34" s="253">
        <v>-0.85163452165658271</v>
      </c>
      <c r="AW34" s="253">
        <v>-0.85163452165658271</v>
      </c>
      <c r="AX34" s="253">
        <v>-0.85163452165658271</v>
      </c>
      <c r="AY34" s="253">
        <v>-0.85163452165658271</v>
      </c>
      <c r="AZ34" s="253">
        <v>-0.85163452165658271</v>
      </c>
      <c r="BA34" s="253">
        <v>-0.85163452165658271</v>
      </c>
      <c r="BB34" s="253">
        <v>-0.85163452165658271</v>
      </c>
      <c r="BC34" s="253">
        <v>-1.0219614259878991</v>
      </c>
      <c r="BD34" s="253">
        <v>-1.0219614259878991</v>
      </c>
      <c r="BE34" s="253">
        <v>-1.0219614259878991</v>
      </c>
      <c r="BF34" s="253">
        <v>-1.0219614259878991</v>
      </c>
      <c r="BG34" s="253">
        <v>-1.0219614259878991</v>
      </c>
      <c r="BH34" s="253">
        <v>-1.0219614259878991</v>
      </c>
      <c r="BI34" s="253">
        <v>-1.0219614259878991</v>
      </c>
      <c r="BJ34" s="253">
        <v>-1.0219614259878991</v>
      </c>
      <c r="BK34" s="253">
        <v>-1.0219614259878991</v>
      </c>
      <c r="BL34" s="253">
        <v>-1.0219614259878991</v>
      </c>
      <c r="BM34" s="253">
        <v>-1.0219614259878991</v>
      </c>
      <c r="BN34" s="253">
        <v>-1.0219614259878991</v>
      </c>
      <c r="BO34" s="253">
        <v>-1.2263537111854788</v>
      </c>
      <c r="BP34" s="253">
        <v>-1.2263537111854788</v>
      </c>
      <c r="BQ34" s="253">
        <v>-1.2263537111854788</v>
      </c>
      <c r="BR34" s="253">
        <v>-1.2263537111854788</v>
      </c>
      <c r="BS34" s="253">
        <v>-1.2263537111854788</v>
      </c>
      <c r="BT34" s="253">
        <v>-1.2263537111854788</v>
      </c>
      <c r="BU34" s="253">
        <v>-1.2263537111854788</v>
      </c>
      <c r="BV34" s="253">
        <v>-1.2263537111854788</v>
      </c>
      <c r="BW34" s="253">
        <v>-1.2263537111854788</v>
      </c>
      <c r="BX34" s="253">
        <v>-1.2263537111854788</v>
      </c>
      <c r="BY34" s="253">
        <v>-1.2263537111854788</v>
      </c>
      <c r="BZ34" s="253">
        <v>-1.2263537111854788</v>
      </c>
      <c r="CA34" s="253">
        <v>-1.4716244534225746</v>
      </c>
      <c r="CB34" s="253">
        <v>-1.4716244534225746</v>
      </c>
      <c r="CC34" s="253">
        <v>-1.4716244534225746</v>
      </c>
      <c r="CD34" s="253">
        <v>-1.4716244534225746</v>
      </c>
      <c r="CE34" s="253">
        <v>-1.4716244534225746</v>
      </c>
      <c r="CF34" s="253">
        <v>-1.4716244534225746</v>
      </c>
      <c r="CG34" s="253">
        <v>-1.4716244534225746</v>
      </c>
      <c r="CH34" s="253">
        <v>-1.4716244534225746</v>
      </c>
      <c r="CI34" s="253">
        <v>-1.4716244534225746</v>
      </c>
      <c r="CJ34" s="253">
        <v>-1.4716244534225746</v>
      </c>
      <c r="CK34" s="253">
        <v>-1.4716244534225746</v>
      </c>
      <c r="CL34" s="253">
        <v>-1.7659493441070897</v>
      </c>
      <c r="CM34" s="253">
        <v>-1.7659493441070897</v>
      </c>
      <c r="CN34" s="253">
        <v>-1.7659493441070897</v>
      </c>
      <c r="CO34" s="253">
        <v>-1.7659493441070897</v>
      </c>
      <c r="CP34" s="253">
        <v>-1.7659493441070897</v>
      </c>
      <c r="CQ34" s="253">
        <v>-1.7659493441070897</v>
      </c>
      <c r="CR34" s="253">
        <v>-1.7659493441070897</v>
      </c>
      <c r="CS34" s="253">
        <v>-1.7659493441070897</v>
      </c>
      <c r="CT34" s="253">
        <v>-1.7659493441070897</v>
      </c>
      <c r="CU34" s="253">
        <v>-1.7659493441070897</v>
      </c>
      <c r="CV34" s="253">
        <v>-1.7659493441070897</v>
      </c>
      <c r="CW34" s="253">
        <v>-1.7659493441070897</v>
      </c>
      <c r="CX34" s="253">
        <v>-1.7659493441070897</v>
      </c>
    </row>
    <row r="35" spans="1:102">
      <c r="A35" s="230"/>
      <c r="B35" s="230" t="s">
        <v>307</v>
      </c>
      <c r="C35" s="230"/>
      <c r="D35" s="203"/>
      <c r="E35" s="230"/>
      <c r="F35" s="232" t="s">
        <v>736</v>
      </c>
      <c r="G35" s="232"/>
      <c r="H35" s="232"/>
      <c r="I35" s="232"/>
      <c r="J35" s="232"/>
      <c r="K35" s="230"/>
      <c r="L35" s="247"/>
      <c r="M35" s="247"/>
      <c r="N35" s="247"/>
      <c r="O35" s="247"/>
      <c r="P35" s="247"/>
      <c r="Q35" s="247"/>
      <c r="R35" s="247"/>
      <c r="S35" s="247"/>
      <c r="T35" s="247"/>
      <c r="U35" s="247"/>
      <c r="V35" s="247"/>
      <c r="W35" s="254"/>
      <c r="X35" s="254"/>
      <c r="Y35" s="254"/>
      <c r="Z35" s="254"/>
      <c r="AA35" s="254"/>
      <c r="AB35" s="254"/>
      <c r="AC35" s="604">
        <v>-0.12944109543777774</v>
      </c>
      <c r="AD35" s="604">
        <v>-0.13038377905111084</v>
      </c>
      <c r="AE35" s="604">
        <v>-8.4538870070934802E-2</v>
      </c>
      <c r="AF35" s="604">
        <v>-7.8844437439181805E-2</v>
      </c>
      <c r="AG35" s="604">
        <v>-0.11391996333152862</v>
      </c>
      <c r="AH35" s="604">
        <v>-9.7287240048331405E-2</v>
      </c>
      <c r="AI35" s="604">
        <v>-9.6901217217071817E-2</v>
      </c>
      <c r="AJ35" s="604">
        <v>-0.11514147725111121</v>
      </c>
      <c r="AK35" s="604">
        <v>-0.1245833748377778</v>
      </c>
      <c r="AL35" s="601">
        <f>-99596119.3777778/10^9</f>
        <v>-9.9596119377777806E-2</v>
      </c>
      <c r="AM35" s="601">
        <v>-0.11132</v>
      </c>
      <c r="AN35" s="253">
        <v>-8.9798349520044632E-2</v>
      </c>
      <c r="AO35" s="253">
        <v>-8.9798349520044632E-2</v>
      </c>
      <c r="AP35" s="253">
        <v>-8.9798349520044632E-2</v>
      </c>
      <c r="AQ35" s="253">
        <v>-0.13379954078486653</v>
      </c>
      <c r="AR35" s="253">
        <v>-0.13379954078486653</v>
      </c>
      <c r="AS35" s="253">
        <v>-0.13379954078486653</v>
      </c>
      <c r="AT35" s="253">
        <v>-0.13379954078486653</v>
      </c>
      <c r="AU35" s="253">
        <v>-0.13379954078486653</v>
      </c>
      <c r="AV35" s="253">
        <v>-0.13379954078486653</v>
      </c>
      <c r="AW35" s="253">
        <v>-0.13379954078486653</v>
      </c>
      <c r="AX35" s="253">
        <v>-0.13379954078486653</v>
      </c>
      <c r="AY35" s="253">
        <v>-0.13379954078486653</v>
      </c>
      <c r="AZ35" s="253">
        <v>-0.13379954078486653</v>
      </c>
      <c r="BA35" s="253">
        <v>-0.13379954078486653</v>
      </c>
      <c r="BB35" s="253">
        <v>-0.13379954078486653</v>
      </c>
      <c r="BC35" s="253">
        <v>-0.16055944894183982</v>
      </c>
      <c r="BD35" s="253">
        <v>-0.16055944894183982</v>
      </c>
      <c r="BE35" s="253">
        <v>-0.16055944894183982</v>
      </c>
      <c r="BF35" s="253">
        <v>-0.16055944894183982</v>
      </c>
      <c r="BG35" s="253">
        <v>-0.16055944894183982</v>
      </c>
      <c r="BH35" s="253">
        <v>-0.16055944894183982</v>
      </c>
      <c r="BI35" s="253">
        <v>-0.16055944894183982</v>
      </c>
      <c r="BJ35" s="253">
        <v>-0.16055944894183982</v>
      </c>
      <c r="BK35" s="253">
        <v>-0.16055944894183982</v>
      </c>
      <c r="BL35" s="253">
        <v>-0.16055944894183982</v>
      </c>
      <c r="BM35" s="253">
        <v>-0.16055944894183982</v>
      </c>
      <c r="BN35" s="253">
        <v>-0.16055944894183982</v>
      </c>
      <c r="BO35" s="253">
        <v>-0.19267133873020778</v>
      </c>
      <c r="BP35" s="253">
        <v>-0.19267133873020778</v>
      </c>
      <c r="BQ35" s="253">
        <v>-0.19267133873020778</v>
      </c>
      <c r="BR35" s="253">
        <v>-0.19267133873020778</v>
      </c>
      <c r="BS35" s="253">
        <v>-0.19267133873020778</v>
      </c>
      <c r="BT35" s="253">
        <v>-0.19267133873020778</v>
      </c>
      <c r="BU35" s="253">
        <v>-0.19267133873020778</v>
      </c>
      <c r="BV35" s="253">
        <v>-0.19267133873020778</v>
      </c>
      <c r="BW35" s="253">
        <v>-0.19267133873020778</v>
      </c>
      <c r="BX35" s="253">
        <v>-0.19267133873020778</v>
      </c>
      <c r="BY35" s="253">
        <v>-0.19267133873020778</v>
      </c>
      <c r="BZ35" s="253">
        <v>-0.19267133873020778</v>
      </c>
      <c r="CA35" s="253">
        <v>-0.23120560647624933</v>
      </c>
      <c r="CB35" s="253">
        <v>-0.23120560647624933</v>
      </c>
      <c r="CC35" s="253">
        <v>-0.23120560647624933</v>
      </c>
      <c r="CD35" s="253">
        <v>-0.23120560647624933</v>
      </c>
      <c r="CE35" s="253">
        <v>-0.23120560647624933</v>
      </c>
      <c r="CF35" s="253">
        <v>-0.23120560647624933</v>
      </c>
      <c r="CG35" s="253">
        <v>-0.23120560647624933</v>
      </c>
      <c r="CH35" s="253">
        <v>-0.23120560647624933</v>
      </c>
      <c r="CI35" s="253">
        <v>-0.23120560647624933</v>
      </c>
      <c r="CJ35" s="253">
        <v>-0.23120560647624933</v>
      </c>
      <c r="CK35" s="253">
        <v>-0.23120560647624933</v>
      </c>
      <c r="CL35" s="253">
        <v>-0.2774467277714992</v>
      </c>
      <c r="CM35" s="253">
        <v>-0.2774467277714992</v>
      </c>
      <c r="CN35" s="253">
        <v>-0.2774467277714992</v>
      </c>
      <c r="CO35" s="253">
        <v>-0.2774467277714992</v>
      </c>
      <c r="CP35" s="253">
        <v>-0.2774467277714992</v>
      </c>
      <c r="CQ35" s="253">
        <v>-0.2774467277714992</v>
      </c>
      <c r="CR35" s="253">
        <v>-0.2774467277714992</v>
      </c>
      <c r="CS35" s="253">
        <v>-0.2774467277714992</v>
      </c>
      <c r="CT35" s="253">
        <v>-0.2774467277714992</v>
      </c>
      <c r="CU35" s="253">
        <v>-0.2774467277714992</v>
      </c>
      <c r="CV35" s="253">
        <v>-0.2774467277714992</v>
      </c>
      <c r="CW35" s="253">
        <v>-0.2774467277714992</v>
      </c>
      <c r="CX35" s="253">
        <v>-0.2774467277714992</v>
      </c>
    </row>
    <row r="36" spans="1:102">
      <c r="A36" s="229" t="s">
        <v>809</v>
      </c>
      <c r="B36" s="229"/>
      <c r="C36" s="229"/>
      <c r="D36" s="203"/>
      <c r="E36" s="203"/>
      <c r="F36" s="232" t="s">
        <v>736</v>
      </c>
      <c r="G36" s="234">
        <f t="shared" ref="G36:BR36" si="24">G10+G25</f>
        <v>-1.1483862989999998</v>
      </c>
      <c r="H36" s="234">
        <f t="shared" si="24"/>
        <v>-0.78213403333333309</v>
      </c>
      <c r="I36" s="234">
        <f t="shared" si="24"/>
        <v>-1.5906130191111107</v>
      </c>
      <c r="J36" s="234">
        <f t="shared" si="24"/>
        <v>-2.1389141787777781</v>
      </c>
      <c r="K36" s="234">
        <f t="shared" si="24"/>
        <v>-1.4341450394444442</v>
      </c>
      <c r="L36" s="234">
        <f t="shared" si="24"/>
        <v>-1.4462219378888888</v>
      </c>
      <c r="M36" s="234">
        <f t="shared" si="24"/>
        <v>-1.5419050122828288</v>
      </c>
      <c r="N36" s="234">
        <f t="shared" si="24"/>
        <v>-1.9106745773332945</v>
      </c>
      <c r="O36" s="234">
        <f t="shared" si="24"/>
        <v>-2.2885342119393934</v>
      </c>
      <c r="P36" s="234">
        <f t="shared" si="24"/>
        <v>-3.7220818361111103</v>
      </c>
      <c r="Q36" s="234">
        <f t="shared" si="24"/>
        <v>-2.1720381289999997</v>
      </c>
      <c r="R36" s="234">
        <f t="shared" si="24"/>
        <v>-2.2950157800000008</v>
      </c>
      <c r="S36" s="234">
        <f t="shared" si="24"/>
        <v>-3.4967353800000001</v>
      </c>
      <c r="T36" s="234">
        <f t="shared" si="24"/>
        <v>-4.2530579700000004</v>
      </c>
      <c r="U36" s="234">
        <f t="shared" si="24"/>
        <v>-3.7397227050000006</v>
      </c>
      <c r="V36" s="234">
        <f t="shared" si="24"/>
        <v>-3.3410046430000002</v>
      </c>
      <c r="W36" s="234">
        <f t="shared" si="24"/>
        <v>-4.1904871559999997</v>
      </c>
      <c r="X36" s="234">
        <f t="shared" si="24"/>
        <v>-2.9772973449999998</v>
      </c>
      <c r="Y36" s="234">
        <f t="shared" si="24"/>
        <v>-3.8525235850000001</v>
      </c>
      <c r="Z36" s="234">
        <f t="shared" si="24"/>
        <v>-2.8744049010000001</v>
      </c>
      <c r="AA36" s="234">
        <f t="shared" si="24"/>
        <v>-2.8787683910000004</v>
      </c>
      <c r="AB36" s="234">
        <f t="shared" si="24"/>
        <v>-3.2826077470000001</v>
      </c>
      <c r="AC36" s="234">
        <f t="shared" si="24"/>
        <v>-2.1114563219999996</v>
      </c>
      <c r="AD36" s="234">
        <f t="shared" si="24"/>
        <v>-2.8338562409999994</v>
      </c>
      <c r="AE36" s="234">
        <f t="shared" si="24"/>
        <v>-2.1777859290000006</v>
      </c>
      <c r="AF36" s="234">
        <f t="shared" si="24"/>
        <v>-2.0419450339999998</v>
      </c>
      <c r="AG36" s="234">
        <f t="shared" si="24"/>
        <v>-2.6106170580000003</v>
      </c>
      <c r="AH36" s="234">
        <f t="shared" si="24"/>
        <v>-2.1417064819999996</v>
      </c>
      <c r="AI36" s="234">
        <f t="shared" si="24"/>
        <v>-2.1670895280000004</v>
      </c>
      <c r="AJ36" s="234">
        <f t="shared" si="24"/>
        <v>7.4408409520000012</v>
      </c>
      <c r="AK36" s="234">
        <f t="shared" si="24"/>
        <v>0.95037708200000015</v>
      </c>
      <c r="AL36" s="234">
        <f t="shared" si="24"/>
        <v>-1.927615267</v>
      </c>
      <c r="AM36" s="234">
        <f t="shared" si="24"/>
        <v>-1.0728332495969775</v>
      </c>
      <c r="AN36" s="234">
        <f t="shared" si="24"/>
        <v>-0.20937968525127768</v>
      </c>
      <c r="AO36" s="234" t="e" vm="2">
        <f t="shared" si="24"/>
        <v>#VALUE!</v>
      </c>
      <c r="AP36" s="234" t="e" vm="2">
        <f t="shared" si="24"/>
        <v>#VALUE!</v>
      </c>
      <c r="AQ36" s="234" t="e" vm="2">
        <f t="shared" si="24"/>
        <v>#VALUE!</v>
      </c>
      <c r="AR36" s="234" t="e" vm="2">
        <f t="shared" si="24"/>
        <v>#VALUE!</v>
      </c>
      <c r="AS36" s="234" t="e" vm="2">
        <f t="shared" si="24"/>
        <v>#VALUE!</v>
      </c>
      <c r="AT36" s="234" t="e" vm="2">
        <f t="shared" si="24"/>
        <v>#VALUE!</v>
      </c>
      <c r="AU36" s="234" t="e" vm="2">
        <f t="shared" si="24"/>
        <v>#VALUE!</v>
      </c>
      <c r="AV36" s="234" t="e" vm="2">
        <f t="shared" si="24"/>
        <v>#VALUE!</v>
      </c>
      <c r="AW36" s="234" t="e" vm="2">
        <f t="shared" si="24"/>
        <v>#VALUE!</v>
      </c>
      <c r="AX36" s="234" t="e" vm="2">
        <f t="shared" si="24"/>
        <v>#VALUE!</v>
      </c>
      <c r="AY36" s="234" t="e" vm="2">
        <f t="shared" si="24"/>
        <v>#VALUE!</v>
      </c>
      <c r="AZ36" s="234" t="e" vm="2">
        <f t="shared" si="24"/>
        <v>#VALUE!</v>
      </c>
      <c r="BA36" s="234" t="e" vm="2">
        <f t="shared" si="24"/>
        <v>#VALUE!</v>
      </c>
      <c r="BB36" s="234" t="e" vm="2">
        <f t="shared" si="24"/>
        <v>#VALUE!</v>
      </c>
      <c r="BC36" s="234" t="e" vm="2">
        <f t="shared" si="24"/>
        <v>#VALUE!</v>
      </c>
      <c r="BD36" s="234" t="e" vm="2">
        <f t="shared" si="24"/>
        <v>#VALUE!</v>
      </c>
      <c r="BE36" s="234" t="e" vm="2">
        <f t="shared" si="24"/>
        <v>#VALUE!</v>
      </c>
      <c r="BF36" s="234" t="e" vm="2">
        <f t="shared" si="24"/>
        <v>#VALUE!</v>
      </c>
      <c r="BG36" s="234" t="e" vm="2">
        <f t="shared" si="24"/>
        <v>#VALUE!</v>
      </c>
      <c r="BH36" s="234" t="e" vm="2">
        <f t="shared" si="24"/>
        <v>#VALUE!</v>
      </c>
      <c r="BI36" s="234" t="e" vm="2">
        <f t="shared" si="24"/>
        <v>#VALUE!</v>
      </c>
      <c r="BJ36" s="234" t="e" vm="2">
        <f t="shared" si="24"/>
        <v>#VALUE!</v>
      </c>
      <c r="BK36" s="234" t="e" vm="2">
        <f t="shared" si="24"/>
        <v>#VALUE!</v>
      </c>
      <c r="BL36" s="234" t="e" vm="2">
        <f t="shared" si="24"/>
        <v>#VALUE!</v>
      </c>
      <c r="BM36" s="234" t="e" vm="2">
        <f t="shared" si="24"/>
        <v>#VALUE!</v>
      </c>
      <c r="BN36" s="234" t="e" vm="2">
        <f t="shared" si="24"/>
        <v>#VALUE!</v>
      </c>
      <c r="BO36" s="234" t="e" vm="2">
        <f t="shared" si="24"/>
        <v>#VALUE!</v>
      </c>
      <c r="BP36" s="234" t="e" vm="2">
        <f t="shared" si="24"/>
        <v>#VALUE!</v>
      </c>
      <c r="BQ36" s="234" t="e" vm="2">
        <f t="shared" si="24"/>
        <v>#VALUE!</v>
      </c>
      <c r="BR36" s="234" t="e" vm="2">
        <f t="shared" si="24"/>
        <v>#VALUE!</v>
      </c>
      <c r="BS36" s="234" t="e" vm="2">
        <f t="shared" ref="BS36:CX36" si="25">BS10+BS25</f>
        <v>#VALUE!</v>
      </c>
      <c r="BT36" s="234" t="e" vm="2">
        <f t="shared" si="25"/>
        <v>#VALUE!</v>
      </c>
      <c r="BU36" s="234" t="e" vm="2">
        <f t="shared" si="25"/>
        <v>#VALUE!</v>
      </c>
      <c r="BV36" s="234" t="e" vm="2">
        <f t="shared" si="25"/>
        <v>#VALUE!</v>
      </c>
      <c r="BW36" s="234" t="e" vm="2">
        <f t="shared" si="25"/>
        <v>#VALUE!</v>
      </c>
      <c r="BX36" s="234" t="e" vm="2">
        <f t="shared" si="25"/>
        <v>#VALUE!</v>
      </c>
      <c r="BY36" s="234" t="e" vm="2">
        <f t="shared" si="25"/>
        <v>#VALUE!</v>
      </c>
      <c r="BZ36" s="234" t="e" vm="2">
        <f t="shared" si="25"/>
        <v>#VALUE!</v>
      </c>
      <c r="CA36" s="234" t="e" vm="2">
        <f t="shared" si="25"/>
        <v>#VALUE!</v>
      </c>
      <c r="CB36" s="234" t="e" vm="2">
        <f t="shared" si="25"/>
        <v>#VALUE!</v>
      </c>
      <c r="CC36" s="234" t="e" vm="2">
        <f t="shared" si="25"/>
        <v>#VALUE!</v>
      </c>
      <c r="CD36" s="234" t="e" vm="2">
        <f t="shared" si="25"/>
        <v>#VALUE!</v>
      </c>
      <c r="CE36" s="234" t="e" vm="2">
        <f t="shared" si="25"/>
        <v>#VALUE!</v>
      </c>
      <c r="CF36" s="234" t="e" vm="2">
        <f t="shared" si="25"/>
        <v>#VALUE!</v>
      </c>
      <c r="CG36" s="234" t="e" vm="2">
        <f t="shared" si="25"/>
        <v>#VALUE!</v>
      </c>
      <c r="CH36" s="234" t="e" vm="2">
        <f t="shared" si="25"/>
        <v>#VALUE!</v>
      </c>
      <c r="CI36" s="234" t="e" vm="2">
        <f t="shared" si="25"/>
        <v>#VALUE!</v>
      </c>
      <c r="CJ36" s="234" t="e" vm="2">
        <f t="shared" si="25"/>
        <v>#VALUE!</v>
      </c>
      <c r="CK36" s="234" t="e" vm="2">
        <f t="shared" si="25"/>
        <v>#VALUE!</v>
      </c>
      <c r="CL36" s="234" t="e" vm="2">
        <f t="shared" si="25"/>
        <v>#VALUE!</v>
      </c>
      <c r="CM36" s="234" t="e" vm="2">
        <f t="shared" si="25"/>
        <v>#VALUE!</v>
      </c>
      <c r="CN36" s="234" t="e" vm="2">
        <f t="shared" si="25"/>
        <v>#VALUE!</v>
      </c>
      <c r="CO36" s="234" t="e" vm="2">
        <f t="shared" si="25"/>
        <v>#VALUE!</v>
      </c>
      <c r="CP36" s="234" t="e" vm="2">
        <f t="shared" si="25"/>
        <v>#VALUE!</v>
      </c>
      <c r="CQ36" s="234" t="e" vm="2">
        <f t="shared" si="25"/>
        <v>#VALUE!</v>
      </c>
      <c r="CR36" s="234" t="e" vm="2">
        <f t="shared" si="25"/>
        <v>#VALUE!</v>
      </c>
      <c r="CS36" s="234" t="e" vm="2">
        <f t="shared" si="25"/>
        <v>#VALUE!</v>
      </c>
      <c r="CT36" s="234" t="e" vm="2">
        <f t="shared" si="25"/>
        <v>#VALUE!</v>
      </c>
      <c r="CU36" s="234" t="e" vm="2">
        <f t="shared" si="25"/>
        <v>#VALUE!</v>
      </c>
      <c r="CV36" s="234" t="e" vm="2">
        <f t="shared" si="25"/>
        <v>#VALUE!</v>
      </c>
      <c r="CW36" s="234" t="e" vm="2">
        <f t="shared" si="25"/>
        <v>#VALUE!</v>
      </c>
      <c r="CX36" s="234" t="e" vm="2">
        <f t="shared" si="25"/>
        <v>#VALUE!</v>
      </c>
    </row>
    <row r="37" spans="1:102">
      <c r="A37" s="229" t="s">
        <v>579</v>
      </c>
      <c r="B37" s="692"/>
      <c r="C37" s="230"/>
      <c r="D37" s="203"/>
      <c r="E37" s="229"/>
      <c r="F37" s="232" t="s">
        <v>736</v>
      </c>
      <c r="G37" s="234">
        <f t="shared" ref="G37:BR37" si="26">G32+G36</f>
        <v>-1.1483862989999998</v>
      </c>
      <c r="H37" s="234">
        <f t="shared" si="26"/>
        <v>-0.78213403333333309</v>
      </c>
      <c r="I37" s="234">
        <f t="shared" si="26"/>
        <v>-1.5906130191111107</v>
      </c>
      <c r="J37" s="234">
        <f t="shared" si="26"/>
        <v>-2.1389141787777781</v>
      </c>
      <c r="K37" s="234">
        <f t="shared" si="26"/>
        <v>-1.4341450394444442</v>
      </c>
      <c r="L37" s="234">
        <f t="shared" si="26"/>
        <v>-1.4462219378888888</v>
      </c>
      <c r="M37" s="234">
        <f t="shared" si="26"/>
        <v>-1.5419050122828288</v>
      </c>
      <c r="N37" s="234">
        <f t="shared" si="26"/>
        <v>-1.9106745773332945</v>
      </c>
      <c r="O37" s="234">
        <f t="shared" si="26"/>
        <v>-2.2885342119393934</v>
      </c>
      <c r="P37" s="234">
        <f t="shared" si="26"/>
        <v>-3.7220818361111103</v>
      </c>
      <c r="Q37" s="234">
        <f t="shared" si="26"/>
        <v>-2.1720381289999997</v>
      </c>
      <c r="R37" s="234">
        <f t="shared" si="26"/>
        <v>-2.2950157800000008</v>
      </c>
      <c r="S37" s="234">
        <f t="shared" si="26"/>
        <v>-3.4967353800000001</v>
      </c>
      <c r="T37" s="234">
        <f t="shared" si="26"/>
        <v>-4.2530579700000004</v>
      </c>
      <c r="U37" s="234">
        <f t="shared" si="26"/>
        <v>-3.7397227050000006</v>
      </c>
      <c r="V37" s="234">
        <f t="shared" si="26"/>
        <v>-3.3410046430000002</v>
      </c>
      <c r="W37" s="234">
        <f t="shared" si="26"/>
        <v>-4.1904871559999997</v>
      </c>
      <c r="X37" s="234">
        <f t="shared" si="26"/>
        <v>-2.9772973449999998</v>
      </c>
      <c r="Y37" s="234">
        <f t="shared" si="26"/>
        <v>-3.8525235850000001</v>
      </c>
      <c r="Z37" s="234">
        <f t="shared" si="26"/>
        <v>-2.8744049010000001</v>
      </c>
      <c r="AA37" s="234">
        <f t="shared" si="26"/>
        <v>-2.8787683910000004</v>
      </c>
      <c r="AB37" s="234">
        <f t="shared" si="26"/>
        <v>-3.2826077470000001</v>
      </c>
      <c r="AC37" s="234">
        <f t="shared" si="26"/>
        <v>-2.6028498060454051</v>
      </c>
      <c r="AD37" s="234">
        <f t="shared" si="26"/>
        <v>-4.1787065346508543</v>
      </c>
      <c r="AE37" s="234">
        <f t="shared" si="26"/>
        <v>-2.6778270052000006</v>
      </c>
      <c r="AF37" s="234">
        <f t="shared" si="26"/>
        <v>-2.5629626019999998</v>
      </c>
      <c r="AG37" s="234">
        <f t="shared" si="26"/>
        <v>-3.1240072812000004</v>
      </c>
      <c r="AH37" s="234">
        <f t="shared" si="26"/>
        <v>-2.6799616731999998</v>
      </c>
      <c r="AI37" s="234">
        <f t="shared" si="26"/>
        <v>-2.6182272600000003</v>
      </c>
      <c r="AJ37" s="234">
        <f t="shared" si="26"/>
        <v>7.0040137446000008</v>
      </c>
      <c r="AK37" s="234">
        <f t="shared" si="26"/>
        <v>0.50351652580000006</v>
      </c>
      <c r="AL37" s="234">
        <f t="shared" si="26"/>
        <v>-2.4542040346</v>
      </c>
      <c r="AM37" s="234">
        <f t="shared" si="26"/>
        <v>-1.5496429375969774</v>
      </c>
      <c r="AN37" s="234">
        <f t="shared" si="26"/>
        <v>-0.21995515050127767</v>
      </c>
      <c r="AO37" s="234" t="e" vm="2">
        <f t="shared" si="26"/>
        <v>#VALUE!</v>
      </c>
      <c r="AP37" s="234" t="e" vm="2">
        <f t="shared" si="26"/>
        <v>#VALUE!</v>
      </c>
      <c r="AQ37" s="234" t="e" vm="2">
        <f t="shared" si="26"/>
        <v>#VALUE!</v>
      </c>
      <c r="AR37" s="234" t="e" vm="2">
        <f t="shared" si="26"/>
        <v>#VALUE!</v>
      </c>
      <c r="AS37" s="234" t="e" vm="2">
        <f t="shared" si="26"/>
        <v>#VALUE!</v>
      </c>
      <c r="AT37" s="234" t="e" vm="2">
        <f t="shared" si="26"/>
        <v>#VALUE!</v>
      </c>
      <c r="AU37" s="234" t="e" vm="2">
        <f t="shared" si="26"/>
        <v>#VALUE!</v>
      </c>
      <c r="AV37" s="234" t="e" vm="2">
        <f t="shared" si="26"/>
        <v>#VALUE!</v>
      </c>
      <c r="AW37" s="234" t="e" vm="2">
        <f t="shared" si="26"/>
        <v>#VALUE!</v>
      </c>
      <c r="AX37" s="234" t="e" vm="2">
        <f t="shared" si="26"/>
        <v>#VALUE!</v>
      </c>
      <c r="AY37" s="234" t="e" vm="2">
        <f t="shared" si="26"/>
        <v>#VALUE!</v>
      </c>
      <c r="AZ37" s="234" t="e" vm="2">
        <f t="shared" si="26"/>
        <v>#VALUE!</v>
      </c>
      <c r="BA37" s="234" t="e" vm="2">
        <f t="shared" si="26"/>
        <v>#VALUE!</v>
      </c>
      <c r="BB37" s="234" t="e" vm="2">
        <f t="shared" si="26"/>
        <v>#VALUE!</v>
      </c>
      <c r="BC37" s="234" t="e" vm="2">
        <f t="shared" si="26"/>
        <v>#VALUE!</v>
      </c>
      <c r="BD37" s="234" t="e" vm="2">
        <f t="shared" si="26"/>
        <v>#VALUE!</v>
      </c>
      <c r="BE37" s="234" t="e" vm="2">
        <f t="shared" si="26"/>
        <v>#VALUE!</v>
      </c>
      <c r="BF37" s="234" t="e" vm="2">
        <f t="shared" si="26"/>
        <v>#VALUE!</v>
      </c>
      <c r="BG37" s="234" t="e" vm="2">
        <f t="shared" si="26"/>
        <v>#VALUE!</v>
      </c>
      <c r="BH37" s="234" t="e" vm="2">
        <f t="shared" si="26"/>
        <v>#VALUE!</v>
      </c>
      <c r="BI37" s="234" t="e" vm="2">
        <f t="shared" si="26"/>
        <v>#VALUE!</v>
      </c>
      <c r="BJ37" s="234" t="e" vm="2">
        <f t="shared" si="26"/>
        <v>#VALUE!</v>
      </c>
      <c r="BK37" s="234" t="e" vm="2">
        <f t="shared" si="26"/>
        <v>#VALUE!</v>
      </c>
      <c r="BL37" s="234" t="e" vm="2">
        <f t="shared" si="26"/>
        <v>#VALUE!</v>
      </c>
      <c r="BM37" s="234" t="e" vm="2">
        <f t="shared" si="26"/>
        <v>#VALUE!</v>
      </c>
      <c r="BN37" s="234" t="e" vm="2">
        <f t="shared" si="26"/>
        <v>#VALUE!</v>
      </c>
      <c r="BO37" s="234" t="e" vm="2">
        <f t="shared" si="26"/>
        <v>#VALUE!</v>
      </c>
      <c r="BP37" s="234" t="e" vm="2">
        <f t="shared" si="26"/>
        <v>#VALUE!</v>
      </c>
      <c r="BQ37" s="234" t="e" vm="2">
        <f t="shared" si="26"/>
        <v>#VALUE!</v>
      </c>
      <c r="BR37" s="234" t="e" vm="2">
        <f t="shared" si="26"/>
        <v>#VALUE!</v>
      </c>
      <c r="BS37" s="234" t="e" vm="2">
        <f t="shared" ref="BS37:CX37" si="27">BS32+BS36</f>
        <v>#VALUE!</v>
      </c>
      <c r="BT37" s="234" t="e" vm="2">
        <f t="shared" si="27"/>
        <v>#VALUE!</v>
      </c>
      <c r="BU37" s="234" t="e" vm="2">
        <f t="shared" si="27"/>
        <v>#VALUE!</v>
      </c>
      <c r="BV37" s="234" t="e" vm="2">
        <f t="shared" si="27"/>
        <v>#VALUE!</v>
      </c>
      <c r="BW37" s="234" t="e" vm="2">
        <f t="shared" si="27"/>
        <v>#VALUE!</v>
      </c>
      <c r="BX37" s="234" t="e" vm="2">
        <f t="shared" si="27"/>
        <v>#VALUE!</v>
      </c>
      <c r="BY37" s="234" t="e" vm="2">
        <f t="shared" si="27"/>
        <v>#VALUE!</v>
      </c>
      <c r="BZ37" s="234" t="e" vm="2">
        <f t="shared" si="27"/>
        <v>#VALUE!</v>
      </c>
      <c r="CA37" s="234" t="e" vm="2">
        <f t="shared" si="27"/>
        <v>#VALUE!</v>
      </c>
      <c r="CB37" s="234" t="e" vm="2">
        <f t="shared" si="27"/>
        <v>#VALUE!</v>
      </c>
      <c r="CC37" s="234" t="e" vm="2">
        <f t="shared" si="27"/>
        <v>#VALUE!</v>
      </c>
      <c r="CD37" s="234" t="e" vm="2">
        <f t="shared" si="27"/>
        <v>#VALUE!</v>
      </c>
      <c r="CE37" s="234" t="e" vm="2">
        <f t="shared" si="27"/>
        <v>#VALUE!</v>
      </c>
      <c r="CF37" s="234" t="e" vm="2">
        <f t="shared" si="27"/>
        <v>#VALUE!</v>
      </c>
      <c r="CG37" s="234" t="e" vm="2">
        <f t="shared" si="27"/>
        <v>#VALUE!</v>
      </c>
      <c r="CH37" s="234" t="e" vm="2">
        <f t="shared" si="27"/>
        <v>#VALUE!</v>
      </c>
      <c r="CI37" s="234" t="e" vm="2">
        <f t="shared" si="27"/>
        <v>#VALUE!</v>
      </c>
      <c r="CJ37" s="234" t="e" vm="2">
        <f t="shared" si="27"/>
        <v>#VALUE!</v>
      </c>
      <c r="CK37" s="234" t="e" vm="2">
        <f t="shared" si="27"/>
        <v>#VALUE!</v>
      </c>
      <c r="CL37" s="234" t="e" vm="2">
        <f t="shared" si="27"/>
        <v>#VALUE!</v>
      </c>
      <c r="CM37" s="234" t="e" vm="2">
        <f t="shared" si="27"/>
        <v>#VALUE!</v>
      </c>
      <c r="CN37" s="234" t="e" vm="2">
        <f t="shared" si="27"/>
        <v>#VALUE!</v>
      </c>
      <c r="CO37" s="234" t="e" vm="2">
        <f t="shared" si="27"/>
        <v>#VALUE!</v>
      </c>
      <c r="CP37" s="234" t="e" vm="2">
        <f t="shared" si="27"/>
        <v>#VALUE!</v>
      </c>
      <c r="CQ37" s="234" t="e" vm="2">
        <f t="shared" si="27"/>
        <v>#VALUE!</v>
      </c>
      <c r="CR37" s="234" t="e" vm="2">
        <f t="shared" si="27"/>
        <v>#VALUE!</v>
      </c>
      <c r="CS37" s="234" t="e" vm="2">
        <f t="shared" si="27"/>
        <v>#VALUE!</v>
      </c>
      <c r="CT37" s="234" t="e" vm="2">
        <f t="shared" si="27"/>
        <v>#VALUE!</v>
      </c>
      <c r="CU37" s="234" t="e" vm="2">
        <f t="shared" si="27"/>
        <v>#VALUE!</v>
      </c>
      <c r="CV37" s="234" t="e" vm="2">
        <f t="shared" si="27"/>
        <v>#VALUE!</v>
      </c>
      <c r="CW37" s="234" t="e" vm="2">
        <f t="shared" si="27"/>
        <v>#VALUE!</v>
      </c>
      <c r="CX37" s="234" t="e" vm="2">
        <f t="shared" si="27"/>
        <v>#VALUE!</v>
      </c>
    </row>
    <row r="38" spans="1:102">
      <c r="A38" s="229" t="s">
        <v>543</v>
      </c>
      <c r="B38" s="230"/>
      <c r="C38" s="230"/>
      <c r="D38" s="203"/>
      <c r="E38" s="230"/>
      <c r="F38" s="232" t="s">
        <v>736</v>
      </c>
      <c r="G38" s="247">
        <f t="shared" ref="G38:BR38" si="28">G10+G25+G31</f>
        <v>-1.1483862989999998</v>
      </c>
      <c r="H38" s="247">
        <f t="shared" si="28"/>
        <v>-0.78213403333333309</v>
      </c>
      <c r="I38" s="247">
        <f t="shared" si="28"/>
        <v>-1.5906130191111107</v>
      </c>
      <c r="J38" s="247">
        <f t="shared" si="28"/>
        <v>-2.1389141787777781</v>
      </c>
      <c r="K38" s="247">
        <f t="shared" si="28"/>
        <v>-1.4341450394444442</v>
      </c>
      <c r="L38" s="247">
        <f t="shared" si="28"/>
        <v>-1.4462219378888888</v>
      </c>
      <c r="M38" s="247">
        <f t="shared" si="28"/>
        <v>-1.5419050122828288</v>
      </c>
      <c r="N38" s="247">
        <f t="shared" si="28"/>
        <v>-1.9106745773332945</v>
      </c>
      <c r="O38" s="247">
        <f t="shared" si="28"/>
        <v>-2.2885342119393934</v>
      </c>
      <c r="P38" s="247">
        <f t="shared" si="28"/>
        <v>-3.7220818361111103</v>
      </c>
      <c r="Q38" s="247">
        <f t="shared" si="28"/>
        <v>-2.1720381289999997</v>
      </c>
      <c r="R38" s="247">
        <f t="shared" si="28"/>
        <v>-2.2950157800000008</v>
      </c>
      <c r="S38" s="247">
        <f t="shared" si="28"/>
        <v>-3.4967353800000001</v>
      </c>
      <c r="T38" s="247">
        <f t="shared" si="28"/>
        <v>-4.2530579700000004</v>
      </c>
      <c r="U38" s="247">
        <f t="shared" si="28"/>
        <v>-3.7397227050000006</v>
      </c>
      <c r="V38" s="247">
        <f t="shared" si="28"/>
        <v>-3.3410046430000002</v>
      </c>
      <c r="W38" s="247">
        <f t="shared" si="28"/>
        <v>-4.1904871559999997</v>
      </c>
      <c r="X38" s="247">
        <f t="shared" si="28"/>
        <v>-2.9772973449999998</v>
      </c>
      <c r="Y38" s="247">
        <f t="shared" si="28"/>
        <v>-3.8525235850000001</v>
      </c>
      <c r="Z38" s="247">
        <f t="shared" si="28"/>
        <v>-2.8744049010000001</v>
      </c>
      <c r="AA38" s="247">
        <f t="shared" si="28"/>
        <v>-2.8787683910000004</v>
      </c>
      <c r="AB38" s="247">
        <f t="shared" si="28"/>
        <v>-3.2826077470000001</v>
      </c>
      <c r="AC38" s="247">
        <f t="shared" si="28"/>
        <v>-2.9872542161040343</v>
      </c>
      <c r="AD38" s="247">
        <f t="shared" si="28"/>
        <v>-4.6484632235052459</v>
      </c>
      <c r="AE38" s="247">
        <f t="shared" si="28"/>
        <v>-2.957828174671854</v>
      </c>
      <c r="AF38" s="247">
        <f t="shared" si="28"/>
        <v>-2.7922583447933089</v>
      </c>
      <c r="AG38" s="247">
        <f t="shared" si="28"/>
        <v>-3.4439934746610676</v>
      </c>
      <c r="AH38" s="247">
        <f t="shared" si="28"/>
        <v>-2.9919548630786563</v>
      </c>
      <c r="AI38" s="247">
        <f t="shared" si="28"/>
        <v>-2.9068148594170724</v>
      </c>
      <c r="AJ38" s="247">
        <f t="shared" si="28"/>
        <v>6.6859799697022231</v>
      </c>
      <c r="AK38" s="247">
        <f t="shared" si="28"/>
        <v>0.17505923416222224</v>
      </c>
      <c r="AL38" s="247">
        <f t="shared" si="28"/>
        <v>-2.7745998897266668</v>
      </c>
      <c r="AM38" s="247">
        <f t="shared" si="28"/>
        <v>-1.8744071507969773</v>
      </c>
      <c r="AN38" s="247">
        <f t="shared" si="28"/>
        <v>-1.7915120636249677</v>
      </c>
      <c r="AO38" s="247" t="e" vm="2">
        <f t="shared" si="28"/>
        <v>#VALUE!</v>
      </c>
      <c r="AP38" s="247" t="e" vm="2">
        <f t="shared" si="28"/>
        <v>#VALUE!</v>
      </c>
      <c r="AQ38" s="247" t="e" vm="2">
        <f t="shared" si="28"/>
        <v>#VALUE!</v>
      </c>
      <c r="AR38" s="247" t="e" vm="2">
        <f t="shared" si="28"/>
        <v>#VALUE!</v>
      </c>
      <c r="AS38" s="247" t="e" vm="2">
        <f t="shared" si="28"/>
        <v>#VALUE!</v>
      </c>
      <c r="AT38" s="247" t="e" vm="2">
        <f t="shared" si="28"/>
        <v>#VALUE!</v>
      </c>
      <c r="AU38" s="247" t="e" vm="2">
        <f t="shared" si="28"/>
        <v>#VALUE!</v>
      </c>
      <c r="AV38" s="247" t="e" vm="2">
        <f t="shared" si="28"/>
        <v>#VALUE!</v>
      </c>
      <c r="AW38" s="247" t="e" vm="2">
        <f t="shared" si="28"/>
        <v>#VALUE!</v>
      </c>
      <c r="AX38" s="247" t="e" vm="2">
        <f t="shared" si="28"/>
        <v>#VALUE!</v>
      </c>
      <c r="AY38" s="247" t="e" vm="2">
        <f t="shared" si="28"/>
        <v>#VALUE!</v>
      </c>
      <c r="AZ38" s="247" t="e" vm="2">
        <f t="shared" si="28"/>
        <v>#VALUE!</v>
      </c>
      <c r="BA38" s="247" t="e" vm="2">
        <f t="shared" si="28"/>
        <v>#VALUE!</v>
      </c>
      <c r="BB38" s="247" t="e" vm="2">
        <f t="shared" si="28"/>
        <v>#VALUE!</v>
      </c>
      <c r="BC38" s="247" t="e" vm="2">
        <f t="shared" si="28"/>
        <v>#VALUE!</v>
      </c>
      <c r="BD38" s="247" t="e" vm="2">
        <f t="shared" si="28"/>
        <v>#VALUE!</v>
      </c>
      <c r="BE38" s="247" t="e" vm="2">
        <f t="shared" si="28"/>
        <v>#VALUE!</v>
      </c>
      <c r="BF38" s="247" t="e" vm="2">
        <f t="shared" si="28"/>
        <v>#VALUE!</v>
      </c>
      <c r="BG38" s="247" t="e" vm="2">
        <f t="shared" si="28"/>
        <v>#VALUE!</v>
      </c>
      <c r="BH38" s="247" t="e" vm="2">
        <f t="shared" si="28"/>
        <v>#VALUE!</v>
      </c>
      <c r="BI38" s="247" t="e" vm="2">
        <f t="shared" si="28"/>
        <v>#VALUE!</v>
      </c>
      <c r="BJ38" s="247" t="e" vm="2">
        <f t="shared" si="28"/>
        <v>#VALUE!</v>
      </c>
      <c r="BK38" s="247" t="e" vm="2">
        <f t="shared" si="28"/>
        <v>#VALUE!</v>
      </c>
      <c r="BL38" s="247" t="e" vm="2">
        <f t="shared" si="28"/>
        <v>#VALUE!</v>
      </c>
      <c r="BM38" s="247" t="e" vm="2">
        <f t="shared" si="28"/>
        <v>#VALUE!</v>
      </c>
      <c r="BN38" s="247" t="e" vm="2">
        <f t="shared" si="28"/>
        <v>#VALUE!</v>
      </c>
      <c r="BO38" s="247" t="e" vm="2">
        <f t="shared" si="28"/>
        <v>#VALUE!</v>
      </c>
      <c r="BP38" s="247" t="e" vm="2">
        <f t="shared" si="28"/>
        <v>#VALUE!</v>
      </c>
      <c r="BQ38" s="247" t="e" vm="2">
        <f t="shared" si="28"/>
        <v>#VALUE!</v>
      </c>
      <c r="BR38" s="247" t="e" vm="2">
        <f t="shared" si="28"/>
        <v>#VALUE!</v>
      </c>
      <c r="BS38" s="247" t="e" vm="2">
        <f t="shared" ref="BS38:CX38" si="29">BS10+BS25+BS31</f>
        <v>#VALUE!</v>
      </c>
      <c r="BT38" s="247" t="e" vm="2">
        <f t="shared" si="29"/>
        <v>#VALUE!</v>
      </c>
      <c r="BU38" s="247" t="e" vm="2">
        <f t="shared" si="29"/>
        <v>#VALUE!</v>
      </c>
      <c r="BV38" s="247" t="e" vm="2">
        <f t="shared" si="29"/>
        <v>#VALUE!</v>
      </c>
      <c r="BW38" s="247" t="e" vm="2">
        <f t="shared" si="29"/>
        <v>#VALUE!</v>
      </c>
      <c r="BX38" s="247" t="e" vm="2">
        <f t="shared" si="29"/>
        <v>#VALUE!</v>
      </c>
      <c r="BY38" s="247" t="e" vm="2">
        <f t="shared" si="29"/>
        <v>#VALUE!</v>
      </c>
      <c r="BZ38" s="247" t="e" vm="2">
        <f t="shared" si="29"/>
        <v>#VALUE!</v>
      </c>
      <c r="CA38" s="247" t="e" vm="2">
        <f t="shared" si="29"/>
        <v>#VALUE!</v>
      </c>
      <c r="CB38" s="247" t="e" vm="2">
        <f t="shared" si="29"/>
        <v>#VALUE!</v>
      </c>
      <c r="CC38" s="247" t="e" vm="2">
        <f t="shared" si="29"/>
        <v>#VALUE!</v>
      </c>
      <c r="CD38" s="247" t="e" vm="2">
        <f t="shared" si="29"/>
        <v>#VALUE!</v>
      </c>
      <c r="CE38" s="247" t="e" vm="2">
        <f t="shared" si="29"/>
        <v>#VALUE!</v>
      </c>
      <c r="CF38" s="247" t="e" vm="2">
        <f t="shared" si="29"/>
        <v>#VALUE!</v>
      </c>
      <c r="CG38" s="247" t="e" vm="2">
        <f t="shared" si="29"/>
        <v>#VALUE!</v>
      </c>
      <c r="CH38" s="247" t="e" vm="2">
        <f t="shared" si="29"/>
        <v>#VALUE!</v>
      </c>
      <c r="CI38" s="247" t="e" vm="2">
        <f t="shared" si="29"/>
        <v>#VALUE!</v>
      </c>
      <c r="CJ38" s="247" t="e" vm="2">
        <f t="shared" si="29"/>
        <v>#VALUE!</v>
      </c>
      <c r="CK38" s="247" t="e" vm="2">
        <f t="shared" si="29"/>
        <v>#VALUE!</v>
      </c>
      <c r="CL38" s="247" t="e" vm="2">
        <f t="shared" si="29"/>
        <v>#VALUE!</v>
      </c>
      <c r="CM38" s="247" t="e" vm="2">
        <f t="shared" si="29"/>
        <v>#VALUE!</v>
      </c>
      <c r="CN38" s="247" t="e" vm="2">
        <f t="shared" si="29"/>
        <v>#VALUE!</v>
      </c>
      <c r="CO38" s="247" t="e" vm="2">
        <f t="shared" si="29"/>
        <v>#VALUE!</v>
      </c>
      <c r="CP38" s="247" t="e" vm="2">
        <f t="shared" si="29"/>
        <v>#VALUE!</v>
      </c>
      <c r="CQ38" s="247" t="e" vm="2">
        <f t="shared" si="29"/>
        <v>#VALUE!</v>
      </c>
      <c r="CR38" s="247" t="e" vm="2">
        <f t="shared" si="29"/>
        <v>#VALUE!</v>
      </c>
      <c r="CS38" s="247" t="e" vm="2">
        <f t="shared" si="29"/>
        <v>#VALUE!</v>
      </c>
      <c r="CT38" s="247" t="e" vm="2">
        <f t="shared" si="29"/>
        <v>#VALUE!</v>
      </c>
      <c r="CU38" s="247" t="e" vm="2">
        <f t="shared" si="29"/>
        <v>#VALUE!</v>
      </c>
      <c r="CV38" s="247" t="e" vm="2">
        <f t="shared" si="29"/>
        <v>#VALUE!</v>
      </c>
      <c r="CW38" s="247" t="e" vm="2">
        <f t="shared" si="29"/>
        <v>#VALUE!</v>
      </c>
      <c r="CX38" s="247" t="e" vm="2">
        <f t="shared" si="29"/>
        <v>#VALUE!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1365-7D22-4473-9E67-2000010F403F}">
  <dimension ref="A3:X414"/>
  <sheetViews>
    <sheetView zoomScale="85" zoomScaleNormal="85" workbookViewId="0">
      <pane xSplit="6" ySplit="3" topLeftCell="G321" activePane="bottomRight" state="frozen"/>
      <selection pane="topRight" activeCell="G1" sqref="G1"/>
      <selection pane="bottomLeft" activeCell="A4" sqref="A4"/>
      <selection pane="bottomRight" activeCell="A321" sqref="A321"/>
    </sheetView>
  </sheetViews>
  <sheetFormatPr baseColWidth="10" defaultColWidth="8.83203125" defaultRowHeight="15"/>
  <cols>
    <col min="4" max="4" width="12.5" customWidth="1"/>
    <col min="6" max="6" width="15.6640625" customWidth="1"/>
    <col min="8" max="8" width="9.5" bestFit="1" customWidth="1"/>
    <col min="9" max="9" width="11" bestFit="1" customWidth="1"/>
    <col min="10" max="10" width="9.5" bestFit="1" customWidth="1"/>
    <col min="11" max="11" width="11.1640625" bestFit="1" customWidth="1"/>
    <col min="12" max="19" width="9.5" bestFit="1" customWidth="1"/>
    <col min="20" max="45" width="9.33203125" bestFit="1" customWidth="1"/>
    <col min="48" max="48" width="9.33203125" bestFit="1" customWidth="1"/>
  </cols>
  <sheetData>
    <row r="3" spans="1:24">
      <c r="H3" s="228">
        <v>45292</v>
      </c>
      <c r="I3" s="228">
        <v>45323</v>
      </c>
      <c r="J3" s="228">
        <v>45352</v>
      </c>
      <c r="K3" s="228">
        <v>45383</v>
      </c>
      <c r="L3" s="228">
        <v>45413</v>
      </c>
      <c r="M3" s="228">
        <v>45444</v>
      </c>
      <c r="N3" s="228">
        <v>45474</v>
      </c>
      <c r="O3" s="228">
        <v>45505</v>
      </c>
      <c r="P3" s="228">
        <v>45536</v>
      </c>
      <c r="Q3" s="228">
        <v>45566</v>
      </c>
      <c r="R3" s="228">
        <v>45597</v>
      </c>
      <c r="S3" s="228">
        <v>45627</v>
      </c>
      <c r="T3" t="s">
        <v>59</v>
      </c>
    </row>
    <row r="4" spans="1:24">
      <c r="A4" s="127" t="s">
        <v>895</v>
      </c>
      <c r="B4" s="127"/>
    </row>
    <row r="5" spans="1:24">
      <c r="B5" s="229" t="s">
        <v>741</v>
      </c>
    </row>
    <row r="6" spans="1:24">
      <c r="C6" s="229" t="s">
        <v>15</v>
      </c>
    </row>
    <row r="7" spans="1:24">
      <c r="B7" s="230"/>
      <c r="C7" s="229"/>
      <c r="D7" s="230" t="s">
        <v>82</v>
      </c>
      <c r="E7" s="230"/>
      <c r="F7" s="232"/>
      <c r="H7" s="231">
        <v>425</v>
      </c>
      <c r="I7" s="231">
        <v>450</v>
      </c>
      <c r="J7" s="231">
        <v>475</v>
      </c>
      <c r="K7" s="231">
        <v>500</v>
      </c>
      <c r="L7" s="231">
        <v>525</v>
      </c>
      <c r="M7" s="231">
        <v>550</v>
      </c>
      <c r="N7" s="231">
        <v>575</v>
      </c>
      <c r="O7" s="231">
        <v>600</v>
      </c>
      <c r="P7" s="231">
        <v>625</v>
      </c>
      <c r="Q7" s="231">
        <v>650</v>
      </c>
      <c r="R7" s="231">
        <v>675</v>
      </c>
      <c r="S7" s="231">
        <v>700</v>
      </c>
      <c r="T7" s="34">
        <f>SUM(H7:S7)</f>
        <v>6750</v>
      </c>
      <c r="V7" s="34"/>
      <c r="X7" s="34"/>
    </row>
    <row r="8" spans="1:24">
      <c r="B8" s="230"/>
      <c r="C8" s="230"/>
      <c r="D8" s="230" t="s">
        <v>737</v>
      </c>
      <c r="E8" s="230"/>
      <c r="F8" s="232"/>
      <c r="G8" s="232" t="s">
        <v>736</v>
      </c>
      <c r="H8" s="233">
        <v>1.71875</v>
      </c>
      <c r="I8" s="233">
        <v>1.8229166666666667</v>
      </c>
      <c r="J8" s="233">
        <v>1.9270833333333333</v>
      </c>
      <c r="K8" s="233">
        <v>2.03125</v>
      </c>
      <c r="L8" s="233">
        <v>2.1354166666666665</v>
      </c>
      <c r="M8" s="233">
        <v>2.2395833333333335</v>
      </c>
      <c r="N8" s="233">
        <v>2.34375</v>
      </c>
      <c r="O8" s="233">
        <v>2.4479166666666665</v>
      </c>
      <c r="P8" s="233">
        <v>2.5520833333333335</v>
      </c>
      <c r="Q8" s="233">
        <v>2.65625</v>
      </c>
      <c r="R8" s="233">
        <v>2.7604166666666665</v>
      </c>
      <c r="S8" s="233">
        <v>2.8645833333333335</v>
      </c>
      <c r="T8" s="34">
        <f t="shared" ref="T8:T71" si="0">SUM(H8:S8)</f>
        <v>27.5</v>
      </c>
    </row>
    <row r="9" spans="1:24">
      <c r="B9" s="230"/>
      <c r="C9" s="230"/>
      <c r="D9" s="230" t="s">
        <v>749</v>
      </c>
      <c r="E9" s="230"/>
      <c r="F9" s="232"/>
      <c r="G9" s="232" t="s">
        <v>736</v>
      </c>
      <c r="H9" s="233">
        <v>3.4375000000000003E-2</v>
      </c>
      <c r="I9" s="233">
        <v>3.6458333333333336E-2</v>
      </c>
      <c r="J9" s="233">
        <v>3.8541666666666669E-2</v>
      </c>
      <c r="K9" s="233">
        <v>4.0625000000000001E-2</v>
      </c>
      <c r="L9" s="233">
        <v>4.2708333333333327E-2</v>
      </c>
      <c r="M9" s="233">
        <v>4.4791666666666667E-2</v>
      </c>
      <c r="N9" s="233">
        <v>4.6875E-2</v>
      </c>
      <c r="O9" s="233">
        <v>4.8958333333333333E-2</v>
      </c>
      <c r="P9" s="233">
        <v>5.1041666666666673E-2</v>
      </c>
      <c r="Q9" s="233">
        <v>5.3125000000000006E-2</v>
      </c>
      <c r="R9" s="233">
        <v>5.5208333333333331E-2</v>
      </c>
      <c r="S9" s="233">
        <v>5.7291666666666664E-2</v>
      </c>
      <c r="T9" s="34">
        <f t="shared" si="0"/>
        <v>0.54999999999999993</v>
      </c>
    </row>
    <row r="10" spans="1:24">
      <c r="B10" s="229"/>
      <c r="C10" s="229"/>
      <c r="D10" s="229" t="s">
        <v>217</v>
      </c>
      <c r="E10" s="229"/>
      <c r="F10" s="203"/>
      <c r="G10" s="203" t="s">
        <v>736</v>
      </c>
      <c r="H10" s="234">
        <v>1.684375</v>
      </c>
      <c r="I10" s="234">
        <v>1.7864583333333335</v>
      </c>
      <c r="J10" s="234">
        <v>1.8885416666666666</v>
      </c>
      <c r="K10" s="234">
        <v>1.9906250000000001</v>
      </c>
      <c r="L10" s="234">
        <v>2.0927083333333334</v>
      </c>
      <c r="M10" s="234">
        <v>2.1947916666666667</v>
      </c>
      <c r="N10" s="234">
        <v>2.296875</v>
      </c>
      <c r="O10" s="234">
        <v>2.3989583333333333</v>
      </c>
      <c r="P10" s="234">
        <v>2.5010416666666666</v>
      </c>
      <c r="Q10" s="234">
        <v>2.6031249999999999</v>
      </c>
      <c r="R10" s="234">
        <v>2.7052083333333332</v>
      </c>
      <c r="S10" s="234">
        <v>2.807291666666667</v>
      </c>
      <c r="T10" s="34">
        <f t="shared" si="0"/>
        <v>26.95</v>
      </c>
    </row>
    <row r="11" spans="1:24">
      <c r="B11" s="229"/>
      <c r="C11" s="229"/>
      <c r="D11" s="229" t="s">
        <v>750</v>
      </c>
      <c r="E11" s="229"/>
      <c r="F11" s="203"/>
      <c r="G11" s="203"/>
      <c r="H11" s="235">
        <v>4.7558823529411764E-2</v>
      </c>
      <c r="I11" s="235">
        <v>4.7638888888888897E-2</v>
      </c>
      <c r="J11" s="235">
        <v>4.7710526315789467E-2</v>
      </c>
      <c r="K11" s="235">
        <v>4.7775000000000005E-2</v>
      </c>
      <c r="L11" s="235">
        <v>4.7833333333333339E-2</v>
      </c>
      <c r="M11" s="235">
        <v>4.7886363636363637E-2</v>
      </c>
      <c r="N11" s="235">
        <v>4.7934782608695645E-2</v>
      </c>
      <c r="O11" s="235">
        <v>4.797916666666667E-2</v>
      </c>
      <c r="P11" s="235">
        <v>4.8019999999999993E-2</v>
      </c>
      <c r="Q11" s="235">
        <v>4.8057692307692301E-2</v>
      </c>
      <c r="R11" s="235">
        <v>4.809259259259259E-2</v>
      </c>
      <c r="S11" s="235">
        <v>4.8125000000000008E-2</v>
      </c>
      <c r="T11" s="34">
        <f t="shared" si="0"/>
        <v>0.57461216987943431</v>
      </c>
    </row>
    <row r="12" spans="1:24">
      <c r="B12" s="230"/>
      <c r="C12" s="229" t="s">
        <v>124</v>
      </c>
      <c r="D12" s="230"/>
      <c r="E12" s="230"/>
      <c r="F12" s="232"/>
      <c r="T12" s="34">
        <f t="shared" si="0"/>
        <v>0</v>
      </c>
    </row>
    <row r="13" spans="1:24">
      <c r="B13" s="230"/>
      <c r="C13" s="229"/>
      <c r="D13" s="230" t="s">
        <v>82</v>
      </c>
      <c r="E13" s="230"/>
      <c r="F13" s="232"/>
      <c r="H13" s="231">
        <v>5633.333333333333</v>
      </c>
      <c r="I13" s="231">
        <v>5966.6666666666661</v>
      </c>
      <c r="J13" s="231">
        <v>6299.9999999999991</v>
      </c>
      <c r="K13" s="231">
        <v>6633.3333333333321</v>
      </c>
      <c r="L13" s="231">
        <v>6966.6666666666652</v>
      </c>
      <c r="M13" s="231">
        <v>7299.9999999999982</v>
      </c>
      <c r="N13" s="231">
        <v>7633.3333333333312</v>
      </c>
      <c r="O13" s="231">
        <v>7966.6666666666642</v>
      </c>
      <c r="P13" s="231">
        <v>8299.9999999999982</v>
      </c>
      <c r="Q13" s="231">
        <v>8633.3333333333321</v>
      </c>
      <c r="R13" s="231">
        <v>8966.6666666666661</v>
      </c>
      <c r="S13" s="231">
        <v>9300</v>
      </c>
      <c r="T13" s="34">
        <f t="shared" si="0"/>
        <v>89599.999999999985</v>
      </c>
    </row>
    <row r="14" spans="1:24">
      <c r="B14" s="230"/>
      <c r="C14" s="230"/>
      <c r="D14" s="230" t="s">
        <v>737</v>
      </c>
      <c r="E14" s="230"/>
      <c r="F14" s="232"/>
      <c r="G14" s="232" t="s">
        <v>736</v>
      </c>
      <c r="H14" s="233">
        <v>23.205088888888891</v>
      </c>
      <c r="I14" s="233">
        <v>24.620033333333335</v>
      </c>
      <c r="J14" s="233">
        <v>26.034977777777772</v>
      </c>
      <c r="K14" s="233">
        <v>27.449922222222224</v>
      </c>
      <c r="L14" s="233">
        <v>28.864866666666661</v>
      </c>
      <c r="M14" s="233">
        <v>30.279811111111112</v>
      </c>
      <c r="N14" s="233">
        <v>29.39875555555555</v>
      </c>
      <c r="O14" s="233">
        <v>30.711199999999995</v>
      </c>
      <c r="P14" s="233">
        <v>32.023644444444436</v>
      </c>
      <c r="Q14" s="233">
        <v>33.336088888888881</v>
      </c>
      <c r="R14" s="233">
        <v>34.64853333333334</v>
      </c>
      <c r="S14" s="233">
        <v>35.960977777777778</v>
      </c>
      <c r="T14" s="34">
        <f t="shared" si="0"/>
        <v>356.53389999999996</v>
      </c>
    </row>
    <row r="15" spans="1:24">
      <c r="B15" s="230"/>
      <c r="C15" s="230"/>
      <c r="D15" s="230" t="s">
        <v>749</v>
      </c>
      <c r="E15" s="230"/>
      <c r="F15" s="232"/>
      <c r="G15" s="232" t="s">
        <v>736</v>
      </c>
      <c r="H15" s="233">
        <v>20.243977777777776</v>
      </c>
      <c r="I15" s="233">
        <v>21.47836666666667</v>
      </c>
      <c r="J15" s="233">
        <v>22.712755555555557</v>
      </c>
      <c r="K15" s="233">
        <v>23.947144444444447</v>
      </c>
      <c r="L15" s="233">
        <v>25.181533333333331</v>
      </c>
      <c r="M15" s="233">
        <v>26.415922222222221</v>
      </c>
      <c r="N15" s="233">
        <v>25.354311111111105</v>
      </c>
      <c r="O15" s="233">
        <v>26.486199999999997</v>
      </c>
      <c r="P15" s="233">
        <v>27.618088888888888</v>
      </c>
      <c r="Q15" s="233">
        <v>28.749977777777772</v>
      </c>
      <c r="R15" s="233">
        <v>29.881866666666671</v>
      </c>
      <c r="S15" s="233">
        <v>31.013755555555559</v>
      </c>
      <c r="T15" s="34">
        <f t="shared" si="0"/>
        <v>309.08390000000003</v>
      </c>
    </row>
    <row r="16" spans="1:24">
      <c r="B16" s="229"/>
      <c r="C16" s="229"/>
      <c r="D16" s="229" t="s">
        <v>217</v>
      </c>
      <c r="E16" s="229"/>
      <c r="F16" s="203"/>
      <c r="G16" s="203" t="s">
        <v>736</v>
      </c>
      <c r="H16" s="234">
        <v>2.9611111111111157</v>
      </c>
      <c r="I16" s="234">
        <v>3.1416666666666657</v>
      </c>
      <c r="J16" s="234">
        <v>3.3222222222222157</v>
      </c>
      <c r="K16" s="234">
        <v>3.5027777777777764</v>
      </c>
      <c r="L16" s="234">
        <v>3.68333333333333</v>
      </c>
      <c r="M16" s="234">
        <v>3.8638888888888907</v>
      </c>
      <c r="N16" s="234">
        <v>4.0444444444444443</v>
      </c>
      <c r="O16" s="234">
        <v>4.2249999999999979</v>
      </c>
      <c r="P16" s="234">
        <v>4.4055555555555479</v>
      </c>
      <c r="Q16" s="234">
        <v>4.5861111111111086</v>
      </c>
      <c r="R16" s="234">
        <v>4.7666666666666693</v>
      </c>
      <c r="S16" s="234">
        <v>4.9472222222222193</v>
      </c>
      <c r="T16" s="34">
        <f t="shared" si="0"/>
        <v>47.449999999999989</v>
      </c>
    </row>
    <row r="17" spans="2:20">
      <c r="B17" s="229"/>
      <c r="C17" s="229"/>
      <c r="D17" s="229" t="s">
        <v>320</v>
      </c>
      <c r="E17" s="229"/>
      <c r="F17" s="203"/>
      <c r="G17" s="203"/>
      <c r="H17" s="235">
        <v>6.307692307692318E-3</v>
      </c>
      <c r="I17" s="235">
        <v>6.318435754189943E-3</v>
      </c>
      <c r="J17" s="235">
        <v>6.3280423280423171E-3</v>
      </c>
      <c r="K17" s="235">
        <v>6.3366834170854262E-3</v>
      </c>
      <c r="L17" s="235">
        <v>6.3444976076554981E-3</v>
      </c>
      <c r="M17" s="235">
        <v>6.3515981735159863E-3</v>
      </c>
      <c r="N17" s="235">
        <v>6.3580786026200889E-3</v>
      </c>
      <c r="O17" s="235">
        <v>6.3640167364016724E-3</v>
      </c>
      <c r="P17" s="235">
        <v>6.3694779116465769E-3</v>
      </c>
      <c r="Q17" s="235">
        <v>6.3745173745173725E-3</v>
      </c>
      <c r="R17" s="235">
        <v>6.379182156133833E-3</v>
      </c>
      <c r="S17" s="235">
        <v>6.3835125448028635E-3</v>
      </c>
      <c r="T17" s="34">
        <f t="shared" si="0"/>
        <v>7.6215734914303904E-2</v>
      </c>
    </row>
    <row r="18" spans="2:20">
      <c r="B18" s="229"/>
      <c r="C18" s="229" t="s">
        <v>896</v>
      </c>
      <c r="D18" s="229"/>
      <c r="E18" s="229"/>
      <c r="F18" s="203"/>
      <c r="G18" s="203"/>
      <c r="H18" s="234">
        <v>4.6454861111111159</v>
      </c>
      <c r="I18" s="234">
        <v>4.9281249999999996</v>
      </c>
      <c r="J18" s="234">
        <v>5.2107638888888825</v>
      </c>
      <c r="K18" s="234">
        <v>5.4934027777777761</v>
      </c>
      <c r="L18" s="234">
        <v>5.7760416666666634</v>
      </c>
      <c r="M18" s="234">
        <v>6.0586805555555578</v>
      </c>
      <c r="N18" s="234">
        <v>6.3413194444444443</v>
      </c>
      <c r="O18" s="234">
        <v>6.6239583333333307</v>
      </c>
      <c r="P18" s="234">
        <v>6.9065972222222145</v>
      </c>
      <c r="Q18" s="234">
        <v>7.1892361111111089</v>
      </c>
      <c r="R18" s="234">
        <v>7.4718750000000025</v>
      </c>
      <c r="S18" s="234">
        <v>7.7545138888888863</v>
      </c>
      <c r="T18" s="34">
        <f t="shared" si="0"/>
        <v>74.399999999999977</v>
      </c>
    </row>
    <row r="19" spans="2:20">
      <c r="B19" s="229"/>
      <c r="C19" s="229" t="s">
        <v>897</v>
      </c>
      <c r="D19" s="229"/>
      <c r="E19" s="229"/>
      <c r="F19" s="203"/>
      <c r="G19" s="203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34">
        <f t="shared" si="0"/>
        <v>0</v>
      </c>
    </row>
    <row r="20" spans="2:20">
      <c r="B20" s="230"/>
      <c r="C20" s="230"/>
      <c r="D20" s="230" t="s">
        <v>898</v>
      </c>
      <c r="E20" s="230"/>
      <c r="F20" s="232"/>
      <c r="H20" s="236">
        <v>0.3</v>
      </c>
      <c r="I20" s="236">
        <v>0.3</v>
      </c>
      <c r="J20" s="236">
        <v>0.3</v>
      </c>
      <c r="K20" s="236">
        <v>0.3</v>
      </c>
      <c r="L20" s="236">
        <v>0.3</v>
      </c>
      <c r="M20" s="236">
        <v>0.3</v>
      </c>
      <c r="N20" s="236">
        <v>0.35</v>
      </c>
      <c r="O20" s="236">
        <v>0.35</v>
      </c>
      <c r="P20" s="236">
        <v>0.35</v>
      </c>
      <c r="Q20" s="236">
        <v>0.35</v>
      </c>
      <c r="R20" s="236">
        <v>0.35</v>
      </c>
      <c r="S20" s="236">
        <v>0.35</v>
      </c>
      <c r="T20" s="34">
        <f t="shared" si="0"/>
        <v>3.9000000000000004</v>
      </c>
    </row>
    <row r="21" spans="2:20">
      <c r="B21" s="230"/>
      <c r="C21" s="230"/>
      <c r="D21" s="230" t="s">
        <v>899</v>
      </c>
      <c r="E21" s="230"/>
      <c r="F21" s="232"/>
      <c r="H21" s="237">
        <v>1689.9999999999998</v>
      </c>
      <c r="I21" s="237">
        <v>1789.9999999999998</v>
      </c>
      <c r="J21" s="237">
        <v>1889.9999999999995</v>
      </c>
      <c r="K21" s="237">
        <v>1989.9999999999995</v>
      </c>
      <c r="L21" s="237">
        <v>2089.9999999999995</v>
      </c>
      <c r="M21" s="237">
        <v>2189.9999999999995</v>
      </c>
      <c r="N21" s="237">
        <v>2671.6666666666656</v>
      </c>
      <c r="O21" s="237">
        <v>2788.3333333333321</v>
      </c>
      <c r="P21" s="237">
        <v>2904.9999999999991</v>
      </c>
      <c r="Q21" s="237">
        <v>3021.6666666666661</v>
      </c>
      <c r="R21" s="237">
        <v>3138.333333333333</v>
      </c>
      <c r="S21" s="237">
        <v>3255</v>
      </c>
      <c r="T21" s="34">
        <f t="shared" si="0"/>
        <v>29419.999999999996</v>
      </c>
    </row>
    <row r="22" spans="2:20">
      <c r="B22" s="230"/>
      <c r="C22" s="230"/>
      <c r="D22" s="230" t="s">
        <v>900</v>
      </c>
      <c r="E22" s="230"/>
      <c r="F22" s="232"/>
      <c r="H22" s="193">
        <v>0.70416666666666661</v>
      </c>
      <c r="I22" s="193">
        <v>0.74583333333333324</v>
      </c>
      <c r="J22" s="193">
        <v>0.78749999999999976</v>
      </c>
      <c r="K22" s="193">
        <v>0.8291666666666665</v>
      </c>
      <c r="L22" s="193">
        <v>0.87083333333333313</v>
      </c>
      <c r="M22" s="193">
        <v>0.91249999999999976</v>
      </c>
      <c r="N22" s="193">
        <v>1.1131944444444442</v>
      </c>
      <c r="O22" s="193">
        <v>1.1618055555555551</v>
      </c>
      <c r="P22" s="193">
        <v>1.2104166666666663</v>
      </c>
      <c r="Q22" s="193">
        <v>1.2590277777777776</v>
      </c>
      <c r="R22" s="193">
        <v>1.3076388888888888</v>
      </c>
      <c r="S22" s="193">
        <v>1.35625</v>
      </c>
      <c r="T22" s="34">
        <f t="shared" si="0"/>
        <v>12.258333333333329</v>
      </c>
    </row>
    <row r="23" spans="2:20">
      <c r="B23" s="230"/>
      <c r="C23" s="230"/>
      <c r="D23" s="230"/>
      <c r="E23" s="230"/>
      <c r="F23" s="232"/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34">
        <f t="shared" si="0"/>
        <v>0</v>
      </c>
    </row>
    <row r="24" spans="2:20">
      <c r="B24" s="230"/>
      <c r="C24" s="230"/>
      <c r="D24" s="230"/>
      <c r="E24" s="230"/>
      <c r="F24" s="232"/>
      <c r="H24" s="193"/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34">
        <f t="shared" si="0"/>
        <v>0</v>
      </c>
    </row>
    <row r="25" spans="2:20">
      <c r="B25" s="230"/>
      <c r="C25" s="230"/>
      <c r="D25" s="230"/>
      <c r="E25" s="230"/>
      <c r="F25" s="232"/>
      <c r="H25" s="193"/>
      <c r="I25" s="193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34">
        <f t="shared" si="0"/>
        <v>0</v>
      </c>
    </row>
    <row r="26" spans="2:20">
      <c r="B26" s="204"/>
      <c r="C26" s="204" t="s">
        <v>901</v>
      </c>
      <c r="D26" s="204"/>
      <c r="E26" s="204"/>
      <c r="F26" s="205"/>
      <c r="G26" s="205"/>
      <c r="H26" s="206">
        <v>3.2657975737939862</v>
      </c>
      <c r="I26" s="206">
        <v>3.2703181761840843</v>
      </c>
      <c r="J26" s="206">
        <v>3.2764615558169323</v>
      </c>
      <c r="K26" s="206">
        <v>3.2827940305449985</v>
      </c>
      <c r="L26" s="206">
        <v>3.2889787637745944</v>
      </c>
      <c r="M26" s="206">
        <v>3.2948183445440198</v>
      </c>
      <c r="N26" s="206">
        <v>3.3005490830121573</v>
      </c>
      <c r="O26" s="206">
        <v>3.3061733686122086</v>
      </c>
      <c r="P26" s="206">
        <v>3.3116928786186839</v>
      </c>
      <c r="Q26" s="206">
        <v>3.3171149643421893</v>
      </c>
      <c r="R26" s="206">
        <v>3.3224259440671191</v>
      </c>
      <c r="S26" s="206">
        <v>3.3276225561112227</v>
      </c>
      <c r="T26" s="34">
        <f t="shared" si="0"/>
        <v>39.564747239422196</v>
      </c>
    </row>
    <row r="27" spans="2:20">
      <c r="B27" s="207"/>
      <c r="C27" s="207"/>
      <c r="D27" s="207" t="s">
        <v>902</v>
      </c>
      <c r="E27" s="207"/>
      <c r="F27" s="208"/>
      <c r="G27" s="208" t="s">
        <v>736</v>
      </c>
      <c r="H27" s="209">
        <v>0.18538822373866259</v>
      </c>
      <c r="I27" s="209">
        <v>0.18854124893511767</v>
      </c>
      <c r="J27" s="209">
        <v>0.19282612716643194</v>
      </c>
      <c r="K27" s="209">
        <v>0.19724289525407449</v>
      </c>
      <c r="L27" s="209">
        <v>0.20155661675034744</v>
      </c>
      <c r="M27" s="209">
        <v>0.20562960165675334</v>
      </c>
      <c r="N27" s="209">
        <v>0.20962667134461399</v>
      </c>
      <c r="O27" s="209">
        <v>0.21354949239338922</v>
      </c>
      <c r="P27" s="209">
        <v>0.21739923466681324</v>
      </c>
      <c r="Q27" s="209">
        <v>0.22118102554959426</v>
      </c>
      <c r="R27" s="209">
        <v>0.22488532233252839</v>
      </c>
      <c r="S27" s="209">
        <v>0.22850985006076885</v>
      </c>
      <c r="T27" s="34">
        <f t="shared" si="0"/>
        <v>2.4863363098490949</v>
      </c>
    </row>
    <row r="28" spans="2:20">
      <c r="B28" s="207"/>
      <c r="C28" s="207"/>
      <c r="D28" s="207" t="s">
        <v>903</v>
      </c>
      <c r="E28" s="207"/>
      <c r="F28" s="210"/>
      <c r="G28" s="208" t="s">
        <v>736</v>
      </c>
      <c r="H28" s="211">
        <v>8.0409350055323528E-2</v>
      </c>
      <c r="I28" s="211">
        <v>8.1776927248966721E-2</v>
      </c>
      <c r="J28" s="211">
        <v>8.3635428650500596E-2</v>
      </c>
      <c r="K28" s="211">
        <v>8.5551135290923883E-2</v>
      </c>
      <c r="L28" s="211">
        <v>8.7422147024247082E-2</v>
      </c>
      <c r="M28" s="211">
        <v>8.9188742887266526E-2</v>
      </c>
      <c r="N28" s="211">
        <v>9.0922411667543418E-2</v>
      </c>
      <c r="O28" s="211">
        <v>9.2623876218819415E-2</v>
      </c>
      <c r="P28" s="211">
        <v>9.4293643951870787E-2</v>
      </c>
      <c r="Q28" s="211">
        <v>9.5933938792595097E-2</v>
      </c>
      <c r="R28" s="211">
        <v>9.7540621734590618E-2</v>
      </c>
      <c r="S28" s="211">
        <v>9.9112706050453955E-2</v>
      </c>
      <c r="T28" s="34">
        <f t="shared" si="0"/>
        <v>1.0784109295731017</v>
      </c>
    </row>
    <row r="29" spans="2:20">
      <c r="B29" s="204"/>
      <c r="C29" s="204"/>
      <c r="D29" s="207" t="s">
        <v>904</v>
      </c>
      <c r="E29" s="204"/>
      <c r="F29" s="212"/>
      <c r="G29" s="212" t="s">
        <v>736</v>
      </c>
      <c r="H29" s="209">
        <v>3</v>
      </c>
      <c r="I29" s="209">
        <v>3</v>
      </c>
      <c r="J29" s="209">
        <v>3</v>
      </c>
      <c r="K29" s="209">
        <v>3</v>
      </c>
      <c r="L29" s="209">
        <v>3</v>
      </c>
      <c r="M29" s="209">
        <v>3</v>
      </c>
      <c r="N29" s="209">
        <v>3</v>
      </c>
      <c r="O29" s="209">
        <v>3</v>
      </c>
      <c r="P29" s="209">
        <v>3</v>
      </c>
      <c r="Q29" s="209">
        <v>3</v>
      </c>
      <c r="R29" s="209">
        <v>3</v>
      </c>
      <c r="S29" s="209">
        <v>3</v>
      </c>
      <c r="T29" s="34">
        <f t="shared" si="0"/>
        <v>36</v>
      </c>
    </row>
    <row r="30" spans="2:20">
      <c r="B30" s="230"/>
      <c r="C30" s="230"/>
      <c r="D30" s="230"/>
      <c r="E30" s="230"/>
      <c r="F30" s="232"/>
      <c r="T30" s="34">
        <f t="shared" si="0"/>
        <v>0</v>
      </c>
    </row>
    <row r="31" spans="2:20">
      <c r="B31" s="229" t="s">
        <v>905</v>
      </c>
      <c r="C31" s="230"/>
      <c r="D31" s="230"/>
      <c r="E31" s="230"/>
      <c r="F31" s="232"/>
      <c r="T31" s="34">
        <f t="shared" si="0"/>
        <v>0</v>
      </c>
    </row>
    <row r="32" spans="2:20">
      <c r="B32" s="229" t="s">
        <v>817</v>
      </c>
      <c r="C32" s="230"/>
      <c r="D32" s="230"/>
      <c r="E32" s="230"/>
      <c r="F32" s="232"/>
      <c r="H32" s="237">
        <v>39827.185400297196</v>
      </c>
      <c r="I32" s="237">
        <v>25576.828583365001</v>
      </c>
      <c r="J32" s="237">
        <v>36948.99710421593</v>
      </c>
      <c r="K32" s="237">
        <v>42644.886377019153</v>
      </c>
      <c r="L32" s="237">
        <v>45825.903375714784</v>
      </c>
      <c r="M32" s="237">
        <v>48513.394458601397</v>
      </c>
      <c r="N32" s="237">
        <v>52114.146425768107</v>
      </c>
      <c r="O32" s="237">
        <v>51048.997907130717</v>
      </c>
      <c r="P32" s="237">
        <v>53665.651773184713</v>
      </c>
      <c r="Q32" s="237">
        <v>59522.222222222219</v>
      </c>
      <c r="R32" s="237">
        <v>60822.222222222219</v>
      </c>
      <c r="S32" s="237">
        <v>61833.333333333328</v>
      </c>
      <c r="T32" s="34">
        <f t="shared" si="0"/>
        <v>578343.76918307482</v>
      </c>
    </row>
    <row r="33" spans="2:20">
      <c r="B33" s="230"/>
      <c r="C33" s="128" t="s">
        <v>906</v>
      </c>
      <c r="D33" s="230"/>
      <c r="E33" s="230"/>
      <c r="F33" s="232"/>
      <c r="T33" s="34">
        <f t="shared" si="0"/>
        <v>0</v>
      </c>
    </row>
    <row r="34" spans="2:20">
      <c r="B34" s="231"/>
      <c r="C34" s="238"/>
      <c r="D34" s="231" t="s">
        <v>822</v>
      </c>
      <c r="E34" s="231"/>
      <c r="F34" s="239"/>
      <c r="G34" s="239"/>
      <c r="H34" s="231">
        <v>19289.6854002972</v>
      </c>
      <c r="I34" s="231">
        <v>10919.328583364999</v>
      </c>
      <c r="J34" s="231">
        <v>17023.997104215927</v>
      </c>
      <c r="K34" s="231">
        <v>21249.886377019156</v>
      </c>
      <c r="L34" s="231">
        <v>24430.903375714784</v>
      </c>
      <c r="M34" s="231">
        <v>26873.3944586014</v>
      </c>
      <c r="N34" s="231">
        <v>28514.146425768111</v>
      </c>
      <c r="O34" s="231">
        <v>27448.997907130717</v>
      </c>
      <c r="P34" s="231">
        <v>29665.651773184713</v>
      </c>
      <c r="Q34" s="231">
        <v>33200</v>
      </c>
      <c r="R34" s="231">
        <v>34500</v>
      </c>
      <c r="S34" s="231">
        <v>35500</v>
      </c>
      <c r="T34" s="34">
        <f t="shared" si="0"/>
        <v>308615.99140529701</v>
      </c>
    </row>
    <row r="35" spans="2:20">
      <c r="B35" s="231"/>
      <c r="C35" s="238"/>
      <c r="D35" s="231" t="s">
        <v>795</v>
      </c>
      <c r="E35" s="231"/>
      <c r="F35" s="239"/>
      <c r="G35" s="239"/>
      <c r="H35" s="231">
        <v>192.89685400297199</v>
      </c>
      <c r="I35" s="231">
        <v>109.19328583364999</v>
      </c>
      <c r="J35" s="231">
        <v>170.23997104215925</v>
      </c>
      <c r="K35" s="231">
        <v>212.49886377019155</v>
      </c>
      <c r="L35" s="231">
        <v>244.30903375714786</v>
      </c>
      <c r="M35" s="231">
        <v>268.73394458601399</v>
      </c>
      <c r="N35" s="231">
        <v>285.14146425768109</v>
      </c>
      <c r="O35" s="231">
        <v>274.48997907130718</v>
      </c>
      <c r="P35" s="231">
        <v>296.65651773184715</v>
      </c>
      <c r="Q35" s="231">
        <v>332</v>
      </c>
      <c r="R35" s="231">
        <v>345</v>
      </c>
      <c r="S35" s="231">
        <v>355</v>
      </c>
      <c r="T35" s="34">
        <f t="shared" si="0"/>
        <v>3086.1599140529697</v>
      </c>
    </row>
    <row r="36" spans="2:20">
      <c r="B36" s="231"/>
      <c r="C36" s="238"/>
      <c r="D36" s="231" t="s">
        <v>796</v>
      </c>
      <c r="E36" s="231"/>
      <c r="F36" s="239"/>
      <c r="G36" s="239"/>
      <c r="H36" s="231">
        <v>486.73126556651368</v>
      </c>
      <c r="I36" s="231">
        <v>547.34457149262425</v>
      </c>
      <c r="J36" s="231">
        <v>659.90512214110663</v>
      </c>
      <c r="K36" s="231">
        <v>800.53790126410809</v>
      </c>
      <c r="L36" s="231">
        <v>955.27261172654971</v>
      </c>
      <c r="M36" s="231">
        <v>1114.0731468714284</v>
      </c>
      <c r="N36" s="231">
        <v>1266.8867063058065</v>
      </c>
      <c r="O36" s="231">
        <v>1388.0241793656705</v>
      </c>
      <c r="P36" s="231">
        <v>1511.9414428301325</v>
      </c>
      <c r="Q36" s="231">
        <v>1650.39670375176</v>
      </c>
      <c r="R36" s="231">
        <v>1780.4352980067208</v>
      </c>
      <c r="S36" s="231">
        <v>1899.5243491366814</v>
      </c>
      <c r="T36" s="34">
        <f t="shared" si="0"/>
        <v>14061.073298459103</v>
      </c>
    </row>
    <row r="37" spans="2:20">
      <c r="B37" s="231"/>
      <c r="C37" s="238"/>
      <c r="D37" s="231" t="s">
        <v>215</v>
      </c>
      <c r="E37" s="231"/>
      <c r="F37" s="239"/>
      <c r="G37" s="239"/>
      <c r="H37" s="240">
        <v>25.171887550663609</v>
      </c>
      <c r="I37" s="240">
        <v>23.448447480412661</v>
      </c>
      <c r="J37" s="240">
        <v>30.888056001201853</v>
      </c>
      <c r="K37" s="240">
        <v>37.774310353544145</v>
      </c>
      <c r="L37" s="240">
        <v>46.596358965405599</v>
      </c>
      <c r="M37" s="240">
        <v>53.556403552088526</v>
      </c>
      <c r="N37" s="240">
        <v>59.818598893229542</v>
      </c>
      <c r="O37" s="240">
        <v>63.666332757912045</v>
      </c>
      <c r="P37" s="240">
        <v>68.91715186889256</v>
      </c>
      <c r="Q37" s="240">
        <v>75.414135221577908</v>
      </c>
      <c r="R37" s="240">
        <v>80.897968150202132</v>
      </c>
      <c r="S37" s="240">
        <v>85.544810361690594</v>
      </c>
      <c r="T37" s="34">
        <f t="shared" si="0"/>
        <v>651.69446115682115</v>
      </c>
    </row>
    <row r="38" spans="2:20">
      <c r="B38" s="231"/>
      <c r="C38" s="238"/>
      <c r="D38" s="231" t="s">
        <v>472</v>
      </c>
      <c r="E38" s="231"/>
      <c r="F38" s="239"/>
      <c r="G38" s="239"/>
      <c r="H38" s="240">
        <v>2.3714568476783735</v>
      </c>
      <c r="I38" s="240">
        <v>3.0160545247558193</v>
      </c>
      <c r="J38" s="240">
        <v>3.5211449397650489</v>
      </c>
      <c r="K38" s="240">
        <v>4.2596254849318766</v>
      </c>
      <c r="L38" s="240">
        <v>5.1211139962227525</v>
      </c>
      <c r="M38" s="240">
        <v>6.0355917959107694</v>
      </c>
      <c r="N38" s="240">
        <v>6.944466238433602</v>
      </c>
      <c r="O38" s="240">
        <v>7.7434900832084752</v>
      </c>
      <c r="P38" s="240">
        <v>8.4582330647377599</v>
      </c>
      <c r="Q38" s="240">
        <v>9.2234862608638544</v>
      </c>
      <c r="R38" s="240">
        <v>10.006593338462237</v>
      </c>
      <c r="S38" s="240">
        <v>10.733215637501592</v>
      </c>
      <c r="T38" s="34">
        <f t="shared" si="0"/>
        <v>77.434472212472159</v>
      </c>
    </row>
    <row r="39" spans="2:20">
      <c r="B39" s="242"/>
      <c r="C39" s="241" t="s">
        <v>217</v>
      </c>
      <c r="D39" s="242"/>
      <c r="E39" s="242"/>
      <c r="F39" s="243"/>
      <c r="G39" s="243"/>
      <c r="H39" s="244">
        <v>22.800430702985235</v>
      </c>
      <c r="I39" s="244">
        <v>20.432392955656841</v>
      </c>
      <c r="J39" s="244">
        <v>27.366911061436806</v>
      </c>
      <c r="K39" s="244">
        <v>33.514684868612264</v>
      </c>
      <c r="L39" s="244">
        <v>41.475244969182839</v>
      </c>
      <c r="M39" s="244">
        <v>47.520811756177764</v>
      </c>
      <c r="N39" s="244">
        <v>52.874132654795943</v>
      </c>
      <c r="O39" s="244">
        <v>55.92284267470356</v>
      </c>
      <c r="P39" s="244">
        <v>60.458918804154791</v>
      </c>
      <c r="Q39" s="244">
        <v>66.190648960714057</v>
      </c>
      <c r="R39" s="244">
        <v>70.891374811739894</v>
      </c>
      <c r="S39" s="244">
        <v>74.811594724189007</v>
      </c>
      <c r="T39" s="34">
        <f t="shared" si="0"/>
        <v>574.25998894434906</v>
      </c>
    </row>
    <row r="40" spans="2:20">
      <c r="B40" s="238"/>
      <c r="C40" s="238" t="s">
        <v>797</v>
      </c>
      <c r="D40" s="238"/>
      <c r="E40" s="238"/>
      <c r="F40" s="213"/>
      <c r="G40" s="213"/>
      <c r="H40" s="245">
        <v>10.937274181802458</v>
      </c>
      <c r="I40" s="245">
        <v>13.717005876887367</v>
      </c>
      <c r="J40" s="245">
        <v>16.89715284234401</v>
      </c>
      <c r="K40" s="245">
        <v>20.446004746745484</v>
      </c>
      <c r="L40" s="245">
        <v>26.450239393118249</v>
      </c>
      <c r="M40" s="245">
        <v>30.9936741641379</v>
      </c>
      <c r="N40" s="245">
        <v>35.337932602948555</v>
      </c>
      <c r="O40" s="245">
        <v>39.041708961818173</v>
      </c>
      <c r="P40" s="245">
        <v>42.214542963646196</v>
      </c>
      <c r="Q40" s="245">
        <v>45.772648960714051</v>
      </c>
      <c r="R40" s="245">
        <v>49.673874811739893</v>
      </c>
      <c r="S40" s="245">
        <v>52.979094724188997</v>
      </c>
      <c r="T40" s="34">
        <f t="shared" si="0"/>
        <v>384.46115423009132</v>
      </c>
    </row>
    <row r="41" spans="2:20">
      <c r="B41" s="230"/>
      <c r="C41" s="230"/>
      <c r="D41" s="230" t="s">
        <v>737</v>
      </c>
      <c r="E41" s="230"/>
      <c r="F41" s="232"/>
      <c r="G41" s="232" t="s">
        <v>736</v>
      </c>
      <c r="H41" s="246">
        <v>13.308731029480832</v>
      </c>
      <c r="I41" s="246">
        <v>16.733060401643186</v>
      </c>
      <c r="J41" s="246">
        <v>20.418297782109057</v>
      </c>
      <c r="K41" s="246">
        <v>24.705630231677361</v>
      </c>
      <c r="L41" s="246">
        <v>31.571353389341002</v>
      </c>
      <c r="M41" s="246">
        <v>37.029265960048669</v>
      </c>
      <c r="N41" s="246">
        <v>42.282398841382154</v>
      </c>
      <c r="O41" s="246">
        <v>46.785199045026651</v>
      </c>
      <c r="P41" s="246">
        <v>50.672776028383957</v>
      </c>
      <c r="Q41" s="246">
        <v>54.996135221577902</v>
      </c>
      <c r="R41" s="246">
        <v>59.680468150202131</v>
      </c>
      <c r="S41" s="246">
        <v>63.712310361690591</v>
      </c>
      <c r="T41" s="34">
        <f t="shared" si="0"/>
        <v>461.89562644256353</v>
      </c>
    </row>
    <row r="42" spans="2:20">
      <c r="B42" s="230"/>
      <c r="C42" s="230"/>
      <c r="D42" s="230" t="s">
        <v>798</v>
      </c>
      <c r="E42" s="230"/>
      <c r="F42" s="232"/>
      <c r="G42" s="232" t="s">
        <v>736</v>
      </c>
      <c r="H42" s="246">
        <v>2.3714568476783735</v>
      </c>
      <c r="I42" s="246">
        <v>3.0160545247558193</v>
      </c>
      <c r="J42" s="246">
        <v>3.5211449397650489</v>
      </c>
      <c r="K42" s="246">
        <v>4.2596254849318766</v>
      </c>
      <c r="L42" s="246">
        <v>5.1211139962227525</v>
      </c>
      <c r="M42" s="246">
        <v>6.0355917959107694</v>
      </c>
      <c r="N42" s="246">
        <v>6.944466238433602</v>
      </c>
      <c r="O42" s="246">
        <v>7.7434900832084752</v>
      </c>
      <c r="P42" s="246">
        <v>8.4582330647377599</v>
      </c>
      <c r="Q42" s="246">
        <v>9.2234862608638544</v>
      </c>
      <c r="R42" s="246">
        <v>10.006593338462237</v>
      </c>
      <c r="S42" s="246">
        <v>10.733215637501592</v>
      </c>
      <c r="T42" s="34">
        <f t="shared" si="0"/>
        <v>77.434472212472159</v>
      </c>
    </row>
    <row r="43" spans="2:20">
      <c r="B43" s="231"/>
      <c r="C43" s="238" t="s">
        <v>593</v>
      </c>
      <c r="D43" s="231"/>
      <c r="E43" s="231"/>
      <c r="F43" s="239"/>
      <c r="G43" s="239"/>
      <c r="H43" s="240">
        <v>11.863156521182777</v>
      </c>
      <c r="I43" s="240">
        <v>6.7153870787694752</v>
      </c>
      <c r="J43" s="240">
        <v>10.469758219092796</v>
      </c>
      <c r="K43" s="240">
        <v>13.068680121866782</v>
      </c>
      <c r="L43" s="240">
        <v>15.025005576064594</v>
      </c>
      <c r="M43" s="240">
        <v>16.52713759203986</v>
      </c>
      <c r="N43" s="240">
        <v>17.536200051847388</v>
      </c>
      <c r="O43" s="240">
        <v>16.88113371288539</v>
      </c>
      <c r="P43" s="240">
        <v>18.244375840508599</v>
      </c>
      <c r="Q43" s="240">
        <v>20.418000000000003</v>
      </c>
      <c r="R43" s="240">
        <v>21.217500000000001</v>
      </c>
      <c r="S43" s="240">
        <v>21.832500000000003</v>
      </c>
      <c r="T43" s="34">
        <f t="shared" si="0"/>
        <v>189.79883471425765</v>
      </c>
    </row>
    <row r="44" spans="2:20">
      <c r="B44" s="230"/>
      <c r="C44" s="230"/>
      <c r="D44" s="230" t="s">
        <v>799</v>
      </c>
      <c r="E44" s="230"/>
      <c r="F44" s="232"/>
      <c r="H44" s="246">
        <v>0.38579370800594404</v>
      </c>
      <c r="I44" s="246">
        <v>0.21838657166730002</v>
      </c>
      <c r="J44" s="246">
        <v>0.34047994208431853</v>
      </c>
      <c r="K44" s="246">
        <v>0.42499772754038312</v>
      </c>
      <c r="L44" s="246">
        <v>0.48861806751429576</v>
      </c>
      <c r="M44" s="246">
        <v>0.53746788917202803</v>
      </c>
      <c r="N44" s="246">
        <v>0.57028292851536222</v>
      </c>
      <c r="O44" s="246">
        <v>0.54897995814261435</v>
      </c>
      <c r="P44" s="246">
        <v>0.59331303546369429</v>
      </c>
      <c r="Q44" s="246">
        <v>0.66400000000000003</v>
      </c>
      <c r="R44" s="246">
        <v>0.69000000000000006</v>
      </c>
      <c r="S44" s="246">
        <v>0.71</v>
      </c>
      <c r="T44" s="34">
        <f t="shared" si="0"/>
        <v>6.1723198281059402</v>
      </c>
    </row>
    <row r="45" spans="2:20">
      <c r="B45" s="230"/>
      <c r="C45" s="230"/>
      <c r="D45" s="230" t="s">
        <v>540</v>
      </c>
      <c r="E45" s="230"/>
      <c r="F45" s="232"/>
      <c r="H45" s="246">
        <v>11.477362813176834</v>
      </c>
      <c r="I45" s="246">
        <v>6.4970005071021752</v>
      </c>
      <c r="J45" s="246">
        <v>10.129278277008478</v>
      </c>
      <c r="K45" s="246">
        <v>12.643682394326399</v>
      </c>
      <c r="L45" s="246">
        <v>14.536387508550298</v>
      </c>
      <c r="M45" s="246">
        <v>15.989669702867833</v>
      </c>
      <c r="N45" s="246">
        <v>16.965917123332027</v>
      </c>
      <c r="O45" s="246">
        <v>16.332153754742777</v>
      </c>
      <c r="P45" s="246">
        <v>17.651062805044905</v>
      </c>
      <c r="Q45" s="246">
        <v>19.754000000000001</v>
      </c>
      <c r="R45" s="246">
        <v>20.5275</v>
      </c>
      <c r="S45" s="246">
        <v>21.122500000000002</v>
      </c>
      <c r="T45" s="34">
        <f t="shared" si="0"/>
        <v>183.62651488615171</v>
      </c>
    </row>
    <row r="46" spans="2:20">
      <c r="B46" s="95"/>
      <c r="C46" s="95" t="s">
        <v>145</v>
      </c>
      <c r="D46" s="95"/>
      <c r="E46" s="95"/>
      <c r="F46" s="214"/>
      <c r="G46" s="214"/>
      <c r="H46" s="247">
        <v>26.818830382730855</v>
      </c>
      <c r="I46" s="247">
        <v>23.900433823834735</v>
      </c>
      <c r="J46" s="247">
        <v>28.778154346680402</v>
      </c>
      <c r="K46" s="247">
        <v>31.354297549855914</v>
      </c>
      <c r="L46" s="247">
        <v>31.872957822009447</v>
      </c>
      <c r="M46" s="247">
        <v>35.120290357567136</v>
      </c>
      <c r="N46" s="247">
        <v>37.320894691598951</v>
      </c>
      <c r="O46" s="247">
        <v>36.191515250819236</v>
      </c>
      <c r="P46" s="247">
        <v>37.912925145408572</v>
      </c>
      <c r="Q46" s="247">
        <v>39.160736116957068</v>
      </c>
      <c r="R46" s="247">
        <v>35.102105612887343</v>
      </c>
      <c r="S46" s="247">
        <v>36.925181072037716</v>
      </c>
      <c r="T46" s="34">
        <f t="shared" si="0"/>
        <v>400.4583221723874</v>
      </c>
    </row>
    <row r="47" spans="2:20">
      <c r="B47" s="230"/>
      <c r="C47" s="230"/>
      <c r="D47" s="230" t="s">
        <v>100</v>
      </c>
      <c r="E47" s="230"/>
      <c r="F47" s="232"/>
      <c r="H47" s="246">
        <v>0.77158741601188796</v>
      </c>
      <c r="I47" s="246">
        <v>0.43677314333459999</v>
      </c>
      <c r="J47" s="246">
        <v>0.68095988416863706</v>
      </c>
      <c r="K47" s="246">
        <v>0.84999545508076624</v>
      </c>
      <c r="L47" s="246">
        <v>0.97723613502859141</v>
      </c>
      <c r="M47" s="246">
        <v>1.0749357783440561</v>
      </c>
      <c r="N47" s="246">
        <v>1.026509271327652</v>
      </c>
      <c r="O47" s="246">
        <v>0.98816392465670588</v>
      </c>
      <c r="P47" s="246">
        <v>1.0679634638346498</v>
      </c>
      <c r="Q47" s="246">
        <v>1.1288</v>
      </c>
      <c r="R47" s="246">
        <v>0.58649999999999991</v>
      </c>
      <c r="S47" s="246">
        <v>0.60349999999999993</v>
      </c>
      <c r="T47" s="34">
        <f t="shared" si="0"/>
        <v>10.192924471787546</v>
      </c>
    </row>
    <row r="48" spans="2:20">
      <c r="B48" s="230"/>
      <c r="C48" s="230"/>
      <c r="D48" s="230" t="s">
        <v>107</v>
      </c>
      <c r="E48" s="230"/>
      <c r="F48" s="232"/>
      <c r="H48" s="246">
        <v>0.24110741196398602</v>
      </c>
      <c r="I48" s="246">
        <v>0.29570405488081097</v>
      </c>
      <c r="J48" s="246">
        <v>0.38082404040189061</v>
      </c>
      <c r="K48" s="246">
        <v>0.48707347228698639</v>
      </c>
      <c r="L48" s="246">
        <v>0.30461399458278016</v>
      </c>
      <c r="M48" s="246">
        <v>0.3717974807292837</v>
      </c>
      <c r="N48" s="246">
        <v>0.43508284679370401</v>
      </c>
      <c r="O48" s="246">
        <v>0.49410534156153074</v>
      </c>
      <c r="P48" s="246">
        <v>0.55826947099449264</v>
      </c>
      <c r="Q48" s="246">
        <v>0.62876947099449254</v>
      </c>
      <c r="R48" s="246">
        <v>0.69941855724449264</v>
      </c>
      <c r="S48" s="246">
        <v>0.77153997851324241</v>
      </c>
      <c r="T48" s="34">
        <f t="shared" si="0"/>
        <v>5.668306120947693</v>
      </c>
    </row>
    <row r="49" spans="2:20">
      <c r="B49" s="230"/>
      <c r="C49" s="230"/>
      <c r="D49" s="230" t="s">
        <v>806</v>
      </c>
      <c r="E49" s="230"/>
      <c r="F49" s="232"/>
      <c r="H49" s="246">
        <v>0.16068307938447568</v>
      </c>
      <c r="I49" s="246">
        <v>9.0958007099430443E-2</v>
      </c>
      <c r="J49" s="246">
        <v>0.14180989587811865</v>
      </c>
      <c r="K49" s="246">
        <v>0.17701155352056958</v>
      </c>
      <c r="L49" s="246">
        <v>0.20350942511970416</v>
      </c>
      <c r="M49" s="246">
        <v>0.22385537584014967</v>
      </c>
      <c r="N49" s="246">
        <v>0.23752283972664837</v>
      </c>
      <c r="O49" s="246">
        <v>0.22865015256639887</v>
      </c>
      <c r="P49" s="246">
        <v>0.24711487927062867</v>
      </c>
      <c r="Q49" s="246">
        <v>0.27655600000000002</v>
      </c>
      <c r="R49" s="246">
        <v>0.287385</v>
      </c>
      <c r="S49" s="246">
        <v>0.29571500000000001</v>
      </c>
      <c r="T49" s="34">
        <f t="shared" si="0"/>
        <v>2.5707712084061241</v>
      </c>
    </row>
    <row r="50" spans="2:20">
      <c r="B50" s="230"/>
      <c r="C50" s="230"/>
      <c r="D50" s="230" t="s">
        <v>907</v>
      </c>
      <c r="E50" s="230"/>
      <c r="F50" s="232"/>
      <c r="H50" s="246">
        <v>0.1464</v>
      </c>
      <c r="I50" s="246">
        <v>0.1464</v>
      </c>
      <c r="J50" s="246">
        <v>0.1464</v>
      </c>
      <c r="K50" s="246">
        <v>0.1464</v>
      </c>
      <c r="L50" s="246">
        <v>0.1464</v>
      </c>
      <c r="M50" s="246">
        <v>0.1464</v>
      </c>
      <c r="N50" s="246">
        <v>0.1464</v>
      </c>
      <c r="O50" s="246">
        <v>0.1464</v>
      </c>
      <c r="P50" s="246">
        <v>0.1464</v>
      </c>
      <c r="Q50" s="246">
        <v>0.1464</v>
      </c>
      <c r="R50" s="246">
        <v>0.1464</v>
      </c>
      <c r="S50" s="246">
        <v>0.1464</v>
      </c>
      <c r="T50" s="34">
        <f t="shared" si="0"/>
        <v>1.7568000000000004</v>
      </c>
    </row>
    <row r="51" spans="2:20">
      <c r="B51" s="229"/>
      <c r="C51" s="229"/>
      <c r="D51" s="230" t="s">
        <v>580</v>
      </c>
      <c r="E51" s="229"/>
      <c r="F51" s="203"/>
      <c r="G51" s="203"/>
      <c r="H51" s="248">
        <v>14.833331433794237</v>
      </c>
      <c r="I51" s="248">
        <v>14.833331433794237</v>
      </c>
      <c r="J51" s="248">
        <v>14.833331433794237</v>
      </c>
      <c r="K51" s="248">
        <v>14.833331433794237</v>
      </c>
      <c r="L51" s="248">
        <v>14.833331433794237</v>
      </c>
      <c r="M51" s="248">
        <v>14.833331433794237</v>
      </c>
      <c r="N51" s="248">
        <v>14.833331433794237</v>
      </c>
      <c r="O51" s="248">
        <v>14.833331433794237</v>
      </c>
      <c r="P51" s="248">
        <v>14.833331433794237</v>
      </c>
      <c r="Q51" s="248">
        <v>14.833331433794237</v>
      </c>
      <c r="R51" s="248">
        <v>14.833331433794237</v>
      </c>
      <c r="S51" s="248">
        <v>14.833331433794237</v>
      </c>
      <c r="T51" s="34">
        <f t="shared" si="0"/>
        <v>177.99997720553083</v>
      </c>
    </row>
    <row r="52" spans="2:20">
      <c r="B52" s="229"/>
      <c r="C52" s="229"/>
      <c r="D52" s="230" t="s">
        <v>807</v>
      </c>
      <c r="E52" s="229"/>
      <c r="F52" s="203"/>
      <c r="G52" s="203"/>
      <c r="H52" s="246">
        <v>0.38579370800594398</v>
      </c>
      <c r="I52" s="246">
        <v>0.21838657166729999</v>
      </c>
      <c r="J52" s="246">
        <v>0.34047994208431853</v>
      </c>
      <c r="K52" s="246">
        <v>0.42499772754038312</v>
      </c>
      <c r="L52" s="246">
        <v>0.48861806751429571</v>
      </c>
      <c r="M52" s="246">
        <v>0.53746788917202803</v>
      </c>
      <c r="N52" s="246">
        <v>0.57028292851536222</v>
      </c>
      <c r="O52" s="246">
        <v>0.54897995814261435</v>
      </c>
      <c r="P52" s="246">
        <v>0.59331303546369429</v>
      </c>
      <c r="Q52" s="246">
        <v>0.66400000000000003</v>
      </c>
      <c r="R52" s="246">
        <v>0.69</v>
      </c>
      <c r="S52" s="246">
        <v>0.71</v>
      </c>
      <c r="T52" s="34">
        <f t="shared" si="0"/>
        <v>6.1723198281059402</v>
      </c>
    </row>
    <row r="53" spans="2:20">
      <c r="B53" s="230"/>
      <c r="C53" s="230"/>
      <c r="D53" s="230" t="s">
        <v>808</v>
      </c>
      <c r="E53" s="230"/>
      <c r="F53" s="232"/>
      <c r="H53" s="249">
        <v>10.279927333570324</v>
      </c>
      <c r="I53" s="249">
        <v>7.8788806130583557</v>
      </c>
      <c r="J53" s="249">
        <v>12.254349150353198</v>
      </c>
      <c r="K53" s="249">
        <v>14.435487907632972</v>
      </c>
      <c r="L53" s="249">
        <v>14.919248765969838</v>
      </c>
      <c r="M53" s="249">
        <v>17.93250239968738</v>
      </c>
      <c r="N53" s="249">
        <v>20.071765371441348</v>
      </c>
      <c r="O53" s="249">
        <v>18.95188444009775</v>
      </c>
      <c r="P53" s="249">
        <v>20.466532862050869</v>
      </c>
      <c r="Q53" s="249">
        <v>21.482879212168335</v>
      </c>
      <c r="R53" s="249">
        <v>17.859070621848613</v>
      </c>
      <c r="S53" s="249">
        <v>19.56469465973024</v>
      </c>
      <c r="T53" s="34">
        <f t="shared" si="0"/>
        <v>196.09722333760925</v>
      </c>
    </row>
    <row r="54" spans="2:20">
      <c r="B54" s="230"/>
      <c r="C54" s="230"/>
      <c r="D54" s="229" t="s">
        <v>135</v>
      </c>
      <c r="E54" s="230"/>
      <c r="F54" s="232"/>
      <c r="G54" s="232" t="s">
        <v>736</v>
      </c>
      <c r="H54" s="247">
        <v>11.985498948936618</v>
      </c>
      <c r="I54" s="247">
        <v>9.0671023900404979</v>
      </c>
      <c r="J54" s="247">
        <v>13.944822912886165</v>
      </c>
      <c r="K54" s="247">
        <v>16.520966116061679</v>
      </c>
      <c r="L54" s="247">
        <v>17.039626388215211</v>
      </c>
      <c r="M54" s="247">
        <v>20.2869589237729</v>
      </c>
      <c r="N54" s="247">
        <v>22.487563257804716</v>
      </c>
      <c r="O54" s="247">
        <v>21.358183817025001</v>
      </c>
      <c r="P54" s="247">
        <v>23.079593711614336</v>
      </c>
      <c r="Q54" s="247">
        <v>24.327404683162833</v>
      </c>
      <c r="R54" s="247">
        <v>20.268774179093107</v>
      </c>
      <c r="S54" s="247">
        <v>22.091849638243481</v>
      </c>
      <c r="T54" s="34">
        <f t="shared" si="0"/>
        <v>222.45834496685654</v>
      </c>
    </row>
    <row r="55" spans="2:20">
      <c r="B55" s="230"/>
      <c r="C55" s="230"/>
      <c r="D55" s="230" t="s">
        <v>727</v>
      </c>
      <c r="E55" s="230"/>
      <c r="F55" s="232"/>
      <c r="G55" s="232" t="s">
        <v>736</v>
      </c>
      <c r="H55" s="246">
        <v>2.2405760358445854</v>
      </c>
      <c r="I55" s="246">
        <v>4.6746317295401294</v>
      </c>
      <c r="J55" s="246">
        <v>2.8582127607304111</v>
      </c>
      <c r="K55" s="246">
        <v>4.6437090533463188</v>
      </c>
      <c r="L55" s="246">
        <v>8.321358822583198</v>
      </c>
      <c r="M55" s="246">
        <v>7.6708064235391378</v>
      </c>
      <c r="N55" s="246">
        <v>8.2702096071485052</v>
      </c>
      <c r="O55" s="246">
        <v>8.5431315744591902</v>
      </c>
      <c r="P55" s="246">
        <v>9.2925866490276263</v>
      </c>
      <c r="Q55" s="246">
        <v>12.483450930293223</v>
      </c>
      <c r="R55" s="246">
        <v>19.86545874931528</v>
      </c>
      <c r="S55" s="246">
        <v>18.912467124959747</v>
      </c>
      <c r="T55" s="34">
        <f t="shared" si="0"/>
        <v>107.77659946078735</v>
      </c>
    </row>
    <row r="56" spans="2:20">
      <c r="B56" s="230"/>
      <c r="C56" s="230"/>
      <c r="D56" s="229" t="s">
        <v>860</v>
      </c>
      <c r="E56" s="230"/>
      <c r="F56" s="232"/>
      <c r="H56" s="247">
        <v>9.744922913092033</v>
      </c>
      <c r="I56" s="247">
        <v>4.3924706605003685</v>
      </c>
      <c r="J56" s="247">
        <v>11.086610152155753</v>
      </c>
      <c r="K56" s="247">
        <v>11.87725706271536</v>
      </c>
      <c r="L56" s="247">
        <v>8.7182675656320132</v>
      </c>
      <c r="M56" s="247">
        <v>12.616152500233763</v>
      </c>
      <c r="N56" s="247">
        <v>14.217353650656211</v>
      </c>
      <c r="O56" s="247">
        <v>12.815052242565811</v>
      </c>
      <c r="P56" s="247">
        <v>13.78700706258671</v>
      </c>
      <c r="Q56" s="247">
        <v>11.843953752869609</v>
      </c>
      <c r="R56" s="247">
        <v>0.40331542977782675</v>
      </c>
      <c r="S56" s="247">
        <v>3.1793825132837341</v>
      </c>
      <c r="T56" s="34">
        <f t="shared" si="0"/>
        <v>114.68174550606921</v>
      </c>
    </row>
    <row r="57" spans="2:20">
      <c r="B57" s="230"/>
      <c r="C57" s="230"/>
      <c r="D57" s="229"/>
      <c r="E57" s="230"/>
      <c r="F57" s="232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47"/>
      <c r="S57" s="247"/>
      <c r="T57" s="34">
        <f t="shared" si="0"/>
        <v>0</v>
      </c>
    </row>
    <row r="58" spans="2:20">
      <c r="B58" s="230"/>
      <c r="C58" s="230"/>
      <c r="D58" s="230"/>
      <c r="E58" s="230"/>
      <c r="F58" s="232"/>
      <c r="T58" s="34">
        <f t="shared" si="0"/>
        <v>0</v>
      </c>
    </row>
    <row r="59" spans="2:20">
      <c r="B59" s="230"/>
      <c r="C59" s="128" t="s">
        <v>908</v>
      </c>
      <c r="D59" s="230"/>
      <c r="E59" s="230"/>
      <c r="F59" s="232"/>
      <c r="T59" s="34">
        <f t="shared" si="0"/>
        <v>0</v>
      </c>
    </row>
    <row r="60" spans="2:20">
      <c r="B60" s="230"/>
      <c r="C60" s="230"/>
      <c r="D60" s="230" t="s">
        <v>737</v>
      </c>
      <c r="E60" s="230"/>
      <c r="F60" s="232"/>
      <c r="G60" s="232"/>
      <c r="H60" s="246">
        <v>0</v>
      </c>
      <c r="I60" s="246">
        <v>1.4462494165520881E-3</v>
      </c>
      <c r="J60" s="246">
        <v>5.2480401729958857E-3</v>
      </c>
      <c r="K60" s="246">
        <v>1.1818102548553295E-2</v>
      </c>
      <c r="L60" s="246">
        <v>4.0794213637491125E-2</v>
      </c>
      <c r="M60" s="246">
        <v>9.4927350136127464E-2</v>
      </c>
      <c r="N60" s="246">
        <v>0.1625841160621847</v>
      </c>
      <c r="O60" s="246">
        <v>0.24294437807014319</v>
      </c>
      <c r="P60" s="246">
        <v>0.33266490204653443</v>
      </c>
      <c r="Q60" s="246">
        <v>0.42773183154366035</v>
      </c>
      <c r="R60" s="246">
        <v>0.52989794738471452</v>
      </c>
      <c r="S60" s="246">
        <v>0.64399360940343331</v>
      </c>
      <c r="T60" s="34">
        <f t="shared" si="0"/>
        <v>2.4940507404223902</v>
      </c>
    </row>
    <row r="61" spans="2:20">
      <c r="B61" s="230"/>
      <c r="C61" s="230"/>
      <c r="D61" s="230" t="s">
        <v>909</v>
      </c>
      <c r="E61" s="230"/>
      <c r="F61" s="232"/>
      <c r="G61" s="232"/>
      <c r="H61" s="246">
        <v>0</v>
      </c>
      <c r="I61" s="246">
        <v>2.0961088673639161E-4</v>
      </c>
      <c r="J61" s="246">
        <v>7.3247359865105742E-4</v>
      </c>
      <c r="K61" s="246">
        <v>1.649463002876455E-3</v>
      </c>
      <c r="L61" s="246">
        <v>5.3986745225804867E-3</v>
      </c>
      <c r="M61" s="246">
        <v>1.2562611727978065E-2</v>
      </c>
      <c r="N61" s="246">
        <v>2.1516255539597334E-2</v>
      </c>
      <c r="O61" s="246">
        <v>3.2151070147999221E-2</v>
      </c>
      <c r="P61" s="246">
        <v>4.4024614549373897E-2</v>
      </c>
      <c r="Q61" s="246">
        <v>5.6605698101488508E-2</v>
      </c>
      <c r="R61" s="246">
        <v>7.012628245601088E-2</v>
      </c>
      <c r="S61" s="246">
        <v>8.5225613678596823E-2</v>
      </c>
      <c r="T61" s="34">
        <f t="shared" si="0"/>
        <v>0.33020236821188914</v>
      </c>
    </row>
    <row r="62" spans="2:20">
      <c r="B62" s="230"/>
      <c r="C62" s="230"/>
      <c r="D62" s="230" t="s">
        <v>798</v>
      </c>
      <c r="E62" s="230"/>
      <c r="F62" s="232"/>
      <c r="G62" s="232"/>
      <c r="H62" s="246">
        <v>0</v>
      </c>
      <c r="I62" s="246">
        <v>2.6503806503462221E-4</v>
      </c>
      <c r="J62" s="246">
        <v>9.2616079392654103E-4</v>
      </c>
      <c r="K62" s="246">
        <v>2.0856287067682814E-3</v>
      </c>
      <c r="L62" s="246">
        <v>6.826240141886806E-3</v>
      </c>
      <c r="M62" s="246">
        <v>1.5884529453624483E-2</v>
      </c>
      <c r="N62" s="246">
        <v>2.7205775538638979E-2</v>
      </c>
      <c r="O62" s="246">
        <v>4.065274258170818E-2</v>
      </c>
      <c r="P62" s="246">
        <v>5.5665995386657362E-2</v>
      </c>
      <c r="Q62" s="246">
        <v>7.1573881148740026E-2</v>
      </c>
      <c r="R62" s="246">
        <v>8.8669698886330139E-2</v>
      </c>
      <c r="S62" s="246">
        <v>0.10776172980542957</v>
      </c>
      <c r="T62" s="34">
        <f t="shared" si="0"/>
        <v>0.41751742050874502</v>
      </c>
    </row>
    <row r="63" spans="2:20">
      <c r="B63" s="230"/>
      <c r="C63" s="230"/>
      <c r="D63" s="229" t="s">
        <v>217</v>
      </c>
      <c r="E63" s="230"/>
      <c r="F63" s="232"/>
      <c r="G63" s="232"/>
      <c r="H63" s="247">
        <v>0</v>
      </c>
      <c r="I63" s="247">
        <v>9.7160046478107429E-4</v>
      </c>
      <c r="J63" s="247">
        <v>3.5894057804182872E-3</v>
      </c>
      <c r="K63" s="247">
        <v>8.0830108389085588E-3</v>
      </c>
      <c r="L63" s="247">
        <v>2.8569298973023835E-2</v>
      </c>
      <c r="M63" s="247">
        <v>6.6480208954524916E-2</v>
      </c>
      <c r="N63" s="247">
        <v>0.1138620849839484</v>
      </c>
      <c r="O63" s="247">
        <v>0.17014056534043578</v>
      </c>
      <c r="P63" s="247">
        <v>0.23297429211050316</v>
      </c>
      <c r="Q63" s="247">
        <v>0.2995522522934318</v>
      </c>
      <c r="R63" s="247">
        <v>0.3711019660423735</v>
      </c>
      <c r="S63" s="247">
        <v>0.4510062659194069</v>
      </c>
      <c r="T63" s="34">
        <f t="shared" si="0"/>
        <v>1.7463309517017562</v>
      </c>
    </row>
    <row r="64" spans="2:20">
      <c r="B64" s="230"/>
      <c r="C64" s="230"/>
      <c r="D64" s="229" t="s">
        <v>320</v>
      </c>
      <c r="E64" s="230"/>
      <c r="F64" s="232"/>
      <c r="H64" s="250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>
        <v>6.0373927587814888E-2</v>
      </c>
      <c r="T64" s="34">
        <f t="shared" si="0"/>
        <v>6.0373927587814888E-2</v>
      </c>
    </row>
    <row r="65" spans="2:20">
      <c r="B65" s="230"/>
      <c r="C65" s="230"/>
      <c r="D65" s="230"/>
      <c r="E65" s="230"/>
      <c r="F65" s="232"/>
      <c r="S65" s="193"/>
      <c r="T65" s="34">
        <f t="shared" si="0"/>
        <v>0</v>
      </c>
    </row>
    <row r="66" spans="2:20">
      <c r="B66" s="230"/>
      <c r="C66" s="128" t="s">
        <v>910</v>
      </c>
      <c r="D66" s="230"/>
      <c r="E66" s="230"/>
      <c r="F66" s="232"/>
      <c r="S66" s="251">
        <v>0</v>
      </c>
      <c r="T66" s="34">
        <f t="shared" si="0"/>
        <v>0</v>
      </c>
    </row>
    <row r="67" spans="2:20">
      <c r="B67" s="230"/>
      <c r="C67" s="229"/>
      <c r="D67" s="230" t="s">
        <v>817</v>
      </c>
      <c r="E67" s="230"/>
      <c r="F67" s="232"/>
      <c r="G67" t="s">
        <v>736</v>
      </c>
      <c r="H67" s="231">
        <v>16537.5</v>
      </c>
      <c r="I67" s="231">
        <v>10657.5</v>
      </c>
      <c r="J67" s="231">
        <v>15925.000000000002</v>
      </c>
      <c r="K67" s="231">
        <v>17395</v>
      </c>
      <c r="L67" s="231">
        <v>17395</v>
      </c>
      <c r="M67" s="231">
        <v>17640</v>
      </c>
      <c r="N67" s="231">
        <v>19600</v>
      </c>
      <c r="O67" s="231">
        <v>19600</v>
      </c>
      <c r="P67" s="231">
        <v>20000</v>
      </c>
      <c r="Q67" s="231">
        <v>22322.222222222223</v>
      </c>
      <c r="R67" s="231">
        <v>22322.222222222223</v>
      </c>
      <c r="S67" s="231">
        <v>22333.333333333332</v>
      </c>
      <c r="T67" s="34">
        <f t="shared" si="0"/>
        <v>221727.77777777778</v>
      </c>
    </row>
    <row r="68" spans="2:20">
      <c r="B68" s="230"/>
      <c r="C68" s="229"/>
      <c r="D68" s="231" t="s">
        <v>795</v>
      </c>
      <c r="E68" s="230"/>
      <c r="F68" s="232"/>
      <c r="G68" t="s">
        <v>736</v>
      </c>
      <c r="H68" s="231">
        <v>66.150000000000006</v>
      </c>
      <c r="I68" s="231">
        <v>42.63</v>
      </c>
      <c r="J68" s="231">
        <v>63.70000000000001</v>
      </c>
      <c r="K68" s="231">
        <v>69.58</v>
      </c>
      <c r="L68" s="231">
        <v>69.58</v>
      </c>
      <c r="M68" s="231">
        <v>70.56</v>
      </c>
      <c r="N68" s="231">
        <v>88.2</v>
      </c>
      <c r="O68" s="231">
        <v>88.2</v>
      </c>
      <c r="P68" s="231">
        <v>90</v>
      </c>
      <c r="Q68" s="231">
        <v>100.45</v>
      </c>
      <c r="R68" s="231">
        <v>100.45</v>
      </c>
      <c r="S68" s="231">
        <v>100.5</v>
      </c>
      <c r="T68" s="34">
        <f t="shared" si="0"/>
        <v>950.00000000000011</v>
      </c>
    </row>
    <row r="69" spans="2:20">
      <c r="B69" s="230"/>
      <c r="C69" s="229"/>
      <c r="D69" s="231" t="s">
        <v>796</v>
      </c>
      <c r="E69" s="230"/>
      <c r="F69" s="232"/>
      <c r="H69" s="231">
        <v>82.351503048770979</v>
      </c>
      <c r="I69" s="231">
        <v>62.448120243901684</v>
      </c>
      <c r="J69" s="231">
        <v>77.221849619512142</v>
      </c>
      <c r="K69" s="231">
        <v>88.497747969560962</v>
      </c>
      <c r="L69" s="231">
        <v>90.575819837564865</v>
      </c>
      <c r="M69" s="231">
        <v>91.72206558700519</v>
      </c>
      <c r="N69" s="231">
        <v>109.64976524696043</v>
      </c>
      <c r="O69" s="231">
        <v>114.61198121975684</v>
      </c>
      <c r="P69" s="231">
        <v>116.80895849758055</v>
      </c>
      <c r="Q69" s="231">
        <v>127.79471667980644</v>
      </c>
      <c r="R69" s="231">
        <v>130.76357733438454</v>
      </c>
      <c r="S69" s="231">
        <v>131.05108618675075</v>
      </c>
      <c r="T69" s="34">
        <f t="shared" si="0"/>
        <v>1223.4971914715554</v>
      </c>
    </row>
    <row r="70" spans="2:20">
      <c r="B70" s="230"/>
      <c r="C70" s="229"/>
      <c r="D70" s="231" t="s">
        <v>215</v>
      </c>
      <c r="E70" s="230"/>
      <c r="F70" s="232"/>
      <c r="G70" t="s">
        <v>736</v>
      </c>
      <c r="H70" s="240">
        <v>7.408818086741455</v>
      </c>
      <c r="I70" s="240">
        <v>5.2683419331655568</v>
      </c>
      <c r="J70" s="240">
        <v>6.75945460387981</v>
      </c>
      <c r="K70" s="240">
        <v>7.5944637648682516</v>
      </c>
      <c r="L70" s="240">
        <v>7.6467954791028241</v>
      </c>
      <c r="M70" s="240">
        <v>7.595625829982942</v>
      </c>
      <c r="N70" s="240">
        <v>9.2531374166793778</v>
      </c>
      <c r="O70" s="240">
        <v>9.5626184603563988</v>
      </c>
      <c r="P70" s="240">
        <v>9.6963709120897192</v>
      </c>
      <c r="Q70" s="240">
        <v>10.677633390527216</v>
      </c>
      <c r="R70" s="240">
        <v>10.78557985919166</v>
      </c>
      <c r="S70" s="240">
        <v>10.707088641650547</v>
      </c>
      <c r="T70" s="34">
        <f t="shared" si="0"/>
        <v>102.95592837823575</v>
      </c>
    </row>
    <row r="71" spans="2:20">
      <c r="B71" s="230"/>
      <c r="C71" s="229"/>
      <c r="D71" s="231" t="s">
        <v>99</v>
      </c>
      <c r="E71" s="230"/>
      <c r="F71" s="232"/>
      <c r="G71" t="s">
        <v>736</v>
      </c>
      <c r="H71" s="240">
        <v>0.37138907336095422</v>
      </c>
      <c r="I71" s="240">
        <v>0.36803237586887633</v>
      </c>
      <c r="J71" s="240">
        <v>0.35499450673617683</v>
      </c>
      <c r="K71" s="240">
        <v>0.42120397720556074</v>
      </c>
      <c r="L71" s="240">
        <v>0.45514531817644471</v>
      </c>
      <c r="M71" s="240">
        <v>0.46334045878744884</v>
      </c>
      <c r="N71" s="240">
        <v>0.51182007003632923</v>
      </c>
      <c r="O71" s="240">
        <v>0.56999860560290638</v>
      </c>
      <c r="P71" s="240">
        <v>0.58819488844823253</v>
      </c>
      <c r="Q71" s="240">
        <v>0.62170100774252524</v>
      </c>
      <c r="R71" s="240">
        <v>0.65716899728606881</v>
      </c>
      <c r="S71" s="240">
        <v>0.66544560311621881</v>
      </c>
      <c r="T71" s="34">
        <f t="shared" si="0"/>
        <v>6.0484348823677436</v>
      </c>
    </row>
    <row r="72" spans="2:20">
      <c r="B72" s="252"/>
      <c r="C72" s="252" t="s">
        <v>217</v>
      </c>
      <c r="D72" s="252"/>
      <c r="E72" s="252"/>
      <c r="F72" s="215"/>
      <c r="G72" s="215"/>
      <c r="H72" s="252">
        <v>7.0374290133805015</v>
      </c>
      <c r="I72" s="252">
        <v>4.9003095572966808</v>
      </c>
      <c r="J72" s="252">
        <v>6.404460097143633</v>
      </c>
      <c r="K72" s="252">
        <v>7.1732597876626905</v>
      </c>
      <c r="L72" s="252">
        <v>7.191650160926379</v>
      </c>
      <c r="M72" s="252">
        <v>7.1322853711954934</v>
      </c>
      <c r="N72" s="252">
        <v>8.7413173466430489</v>
      </c>
      <c r="O72" s="252">
        <v>8.9926198547534923</v>
      </c>
      <c r="P72" s="252">
        <v>9.1081760236414873</v>
      </c>
      <c r="Q72" s="252">
        <v>10.05593238278469</v>
      </c>
      <c r="R72" s="252">
        <v>10.128410861905591</v>
      </c>
      <c r="S72" s="252">
        <v>10.041643038534326</v>
      </c>
      <c r="T72" s="34">
        <f t="shared" ref="T72:T135" si="1">SUM(H72:S72)</f>
        <v>96.907493495868025</v>
      </c>
    </row>
    <row r="73" spans="2:20">
      <c r="B73" s="229"/>
      <c r="C73" s="229"/>
      <c r="D73" s="238" t="s">
        <v>218</v>
      </c>
      <c r="E73" s="229"/>
      <c r="F73" s="203"/>
      <c r="G73" s="203"/>
      <c r="H73" s="245">
        <v>2.5392290133805004</v>
      </c>
      <c r="I73" s="245">
        <v>2.001469557296681</v>
      </c>
      <c r="J73" s="245">
        <v>2.0728600971436322</v>
      </c>
      <c r="K73" s="245">
        <v>2.4418197876626904</v>
      </c>
      <c r="L73" s="245">
        <v>2.4602101609263789</v>
      </c>
      <c r="M73" s="245">
        <v>2.3342053711954933</v>
      </c>
      <c r="N73" s="245">
        <v>2.7437173466430482</v>
      </c>
      <c r="O73" s="245">
        <v>2.9950198547534916</v>
      </c>
      <c r="P73" s="245">
        <v>2.9881760236414863</v>
      </c>
      <c r="Q73" s="245">
        <v>3.2253323827846905</v>
      </c>
      <c r="R73" s="245">
        <v>3.2978108619055915</v>
      </c>
      <c r="S73" s="245">
        <v>3.2076430385343264</v>
      </c>
      <c r="T73" s="34">
        <f t="shared" si="1"/>
        <v>32.307493495868009</v>
      </c>
    </row>
    <row r="74" spans="2:20">
      <c r="B74" s="230"/>
      <c r="C74" s="230"/>
      <c r="D74" s="230" t="s">
        <v>737</v>
      </c>
      <c r="E74" s="230"/>
      <c r="F74" s="232"/>
      <c r="G74" s="232"/>
      <c r="H74" s="246">
        <v>2.9106180867414548</v>
      </c>
      <c r="I74" s="246">
        <v>2.3695019331655574</v>
      </c>
      <c r="J74" s="246">
        <v>2.4278546038798088</v>
      </c>
      <c r="K74" s="246">
        <v>2.8630237648682511</v>
      </c>
      <c r="L74" s="246">
        <v>2.9153554791028236</v>
      </c>
      <c r="M74" s="246">
        <v>2.7975458299829423</v>
      </c>
      <c r="N74" s="246">
        <v>3.2555374166793776</v>
      </c>
      <c r="O74" s="246">
        <v>3.5650184603563981</v>
      </c>
      <c r="P74" s="246">
        <v>3.5763709120897187</v>
      </c>
      <c r="Q74" s="246">
        <v>3.8470333905272156</v>
      </c>
      <c r="R74" s="246">
        <v>3.9549798591916603</v>
      </c>
      <c r="S74" s="246">
        <v>3.8730886416505452</v>
      </c>
      <c r="T74" s="34">
        <f t="shared" si="1"/>
        <v>38.355928378235753</v>
      </c>
    </row>
    <row r="75" spans="2:20">
      <c r="B75" s="230"/>
      <c r="C75" s="230"/>
      <c r="D75" s="230" t="s">
        <v>798</v>
      </c>
      <c r="E75" s="230"/>
      <c r="F75" s="232"/>
      <c r="G75" s="232"/>
      <c r="H75" s="246">
        <v>0.37138907336095422</v>
      </c>
      <c r="I75" s="246">
        <v>0.36803237586887633</v>
      </c>
      <c r="J75" s="246">
        <v>0.35499450673617683</v>
      </c>
      <c r="K75" s="246">
        <v>0.42120397720556074</v>
      </c>
      <c r="L75" s="246">
        <v>0.45514531817644471</v>
      </c>
      <c r="M75" s="246">
        <v>0.46334045878744884</v>
      </c>
      <c r="N75" s="246">
        <v>0.51182007003632923</v>
      </c>
      <c r="O75" s="246">
        <v>0.56999860560290638</v>
      </c>
      <c r="P75" s="246">
        <v>0.58819488844823253</v>
      </c>
      <c r="Q75" s="246">
        <v>0.62170100774252524</v>
      </c>
      <c r="R75" s="246">
        <v>0.65716899728606881</v>
      </c>
      <c r="S75" s="246">
        <v>0.66544560311621881</v>
      </c>
      <c r="T75" s="34">
        <f t="shared" si="1"/>
        <v>6.0484348823677436</v>
      </c>
    </row>
    <row r="76" spans="2:20">
      <c r="B76" s="229"/>
      <c r="C76" s="229"/>
      <c r="D76" s="229" t="s">
        <v>830</v>
      </c>
      <c r="E76" s="229"/>
      <c r="F76" s="203"/>
      <c r="G76" s="203"/>
      <c r="H76" s="248">
        <v>4.4982000000000006</v>
      </c>
      <c r="I76" s="248">
        <v>2.8988399999999999</v>
      </c>
      <c r="J76" s="248">
        <v>4.3316000000000008</v>
      </c>
      <c r="K76" s="248">
        <v>4.7314400000000001</v>
      </c>
      <c r="L76" s="248">
        <v>4.7314400000000001</v>
      </c>
      <c r="M76" s="248">
        <v>4.7980799999999997</v>
      </c>
      <c r="N76" s="248">
        <v>5.9976000000000003</v>
      </c>
      <c r="O76" s="248">
        <v>5.9976000000000003</v>
      </c>
      <c r="P76" s="248">
        <v>6.12</v>
      </c>
      <c r="Q76" s="248">
        <v>6.8305999999999996</v>
      </c>
      <c r="R76" s="248">
        <v>6.8305999999999996</v>
      </c>
      <c r="S76" s="248">
        <v>6.8340000000000005</v>
      </c>
      <c r="T76" s="34">
        <f t="shared" si="1"/>
        <v>64.599999999999994</v>
      </c>
    </row>
    <row r="77" spans="2:20">
      <c r="B77" s="230"/>
      <c r="C77" s="230"/>
      <c r="D77" s="230" t="s">
        <v>540</v>
      </c>
      <c r="E77" s="230"/>
      <c r="F77" s="232"/>
      <c r="G77" s="232"/>
      <c r="H77" s="246">
        <v>4.4982000000000006</v>
      </c>
      <c r="I77" s="246">
        <v>2.8988399999999999</v>
      </c>
      <c r="J77" s="246">
        <v>4.3316000000000008</v>
      </c>
      <c r="K77" s="246">
        <v>4.7314400000000001</v>
      </c>
      <c r="L77" s="246">
        <v>4.7314400000000001</v>
      </c>
      <c r="M77" s="246">
        <v>4.7980799999999997</v>
      </c>
      <c r="N77" s="246">
        <v>5.9976000000000003</v>
      </c>
      <c r="O77" s="246">
        <v>5.9976000000000003</v>
      </c>
      <c r="P77" s="246">
        <v>6.12</v>
      </c>
      <c r="Q77" s="246">
        <v>6.8305999999999996</v>
      </c>
      <c r="R77" s="246">
        <v>6.8305999999999996</v>
      </c>
      <c r="S77" s="246">
        <v>6.8340000000000005</v>
      </c>
      <c r="T77" s="34">
        <f t="shared" si="1"/>
        <v>64.599999999999994</v>
      </c>
    </row>
    <row r="78" spans="2:20">
      <c r="B78" s="230"/>
      <c r="C78" s="230"/>
      <c r="D78" s="230" t="s">
        <v>799</v>
      </c>
      <c r="E78" s="230"/>
      <c r="F78" s="232"/>
      <c r="G78" s="232"/>
      <c r="H78" s="246"/>
      <c r="I78" s="246"/>
      <c r="J78" s="246">
        <v>0</v>
      </c>
      <c r="K78" s="246">
        <v>0</v>
      </c>
      <c r="L78" s="246">
        <v>0</v>
      </c>
      <c r="M78" s="246">
        <v>0</v>
      </c>
      <c r="N78" s="246">
        <v>0</v>
      </c>
      <c r="O78" s="246">
        <v>0</v>
      </c>
      <c r="P78" s="246">
        <v>0</v>
      </c>
      <c r="Q78" s="246">
        <v>0</v>
      </c>
      <c r="R78" s="246">
        <v>0</v>
      </c>
      <c r="S78" s="246">
        <v>0</v>
      </c>
      <c r="T78" s="34">
        <f t="shared" si="1"/>
        <v>0</v>
      </c>
    </row>
    <row r="79" spans="2:20">
      <c r="B79" s="229"/>
      <c r="C79" s="229" t="s">
        <v>145</v>
      </c>
      <c r="D79" s="229"/>
      <c r="E79" s="229"/>
      <c r="F79" s="203"/>
      <c r="G79" s="203"/>
      <c r="H79" s="248">
        <v>9.7499612083882035</v>
      </c>
      <c r="I79" s="248">
        <v>8.0932240082899778</v>
      </c>
      <c r="J79" s="248">
        <v>9.2168333895150827</v>
      </c>
      <c r="K79" s="248">
        <v>9.5527143410780599</v>
      </c>
      <c r="L79" s="248">
        <v>9.442041085463277</v>
      </c>
      <c r="M79" s="248">
        <v>8.8831880969357471</v>
      </c>
      <c r="N79" s="248">
        <v>9.3983246117567418</v>
      </c>
      <c r="O79" s="248">
        <v>8.9342017784186503</v>
      </c>
      <c r="P79" s="248">
        <v>8.8514070259448356</v>
      </c>
      <c r="Q79" s="248">
        <v>9.6152612167174478</v>
      </c>
      <c r="R79" s="248">
        <v>9.4805724386907464</v>
      </c>
      <c r="S79" s="248">
        <v>9.2427368882818115</v>
      </c>
      <c r="T79" s="34">
        <f t="shared" si="1"/>
        <v>110.46046608948058</v>
      </c>
    </row>
    <row r="80" spans="2:20">
      <c r="B80" s="230"/>
      <c r="C80" s="230"/>
      <c r="D80" s="230" t="s">
        <v>100</v>
      </c>
      <c r="E80" s="230"/>
      <c r="F80" s="232"/>
      <c r="H80" s="246">
        <v>0.39689999999999998</v>
      </c>
      <c r="I80" s="246">
        <v>0.25578000000000001</v>
      </c>
      <c r="J80" s="246">
        <v>0.38220000000000004</v>
      </c>
      <c r="K80" s="246">
        <v>0.41747999999999996</v>
      </c>
      <c r="L80" s="246">
        <v>0.41747999999999996</v>
      </c>
      <c r="M80" s="246">
        <v>0.21168000000000001</v>
      </c>
      <c r="N80" s="246">
        <v>0.23519999999999999</v>
      </c>
      <c r="O80" s="246">
        <v>0.23519999999999999</v>
      </c>
      <c r="P80" s="246">
        <v>0.24</v>
      </c>
      <c r="Q80" s="246">
        <v>0.2678666666666667</v>
      </c>
      <c r="R80" s="246">
        <v>0.2678666666666667</v>
      </c>
      <c r="S80" s="246">
        <v>0.26799999999999996</v>
      </c>
      <c r="T80" s="34">
        <f t="shared" si="1"/>
        <v>3.595653333333332</v>
      </c>
    </row>
    <row r="81" spans="2:20">
      <c r="B81" s="230"/>
      <c r="C81" s="230"/>
      <c r="D81" s="230" t="s">
        <v>107</v>
      </c>
      <c r="E81" s="230"/>
      <c r="F81" s="232"/>
      <c r="H81" s="246">
        <v>0.31752000000000002</v>
      </c>
      <c r="I81" s="246">
        <v>0.204624</v>
      </c>
      <c r="J81" s="246">
        <v>0.30576000000000003</v>
      </c>
      <c r="K81" s="246">
        <v>0.333984</v>
      </c>
      <c r="L81" s="246">
        <v>0.333984</v>
      </c>
      <c r="M81" s="246">
        <v>0.10584</v>
      </c>
      <c r="N81" s="246">
        <v>0.1176</v>
      </c>
      <c r="O81" s="246">
        <v>0.1176</v>
      </c>
      <c r="P81" s="246">
        <v>0.12</v>
      </c>
      <c r="Q81" s="246">
        <v>0.13393333333333335</v>
      </c>
      <c r="R81" s="246">
        <v>0.13393333333333335</v>
      </c>
      <c r="S81" s="246">
        <v>0.13399999999999998</v>
      </c>
      <c r="T81" s="34">
        <f t="shared" si="1"/>
        <v>2.3587786666666664</v>
      </c>
    </row>
    <row r="82" spans="2:20">
      <c r="B82" s="230"/>
      <c r="C82" s="230"/>
      <c r="D82" s="230" t="s">
        <v>806</v>
      </c>
      <c r="E82" s="230"/>
      <c r="F82" s="232"/>
      <c r="G82" t="s">
        <v>736</v>
      </c>
      <c r="H82" s="253">
        <v>0.13775737499999999</v>
      </c>
      <c r="I82" s="246">
        <v>8.8776974999999994E-2</v>
      </c>
      <c r="J82" s="246">
        <v>0.13265525</v>
      </c>
      <c r="K82" s="246">
        <v>0.14490035000000001</v>
      </c>
      <c r="L82" s="246">
        <v>0.14490035000000001</v>
      </c>
      <c r="M82" s="246">
        <v>0.14694119999999999</v>
      </c>
      <c r="N82" s="246">
        <v>0.163268</v>
      </c>
      <c r="O82" s="246">
        <v>0.163268</v>
      </c>
      <c r="P82" s="246">
        <v>0.1666</v>
      </c>
      <c r="Q82" s="246">
        <v>0.18594411111111112</v>
      </c>
      <c r="R82" s="246">
        <v>0.18594411111111112</v>
      </c>
      <c r="S82" s="246">
        <v>0.18603666666666666</v>
      </c>
      <c r="T82" s="34">
        <f t="shared" si="1"/>
        <v>1.8469923888888888</v>
      </c>
    </row>
    <row r="83" spans="2:20">
      <c r="B83" s="230"/>
      <c r="C83" s="230"/>
      <c r="D83" s="230" t="s">
        <v>907</v>
      </c>
      <c r="E83" s="230"/>
      <c r="F83" s="232"/>
      <c r="G83" t="s">
        <v>736</v>
      </c>
      <c r="H83" s="246">
        <v>1.0920000000000001</v>
      </c>
      <c r="I83" s="246">
        <v>1.0920000000000001</v>
      </c>
      <c r="J83" s="246">
        <v>1.0920000000000001</v>
      </c>
      <c r="K83" s="246">
        <v>1.0920000000000001</v>
      </c>
      <c r="L83" s="246">
        <v>1.0920000000000001</v>
      </c>
      <c r="M83" s="246">
        <v>1.0920000000000001</v>
      </c>
      <c r="N83" s="246">
        <v>1.0920000000000001</v>
      </c>
      <c r="O83" s="246">
        <v>1.0920000000000001</v>
      </c>
      <c r="P83" s="246">
        <v>1.0920000000000001</v>
      </c>
      <c r="Q83" s="246">
        <v>1.0920000000000001</v>
      </c>
      <c r="R83" s="246">
        <v>1.0920000000000001</v>
      </c>
      <c r="S83" s="246">
        <v>1.0920000000000001</v>
      </c>
      <c r="T83" s="34">
        <f t="shared" si="1"/>
        <v>13.104000000000005</v>
      </c>
    </row>
    <row r="84" spans="2:20">
      <c r="B84" s="230"/>
      <c r="C84" s="230"/>
      <c r="D84" s="230" t="s">
        <v>580</v>
      </c>
      <c r="E84" s="230"/>
      <c r="F84" s="232"/>
      <c r="H84" s="246">
        <v>4.5660838240874977</v>
      </c>
      <c r="I84" s="246">
        <v>4.5660838240874977</v>
      </c>
      <c r="J84" s="246">
        <v>4.5660838240874977</v>
      </c>
      <c r="K84" s="246">
        <v>4.5660838240874977</v>
      </c>
      <c r="L84" s="246">
        <v>4.5660838240874977</v>
      </c>
      <c r="M84" s="246">
        <v>4.5660838240874977</v>
      </c>
      <c r="N84" s="246">
        <v>4.5660838240874977</v>
      </c>
      <c r="O84" s="246">
        <v>4.5660838240874977</v>
      </c>
      <c r="P84" s="246">
        <v>4.5660838240874977</v>
      </c>
      <c r="Q84" s="246">
        <v>4.5660838240874977</v>
      </c>
      <c r="R84" s="246">
        <v>4.5660838240874977</v>
      </c>
      <c r="S84" s="246">
        <v>4.5660838240874977</v>
      </c>
      <c r="T84" s="34">
        <f t="shared" si="1"/>
        <v>54.793005889049986</v>
      </c>
    </row>
    <row r="85" spans="2:20">
      <c r="B85" s="230"/>
      <c r="C85" s="230"/>
      <c r="D85" s="230" t="s">
        <v>808</v>
      </c>
      <c r="E85" s="230"/>
      <c r="F85" s="232"/>
      <c r="H85" s="246">
        <v>3.2397000093007047</v>
      </c>
      <c r="I85" s="246">
        <v>1.8859592092024795</v>
      </c>
      <c r="J85" s="246">
        <v>2.7381343154275855</v>
      </c>
      <c r="K85" s="246">
        <v>2.9982661669905633</v>
      </c>
      <c r="L85" s="246">
        <v>2.8875929113757799</v>
      </c>
      <c r="M85" s="246">
        <v>2.7606430728482496</v>
      </c>
      <c r="N85" s="246">
        <v>3.2241727876692439</v>
      </c>
      <c r="O85" s="246">
        <v>2.7600499543311514</v>
      </c>
      <c r="P85" s="246">
        <v>2.6667232018573377</v>
      </c>
      <c r="Q85" s="246">
        <v>3.3694332815188393</v>
      </c>
      <c r="R85" s="246">
        <v>3.2347445034921383</v>
      </c>
      <c r="S85" s="246">
        <v>2.9966163975276476</v>
      </c>
      <c r="T85" s="34">
        <f t="shared" si="1"/>
        <v>34.762035811541715</v>
      </c>
    </row>
    <row r="86" spans="2:20">
      <c r="B86" s="230"/>
      <c r="C86" s="230"/>
      <c r="D86" s="230" t="s">
        <v>807</v>
      </c>
      <c r="E86" s="230"/>
      <c r="F86" s="232"/>
      <c r="H86" s="246">
        <v>0.16537499999999999</v>
      </c>
      <c r="I86" s="246">
        <v>0.106575</v>
      </c>
      <c r="J86" s="246">
        <v>0.15925000000000003</v>
      </c>
      <c r="K86" s="246">
        <v>0.17394999999999999</v>
      </c>
      <c r="L86" s="246">
        <v>0.17394999999999999</v>
      </c>
      <c r="M86" s="246">
        <v>0.1764</v>
      </c>
      <c r="N86" s="246">
        <v>0.19600000000000001</v>
      </c>
      <c r="O86" s="246">
        <v>0.19600000000000001</v>
      </c>
      <c r="P86" s="246">
        <v>0.2</v>
      </c>
      <c r="Q86" s="246">
        <v>0.22322222222222221</v>
      </c>
      <c r="R86" s="246">
        <v>0.22322222222222221</v>
      </c>
      <c r="S86" s="246">
        <v>0.2233333333333333</v>
      </c>
      <c r="T86" s="34">
        <f t="shared" si="1"/>
        <v>2.2172777777777779</v>
      </c>
    </row>
    <row r="87" spans="2:20">
      <c r="B87" s="230"/>
      <c r="C87" s="230"/>
      <c r="D87" s="230"/>
      <c r="E87" s="230"/>
      <c r="F87" s="232"/>
      <c r="H87" s="246"/>
      <c r="I87" s="246"/>
      <c r="J87" s="246"/>
      <c r="K87" s="246"/>
      <c r="L87" s="246"/>
      <c r="M87" s="246"/>
      <c r="N87" s="246"/>
      <c r="O87" s="246"/>
      <c r="P87" s="246"/>
      <c r="Q87" s="246"/>
      <c r="R87" s="246"/>
      <c r="S87" s="246"/>
      <c r="T87" s="34">
        <f t="shared" si="1"/>
        <v>0</v>
      </c>
    </row>
    <row r="88" spans="2:20">
      <c r="B88" s="230"/>
      <c r="C88" s="229" t="s">
        <v>135</v>
      </c>
      <c r="D88" s="230"/>
      <c r="E88" s="230"/>
      <c r="F88" s="232"/>
      <c r="H88" s="246">
        <v>-2.7125321950077019</v>
      </c>
      <c r="I88" s="246">
        <v>-3.192914450993297</v>
      </c>
      <c r="J88" s="246">
        <v>-2.8123732923714497</v>
      </c>
      <c r="K88" s="246">
        <v>-2.3794545534153695</v>
      </c>
      <c r="L88" s="246">
        <v>-2.250390924536898</v>
      </c>
      <c r="M88" s="246">
        <v>-1.7509027257402536</v>
      </c>
      <c r="N88" s="246">
        <v>-0.6570072651136929</v>
      </c>
      <c r="O88" s="246">
        <v>5.8418076334842084E-2</v>
      </c>
      <c r="P88" s="246">
        <v>0.25676899769665162</v>
      </c>
      <c r="Q88" s="246">
        <v>0.44067116606724177</v>
      </c>
      <c r="R88" s="246">
        <v>0.64783842321484464</v>
      </c>
      <c r="S88" s="246">
        <v>0.79890615025251499</v>
      </c>
      <c r="T88" s="34">
        <f t="shared" si="1"/>
        <v>-13.552972593612568</v>
      </c>
    </row>
    <row r="89" spans="2:20">
      <c r="B89" s="230"/>
      <c r="C89" s="230"/>
      <c r="D89" s="230" t="s">
        <v>136</v>
      </c>
      <c r="E89" s="230"/>
      <c r="F89" s="232"/>
      <c r="G89" s="232"/>
      <c r="H89" s="246">
        <v>0.55802899477909207</v>
      </c>
      <c r="I89" s="246">
        <v>1.1283911388917218</v>
      </c>
      <c r="J89" s="246">
        <v>0.92819146628846216</v>
      </c>
      <c r="K89" s="246">
        <v>1.1767274536815642</v>
      </c>
      <c r="L89" s="246">
        <v>1.4164643381748192</v>
      </c>
      <c r="M89" s="246">
        <v>1.610999225498994</v>
      </c>
      <c r="N89" s="246">
        <v>1.5764889296002853</v>
      </c>
      <c r="O89" s="246">
        <v>2.8591755117953785</v>
      </c>
      <c r="P89" s="246">
        <v>3.1821244639585151</v>
      </c>
      <c r="Q89" s="246">
        <v>2.5683028682983804</v>
      </c>
      <c r="R89" s="246">
        <v>2.9400897430341737</v>
      </c>
      <c r="S89" s="246">
        <v>3.3824954884728879</v>
      </c>
      <c r="T89" s="34">
        <f t="shared" si="1"/>
        <v>23.327479622474275</v>
      </c>
    </row>
    <row r="90" spans="2:20">
      <c r="B90" s="230"/>
      <c r="C90" s="229" t="s">
        <v>860</v>
      </c>
      <c r="D90" s="230"/>
      <c r="E90" s="230"/>
      <c r="F90" s="232"/>
      <c r="G90" s="232"/>
      <c r="H90" s="247">
        <v>-3.2705611897867941</v>
      </c>
      <c r="I90" s="247">
        <v>-4.3213055898850188</v>
      </c>
      <c r="J90" s="247">
        <v>-3.7405647586599118</v>
      </c>
      <c r="K90" s="247">
        <v>-3.5561820070969334</v>
      </c>
      <c r="L90" s="247">
        <v>-3.6668552627117172</v>
      </c>
      <c r="M90" s="247">
        <v>-3.3619019512392478</v>
      </c>
      <c r="N90" s="247">
        <v>-2.233496194713978</v>
      </c>
      <c r="O90" s="247">
        <v>-2.8007574354605365</v>
      </c>
      <c r="P90" s="247">
        <v>-2.9253554662618635</v>
      </c>
      <c r="Q90" s="247">
        <v>-2.1276317022311386</v>
      </c>
      <c r="R90" s="247">
        <v>-2.2922513198193291</v>
      </c>
      <c r="S90" s="247">
        <v>-2.583589338220373</v>
      </c>
      <c r="T90" s="34">
        <f t="shared" si="1"/>
        <v>-36.880452216086837</v>
      </c>
    </row>
    <row r="91" spans="2:20">
      <c r="B91" s="230"/>
      <c r="C91" s="230"/>
      <c r="D91" s="229" t="s">
        <v>320</v>
      </c>
      <c r="E91" s="230"/>
      <c r="F91" s="232"/>
      <c r="H91" s="254">
        <v>-0.53718390466241761</v>
      </c>
      <c r="I91" s="254">
        <v>-0.71624035891044047</v>
      </c>
      <c r="J91" s="254">
        <v>-0.64275487633905359</v>
      </c>
      <c r="K91" s="254">
        <v>-0.51501674763874727</v>
      </c>
      <c r="L91" s="254">
        <v>-0.49144341838248268</v>
      </c>
      <c r="M91" s="254">
        <v>-0.44260330635117262</v>
      </c>
      <c r="N91" s="254">
        <v>-0.26619367987637144</v>
      </c>
      <c r="O91" s="254">
        <v>-0.29973091492457782</v>
      </c>
      <c r="P91" s="254">
        <v>-0.30338020092753476</v>
      </c>
      <c r="Q91" s="254">
        <v>-0.20875876381054467</v>
      </c>
      <c r="R91" s="254">
        <v>-0.21277225658305299</v>
      </c>
      <c r="S91" s="254">
        <v>-0.23683220520719017</v>
      </c>
      <c r="T91" s="34">
        <f t="shared" si="1"/>
        <v>-4.8729106336135866</v>
      </c>
    </row>
    <row r="92" spans="2:20">
      <c r="B92" s="230"/>
      <c r="C92" s="230"/>
      <c r="D92" s="229"/>
      <c r="E92" s="230"/>
      <c r="F92" s="232"/>
      <c r="H92" s="254"/>
      <c r="I92" s="254"/>
      <c r="J92" s="254"/>
      <c r="K92" s="254"/>
      <c r="L92" s="254"/>
      <c r="M92" s="254"/>
      <c r="N92" s="254"/>
      <c r="O92" s="254"/>
      <c r="P92" s="254"/>
      <c r="Q92" s="254"/>
      <c r="R92" s="254"/>
      <c r="S92" s="254"/>
      <c r="T92" s="34">
        <f t="shared" si="1"/>
        <v>0</v>
      </c>
    </row>
    <row r="93" spans="2:20">
      <c r="B93" s="230"/>
      <c r="C93" s="229" t="s">
        <v>25</v>
      </c>
      <c r="D93" s="230"/>
      <c r="E93" s="230"/>
      <c r="F93" s="232"/>
      <c r="S93" s="251">
        <v>0</v>
      </c>
      <c r="T93" s="34">
        <f t="shared" si="1"/>
        <v>0</v>
      </c>
    </row>
    <row r="94" spans="2:20">
      <c r="B94" s="230"/>
      <c r="C94" s="229"/>
      <c r="D94" s="230" t="s">
        <v>817</v>
      </c>
      <c r="E94" s="230"/>
      <c r="F94" s="232"/>
      <c r="G94" t="s">
        <v>736</v>
      </c>
      <c r="H94" s="231">
        <v>4500</v>
      </c>
      <c r="I94" s="231">
        <v>3500</v>
      </c>
      <c r="J94" s="231">
        <v>5000</v>
      </c>
      <c r="K94" s="231">
        <v>12017.737044997159</v>
      </c>
      <c r="L94" s="231">
        <v>19933.50741605708</v>
      </c>
      <c r="M94" s="231">
        <v>28132.322312764583</v>
      </c>
      <c r="N94" s="231">
        <v>36301.50949063382</v>
      </c>
      <c r="O94" s="231">
        <v>45158.563926086528</v>
      </c>
      <c r="P94" s="231">
        <v>53964.364153119561</v>
      </c>
      <c r="Q94" s="231">
        <v>62918.437581676044</v>
      </c>
      <c r="R94" s="231">
        <v>71996.738836094111</v>
      </c>
      <c r="S94" s="231">
        <v>81360.094890797598</v>
      </c>
      <c r="T94" s="34">
        <f t="shared" si="1"/>
        <v>424783.27565222653</v>
      </c>
    </row>
    <row r="95" spans="2:20">
      <c r="B95" s="230"/>
      <c r="C95" s="229"/>
      <c r="D95" s="231" t="s">
        <v>795</v>
      </c>
      <c r="E95" s="230"/>
      <c r="F95" s="232"/>
      <c r="G95" t="s">
        <v>736</v>
      </c>
      <c r="H95" s="231">
        <v>9</v>
      </c>
      <c r="I95" s="231">
        <v>7</v>
      </c>
      <c r="J95" s="231">
        <v>10</v>
      </c>
      <c r="K95" s="231">
        <v>24.035474089994317</v>
      </c>
      <c r="L95" s="231">
        <v>39.867014832114158</v>
      </c>
      <c r="M95" s="231">
        <v>56.264644625529165</v>
      </c>
      <c r="N95" s="231">
        <v>72.603018981267638</v>
      </c>
      <c r="O95" s="231">
        <v>90.317127852173058</v>
      </c>
      <c r="P95" s="231">
        <v>107.92872830623912</v>
      </c>
      <c r="Q95" s="231">
        <v>125.83687516335209</v>
      </c>
      <c r="R95" s="231">
        <v>143.99347767218822</v>
      </c>
      <c r="S95" s="231">
        <v>162.7201897815952</v>
      </c>
      <c r="T95" s="34">
        <f t="shared" si="1"/>
        <v>849.5665513044529</v>
      </c>
    </row>
    <row r="96" spans="2:20">
      <c r="B96" s="230"/>
      <c r="C96" s="229"/>
      <c r="D96" s="231" t="s">
        <v>796</v>
      </c>
      <c r="E96" s="230"/>
      <c r="F96" s="232"/>
      <c r="H96" s="231">
        <v>9</v>
      </c>
      <c r="I96" s="231">
        <v>11.5</v>
      </c>
      <c r="J96" s="231">
        <v>17.5</v>
      </c>
      <c r="K96" s="231">
        <v>40.303211134991471</v>
      </c>
      <c r="L96" s="231">
        <v>69.813825031919094</v>
      </c>
      <c r="M96" s="231">
        <v>104.23096602283513</v>
      </c>
      <c r="N96" s="231">
        <v>140.59995817575273</v>
      </c>
      <c r="O96" s="231">
        <v>179.37636190663153</v>
      </c>
      <c r="P96" s="231">
        <v>218.57085072743163</v>
      </c>
      <c r="Q96" s="231">
        <v>258.50824519556954</v>
      </c>
      <c r="R96" s="231">
        <v>299.07586775262081</v>
      </c>
      <c r="S96" s="231">
        <v>340.65314862858133</v>
      </c>
      <c r="T96" s="34">
        <f t="shared" si="1"/>
        <v>1689.1324345763333</v>
      </c>
    </row>
    <row r="97" spans="2:20">
      <c r="B97" s="230"/>
      <c r="C97" s="229"/>
      <c r="D97" s="231" t="s">
        <v>215</v>
      </c>
      <c r="E97" s="230"/>
      <c r="F97" s="232"/>
      <c r="G97" t="s">
        <v>736</v>
      </c>
      <c r="H97" s="240">
        <v>0.96000000000000008</v>
      </c>
      <c r="I97" s="240">
        <v>0.96498188405797114</v>
      </c>
      <c r="J97" s="240">
        <v>1.3705767857142859</v>
      </c>
      <c r="K97" s="240">
        <v>3.1071351628533215</v>
      </c>
      <c r="L97" s="240">
        <v>5.3788103928346089</v>
      </c>
      <c r="M97" s="240">
        <v>7.876497841876466</v>
      </c>
      <c r="N97" s="240">
        <v>10.461795829376697</v>
      </c>
      <c r="O97" s="240">
        <v>13.243361998945144</v>
      </c>
      <c r="P97" s="240">
        <v>16.041564738462668</v>
      </c>
      <c r="Q97" s="240">
        <v>18.867551494537903</v>
      </c>
      <c r="R97" s="240">
        <v>21.721304997888211</v>
      </c>
      <c r="S97" s="240">
        <v>24.636545527525278</v>
      </c>
      <c r="T97" s="34">
        <f t="shared" si="1"/>
        <v>124.63012665407257</v>
      </c>
    </row>
    <row r="98" spans="2:20">
      <c r="B98" s="230"/>
      <c r="C98" s="229"/>
      <c r="D98" s="231" t="s">
        <v>99</v>
      </c>
      <c r="E98" s="230"/>
      <c r="F98" s="232"/>
      <c r="G98" t="s">
        <v>736</v>
      </c>
      <c r="H98" s="240">
        <v>2.2874999999999996E-2</v>
      </c>
      <c r="I98" s="240">
        <v>5.2104166666666667E-2</v>
      </c>
      <c r="J98" s="240">
        <v>7.3708333333333334E-2</v>
      </c>
      <c r="K98" s="240">
        <v>0.14691649496810333</v>
      </c>
      <c r="L98" s="240">
        <v>0.27988080025756434</v>
      </c>
      <c r="M98" s="240">
        <v>0.44236384393083367</v>
      </c>
      <c r="N98" s="240">
        <v>0.62227859900474414</v>
      </c>
      <c r="O98" s="240">
        <v>0.81327314687606</v>
      </c>
      <c r="P98" s="240">
        <v>1.0114491654449105</v>
      </c>
      <c r="Q98" s="240">
        <v>1.2125760354709614</v>
      </c>
      <c r="R98" s="240">
        <v>1.417192953743317</v>
      </c>
      <c r="S98" s="240">
        <v>1.6259779166355557</v>
      </c>
      <c r="T98" s="34">
        <f t="shared" si="1"/>
        <v>7.7205964563320499</v>
      </c>
    </row>
    <row r="99" spans="2:20">
      <c r="B99" s="229"/>
      <c r="C99" s="229" t="s">
        <v>217</v>
      </c>
      <c r="D99" s="229"/>
      <c r="E99" s="229"/>
      <c r="F99" s="203"/>
      <c r="G99" s="203"/>
      <c r="H99" s="245">
        <v>0.93712499999999999</v>
      </c>
      <c r="I99" s="245">
        <v>0.91287771739130441</v>
      </c>
      <c r="J99" s="245">
        <v>1.2968684523809526</v>
      </c>
      <c r="K99" s="245">
        <v>2.960218667885218</v>
      </c>
      <c r="L99" s="245">
        <v>5.0989295925770453</v>
      </c>
      <c r="M99" s="245">
        <v>7.4341339979456329</v>
      </c>
      <c r="N99" s="245">
        <v>9.8395172303719534</v>
      </c>
      <c r="O99" s="245">
        <v>12.430088852069083</v>
      </c>
      <c r="P99" s="245">
        <v>15.030115573017756</v>
      </c>
      <c r="Q99" s="245">
        <v>17.654975459066939</v>
      </c>
      <c r="R99" s="245">
        <v>20.304112044144894</v>
      </c>
      <c r="S99" s="245">
        <v>23.010567610889723</v>
      </c>
      <c r="T99" s="34">
        <f t="shared" si="1"/>
        <v>116.90953019774048</v>
      </c>
    </row>
    <row r="100" spans="2:20">
      <c r="B100" s="229"/>
      <c r="C100" s="229"/>
      <c r="D100" s="238" t="s">
        <v>218</v>
      </c>
      <c r="E100" s="229"/>
      <c r="F100" s="203"/>
      <c r="G100" s="203"/>
      <c r="H100" s="245">
        <v>0.12712499999999999</v>
      </c>
      <c r="I100" s="245">
        <v>0.28287771739130441</v>
      </c>
      <c r="J100" s="245">
        <v>0.39686845238095247</v>
      </c>
      <c r="K100" s="245">
        <v>0.7970259997857293</v>
      </c>
      <c r="L100" s="245">
        <v>1.5108982576867704</v>
      </c>
      <c r="M100" s="245">
        <v>2.3703159816480075</v>
      </c>
      <c r="N100" s="245">
        <v>3.3052455220578656</v>
      </c>
      <c r="O100" s="245">
        <v>4.3015473453735078</v>
      </c>
      <c r="P100" s="245">
        <v>5.3165300254562347</v>
      </c>
      <c r="Q100" s="245">
        <v>6.3296566943652532</v>
      </c>
      <c r="R100" s="245">
        <v>7.3446990536479539</v>
      </c>
      <c r="S100" s="245">
        <v>8.3657505305461548</v>
      </c>
      <c r="T100" s="34">
        <f t="shared" si="1"/>
        <v>40.448540580339724</v>
      </c>
    </row>
    <row r="101" spans="2:20">
      <c r="B101" s="230"/>
      <c r="C101" s="230"/>
      <c r="D101" s="230" t="s">
        <v>737</v>
      </c>
      <c r="E101" s="230"/>
      <c r="F101" s="232"/>
      <c r="G101" s="232"/>
      <c r="H101" s="246">
        <v>0.15</v>
      </c>
      <c r="I101" s="246">
        <v>0.33498188405797108</v>
      </c>
      <c r="J101" s="246">
        <v>0.47057678571428579</v>
      </c>
      <c r="K101" s="246">
        <v>0.94394249475383263</v>
      </c>
      <c r="L101" s="246">
        <v>1.7907790579443348</v>
      </c>
      <c r="M101" s="246">
        <v>2.812679825578841</v>
      </c>
      <c r="N101" s="246">
        <v>3.9275241210626097</v>
      </c>
      <c r="O101" s="246">
        <v>5.1148204922495681</v>
      </c>
      <c r="P101" s="246">
        <v>6.3279791909011447</v>
      </c>
      <c r="Q101" s="246">
        <v>7.5422327298362148</v>
      </c>
      <c r="R101" s="246">
        <v>8.7618920073912712</v>
      </c>
      <c r="S101" s="246">
        <v>9.9917284471817105</v>
      </c>
      <c r="T101" s="34">
        <f t="shared" si="1"/>
        <v>48.169137036671785</v>
      </c>
    </row>
    <row r="102" spans="2:20">
      <c r="B102" s="230"/>
      <c r="C102" s="230"/>
      <c r="D102" s="230" t="s">
        <v>798</v>
      </c>
      <c r="E102" s="230"/>
      <c r="F102" s="232"/>
      <c r="G102" s="232"/>
      <c r="H102" s="246">
        <v>2.2874999999999996E-2</v>
      </c>
      <c r="I102" s="246">
        <v>5.2104166666666667E-2</v>
      </c>
      <c r="J102" s="246">
        <v>7.3708333333333334E-2</v>
      </c>
      <c r="K102" s="246">
        <v>0.14691649496810333</v>
      </c>
      <c r="L102" s="246">
        <v>0.27988080025756434</v>
      </c>
      <c r="M102" s="246">
        <v>0.44236384393083367</v>
      </c>
      <c r="N102" s="246">
        <v>0.62227859900474414</v>
      </c>
      <c r="O102" s="246">
        <v>0.81327314687606</v>
      </c>
      <c r="P102" s="246">
        <v>1.0114491654449105</v>
      </c>
      <c r="Q102" s="246">
        <v>1.2125760354709614</v>
      </c>
      <c r="R102" s="246">
        <v>1.417192953743317</v>
      </c>
      <c r="S102" s="246">
        <v>1.6259779166355557</v>
      </c>
      <c r="T102" s="34">
        <f t="shared" si="1"/>
        <v>7.7205964563320499</v>
      </c>
    </row>
    <row r="103" spans="2:20">
      <c r="B103" s="229"/>
      <c r="C103" s="229"/>
      <c r="D103" s="229" t="s">
        <v>830</v>
      </c>
      <c r="E103" s="229"/>
      <c r="F103" s="203"/>
      <c r="G103" s="203"/>
      <c r="H103" s="248">
        <v>0.81</v>
      </c>
      <c r="I103" s="248">
        <v>0.63</v>
      </c>
      <c r="J103" s="248">
        <v>0.9</v>
      </c>
      <c r="K103" s="248">
        <v>2.1631926680994886</v>
      </c>
      <c r="L103" s="248">
        <v>3.5880313348902746</v>
      </c>
      <c r="M103" s="248">
        <v>5.063818016297625</v>
      </c>
      <c r="N103" s="248">
        <v>6.5342717083140878</v>
      </c>
      <c r="O103" s="248">
        <v>8.1285415066955746</v>
      </c>
      <c r="P103" s="248">
        <v>9.7135855475615216</v>
      </c>
      <c r="Q103" s="248">
        <v>11.325318764701688</v>
      </c>
      <c r="R103" s="248">
        <v>12.95941299049694</v>
      </c>
      <c r="S103" s="248">
        <v>14.644817080343568</v>
      </c>
      <c r="T103" s="34">
        <f t="shared" si="1"/>
        <v>76.46098961740077</v>
      </c>
    </row>
    <row r="104" spans="2:20">
      <c r="B104" s="230"/>
      <c r="C104" s="230"/>
      <c r="D104" s="230" t="s">
        <v>221</v>
      </c>
      <c r="E104" s="230"/>
      <c r="F104" s="232"/>
      <c r="G104" s="232"/>
      <c r="H104" s="246">
        <v>0.36</v>
      </c>
      <c r="I104" s="246">
        <v>0.28000000000000003</v>
      </c>
      <c r="J104" s="246">
        <v>0.4</v>
      </c>
      <c r="K104" s="246">
        <v>0.96141896359977264</v>
      </c>
      <c r="L104" s="246">
        <v>1.5946805932845665</v>
      </c>
      <c r="M104" s="246">
        <v>2.2505857850211668</v>
      </c>
      <c r="N104" s="246">
        <v>2.9041207592507057</v>
      </c>
      <c r="O104" s="246">
        <v>3.6126851140869225</v>
      </c>
      <c r="P104" s="246">
        <v>4.3171491322495648</v>
      </c>
      <c r="Q104" s="246">
        <v>5.0334750065340836</v>
      </c>
      <c r="R104" s="246">
        <v>5.7597391068875288</v>
      </c>
      <c r="S104" s="246">
        <v>6.5088075912638077</v>
      </c>
      <c r="T104" s="34">
        <f t="shared" si="1"/>
        <v>33.982662052178121</v>
      </c>
    </row>
    <row r="105" spans="2:20">
      <c r="B105" s="230"/>
      <c r="C105" s="230"/>
      <c r="D105" s="230" t="s">
        <v>911</v>
      </c>
      <c r="E105" s="230"/>
      <c r="F105" s="232"/>
      <c r="G105" s="232"/>
      <c r="H105" s="246">
        <v>0.45</v>
      </c>
      <c r="I105" s="246">
        <v>0.35</v>
      </c>
      <c r="J105" s="246">
        <v>0.5</v>
      </c>
      <c r="K105" s="246">
        <v>1.2017737044997159</v>
      </c>
      <c r="L105" s="246">
        <v>1.9933507416057079</v>
      </c>
      <c r="M105" s="246">
        <v>2.8132322312764582</v>
      </c>
      <c r="N105" s="246">
        <v>3.6301509490633821</v>
      </c>
      <c r="O105" s="246">
        <v>4.5158563926086526</v>
      </c>
      <c r="P105" s="246">
        <v>5.3964364153119559</v>
      </c>
      <c r="Q105" s="246">
        <v>6.2918437581676043</v>
      </c>
      <c r="R105" s="246">
        <v>7.1996738836094112</v>
      </c>
      <c r="S105" s="246">
        <v>8.1360094890797594</v>
      </c>
      <c r="T105" s="34">
        <f t="shared" si="1"/>
        <v>42.478327565222649</v>
      </c>
    </row>
    <row r="106" spans="2:20">
      <c r="B106" s="229"/>
      <c r="C106" s="229" t="s">
        <v>145</v>
      </c>
      <c r="D106" s="229"/>
      <c r="E106" s="229"/>
      <c r="F106" s="203"/>
      <c r="G106" s="203"/>
      <c r="H106" s="248">
        <v>0.86244749999999992</v>
      </c>
      <c r="I106" s="248">
        <v>0.81206885869565215</v>
      </c>
      <c r="J106" s="248">
        <v>1.2231842261904764</v>
      </c>
      <c r="K106" s="248">
        <v>2.605473267846949</v>
      </c>
      <c r="L106" s="248">
        <v>4.3398802921186856</v>
      </c>
      <c r="M106" s="248">
        <v>4.9521424757020842</v>
      </c>
      <c r="N106" s="248">
        <v>6.1092251113089873</v>
      </c>
      <c r="O106" s="248">
        <v>7.7501791423683679</v>
      </c>
      <c r="P106" s="248">
        <v>9.3597946703531179</v>
      </c>
      <c r="Q106" s="248">
        <v>12.687892438035359</v>
      </c>
      <c r="R106" s="248">
        <v>14.580641778641166</v>
      </c>
      <c r="S106" s="248">
        <v>16.509103056879781</v>
      </c>
      <c r="T106" s="34">
        <f t="shared" si="1"/>
        <v>81.792032818140626</v>
      </c>
    </row>
    <row r="107" spans="2:20">
      <c r="B107" s="230"/>
      <c r="C107" s="230"/>
      <c r="D107" s="230" t="s">
        <v>100</v>
      </c>
      <c r="E107" s="230"/>
      <c r="F107" s="232"/>
      <c r="H107" s="246">
        <v>0.18</v>
      </c>
      <c r="I107" s="246">
        <v>0.14000000000000001</v>
      </c>
      <c r="J107" s="246">
        <v>0.2</v>
      </c>
      <c r="K107" s="246">
        <v>0.48070948179988632</v>
      </c>
      <c r="L107" s="246">
        <v>0.79734029664228323</v>
      </c>
      <c r="M107" s="246">
        <v>0.5626464462552917</v>
      </c>
      <c r="N107" s="246">
        <v>0.72603018981267642</v>
      </c>
      <c r="O107" s="246">
        <v>0.90317127852173051</v>
      </c>
      <c r="P107" s="246">
        <v>1.0792872830623912</v>
      </c>
      <c r="Q107" s="246">
        <v>1.2583687516335209</v>
      </c>
      <c r="R107" s="246">
        <v>1.4399347767218822</v>
      </c>
      <c r="S107" s="246">
        <v>1.6272018978159521</v>
      </c>
      <c r="T107" s="34">
        <f t="shared" si="1"/>
        <v>9.3946904022656152</v>
      </c>
    </row>
    <row r="108" spans="2:20">
      <c r="B108" s="230"/>
      <c r="C108" s="230"/>
      <c r="D108" s="230" t="s">
        <v>107</v>
      </c>
      <c r="E108" s="230"/>
      <c r="F108" s="232"/>
      <c r="H108" s="246">
        <v>8.6400000000000005E-2</v>
      </c>
      <c r="I108" s="246">
        <v>0.15359999999999999</v>
      </c>
      <c r="J108" s="246">
        <v>0.24959999999999999</v>
      </c>
      <c r="K108" s="246">
        <v>0.48034055126394543</v>
      </c>
      <c r="L108" s="246">
        <v>0.77666389365224131</v>
      </c>
      <c r="M108" s="246">
        <v>0.39050140064291289</v>
      </c>
      <c r="N108" s="246">
        <v>0.57831045758671584</v>
      </c>
      <c r="O108" s="246">
        <v>0.77715541887325212</v>
      </c>
      <c r="P108" s="246">
        <v>0.98134055929562691</v>
      </c>
      <c r="Q108" s="246">
        <v>1.1900572509090956</v>
      </c>
      <c r="R108" s="246">
        <v>1.4042286269818571</v>
      </c>
      <c r="S108" s="246">
        <v>1.6214378127701239</v>
      </c>
      <c r="T108" s="34">
        <f t="shared" si="1"/>
        <v>8.6896359719757719</v>
      </c>
    </row>
    <row r="109" spans="2:20">
      <c r="B109" s="230"/>
      <c r="C109" s="230"/>
      <c r="D109" s="230" t="s">
        <v>806</v>
      </c>
      <c r="E109" s="230"/>
      <c r="F109" s="232"/>
      <c r="G109" t="s">
        <v>736</v>
      </c>
      <c r="H109" s="246">
        <v>3.7484999999999997E-2</v>
      </c>
      <c r="I109" s="246">
        <v>2.9155E-2</v>
      </c>
      <c r="J109" s="246">
        <v>4.165E-2</v>
      </c>
      <c r="K109" s="246">
        <v>0.10010774958482634</v>
      </c>
      <c r="L109" s="246">
        <v>0.16604611677575545</v>
      </c>
      <c r="M109" s="246">
        <v>0.23434224486532898</v>
      </c>
      <c r="N109" s="246">
        <v>0.3023915740569797</v>
      </c>
      <c r="O109" s="246">
        <v>0.37617083750430075</v>
      </c>
      <c r="P109" s="246">
        <v>0.44952315339548593</v>
      </c>
      <c r="Q109" s="246">
        <v>0.52411058505536146</v>
      </c>
      <c r="R109" s="246">
        <v>0.59973283450466397</v>
      </c>
      <c r="S109" s="246">
        <v>0.67772959044034398</v>
      </c>
      <c r="T109" s="34">
        <f t="shared" si="1"/>
        <v>3.5384446861830465</v>
      </c>
    </row>
    <row r="110" spans="2:20">
      <c r="B110" s="230"/>
      <c r="C110" s="230"/>
      <c r="D110" s="230" t="s">
        <v>907</v>
      </c>
      <c r="E110" s="230"/>
      <c r="F110" s="232"/>
      <c r="G110" t="s">
        <v>736</v>
      </c>
      <c r="H110" s="246">
        <v>0</v>
      </c>
      <c r="I110" s="246">
        <v>0</v>
      </c>
      <c r="J110" s="246">
        <v>0</v>
      </c>
      <c r="K110" s="246">
        <v>0</v>
      </c>
      <c r="L110" s="246">
        <v>0</v>
      </c>
      <c r="M110" s="246">
        <v>0</v>
      </c>
      <c r="N110" s="246">
        <v>0</v>
      </c>
      <c r="O110" s="246">
        <v>0</v>
      </c>
      <c r="P110" s="246">
        <v>0</v>
      </c>
      <c r="Q110" s="246">
        <v>0</v>
      </c>
      <c r="R110" s="246">
        <v>0</v>
      </c>
      <c r="S110" s="246">
        <v>0</v>
      </c>
      <c r="T110" s="34">
        <f t="shared" si="1"/>
        <v>0</v>
      </c>
    </row>
    <row r="111" spans="2:20">
      <c r="B111" s="230"/>
      <c r="C111" s="230"/>
      <c r="D111" s="230" t="s">
        <v>580</v>
      </c>
      <c r="E111" s="230"/>
      <c r="F111" s="232"/>
      <c r="H111" s="246">
        <v>0</v>
      </c>
      <c r="I111" s="246">
        <v>0</v>
      </c>
      <c r="J111" s="246">
        <v>0</v>
      </c>
      <c r="K111" s="246">
        <v>0</v>
      </c>
      <c r="L111" s="246">
        <v>0</v>
      </c>
      <c r="M111" s="246">
        <v>0</v>
      </c>
      <c r="N111" s="246">
        <v>0</v>
      </c>
      <c r="O111" s="246">
        <v>0</v>
      </c>
      <c r="P111" s="246">
        <v>0</v>
      </c>
      <c r="Q111" s="246">
        <v>0</v>
      </c>
      <c r="R111" s="246">
        <v>0</v>
      </c>
      <c r="S111" s="246">
        <v>0</v>
      </c>
      <c r="T111" s="34">
        <f t="shared" si="1"/>
        <v>0</v>
      </c>
    </row>
    <row r="112" spans="2:20">
      <c r="B112" s="230"/>
      <c r="C112" s="230"/>
      <c r="D112" s="230" t="s">
        <v>807</v>
      </c>
      <c r="E112" s="230"/>
      <c r="F112" s="232"/>
      <c r="H112" s="246">
        <v>0.09</v>
      </c>
      <c r="I112" s="246">
        <v>7.0000000000000007E-2</v>
      </c>
      <c r="J112" s="246">
        <v>0.1</v>
      </c>
      <c r="K112" s="246">
        <v>0.24035474089994316</v>
      </c>
      <c r="L112" s="246">
        <v>0.39867014832114162</v>
      </c>
      <c r="M112" s="246">
        <v>0.5626464462552917</v>
      </c>
      <c r="N112" s="246">
        <v>0.72603018981267642</v>
      </c>
      <c r="O112" s="246">
        <v>0.90317127852173051</v>
      </c>
      <c r="P112" s="246">
        <v>1.0792872830623912</v>
      </c>
      <c r="Q112" s="246">
        <v>1.2583687516335209</v>
      </c>
      <c r="R112" s="246">
        <v>1.4399347767218822</v>
      </c>
      <c r="S112" s="246">
        <v>1.6272018978159521</v>
      </c>
      <c r="T112" s="34">
        <f t="shared" si="1"/>
        <v>8.4956655130445302</v>
      </c>
    </row>
    <row r="113" spans="2:20">
      <c r="B113" s="230"/>
      <c r="C113" s="230"/>
      <c r="D113" s="230" t="s">
        <v>808</v>
      </c>
      <c r="E113" s="230"/>
      <c r="F113" s="232"/>
      <c r="H113" s="246">
        <v>0.46856249999999999</v>
      </c>
      <c r="I113" s="246">
        <v>0.41931385869565219</v>
      </c>
      <c r="J113" s="246">
        <v>0.63193422619047634</v>
      </c>
      <c r="K113" s="246">
        <v>1.3039607442983481</v>
      </c>
      <c r="L113" s="246">
        <v>2.2011598367272645</v>
      </c>
      <c r="M113" s="246">
        <v>3.2020059376832588</v>
      </c>
      <c r="N113" s="246">
        <v>3.7764627000399393</v>
      </c>
      <c r="O113" s="246">
        <v>4.7905103289473541</v>
      </c>
      <c r="P113" s="246">
        <v>5.7703563915372227</v>
      </c>
      <c r="Q113" s="246">
        <v>8.4569870988038609</v>
      </c>
      <c r="R113" s="246">
        <v>9.6968107637108805</v>
      </c>
      <c r="S113" s="246">
        <v>10.955531858037409</v>
      </c>
      <c r="T113" s="34">
        <f t="shared" si="1"/>
        <v>51.673596244671671</v>
      </c>
    </row>
    <row r="114" spans="2:20">
      <c r="B114" s="230"/>
      <c r="C114" s="230"/>
      <c r="D114" s="230"/>
      <c r="E114" s="230"/>
      <c r="F114" s="232"/>
      <c r="H114" s="246"/>
      <c r="I114" s="246"/>
      <c r="J114" s="246"/>
      <c r="K114" s="246"/>
      <c r="L114" s="246"/>
      <c r="M114" s="246"/>
      <c r="N114" s="246"/>
      <c r="O114" s="246"/>
      <c r="P114" s="246"/>
      <c r="Q114" s="246"/>
      <c r="R114" s="246"/>
      <c r="S114" s="246"/>
      <c r="T114" s="34">
        <f t="shared" si="1"/>
        <v>0</v>
      </c>
    </row>
    <row r="115" spans="2:20">
      <c r="B115" s="230"/>
      <c r="C115" s="229" t="s">
        <v>135</v>
      </c>
      <c r="D115" s="230"/>
      <c r="E115" s="230"/>
      <c r="F115" s="232"/>
      <c r="H115" s="246">
        <v>7.4677500000000063E-2</v>
      </c>
      <c r="I115" s="246">
        <v>0.10080885869565226</v>
      </c>
      <c r="J115" s="246">
        <v>7.368422619047621E-2</v>
      </c>
      <c r="K115" s="246">
        <v>0.35474540003826904</v>
      </c>
      <c r="L115" s="246">
        <v>0.75904930045835961</v>
      </c>
      <c r="M115" s="246">
        <v>2.4819915222435487</v>
      </c>
      <c r="N115" s="246">
        <v>3.7302921190629661</v>
      </c>
      <c r="O115" s="246">
        <v>4.6799097097007154</v>
      </c>
      <c r="P115" s="246">
        <v>5.6703209026646384</v>
      </c>
      <c r="Q115" s="246">
        <v>4.9670830210315806</v>
      </c>
      <c r="R115" s="246">
        <v>5.7234702655037282</v>
      </c>
      <c r="S115" s="246">
        <v>6.5014645540099423</v>
      </c>
      <c r="T115" s="34">
        <f t="shared" si="1"/>
        <v>35.117497379599882</v>
      </c>
    </row>
    <row r="116" spans="2:20">
      <c r="B116" s="230"/>
      <c r="C116" s="230"/>
      <c r="D116" s="230" t="s">
        <v>136</v>
      </c>
      <c r="E116" s="230"/>
      <c r="F116" s="232"/>
      <c r="G116" s="232"/>
      <c r="H116" s="246">
        <v>0</v>
      </c>
      <c r="I116" s="246">
        <v>7.425000000000001E-2</v>
      </c>
      <c r="J116" s="246">
        <v>3.3000000000000002E-2</v>
      </c>
      <c r="K116" s="246">
        <v>6.2528125000000004E-2</v>
      </c>
      <c r="L116" s="246">
        <v>0.20746328873867967</v>
      </c>
      <c r="M116" s="246">
        <v>0.31856524753839122</v>
      </c>
      <c r="N116" s="246">
        <v>0.39836048027210508</v>
      </c>
      <c r="O116" s="246">
        <v>0.4538130297006982</v>
      </c>
      <c r="P116" s="246">
        <v>0.6042245941747012</v>
      </c>
      <c r="Q116" s="246">
        <v>0.74100126145921819</v>
      </c>
      <c r="R116" s="246">
        <v>0.91049051672313375</v>
      </c>
      <c r="S116" s="246">
        <v>1.0995038948149036</v>
      </c>
      <c r="T116" s="34">
        <f t="shared" si="1"/>
        <v>4.9032004384218313</v>
      </c>
    </row>
    <row r="117" spans="2:20">
      <c r="B117" s="230"/>
      <c r="C117" s="229" t="s">
        <v>860</v>
      </c>
      <c r="D117" s="230"/>
      <c r="E117" s="230"/>
      <c r="F117" s="232"/>
      <c r="G117" s="232"/>
      <c r="H117" s="247">
        <v>7.4677500000000063E-2</v>
      </c>
      <c r="I117" s="247">
        <v>2.6558858695652249E-2</v>
      </c>
      <c r="J117" s="247">
        <v>4.0684226190476208E-2</v>
      </c>
      <c r="K117" s="247">
        <v>0.29221727503826905</v>
      </c>
      <c r="L117" s="247">
        <v>0.55158601171967991</v>
      </c>
      <c r="M117" s="247">
        <v>2.1634262747051576</v>
      </c>
      <c r="N117" s="247">
        <v>3.3319316387908611</v>
      </c>
      <c r="O117" s="247">
        <v>4.2260966800000173</v>
      </c>
      <c r="P117" s="247">
        <v>5.0660963084899375</v>
      </c>
      <c r="Q117" s="247">
        <v>4.2260817595723621</v>
      </c>
      <c r="R117" s="247">
        <v>4.8129797487805943</v>
      </c>
      <c r="S117" s="247">
        <v>5.4019606591950389</v>
      </c>
      <c r="T117" s="34">
        <f t="shared" si="1"/>
        <v>30.214296941178048</v>
      </c>
    </row>
    <row r="118" spans="2:20">
      <c r="B118" s="230"/>
      <c r="C118" s="230"/>
      <c r="D118" s="229" t="s">
        <v>320</v>
      </c>
      <c r="E118" s="230"/>
      <c r="F118" s="232"/>
      <c r="H118" s="254">
        <v>9.9570000000000075E-2</v>
      </c>
      <c r="I118" s="254">
        <v>3.1093297985153853E-2</v>
      </c>
      <c r="J118" s="254">
        <v>3.3669704433497552E-2</v>
      </c>
      <c r="K118" s="254">
        <v>0.12132915219087148</v>
      </c>
      <c r="L118" s="254">
        <v>0.12021813101840702</v>
      </c>
      <c r="M118" s="254">
        <v>0.29832682884826545</v>
      </c>
      <c r="N118" s="254">
        <v>0.32661870469482912</v>
      </c>
      <c r="O118" s="254">
        <v>0.31698070749074864</v>
      </c>
      <c r="P118" s="254">
        <v>0.30553376815724698</v>
      </c>
      <c r="Q118" s="254">
        <v>0.21259779163769199</v>
      </c>
      <c r="R118" s="254">
        <v>0.20716428479279031</v>
      </c>
      <c r="S118" s="254">
        <v>0.20265933309397793</v>
      </c>
      <c r="T118" s="34">
        <f t="shared" si="1"/>
        <v>2.2757617043434801</v>
      </c>
    </row>
    <row r="119" spans="2:20">
      <c r="B119" s="230"/>
      <c r="C119" s="230"/>
      <c r="D119" s="229"/>
      <c r="E119" s="230"/>
      <c r="F119" s="232"/>
      <c r="H119" s="254"/>
      <c r="I119" s="254"/>
      <c r="J119" s="254"/>
      <c r="K119" s="254"/>
      <c r="L119" s="254"/>
      <c r="M119" s="254"/>
      <c r="N119" s="254"/>
      <c r="O119" s="254"/>
      <c r="P119" s="254"/>
      <c r="Q119" s="254"/>
      <c r="R119" s="254"/>
      <c r="S119" s="254"/>
      <c r="T119" s="34">
        <f t="shared" si="1"/>
        <v>0</v>
      </c>
    </row>
    <row r="120" spans="2:20">
      <c r="B120" s="230"/>
      <c r="C120" s="128" t="s">
        <v>912</v>
      </c>
      <c r="D120" s="230"/>
      <c r="E120" s="230"/>
      <c r="F120" s="232"/>
      <c r="H120" s="254"/>
      <c r="I120" s="254"/>
      <c r="J120" s="254"/>
      <c r="K120" s="254"/>
      <c r="L120" s="254"/>
      <c r="M120" s="254"/>
      <c r="N120" s="254"/>
      <c r="O120" s="254"/>
      <c r="P120" s="254"/>
      <c r="Q120" s="254"/>
      <c r="R120" s="254"/>
      <c r="S120" s="254"/>
      <c r="T120" s="34">
        <f t="shared" si="1"/>
        <v>0</v>
      </c>
    </row>
    <row r="121" spans="2:20">
      <c r="B121" s="230"/>
      <c r="C121" s="229"/>
      <c r="D121" s="230" t="s">
        <v>817</v>
      </c>
      <c r="E121" s="230"/>
      <c r="F121" s="232"/>
      <c r="H121" s="231">
        <v>90</v>
      </c>
      <c r="I121" s="231">
        <v>134.49999999999997</v>
      </c>
      <c r="J121" s="231">
        <v>259.22499999999997</v>
      </c>
      <c r="K121" s="231">
        <v>1350.5627454128437</v>
      </c>
      <c r="L121" s="231">
        <v>1725.3955625000001</v>
      </c>
      <c r="M121" s="231">
        <v>2119.0037222525621</v>
      </c>
      <c r="N121" s="231">
        <v>2447.2348432083463</v>
      </c>
      <c r="O121" s="231">
        <v>2650.8734314235212</v>
      </c>
      <c r="P121" s="231">
        <v>2751.0288138272317</v>
      </c>
      <c r="Q121" s="231">
        <v>3054.2640831840636</v>
      </c>
      <c r="R121" s="231">
        <v>3428.8906383631506</v>
      </c>
      <c r="S121" s="231">
        <v>3535.1853407008466</v>
      </c>
      <c r="T121" s="34">
        <f t="shared" si="1"/>
        <v>23546.164180872565</v>
      </c>
    </row>
    <row r="122" spans="2:20">
      <c r="B122" s="230"/>
      <c r="C122" s="229"/>
      <c r="D122" s="231" t="s">
        <v>795</v>
      </c>
      <c r="E122" s="230"/>
      <c r="F122" s="232"/>
      <c r="H122" s="237">
        <v>2.25</v>
      </c>
      <c r="I122" s="237">
        <v>3.3624999999999998</v>
      </c>
      <c r="J122" s="237">
        <v>6.4806249999999999</v>
      </c>
      <c r="K122" s="237">
        <v>33.764068635321095</v>
      </c>
      <c r="L122" s="237">
        <v>43.134889062500001</v>
      </c>
      <c r="M122" s="237">
        <v>52.975093056314051</v>
      </c>
      <c r="N122" s="237">
        <v>61.180871080208654</v>
      </c>
      <c r="O122" s="237">
        <v>66.271835785588024</v>
      </c>
      <c r="P122" s="237">
        <v>68.775720345680796</v>
      </c>
      <c r="Q122" s="237">
        <v>76.356602079601586</v>
      </c>
      <c r="R122" s="237">
        <v>85.722265959078769</v>
      </c>
      <c r="S122" s="237">
        <v>88.379633517521157</v>
      </c>
      <c r="T122" s="34">
        <f t="shared" si="1"/>
        <v>588.65410452181413</v>
      </c>
    </row>
    <row r="123" spans="2:20">
      <c r="B123" s="230"/>
      <c r="C123" s="229"/>
      <c r="D123" s="231" t="s">
        <v>796</v>
      </c>
      <c r="E123" s="230"/>
      <c r="F123" s="232"/>
      <c r="H123" s="231">
        <v>2.25</v>
      </c>
      <c r="I123" s="231">
        <v>5.5187499999999998</v>
      </c>
      <c r="J123" s="231">
        <v>11.765520833333333</v>
      </c>
      <c r="K123" s="231">
        <v>45.025709260321094</v>
      </c>
      <c r="L123" s="231">
        <v>86.249881921349385</v>
      </c>
      <c r="M123" s="231">
        <v>135.51697153192089</v>
      </c>
      <c r="N123" s="231">
        <v>190.78254362237391</v>
      </c>
      <c r="O123" s="231">
        <v>248.58987745653096</v>
      </c>
      <c r="P123" s="231">
        <v>306.13976935971459</v>
      </c>
      <c r="Q123" s="231">
        <v>368.40488798241569</v>
      </c>
      <c r="R123" s="231">
        <v>436.85414539794385</v>
      </c>
      <c r="S123" s="231">
        <v>504.38900929028614</v>
      </c>
      <c r="T123" s="34">
        <f t="shared" si="1"/>
        <v>2341.4870666561897</v>
      </c>
    </row>
    <row r="124" spans="2:20">
      <c r="B124" s="230"/>
      <c r="C124" s="229"/>
      <c r="D124" s="231" t="s">
        <v>215</v>
      </c>
      <c r="E124" s="230"/>
      <c r="F124" s="232"/>
      <c r="H124" s="193">
        <v>0.20887500000000003</v>
      </c>
      <c r="I124" s="193">
        <v>0.32954791666666666</v>
      </c>
      <c r="J124" s="193">
        <v>0.67366836805555552</v>
      </c>
      <c r="K124" s="193">
        <v>2.9554825853625122</v>
      </c>
      <c r="L124" s="193">
        <v>4.7544524189132584</v>
      </c>
      <c r="M124" s="193">
        <v>6.848132261071858</v>
      </c>
      <c r="N124" s="193">
        <v>9.0785870818439953</v>
      </c>
      <c r="O124" s="193">
        <v>11.266047913890901</v>
      </c>
      <c r="P124" s="193">
        <v>13.337649474172101</v>
      </c>
      <c r="Q124" s="193">
        <v>15.785628779438465</v>
      </c>
      <c r="R124" s="193">
        <v>18.521458714237848</v>
      </c>
      <c r="S124" s="193">
        <v>20.945974105763007</v>
      </c>
      <c r="T124" s="34">
        <f t="shared" si="1"/>
        <v>104.70550461941616</v>
      </c>
    </row>
    <row r="125" spans="2:20">
      <c r="B125" s="230"/>
      <c r="C125" s="229"/>
      <c r="D125" s="231" t="s">
        <v>99</v>
      </c>
      <c r="E125" s="230"/>
      <c r="F125" s="232"/>
      <c r="H125" s="193">
        <v>0.238125</v>
      </c>
      <c r="I125" s="193">
        <v>0.35890885416666668</v>
      </c>
      <c r="J125" s="193">
        <v>0.69847495659722225</v>
      </c>
      <c r="K125" s="193">
        <v>3.5420479513052685</v>
      </c>
      <c r="L125" s="193">
        <v>4.696376047196539</v>
      </c>
      <c r="M125" s="193">
        <v>5.9443292948701103</v>
      </c>
      <c r="N125" s="193">
        <v>7.069794027220893</v>
      </c>
      <c r="O125" s="193">
        <v>7.9086864733722759</v>
      </c>
      <c r="P125" s="193">
        <v>8.4955335044487956</v>
      </c>
      <c r="Q125" s="193">
        <v>9.6030821252080383</v>
      </c>
      <c r="R125" s="193">
        <v>10.920898776600593</v>
      </c>
      <c r="S125" s="193">
        <v>11.583255886259453</v>
      </c>
      <c r="T125" s="34">
        <f t="shared" si="1"/>
        <v>71.059512897245853</v>
      </c>
    </row>
    <row r="126" spans="2:20">
      <c r="B126" s="229"/>
      <c r="C126" s="229" t="s">
        <v>217</v>
      </c>
      <c r="D126" s="229"/>
      <c r="E126" s="229"/>
      <c r="F126" s="203"/>
      <c r="G126" s="203"/>
      <c r="H126" s="234">
        <v>-2.9249999999999991E-2</v>
      </c>
      <c r="I126" s="234">
        <v>-2.9360937500000003E-2</v>
      </c>
      <c r="J126" s="234">
        <v>-2.4806588541666647E-2</v>
      </c>
      <c r="K126" s="234">
        <v>-0.5865653659427561</v>
      </c>
      <c r="L126" s="234">
        <v>5.8076371716720088E-2</v>
      </c>
      <c r="M126" s="234">
        <v>0.90380296620174772</v>
      </c>
      <c r="N126" s="234">
        <v>2.0087930546231023</v>
      </c>
      <c r="O126" s="234">
        <v>3.3573614405186261</v>
      </c>
      <c r="P126" s="234">
        <v>4.8421159697233049</v>
      </c>
      <c r="Q126" s="234">
        <v>6.1825466542304275</v>
      </c>
      <c r="R126" s="234">
        <v>7.6005599376372546</v>
      </c>
      <c r="S126" s="234">
        <v>9.3627182195035559</v>
      </c>
      <c r="T126" s="34">
        <f t="shared" si="1"/>
        <v>33.645991722170315</v>
      </c>
    </row>
    <row r="127" spans="2:20">
      <c r="B127" s="230"/>
      <c r="C127" s="229"/>
      <c r="D127" s="238" t="s">
        <v>218</v>
      </c>
      <c r="E127" s="229"/>
      <c r="F127" s="232"/>
      <c r="H127" s="255">
        <v>6.1874999999999993E-2</v>
      </c>
      <c r="I127" s="255">
        <v>0.1068203125</v>
      </c>
      <c r="J127" s="255">
        <v>0.23765872395833335</v>
      </c>
      <c r="K127" s="255">
        <v>0.78087941378774839</v>
      </c>
      <c r="L127" s="255">
        <v>1.8050393787479695</v>
      </c>
      <c r="M127" s="255">
        <v>3.0492942349824665</v>
      </c>
      <c r="N127" s="255">
        <v>4.4866183333715535</v>
      </c>
      <c r="O127" s="255">
        <v>6.0413707898349411</v>
      </c>
      <c r="P127" s="255">
        <v>7.6275326437233772</v>
      </c>
      <c r="Q127" s="255">
        <v>9.2749890384542919</v>
      </c>
      <c r="R127" s="255">
        <v>11.072311708979944</v>
      </c>
      <c r="S127" s="255">
        <v>12.942093376963163</v>
      </c>
      <c r="T127" s="34">
        <f t="shared" si="1"/>
        <v>57.486482955303792</v>
      </c>
    </row>
    <row r="128" spans="2:20">
      <c r="B128" s="230"/>
      <c r="C128" s="230"/>
      <c r="D128" s="230" t="s">
        <v>737</v>
      </c>
      <c r="E128" s="230"/>
      <c r="F128" s="232"/>
      <c r="H128" s="240">
        <v>7.4999999999999997E-2</v>
      </c>
      <c r="I128" s="240">
        <v>0.12947916666666667</v>
      </c>
      <c r="J128" s="240">
        <v>0.28807118055555558</v>
      </c>
      <c r="K128" s="240">
        <v>0.94652050156090717</v>
      </c>
      <c r="L128" s="240">
        <v>2.1879265196945084</v>
      </c>
      <c r="M128" s="240">
        <v>3.6961142242211715</v>
      </c>
      <c r="N128" s="240">
        <v>5.4383252525715804</v>
      </c>
      <c r="O128" s="240">
        <v>7.3228736846484139</v>
      </c>
      <c r="P128" s="240">
        <v>9.245494113604094</v>
      </c>
      <c r="Q128" s="240">
        <v>11.242410955702171</v>
      </c>
      <c r="R128" s="240">
        <v>13.420983889672661</v>
      </c>
      <c r="S128" s="240">
        <v>15.6873859114705</v>
      </c>
      <c r="T128" s="34">
        <f t="shared" si="1"/>
        <v>69.68058540036823</v>
      </c>
    </row>
    <row r="129" spans="2:20">
      <c r="B129" s="230"/>
      <c r="C129" s="230"/>
      <c r="D129" s="230" t="s">
        <v>798</v>
      </c>
      <c r="E129" s="230"/>
      <c r="F129" s="232"/>
      <c r="H129" s="240">
        <v>1.3125000000000003E-2</v>
      </c>
      <c r="I129" s="240">
        <v>2.2658854166666669E-2</v>
      </c>
      <c r="J129" s="240">
        <v>5.0412456597222231E-2</v>
      </c>
      <c r="K129" s="240">
        <v>0.16564108777315875</v>
      </c>
      <c r="L129" s="240">
        <v>0.38288714094653892</v>
      </c>
      <c r="M129" s="240">
        <v>0.6468199892387051</v>
      </c>
      <c r="N129" s="240">
        <v>0.95170691920002659</v>
      </c>
      <c r="O129" s="240">
        <v>1.2815028948134726</v>
      </c>
      <c r="P129" s="240">
        <v>1.6179614698807165</v>
      </c>
      <c r="Q129" s="240">
        <v>1.96742191724788</v>
      </c>
      <c r="R129" s="240">
        <v>2.348672180692716</v>
      </c>
      <c r="S129" s="240">
        <v>2.7452925345073376</v>
      </c>
      <c r="T129" s="34">
        <f t="shared" si="1"/>
        <v>12.194102445064441</v>
      </c>
    </row>
    <row r="130" spans="2:20">
      <c r="B130" s="229"/>
      <c r="C130" s="229"/>
      <c r="D130" s="229" t="s">
        <v>830</v>
      </c>
      <c r="E130" s="229"/>
      <c r="F130" s="203"/>
      <c r="G130" s="203"/>
      <c r="H130" s="256">
        <v>-9.1124999999999984E-2</v>
      </c>
      <c r="I130" s="256">
        <v>-0.13618125</v>
      </c>
      <c r="J130" s="256">
        <v>-0.26246531249999999</v>
      </c>
      <c r="K130" s="256">
        <v>-1.3674447797305045</v>
      </c>
      <c r="L130" s="256">
        <v>-1.7469630070312494</v>
      </c>
      <c r="M130" s="256">
        <v>-2.1454912687807188</v>
      </c>
      <c r="N130" s="256">
        <v>-2.4778252787484512</v>
      </c>
      <c r="O130" s="256">
        <v>-2.6840093493163151</v>
      </c>
      <c r="P130" s="256">
        <v>-2.7854166740000723</v>
      </c>
      <c r="Q130" s="256">
        <v>-3.0924423842238644</v>
      </c>
      <c r="R130" s="256">
        <v>-3.4717517713426895</v>
      </c>
      <c r="S130" s="256">
        <v>-3.5793751574596069</v>
      </c>
      <c r="T130" s="34">
        <f t="shared" si="1"/>
        <v>-23.84049123313347</v>
      </c>
    </row>
    <row r="131" spans="2:20">
      <c r="B131" s="230"/>
      <c r="C131" s="230"/>
      <c r="D131" s="230" t="s">
        <v>540</v>
      </c>
      <c r="E131" s="230"/>
      <c r="F131" s="232"/>
      <c r="H131" s="240">
        <v>0.13387500000000002</v>
      </c>
      <c r="I131" s="240">
        <v>0.20006874999999999</v>
      </c>
      <c r="J131" s="240">
        <v>0.38559718749999999</v>
      </c>
      <c r="K131" s="240">
        <v>2.0089620838016051</v>
      </c>
      <c r="L131" s="240">
        <v>2.5665258992187505</v>
      </c>
      <c r="M131" s="240">
        <v>3.1520180368506865</v>
      </c>
      <c r="N131" s="240">
        <v>3.6402618292724149</v>
      </c>
      <c r="O131" s="240">
        <v>3.9431742292424881</v>
      </c>
      <c r="P131" s="240">
        <v>4.0921553605680074</v>
      </c>
      <c r="Q131" s="240">
        <v>4.5432178237362946</v>
      </c>
      <c r="R131" s="240">
        <v>5.100474824565187</v>
      </c>
      <c r="S131" s="240">
        <v>5.2585881942925088</v>
      </c>
      <c r="T131" s="34">
        <f t="shared" si="1"/>
        <v>35.024919219047945</v>
      </c>
    </row>
    <row r="132" spans="2:20">
      <c r="B132" s="230"/>
      <c r="C132" s="230"/>
      <c r="D132" s="230" t="s">
        <v>913</v>
      </c>
      <c r="E132" s="230"/>
      <c r="F132" s="232"/>
      <c r="H132" s="193">
        <v>0.22500000000000001</v>
      </c>
      <c r="I132" s="193">
        <v>0.33624999999999999</v>
      </c>
      <c r="J132" s="193">
        <v>0.64806249999999999</v>
      </c>
      <c r="K132" s="193">
        <v>3.3764068635321096</v>
      </c>
      <c r="L132" s="193">
        <v>4.3134889062499999</v>
      </c>
      <c r="M132" s="193">
        <v>5.2975093056314053</v>
      </c>
      <c r="N132" s="193">
        <v>6.1180871080208661</v>
      </c>
      <c r="O132" s="193">
        <v>6.6271835785588031</v>
      </c>
      <c r="P132" s="193">
        <v>6.8775720345680798</v>
      </c>
      <c r="Q132" s="193">
        <v>7.635660207960159</v>
      </c>
      <c r="R132" s="193">
        <v>8.5722265959078765</v>
      </c>
      <c r="S132" s="193">
        <v>8.8379633517521157</v>
      </c>
      <c r="T132" s="34">
        <f t="shared" si="1"/>
        <v>58.865410452181415</v>
      </c>
    </row>
    <row r="133" spans="2:20">
      <c r="B133" s="245"/>
      <c r="C133" s="245" t="s">
        <v>145</v>
      </c>
      <c r="D133" s="245"/>
      <c r="E133" s="245"/>
      <c r="F133" s="216"/>
      <c r="G133" s="216"/>
      <c r="H133" s="245">
        <v>5.5406999999999991E-3</v>
      </c>
      <c r="I133" s="245">
        <v>1.0904934999999998E-2</v>
      </c>
      <c r="J133" s="245">
        <v>2.1997321749999996E-2</v>
      </c>
      <c r="K133" s="245">
        <v>0.10143641611951831</v>
      </c>
      <c r="L133" s="245">
        <v>0.15294206394130158</v>
      </c>
      <c r="M133" s="245">
        <v>0.17054546903616766</v>
      </c>
      <c r="N133" s="245">
        <v>0.11979875873858079</v>
      </c>
      <c r="O133" s="245">
        <v>0.13083883223821119</v>
      </c>
      <c r="P133" s="245">
        <v>0.14750148705852706</v>
      </c>
      <c r="Q133" s="245">
        <v>0.17157572734387619</v>
      </c>
      <c r="R133" s="245">
        <v>0.19959558943254085</v>
      </c>
      <c r="S133" s="245">
        <v>0.22035725134490841</v>
      </c>
      <c r="T133" s="34">
        <f t="shared" si="1"/>
        <v>1.4530345520036319</v>
      </c>
    </row>
    <row r="134" spans="2:20">
      <c r="B134" s="240"/>
      <c r="C134" s="240"/>
      <c r="D134" s="240" t="s">
        <v>100</v>
      </c>
      <c r="E134" s="240"/>
      <c r="F134" s="257"/>
      <c r="G134" s="257"/>
      <c r="H134" s="240">
        <v>3.0000000000000001E-3</v>
      </c>
      <c r="I134" s="240">
        <v>5.3799999999999994E-3</v>
      </c>
      <c r="J134" s="240">
        <v>1.0368999999999998E-2</v>
      </c>
      <c r="K134" s="240">
        <v>5.4022509816513749E-2</v>
      </c>
      <c r="L134" s="240">
        <v>6.9015822500000004E-2</v>
      </c>
      <c r="M134" s="240">
        <v>4.2380074445051243E-2</v>
      </c>
      <c r="N134" s="240">
        <v>4.8944696864166921E-2</v>
      </c>
      <c r="O134" s="240">
        <v>5.301746862847042E-2</v>
      </c>
      <c r="P134" s="240">
        <v>5.5020576276544636E-2</v>
      </c>
      <c r="Q134" s="240">
        <v>6.1085281663681268E-2</v>
      </c>
      <c r="R134" s="240">
        <v>6.8577812767263005E-2</v>
      </c>
      <c r="S134" s="240">
        <v>7.0703706814016928E-2</v>
      </c>
      <c r="T134" s="34">
        <f t="shared" si="1"/>
        <v>0.54151694977570819</v>
      </c>
    </row>
    <row r="135" spans="2:20">
      <c r="B135" s="230"/>
      <c r="C135" s="230"/>
      <c r="D135" s="230" t="s">
        <v>107</v>
      </c>
      <c r="E135" s="230"/>
      <c r="F135" s="232"/>
      <c r="H135" s="240">
        <v>1.7279999999999999E-3</v>
      </c>
      <c r="I135" s="240">
        <v>4.3103999999999998E-3</v>
      </c>
      <c r="J135" s="240">
        <v>9.2875199999999988E-3</v>
      </c>
      <c r="K135" s="240">
        <v>3.5218324711926596E-2</v>
      </c>
      <c r="L135" s="240">
        <v>6.8345919511926589E-2</v>
      </c>
      <c r="M135" s="240">
        <v>0.10903079097917578</v>
      </c>
      <c r="N135" s="240">
        <v>4.8755531240242511E-2</v>
      </c>
      <c r="O135" s="240">
        <v>5.3883976523986361E-2</v>
      </c>
      <c r="P135" s="240">
        <v>6.763912059312252E-2</v>
      </c>
      <c r="Q135" s="240">
        <v>8.2910441009042837E-2</v>
      </c>
      <c r="R135" s="240">
        <v>0.1000548942008586</v>
      </c>
      <c r="S135" s="240">
        <v>0.11773082090436283</v>
      </c>
      <c r="T135" s="34">
        <f t="shared" si="1"/>
        <v>0.69889573967464458</v>
      </c>
    </row>
    <row r="136" spans="2:20">
      <c r="B136" s="230"/>
      <c r="C136" s="230"/>
      <c r="D136" s="230" t="s">
        <v>163</v>
      </c>
      <c r="E136" s="230"/>
      <c r="F136" s="232"/>
      <c r="H136" s="240">
        <v>6.3E-5</v>
      </c>
      <c r="I136" s="240">
        <v>9.4149999999999985E-5</v>
      </c>
      <c r="J136" s="240">
        <v>1.8145749999999997E-4</v>
      </c>
      <c r="K136" s="240">
        <v>9.4539392178899062E-4</v>
      </c>
      <c r="L136" s="240">
        <v>1.20777689375E-3</v>
      </c>
      <c r="M136" s="240">
        <v>1.4833026055767935E-3</v>
      </c>
      <c r="N136" s="240">
        <v>1.7130643902458426E-3</v>
      </c>
      <c r="O136" s="240">
        <v>1.8556114019964648E-3</v>
      </c>
      <c r="P136" s="240">
        <v>1.9257201696790622E-3</v>
      </c>
      <c r="Q136" s="240">
        <v>2.1379848582288447E-3</v>
      </c>
      <c r="R136" s="240">
        <v>2.4002234468542055E-3</v>
      </c>
      <c r="S136" s="240">
        <v>2.4746297384905928E-3</v>
      </c>
      <c r="T136" s="34">
        <f t="shared" ref="T136:T199" si="2">SUM(H136:S136)</f>
        <v>1.64823149266108E-2</v>
      </c>
    </row>
    <row r="137" spans="2:20">
      <c r="B137" s="230"/>
      <c r="C137" s="230"/>
      <c r="D137" s="230" t="s">
        <v>806</v>
      </c>
      <c r="E137" s="230"/>
      <c r="F137" s="232"/>
      <c r="H137" s="240">
        <v>7.4969999999999995E-4</v>
      </c>
      <c r="I137" s="240">
        <v>1.1203849999999998E-3</v>
      </c>
      <c r="J137" s="240">
        <v>2.1593442499999995E-3</v>
      </c>
      <c r="K137" s="240">
        <v>1.1250187669288987E-2</v>
      </c>
      <c r="L137" s="240">
        <v>1.4372545035625002E-2</v>
      </c>
      <c r="M137" s="240">
        <v>1.7651301006363841E-2</v>
      </c>
      <c r="N137" s="240">
        <v>2.0385466243925524E-2</v>
      </c>
      <c r="O137" s="240">
        <v>2.208177568375793E-2</v>
      </c>
      <c r="P137" s="240">
        <v>2.2916070019180841E-2</v>
      </c>
      <c r="Q137" s="240">
        <v>2.5442019812923249E-2</v>
      </c>
      <c r="R137" s="240">
        <v>2.8562659017565044E-2</v>
      </c>
      <c r="S137" s="240">
        <v>2.9448093888038054E-2</v>
      </c>
      <c r="T137" s="34">
        <f t="shared" si="2"/>
        <v>0.19613954762666846</v>
      </c>
    </row>
    <row r="138" spans="2:20">
      <c r="B138" s="230"/>
      <c r="C138" s="230"/>
      <c r="D138" s="230" t="s">
        <v>907</v>
      </c>
      <c r="E138" s="230"/>
      <c r="F138" s="232"/>
      <c r="T138" s="34">
        <f t="shared" si="2"/>
        <v>0</v>
      </c>
    </row>
    <row r="139" spans="2:20">
      <c r="B139" s="230"/>
      <c r="C139" s="230"/>
      <c r="D139" s="230" t="s">
        <v>580</v>
      </c>
      <c r="E139" s="230"/>
      <c r="F139" s="232"/>
      <c r="T139" s="34">
        <f t="shared" si="2"/>
        <v>0</v>
      </c>
    </row>
    <row r="140" spans="2:20">
      <c r="B140" s="230"/>
      <c r="C140" s="230"/>
      <c r="D140" s="230" t="s">
        <v>808</v>
      </c>
      <c r="E140" s="230"/>
      <c r="F140" s="232"/>
      <c r="T140" s="34">
        <f t="shared" si="2"/>
        <v>0</v>
      </c>
    </row>
    <row r="141" spans="2:20">
      <c r="B141" s="230"/>
      <c r="C141" s="230"/>
      <c r="D141" s="230"/>
      <c r="E141" s="230"/>
      <c r="F141" s="232"/>
      <c r="T141" s="34">
        <f t="shared" si="2"/>
        <v>0</v>
      </c>
    </row>
    <row r="142" spans="2:20">
      <c r="B142" s="240"/>
      <c r="C142" s="245" t="s">
        <v>135</v>
      </c>
      <c r="D142" s="240"/>
      <c r="E142" s="240"/>
      <c r="F142" s="257"/>
      <c r="G142" s="257"/>
      <c r="H142" s="240">
        <v>-3.4790699999999994E-2</v>
      </c>
      <c r="I142" s="240">
        <v>-4.0265872500000001E-2</v>
      </c>
      <c r="J142" s="240">
        <v>-4.6803910291666639E-2</v>
      </c>
      <c r="K142" s="240">
        <v>-0.68800178206227436</v>
      </c>
      <c r="L142" s="240">
        <v>-9.4865692224581494E-2</v>
      </c>
      <c r="M142" s="240">
        <v>0.73325749716558009</v>
      </c>
      <c r="N142" s="240">
        <v>1.8889942958845216</v>
      </c>
      <c r="O142" s="240">
        <v>3.226522608280415</v>
      </c>
      <c r="P142" s="240">
        <v>4.694614482664778</v>
      </c>
      <c r="Q142" s="240">
        <v>6.010970926886551</v>
      </c>
      <c r="R142" s="240">
        <v>7.400964348204714</v>
      </c>
      <c r="S142" s="240">
        <v>9.1423609681586466</v>
      </c>
      <c r="T142" s="34">
        <f t="shared" si="2"/>
        <v>32.192957170166686</v>
      </c>
    </row>
    <row r="143" spans="2:20">
      <c r="B143" s="230"/>
      <c r="C143" s="230"/>
      <c r="D143" s="230" t="s">
        <v>136</v>
      </c>
      <c r="E143" s="230"/>
      <c r="F143" s="232"/>
      <c r="H143" s="193">
        <v>2.2499999999999999E-2</v>
      </c>
      <c r="I143" s="193">
        <v>5.5327499999999995E-2</v>
      </c>
      <c r="J143" s="193">
        <v>7.9265624999999978E-2</v>
      </c>
      <c r="K143" s="193">
        <v>0.15577593749999999</v>
      </c>
      <c r="L143" s="193">
        <v>0.1780179375</v>
      </c>
      <c r="M143" s="193">
        <v>0.23259356249999999</v>
      </c>
      <c r="N143" s="193">
        <v>0.35183643749999999</v>
      </c>
      <c r="O143" s="193">
        <v>0.3672339375</v>
      </c>
      <c r="P143" s="193">
        <v>0.43760343749999997</v>
      </c>
      <c r="Q143" s="193">
        <v>0.46137318749999989</v>
      </c>
      <c r="R143" s="193">
        <v>0.50672268749999994</v>
      </c>
      <c r="S143" s="193">
        <v>0.57091537499999989</v>
      </c>
      <c r="T143" s="34">
        <f t="shared" si="2"/>
        <v>3.4191656249999993</v>
      </c>
    </row>
    <row r="144" spans="2:20">
      <c r="B144" s="240"/>
      <c r="C144" s="245" t="s">
        <v>860</v>
      </c>
      <c r="D144" s="240"/>
      <c r="E144" s="240"/>
      <c r="F144" s="257"/>
      <c r="G144" s="257"/>
      <c r="H144" s="240">
        <v>-5.7290699999999993E-2</v>
      </c>
      <c r="I144" s="240">
        <v>-9.5593372499999996E-2</v>
      </c>
      <c r="J144" s="240">
        <v>-0.12606953529166662</v>
      </c>
      <c r="K144" s="240">
        <v>-0.84377771956227432</v>
      </c>
      <c r="L144" s="240">
        <v>-0.27288362972458147</v>
      </c>
      <c r="M144" s="240">
        <v>0.50066393466558012</v>
      </c>
      <c r="N144" s="240">
        <v>1.5371578583845216</v>
      </c>
      <c r="O144" s="240">
        <v>2.859288670780415</v>
      </c>
      <c r="P144" s="240">
        <v>4.257011045164778</v>
      </c>
      <c r="Q144" s="240">
        <v>5.5495977393865514</v>
      </c>
      <c r="R144" s="240">
        <v>6.8942416607047141</v>
      </c>
      <c r="S144" s="240">
        <v>8.5714455931586464</v>
      </c>
      <c r="T144" s="34">
        <f t="shared" si="2"/>
        <v>28.773791545166684</v>
      </c>
    </row>
    <row r="145" spans="2:20">
      <c r="B145" s="230"/>
      <c r="C145" s="230"/>
      <c r="D145" s="229" t="s">
        <v>320</v>
      </c>
      <c r="E145" s="230"/>
      <c r="F145" s="232"/>
      <c r="T145" s="34">
        <f t="shared" si="2"/>
        <v>0</v>
      </c>
    </row>
    <row r="146" spans="2:20">
      <c r="B146" s="230"/>
      <c r="C146" s="230"/>
      <c r="D146" s="229"/>
      <c r="E146" s="230"/>
      <c r="F146" s="232"/>
      <c r="T146" s="34">
        <f t="shared" si="2"/>
        <v>0</v>
      </c>
    </row>
    <row r="147" spans="2:20">
      <c r="B147" s="230"/>
      <c r="C147" s="128" t="s">
        <v>914</v>
      </c>
      <c r="D147" s="230"/>
      <c r="E147" s="230"/>
      <c r="F147" s="232"/>
      <c r="H147" s="254"/>
      <c r="I147" s="254"/>
      <c r="J147" s="254"/>
      <c r="K147" s="254"/>
      <c r="L147" s="254"/>
      <c r="M147" s="254"/>
      <c r="N147" s="254"/>
      <c r="O147" s="254"/>
      <c r="P147" s="254"/>
      <c r="Q147" s="254"/>
      <c r="R147" s="254"/>
      <c r="S147" s="254"/>
      <c r="T147" s="34">
        <f t="shared" si="2"/>
        <v>0</v>
      </c>
    </row>
    <row r="148" spans="2:20">
      <c r="B148" s="230"/>
      <c r="C148" s="229"/>
      <c r="D148" s="230" t="s">
        <v>817</v>
      </c>
      <c r="E148" s="230"/>
      <c r="F148" s="232"/>
      <c r="H148" s="231">
        <v>150</v>
      </c>
      <c r="I148" s="231">
        <v>125.1</v>
      </c>
      <c r="J148" s="231">
        <v>187.65</v>
      </c>
      <c r="K148" s="231">
        <v>187.65</v>
      </c>
      <c r="L148" s="231">
        <v>225.17999999999998</v>
      </c>
      <c r="M148" s="231">
        <v>250.2</v>
      </c>
      <c r="N148" s="231">
        <v>225.17999999999998</v>
      </c>
      <c r="O148" s="231">
        <v>200.16000000000003</v>
      </c>
      <c r="P148" s="231">
        <v>250.2</v>
      </c>
      <c r="Q148" s="231">
        <v>250.2</v>
      </c>
      <c r="R148" s="231">
        <v>287.73</v>
      </c>
      <c r="S148" s="231">
        <v>300.23999999999995</v>
      </c>
      <c r="T148" s="34">
        <f t="shared" si="2"/>
        <v>2639.49</v>
      </c>
    </row>
    <row r="149" spans="2:20">
      <c r="B149" s="230"/>
      <c r="C149" s="229"/>
      <c r="D149" s="231" t="s">
        <v>795</v>
      </c>
      <c r="E149" s="230"/>
      <c r="F149" s="232"/>
      <c r="H149" s="237">
        <v>3</v>
      </c>
      <c r="I149" s="237">
        <v>2.5019999999999998</v>
      </c>
      <c r="J149" s="237">
        <v>3.7530000000000001</v>
      </c>
      <c r="K149" s="237">
        <v>3.7530000000000001</v>
      </c>
      <c r="L149" s="237">
        <v>4.5035999999999996</v>
      </c>
      <c r="M149" s="237">
        <v>5.0039999999999996</v>
      </c>
      <c r="N149" s="237">
        <v>4.5035999999999996</v>
      </c>
      <c r="O149" s="237">
        <v>4.0032000000000005</v>
      </c>
      <c r="P149" s="237">
        <v>5.0039999999999996</v>
      </c>
      <c r="Q149" s="237">
        <v>5.0039999999999996</v>
      </c>
      <c r="R149" s="237">
        <v>5.7545999999999999</v>
      </c>
      <c r="S149" s="237">
        <v>6.0047999999999995</v>
      </c>
      <c r="T149" s="34">
        <f t="shared" si="2"/>
        <v>52.7898</v>
      </c>
    </row>
    <row r="150" spans="2:20">
      <c r="B150" s="230"/>
      <c r="C150" s="229"/>
      <c r="D150" s="231" t="s">
        <v>796</v>
      </c>
      <c r="E150" s="230"/>
      <c r="F150" s="232"/>
      <c r="H150" s="237">
        <v>3</v>
      </c>
      <c r="I150" s="237">
        <v>5.3769999999999998</v>
      </c>
      <c r="J150" s="237">
        <v>8.9007499999999986</v>
      </c>
      <c r="K150" s="237">
        <v>12.268125</v>
      </c>
      <c r="L150" s="237">
        <v>16.229724999999998</v>
      </c>
      <c r="M150" s="237">
        <v>20.504075</v>
      </c>
      <c r="N150" s="237">
        <v>24.069524999999999</v>
      </c>
      <c r="O150" s="237">
        <v>26.946925</v>
      </c>
      <c r="P150" s="237">
        <v>30.658324999999998</v>
      </c>
      <c r="Q150" s="237">
        <v>34.161224999999995</v>
      </c>
      <c r="R150" s="237">
        <v>38.206224999999996</v>
      </c>
      <c r="S150" s="237">
        <v>42.261649999999989</v>
      </c>
      <c r="T150" s="34">
        <f t="shared" si="2"/>
        <v>262.58354999999995</v>
      </c>
    </row>
    <row r="151" spans="2:20">
      <c r="B151" s="230"/>
      <c r="C151" s="229"/>
      <c r="D151" s="231" t="s">
        <v>215</v>
      </c>
      <c r="E151" s="230"/>
      <c r="F151" s="232"/>
      <c r="H151" s="193">
        <v>0.27</v>
      </c>
      <c r="I151" s="193">
        <v>0.25790090815226124</v>
      </c>
      <c r="J151" s="193">
        <v>0.40281218413860753</v>
      </c>
      <c r="K151" s="193">
        <v>0.47121607232503376</v>
      </c>
      <c r="L151" s="193">
        <v>0.59408653366305519</v>
      </c>
      <c r="M151" s="193">
        <v>0.70690010086792698</v>
      </c>
      <c r="N151" s="193">
        <v>0.74433956904100396</v>
      </c>
      <c r="O151" s="193">
        <v>0.76686662870259514</v>
      </c>
      <c r="P151" s="193">
        <v>0.89454104422458558</v>
      </c>
      <c r="Q151" s="193">
        <v>0.95717028635984847</v>
      </c>
      <c r="R151" s="193">
        <v>1.074726844506388</v>
      </c>
      <c r="S151" s="193">
        <v>1.1606712622071762</v>
      </c>
      <c r="T151" s="34">
        <f t="shared" si="2"/>
        <v>8.3012314341884803</v>
      </c>
    </row>
    <row r="152" spans="2:20">
      <c r="B152" s="230"/>
      <c r="C152" s="229"/>
      <c r="D152" s="231" t="s">
        <v>99</v>
      </c>
      <c r="E152" s="230"/>
      <c r="F152" s="232"/>
      <c r="H152" s="193">
        <v>1.7500000000000002E-2</v>
      </c>
      <c r="I152" s="193">
        <v>2.4432916666666665E-2</v>
      </c>
      <c r="J152" s="193">
        <v>4.1643437499999998E-2</v>
      </c>
      <c r="K152" s="193">
        <v>6.1742552083333339E-2</v>
      </c>
      <c r="L152" s="193">
        <v>8.3118729166666669E-2</v>
      </c>
      <c r="M152" s="193">
        <v>0.10714025000000001</v>
      </c>
      <c r="N152" s="193">
        <v>0.13000633333333333</v>
      </c>
      <c r="O152" s="193">
        <v>0.14879797916666668</v>
      </c>
      <c r="P152" s="193">
        <v>0.16801531250000001</v>
      </c>
      <c r="Q152" s="193">
        <v>0.18905702083333331</v>
      </c>
      <c r="R152" s="193">
        <v>0.21107172916666664</v>
      </c>
      <c r="S152" s="193">
        <v>0.23469796875000001</v>
      </c>
      <c r="T152" s="34">
        <f t="shared" si="2"/>
        <v>1.4172242291666666</v>
      </c>
    </row>
    <row r="153" spans="2:20">
      <c r="B153" s="288"/>
      <c r="C153" s="258" t="s">
        <v>217</v>
      </c>
      <c r="D153" s="258"/>
      <c r="E153" s="258"/>
      <c r="F153" s="259"/>
      <c r="G153" s="259"/>
      <c r="H153" s="260">
        <v>0.2525</v>
      </c>
      <c r="I153" s="260">
        <v>0.23346799148559455</v>
      </c>
      <c r="J153" s="260">
        <v>0.36116874663860754</v>
      </c>
      <c r="K153" s="260">
        <v>0.40947352024170042</v>
      </c>
      <c r="L153" s="260">
        <v>0.51096780449638857</v>
      </c>
      <c r="M153" s="260">
        <v>0.59975985086792705</v>
      </c>
      <c r="N153" s="260">
        <v>0.61433323570767051</v>
      </c>
      <c r="O153" s="260">
        <v>0.61806864953592844</v>
      </c>
      <c r="P153" s="260">
        <v>0.72652573172458557</v>
      </c>
      <c r="Q153" s="260">
        <v>0.76811326552651515</v>
      </c>
      <c r="R153" s="260">
        <v>0.86365511533972139</v>
      </c>
      <c r="S153" s="260">
        <v>0.92597329345717627</v>
      </c>
      <c r="T153" s="34">
        <f t="shared" si="2"/>
        <v>6.8840072050218151</v>
      </c>
    </row>
    <row r="154" spans="2:20">
      <c r="B154" s="230"/>
      <c r="C154" s="229"/>
      <c r="D154" s="238" t="s">
        <v>218</v>
      </c>
      <c r="E154" s="229"/>
      <c r="F154" s="232"/>
      <c r="H154" s="255">
        <v>4.2499999999999996E-2</v>
      </c>
      <c r="I154" s="255">
        <v>5.8327991485594546E-2</v>
      </c>
      <c r="J154" s="255">
        <v>9.8458746638607458E-2</v>
      </c>
      <c r="K154" s="255">
        <v>0.14676352024170036</v>
      </c>
      <c r="L154" s="255">
        <v>0.19571580449638853</v>
      </c>
      <c r="M154" s="255">
        <v>0.24947985086792701</v>
      </c>
      <c r="N154" s="255">
        <v>0.29908123570767053</v>
      </c>
      <c r="O154" s="255">
        <v>0.33784464953592841</v>
      </c>
      <c r="P154" s="255">
        <v>0.37624573172458553</v>
      </c>
      <c r="Q154" s="255">
        <v>0.41783326552651512</v>
      </c>
      <c r="R154" s="255">
        <v>0.46083311533972138</v>
      </c>
      <c r="S154" s="255">
        <v>0.50563729345717634</v>
      </c>
      <c r="T154" s="34">
        <f t="shared" si="2"/>
        <v>3.1887212050218157</v>
      </c>
    </row>
    <row r="155" spans="2:20">
      <c r="B155" s="230"/>
      <c r="C155" s="230"/>
      <c r="D155" s="230" t="s">
        <v>737</v>
      </c>
      <c r="E155" s="230"/>
      <c r="F155" s="232"/>
      <c r="H155" s="240">
        <v>0.06</v>
      </c>
      <c r="I155" s="240">
        <v>8.2760908152261212E-2</v>
      </c>
      <c r="J155" s="240">
        <v>0.14010218413860745</v>
      </c>
      <c r="K155" s="240">
        <v>0.20850607232503371</v>
      </c>
      <c r="L155" s="240">
        <v>0.27883453366305522</v>
      </c>
      <c r="M155" s="240">
        <v>0.356620100867927</v>
      </c>
      <c r="N155" s="240">
        <v>0.42908756904100387</v>
      </c>
      <c r="O155" s="240">
        <v>0.48664262870259511</v>
      </c>
      <c r="P155" s="240">
        <v>0.54426104422458554</v>
      </c>
      <c r="Q155" s="240">
        <v>0.60689028635984843</v>
      </c>
      <c r="R155" s="240">
        <v>0.67190484450638799</v>
      </c>
      <c r="S155" s="240">
        <v>0.74033526220717638</v>
      </c>
      <c r="T155" s="34">
        <f t="shared" si="2"/>
        <v>4.6059454341884827</v>
      </c>
    </row>
    <row r="156" spans="2:20">
      <c r="B156" s="230"/>
      <c r="C156" s="230"/>
      <c r="D156" s="230" t="s">
        <v>798</v>
      </c>
      <c r="E156" s="230"/>
      <c r="F156" s="232"/>
      <c r="H156" s="240">
        <v>1.7500000000000002E-2</v>
      </c>
      <c r="I156" s="240">
        <v>2.4432916666666665E-2</v>
      </c>
      <c r="J156" s="240">
        <v>4.1643437499999998E-2</v>
      </c>
      <c r="K156" s="240">
        <v>6.1742552083333339E-2</v>
      </c>
      <c r="L156" s="240">
        <v>8.3118729166666669E-2</v>
      </c>
      <c r="M156" s="240">
        <v>0.10714025000000001</v>
      </c>
      <c r="N156" s="240">
        <v>0.13000633333333333</v>
      </c>
      <c r="O156" s="240">
        <v>0.14879797916666668</v>
      </c>
      <c r="P156" s="240">
        <v>0.16801531250000001</v>
      </c>
      <c r="Q156" s="240">
        <v>0.18905702083333331</v>
      </c>
      <c r="R156" s="240">
        <v>0.21107172916666664</v>
      </c>
      <c r="S156" s="240">
        <v>0.23469796875000001</v>
      </c>
      <c r="T156" s="34">
        <f t="shared" si="2"/>
        <v>1.4172242291666666</v>
      </c>
    </row>
    <row r="157" spans="2:20">
      <c r="B157" s="230"/>
      <c r="C157" s="229"/>
      <c r="D157" s="229" t="s">
        <v>830</v>
      </c>
      <c r="E157" s="229"/>
      <c r="F157" s="232"/>
      <c r="H157" s="261">
        <v>0.21000000000000002</v>
      </c>
      <c r="I157" s="261">
        <v>0.17514000000000002</v>
      </c>
      <c r="J157" s="261">
        <v>0.26271000000000005</v>
      </c>
      <c r="K157" s="261">
        <v>0.26271000000000005</v>
      </c>
      <c r="L157" s="261">
        <v>0.31525200000000003</v>
      </c>
      <c r="M157" s="261">
        <v>0.35028000000000004</v>
      </c>
      <c r="N157" s="261">
        <v>0.31525200000000003</v>
      </c>
      <c r="O157" s="261">
        <v>0.28022400000000003</v>
      </c>
      <c r="P157" s="261">
        <v>0.35028000000000004</v>
      </c>
      <c r="Q157" s="261">
        <v>0.35028000000000004</v>
      </c>
      <c r="R157" s="261">
        <v>0.40282200000000007</v>
      </c>
      <c r="S157" s="261">
        <v>0.42033599999999993</v>
      </c>
      <c r="T157" s="34">
        <f t="shared" si="2"/>
        <v>3.6952860000000003</v>
      </c>
    </row>
    <row r="158" spans="2:20">
      <c r="B158" s="230"/>
      <c r="C158" s="230"/>
      <c r="D158" s="230" t="s">
        <v>540</v>
      </c>
      <c r="E158" s="230"/>
      <c r="F158" s="232"/>
      <c r="H158" s="240"/>
      <c r="I158" s="240"/>
      <c r="J158" s="240"/>
      <c r="K158" s="240"/>
      <c r="L158" s="240"/>
      <c r="M158" s="240"/>
      <c r="N158" s="240"/>
      <c r="O158" s="240"/>
      <c r="P158" s="240"/>
      <c r="Q158" s="240"/>
      <c r="R158" s="240"/>
      <c r="S158" s="240"/>
      <c r="T158" s="34">
        <f t="shared" si="2"/>
        <v>0</v>
      </c>
    </row>
    <row r="159" spans="2:20">
      <c r="B159" s="230"/>
      <c r="C159" s="230"/>
      <c r="D159" s="230" t="s">
        <v>915</v>
      </c>
      <c r="E159" s="230"/>
      <c r="F159" s="232"/>
      <c r="H159" s="193">
        <v>0.21000000000000002</v>
      </c>
      <c r="I159" s="193">
        <v>0.17514000000000002</v>
      </c>
      <c r="J159" s="193">
        <v>0.26271000000000005</v>
      </c>
      <c r="K159" s="193">
        <v>0.26271000000000005</v>
      </c>
      <c r="L159" s="193">
        <v>0.31525200000000003</v>
      </c>
      <c r="M159" s="193">
        <v>0.35028000000000004</v>
      </c>
      <c r="N159" s="193">
        <v>0.31525200000000003</v>
      </c>
      <c r="O159" s="193">
        <v>0.28022400000000003</v>
      </c>
      <c r="P159" s="193">
        <v>0.35028000000000004</v>
      </c>
      <c r="Q159" s="193">
        <v>0.35028000000000004</v>
      </c>
      <c r="R159" s="193">
        <v>0.40282200000000007</v>
      </c>
      <c r="S159" s="193">
        <v>0.42033599999999993</v>
      </c>
      <c r="T159" s="34">
        <f t="shared" si="2"/>
        <v>3.6952860000000003</v>
      </c>
    </row>
    <row r="160" spans="2:20">
      <c r="B160" s="245"/>
      <c r="C160" s="245" t="s">
        <v>145</v>
      </c>
      <c r="D160" s="245"/>
      <c r="E160" s="245"/>
      <c r="F160" s="216"/>
      <c r="G160" s="216"/>
      <c r="H160" s="245">
        <v>0.1242345</v>
      </c>
      <c r="I160" s="245">
        <v>0.10048581874279727</v>
      </c>
      <c r="J160" s="245">
        <v>0.15903684031930376</v>
      </c>
      <c r="K160" s="245">
        <v>0.1485369508708502</v>
      </c>
      <c r="L160" s="245">
        <v>0.19432664489819429</v>
      </c>
      <c r="M160" s="245">
        <v>0.21246142618396355</v>
      </c>
      <c r="N160" s="245">
        <v>0.14589113450383526</v>
      </c>
      <c r="O160" s="245">
        <v>0.13898360081796424</v>
      </c>
      <c r="P160" s="245">
        <v>0.1607310531122928</v>
      </c>
      <c r="Q160" s="245">
        <v>0.17089094501325763</v>
      </c>
      <c r="R160" s="245">
        <v>0.19851526581986073</v>
      </c>
      <c r="S160" s="245">
        <v>0.1994423764285882</v>
      </c>
      <c r="T160" s="34">
        <f t="shared" si="2"/>
        <v>1.9535365567109078</v>
      </c>
    </row>
    <row r="161" spans="2:20">
      <c r="B161" s="230"/>
      <c r="C161" s="230"/>
      <c r="D161" s="230" t="s">
        <v>100</v>
      </c>
      <c r="E161" s="230"/>
      <c r="F161" s="232"/>
      <c r="H161" s="262">
        <v>5.0000000000000001E-3</v>
      </c>
      <c r="I161" s="262">
        <v>5.0039999999999998E-3</v>
      </c>
      <c r="J161" s="262">
        <v>7.5059999999999997E-3</v>
      </c>
      <c r="K161" s="262">
        <v>7.5059999999999997E-3</v>
      </c>
      <c r="L161" s="262">
        <v>9.0071999999999982E-3</v>
      </c>
      <c r="M161" s="262">
        <v>5.0039999999999998E-3</v>
      </c>
      <c r="N161" s="262">
        <v>4.5035999999999991E-3</v>
      </c>
      <c r="O161" s="262">
        <v>4.003200000000001E-3</v>
      </c>
      <c r="P161" s="262">
        <v>5.0039999999999998E-3</v>
      </c>
      <c r="Q161" s="262">
        <v>5.0039999999999998E-3</v>
      </c>
      <c r="R161" s="262">
        <v>5.7546000000000003E-3</v>
      </c>
      <c r="S161" s="262">
        <v>6.0047999999999994E-3</v>
      </c>
      <c r="T161" s="34">
        <f t="shared" si="2"/>
        <v>6.9301399999999999E-2</v>
      </c>
    </row>
    <row r="162" spans="2:20">
      <c r="B162" s="230"/>
      <c r="C162" s="230"/>
      <c r="D162" s="230" t="s">
        <v>107</v>
      </c>
      <c r="E162" s="230"/>
      <c r="F162" s="232"/>
      <c r="H162" s="240">
        <v>2.8800000000000002E-3</v>
      </c>
      <c r="I162" s="240">
        <v>5.2819199999999998E-3</v>
      </c>
      <c r="J162" s="240">
        <v>8.8848E-3</v>
      </c>
      <c r="K162" s="240">
        <v>1.2487679999999999E-2</v>
      </c>
      <c r="L162" s="240">
        <v>1.6811135999999997E-2</v>
      </c>
      <c r="M162" s="240">
        <v>2.1614975999999998E-2</v>
      </c>
      <c r="N162" s="240">
        <v>8.10576E-3</v>
      </c>
      <c r="O162" s="240">
        <v>7.7556000000000005E-3</v>
      </c>
      <c r="P162" s="240">
        <v>9.0066E-3</v>
      </c>
      <c r="Q162" s="240">
        <v>1.02576E-2</v>
      </c>
      <c r="R162" s="240">
        <v>1.169625E-2</v>
      </c>
      <c r="S162" s="240">
        <v>1.3197449999999999E-2</v>
      </c>
      <c r="T162" s="34">
        <f t="shared" si="2"/>
        <v>0.12797977200000002</v>
      </c>
    </row>
    <row r="163" spans="2:20">
      <c r="B163" s="230"/>
      <c r="C163" s="230"/>
      <c r="D163" s="230" t="s">
        <v>163</v>
      </c>
      <c r="E163" s="230"/>
      <c r="F163" s="232"/>
      <c r="H163" s="240">
        <v>1.05E-4</v>
      </c>
      <c r="I163" s="240">
        <v>8.7570000000000004E-5</v>
      </c>
      <c r="J163" s="240">
        <v>1.3135499999999999E-4</v>
      </c>
      <c r="K163" s="240">
        <v>1.3135499999999999E-4</v>
      </c>
      <c r="L163" s="240">
        <v>1.5762599999999996E-4</v>
      </c>
      <c r="M163" s="240">
        <v>1.7514000000000001E-4</v>
      </c>
      <c r="N163" s="240">
        <v>1.5762599999999996E-4</v>
      </c>
      <c r="O163" s="240">
        <v>1.4011200000000002E-4</v>
      </c>
      <c r="P163" s="240">
        <v>1.7514000000000001E-4</v>
      </c>
      <c r="Q163" s="240">
        <v>1.7514000000000001E-4</v>
      </c>
      <c r="R163" s="240">
        <v>2.01411E-4</v>
      </c>
      <c r="S163" s="240">
        <v>2.1016799999999997E-4</v>
      </c>
      <c r="T163" s="34">
        <f t="shared" si="2"/>
        <v>1.8476429999999999E-3</v>
      </c>
    </row>
    <row r="164" spans="2:20">
      <c r="B164" s="230"/>
      <c r="C164" s="230"/>
      <c r="D164" s="230" t="s">
        <v>806</v>
      </c>
      <c r="E164" s="230"/>
      <c r="F164" s="232"/>
      <c r="H164" s="240">
        <v>1.2495E-3</v>
      </c>
      <c r="I164" s="240">
        <v>1.0420830000000001E-3</v>
      </c>
      <c r="J164" s="240">
        <v>1.5631245000000001E-3</v>
      </c>
      <c r="K164" s="240">
        <v>1.5631245000000001E-3</v>
      </c>
      <c r="L164" s="240">
        <v>1.8757493999999998E-3</v>
      </c>
      <c r="M164" s="240">
        <v>2.0841660000000001E-3</v>
      </c>
      <c r="N164" s="240">
        <v>1.8757493999999998E-3</v>
      </c>
      <c r="O164" s="240">
        <v>1.6673328000000004E-3</v>
      </c>
      <c r="P164" s="240">
        <v>2.0841660000000001E-3</v>
      </c>
      <c r="Q164" s="240">
        <v>2.0841660000000001E-3</v>
      </c>
      <c r="R164" s="240">
        <v>2.3967909000000005E-3</v>
      </c>
      <c r="S164" s="240">
        <v>2.5009991999999999E-3</v>
      </c>
      <c r="T164" s="34">
        <f t="shared" si="2"/>
        <v>2.19869517E-2</v>
      </c>
    </row>
    <row r="165" spans="2:20">
      <c r="B165" s="230"/>
      <c r="C165" s="230"/>
      <c r="D165" s="230" t="s">
        <v>907</v>
      </c>
      <c r="E165" s="230"/>
      <c r="F165" s="232"/>
      <c r="T165" s="34">
        <f t="shared" si="2"/>
        <v>0</v>
      </c>
    </row>
    <row r="166" spans="2:20">
      <c r="B166" s="230"/>
      <c r="C166" s="230"/>
      <c r="D166" s="230" t="s">
        <v>675</v>
      </c>
      <c r="E166" s="230"/>
      <c r="F166" s="232"/>
      <c r="H166" s="261">
        <v>0.115</v>
      </c>
      <c r="I166" s="261">
        <v>8.9070245742797274E-2</v>
      </c>
      <c r="J166" s="261">
        <v>0.14095156081930377</v>
      </c>
      <c r="K166" s="261">
        <v>0.1268487913708502</v>
      </c>
      <c r="L166" s="261">
        <v>0.16647493349819428</v>
      </c>
      <c r="M166" s="261">
        <v>0.18358314418396354</v>
      </c>
      <c r="N166" s="261">
        <v>0.13124839910383526</v>
      </c>
      <c r="O166" s="261">
        <v>0.12541735601796422</v>
      </c>
      <c r="P166" s="261">
        <v>0.1444611471122928</v>
      </c>
      <c r="Q166" s="261">
        <v>0.15337003901325763</v>
      </c>
      <c r="R166" s="261">
        <v>0.17846621391986073</v>
      </c>
      <c r="S166" s="261">
        <v>0.17752895922858819</v>
      </c>
      <c r="T166" s="34">
        <f t="shared" si="2"/>
        <v>1.7324207900109077</v>
      </c>
    </row>
    <row r="167" spans="2:20">
      <c r="B167" s="230"/>
      <c r="C167" s="230"/>
      <c r="D167" s="230" t="s">
        <v>808</v>
      </c>
      <c r="E167" s="230"/>
      <c r="F167" s="232"/>
      <c r="T167" s="34">
        <f t="shared" si="2"/>
        <v>0</v>
      </c>
    </row>
    <row r="168" spans="2:20">
      <c r="B168" s="230"/>
      <c r="C168" s="230"/>
      <c r="D168" s="230"/>
      <c r="E168" s="230"/>
      <c r="F168" s="232"/>
      <c r="T168" s="34">
        <f t="shared" si="2"/>
        <v>0</v>
      </c>
    </row>
    <row r="169" spans="2:20">
      <c r="B169" s="240"/>
      <c r="C169" s="245" t="s">
        <v>135</v>
      </c>
      <c r="D169" s="240"/>
      <c r="E169" s="240"/>
      <c r="F169" s="257"/>
      <c r="G169" s="257"/>
      <c r="H169" s="240">
        <v>0.1282655</v>
      </c>
      <c r="I169" s="240">
        <v>0.13298217274279728</v>
      </c>
      <c r="J169" s="240">
        <v>0.20213190631930378</v>
      </c>
      <c r="K169" s="240">
        <v>0.26093656937085019</v>
      </c>
      <c r="L169" s="240">
        <v>0.31664115959819428</v>
      </c>
      <c r="M169" s="240">
        <v>0.38729842468396347</v>
      </c>
      <c r="N169" s="240">
        <v>0.46844210120383523</v>
      </c>
      <c r="O169" s="240">
        <v>0.4790850487179642</v>
      </c>
      <c r="P169" s="240">
        <v>0.56579467861229271</v>
      </c>
      <c r="Q169" s="240">
        <v>0.59722232051325752</v>
      </c>
      <c r="R169" s="240">
        <v>0.6651398495198606</v>
      </c>
      <c r="S169" s="240">
        <v>0.72653091702858807</v>
      </c>
      <c r="T169" s="34">
        <f t="shared" si="2"/>
        <v>4.9304706483109086</v>
      </c>
    </row>
    <row r="170" spans="2:20">
      <c r="B170" s="230"/>
      <c r="C170" s="230"/>
      <c r="D170" s="230" t="s">
        <v>136</v>
      </c>
      <c r="E170" s="230"/>
      <c r="F170" s="232"/>
      <c r="H170" s="193">
        <v>2.2499999999999999E-2</v>
      </c>
      <c r="I170" s="193">
        <v>5.5327499999999995E-2</v>
      </c>
      <c r="J170" s="193">
        <v>7.9265624999999978E-2</v>
      </c>
      <c r="K170" s="193">
        <v>0.15577593749999999</v>
      </c>
      <c r="L170" s="193">
        <v>0.1780179375</v>
      </c>
      <c r="M170" s="193">
        <v>0.23259356249999999</v>
      </c>
      <c r="N170" s="193">
        <v>0.35183643749999999</v>
      </c>
      <c r="O170" s="193">
        <v>0.3672339375</v>
      </c>
      <c r="P170" s="193">
        <v>0.43760343749999997</v>
      </c>
      <c r="Q170" s="193">
        <v>0.46137318749999989</v>
      </c>
      <c r="R170" s="193">
        <v>0.50672268749999994</v>
      </c>
      <c r="S170" s="193">
        <v>0.57091537499999989</v>
      </c>
      <c r="T170" s="34">
        <f t="shared" si="2"/>
        <v>3.4191656249999993</v>
      </c>
    </row>
    <row r="171" spans="2:20">
      <c r="B171" s="264"/>
      <c r="C171" s="263" t="s">
        <v>860</v>
      </c>
      <c r="D171" s="264"/>
      <c r="E171" s="264"/>
      <c r="F171" s="265"/>
      <c r="G171" s="265"/>
      <c r="H171" s="264">
        <v>0.10576550000000001</v>
      </c>
      <c r="I171" s="264">
        <v>7.7654672742797276E-2</v>
      </c>
      <c r="J171" s="264">
        <v>0.1228662813193038</v>
      </c>
      <c r="K171" s="264">
        <v>0.1051606318708502</v>
      </c>
      <c r="L171" s="264">
        <v>0.13862322209819428</v>
      </c>
      <c r="M171" s="264">
        <v>0.15470486218396348</v>
      </c>
      <c r="N171" s="264">
        <v>0.11660566370383524</v>
      </c>
      <c r="O171" s="264">
        <v>0.11185111121796421</v>
      </c>
      <c r="P171" s="264">
        <v>0.12819124111229274</v>
      </c>
      <c r="Q171" s="264">
        <v>0.13584913301325763</v>
      </c>
      <c r="R171" s="264">
        <v>0.15841716201986067</v>
      </c>
      <c r="S171" s="264">
        <v>0.15561554202858818</v>
      </c>
      <c r="T171" s="34">
        <f t="shared" si="2"/>
        <v>1.511305023310908</v>
      </c>
    </row>
    <row r="172" spans="2:20">
      <c r="B172" s="230"/>
      <c r="C172" s="230"/>
      <c r="D172" s="229" t="s">
        <v>320</v>
      </c>
      <c r="E172" s="230"/>
      <c r="F172" s="232"/>
      <c r="T172" s="34">
        <f t="shared" si="2"/>
        <v>0</v>
      </c>
    </row>
    <row r="173" spans="2:20">
      <c r="B173" s="230"/>
      <c r="C173" s="230"/>
      <c r="D173" s="229"/>
      <c r="E173" s="230"/>
      <c r="F173" s="232"/>
      <c r="S173" t="s">
        <v>916</v>
      </c>
      <c r="T173" s="34">
        <f t="shared" si="2"/>
        <v>0</v>
      </c>
    </row>
    <row r="174" spans="2:20">
      <c r="B174" s="230"/>
      <c r="C174" s="128" t="s">
        <v>917</v>
      </c>
      <c r="D174" s="230"/>
      <c r="E174" s="230"/>
      <c r="F174" s="232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34">
        <f t="shared" si="2"/>
        <v>0</v>
      </c>
    </row>
    <row r="175" spans="2:20">
      <c r="B175" s="230"/>
      <c r="C175" s="229"/>
      <c r="D175" s="230" t="s">
        <v>817</v>
      </c>
      <c r="E175" s="230"/>
      <c r="F175" s="232"/>
      <c r="H175" s="231">
        <v>240</v>
      </c>
      <c r="I175" s="231">
        <v>259.59999999999997</v>
      </c>
      <c r="J175" s="231">
        <v>446.875</v>
      </c>
      <c r="K175" s="231">
        <v>1538.2127454128438</v>
      </c>
      <c r="L175" s="231">
        <v>1950.5755625000002</v>
      </c>
      <c r="M175" s="231">
        <v>2369.2037222525619</v>
      </c>
      <c r="N175" s="231">
        <v>2672.4148432083462</v>
      </c>
      <c r="O175" s="231">
        <v>2851.0334314235211</v>
      </c>
      <c r="P175" s="231">
        <v>3001.2288138272315</v>
      </c>
      <c r="Q175" s="231">
        <v>3304.4640831840634</v>
      </c>
      <c r="R175" s="231">
        <v>3716.6206383631506</v>
      </c>
      <c r="S175" s="231">
        <v>3835.4253407008464</v>
      </c>
      <c r="T175" s="34">
        <f t="shared" si="2"/>
        <v>26185.654180872563</v>
      </c>
    </row>
    <row r="176" spans="2:20">
      <c r="B176" s="230"/>
      <c r="C176" s="229"/>
      <c r="D176" s="231" t="s">
        <v>795</v>
      </c>
      <c r="E176" s="230"/>
      <c r="F176" s="232"/>
      <c r="H176" s="231">
        <v>5.25</v>
      </c>
      <c r="I176" s="231">
        <v>5.8644999999999996</v>
      </c>
      <c r="J176" s="231">
        <v>10.233625</v>
      </c>
      <c r="K176" s="231">
        <v>37.517068635321095</v>
      </c>
      <c r="L176" s="231">
        <v>47.6384890625</v>
      </c>
      <c r="M176" s="231">
        <v>57.979093056314049</v>
      </c>
      <c r="N176" s="231">
        <v>65.684471080208652</v>
      </c>
      <c r="O176" s="231">
        <v>70.275035785588031</v>
      </c>
      <c r="P176" s="231">
        <v>73.779720345680801</v>
      </c>
      <c r="Q176" s="231">
        <v>81.360602079601591</v>
      </c>
      <c r="R176" s="231">
        <v>91.476865959078765</v>
      </c>
      <c r="S176" s="231">
        <v>94.38443351752116</v>
      </c>
      <c r="T176" s="34">
        <f t="shared" si="2"/>
        <v>641.44390452181415</v>
      </c>
    </row>
    <row r="177" spans="2:20">
      <c r="B177" s="230"/>
      <c r="C177" s="229"/>
      <c r="D177" s="231" t="s">
        <v>796</v>
      </c>
      <c r="E177" s="230"/>
      <c r="F177" s="232"/>
      <c r="H177" s="231">
        <v>5.25</v>
      </c>
      <c r="I177" s="231">
        <v>10.89575</v>
      </c>
      <c r="J177" s="231">
        <v>20.666270833333332</v>
      </c>
      <c r="K177" s="231">
        <v>57.293834260321091</v>
      </c>
      <c r="L177" s="231">
        <v>102.47960692134939</v>
      </c>
      <c r="M177" s="231">
        <v>156.02104653192089</v>
      </c>
      <c r="N177" s="231">
        <v>214.85206862237391</v>
      </c>
      <c r="O177" s="231">
        <v>275.53680245653095</v>
      </c>
      <c r="P177" s="231">
        <v>336.79809435971458</v>
      </c>
      <c r="Q177" s="231">
        <v>402.56611298241569</v>
      </c>
      <c r="R177" s="231">
        <v>475.06037039794387</v>
      </c>
      <c r="S177" s="231">
        <v>546.65065929028617</v>
      </c>
      <c r="T177" s="34">
        <f t="shared" si="2"/>
        <v>2604.0706166561895</v>
      </c>
    </row>
    <row r="178" spans="2:20">
      <c r="B178" s="230"/>
      <c r="C178" s="229"/>
      <c r="D178" s="231" t="s">
        <v>215</v>
      </c>
      <c r="E178" s="230"/>
      <c r="F178" s="232"/>
      <c r="H178" s="231">
        <v>0.47887500000000005</v>
      </c>
      <c r="I178" s="231">
        <v>0.58744882481892791</v>
      </c>
      <c r="J178" s="231">
        <v>1.0764805521941629</v>
      </c>
      <c r="K178" s="231">
        <v>3.4266986576875458</v>
      </c>
      <c r="L178" s="231">
        <v>5.3485389525763134</v>
      </c>
      <c r="M178" s="231">
        <v>7.5550323619397854</v>
      </c>
      <c r="N178" s="231">
        <v>9.8229266508849999</v>
      </c>
      <c r="O178" s="231">
        <v>12.032914542593495</v>
      </c>
      <c r="P178" s="231">
        <v>14.232190518396687</v>
      </c>
      <c r="Q178" s="231">
        <v>16.742799065798312</v>
      </c>
      <c r="R178" s="231">
        <v>19.596185558744235</v>
      </c>
      <c r="S178" s="231">
        <v>22.106645367970184</v>
      </c>
      <c r="T178" s="34">
        <f t="shared" si="2"/>
        <v>113.00673605360466</v>
      </c>
    </row>
    <row r="179" spans="2:20">
      <c r="B179" s="230"/>
      <c r="C179" s="229"/>
      <c r="D179" s="231" t="s">
        <v>99</v>
      </c>
      <c r="E179" s="230"/>
      <c r="F179" s="232"/>
      <c r="H179" s="231">
        <v>0.25562499999999999</v>
      </c>
      <c r="I179" s="231">
        <v>0.38334177083333332</v>
      </c>
      <c r="J179" s="231">
        <v>0.74011839409722224</v>
      </c>
      <c r="K179" s="231">
        <v>3.603790503388602</v>
      </c>
      <c r="L179" s="231">
        <v>4.7794947763632054</v>
      </c>
      <c r="M179" s="231">
        <v>6.0514695448701099</v>
      </c>
      <c r="N179" s="231">
        <v>7.1998003605542262</v>
      </c>
      <c r="O179" s="231">
        <v>8.057484452538942</v>
      </c>
      <c r="P179" s="231">
        <v>8.6635488169487953</v>
      </c>
      <c r="Q179" s="231">
        <v>9.7921391460413716</v>
      </c>
      <c r="R179" s="231">
        <v>11.13197050576726</v>
      </c>
      <c r="S179" s="231">
        <v>11.817953855009453</v>
      </c>
      <c r="T179" s="34">
        <f t="shared" si="2"/>
        <v>72.476737126412516</v>
      </c>
    </row>
    <row r="180" spans="2:20">
      <c r="B180" s="258"/>
      <c r="C180" s="258" t="s">
        <v>217</v>
      </c>
      <c r="D180" s="258"/>
      <c r="E180" s="258"/>
      <c r="F180" s="217"/>
      <c r="G180" s="217"/>
      <c r="H180" s="263">
        <v>0.22325</v>
      </c>
      <c r="I180" s="263">
        <v>0.20410705398559453</v>
      </c>
      <c r="J180" s="263">
        <v>0.33636215809694092</v>
      </c>
      <c r="K180" s="263">
        <v>-0.17709184570105568</v>
      </c>
      <c r="L180" s="263">
        <v>0.56904417621310865</v>
      </c>
      <c r="M180" s="263">
        <v>1.5035628170696747</v>
      </c>
      <c r="N180" s="263">
        <v>2.6231262903307728</v>
      </c>
      <c r="O180" s="263">
        <v>3.9754300900545543</v>
      </c>
      <c r="P180" s="263">
        <v>5.5686417014478904</v>
      </c>
      <c r="Q180" s="263">
        <v>6.9506599197569425</v>
      </c>
      <c r="R180" s="263">
        <v>8.4642150529769751</v>
      </c>
      <c r="S180" s="263">
        <v>10.288691512960732</v>
      </c>
      <c r="T180" s="34">
        <f t="shared" si="2"/>
        <v>40.529998927192132</v>
      </c>
    </row>
    <row r="181" spans="2:20">
      <c r="B181" s="229"/>
      <c r="C181" s="229"/>
      <c r="D181" s="238" t="s">
        <v>218</v>
      </c>
      <c r="E181" s="229"/>
      <c r="F181" s="203"/>
      <c r="G181" s="203"/>
      <c r="H181" s="245">
        <v>0.104375</v>
      </c>
      <c r="I181" s="245">
        <v>0.16514830398559455</v>
      </c>
      <c r="J181" s="245">
        <v>0.3361174705969408</v>
      </c>
      <c r="K181" s="245">
        <v>0.92764293402944875</v>
      </c>
      <c r="L181" s="245">
        <v>2.0007551832443582</v>
      </c>
      <c r="M181" s="245">
        <v>3.2987740858503933</v>
      </c>
      <c r="N181" s="245">
        <v>4.7856995690792239</v>
      </c>
      <c r="O181" s="245">
        <v>6.3792154393708698</v>
      </c>
      <c r="P181" s="245">
        <v>8.003778375447963</v>
      </c>
      <c r="Q181" s="245">
        <v>9.6928223039808064</v>
      </c>
      <c r="R181" s="245">
        <v>11.533144824319665</v>
      </c>
      <c r="S181" s="245">
        <v>13.44773067042034</v>
      </c>
      <c r="T181" s="34">
        <f t="shared" si="2"/>
        <v>60.675204160325599</v>
      </c>
    </row>
    <row r="182" spans="2:20">
      <c r="B182" s="230"/>
      <c r="C182" s="230"/>
      <c r="D182" s="230" t="s">
        <v>737</v>
      </c>
      <c r="E182" s="230"/>
      <c r="F182" s="232"/>
      <c r="H182" s="240">
        <v>0.13500000000000001</v>
      </c>
      <c r="I182" s="240">
        <v>0.21224007481892787</v>
      </c>
      <c r="J182" s="240">
        <v>0.42817336469416301</v>
      </c>
      <c r="K182" s="240">
        <v>1.1550265738859409</v>
      </c>
      <c r="L182" s="240">
        <v>2.4667610533575637</v>
      </c>
      <c r="M182" s="240">
        <v>4.0527343250890988</v>
      </c>
      <c r="N182" s="240">
        <v>5.867412821612584</v>
      </c>
      <c r="O182" s="240">
        <v>7.8095163133510095</v>
      </c>
      <c r="P182" s="240">
        <v>9.7897551578286794</v>
      </c>
      <c r="Q182" s="240">
        <v>11.849301242062019</v>
      </c>
      <c r="R182" s="240">
        <v>14.092888734179049</v>
      </c>
      <c r="S182" s="240">
        <v>16.427721173677675</v>
      </c>
      <c r="T182" s="34">
        <f t="shared" si="2"/>
        <v>74.286530834556714</v>
      </c>
    </row>
    <row r="183" spans="2:20">
      <c r="B183" s="230"/>
      <c r="C183" s="230"/>
      <c r="D183" s="230" t="s">
        <v>798</v>
      </c>
      <c r="E183" s="230"/>
      <c r="F183" s="232"/>
      <c r="H183" s="240">
        <v>3.0625000000000006E-2</v>
      </c>
      <c r="I183" s="240">
        <v>4.7091770833333338E-2</v>
      </c>
      <c r="J183" s="240">
        <v>9.2055894097222229E-2</v>
      </c>
      <c r="K183" s="240">
        <v>0.2273836398564921</v>
      </c>
      <c r="L183" s="240">
        <v>0.4660058701132056</v>
      </c>
      <c r="M183" s="240">
        <v>0.75396023923870514</v>
      </c>
      <c r="N183" s="240">
        <v>1.0817132525333599</v>
      </c>
      <c r="O183" s="240">
        <v>1.4303008739801393</v>
      </c>
      <c r="P183" s="240">
        <v>1.7859767823807164</v>
      </c>
      <c r="Q183" s="240">
        <v>2.1564789380812135</v>
      </c>
      <c r="R183" s="240">
        <v>2.5597439098593826</v>
      </c>
      <c r="S183" s="240">
        <v>2.9799905032573375</v>
      </c>
      <c r="T183" s="34">
        <f t="shared" si="2"/>
        <v>13.611326674231105</v>
      </c>
    </row>
    <row r="184" spans="2:20">
      <c r="B184" s="229"/>
      <c r="C184" s="229"/>
      <c r="D184" s="229" t="s">
        <v>830</v>
      </c>
      <c r="E184" s="229"/>
      <c r="F184" s="203"/>
      <c r="G184" s="203"/>
      <c r="H184" s="245">
        <v>0.11887500000000004</v>
      </c>
      <c r="I184" s="245">
        <v>3.8958750000000014E-2</v>
      </c>
      <c r="J184" s="245">
        <v>2.4468750000006256E-4</v>
      </c>
      <c r="K184" s="245">
        <v>-1.1047347797305045</v>
      </c>
      <c r="L184" s="245">
        <v>-1.4317110070312493</v>
      </c>
      <c r="M184" s="245">
        <v>-1.7952112687807187</v>
      </c>
      <c r="N184" s="245">
        <v>-2.1625732787484511</v>
      </c>
      <c r="O184" s="245">
        <v>-2.403785349316315</v>
      </c>
      <c r="P184" s="245">
        <v>-2.4351366740000722</v>
      </c>
      <c r="Q184" s="245">
        <v>-2.7421623842238643</v>
      </c>
      <c r="R184" s="245">
        <v>-3.0689297713426895</v>
      </c>
      <c r="S184" s="245">
        <v>-3.1590391574596071</v>
      </c>
      <c r="T184" s="34">
        <f t="shared" si="2"/>
        <v>-20.145205233133471</v>
      </c>
    </row>
    <row r="185" spans="2:20">
      <c r="B185" s="230"/>
      <c r="C185" s="230"/>
      <c r="D185" s="230" t="s">
        <v>540</v>
      </c>
      <c r="E185" s="230"/>
      <c r="F185" s="232"/>
      <c r="H185" s="240">
        <v>0.13387500000000002</v>
      </c>
      <c r="I185" s="240">
        <v>0.20006874999999999</v>
      </c>
      <c r="J185" s="240">
        <v>0.38559718749999999</v>
      </c>
      <c r="K185" s="240">
        <v>2.0089620838016051</v>
      </c>
      <c r="L185" s="240">
        <v>2.5665258992187505</v>
      </c>
      <c r="M185" s="240">
        <v>3.1520180368506865</v>
      </c>
      <c r="N185" s="240">
        <v>3.6402618292724149</v>
      </c>
      <c r="O185" s="240">
        <v>3.9431742292424881</v>
      </c>
      <c r="P185" s="240">
        <v>4.0921553605680074</v>
      </c>
      <c r="Q185" s="240">
        <v>4.5432178237362946</v>
      </c>
      <c r="R185" s="240">
        <v>5.100474824565187</v>
      </c>
      <c r="S185" s="240">
        <v>5.2585881942925088</v>
      </c>
      <c r="T185" s="34">
        <f t="shared" si="2"/>
        <v>35.024919219047945</v>
      </c>
    </row>
    <row r="186" spans="2:20">
      <c r="B186" s="230"/>
      <c r="C186" s="230"/>
      <c r="D186" s="230" t="s">
        <v>915</v>
      </c>
      <c r="E186" s="230"/>
      <c r="F186" s="232"/>
      <c r="H186" s="240">
        <v>0.21000000000000002</v>
      </c>
      <c r="I186" s="240">
        <v>0.17514000000000002</v>
      </c>
      <c r="J186" s="240">
        <v>0.26271000000000005</v>
      </c>
      <c r="K186" s="240">
        <v>0.26271000000000005</v>
      </c>
      <c r="L186" s="240">
        <v>0.31525200000000003</v>
      </c>
      <c r="M186" s="240">
        <v>0.35028000000000004</v>
      </c>
      <c r="N186" s="240">
        <v>0.31525200000000003</v>
      </c>
      <c r="O186" s="240">
        <v>0.28022400000000003</v>
      </c>
      <c r="P186" s="240">
        <v>0.35028000000000004</v>
      </c>
      <c r="Q186" s="240">
        <v>0.35028000000000004</v>
      </c>
      <c r="R186" s="240">
        <v>0.40282200000000007</v>
      </c>
      <c r="S186" s="240">
        <v>0.42033599999999993</v>
      </c>
      <c r="T186" s="34">
        <f t="shared" si="2"/>
        <v>3.6952860000000003</v>
      </c>
    </row>
    <row r="187" spans="2:20">
      <c r="B187" s="230"/>
      <c r="C187" s="230"/>
      <c r="D187" s="230" t="s">
        <v>918</v>
      </c>
      <c r="E187" s="230"/>
      <c r="F187" s="232"/>
      <c r="H187" s="240">
        <v>0.22500000000000001</v>
      </c>
      <c r="I187" s="240">
        <v>0.33624999999999999</v>
      </c>
      <c r="J187" s="240">
        <v>0.64806249999999999</v>
      </c>
      <c r="K187" s="240">
        <v>3.3764068635321096</v>
      </c>
      <c r="L187" s="240">
        <v>4.3134889062499999</v>
      </c>
      <c r="M187" s="240">
        <v>5.2975093056314053</v>
      </c>
      <c r="N187" s="240">
        <v>6.1180871080208661</v>
      </c>
      <c r="O187" s="240">
        <v>6.6271835785588031</v>
      </c>
      <c r="P187" s="240">
        <v>6.8775720345680798</v>
      </c>
      <c r="Q187" s="240">
        <v>7.635660207960159</v>
      </c>
      <c r="R187" s="240">
        <v>8.5722265959078765</v>
      </c>
      <c r="S187" s="240">
        <v>8.8379633517521157</v>
      </c>
      <c r="T187" s="34">
        <f t="shared" si="2"/>
        <v>58.865410452181415</v>
      </c>
    </row>
    <row r="188" spans="2:20">
      <c r="B188" s="245"/>
      <c r="C188" s="245" t="s">
        <v>145</v>
      </c>
      <c r="D188" s="245"/>
      <c r="E188" s="245"/>
      <c r="F188" s="216"/>
      <c r="G188" s="216"/>
      <c r="H188" s="245">
        <v>0.12977520000000001</v>
      </c>
      <c r="I188" s="245">
        <v>0.11139075374279728</v>
      </c>
      <c r="J188" s="245">
        <v>0.18103416206930376</v>
      </c>
      <c r="K188" s="245">
        <v>0.24997336699036851</v>
      </c>
      <c r="L188" s="245">
        <v>0.3472687088394959</v>
      </c>
      <c r="M188" s="245">
        <v>0.3830068952201312</v>
      </c>
      <c r="N188" s="245">
        <v>0.26568989324241604</v>
      </c>
      <c r="O188" s="245">
        <v>0.26982243305617543</v>
      </c>
      <c r="P188" s="245">
        <v>0.30823254017081986</v>
      </c>
      <c r="Q188" s="245">
        <v>0.34246667235713379</v>
      </c>
      <c r="R188" s="245">
        <v>0.39811085525240159</v>
      </c>
      <c r="S188" s="245">
        <v>0.41979962777349661</v>
      </c>
      <c r="T188" s="34">
        <f t="shared" si="2"/>
        <v>3.4065711087145405</v>
      </c>
    </row>
    <row r="189" spans="2:20">
      <c r="B189" s="230"/>
      <c r="C189" s="230"/>
      <c r="D189" s="230" t="s">
        <v>100</v>
      </c>
      <c r="E189" s="230"/>
      <c r="F189" s="232"/>
      <c r="H189" s="240">
        <v>8.0000000000000002E-3</v>
      </c>
      <c r="I189" s="240">
        <v>1.0383999999999999E-2</v>
      </c>
      <c r="J189" s="240">
        <v>1.7874999999999999E-2</v>
      </c>
      <c r="K189" s="240">
        <v>6.1528509816513748E-2</v>
      </c>
      <c r="L189" s="240">
        <v>7.8023022499999997E-2</v>
      </c>
      <c r="M189" s="240">
        <v>4.7384074445051244E-2</v>
      </c>
      <c r="N189" s="240">
        <v>5.3448296864166918E-2</v>
      </c>
      <c r="O189" s="240">
        <v>5.7020668628470418E-2</v>
      </c>
      <c r="P189" s="240">
        <v>6.0024576276544638E-2</v>
      </c>
      <c r="Q189" s="240">
        <v>6.6089281663681262E-2</v>
      </c>
      <c r="R189" s="240">
        <v>7.4332412767263004E-2</v>
      </c>
      <c r="S189" s="240">
        <v>7.6708506814016933E-2</v>
      </c>
      <c r="T189" s="34">
        <f t="shared" si="2"/>
        <v>0.61081834977570826</v>
      </c>
    </row>
    <row r="190" spans="2:20">
      <c r="B190" s="230"/>
      <c r="C190" s="230"/>
      <c r="D190" s="230" t="s">
        <v>107</v>
      </c>
      <c r="E190" s="230"/>
      <c r="F190" s="232"/>
      <c r="H190" s="240">
        <v>4.6080000000000001E-3</v>
      </c>
      <c r="I190" s="240">
        <v>9.5923199999999997E-3</v>
      </c>
      <c r="J190" s="240">
        <v>1.8172319999999999E-2</v>
      </c>
      <c r="K190" s="240">
        <v>4.7706004711926597E-2</v>
      </c>
      <c r="L190" s="240">
        <v>8.5157055511926594E-2</v>
      </c>
      <c r="M190" s="240">
        <v>0.13064576697917579</v>
      </c>
      <c r="N190" s="240">
        <v>5.6861291240242515E-2</v>
      </c>
      <c r="O190" s="240">
        <v>6.1639576523986363E-2</v>
      </c>
      <c r="P190" s="240">
        <v>7.6645720593122524E-2</v>
      </c>
      <c r="Q190" s="240">
        <v>9.3168041009042843E-2</v>
      </c>
      <c r="R190" s="240">
        <v>0.1117511442008586</v>
      </c>
      <c r="S190" s="240">
        <v>0.13092827090436282</v>
      </c>
      <c r="T190" s="34">
        <f t="shared" si="2"/>
        <v>0.82687551167464468</v>
      </c>
    </row>
    <row r="191" spans="2:20">
      <c r="B191" s="230"/>
      <c r="C191" s="230"/>
      <c r="D191" s="230" t="s">
        <v>163</v>
      </c>
      <c r="E191" s="230"/>
      <c r="F191" s="232"/>
      <c r="H191" s="240">
        <v>1.6800000000000002E-4</v>
      </c>
      <c r="I191" s="240">
        <v>1.8171999999999999E-4</v>
      </c>
      <c r="J191" s="240">
        <v>3.1281249999999994E-4</v>
      </c>
      <c r="K191" s="240">
        <v>1.0767489217889906E-3</v>
      </c>
      <c r="L191" s="240">
        <v>1.3654028937499999E-3</v>
      </c>
      <c r="M191" s="240">
        <v>1.6584426055767936E-3</v>
      </c>
      <c r="N191" s="240">
        <v>1.8706903902458425E-3</v>
      </c>
      <c r="O191" s="240">
        <v>1.9957234019964648E-3</v>
      </c>
      <c r="P191" s="240">
        <v>2.100860169679062E-3</v>
      </c>
      <c r="Q191" s="240">
        <v>2.3131248582288445E-3</v>
      </c>
      <c r="R191" s="240">
        <v>2.6016344468542054E-3</v>
      </c>
      <c r="S191" s="240">
        <v>2.6847977384905929E-3</v>
      </c>
      <c r="T191" s="34">
        <f t="shared" si="2"/>
        <v>1.8329957926610796E-2</v>
      </c>
    </row>
    <row r="192" spans="2:20">
      <c r="B192" s="230"/>
      <c r="C192" s="230"/>
      <c r="D192" s="230" t="s">
        <v>806</v>
      </c>
      <c r="E192" s="230"/>
      <c r="F192" s="232"/>
      <c r="H192" s="240">
        <v>1.9992E-3</v>
      </c>
      <c r="I192" s="240">
        <v>2.1624679999999999E-3</v>
      </c>
      <c r="J192" s="240">
        <v>3.7224687499999996E-3</v>
      </c>
      <c r="K192" s="240">
        <v>1.2813312169288988E-2</v>
      </c>
      <c r="L192" s="240">
        <v>1.6248294435625001E-2</v>
      </c>
      <c r="M192" s="240">
        <v>1.973546700636384E-2</v>
      </c>
      <c r="N192" s="240">
        <v>2.2261215643925525E-2</v>
      </c>
      <c r="O192" s="240">
        <v>2.3749108483757931E-2</v>
      </c>
      <c r="P192" s="240">
        <v>2.500023601918084E-2</v>
      </c>
      <c r="Q192" s="240">
        <v>2.7526185812923251E-2</v>
      </c>
      <c r="R192" s="240">
        <v>3.0959449917565045E-2</v>
      </c>
      <c r="S192" s="240">
        <v>3.1949093088038054E-2</v>
      </c>
      <c r="T192" s="34">
        <f t="shared" si="2"/>
        <v>0.2181264993266685</v>
      </c>
    </row>
    <row r="193" spans="2:20">
      <c r="B193" s="230"/>
      <c r="C193" s="230"/>
      <c r="D193" s="230" t="s">
        <v>907</v>
      </c>
      <c r="E193" s="230"/>
      <c r="F193" s="232"/>
      <c r="H193" s="231">
        <v>0</v>
      </c>
      <c r="T193" s="34">
        <f t="shared" si="2"/>
        <v>0</v>
      </c>
    </row>
    <row r="194" spans="2:20">
      <c r="B194" s="230"/>
      <c r="C194" s="230"/>
      <c r="D194" s="230" t="s">
        <v>675</v>
      </c>
      <c r="E194" s="230"/>
      <c r="F194" s="232"/>
      <c r="H194" s="240">
        <v>0.115</v>
      </c>
      <c r="I194" s="240">
        <v>8.9070245742797274E-2</v>
      </c>
      <c r="J194" s="240">
        <v>0.14095156081930377</v>
      </c>
      <c r="K194" s="240">
        <v>0.1268487913708502</v>
      </c>
      <c r="L194" s="240">
        <v>0.16647493349819428</v>
      </c>
      <c r="M194" s="240">
        <v>0.18358314418396354</v>
      </c>
      <c r="N194" s="240">
        <v>0.13124839910383526</v>
      </c>
      <c r="O194" s="240">
        <v>0.12541735601796422</v>
      </c>
      <c r="P194" s="240">
        <v>0.1444611471122928</v>
      </c>
      <c r="Q194" s="240">
        <v>0.15337003901325763</v>
      </c>
      <c r="R194" s="240">
        <v>0.17846621391986073</v>
      </c>
      <c r="S194" s="240">
        <v>0.17752895922858819</v>
      </c>
      <c r="T194" s="34">
        <f t="shared" si="2"/>
        <v>1.7324207900109077</v>
      </c>
    </row>
    <row r="195" spans="2:20">
      <c r="B195" s="230"/>
      <c r="C195" s="230"/>
      <c r="D195" s="230" t="s">
        <v>807</v>
      </c>
      <c r="E195" s="230"/>
      <c r="F195" s="232"/>
      <c r="H195" s="240">
        <v>3.5999999999999997E-2</v>
      </c>
      <c r="I195" s="240">
        <v>3.8939999999999995E-2</v>
      </c>
      <c r="J195" s="240">
        <v>6.7031250000000001E-2</v>
      </c>
      <c r="K195" s="240">
        <v>0.23073191181192657</v>
      </c>
      <c r="L195" s="240">
        <v>0.29258633437500003</v>
      </c>
      <c r="M195" s="240">
        <v>0.35538055833788423</v>
      </c>
      <c r="N195" s="240">
        <v>0.40086222648125192</v>
      </c>
      <c r="O195" s="240">
        <v>0.42765501471352818</v>
      </c>
      <c r="P195" s="240">
        <v>0.45018432207408471</v>
      </c>
      <c r="Q195" s="240">
        <v>0.49566961247760949</v>
      </c>
      <c r="R195" s="240">
        <v>0.55749309575447259</v>
      </c>
      <c r="S195" s="240">
        <v>0.57531380110512698</v>
      </c>
      <c r="T195" s="34">
        <f t="shared" si="2"/>
        <v>3.9278481271308849</v>
      </c>
    </row>
    <row r="196" spans="2:20">
      <c r="B196" s="230"/>
      <c r="C196" s="230"/>
      <c r="D196" s="230"/>
      <c r="E196" s="230"/>
      <c r="F196" s="232"/>
      <c r="H196" s="231">
        <v>0</v>
      </c>
      <c r="T196" s="34">
        <f t="shared" si="2"/>
        <v>0</v>
      </c>
    </row>
    <row r="197" spans="2:20">
      <c r="B197" s="240"/>
      <c r="C197" s="245" t="s">
        <v>135</v>
      </c>
      <c r="D197" s="240"/>
      <c r="E197" s="240"/>
      <c r="F197" s="257"/>
      <c r="G197" s="257"/>
      <c r="H197" s="240">
        <v>9.3474800000000011E-2</v>
      </c>
      <c r="I197" s="240">
        <v>9.2716300242797284E-2</v>
      </c>
      <c r="J197" s="240">
        <v>0.15532799602763714</v>
      </c>
      <c r="K197" s="240">
        <v>-0.42706521269142417</v>
      </c>
      <c r="L197" s="240">
        <v>0.22177546737361278</v>
      </c>
      <c r="M197" s="240">
        <v>1.1205559218495436</v>
      </c>
      <c r="N197" s="240">
        <v>2.3574363970883567</v>
      </c>
      <c r="O197" s="240">
        <v>3.7056076569983794</v>
      </c>
      <c r="P197" s="240">
        <v>5.2604091612770709</v>
      </c>
      <c r="Q197" s="240">
        <v>6.6081932473998082</v>
      </c>
      <c r="R197" s="240">
        <v>8.0661041977245738</v>
      </c>
      <c r="S197" s="240">
        <v>9.8688918851872351</v>
      </c>
      <c r="T197" s="34">
        <f t="shared" si="2"/>
        <v>37.123427818477595</v>
      </c>
    </row>
    <row r="198" spans="2:20">
      <c r="B198" s="230"/>
      <c r="C198" s="230"/>
      <c r="D198" s="230" t="s">
        <v>136</v>
      </c>
      <c r="E198" s="230"/>
      <c r="F198" s="232"/>
      <c r="H198" s="240">
        <v>0</v>
      </c>
      <c r="I198" s="240">
        <v>4.3312500000000004E-2</v>
      </c>
      <c r="J198" s="240">
        <v>5.3796187499999988E-2</v>
      </c>
      <c r="K198" s="240">
        <v>9.4686109374999994E-2</v>
      </c>
      <c r="L198" s="240">
        <v>0.32825610660598242</v>
      </c>
      <c r="M198" s="240">
        <v>0.46543890051975823</v>
      </c>
      <c r="N198" s="240">
        <v>0.60853923294161927</v>
      </c>
      <c r="O198" s="240">
        <v>0.74786821963448469</v>
      </c>
      <c r="P198" s="240">
        <v>0.99406769154237384</v>
      </c>
      <c r="Q198" s="240">
        <v>1.2585604334707086</v>
      </c>
      <c r="R198" s="240">
        <v>1.6084436645693261</v>
      </c>
      <c r="S198" s="240">
        <v>2.1838307463640279</v>
      </c>
      <c r="T198" s="34">
        <f t="shared" si="2"/>
        <v>8.3867997925232807</v>
      </c>
    </row>
    <row r="199" spans="2:20">
      <c r="B199" s="240"/>
      <c r="C199" s="245" t="s">
        <v>860</v>
      </c>
      <c r="D199" s="240"/>
      <c r="E199" s="240"/>
      <c r="F199" s="257"/>
      <c r="G199" s="257"/>
      <c r="H199" s="240">
        <v>4.8474800000000019E-2</v>
      </c>
      <c r="I199" s="240">
        <v>-1.793869975720272E-2</v>
      </c>
      <c r="J199" s="240">
        <v>-3.2032539723628184E-3</v>
      </c>
      <c r="K199" s="240">
        <v>-0.73861708769142409</v>
      </c>
      <c r="L199" s="240">
        <v>-0.13426040762638719</v>
      </c>
      <c r="M199" s="240">
        <v>0.65536879684954363</v>
      </c>
      <c r="N199" s="240">
        <v>1.6537635220883569</v>
      </c>
      <c r="O199" s="240">
        <v>2.9711397819983794</v>
      </c>
      <c r="P199" s="240">
        <v>4.385202286277071</v>
      </c>
      <c r="Q199" s="240">
        <v>5.6854468723998091</v>
      </c>
      <c r="R199" s="240">
        <v>7.0526588227245748</v>
      </c>
      <c r="S199" s="240">
        <v>8.7270611351872347</v>
      </c>
      <c r="T199" s="34">
        <f t="shared" si="2"/>
        <v>30.285096568477591</v>
      </c>
    </row>
    <row r="200" spans="2:20">
      <c r="B200" s="230"/>
      <c r="C200" s="230"/>
      <c r="D200" s="229" t="s">
        <v>320</v>
      </c>
      <c r="E200" s="230"/>
      <c r="F200" s="232"/>
      <c r="H200" s="231">
        <v>0</v>
      </c>
      <c r="T200" s="34">
        <f t="shared" ref="T200:T263" si="3">SUM(H200:S200)</f>
        <v>0</v>
      </c>
    </row>
    <row r="201" spans="2:20">
      <c r="B201" s="230"/>
      <c r="C201" s="230"/>
      <c r="D201" s="230"/>
      <c r="E201" s="230"/>
      <c r="F201" s="232"/>
      <c r="T201" s="34">
        <f t="shared" si="3"/>
        <v>0</v>
      </c>
    </row>
    <row r="202" spans="2:20">
      <c r="B202" s="230"/>
      <c r="C202" s="128" t="s">
        <v>561</v>
      </c>
      <c r="D202" s="230"/>
      <c r="E202" s="230"/>
      <c r="F202" s="232"/>
      <c r="T202" s="34">
        <f t="shared" si="3"/>
        <v>0</v>
      </c>
    </row>
    <row r="203" spans="2:20">
      <c r="B203" s="230"/>
      <c r="C203" s="229"/>
      <c r="D203" s="230" t="s">
        <v>795</v>
      </c>
      <c r="E203" s="230"/>
      <c r="F203" s="232"/>
      <c r="G203" t="s">
        <v>736</v>
      </c>
      <c r="H203" s="266">
        <v>24</v>
      </c>
      <c r="I203" s="266">
        <v>18</v>
      </c>
      <c r="J203" s="266">
        <v>22</v>
      </c>
      <c r="K203" s="266">
        <v>28</v>
      </c>
      <c r="L203" s="266">
        <v>29</v>
      </c>
      <c r="M203" s="266">
        <v>32</v>
      </c>
      <c r="N203" s="266">
        <v>47</v>
      </c>
      <c r="O203" s="266">
        <v>52</v>
      </c>
      <c r="P203" s="266">
        <v>53</v>
      </c>
      <c r="Q203" s="266">
        <v>55</v>
      </c>
      <c r="R203" s="266">
        <v>58</v>
      </c>
      <c r="S203" s="266">
        <v>62</v>
      </c>
      <c r="T203" s="34">
        <f t="shared" si="3"/>
        <v>480</v>
      </c>
    </row>
    <row r="204" spans="2:20">
      <c r="B204" s="230"/>
      <c r="C204" s="229"/>
      <c r="D204" s="230" t="s">
        <v>919</v>
      </c>
      <c r="E204" s="230"/>
      <c r="F204" s="232"/>
      <c r="G204" t="s">
        <v>736</v>
      </c>
      <c r="H204" s="231">
        <v>116.70985367959508</v>
      </c>
      <c r="I204" s="231">
        <v>123.57621827928617</v>
      </c>
      <c r="J204" s="231">
        <v>125.8744416789086</v>
      </c>
      <c r="K204" s="231">
        <v>128.68845327842806</v>
      </c>
      <c r="L204" s="231">
        <v>132.59492957793034</v>
      </c>
      <c r="M204" s="231">
        <v>138.50179997738115</v>
      </c>
      <c r="N204" s="231">
        <v>147.88244922057453</v>
      </c>
      <c r="O204" s="231">
        <v>160.6838224616821</v>
      </c>
      <c r="P204" s="231">
        <v>170.23292479277251</v>
      </c>
      <c r="Q204" s="231">
        <v>177.72821276410536</v>
      </c>
      <c r="R204" s="231">
        <v>184.59457736379645</v>
      </c>
      <c r="S204" s="231">
        <v>185.3575067637621</v>
      </c>
      <c r="T204" s="34">
        <f t="shared" si="3"/>
        <v>1792.4251898382222</v>
      </c>
    </row>
    <row r="205" spans="2:20">
      <c r="B205" s="230"/>
      <c r="C205" s="229"/>
      <c r="D205" s="230" t="s">
        <v>817</v>
      </c>
      <c r="E205" s="230"/>
      <c r="F205" s="232"/>
      <c r="H205" s="231">
        <v>4000</v>
      </c>
      <c r="I205" s="231">
        <v>4000</v>
      </c>
      <c r="J205" s="231">
        <v>4000</v>
      </c>
      <c r="K205" s="231">
        <v>4000</v>
      </c>
      <c r="L205" s="231">
        <v>4000</v>
      </c>
      <c r="M205" s="231">
        <v>4000</v>
      </c>
      <c r="N205" s="231">
        <v>4000</v>
      </c>
      <c r="O205" s="231">
        <v>4000</v>
      </c>
      <c r="P205" s="231">
        <v>4000</v>
      </c>
      <c r="Q205" s="231">
        <v>4000</v>
      </c>
      <c r="R205" s="231">
        <v>4000</v>
      </c>
      <c r="S205" s="231">
        <v>4000</v>
      </c>
      <c r="T205" s="34">
        <f t="shared" si="3"/>
        <v>48000</v>
      </c>
    </row>
    <row r="206" spans="2:20">
      <c r="B206" s="230"/>
      <c r="C206" s="229"/>
      <c r="D206" s="230" t="s">
        <v>215</v>
      </c>
      <c r="E206" s="230"/>
      <c r="F206" s="232"/>
      <c r="G206" t="s">
        <v>736</v>
      </c>
      <c r="H206" s="240">
        <v>3.2288323914649744</v>
      </c>
      <c r="I206" s="240">
        <v>3.3704116153244055</v>
      </c>
      <c r="J206" s="240">
        <v>3.3359576928065504</v>
      </c>
      <c r="K206" s="240">
        <v>3.255284587280534</v>
      </c>
      <c r="L206" s="240">
        <v>3.2008244897483862</v>
      </c>
      <c r="M206" s="240">
        <v>3.1986837243024633</v>
      </c>
      <c r="N206" s="240">
        <v>3.2822325653678996</v>
      </c>
      <c r="O206" s="240">
        <v>3.5231668516527406</v>
      </c>
      <c r="P206" s="240">
        <v>3.7177029044728611</v>
      </c>
      <c r="Q206" s="240">
        <v>3.8494810577735361</v>
      </c>
      <c r="R206" s="240">
        <v>3.9435664187873209</v>
      </c>
      <c r="S206" s="240">
        <v>3.8928647255236295</v>
      </c>
      <c r="T206" s="34">
        <f t="shared" si="3"/>
        <v>41.799009024505295</v>
      </c>
    </row>
    <row r="207" spans="2:20">
      <c r="B207" s="230"/>
      <c r="C207" s="229"/>
      <c r="D207" s="230" t="s">
        <v>99</v>
      </c>
      <c r="E207" s="230"/>
      <c r="F207" s="232"/>
      <c r="G207" t="s">
        <v>736</v>
      </c>
      <c r="H207" s="240">
        <v>0.467217821999171</v>
      </c>
      <c r="I207" s="240">
        <v>0.5005959832476693</v>
      </c>
      <c r="J207" s="240">
        <v>0.51968887491290572</v>
      </c>
      <c r="K207" s="240">
        <v>0.5303393644944514</v>
      </c>
      <c r="L207" s="240">
        <v>0.54434038095074666</v>
      </c>
      <c r="M207" s="240">
        <v>0.56478485324023231</v>
      </c>
      <c r="N207" s="240">
        <v>0.59663385249574097</v>
      </c>
      <c r="O207" s="240">
        <v>0.64284639933803467</v>
      </c>
      <c r="P207" s="240">
        <v>0.68940989011344722</v>
      </c>
      <c r="Q207" s="240">
        <v>0.72491903657682899</v>
      </c>
      <c r="R207" s="240">
        <v>0.75483914609979552</v>
      </c>
      <c r="S207" s="240">
        <v>0.77073350859908041</v>
      </c>
      <c r="T207" s="34">
        <f t="shared" si="3"/>
        <v>7.3063491120681041</v>
      </c>
    </row>
    <row r="208" spans="2:20">
      <c r="B208" s="252"/>
      <c r="C208" s="252" t="s">
        <v>217</v>
      </c>
      <c r="D208" s="252"/>
      <c r="E208" s="252"/>
      <c r="F208" s="215"/>
      <c r="G208" s="215"/>
      <c r="H208" s="252">
        <v>2.7616145694658032</v>
      </c>
      <c r="I208" s="252">
        <v>2.8698156320767363</v>
      </c>
      <c r="J208" s="252">
        <v>2.8162688178936448</v>
      </c>
      <c r="K208" s="252">
        <v>2.7249452227860824</v>
      </c>
      <c r="L208" s="252">
        <v>2.6564841087976396</v>
      </c>
      <c r="M208" s="252">
        <v>2.6338988710622311</v>
      </c>
      <c r="N208" s="252">
        <v>2.6855987128721588</v>
      </c>
      <c r="O208" s="252">
        <v>2.8803204523147059</v>
      </c>
      <c r="P208" s="252">
        <v>3.0282930143594138</v>
      </c>
      <c r="Q208" s="252">
        <v>3.1245620211967071</v>
      </c>
      <c r="R208" s="252">
        <v>3.1887272726875255</v>
      </c>
      <c r="S208" s="252">
        <v>3.122131216924549</v>
      </c>
      <c r="T208" s="34">
        <f t="shared" si="3"/>
        <v>34.492659912437198</v>
      </c>
    </row>
    <row r="209" spans="2:20">
      <c r="B209" s="229"/>
      <c r="C209" s="229"/>
      <c r="D209" s="229" t="s">
        <v>218</v>
      </c>
      <c r="E209" s="229"/>
      <c r="F209" s="203"/>
      <c r="G209" s="203"/>
      <c r="H209" s="245">
        <v>2.3616145694658033</v>
      </c>
      <c r="I209" s="245">
        <v>2.4698156320767364</v>
      </c>
      <c r="J209" s="245">
        <v>2.4162688178936449</v>
      </c>
      <c r="K209" s="245">
        <v>2.3249452227860825</v>
      </c>
      <c r="L209" s="245">
        <v>2.2564841087976397</v>
      </c>
      <c r="M209" s="245">
        <v>2.2338988710622312</v>
      </c>
      <c r="N209" s="245">
        <v>2.2855987128721589</v>
      </c>
      <c r="O209" s="245">
        <v>2.480320452314706</v>
      </c>
      <c r="P209" s="245">
        <v>2.6282930143594139</v>
      </c>
      <c r="Q209" s="245">
        <v>2.7245620211967072</v>
      </c>
      <c r="R209" s="245">
        <v>2.7887272726875256</v>
      </c>
      <c r="S209" s="245">
        <v>2.7221312169245491</v>
      </c>
      <c r="T209" s="34">
        <f t="shared" si="3"/>
        <v>29.692659912437197</v>
      </c>
    </row>
    <row r="210" spans="2:20">
      <c r="B210" s="230"/>
      <c r="C210" s="230"/>
      <c r="D210" s="230" t="s">
        <v>737</v>
      </c>
      <c r="E210" s="230"/>
      <c r="F210" s="232"/>
      <c r="G210" s="232"/>
      <c r="H210" s="246">
        <v>2.8288323914649744</v>
      </c>
      <c r="I210" s="246">
        <v>2.9704116153244056</v>
      </c>
      <c r="J210" s="246">
        <v>2.9359576928065505</v>
      </c>
      <c r="K210" s="246">
        <v>2.8552845872805341</v>
      </c>
      <c r="L210" s="246">
        <v>2.8008244897483863</v>
      </c>
      <c r="M210" s="246">
        <v>2.7986837243024634</v>
      </c>
      <c r="N210" s="246">
        <v>2.8822325653678997</v>
      </c>
      <c r="O210" s="246">
        <v>3.1231668516527407</v>
      </c>
      <c r="P210" s="246">
        <v>3.3177029044728612</v>
      </c>
      <c r="Q210" s="246">
        <v>3.4494810577735362</v>
      </c>
      <c r="R210" s="246">
        <v>3.543566418787321</v>
      </c>
      <c r="S210" s="246">
        <v>3.4928647255236296</v>
      </c>
      <c r="T210" s="34">
        <f t="shared" si="3"/>
        <v>36.999009024505298</v>
      </c>
    </row>
    <row r="211" spans="2:20">
      <c r="B211" s="230"/>
      <c r="C211" s="230"/>
      <c r="D211" s="230" t="s">
        <v>798</v>
      </c>
      <c r="E211" s="230"/>
      <c r="F211" s="232"/>
      <c r="G211" s="232"/>
      <c r="H211" s="246">
        <v>0.467217821999171</v>
      </c>
      <c r="I211" s="246">
        <v>0.5005959832476693</v>
      </c>
      <c r="J211" s="246">
        <v>0.51968887491290572</v>
      </c>
      <c r="K211" s="246">
        <v>0.5303393644944514</v>
      </c>
      <c r="L211" s="246">
        <v>0.54434038095074666</v>
      </c>
      <c r="M211" s="246">
        <v>0.56478485324023231</v>
      </c>
      <c r="N211" s="246">
        <v>0.59663385249574097</v>
      </c>
      <c r="O211" s="246">
        <v>0.64284639933803467</v>
      </c>
      <c r="P211" s="246">
        <v>0.68940989011344722</v>
      </c>
      <c r="Q211" s="246">
        <v>0.72491903657682899</v>
      </c>
      <c r="R211" s="246">
        <v>0.75483914609979552</v>
      </c>
      <c r="S211" s="246">
        <v>0.77073350859908041</v>
      </c>
      <c r="T211" s="34">
        <f t="shared" si="3"/>
        <v>7.3063491120681041</v>
      </c>
    </row>
    <row r="212" spans="2:20">
      <c r="B212" s="229"/>
      <c r="C212" s="229"/>
      <c r="D212" s="229" t="s">
        <v>220</v>
      </c>
      <c r="E212" s="229"/>
      <c r="F212" s="203"/>
      <c r="G212" s="203"/>
      <c r="H212" s="248">
        <v>0.4</v>
      </c>
      <c r="I212" s="248">
        <v>0.4</v>
      </c>
      <c r="J212" s="248">
        <v>0.4</v>
      </c>
      <c r="K212" s="248">
        <v>0.4</v>
      </c>
      <c r="L212" s="248">
        <v>0.4</v>
      </c>
      <c r="M212" s="248">
        <v>0.4</v>
      </c>
      <c r="N212" s="248">
        <v>0.4</v>
      </c>
      <c r="O212" s="248">
        <v>0.4</v>
      </c>
      <c r="P212" s="248">
        <v>0.4</v>
      </c>
      <c r="Q212" s="248">
        <v>0.4</v>
      </c>
      <c r="R212" s="248">
        <v>0.4</v>
      </c>
      <c r="S212" s="248">
        <v>0.4</v>
      </c>
      <c r="T212" s="34">
        <f t="shared" si="3"/>
        <v>4.8</v>
      </c>
    </row>
    <row r="213" spans="2:20">
      <c r="B213" s="230"/>
      <c r="C213" s="230"/>
      <c r="D213" s="230" t="s">
        <v>800</v>
      </c>
      <c r="E213" s="230"/>
      <c r="F213" s="232"/>
      <c r="G213" s="232"/>
      <c r="H213" s="246">
        <v>0.4</v>
      </c>
      <c r="I213" s="246">
        <v>0.4</v>
      </c>
      <c r="J213" s="246">
        <v>0.4</v>
      </c>
      <c r="K213" s="246">
        <v>0.4</v>
      </c>
      <c r="L213" s="246">
        <v>0.4</v>
      </c>
      <c r="M213" s="246">
        <v>0.4</v>
      </c>
      <c r="N213" s="246">
        <v>0.4</v>
      </c>
      <c r="O213" s="246">
        <v>0.4</v>
      </c>
      <c r="P213" s="246">
        <v>0.4</v>
      </c>
      <c r="Q213" s="246">
        <v>0.4</v>
      </c>
      <c r="R213" s="246">
        <v>0.4</v>
      </c>
      <c r="S213" s="246">
        <v>0.4</v>
      </c>
      <c r="T213" s="34">
        <f t="shared" si="3"/>
        <v>4.8</v>
      </c>
    </row>
    <row r="214" spans="2:20">
      <c r="B214" s="230"/>
      <c r="C214" s="230"/>
      <c r="D214" s="230" t="s">
        <v>223</v>
      </c>
      <c r="E214" s="230"/>
      <c r="F214" s="232"/>
      <c r="G214" s="232"/>
      <c r="H214" s="246">
        <v>0</v>
      </c>
      <c r="I214" s="246">
        <v>0</v>
      </c>
      <c r="J214" s="246">
        <v>0</v>
      </c>
      <c r="K214" s="246">
        <v>0</v>
      </c>
      <c r="L214" s="246">
        <v>0</v>
      </c>
      <c r="M214" s="246">
        <v>0</v>
      </c>
      <c r="N214" s="246">
        <v>0</v>
      </c>
      <c r="O214" s="246">
        <v>0</v>
      </c>
      <c r="P214" s="246">
        <v>0</v>
      </c>
      <c r="Q214" s="246">
        <v>0</v>
      </c>
      <c r="R214" s="246">
        <v>0</v>
      </c>
      <c r="S214" s="246">
        <v>0</v>
      </c>
      <c r="T214" s="34">
        <f t="shared" si="3"/>
        <v>0</v>
      </c>
    </row>
    <row r="215" spans="2:20">
      <c r="B215" s="229"/>
      <c r="C215" s="229" t="s">
        <v>145</v>
      </c>
      <c r="D215" s="229"/>
      <c r="E215" s="229"/>
      <c r="F215" s="203"/>
      <c r="G215" s="203"/>
      <c r="H215" s="248">
        <v>3.721033932170525</v>
      </c>
      <c r="I215" s="248">
        <v>3.7207230636495865</v>
      </c>
      <c r="J215" s="248">
        <v>3.7216356470364049</v>
      </c>
      <c r="K215" s="248">
        <v>3.8145483248290208</v>
      </c>
      <c r="L215" s="248">
        <v>3.6141862913597231</v>
      </c>
      <c r="M215" s="248">
        <v>3.6175232442073249</v>
      </c>
      <c r="N215" s="248">
        <v>3.6315133066676788</v>
      </c>
      <c r="O215" s="248">
        <v>3.6360928929904457</v>
      </c>
      <c r="P215" s="248">
        <v>3.6408794135894924</v>
      </c>
      <c r="Q215" s="248">
        <v>3.6592387205989194</v>
      </c>
      <c r="R215" s="248">
        <v>3.6654839604730389</v>
      </c>
      <c r="S215" s="248">
        <v>3.671978760759492</v>
      </c>
      <c r="T215" s="34">
        <f t="shared" si="3"/>
        <v>44.114837558331658</v>
      </c>
    </row>
    <row r="216" spans="2:20">
      <c r="B216" s="230"/>
      <c r="C216" s="230"/>
      <c r="D216" s="230" t="s">
        <v>839</v>
      </c>
      <c r="E216" s="230"/>
      <c r="F216" s="232"/>
      <c r="G216" t="s">
        <v>736</v>
      </c>
      <c r="H216" s="246">
        <v>0.2</v>
      </c>
      <c r="I216" s="246">
        <v>0.2</v>
      </c>
      <c r="J216" s="246">
        <v>0.2</v>
      </c>
      <c r="K216" s="246">
        <v>0.2</v>
      </c>
      <c r="L216" s="246">
        <v>6.6666666666666666E-2</v>
      </c>
      <c r="M216" s="246">
        <v>6.6666666666666666E-2</v>
      </c>
      <c r="N216" s="246">
        <v>6.6666666666666666E-2</v>
      </c>
      <c r="O216" s="246">
        <v>6.6666666666666666E-2</v>
      </c>
      <c r="P216" s="246">
        <v>6.6666666666666666E-2</v>
      </c>
      <c r="Q216" s="246">
        <v>6.6666666666666666E-2</v>
      </c>
      <c r="R216" s="246">
        <v>6.6666666666666666E-2</v>
      </c>
      <c r="S216" s="246">
        <v>6.6666666666666666E-2</v>
      </c>
      <c r="T216" s="34">
        <f t="shared" si="3"/>
        <v>1.3333333333333333</v>
      </c>
    </row>
    <row r="217" spans="2:20">
      <c r="B217" s="240"/>
      <c r="C217" s="240"/>
      <c r="D217" s="240" t="s">
        <v>840</v>
      </c>
      <c r="E217" s="240"/>
      <c r="F217" s="257"/>
      <c r="G217" s="257"/>
      <c r="H217" s="246">
        <v>8.6400000000000001E-3</v>
      </c>
      <c r="I217" s="246">
        <v>8.3291314790614242E-3</v>
      </c>
      <c r="J217" s="246">
        <v>9.2417148658803135E-3</v>
      </c>
      <c r="K217" s="246">
        <v>0.10215439265849574</v>
      </c>
      <c r="L217" s="246">
        <v>3.5125692522531664E-2</v>
      </c>
      <c r="M217" s="246">
        <v>3.8462645370133663E-2</v>
      </c>
      <c r="N217" s="246">
        <v>5.245270783048743E-2</v>
      </c>
      <c r="O217" s="246">
        <v>5.7032294153254511E-2</v>
      </c>
      <c r="P217" s="246">
        <v>6.1818814752300666E-2</v>
      </c>
      <c r="Q217" s="246">
        <v>8.0178121761727839E-2</v>
      </c>
      <c r="R217" s="246">
        <v>8.6423361635847712E-2</v>
      </c>
      <c r="S217" s="246">
        <v>9.2918161922300568E-2</v>
      </c>
      <c r="T217" s="34">
        <f t="shared" si="3"/>
        <v>0.63277703895202153</v>
      </c>
    </row>
    <row r="218" spans="2:20">
      <c r="B218" s="240"/>
      <c r="C218" s="240"/>
      <c r="D218" s="240" t="s">
        <v>807</v>
      </c>
      <c r="E218" s="240"/>
      <c r="F218" s="257"/>
      <c r="G218" s="257" t="s">
        <v>736</v>
      </c>
      <c r="H218" s="246">
        <v>0.08</v>
      </c>
      <c r="I218" s="246">
        <v>0.08</v>
      </c>
      <c r="J218" s="246">
        <v>0.08</v>
      </c>
      <c r="K218" s="246">
        <v>0.08</v>
      </c>
      <c r="L218" s="246">
        <v>0.08</v>
      </c>
      <c r="M218" s="246">
        <v>0.08</v>
      </c>
      <c r="N218" s="246">
        <v>0.08</v>
      </c>
      <c r="O218" s="246">
        <v>0.08</v>
      </c>
      <c r="P218" s="246">
        <v>0.08</v>
      </c>
      <c r="Q218" s="246">
        <v>0.08</v>
      </c>
      <c r="R218" s="246">
        <v>0.08</v>
      </c>
      <c r="S218" s="246">
        <v>0.08</v>
      </c>
      <c r="T218" s="34">
        <f t="shared" si="3"/>
        <v>0.95999999999999985</v>
      </c>
    </row>
    <row r="219" spans="2:20">
      <c r="B219" s="240"/>
      <c r="C219" s="240"/>
      <c r="D219" s="230" t="s">
        <v>806</v>
      </c>
      <c r="E219" s="230"/>
      <c r="F219" s="257"/>
      <c r="G219" s="257"/>
      <c r="H219" s="246">
        <v>3.3320000000000002E-2</v>
      </c>
      <c r="I219" s="246">
        <v>3.3320000000000002E-2</v>
      </c>
      <c r="J219" s="246">
        <v>3.3320000000000002E-2</v>
      </c>
      <c r="K219" s="246">
        <v>3.3320000000000002E-2</v>
      </c>
      <c r="L219" s="246">
        <v>3.3320000000000002E-2</v>
      </c>
      <c r="M219" s="246">
        <v>3.3320000000000002E-2</v>
      </c>
      <c r="N219" s="246">
        <v>3.3320000000000002E-2</v>
      </c>
      <c r="O219" s="246">
        <v>3.3320000000000002E-2</v>
      </c>
      <c r="P219" s="246">
        <v>3.3320000000000002E-2</v>
      </c>
      <c r="Q219" s="246">
        <v>3.3320000000000002E-2</v>
      </c>
      <c r="R219" s="246">
        <v>3.3320000000000002E-2</v>
      </c>
      <c r="S219" s="246">
        <v>3.3320000000000002E-2</v>
      </c>
      <c r="T219" s="34">
        <f t="shared" si="3"/>
        <v>0.39984000000000014</v>
      </c>
    </row>
    <row r="220" spans="2:20">
      <c r="B220" s="240"/>
      <c r="C220" s="240"/>
      <c r="D220" s="230" t="s">
        <v>907</v>
      </c>
      <c r="E220" s="230"/>
      <c r="F220" s="257"/>
      <c r="G220" s="257"/>
      <c r="H220" s="246">
        <v>1.0920000000000001</v>
      </c>
      <c r="I220" s="246">
        <v>1.0920000000000001</v>
      </c>
      <c r="J220" s="246">
        <v>1.0920000000000001</v>
      </c>
      <c r="K220" s="246">
        <v>1.0920000000000001</v>
      </c>
      <c r="L220" s="246">
        <v>1.0920000000000001</v>
      </c>
      <c r="M220" s="246">
        <v>1.0920000000000001</v>
      </c>
      <c r="N220" s="246">
        <v>1.0920000000000001</v>
      </c>
      <c r="O220" s="246">
        <v>1.0920000000000001</v>
      </c>
      <c r="P220" s="246">
        <v>1.0920000000000001</v>
      </c>
      <c r="Q220" s="246">
        <v>1.0920000000000001</v>
      </c>
      <c r="R220" s="246">
        <v>1.0920000000000001</v>
      </c>
      <c r="S220" s="246">
        <v>1.0920000000000001</v>
      </c>
      <c r="T220" s="34">
        <f t="shared" si="3"/>
        <v>13.104000000000005</v>
      </c>
    </row>
    <row r="221" spans="2:20">
      <c r="B221" s="240"/>
      <c r="C221" s="240"/>
      <c r="D221" s="230" t="s">
        <v>580</v>
      </c>
      <c r="E221" s="230"/>
      <c r="F221" s="257"/>
      <c r="G221" s="257"/>
      <c r="H221" s="246">
        <v>2.3070739321705247</v>
      </c>
      <c r="I221" s="246">
        <v>2.3070739321705247</v>
      </c>
      <c r="J221" s="246">
        <v>2.3070739321705247</v>
      </c>
      <c r="K221" s="246">
        <v>2.3070739321705247</v>
      </c>
      <c r="L221" s="246">
        <v>2.3070739321705247</v>
      </c>
      <c r="M221" s="246">
        <v>2.3070739321705247</v>
      </c>
      <c r="N221" s="246">
        <v>2.3070739321705247</v>
      </c>
      <c r="O221" s="246">
        <v>2.3070739321705247</v>
      </c>
      <c r="P221" s="246">
        <v>2.3070739321705247</v>
      </c>
      <c r="Q221" s="246">
        <v>2.3070739321705247</v>
      </c>
      <c r="R221" s="246">
        <v>2.3070739321705247</v>
      </c>
      <c r="S221" s="246">
        <v>2.3070739321705247</v>
      </c>
      <c r="T221" s="34">
        <f t="shared" si="3"/>
        <v>27.684887186046296</v>
      </c>
    </row>
    <row r="222" spans="2:20">
      <c r="B222" s="245"/>
      <c r="C222" s="245" t="s">
        <v>135</v>
      </c>
      <c r="D222" s="245"/>
      <c r="E222" s="245"/>
      <c r="F222" s="216"/>
      <c r="G222" s="216"/>
      <c r="H222" s="248">
        <v>-0.95941936270472183</v>
      </c>
      <c r="I222" s="248">
        <v>-0.8509074315728502</v>
      </c>
      <c r="J222" s="248">
        <v>-0.90536682914276012</v>
      </c>
      <c r="K222" s="248">
        <v>-1.0896031020429384</v>
      </c>
      <c r="L222" s="248">
        <v>-0.9577021825620835</v>
      </c>
      <c r="M222" s="248">
        <v>-0.98362437314509377</v>
      </c>
      <c r="N222" s="248">
        <v>-0.94591459379552001</v>
      </c>
      <c r="O222" s="248">
        <v>-0.75577244067573979</v>
      </c>
      <c r="P222" s="248">
        <v>-0.61258639923007863</v>
      </c>
      <c r="Q222" s="248">
        <v>-0.5346766994022123</v>
      </c>
      <c r="R222" s="248">
        <v>-0.47675668778551339</v>
      </c>
      <c r="S222" s="248">
        <v>-0.54984754383494305</v>
      </c>
      <c r="T222" s="34">
        <f t="shared" si="3"/>
        <v>-9.622177645894455</v>
      </c>
    </row>
    <row r="223" spans="2:20">
      <c r="B223" s="230"/>
      <c r="C223" s="230"/>
      <c r="D223" s="230" t="s">
        <v>920</v>
      </c>
      <c r="E223" s="230"/>
      <c r="F223" s="232"/>
      <c r="G223" s="232"/>
      <c r="H223" s="253">
        <v>0.36808280958134448</v>
      </c>
      <c r="I223" s="253">
        <v>0.43198610897360701</v>
      </c>
      <c r="J223" s="253">
        <v>0.39203584855497781</v>
      </c>
      <c r="K223" s="253">
        <v>0.60669082455189527</v>
      </c>
      <c r="L223" s="253">
        <v>0.71475647232488981</v>
      </c>
      <c r="M223" s="253">
        <v>0.81923758951914227</v>
      </c>
      <c r="N223" s="253">
        <v>1.2758981320496108</v>
      </c>
      <c r="O223" s="253">
        <v>1.5301904308575898</v>
      </c>
      <c r="P223" s="253">
        <v>1.566217662434505</v>
      </c>
      <c r="Q223" s="253">
        <v>2.2306203840632048</v>
      </c>
      <c r="R223" s="253">
        <v>2.2586275360680066</v>
      </c>
      <c r="S223" s="253">
        <v>2.2771925703723834</v>
      </c>
      <c r="T223" s="34">
        <f t="shared" si="3"/>
        <v>14.471536369351156</v>
      </c>
    </row>
    <row r="224" spans="2:20">
      <c r="B224" s="240"/>
      <c r="C224" s="240"/>
      <c r="D224" s="240" t="s">
        <v>921</v>
      </c>
      <c r="E224" s="240"/>
      <c r="F224" s="257"/>
      <c r="G224" s="257"/>
      <c r="H224" s="267">
        <v>1.9772917830994778</v>
      </c>
      <c r="I224" s="267">
        <v>2.4092778920730851</v>
      </c>
      <c r="J224" s="267">
        <v>2.8013137406280628</v>
      </c>
      <c r="K224" s="267">
        <v>3.408004565179958</v>
      </c>
      <c r="L224" s="267">
        <v>4.1227610375048478</v>
      </c>
      <c r="M224" s="267">
        <v>4.94199862702399</v>
      </c>
      <c r="N224" s="267">
        <v>6.217896759073601</v>
      </c>
      <c r="O224" s="267">
        <v>7.7480871899311907</v>
      </c>
      <c r="P224" s="267">
        <v>9.3143048523656962</v>
      </c>
      <c r="Q224" s="267">
        <v>11.544925236428901</v>
      </c>
      <c r="R224" s="267">
        <v>13.803552772496907</v>
      </c>
      <c r="S224" s="267">
        <v>16.080745342869292</v>
      </c>
      <c r="T224" s="34">
        <f t="shared" si="3"/>
        <v>84.370159798675004</v>
      </c>
    </row>
    <row r="225" spans="2:20">
      <c r="B225" s="230"/>
      <c r="C225" s="229" t="s">
        <v>860</v>
      </c>
      <c r="D225" s="230"/>
      <c r="E225" s="230"/>
      <c r="F225" s="232"/>
      <c r="G225" s="232"/>
      <c r="H225" s="247">
        <v>-1.3275021722860663</v>
      </c>
      <c r="I225" s="247">
        <v>-1.2828935405464572</v>
      </c>
      <c r="J225" s="247">
        <v>-1.2974026776977379</v>
      </c>
      <c r="K225" s="247">
        <v>-1.6962939265948336</v>
      </c>
      <c r="L225" s="247">
        <v>-1.6724586548869733</v>
      </c>
      <c r="M225" s="247">
        <v>-1.8028619626642359</v>
      </c>
      <c r="N225" s="247">
        <v>-2.2218127258451306</v>
      </c>
      <c r="O225" s="247">
        <v>-2.2859628715333296</v>
      </c>
      <c r="P225" s="247">
        <v>-2.1788040616645836</v>
      </c>
      <c r="Q225" s="247">
        <v>-2.7652970834654171</v>
      </c>
      <c r="R225" s="247">
        <v>-2.73538422385352</v>
      </c>
      <c r="S225" s="247">
        <v>-2.8270401142073265</v>
      </c>
      <c r="T225" s="34">
        <f t="shared" si="3"/>
        <v>-24.09371401524561</v>
      </c>
    </row>
    <row r="226" spans="2:20">
      <c r="B226" s="230"/>
      <c r="C226" s="230"/>
      <c r="D226" s="229" t="s">
        <v>320</v>
      </c>
      <c r="E226" s="230"/>
      <c r="F226" s="232"/>
      <c r="H226" s="254"/>
      <c r="I226" s="254"/>
      <c r="J226" s="254"/>
      <c r="K226" s="254"/>
      <c r="L226" s="254"/>
      <c r="M226" s="254"/>
      <c r="N226" s="254"/>
      <c r="O226" s="254"/>
      <c r="P226" s="254"/>
      <c r="Q226" s="254"/>
      <c r="R226" s="254"/>
      <c r="S226" s="254">
        <v>-0.12998509979934622</v>
      </c>
      <c r="T226" s="34">
        <f t="shared" si="3"/>
        <v>-0.12998509979934622</v>
      </c>
    </row>
    <row r="227" spans="2:20">
      <c r="B227" s="230"/>
      <c r="C227" s="230"/>
      <c r="D227" s="229"/>
      <c r="E227" s="230"/>
      <c r="F227" s="232"/>
      <c r="H227" s="254"/>
      <c r="I227" s="254"/>
      <c r="J227" s="254"/>
      <c r="K227" s="254"/>
      <c r="L227" s="254"/>
      <c r="M227" s="254"/>
      <c r="N227" s="254"/>
      <c r="O227" s="254"/>
      <c r="P227" s="254"/>
      <c r="Q227" s="254"/>
      <c r="R227" s="254"/>
      <c r="S227" s="254"/>
      <c r="T227" s="34">
        <f t="shared" si="3"/>
        <v>0</v>
      </c>
    </row>
    <row r="228" spans="2:20">
      <c r="B228" s="229" t="s">
        <v>922</v>
      </c>
      <c r="C228" s="230"/>
      <c r="D228" s="229"/>
      <c r="E228" s="230"/>
      <c r="F228" s="232"/>
      <c r="H228" s="254"/>
      <c r="I228" s="254"/>
      <c r="J228" s="254"/>
      <c r="K228" s="254"/>
      <c r="L228" s="254"/>
      <c r="M228" s="254"/>
      <c r="N228" s="254"/>
      <c r="O228" s="254"/>
      <c r="P228" s="254"/>
      <c r="Q228" s="254"/>
      <c r="R228" s="254"/>
      <c r="S228" s="254"/>
      <c r="T228" s="34">
        <f t="shared" si="3"/>
        <v>0</v>
      </c>
    </row>
    <row r="229" spans="2:20">
      <c r="B229" s="230"/>
      <c r="C229" s="230"/>
      <c r="D229" s="230" t="s">
        <v>795</v>
      </c>
      <c r="E229" s="230"/>
      <c r="F229" s="232"/>
      <c r="H229" s="249">
        <v>283.046854002972</v>
      </c>
      <c r="I229" s="249">
        <v>169.82328583365</v>
      </c>
      <c r="J229" s="249">
        <v>255.93997104215927</v>
      </c>
      <c r="K229" s="249">
        <v>310.07886377019156</v>
      </c>
      <c r="L229" s="249">
        <v>342.88903375714784</v>
      </c>
      <c r="M229" s="249">
        <v>371.29394458601399</v>
      </c>
      <c r="N229" s="249">
        <v>420.34146425768108</v>
      </c>
      <c r="O229" s="249">
        <v>414.68997907130716</v>
      </c>
      <c r="P229" s="249">
        <v>439.65651773184715</v>
      </c>
      <c r="Q229" s="249">
        <v>487.45</v>
      </c>
      <c r="R229" s="249">
        <v>503.45</v>
      </c>
      <c r="S229" s="249">
        <v>517.5</v>
      </c>
      <c r="T229" s="34">
        <f t="shared" si="3"/>
        <v>4516.1599140529706</v>
      </c>
    </row>
    <row r="230" spans="2:20">
      <c r="B230" s="230"/>
      <c r="C230" s="230"/>
      <c r="D230" s="230" t="s">
        <v>919</v>
      </c>
      <c r="E230" s="230"/>
      <c r="F230" s="232"/>
      <c r="H230" s="249">
        <v>685.79262229487972</v>
      </c>
      <c r="I230" s="249">
        <v>733.36891001581216</v>
      </c>
      <c r="J230" s="249">
        <v>863.00141343952737</v>
      </c>
      <c r="K230" s="249">
        <v>1017.724102512097</v>
      </c>
      <c r="L230" s="249">
        <v>1178.443361142045</v>
      </c>
      <c r="M230" s="249">
        <v>1344.2970124358146</v>
      </c>
      <c r="N230" s="249">
        <v>1524.4189207733414</v>
      </c>
      <c r="O230" s="249">
        <v>1663.3199830471094</v>
      </c>
      <c r="P230" s="249">
        <v>1798.9833261204856</v>
      </c>
      <c r="Q230" s="249">
        <v>1955.9196331956718</v>
      </c>
      <c r="R230" s="249">
        <v>2095.7934527049019</v>
      </c>
      <c r="S230" s="249">
        <v>2215.9329420871945</v>
      </c>
      <c r="T230" s="34">
        <f t="shared" si="3"/>
        <v>17076.995679768879</v>
      </c>
    </row>
    <row r="231" spans="2:20">
      <c r="B231" s="230"/>
      <c r="C231" s="230"/>
      <c r="D231" s="230" t="s">
        <v>215</v>
      </c>
      <c r="E231" s="230"/>
      <c r="F231" s="232"/>
      <c r="H231" s="249">
        <v>35.809538028870037</v>
      </c>
      <c r="I231" s="249">
        <v>32.087201028902626</v>
      </c>
      <c r="J231" s="249">
        <v>40.983468297888216</v>
      </c>
      <c r="K231" s="249">
        <v>48.624058705692931</v>
      </c>
      <c r="L231" s="249">
        <v>57.443978934256805</v>
      </c>
      <c r="M231" s="249">
        <v>64.350713106373931</v>
      </c>
      <c r="N231" s="249">
        <v>72.35396887527682</v>
      </c>
      <c r="O231" s="249">
        <v>76.752118069921195</v>
      </c>
      <c r="P231" s="249">
        <v>82.331225685455138</v>
      </c>
      <c r="Q231" s="249">
        <v>89.941249669878658</v>
      </c>
      <c r="R231" s="249">
        <v>95.627114428181116</v>
      </c>
      <c r="S231" s="249">
        <v>100.14476372886476</v>
      </c>
      <c r="T231" s="34">
        <f t="shared" si="3"/>
        <v>796.44939855956227</v>
      </c>
    </row>
    <row r="232" spans="2:20">
      <c r="B232" s="230"/>
      <c r="C232" s="230"/>
      <c r="D232" s="230" t="s">
        <v>99</v>
      </c>
      <c r="E232" s="230"/>
      <c r="F232" s="232"/>
      <c r="H232" s="249">
        <v>3.2100637430384991</v>
      </c>
      <c r="I232" s="249">
        <v>3.8846828838723648</v>
      </c>
      <c r="J232" s="249">
        <v>4.3958283214141316</v>
      </c>
      <c r="K232" s="249">
        <v>5.211168826631889</v>
      </c>
      <c r="L232" s="249">
        <v>6.1205996953499442</v>
      </c>
      <c r="M232" s="249">
        <v>7.0637171079384506</v>
      </c>
      <c r="N232" s="249">
        <v>8.0529201609656713</v>
      </c>
      <c r="O232" s="249">
        <v>8.9563350881494159</v>
      </c>
      <c r="P232" s="249">
        <v>9.7358378432994392</v>
      </c>
      <c r="Q232" s="249">
        <v>10.570106305183208</v>
      </c>
      <c r="R232" s="249">
        <v>11.418601481848102</v>
      </c>
      <c r="S232" s="249">
        <v>12.169394749216892</v>
      </c>
      <c r="T232" s="34">
        <f t="shared" si="3"/>
        <v>90.789256206907993</v>
      </c>
    </row>
    <row r="233" spans="2:20">
      <c r="B233" s="229"/>
      <c r="C233" s="229" t="s">
        <v>217</v>
      </c>
      <c r="D233" s="229"/>
      <c r="E233" s="229"/>
      <c r="F233" s="203"/>
      <c r="G233" s="203"/>
      <c r="H233" s="249">
        <v>32.59947428583154</v>
      </c>
      <c r="I233" s="249">
        <v>28.202518145030258</v>
      </c>
      <c r="J233" s="249">
        <v>36.58763997647408</v>
      </c>
      <c r="K233" s="249">
        <v>43.412889879061034</v>
      </c>
      <c r="L233" s="249">
        <v>51.32337923890686</v>
      </c>
      <c r="M233" s="249">
        <v>57.286995998435486</v>
      </c>
      <c r="N233" s="249">
        <v>64.30104871431115</v>
      </c>
      <c r="O233" s="249">
        <v>67.795782981771751</v>
      </c>
      <c r="P233" s="249">
        <v>72.595387842155702</v>
      </c>
      <c r="Q233" s="249">
        <v>79.371143364695456</v>
      </c>
      <c r="R233" s="249">
        <v>84.208512946333016</v>
      </c>
      <c r="S233" s="249">
        <v>87.975368979647882</v>
      </c>
      <c r="T233" s="34">
        <f t="shared" si="3"/>
        <v>705.66014235265436</v>
      </c>
    </row>
    <row r="234" spans="2:20">
      <c r="B234" s="229"/>
      <c r="C234" s="238" t="s">
        <v>797</v>
      </c>
      <c r="D234" s="238"/>
      <c r="E234" s="238"/>
      <c r="F234" s="213"/>
      <c r="G234" s="203"/>
      <c r="H234" s="247">
        <v>15.838117764648763</v>
      </c>
      <c r="I234" s="247">
        <v>18.188291066260781</v>
      </c>
      <c r="J234" s="247">
        <v>21.386281757381287</v>
      </c>
      <c r="K234" s="247">
        <v>25.212769757194259</v>
      </c>
      <c r="L234" s="247">
        <v>31.166933662842268</v>
      </c>
      <c r="M234" s="247">
        <v>35.561778406395625</v>
      </c>
      <c r="N234" s="247">
        <v>40.367248662463759</v>
      </c>
      <c r="O234" s="247">
        <v>44.517049268886375</v>
      </c>
      <c r="P234" s="247">
        <v>47.831012001647096</v>
      </c>
      <c r="Q234" s="247">
        <v>51.722543364695454</v>
      </c>
      <c r="R234" s="247">
        <v>55.760412946333005</v>
      </c>
      <c r="S234" s="247">
        <v>58.908868979647877</v>
      </c>
      <c r="T234" s="34">
        <f t="shared" si="3"/>
        <v>446.46130763839659</v>
      </c>
    </row>
    <row r="235" spans="2:20">
      <c r="B235" s="230"/>
      <c r="C235" s="230"/>
      <c r="D235" s="230" t="s">
        <v>737</v>
      </c>
      <c r="E235" s="230"/>
      <c r="F235" s="232"/>
      <c r="H235" s="249">
        <v>19.048181507687261</v>
      </c>
      <c r="I235" s="249">
        <v>22.07297395013315</v>
      </c>
      <c r="J235" s="249">
        <v>25.782110078795416</v>
      </c>
      <c r="K235" s="249">
        <v>30.423938583826146</v>
      </c>
      <c r="L235" s="249">
        <v>37.287533358192213</v>
      </c>
      <c r="M235" s="249">
        <v>42.625495514334077</v>
      </c>
      <c r="N235" s="249">
        <v>48.420168823429435</v>
      </c>
      <c r="O235" s="249">
        <v>53.473384357035791</v>
      </c>
      <c r="P235" s="249">
        <v>57.566849844946539</v>
      </c>
      <c r="Q235" s="249">
        <v>62.292649669878656</v>
      </c>
      <c r="R235" s="249">
        <v>67.179014428181105</v>
      </c>
      <c r="S235" s="249">
        <v>71.078263728864769</v>
      </c>
      <c r="T235" s="34">
        <f t="shared" si="3"/>
        <v>537.25056384530455</v>
      </c>
    </row>
    <row r="236" spans="2:20">
      <c r="B236" s="230"/>
      <c r="C236" s="230"/>
      <c r="D236" s="230" t="s">
        <v>798</v>
      </c>
      <c r="E236" s="230"/>
      <c r="F236" s="232"/>
      <c r="H236" s="249">
        <v>3.2100637430384991</v>
      </c>
      <c r="I236" s="249">
        <v>3.8846828838723648</v>
      </c>
      <c r="J236" s="249">
        <v>4.3958283214141316</v>
      </c>
      <c r="K236" s="249">
        <v>5.211168826631889</v>
      </c>
      <c r="L236" s="249">
        <v>6.1205996953499442</v>
      </c>
      <c r="M236" s="249">
        <v>7.0637171079384506</v>
      </c>
      <c r="N236" s="249">
        <v>8.0529201609656713</v>
      </c>
      <c r="O236" s="249">
        <v>8.9563350881494159</v>
      </c>
      <c r="P236" s="249">
        <v>9.7358378432994392</v>
      </c>
      <c r="Q236" s="249">
        <v>10.570106305183208</v>
      </c>
      <c r="R236" s="249">
        <v>11.418601481848102</v>
      </c>
      <c r="S236" s="249">
        <v>12.169394749216892</v>
      </c>
      <c r="T236" s="34">
        <f t="shared" si="3"/>
        <v>90.789256206907993</v>
      </c>
    </row>
    <row r="237" spans="2:20">
      <c r="B237" s="229"/>
      <c r="C237" s="238" t="s">
        <v>593</v>
      </c>
      <c r="D237" s="238"/>
      <c r="E237" s="238"/>
      <c r="F237" s="213"/>
      <c r="G237" s="203"/>
      <c r="H237" s="247">
        <v>16.761356521182776</v>
      </c>
      <c r="I237" s="247">
        <v>10.014227078769474</v>
      </c>
      <c r="J237" s="247">
        <v>15.201358219092798</v>
      </c>
      <c r="K237" s="247">
        <v>18.200120121866782</v>
      </c>
      <c r="L237" s="247">
        <v>20.156445576064591</v>
      </c>
      <c r="M237" s="247">
        <v>21.725217592039858</v>
      </c>
      <c r="N237" s="247">
        <v>23.933800051847385</v>
      </c>
      <c r="O237" s="247">
        <v>23.278733712885391</v>
      </c>
      <c r="P237" s="247">
        <v>24.764375840508599</v>
      </c>
      <c r="Q237" s="247">
        <v>27.648600000000002</v>
      </c>
      <c r="R237" s="247">
        <v>28.4481</v>
      </c>
      <c r="S237" s="247">
        <v>29.066500000000001</v>
      </c>
      <c r="T237" s="34">
        <f t="shared" si="3"/>
        <v>259.19883471425766</v>
      </c>
    </row>
    <row r="238" spans="2:20">
      <c r="B238" s="230"/>
      <c r="C238" s="230"/>
      <c r="D238" s="230" t="s">
        <v>799</v>
      </c>
      <c r="E238" s="230"/>
      <c r="F238" s="232"/>
      <c r="H238" s="249">
        <v>5.2839937080059451</v>
      </c>
      <c r="I238" s="249">
        <v>3.5172265716672997</v>
      </c>
      <c r="J238" s="249">
        <v>5.0720799420843194</v>
      </c>
      <c r="K238" s="249">
        <v>5.5564377275403833</v>
      </c>
      <c r="L238" s="249">
        <v>5.6200580675142966</v>
      </c>
      <c r="M238" s="249">
        <v>5.735547889172028</v>
      </c>
      <c r="N238" s="249">
        <v>6.9678829285153627</v>
      </c>
      <c r="O238" s="249">
        <v>6.9465799581426149</v>
      </c>
      <c r="P238" s="249">
        <v>7.1133130354636949</v>
      </c>
      <c r="Q238" s="249">
        <v>7.8945999999999996</v>
      </c>
      <c r="R238" s="249">
        <v>7.9206000000000003</v>
      </c>
      <c r="S238" s="249">
        <v>7.9440000000000008</v>
      </c>
      <c r="T238" s="34">
        <f t="shared" si="3"/>
        <v>75.572319828105947</v>
      </c>
    </row>
    <row r="239" spans="2:20">
      <c r="B239" s="230"/>
      <c r="C239" s="230"/>
      <c r="D239" s="230" t="s">
        <v>540</v>
      </c>
      <c r="E239" s="230"/>
      <c r="F239" s="232"/>
      <c r="H239" s="249">
        <v>11.477362813176834</v>
      </c>
      <c r="I239" s="249">
        <v>6.4970005071021752</v>
      </c>
      <c r="J239" s="249">
        <v>10.129278277008478</v>
      </c>
      <c r="K239" s="249">
        <v>12.643682394326399</v>
      </c>
      <c r="L239" s="249">
        <v>14.536387508550298</v>
      </c>
      <c r="M239" s="249">
        <v>15.989669702867833</v>
      </c>
      <c r="N239" s="249">
        <v>16.965917123332027</v>
      </c>
      <c r="O239" s="249">
        <v>16.332153754742777</v>
      </c>
      <c r="P239" s="249">
        <v>17.651062805044905</v>
      </c>
      <c r="Q239" s="249">
        <v>19.754000000000001</v>
      </c>
      <c r="R239" s="249">
        <v>20.5275</v>
      </c>
      <c r="S239" s="249">
        <v>21.122500000000002</v>
      </c>
      <c r="T239" s="34">
        <f t="shared" si="3"/>
        <v>183.62651488615171</v>
      </c>
    </row>
    <row r="240" spans="2:20">
      <c r="B240" s="230"/>
      <c r="C240" s="95" t="s">
        <v>145</v>
      </c>
      <c r="D240" s="95"/>
      <c r="E240" s="95"/>
      <c r="F240" s="214"/>
      <c r="H240" s="247">
        <v>40.289825523289586</v>
      </c>
      <c r="I240" s="247">
        <v>35.714380895774298</v>
      </c>
      <c r="J240" s="247">
        <v>41.716623383231891</v>
      </c>
      <c r="K240" s="247">
        <v>44.721560215762992</v>
      </c>
      <c r="L240" s="247">
        <v>44.92918519883245</v>
      </c>
      <c r="M240" s="247">
        <v>47.621001698710209</v>
      </c>
      <c r="N240" s="247">
        <v>50.350732610023371</v>
      </c>
      <c r="O240" s="247">
        <v>48.761809922228338</v>
      </c>
      <c r="P240" s="247">
        <v>50.405211584942904</v>
      </c>
      <c r="Q240" s="247">
        <v>52.435236054273439</v>
      </c>
      <c r="R240" s="247">
        <v>48.248162012051125</v>
      </c>
      <c r="S240" s="247">
        <v>49.839896721079022</v>
      </c>
      <c r="T240" s="34">
        <f t="shared" si="3"/>
        <v>555.03362582019963</v>
      </c>
    </row>
    <row r="241" spans="2:20">
      <c r="B241" s="230"/>
      <c r="C241" s="230"/>
      <c r="D241" s="230" t="s">
        <v>100</v>
      </c>
      <c r="E241" s="230"/>
      <c r="F241" s="232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34">
        <f t="shared" si="3"/>
        <v>0</v>
      </c>
    </row>
    <row r="242" spans="2:20">
      <c r="B242" s="230"/>
      <c r="C242" s="230"/>
      <c r="D242" s="230" t="s">
        <v>107</v>
      </c>
      <c r="E242" s="230"/>
      <c r="F242" s="232"/>
      <c r="H242" s="254"/>
      <c r="I242" s="254"/>
      <c r="J242" s="254"/>
      <c r="K242" s="254"/>
      <c r="L242" s="254"/>
      <c r="M242" s="254"/>
      <c r="N242" s="254"/>
      <c r="O242" s="254"/>
      <c r="P242" s="254"/>
      <c r="Q242" s="254"/>
      <c r="R242" s="254"/>
      <c r="S242" s="254"/>
      <c r="T242" s="34">
        <f t="shared" si="3"/>
        <v>0</v>
      </c>
    </row>
    <row r="243" spans="2:20">
      <c r="B243" s="230"/>
      <c r="C243" s="230"/>
      <c r="D243" s="230" t="s">
        <v>806</v>
      </c>
      <c r="E243" s="230"/>
      <c r="F243" s="232"/>
      <c r="H243" s="254"/>
      <c r="I243" s="254"/>
      <c r="J243" s="254"/>
      <c r="K243" s="254"/>
      <c r="L243" s="254"/>
      <c r="M243" s="254"/>
      <c r="N243" s="254"/>
      <c r="O243" s="254"/>
      <c r="P243" s="254"/>
      <c r="Q243" s="254"/>
      <c r="R243" s="254"/>
      <c r="S243" s="254"/>
      <c r="T243" s="34">
        <f t="shared" si="3"/>
        <v>0</v>
      </c>
    </row>
    <row r="244" spans="2:20">
      <c r="B244" s="230"/>
      <c r="C244" s="230"/>
      <c r="D244" s="230" t="s">
        <v>907</v>
      </c>
      <c r="E244" s="230"/>
      <c r="F244" s="232"/>
      <c r="H244" s="254"/>
      <c r="I244" s="254"/>
      <c r="J244" s="254"/>
      <c r="K244" s="254"/>
      <c r="L244" s="254"/>
      <c r="M244" s="254"/>
      <c r="N244" s="254"/>
      <c r="O244" s="254"/>
      <c r="P244" s="254"/>
      <c r="Q244" s="254"/>
      <c r="R244" s="254"/>
      <c r="S244" s="254"/>
      <c r="T244" s="34">
        <f t="shared" si="3"/>
        <v>0</v>
      </c>
    </row>
    <row r="245" spans="2:20">
      <c r="B245" s="230"/>
      <c r="C245" s="229"/>
      <c r="D245" s="230" t="s">
        <v>580</v>
      </c>
      <c r="E245" s="229"/>
      <c r="F245" s="203"/>
      <c r="H245" s="254"/>
      <c r="I245" s="254"/>
      <c r="J245" s="254"/>
      <c r="K245" s="254"/>
      <c r="L245" s="254"/>
      <c r="M245" s="254"/>
      <c r="N245" s="254"/>
      <c r="O245" s="254"/>
      <c r="P245" s="254"/>
      <c r="Q245" s="254"/>
      <c r="R245" s="254"/>
      <c r="S245" s="254"/>
      <c r="T245" s="34">
        <f t="shared" si="3"/>
        <v>0</v>
      </c>
    </row>
    <row r="246" spans="2:20">
      <c r="B246" s="230"/>
      <c r="C246" s="230"/>
      <c r="D246" s="230" t="s">
        <v>808</v>
      </c>
      <c r="E246" s="230"/>
      <c r="F246" s="232"/>
      <c r="H246" s="254"/>
      <c r="I246" s="254"/>
      <c r="J246" s="254"/>
      <c r="K246" s="254"/>
      <c r="L246" s="254"/>
      <c r="M246" s="254"/>
      <c r="N246" s="254"/>
      <c r="O246" s="254"/>
      <c r="P246" s="254"/>
      <c r="Q246" s="254"/>
      <c r="R246" s="254"/>
      <c r="S246" s="254"/>
      <c r="T246" s="34">
        <f t="shared" si="3"/>
        <v>0</v>
      </c>
    </row>
    <row r="247" spans="2:20">
      <c r="B247" s="230"/>
      <c r="C247" s="230"/>
      <c r="D247" s="229" t="s">
        <v>135</v>
      </c>
      <c r="E247" s="230"/>
      <c r="F247" s="232"/>
      <c r="H247" s="247">
        <v>-7.6903512374580458</v>
      </c>
      <c r="I247" s="247">
        <v>-7.5118627507440401</v>
      </c>
      <c r="J247" s="247">
        <v>-5.1289834067578113</v>
      </c>
      <c r="K247" s="247">
        <v>-1.3086703367019581</v>
      </c>
      <c r="L247" s="247">
        <v>6.3941940400744102</v>
      </c>
      <c r="M247" s="247">
        <v>9.665994299725277</v>
      </c>
      <c r="N247" s="247">
        <v>13.950316104287779</v>
      </c>
      <c r="O247" s="247">
        <v>19.033973059543413</v>
      </c>
      <c r="P247" s="247">
        <v>22.190176257212798</v>
      </c>
      <c r="Q247" s="247">
        <v>26.935907310422017</v>
      </c>
      <c r="R247" s="247">
        <v>35.960350934281891</v>
      </c>
      <c r="S247" s="247">
        <v>38.135472258568861</v>
      </c>
      <c r="T247" s="34">
        <f t="shared" si="3"/>
        <v>150.62651653245459</v>
      </c>
    </row>
    <row r="248" spans="2:20">
      <c r="B248" s="230"/>
      <c r="C248" s="230"/>
      <c r="D248" s="230" t="s">
        <v>727</v>
      </c>
      <c r="E248" s="230"/>
      <c r="F248" s="232"/>
      <c r="H248" s="249">
        <v>3.166687840205022</v>
      </c>
      <c r="I248" s="249">
        <v>6.2350089774054585</v>
      </c>
      <c r="J248" s="249">
        <v>4.1784400755738513</v>
      </c>
      <c r="K248" s="249">
        <v>6.4271273315797783</v>
      </c>
      <c r="L248" s="249">
        <v>10.452579633082907</v>
      </c>
      <c r="M248" s="249">
        <v>10.101043238557274</v>
      </c>
      <c r="N248" s="249">
        <v>11.122596668798401</v>
      </c>
      <c r="O248" s="249">
        <v>12.932497517112157</v>
      </c>
      <c r="P248" s="249">
        <v>14.040928775420648</v>
      </c>
      <c r="Q248" s="249">
        <v>17.282374182654809</v>
      </c>
      <c r="R248" s="249">
        <v>25.064176028417464</v>
      </c>
      <c r="S248" s="249">
        <v>24.572155183805016</v>
      </c>
      <c r="T248" s="34">
        <f t="shared" si="3"/>
        <v>145.57561545261279</v>
      </c>
    </row>
    <row r="249" spans="2:20">
      <c r="B249" s="230"/>
      <c r="C249" s="230"/>
      <c r="D249" s="229" t="s">
        <v>860</v>
      </c>
      <c r="E249" s="230"/>
      <c r="F249" s="232"/>
      <c r="H249" s="247">
        <v>-10.857039077663067</v>
      </c>
      <c r="I249" s="247">
        <v>-13.746871728149499</v>
      </c>
      <c r="J249" s="247">
        <v>-9.3074234823316626</v>
      </c>
      <c r="K249" s="247">
        <v>-7.7357976682817364</v>
      </c>
      <c r="L249" s="247">
        <v>-4.0583855930084969</v>
      </c>
      <c r="M249" s="247">
        <v>-0.43504893883199713</v>
      </c>
      <c r="N249" s="247">
        <v>2.827719435489378</v>
      </c>
      <c r="O249" s="247">
        <v>6.1014755424312561</v>
      </c>
      <c r="P249" s="247">
        <v>8.1492474817921501</v>
      </c>
      <c r="Q249" s="247">
        <v>9.6535331277672078</v>
      </c>
      <c r="R249" s="247">
        <v>10.896174905864427</v>
      </c>
      <c r="S249" s="247">
        <v>13.563317074763845</v>
      </c>
      <c r="T249" s="34">
        <f t="shared" si="3"/>
        <v>5.0509010798418039</v>
      </c>
    </row>
    <row r="250" spans="2:20">
      <c r="B250" s="230"/>
      <c r="C250" s="230"/>
      <c r="D250" s="229" t="s">
        <v>320</v>
      </c>
      <c r="E250" s="230"/>
      <c r="F250" s="232"/>
      <c r="H250" s="254"/>
      <c r="I250" s="254"/>
      <c r="J250" s="254"/>
      <c r="K250" s="254"/>
      <c r="L250" s="254"/>
      <c r="M250" s="254"/>
      <c r="N250" s="254"/>
      <c r="O250" s="254"/>
      <c r="P250" s="254"/>
      <c r="Q250" s="254"/>
      <c r="R250" s="254"/>
      <c r="S250" s="254">
        <v>2.2793564660329221E-3</v>
      </c>
      <c r="T250" s="34">
        <f t="shared" si="3"/>
        <v>2.2793564660329221E-3</v>
      </c>
    </row>
    <row r="251" spans="2:20">
      <c r="B251" s="230"/>
      <c r="C251" s="230"/>
      <c r="D251" s="230"/>
      <c r="E251" s="230"/>
      <c r="F251" s="232"/>
      <c r="H251" s="254"/>
      <c r="I251" s="254"/>
      <c r="J251" s="254"/>
      <c r="K251" s="254"/>
      <c r="L251" s="254"/>
      <c r="M251" s="254"/>
      <c r="N251" s="254"/>
      <c r="O251" s="254"/>
      <c r="P251" s="254"/>
      <c r="Q251" s="254"/>
      <c r="R251" s="254"/>
      <c r="S251" s="254"/>
      <c r="T251" s="34">
        <f t="shared" si="3"/>
        <v>0</v>
      </c>
    </row>
    <row r="252" spans="2:20">
      <c r="B252" s="230"/>
      <c r="C252" s="229" t="s">
        <v>908</v>
      </c>
      <c r="D252" s="230"/>
      <c r="E252" s="230"/>
      <c r="F252" s="232"/>
      <c r="H252" s="254"/>
      <c r="I252" s="254"/>
      <c r="J252" s="254"/>
      <c r="K252" s="254"/>
      <c r="L252" s="254"/>
      <c r="M252" s="254"/>
      <c r="N252" s="254"/>
      <c r="O252" s="254"/>
      <c r="P252" s="254"/>
      <c r="Q252" s="254"/>
      <c r="R252" s="254"/>
      <c r="S252" s="254"/>
      <c r="T252" s="34">
        <f t="shared" si="3"/>
        <v>0</v>
      </c>
    </row>
    <row r="253" spans="2:20">
      <c r="B253" s="230"/>
      <c r="C253" s="230"/>
      <c r="D253" s="230" t="s">
        <v>737</v>
      </c>
      <c r="E253" s="230"/>
      <c r="F253" s="232"/>
      <c r="H253" s="254"/>
      <c r="I253" s="254"/>
      <c r="J253" s="254"/>
      <c r="K253" s="254"/>
      <c r="L253" s="254"/>
      <c r="M253" s="254"/>
      <c r="N253" s="254"/>
      <c r="O253" s="254"/>
      <c r="P253" s="254"/>
      <c r="Q253" s="254"/>
      <c r="R253" s="254"/>
      <c r="S253" s="254"/>
      <c r="T253" s="34">
        <f t="shared" si="3"/>
        <v>0</v>
      </c>
    </row>
    <row r="254" spans="2:20">
      <c r="B254" s="230"/>
      <c r="C254" s="230"/>
      <c r="D254" s="230" t="s">
        <v>909</v>
      </c>
      <c r="E254" s="230"/>
      <c r="F254" s="232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34">
        <f t="shared" si="3"/>
        <v>0</v>
      </c>
    </row>
    <row r="255" spans="2:20">
      <c r="B255" s="230"/>
      <c r="C255" s="230"/>
      <c r="D255" s="230" t="s">
        <v>798</v>
      </c>
      <c r="E255" s="230"/>
      <c r="F255" s="232"/>
      <c r="G255" t="s">
        <v>736</v>
      </c>
      <c r="H255" s="254"/>
      <c r="I255" s="254"/>
      <c r="J255" s="254"/>
      <c r="K255" s="254"/>
      <c r="L255" s="254"/>
      <c r="M255" s="254"/>
      <c r="N255" s="254"/>
      <c r="O255" s="254"/>
      <c r="P255" s="254"/>
      <c r="Q255" s="254"/>
      <c r="R255" s="254"/>
      <c r="S255" s="254"/>
      <c r="T255" s="34">
        <f t="shared" si="3"/>
        <v>0</v>
      </c>
    </row>
    <row r="256" spans="2:20">
      <c r="B256" s="230"/>
      <c r="C256" s="230"/>
      <c r="D256" s="229" t="s">
        <v>217</v>
      </c>
      <c r="E256" s="230"/>
      <c r="F256" s="232"/>
      <c r="H256" s="254"/>
      <c r="I256" s="254"/>
      <c r="J256" s="254"/>
      <c r="K256" s="254"/>
      <c r="L256" s="254"/>
      <c r="M256" s="254"/>
      <c r="N256" s="254"/>
      <c r="O256" s="254"/>
      <c r="P256" s="254"/>
      <c r="Q256" s="254"/>
      <c r="R256" s="254"/>
      <c r="S256" s="254"/>
      <c r="T256" s="34">
        <f t="shared" si="3"/>
        <v>0</v>
      </c>
    </row>
    <row r="257" spans="2:20">
      <c r="B257" s="230"/>
      <c r="C257" s="230"/>
      <c r="D257" s="229" t="s">
        <v>320</v>
      </c>
      <c r="E257" s="230"/>
      <c r="F257" s="232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47"/>
      <c r="S257" s="247">
        <v>-24.09371401524561</v>
      </c>
      <c r="T257" s="34">
        <f t="shared" si="3"/>
        <v>-24.09371401524561</v>
      </c>
    </row>
    <row r="258" spans="2:20">
      <c r="B258" s="229" t="s">
        <v>923</v>
      </c>
      <c r="C258" s="230"/>
      <c r="D258" s="230"/>
      <c r="E258" s="230"/>
      <c r="F258" s="232"/>
      <c r="G258" t="s">
        <v>736</v>
      </c>
      <c r="S258" s="268">
        <v>-0.12998509979934622</v>
      </c>
      <c r="T258" s="34">
        <f t="shared" si="3"/>
        <v>-0.12998509979934622</v>
      </c>
    </row>
    <row r="259" spans="2:20">
      <c r="B259" s="229"/>
      <c r="C259" s="218" t="s">
        <v>924</v>
      </c>
      <c r="D259" s="269"/>
      <c r="E259" s="269"/>
      <c r="F259" s="270"/>
      <c r="G259" s="232"/>
      <c r="H259" s="231">
        <v>84.85</v>
      </c>
      <c r="I259" s="231">
        <v>87.85</v>
      </c>
      <c r="J259" s="231">
        <v>90.85</v>
      </c>
      <c r="K259" s="231">
        <v>93.85</v>
      </c>
      <c r="L259" s="231">
        <v>96.85</v>
      </c>
      <c r="M259" s="231">
        <v>99.85</v>
      </c>
      <c r="N259" s="231">
        <v>102.85</v>
      </c>
      <c r="O259" s="231">
        <v>105.85</v>
      </c>
      <c r="P259" s="231">
        <v>108.85</v>
      </c>
      <c r="Q259" s="231">
        <v>111.85</v>
      </c>
      <c r="R259" s="231">
        <v>114.85</v>
      </c>
      <c r="S259" s="231">
        <v>117.85</v>
      </c>
      <c r="T259" s="34">
        <f t="shared" si="3"/>
        <v>1216.2</v>
      </c>
    </row>
    <row r="260" spans="2:20">
      <c r="B260" s="229"/>
      <c r="C260" s="230" t="s">
        <v>925</v>
      </c>
      <c r="D260" s="230"/>
      <c r="E260" s="230"/>
      <c r="F260" s="232"/>
      <c r="G260" s="232"/>
      <c r="H260" s="231">
        <v>45.97291666666667</v>
      </c>
      <c r="I260" s="231">
        <v>47.585416666666667</v>
      </c>
      <c r="J260" s="231">
        <v>48.831875000000004</v>
      </c>
      <c r="K260" s="231">
        <v>50.053333333333342</v>
      </c>
      <c r="L260" s="231">
        <v>51.249791666666674</v>
      </c>
      <c r="M260" s="231">
        <v>50.375000000000021</v>
      </c>
      <c r="N260" s="231">
        <v>53.567708333333343</v>
      </c>
      <c r="O260" s="231">
        <v>54.689166666666679</v>
      </c>
      <c r="P260" s="231">
        <v>55.785625000000017</v>
      </c>
      <c r="Q260" s="231">
        <v>56.85708333333335</v>
      </c>
      <c r="R260" s="231">
        <v>54.152083333333351</v>
      </c>
      <c r="S260" s="231">
        <v>58.924999999999997</v>
      </c>
      <c r="T260" s="34">
        <f t="shared" si="3"/>
        <v>628.04500000000019</v>
      </c>
    </row>
    <row r="261" spans="2:20">
      <c r="B261" s="229"/>
      <c r="C261" s="230" t="s">
        <v>419</v>
      </c>
      <c r="D261" s="230"/>
      <c r="E261" s="230"/>
      <c r="F261" s="232"/>
      <c r="G261" s="232"/>
      <c r="H261" s="236">
        <v>0.5418139854645454</v>
      </c>
      <c r="I261" s="236">
        <v>0.54166666666666674</v>
      </c>
      <c r="J261" s="236">
        <v>0.53750000000000009</v>
      </c>
      <c r="K261" s="236">
        <v>0.53333333333333344</v>
      </c>
      <c r="L261" s="236">
        <v>0.52916666666666679</v>
      </c>
      <c r="M261" s="236">
        <v>0.50450676014021056</v>
      </c>
      <c r="N261" s="236">
        <v>0.52083333333333348</v>
      </c>
      <c r="O261" s="236">
        <v>0.51666666666666683</v>
      </c>
      <c r="P261" s="236">
        <v>0.51250000000000018</v>
      </c>
      <c r="Q261" s="236">
        <v>0.50833333333333353</v>
      </c>
      <c r="R261" s="236">
        <v>0.47150268466115242</v>
      </c>
      <c r="S261" s="236">
        <v>0.5</v>
      </c>
      <c r="T261" s="34">
        <f t="shared" si="3"/>
        <v>6.2178234302659101</v>
      </c>
    </row>
    <row r="262" spans="2:20">
      <c r="B262" s="229"/>
      <c r="C262" s="230" t="s">
        <v>874</v>
      </c>
      <c r="D262" s="230"/>
      <c r="E262" s="230"/>
      <c r="F262" s="232"/>
      <c r="G262" s="232"/>
      <c r="H262" s="267">
        <v>322.79614631513596</v>
      </c>
      <c r="I262" s="267">
        <v>336.4339377890816</v>
      </c>
      <c r="J262" s="267">
        <v>348.35598767344891</v>
      </c>
      <c r="K262" s="267">
        <v>359.17359260406937</v>
      </c>
      <c r="L262" s="267">
        <v>369.25353056244165</v>
      </c>
      <c r="M262" s="267">
        <v>372.677118337465</v>
      </c>
      <c r="N262" s="267">
        <v>384.30939600247905</v>
      </c>
      <c r="O262" s="267">
        <v>394.6531376014874</v>
      </c>
      <c r="P262" s="267">
        <v>404.14875756089248</v>
      </c>
      <c r="Q262" s="267">
        <v>413.06050453653552</v>
      </c>
      <c r="R262" s="267">
        <v>410.29255272192137</v>
      </c>
      <c r="S262" s="267">
        <v>422.95053163315282</v>
      </c>
      <c r="T262" s="34">
        <f t="shared" si="3"/>
        <v>4538.1051933381104</v>
      </c>
    </row>
    <row r="263" spans="2:20">
      <c r="B263" s="229"/>
      <c r="C263" s="230"/>
      <c r="D263" s="230"/>
      <c r="E263" s="230" t="s">
        <v>926</v>
      </c>
      <c r="F263" s="232"/>
      <c r="H263" s="267">
        <v>311.29853581059535</v>
      </c>
      <c r="I263" s="267">
        <v>308.63369199497834</v>
      </c>
      <c r="J263" s="267">
        <v>306.54756212643258</v>
      </c>
      <c r="K263" s="267">
        <v>303.45934842632374</v>
      </c>
      <c r="L263" s="267">
        <v>299.77804626338929</v>
      </c>
      <c r="M263" s="267">
        <v>302.76548025728545</v>
      </c>
      <c r="N263" s="267">
        <v>288.71369484964464</v>
      </c>
      <c r="O263" s="267">
        <v>285.48262759771757</v>
      </c>
      <c r="P263" s="267">
        <v>281.66393238438303</v>
      </c>
      <c r="Q263" s="267">
        <v>277.4946142145385</v>
      </c>
      <c r="R263" s="267">
        <v>284.23567871594804</v>
      </c>
      <c r="S263" s="267">
        <v>264.37548504672208</v>
      </c>
      <c r="T263" s="34">
        <f t="shared" si="3"/>
        <v>3514.4486976879584</v>
      </c>
    </row>
    <row r="264" spans="2:20">
      <c r="B264" s="229"/>
      <c r="C264" s="230"/>
      <c r="D264" s="230"/>
      <c r="E264" s="230" t="s">
        <v>927</v>
      </c>
      <c r="F264" s="232"/>
      <c r="H264" s="267">
        <v>11.497610504540603</v>
      </c>
      <c r="I264" s="267">
        <v>27.800245794103262</v>
      </c>
      <c r="J264" s="267">
        <v>41.808425547016327</v>
      </c>
      <c r="K264" s="267">
        <v>55.714244177745627</v>
      </c>
      <c r="L264" s="267">
        <v>69.475484299052368</v>
      </c>
      <c r="M264" s="267">
        <v>69.911638080179557</v>
      </c>
      <c r="N264" s="267">
        <v>95.595701152834408</v>
      </c>
      <c r="O264" s="267">
        <v>109.17051000376983</v>
      </c>
      <c r="P264" s="267">
        <v>122.48482517650945</v>
      </c>
      <c r="Q264" s="267">
        <v>135.56589032199702</v>
      </c>
      <c r="R264" s="267">
        <v>126.05687400597333</v>
      </c>
      <c r="S264" s="267">
        <v>158.57504658643074</v>
      </c>
      <c r="T264" s="34">
        <f t="shared" ref="T264:T327" si="4">SUM(H264:S264)</f>
        <v>1023.6564956501525</v>
      </c>
    </row>
    <row r="265" spans="2:20">
      <c r="B265" s="230"/>
      <c r="C265" s="230" t="s">
        <v>875</v>
      </c>
      <c r="D265" s="230"/>
      <c r="E265" s="230"/>
      <c r="F265" s="232"/>
      <c r="G265" s="232" t="s">
        <v>736</v>
      </c>
      <c r="H265" s="267">
        <v>193.67768778908157</v>
      </c>
      <c r="I265" s="267">
        <v>201.86036267344895</v>
      </c>
      <c r="J265" s="267">
        <v>209.01359260406934</v>
      </c>
      <c r="K265" s="267">
        <v>215.50415556244161</v>
      </c>
      <c r="L265" s="267">
        <v>221.55211833746498</v>
      </c>
      <c r="M265" s="267">
        <v>223.60627100247899</v>
      </c>
      <c r="N265" s="267">
        <v>230.58563760148741</v>
      </c>
      <c r="O265" s="267">
        <v>236.79188256089242</v>
      </c>
      <c r="P265" s="267">
        <v>242.48925453653547</v>
      </c>
      <c r="Q265" s="267">
        <v>247.8363027219213</v>
      </c>
      <c r="R265" s="267">
        <v>246.17553163315281</v>
      </c>
      <c r="S265" s="267">
        <v>253.77031897989167</v>
      </c>
      <c r="T265" s="34">
        <f t="shared" si="4"/>
        <v>2722.8631160028663</v>
      </c>
    </row>
    <row r="266" spans="2:20">
      <c r="B266" s="230"/>
      <c r="C266" s="230"/>
      <c r="D266" s="230"/>
      <c r="E266" s="230" t="s">
        <v>928</v>
      </c>
      <c r="F266" s="232"/>
      <c r="G266" t="s">
        <v>736</v>
      </c>
      <c r="H266" s="267">
        <v>186.77912148635721</v>
      </c>
      <c r="I266" s="267">
        <v>185.18021519698701</v>
      </c>
      <c r="J266" s="267">
        <v>183.92853727585955</v>
      </c>
      <c r="K266" s="267">
        <v>182.07560905579425</v>
      </c>
      <c r="L266" s="267">
        <v>179.86682775803357</v>
      </c>
      <c r="M266" s="267">
        <v>181.65928815437127</v>
      </c>
      <c r="N266" s="267">
        <v>173.22821690978677</v>
      </c>
      <c r="O266" s="267">
        <v>171.28957655863053</v>
      </c>
      <c r="P266" s="267">
        <v>168.99835943062982</v>
      </c>
      <c r="Q266" s="267">
        <v>166.49676852872309</v>
      </c>
      <c r="R266" s="267">
        <v>170.54140722956882</v>
      </c>
      <c r="S266" s="267">
        <v>158.62529102803325</v>
      </c>
      <c r="T266" s="34">
        <f t="shared" si="4"/>
        <v>2108.6692186127752</v>
      </c>
    </row>
    <row r="267" spans="2:20">
      <c r="B267" s="230"/>
      <c r="C267" s="230"/>
      <c r="D267" s="230"/>
      <c r="E267" s="230" t="s">
        <v>929</v>
      </c>
      <c r="F267" s="232"/>
      <c r="H267" s="267">
        <v>6.8985663027243618</v>
      </c>
      <c r="I267" s="267">
        <v>16.68014747646194</v>
      </c>
      <c r="J267" s="267">
        <v>25.085055328209791</v>
      </c>
      <c r="K267" s="267">
        <v>33.428546506647365</v>
      </c>
      <c r="L267" s="267">
        <v>41.68529057943141</v>
      </c>
      <c r="M267" s="267">
        <v>41.946982848107723</v>
      </c>
      <c r="N267" s="267">
        <v>57.357420691700639</v>
      </c>
      <c r="O267" s="267">
        <v>65.502306002261889</v>
      </c>
      <c r="P267" s="267">
        <v>73.490895105905651</v>
      </c>
      <c r="Q267" s="267">
        <v>81.339534193198205</v>
      </c>
      <c r="R267" s="267">
        <v>75.634124403583996</v>
      </c>
      <c r="S267" s="267">
        <v>95.145027951858424</v>
      </c>
      <c r="T267" s="34">
        <f t="shared" si="4"/>
        <v>614.19389739009148</v>
      </c>
    </row>
    <row r="268" spans="2:20">
      <c r="B268" s="230"/>
      <c r="C268" s="230" t="s">
        <v>215</v>
      </c>
      <c r="D268" s="230"/>
      <c r="E268" s="230"/>
      <c r="F268" s="232"/>
      <c r="H268" s="267">
        <v>8.9221490637758762</v>
      </c>
      <c r="I268" s="267">
        <v>9.6460526672360913</v>
      </c>
      <c r="J268" s="267">
        <v>10.469954469248178</v>
      </c>
      <c r="K268" s="267">
        <v>10.915584121977162</v>
      </c>
      <c r="L268" s="267">
        <v>11.264853831416509</v>
      </c>
      <c r="M268" s="267">
        <v>11.75545151987456</v>
      </c>
      <c r="N268" s="267">
        <v>12.345814175065239</v>
      </c>
      <c r="O268" s="267">
        <v>12.692107837092578</v>
      </c>
      <c r="P268" s="267">
        <v>12.835861509009757</v>
      </c>
      <c r="Q268" s="267">
        <v>13.19105632107199</v>
      </c>
      <c r="R268" s="267">
        <v>13.332691809676156</v>
      </c>
      <c r="S268" s="267">
        <v>13.594257362263797</v>
      </c>
      <c r="T268" s="34">
        <f t="shared" si="4"/>
        <v>140.96583468770791</v>
      </c>
    </row>
    <row r="269" spans="2:20">
      <c r="B269" s="230"/>
      <c r="C269" s="230" t="s">
        <v>99</v>
      </c>
      <c r="D269" s="230"/>
      <c r="E269" s="230"/>
      <c r="F269" s="232"/>
      <c r="G269" t="s">
        <v>736</v>
      </c>
      <c r="H269" s="261">
        <v>3.2603692078117703</v>
      </c>
      <c r="I269" s="261">
        <v>3.4304493304315526</v>
      </c>
      <c r="J269" s="261">
        <v>3.5476935522172655</v>
      </c>
      <c r="K269" s="261">
        <v>3.6561018498720257</v>
      </c>
      <c r="L269" s="261">
        <v>3.7601885630482164</v>
      </c>
      <c r="M269" s="261">
        <v>3.7970148992872632</v>
      </c>
      <c r="N269" s="261">
        <v>3.9327083156140246</v>
      </c>
      <c r="O269" s="261">
        <v>4.2201202062434149</v>
      </c>
      <c r="P269" s="261">
        <v>4.326041750204384</v>
      </c>
      <c r="Q269" s="261">
        <v>4.4276636411642967</v>
      </c>
      <c r="R269" s="261">
        <v>4.3984171205319118</v>
      </c>
      <c r="S269" s="261">
        <v>4.5761092727358132</v>
      </c>
      <c r="T269" s="34">
        <f t="shared" si="4"/>
        <v>47.332877709161934</v>
      </c>
    </row>
    <row r="270" spans="2:20">
      <c r="B270" s="230"/>
      <c r="C270" s="229" t="s">
        <v>217</v>
      </c>
      <c r="D270" s="229"/>
      <c r="E270" s="229"/>
      <c r="F270" s="203"/>
      <c r="G270" s="203" t="s">
        <v>736</v>
      </c>
      <c r="H270" s="234">
        <v>5.6617798559641068</v>
      </c>
      <c r="I270" s="234">
        <v>6.2156033368045378</v>
      </c>
      <c r="J270" s="234">
        <v>6.9222609170309122</v>
      </c>
      <c r="K270" s="234">
        <v>7.2594822721051369</v>
      </c>
      <c r="L270" s="234">
        <v>7.5046652683682931</v>
      </c>
      <c r="M270" s="234">
        <v>7.958436620587297</v>
      </c>
      <c r="N270" s="234">
        <v>8.4131058594512158</v>
      </c>
      <c r="O270" s="234">
        <v>8.4719876308491635</v>
      </c>
      <c r="P270" s="234">
        <v>8.5098197588053726</v>
      </c>
      <c r="Q270" s="234">
        <v>8.7633926799076924</v>
      </c>
      <c r="R270" s="234">
        <v>8.9342746891442459</v>
      </c>
      <c r="S270" s="234">
        <v>9.0181480895279815</v>
      </c>
      <c r="T270" s="34">
        <f t="shared" si="4"/>
        <v>93.632956978545963</v>
      </c>
    </row>
    <row r="271" spans="2:20">
      <c r="B271" s="230"/>
      <c r="C271" s="230"/>
      <c r="D271" s="229" t="s">
        <v>218</v>
      </c>
      <c r="E271" s="230"/>
      <c r="F271" s="203"/>
      <c r="G271" s="203" t="s">
        <v>736</v>
      </c>
      <c r="H271" s="234">
        <v>3.6536218091806587</v>
      </c>
      <c r="I271" s="234">
        <v>4.0205548188277156</v>
      </c>
      <c r="J271" s="234">
        <v>4.4449502078069569</v>
      </c>
      <c r="K271" s="234">
        <v>4.7103861830883478</v>
      </c>
      <c r="L271" s="234">
        <v>4.9053042157749829</v>
      </c>
      <c r="M271" s="234">
        <v>5.0317313770843262</v>
      </c>
      <c r="N271" s="234">
        <v>5.1978913573330674</v>
      </c>
      <c r="O271" s="234">
        <v>5.4120317685886761</v>
      </c>
      <c r="P271" s="234">
        <v>5.5913560927081765</v>
      </c>
      <c r="Q271" s="234">
        <v>5.7622880573662236</v>
      </c>
      <c r="R271" s="234">
        <v>5.8178851409817707</v>
      </c>
      <c r="S271" s="234">
        <v>5.9252639824950499</v>
      </c>
      <c r="T271" s="34">
        <f t="shared" si="4"/>
        <v>60.473265011235952</v>
      </c>
    </row>
    <row r="272" spans="2:20">
      <c r="B272" s="230"/>
      <c r="C272" s="230"/>
      <c r="D272" s="230" t="s">
        <v>737</v>
      </c>
      <c r="E272" s="230"/>
      <c r="F272" s="232"/>
      <c r="G272" s="232" t="s">
        <v>736</v>
      </c>
      <c r="H272" s="267">
        <v>5.2199298169924289</v>
      </c>
      <c r="I272" s="267">
        <v>5.6960979492592685</v>
      </c>
      <c r="J272" s="267">
        <v>6.185457935024222</v>
      </c>
      <c r="K272" s="267">
        <v>6.5086905329603733</v>
      </c>
      <c r="L272" s="267">
        <v>6.7567231538231987</v>
      </c>
      <c r="M272" s="267">
        <v>6.9174717763715892</v>
      </c>
      <c r="N272" s="267">
        <v>7.1218987479470917</v>
      </c>
      <c r="O272" s="267">
        <v>7.391894874832091</v>
      </c>
      <c r="P272" s="267">
        <v>7.6216442429125593</v>
      </c>
      <c r="Q272" s="267">
        <v>7.8393615985305196</v>
      </c>
      <c r="R272" s="267">
        <v>7.910574161513682</v>
      </c>
      <c r="S272" s="267">
        <v>8.043090155230864</v>
      </c>
      <c r="T272" s="34">
        <f t="shared" si="4"/>
        <v>83.212834945397873</v>
      </c>
    </row>
    <row r="273" spans="2:20">
      <c r="B273" s="230"/>
      <c r="C273" s="230"/>
      <c r="D273" s="230" t="s">
        <v>798</v>
      </c>
      <c r="E273" s="230"/>
      <c r="F273" s="232"/>
      <c r="G273" s="232" t="s">
        <v>736</v>
      </c>
      <c r="H273" s="267">
        <v>1.5663080078117704</v>
      </c>
      <c r="I273" s="267">
        <v>1.6755431304315529</v>
      </c>
      <c r="J273" s="267">
        <v>1.7405077272172651</v>
      </c>
      <c r="K273" s="267">
        <v>1.7983043498720257</v>
      </c>
      <c r="L273" s="267">
        <v>1.8514189380482156</v>
      </c>
      <c r="M273" s="267">
        <v>1.8857403992872628</v>
      </c>
      <c r="N273" s="267">
        <v>1.9240073906140245</v>
      </c>
      <c r="O273" s="267">
        <v>1.9798631062434147</v>
      </c>
      <c r="P273" s="267">
        <v>2.0302881502043824</v>
      </c>
      <c r="Q273" s="267">
        <v>2.077073541164296</v>
      </c>
      <c r="R273" s="267">
        <v>2.0926890205319109</v>
      </c>
      <c r="S273" s="267">
        <v>2.1178261727358136</v>
      </c>
      <c r="T273" s="34">
        <f t="shared" si="4"/>
        <v>22.739569934161931</v>
      </c>
    </row>
    <row r="274" spans="2:20">
      <c r="B274" s="230"/>
      <c r="C274" s="230"/>
      <c r="D274" s="229" t="s">
        <v>220</v>
      </c>
      <c r="E274" s="229"/>
      <c r="F274" s="203"/>
      <c r="G274" s="203"/>
      <c r="H274" s="234">
        <v>2.0081580467834481</v>
      </c>
      <c r="I274" s="234">
        <v>2.1950485179768227</v>
      </c>
      <c r="J274" s="234">
        <v>2.4773107092239552</v>
      </c>
      <c r="K274" s="234">
        <v>2.5490960890167886</v>
      </c>
      <c r="L274" s="234">
        <v>2.5993610525933102</v>
      </c>
      <c r="M274" s="234">
        <v>2.9267052435029708</v>
      </c>
      <c r="N274" s="234">
        <v>3.2152145021181484</v>
      </c>
      <c r="O274" s="234">
        <v>3.0599558622604865</v>
      </c>
      <c r="P274" s="234">
        <v>2.9184636660971961</v>
      </c>
      <c r="Q274" s="234">
        <v>3.0011046225414688</v>
      </c>
      <c r="R274" s="234">
        <v>3.1163895481624744</v>
      </c>
      <c r="S274" s="234">
        <v>3.0928841070329316</v>
      </c>
      <c r="T274" s="34">
        <f t="shared" si="4"/>
        <v>33.159691967310003</v>
      </c>
    </row>
    <row r="275" spans="2:20">
      <c r="B275" s="230"/>
      <c r="C275" s="230"/>
      <c r="D275" s="230" t="s">
        <v>22</v>
      </c>
      <c r="E275" s="230"/>
      <c r="F275" s="232"/>
      <c r="G275" t="s">
        <v>736</v>
      </c>
      <c r="H275" s="193">
        <v>3.7022192467834478</v>
      </c>
      <c r="I275" s="193">
        <v>3.9499547179768224</v>
      </c>
      <c r="J275" s="193">
        <v>4.2844965342239556</v>
      </c>
      <c r="K275" s="193">
        <v>4.4068935890167884</v>
      </c>
      <c r="L275" s="193">
        <v>4.5081306775933108</v>
      </c>
      <c r="M275" s="193">
        <v>4.837979743502971</v>
      </c>
      <c r="N275" s="193">
        <v>5.2239154271181487</v>
      </c>
      <c r="O275" s="193">
        <v>5.3002129622604865</v>
      </c>
      <c r="P275" s="193">
        <v>5.2142172660971973</v>
      </c>
      <c r="Q275" s="193">
        <v>5.3516947225414695</v>
      </c>
      <c r="R275" s="193">
        <v>5.4221176481624749</v>
      </c>
      <c r="S275" s="193">
        <v>5.5511672070329316</v>
      </c>
      <c r="T275" s="34">
        <f t="shared" si="4"/>
        <v>57.752999742310003</v>
      </c>
    </row>
    <row r="276" spans="2:20">
      <c r="B276" s="230"/>
      <c r="C276" s="230"/>
      <c r="D276" s="230" t="s">
        <v>865</v>
      </c>
      <c r="E276" s="230"/>
      <c r="F276" s="232"/>
      <c r="G276" s="232" t="s">
        <v>736</v>
      </c>
      <c r="H276" s="246">
        <v>0.32447327960325228</v>
      </c>
      <c r="I276" s="246">
        <v>0.35075539262009148</v>
      </c>
      <c r="J276" s="246">
        <v>0.37627723615978204</v>
      </c>
      <c r="K276" s="246">
        <v>0.3928005398176318</v>
      </c>
      <c r="L276" s="246">
        <v>0.40553857461039361</v>
      </c>
      <c r="M276" s="246">
        <v>0.46745088081026576</v>
      </c>
      <c r="N276" s="246">
        <v>0.5015884865310275</v>
      </c>
      <c r="O276" s="246">
        <v>0.51650836274788003</v>
      </c>
      <c r="P276" s="246">
        <v>0.52974727235962216</v>
      </c>
      <c r="Q276" s="246">
        <v>0.54283624019703192</v>
      </c>
      <c r="R276" s="246">
        <v>0.51781414859880925</v>
      </c>
      <c r="S276" s="246">
        <v>0.56609282386034876</v>
      </c>
      <c r="T276" s="34">
        <f t="shared" si="4"/>
        <v>5.4918832379161371</v>
      </c>
    </row>
    <row r="277" spans="2:20">
      <c r="B277" s="230"/>
      <c r="C277" s="230"/>
      <c r="D277" s="230" t="s">
        <v>866</v>
      </c>
      <c r="E277" s="230"/>
      <c r="F277" s="232"/>
      <c r="G277" s="232" t="s">
        <v>736</v>
      </c>
      <c r="H277" s="246">
        <v>1.8985584671801961</v>
      </c>
      <c r="I277" s="246">
        <v>2.0665648253567315</v>
      </c>
      <c r="J277" s="246">
        <v>2.2369000480641734</v>
      </c>
      <c r="K277" s="246">
        <v>2.3488875376784191</v>
      </c>
      <c r="L277" s="246">
        <v>2.4349131574380052</v>
      </c>
      <c r="M277" s="246">
        <v>2.4701630233914154</v>
      </c>
      <c r="N277" s="246">
        <v>2.5703807426698417</v>
      </c>
      <c r="O277" s="246">
        <v>2.6623403602070317</v>
      </c>
      <c r="P277" s="246">
        <v>2.7413193932181437</v>
      </c>
      <c r="Q277" s="246">
        <v>2.8168900250921771</v>
      </c>
      <c r="R277" s="246">
        <v>2.8023626870636638</v>
      </c>
      <c r="S277" s="246">
        <v>2.9023487581725829</v>
      </c>
      <c r="T277" s="34">
        <f t="shared" si="4"/>
        <v>29.951629025532384</v>
      </c>
    </row>
    <row r="278" spans="2:20">
      <c r="B278" s="230"/>
      <c r="C278" s="230"/>
      <c r="D278" s="230" t="s">
        <v>425</v>
      </c>
      <c r="E278" s="230"/>
      <c r="F278" s="232"/>
      <c r="G278" s="232" t="s">
        <v>736</v>
      </c>
      <c r="H278" s="246">
        <v>0.1</v>
      </c>
      <c r="I278" s="246">
        <v>0.10507199999999975</v>
      </c>
      <c r="J278" s="246">
        <v>0.20636300000000016</v>
      </c>
      <c r="K278" s="246">
        <v>0.16360551152073693</v>
      </c>
      <c r="L278" s="246">
        <v>0.13018519554491143</v>
      </c>
      <c r="M278" s="246">
        <v>0.35133458930128914</v>
      </c>
      <c r="N278" s="246">
        <v>0.50473916666727903</v>
      </c>
      <c r="O278" s="246">
        <v>0.43967236430557449</v>
      </c>
      <c r="P278" s="246">
        <v>0.22774263176943121</v>
      </c>
      <c r="Q278" s="246">
        <v>0.24361314475225906</v>
      </c>
      <c r="R278" s="246">
        <v>0.4367642500000013</v>
      </c>
      <c r="S278" s="246">
        <v>0.27078187500000017</v>
      </c>
      <c r="T278" s="34">
        <f t="shared" si="4"/>
        <v>3.179873728861482</v>
      </c>
    </row>
    <row r="279" spans="2:20">
      <c r="B279" s="230"/>
      <c r="C279" s="230"/>
      <c r="D279" s="230" t="s">
        <v>392</v>
      </c>
      <c r="E279" s="230"/>
      <c r="F279" s="232"/>
      <c r="G279" s="232"/>
      <c r="H279" s="246">
        <v>1.1723093749999998</v>
      </c>
      <c r="I279" s="246">
        <v>1.2134281249999999</v>
      </c>
      <c r="J279" s="246">
        <v>1.2452128124999999</v>
      </c>
      <c r="K279" s="246">
        <v>1.2763600000000002</v>
      </c>
      <c r="L279" s="246">
        <v>1.3068696875000003</v>
      </c>
      <c r="M279" s="246">
        <v>1.2845625000000005</v>
      </c>
      <c r="N279" s="246">
        <v>1.3659765625000002</v>
      </c>
      <c r="O279" s="246">
        <v>1.3945737500000002</v>
      </c>
      <c r="P279" s="246">
        <v>1.4225334375000005</v>
      </c>
      <c r="Q279" s="246">
        <v>1.4498556250000005</v>
      </c>
      <c r="R279" s="246">
        <v>1.3808781250000004</v>
      </c>
      <c r="S279" s="246">
        <v>1.5025875</v>
      </c>
      <c r="T279" s="34">
        <f t="shared" si="4"/>
        <v>16.015147500000001</v>
      </c>
    </row>
    <row r="280" spans="2:20">
      <c r="B280" s="230"/>
      <c r="C280" s="230"/>
      <c r="D280" s="230" t="s">
        <v>867</v>
      </c>
      <c r="E280" s="230"/>
      <c r="F280" s="232"/>
      <c r="G280" s="232" t="s">
        <v>736</v>
      </c>
      <c r="H280" s="267">
        <v>0.20687812499999997</v>
      </c>
      <c r="I280" s="267">
        <v>0.21413437499999999</v>
      </c>
      <c r="J280" s="267">
        <v>0.2197434375</v>
      </c>
      <c r="K280" s="267">
        <v>0.22524000000000005</v>
      </c>
      <c r="L280" s="267">
        <v>0.23062406250000006</v>
      </c>
      <c r="M280" s="267">
        <v>0.26446875000000014</v>
      </c>
      <c r="N280" s="267">
        <v>0.28123046875000007</v>
      </c>
      <c r="O280" s="267">
        <v>0.28711812500000006</v>
      </c>
      <c r="P280" s="267">
        <v>0.29287453125000018</v>
      </c>
      <c r="Q280" s="267">
        <v>0.29849968750000017</v>
      </c>
      <c r="R280" s="267">
        <v>0.28429843750000017</v>
      </c>
      <c r="S280" s="267">
        <v>0.30935625000000005</v>
      </c>
      <c r="T280" s="34">
        <f t="shared" si="4"/>
        <v>3.1144662500000009</v>
      </c>
    </row>
    <row r="281" spans="2:20">
      <c r="B281" s="93"/>
      <c r="C281" s="93"/>
      <c r="D281" s="93" t="s">
        <v>786</v>
      </c>
      <c r="E281" s="93"/>
      <c r="F281" s="94"/>
      <c r="G281" s="94" t="s">
        <v>736</v>
      </c>
      <c r="H281" s="93">
        <v>1.6940611999999997</v>
      </c>
      <c r="I281" s="93">
        <v>1.7549061999999997</v>
      </c>
      <c r="J281" s="93">
        <v>1.8071858250000004</v>
      </c>
      <c r="K281" s="93">
        <v>1.8577974999999998</v>
      </c>
      <c r="L281" s="93">
        <v>1.9087696250000006</v>
      </c>
      <c r="M281" s="93">
        <v>1.9112745000000002</v>
      </c>
      <c r="N281" s="93">
        <v>2.0087009250000003</v>
      </c>
      <c r="O281" s="93">
        <v>2.2402571</v>
      </c>
      <c r="P281" s="93">
        <v>2.2957536000000012</v>
      </c>
      <c r="Q281" s="93">
        <v>2.3505901000000007</v>
      </c>
      <c r="R281" s="93">
        <v>2.3057281000000005</v>
      </c>
      <c r="S281" s="93">
        <v>2.4582831000000001</v>
      </c>
      <c r="T281" s="34">
        <f t="shared" si="4"/>
        <v>24.593307775000003</v>
      </c>
    </row>
    <row r="282" spans="2:20">
      <c r="B282" s="230"/>
      <c r="C282" s="230"/>
      <c r="D282" s="230" t="s">
        <v>332</v>
      </c>
      <c r="E282" s="230"/>
      <c r="F282" s="232"/>
      <c r="G282" s="232" t="s">
        <v>736</v>
      </c>
      <c r="H282" s="246">
        <v>0.93784749999999983</v>
      </c>
      <c r="I282" s="246">
        <v>0.97074249999999995</v>
      </c>
      <c r="J282" s="246">
        <v>0.99617024999999992</v>
      </c>
      <c r="K282" s="246">
        <v>1.021088</v>
      </c>
      <c r="L282" s="246">
        <v>1.0454957500000004</v>
      </c>
      <c r="M282" s="246">
        <v>1.0276500000000004</v>
      </c>
      <c r="N282" s="246">
        <v>1.0927812500000003</v>
      </c>
      <c r="O282" s="246">
        <v>1.1156590000000002</v>
      </c>
      <c r="P282" s="246">
        <v>1.1380267500000005</v>
      </c>
      <c r="Q282" s="246">
        <v>1.1598845000000004</v>
      </c>
      <c r="R282" s="246">
        <v>1.1047025000000006</v>
      </c>
      <c r="S282" s="246">
        <v>1.20207</v>
      </c>
      <c r="T282" s="34">
        <f t="shared" si="4"/>
        <v>12.812118000000002</v>
      </c>
    </row>
    <row r="283" spans="2:20">
      <c r="B283" s="230"/>
      <c r="C283" s="230"/>
      <c r="D283" s="230" t="s">
        <v>930</v>
      </c>
      <c r="E283" s="230"/>
      <c r="F283" s="232"/>
      <c r="G283" s="232"/>
      <c r="H283" s="246">
        <v>0.76621527777777787</v>
      </c>
      <c r="I283" s="246">
        <v>0.79309027777777785</v>
      </c>
      <c r="J283" s="246">
        <v>0.81386458333333334</v>
      </c>
      <c r="K283" s="246">
        <v>0.83422222222222231</v>
      </c>
      <c r="L283" s="246">
        <v>0.85416319444444444</v>
      </c>
      <c r="M283" s="246">
        <v>0.83958333333333357</v>
      </c>
      <c r="N283" s="246">
        <v>0.89279513888888895</v>
      </c>
      <c r="O283" s="246">
        <v>0.91148611111111133</v>
      </c>
      <c r="P283" s="246">
        <v>0.92976041666666698</v>
      </c>
      <c r="Q283" s="246">
        <v>0.94761805555555589</v>
      </c>
      <c r="R283" s="246">
        <v>0.90253472222222253</v>
      </c>
      <c r="S283" s="246">
        <v>0.98208333333333331</v>
      </c>
      <c r="T283" s="34">
        <f t="shared" si="4"/>
        <v>10.467416666666669</v>
      </c>
    </row>
    <row r="284" spans="2:20">
      <c r="B284" s="230"/>
      <c r="C284" s="230"/>
      <c r="D284" s="230" t="s">
        <v>869</v>
      </c>
      <c r="E284" s="230"/>
      <c r="F284" s="232"/>
      <c r="G284" s="232"/>
      <c r="H284" s="246">
        <v>0.61091999999999991</v>
      </c>
      <c r="I284" s="246">
        <v>0.63251999999999997</v>
      </c>
      <c r="J284" s="246">
        <v>0.65412000000000003</v>
      </c>
      <c r="K284" s="246">
        <v>0.67571999999999999</v>
      </c>
      <c r="L284" s="246">
        <v>0.69731999999999994</v>
      </c>
      <c r="M284" s="246">
        <v>0.71892</v>
      </c>
      <c r="N284" s="246">
        <v>0.74051999999999996</v>
      </c>
      <c r="O284" s="246">
        <v>0.76212000000000002</v>
      </c>
      <c r="P284" s="246">
        <v>0.78371999999999997</v>
      </c>
      <c r="Q284" s="246">
        <v>0.80531999999999992</v>
      </c>
      <c r="R284" s="246">
        <v>0.82691999999999999</v>
      </c>
      <c r="S284" s="246">
        <v>0.84851999999999994</v>
      </c>
      <c r="T284" s="34">
        <f t="shared" si="4"/>
        <v>8.7566400000000009</v>
      </c>
    </row>
    <row r="285" spans="2:20">
      <c r="B285" s="230"/>
      <c r="C285" s="230"/>
      <c r="D285" s="230" t="s">
        <v>870</v>
      </c>
      <c r="E285" s="230"/>
      <c r="F285" s="232"/>
      <c r="G285" s="232"/>
      <c r="H285" s="246">
        <v>0.1452937</v>
      </c>
      <c r="I285" s="246">
        <v>0.15164369999999999</v>
      </c>
      <c r="J285" s="246">
        <v>0.15689557499999998</v>
      </c>
      <c r="K285" s="246">
        <v>0.16098950000000004</v>
      </c>
      <c r="L285" s="246">
        <v>0.16595387500000006</v>
      </c>
      <c r="M285" s="246">
        <v>0.16470450000000006</v>
      </c>
      <c r="N285" s="246">
        <v>0.17539967500000003</v>
      </c>
      <c r="O285" s="246">
        <v>0.36247810000000003</v>
      </c>
      <c r="P285" s="246">
        <v>0.37400685000000011</v>
      </c>
      <c r="Q285" s="246">
        <v>0.38538560000000005</v>
      </c>
      <c r="R285" s="246">
        <v>0.37410560000000015</v>
      </c>
      <c r="S285" s="246">
        <v>0.40769310000000003</v>
      </c>
      <c r="T285" s="34">
        <f t="shared" si="4"/>
        <v>3.0245497750000006</v>
      </c>
    </row>
    <row r="286" spans="2:20">
      <c r="B286" s="95"/>
      <c r="C286" s="95" t="s">
        <v>145</v>
      </c>
      <c r="D286" s="95"/>
      <c r="E286" s="95"/>
      <c r="F286" s="214"/>
      <c r="G286" s="214"/>
      <c r="H286" s="247">
        <v>5.1267244627751696</v>
      </c>
      <c r="I286" s="247">
        <v>4.9485331629857514</v>
      </c>
      <c r="J286" s="247">
        <v>4.7969917497252155</v>
      </c>
      <c r="K286" s="247">
        <v>4.7025228904276215</v>
      </c>
      <c r="L286" s="247">
        <v>4.1726124415870398</v>
      </c>
      <c r="M286" s="247">
        <v>4.0158403041978454</v>
      </c>
      <c r="N286" s="247">
        <v>3.978102267944835</v>
      </c>
      <c r="O286" s="247">
        <v>3.8749854948275155</v>
      </c>
      <c r="P286" s="247">
        <v>3.7753732957962418</v>
      </c>
      <c r="Q286" s="247">
        <v>3.6899214714775708</v>
      </c>
      <c r="R286" s="247">
        <v>3.528091346540875</v>
      </c>
      <c r="S286" s="247">
        <v>3.5512135428559897</v>
      </c>
      <c r="T286" s="34">
        <f t="shared" si="4"/>
        <v>50.160912431141668</v>
      </c>
    </row>
    <row r="287" spans="2:20">
      <c r="B287" s="230"/>
      <c r="C287" s="230"/>
      <c r="D287" s="230" t="s">
        <v>100</v>
      </c>
      <c r="E287" s="230"/>
      <c r="F287" s="232"/>
      <c r="G287" s="232"/>
      <c r="H287" s="246">
        <v>0.3</v>
      </c>
      <c r="I287" s="246">
        <v>0.3</v>
      </c>
      <c r="J287" s="246">
        <v>0.3</v>
      </c>
      <c r="K287" s="246">
        <v>0.3</v>
      </c>
      <c r="L287" s="246">
        <v>0.1</v>
      </c>
      <c r="M287" s="246">
        <v>0.1</v>
      </c>
      <c r="N287" s="246">
        <v>0.1</v>
      </c>
      <c r="O287" s="246">
        <v>0.1</v>
      </c>
      <c r="P287" s="246">
        <v>0.1</v>
      </c>
      <c r="Q287" s="246">
        <v>0.1</v>
      </c>
      <c r="R287" s="246">
        <v>0.1</v>
      </c>
      <c r="S287" s="246">
        <v>0.1</v>
      </c>
      <c r="T287" s="34">
        <f t="shared" si="4"/>
        <v>2.0000000000000004</v>
      </c>
    </row>
    <row r="288" spans="2:20">
      <c r="B288" s="230"/>
      <c r="C288" s="230"/>
      <c r="D288" s="230" t="s">
        <v>107</v>
      </c>
      <c r="E288" s="230"/>
      <c r="F288" s="232"/>
      <c r="G288" s="232"/>
      <c r="H288" s="246">
        <v>0.29422666666666669</v>
      </c>
      <c r="I288" s="246">
        <v>0.30454666666666669</v>
      </c>
      <c r="J288" s="246">
        <v>0.31252400000000002</v>
      </c>
      <c r="K288" s="246">
        <v>0.32034133333333337</v>
      </c>
      <c r="L288" s="246">
        <v>0.10249958333333334</v>
      </c>
      <c r="M288" s="246">
        <v>0.10075000000000006</v>
      </c>
      <c r="N288" s="246">
        <v>0.10713541666666671</v>
      </c>
      <c r="O288" s="246">
        <v>0.10937833333333336</v>
      </c>
      <c r="P288" s="246">
        <v>0.11157125000000004</v>
      </c>
      <c r="Q288" s="246">
        <v>0.1137141666666667</v>
      </c>
      <c r="R288" s="246">
        <v>0.1083041666666667</v>
      </c>
      <c r="S288" s="246">
        <v>0.11785000000000001</v>
      </c>
      <c r="T288" s="34">
        <f t="shared" si="4"/>
        <v>2.1028415833333338</v>
      </c>
    </row>
    <row r="289" spans="2:20">
      <c r="B289" s="230"/>
      <c r="C289" s="230"/>
      <c r="D289" s="230" t="s">
        <v>871</v>
      </c>
      <c r="E289" s="230"/>
      <c r="F289" s="232"/>
      <c r="G289" s="232"/>
      <c r="H289" s="246">
        <v>0.19500000000000001</v>
      </c>
      <c r="I289" s="246">
        <v>0.19500000000000001</v>
      </c>
      <c r="J289" s="246">
        <v>0.19500000000000001</v>
      </c>
      <c r="K289" s="246">
        <v>0.19500000000000001</v>
      </c>
      <c r="L289" s="246">
        <v>0.19500000000000001</v>
      </c>
      <c r="M289" s="246">
        <v>0.19500000000000001</v>
      </c>
      <c r="N289" s="246">
        <v>0.19500000000000001</v>
      </c>
      <c r="O289" s="246">
        <v>0.19500000000000001</v>
      </c>
      <c r="P289" s="246">
        <v>0.19500000000000001</v>
      </c>
      <c r="Q289" s="246">
        <v>0.19500000000000001</v>
      </c>
      <c r="R289" s="246">
        <v>0.19500000000000001</v>
      </c>
      <c r="S289" s="246">
        <v>0.19500000000000001</v>
      </c>
      <c r="T289" s="34">
        <f t="shared" si="4"/>
        <v>2.3400000000000003</v>
      </c>
    </row>
    <row r="290" spans="2:20">
      <c r="B290" s="230"/>
      <c r="C290" s="230"/>
      <c r="D290" s="230" t="s">
        <v>931</v>
      </c>
      <c r="E290" s="230"/>
      <c r="F290" s="232"/>
      <c r="G290" t="s">
        <v>736</v>
      </c>
      <c r="H290" s="246">
        <v>0.9</v>
      </c>
      <c r="I290" s="246">
        <v>0.9</v>
      </c>
      <c r="J290" s="246">
        <v>0.9</v>
      </c>
      <c r="K290" s="246">
        <v>0.9</v>
      </c>
      <c r="L290" s="246">
        <v>0.9</v>
      </c>
      <c r="M290" s="246">
        <v>0.9</v>
      </c>
      <c r="N290" s="246">
        <v>0.9</v>
      </c>
      <c r="O290" s="246">
        <v>0.9</v>
      </c>
      <c r="P290" s="246">
        <v>0.9</v>
      </c>
      <c r="Q290" s="246">
        <v>0.9</v>
      </c>
      <c r="R290" s="246">
        <v>0.9</v>
      </c>
      <c r="S290" s="246">
        <v>0.9</v>
      </c>
      <c r="T290" s="34">
        <f t="shared" si="4"/>
        <v>10.800000000000002</v>
      </c>
    </row>
    <row r="291" spans="2:20">
      <c r="B291" s="230"/>
      <c r="C291" s="230"/>
      <c r="D291" s="230" t="s">
        <v>163</v>
      </c>
      <c r="E291" s="230"/>
      <c r="F291" s="232"/>
      <c r="H291" s="253">
        <v>0.25744833333333333</v>
      </c>
      <c r="I291" s="253">
        <v>0.26647833333333332</v>
      </c>
      <c r="J291" s="253">
        <v>0.27345849999999999</v>
      </c>
      <c r="K291" s="253">
        <v>0.2802986666666667</v>
      </c>
      <c r="L291" s="253">
        <v>0.28699883333333337</v>
      </c>
      <c r="M291" s="253">
        <v>0.28210000000000013</v>
      </c>
      <c r="N291" s="253">
        <v>0.29997916666666674</v>
      </c>
      <c r="O291" s="253">
        <v>0.30625933333333344</v>
      </c>
      <c r="P291" s="253">
        <v>0.31239950000000011</v>
      </c>
      <c r="Q291" s="253">
        <v>0.31839966666666675</v>
      </c>
      <c r="R291" s="253">
        <v>0.30325166666666675</v>
      </c>
      <c r="S291" s="253">
        <v>0.32998</v>
      </c>
      <c r="T291" s="34">
        <f t="shared" si="4"/>
        <v>3.5170520000000001</v>
      </c>
    </row>
    <row r="292" spans="2:20">
      <c r="B292" s="230"/>
      <c r="C292" s="230"/>
      <c r="D292" s="230" t="s">
        <v>806</v>
      </c>
      <c r="E292" s="230"/>
      <c r="F292" s="232"/>
      <c r="H292" s="253">
        <v>2.4989999999999998E-2</v>
      </c>
      <c r="I292" s="253">
        <v>2.4989999999999998E-2</v>
      </c>
      <c r="J292" s="253">
        <v>2.4989999999999998E-2</v>
      </c>
      <c r="K292" s="253">
        <v>2.4989999999999998E-2</v>
      </c>
      <c r="L292" s="253">
        <v>2.4989999999999998E-2</v>
      </c>
      <c r="M292" s="253">
        <v>2.4989999999999998E-2</v>
      </c>
      <c r="N292" s="253">
        <v>2.4989999999999998E-2</v>
      </c>
      <c r="O292" s="253">
        <v>2.4989999999999998E-2</v>
      </c>
      <c r="P292" s="253">
        <v>2.4989999999999998E-2</v>
      </c>
      <c r="Q292" s="253">
        <v>2.4989999999999998E-2</v>
      </c>
      <c r="R292" s="253">
        <v>2.4989999999999998E-2</v>
      </c>
      <c r="S292" s="253">
        <v>2.4989999999999998E-2</v>
      </c>
      <c r="T292" s="34">
        <f t="shared" si="4"/>
        <v>0.29988000000000004</v>
      </c>
    </row>
    <row r="293" spans="2:20">
      <c r="B293" s="230"/>
      <c r="C293" s="230"/>
      <c r="D293" s="230" t="s">
        <v>907</v>
      </c>
      <c r="E293" s="230"/>
      <c r="F293" s="232"/>
      <c r="G293" t="s">
        <v>932</v>
      </c>
      <c r="H293" s="261">
        <v>0.15295341209263283</v>
      </c>
      <c r="I293" s="261">
        <v>0.14337685222474733</v>
      </c>
      <c r="J293" s="261">
        <v>0.13530518917263037</v>
      </c>
      <c r="K293" s="261">
        <v>0.13001487715133742</v>
      </c>
      <c r="L293" s="261">
        <v>0.12425710825853631</v>
      </c>
      <c r="M293" s="261">
        <v>0.11697929445139016</v>
      </c>
      <c r="N293" s="261">
        <v>0.11397348351936069</v>
      </c>
      <c r="O293" s="261">
        <v>0.1085613202396742</v>
      </c>
      <c r="P293" s="261">
        <v>0.10332826537913387</v>
      </c>
      <c r="Q293" s="261">
        <v>9.8790899079458164E-2</v>
      </c>
      <c r="R293" s="261">
        <v>9.1942199776771191E-2</v>
      </c>
      <c r="S293" s="261">
        <v>9.1304608389114222E-2</v>
      </c>
      <c r="T293" s="34">
        <f t="shared" si="4"/>
        <v>1.4107875097347866</v>
      </c>
    </row>
    <row r="294" spans="2:20">
      <c r="B294" s="229"/>
      <c r="C294" s="229"/>
      <c r="D294" s="230" t="s">
        <v>580</v>
      </c>
      <c r="E294" s="229"/>
      <c r="F294" s="203"/>
      <c r="G294" s="203"/>
      <c r="H294" s="246">
        <v>3.0021060506825363</v>
      </c>
      <c r="I294" s="246">
        <v>2.8141413107610043</v>
      </c>
      <c r="J294" s="246">
        <v>2.6557140605525853</v>
      </c>
      <c r="K294" s="246">
        <v>2.5518780132762844</v>
      </c>
      <c r="L294" s="246">
        <v>2.4388669166618371</v>
      </c>
      <c r="M294" s="246">
        <v>2.2960210097464548</v>
      </c>
      <c r="N294" s="246">
        <v>2.2370242010921411</v>
      </c>
      <c r="O294" s="246">
        <v>2.1307965079211746</v>
      </c>
      <c r="P294" s="246">
        <v>2.0280842804171075</v>
      </c>
      <c r="Q294" s="246">
        <v>1.9390267390647788</v>
      </c>
      <c r="R294" s="246">
        <v>1.8046033134307706</v>
      </c>
      <c r="S294" s="246">
        <v>1.7920889344668753</v>
      </c>
      <c r="T294" s="34">
        <f t="shared" si="4"/>
        <v>27.690351338073551</v>
      </c>
    </row>
    <row r="295" spans="2:20">
      <c r="B295" s="229"/>
      <c r="C295" s="229"/>
      <c r="D295" s="229"/>
      <c r="E295" s="229"/>
      <c r="F295" s="203"/>
      <c r="G295" s="203"/>
      <c r="H295" s="248"/>
      <c r="I295" s="248"/>
      <c r="J295" s="248"/>
      <c r="K295" s="248"/>
      <c r="L295" s="248"/>
      <c r="M295" s="248"/>
      <c r="N295" s="248"/>
      <c r="O295" s="248"/>
      <c r="P295" s="248"/>
      <c r="Q295" s="248"/>
      <c r="R295" s="248"/>
      <c r="S295" s="248"/>
      <c r="T295" s="34">
        <f t="shared" si="4"/>
        <v>0</v>
      </c>
    </row>
    <row r="296" spans="2:20">
      <c r="B296" s="229"/>
      <c r="C296" s="229" t="s">
        <v>933</v>
      </c>
      <c r="D296" s="229"/>
      <c r="E296" s="229"/>
      <c r="F296" s="203"/>
      <c r="G296" s="203"/>
      <c r="H296" s="248">
        <v>-1.4731026535945109</v>
      </c>
      <c r="I296" s="248">
        <v>-0.92797834415803582</v>
      </c>
      <c r="J296" s="248">
        <v>-0.35204154191825854</v>
      </c>
      <c r="K296" s="248">
        <v>7.8632926607262732E-3</v>
      </c>
      <c r="L296" s="248">
        <v>0.73269177418794307</v>
      </c>
      <c r="M296" s="248">
        <v>1.0158910728864807</v>
      </c>
      <c r="N296" s="248">
        <v>1.2197890893882324</v>
      </c>
      <c r="O296" s="248">
        <v>1.5370462737611605</v>
      </c>
      <c r="P296" s="248">
        <v>1.8159827969119346</v>
      </c>
      <c r="Q296" s="248">
        <v>2.0723665858886529</v>
      </c>
      <c r="R296" s="248">
        <v>2.2897937944408957</v>
      </c>
      <c r="S296" s="248">
        <v>2.3740504396390603</v>
      </c>
      <c r="T296" s="34">
        <f t="shared" si="4"/>
        <v>10.312352580094281</v>
      </c>
    </row>
    <row r="297" spans="2:20">
      <c r="B297" s="230"/>
      <c r="C297" s="230"/>
      <c r="D297" s="230" t="s">
        <v>934</v>
      </c>
      <c r="E297" s="230"/>
      <c r="F297" s="232"/>
      <c r="G297" s="232"/>
      <c r="H297" s="246">
        <v>13.88083282406358</v>
      </c>
      <c r="I297" s="246">
        <v>14.773608094615708</v>
      </c>
      <c r="J297" s="246">
        <v>9.2457531730864666</v>
      </c>
      <c r="K297" s="246">
        <v>6.2927272274550363</v>
      </c>
      <c r="L297" s="246">
        <v>5.8690875873630679</v>
      </c>
      <c r="M297" s="246">
        <v>5.7661611958752781</v>
      </c>
      <c r="N297" s="246">
        <v>5.6710677333393811</v>
      </c>
      <c r="O297" s="246">
        <v>4.8614589499520209</v>
      </c>
      <c r="P297" s="246">
        <v>4.8562122733301436</v>
      </c>
      <c r="Q297" s="246">
        <v>4.5487986262768123</v>
      </c>
      <c r="R297" s="246">
        <v>4.2561712179823665</v>
      </c>
      <c r="S297" s="246">
        <v>3.727480024681189</v>
      </c>
      <c r="T297" s="34">
        <f t="shared" si="4"/>
        <v>83.749358928021053</v>
      </c>
    </row>
    <row r="298" spans="2:20">
      <c r="B298" s="229"/>
      <c r="C298" s="229" t="s">
        <v>935</v>
      </c>
      <c r="D298" s="229"/>
      <c r="E298" s="229"/>
      <c r="F298" s="203"/>
      <c r="G298" s="203" t="s">
        <v>736</v>
      </c>
      <c r="H298" s="271">
        <v>-15.353935477658091</v>
      </c>
      <c r="I298" s="271">
        <v>-15.701586438773745</v>
      </c>
      <c r="J298" s="271">
        <v>-9.5977947150047243</v>
      </c>
      <c r="K298" s="271">
        <v>-6.28486393479431</v>
      </c>
      <c r="L298" s="271">
        <v>-5.1363958131751248</v>
      </c>
      <c r="M298" s="271">
        <v>-4.7502701229887974</v>
      </c>
      <c r="N298" s="271">
        <v>-4.4512786439511487</v>
      </c>
      <c r="O298" s="271">
        <v>-3.3244126761908603</v>
      </c>
      <c r="P298" s="271">
        <v>-3.040229476418209</v>
      </c>
      <c r="Q298" s="271">
        <v>-2.4764320403881595</v>
      </c>
      <c r="R298" s="271">
        <v>-1.9663774235414708</v>
      </c>
      <c r="S298" s="271">
        <v>-1.3534295850421287</v>
      </c>
      <c r="T298" s="34">
        <f t="shared" si="4"/>
        <v>-73.437006347926769</v>
      </c>
    </row>
    <row r="299" spans="2:20">
      <c r="B299" s="229"/>
      <c r="C299" s="229"/>
      <c r="D299" s="229"/>
      <c r="E299" s="229"/>
      <c r="F299" s="203"/>
      <c r="G299" s="203"/>
      <c r="H299" s="271"/>
      <c r="I299" s="271"/>
      <c r="J299" s="271"/>
      <c r="K299" s="271"/>
      <c r="L299" s="271"/>
      <c r="M299" s="271"/>
      <c r="N299" s="271"/>
      <c r="O299" s="271"/>
      <c r="P299" s="271"/>
      <c r="Q299" s="271"/>
      <c r="R299" s="271"/>
      <c r="S299" s="271"/>
      <c r="T299" s="34">
        <f t="shared" si="4"/>
        <v>0</v>
      </c>
    </row>
    <row r="300" spans="2:20">
      <c r="B300" s="229"/>
      <c r="C300" s="218" t="s">
        <v>936</v>
      </c>
      <c r="D300" s="272"/>
      <c r="E300" s="272"/>
      <c r="F300" s="219"/>
      <c r="G300" s="220"/>
      <c r="H300" s="237">
        <v>10.875999999999999</v>
      </c>
      <c r="I300" s="237">
        <v>17.875999999999998</v>
      </c>
      <c r="J300" s="237">
        <v>24.875999999999998</v>
      </c>
      <c r="K300" s="237">
        <v>31.875999999999998</v>
      </c>
      <c r="L300" s="237">
        <v>38.875999999999998</v>
      </c>
      <c r="M300" s="237">
        <v>46.875999999999998</v>
      </c>
      <c r="N300" s="237">
        <v>56.875999999999998</v>
      </c>
      <c r="O300" s="237">
        <v>66.876000000000005</v>
      </c>
      <c r="P300" s="237">
        <v>77.876000000000005</v>
      </c>
      <c r="Q300" s="237">
        <v>88.876000000000005</v>
      </c>
      <c r="R300" s="237">
        <v>99.876000000000005</v>
      </c>
      <c r="S300" s="237">
        <v>110.876</v>
      </c>
      <c r="T300" s="34">
        <f t="shared" si="4"/>
        <v>672.51199999999994</v>
      </c>
    </row>
    <row r="301" spans="2:20">
      <c r="B301" s="229"/>
      <c r="C301" s="229"/>
      <c r="D301" s="273" t="s">
        <v>925</v>
      </c>
      <c r="E301" s="230"/>
      <c r="F301" s="230"/>
      <c r="G301" s="232"/>
      <c r="H301" s="237">
        <v>5.9651333333333341</v>
      </c>
      <c r="I301" s="237">
        <v>9.7651333333333348</v>
      </c>
      <c r="J301" s="237">
        <v>13.531800000000002</v>
      </c>
      <c r="K301" s="237">
        <v>16.471333333333334</v>
      </c>
      <c r="L301" s="237">
        <v>20.021333333333335</v>
      </c>
      <c r="M301" s="237">
        <v>24.038</v>
      </c>
      <c r="N301" s="237">
        <v>27.648366666666671</v>
      </c>
      <c r="O301" s="237">
        <v>32.360866666666674</v>
      </c>
      <c r="P301" s="237">
        <v>37.506700000000009</v>
      </c>
      <c r="Q301" s="237">
        <v>42.594200000000015</v>
      </c>
      <c r="R301" s="237">
        <v>47.623366666666669</v>
      </c>
      <c r="S301" s="237">
        <v>52.594200000000001</v>
      </c>
      <c r="T301" s="34">
        <f t="shared" si="4"/>
        <v>330.12043333333338</v>
      </c>
    </row>
    <row r="302" spans="2:20">
      <c r="B302" s="229"/>
      <c r="C302" s="229"/>
      <c r="D302" s="230" t="s">
        <v>419</v>
      </c>
      <c r="E302" s="230"/>
      <c r="F302" s="230"/>
      <c r="G302" s="232" t="s">
        <v>736</v>
      </c>
      <c r="H302" s="236">
        <v>0.54846757386293987</v>
      </c>
      <c r="I302" s="236">
        <v>0.54627060490788404</v>
      </c>
      <c r="J302" s="236">
        <v>0.54397009165460697</v>
      </c>
      <c r="K302" s="236">
        <v>0.51673150123394829</v>
      </c>
      <c r="L302" s="236">
        <v>0.51500497307679127</v>
      </c>
      <c r="M302" s="236">
        <v>0.51279972693915865</v>
      </c>
      <c r="N302" s="236">
        <v>0.48611658110040568</v>
      </c>
      <c r="O302" s="236">
        <v>0.48389357417708401</v>
      </c>
      <c r="P302" s="236">
        <v>0.48162078175561157</v>
      </c>
      <c r="Q302" s="236">
        <v>0.4792542418650706</v>
      </c>
      <c r="R302" s="236">
        <v>0.47682492957934508</v>
      </c>
      <c r="S302" s="236">
        <v>0.47435152783289442</v>
      </c>
      <c r="T302" s="34">
        <f t="shared" si="4"/>
        <v>6.06530610798574</v>
      </c>
    </row>
    <row r="303" spans="2:20">
      <c r="B303" s="229"/>
      <c r="C303" s="229"/>
      <c r="D303" s="230" t="s">
        <v>874</v>
      </c>
      <c r="E303" s="230"/>
      <c r="F303" s="230"/>
      <c r="G303" s="232" t="s">
        <v>937</v>
      </c>
      <c r="H303" s="237">
        <v>21.356492666666668</v>
      </c>
      <c r="I303" s="237">
        <v>39.668012266666672</v>
      </c>
      <c r="J303" s="237">
        <v>61.013257360000011</v>
      </c>
      <c r="K303" s="237">
        <v>81.904121082666677</v>
      </c>
      <c r="L303" s="237">
        <v>104.20113931626668</v>
      </c>
      <c r="M303" s="237">
        <v>128.62518358976001</v>
      </c>
      <c r="N303" s="237">
        <v>153.20811848718935</v>
      </c>
      <c r="O303" s="237">
        <v>180.91725442564695</v>
      </c>
      <c r="P303" s="237">
        <v>211.6937776553882</v>
      </c>
      <c r="Q303" s="237">
        <v>244.15031659323293</v>
      </c>
      <c r="R303" s="237">
        <v>277.4544482892731</v>
      </c>
      <c r="S303" s="237">
        <v>311.10671897356383</v>
      </c>
      <c r="T303" s="34">
        <f t="shared" si="4"/>
        <v>1815.298840706321</v>
      </c>
    </row>
    <row r="304" spans="2:20">
      <c r="B304" s="229"/>
      <c r="C304" s="229"/>
      <c r="D304" s="230" t="s">
        <v>875</v>
      </c>
      <c r="E304" s="230"/>
      <c r="F304" s="230"/>
      <c r="G304" s="232"/>
      <c r="H304" s="237">
        <v>12.8138956</v>
      </c>
      <c r="I304" s="237">
        <v>23.800807360000004</v>
      </c>
      <c r="J304" s="237">
        <v>36.607954416000005</v>
      </c>
      <c r="K304" s="237">
        <v>49.142472649600002</v>
      </c>
      <c r="L304" s="237">
        <v>62.520683589760004</v>
      </c>
      <c r="M304" s="237">
        <v>77.175110153856011</v>
      </c>
      <c r="N304" s="237">
        <v>91.924871092313609</v>
      </c>
      <c r="O304" s="237">
        <v>108.55035265538817</v>
      </c>
      <c r="P304" s="237">
        <v>127.01626659323291</v>
      </c>
      <c r="Q304" s="237">
        <v>146.49018995593974</v>
      </c>
      <c r="R304" s="237">
        <v>166.47266897356386</v>
      </c>
      <c r="S304" s="237">
        <v>186.6640313841383</v>
      </c>
      <c r="T304" s="34">
        <f t="shared" si="4"/>
        <v>1089.1793044237925</v>
      </c>
    </row>
    <row r="305" spans="2:20">
      <c r="B305" s="230"/>
      <c r="C305" s="230"/>
      <c r="D305" s="230" t="s">
        <v>215</v>
      </c>
      <c r="E305" s="230"/>
      <c r="F305" s="230"/>
      <c r="G305" s="232"/>
      <c r="H305" s="193">
        <v>0.70214174645175742</v>
      </c>
      <c r="I305" s="193">
        <v>1.3226329269274886</v>
      </c>
      <c r="J305" s="193">
        <v>2.0520366989870769</v>
      </c>
      <c r="K305" s="193">
        <v>2.7715404732898774</v>
      </c>
      <c r="L305" s="193">
        <v>3.5306555354990521</v>
      </c>
      <c r="M305" s="193">
        <v>4.406465647264076</v>
      </c>
      <c r="N305" s="193">
        <v>5.2476214800520546</v>
      </c>
      <c r="O305" s="193">
        <v>6.1867276810782847</v>
      </c>
      <c r="P305" s="193">
        <v>7.2292213442413908</v>
      </c>
      <c r="Q305" s="193">
        <v>8.3582463138155951</v>
      </c>
      <c r="R305" s="193">
        <v>9.4953450954688261</v>
      </c>
      <c r="S305" s="193">
        <v>10.628124086253935</v>
      </c>
      <c r="T305" s="34">
        <f t="shared" si="4"/>
        <v>61.930759029329415</v>
      </c>
    </row>
    <row r="306" spans="2:20">
      <c r="B306" s="230"/>
      <c r="C306" s="230"/>
      <c r="D306" s="230" t="s">
        <v>99</v>
      </c>
      <c r="E306" s="230"/>
      <c r="F306" s="230"/>
      <c r="G306" t="s">
        <v>736</v>
      </c>
      <c r="H306" s="193">
        <v>0.28151921052777779</v>
      </c>
      <c r="I306" s="193">
        <v>0.49327326003888894</v>
      </c>
      <c r="J306" s="193">
        <v>0.72526253696777765</v>
      </c>
      <c r="K306" s="193">
        <v>0.94606563687511114</v>
      </c>
      <c r="L306" s="193">
        <v>1.182382336847289</v>
      </c>
      <c r="M306" s="193">
        <v>1.4448892040528176</v>
      </c>
      <c r="N306" s="193">
        <v>1.7188909744455798</v>
      </c>
      <c r="O306" s="193">
        <v>2.1138754961534589</v>
      </c>
      <c r="P306" s="193">
        <v>2.4662557132059648</v>
      </c>
      <c r="Q306" s="193">
        <v>2.8292905795485792</v>
      </c>
      <c r="R306" s="193">
        <v>3.1973381174097035</v>
      </c>
      <c r="S306" s="193">
        <v>3.5670131401263774</v>
      </c>
      <c r="T306" s="34">
        <f t="shared" si="4"/>
        <v>20.966056206199326</v>
      </c>
    </row>
    <row r="307" spans="2:20">
      <c r="B307" s="229"/>
      <c r="C307" s="229"/>
      <c r="D307" s="229" t="s">
        <v>217</v>
      </c>
      <c r="E307" s="229"/>
      <c r="F307" s="229"/>
      <c r="G307" s="232" t="s">
        <v>736</v>
      </c>
      <c r="H307" s="234">
        <v>0.42062253592397963</v>
      </c>
      <c r="I307" s="234">
        <v>0.82935966688859974</v>
      </c>
      <c r="J307" s="234">
        <v>1.3267741620192992</v>
      </c>
      <c r="K307" s="234">
        <v>1.8254748364147666</v>
      </c>
      <c r="L307" s="234">
        <v>2.3482731986517633</v>
      </c>
      <c r="M307" s="234">
        <v>2.9615764432112579</v>
      </c>
      <c r="N307" s="234">
        <v>3.5287305056064744</v>
      </c>
      <c r="O307" s="234">
        <v>4.0728521849248249</v>
      </c>
      <c r="P307" s="234">
        <v>4.762965631035426</v>
      </c>
      <c r="Q307" s="234">
        <v>5.528955734267015</v>
      </c>
      <c r="R307" s="234">
        <v>6.2980069780591226</v>
      </c>
      <c r="S307" s="234">
        <v>7.0611109461275579</v>
      </c>
      <c r="T307" s="34">
        <f t="shared" si="4"/>
        <v>40.964702823130082</v>
      </c>
    </row>
    <row r="308" spans="2:20">
      <c r="B308" s="229"/>
      <c r="C308" s="229"/>
      <c r="D308" s="230"/>
      <c r="E308" s="229" t="s">
        <v>218</v>
      </c>
      <c r="F308" s="230"/>
      <c r="G308" s="232" t="s">
        <v>736</v>
      </c>
      <c r="H308" s="234">
        <v>0.25515404929733027</v>
      </c>
      <c r="I308" s="234">
        <v>0.52464650952713743</v>
      </c>
      <c r="J308" s="234">
        <v>0.86213183228814572</v>
      </c>
      <c r="K308" s="234">
        <v>1.2176992867065339</v>
      </c>
      <c r="L308" s="234">
        <v>1.5791424510082788</v>
      </c>
      <c r="M308" s="234">
        <v>1.9681757111233233</v>
      </c>
      <c r="N308" s="234">
        <v>2.3730464020575632</v>
      </c>
      <c r="O308" s="234">
        <v>2.8039102861514427</v>
      </c>
      <c r="P308" s="234">
        <v>3.2846699560073969</v>
      </c>
      <c r="Q308" s="234">
        <v>3.8018102724133471</v>
      </c>
      <c r="R308" s="234">
        <v>4.3360669928692639</v>
      </c>
      <c r="S308" s="234">
        <v>4.8760105663509794</v>
      </c>
      <c r="T308" s="34">
        <f t="shared" si="4"/>
        <v>27.882464315800739</v>
      </c>
    </row>
    <row r="309" spans="2:20">
      <c r="B309" s="229"/>
      <c r="C309" s="229"/>
      <c r="D309" s="230"/>
      <c r="E309" s="230" t="s">
        <v>737</v>
      </c>
      <c r="F309" s="230"/>
      <c r="G309" s="232" t="s">
        <v>736</v>
      </c>
      <c r="H309" s="246">
        <v>0.33041394982510802</v>
      </c>
      <c r="I309" s="246">
        <v>0.67975045956602631</v>
      </c>
      <c r="J309" s="246">
        <v>1.1180300592559236</v>
      </c>
      <c r="K309" s="246">
        <v>1.5809476235816451</v>
      </c>
      <c r="L309" s="246">
        <v>2.0521599878555676</v>
      </c>
      <c r="M309" s="246">
        <v>2.5599426151761411</v>
      </c>
      <c r="N309" s="246">
        <v>3.0893727115031431</v>
      </c>
      <c r="O309" s="246">
        <v>3.6531456089715681</v>
      </c>
      <c r="P309" s="246">
        <v>4.282556329213361</v>
      </c>
      <c r="Q309" s="246">
        <v>4.9604140119619258</v>
      </c>
      <c r="R309" s="246">
        <v>5.6618124369456337</v>
      </c>
      <c r="S309" s="246">
        <v>6.3719368664773564</v>
      </c>
      <c r="T309" s="34">
        <f t="shared" si="4"/>
        <v>36.3404826603334</v>
      </c>
    </row>
    <row r="310" spans="2:20">
      <c r="B310" s="245"/>
      <c r="C310" s="245"/>
      <c r="D310" s="240"/>
      <c r="E310" s="230" t="s">
        <v>798</v>
      </c>
      <c r="F310" s="240"/>
      <c r="G310" s="257" t="s">
        <v>736</v>
      </c>
      <c r="H310" s="246">
        <v>7.5259900527777771E-2</v>
      </c>
      <c r="I310" s="246">
        <v>0.15510395003888891</v>
      </c>
      <c r="J310" s="246">
        <v>0.25589822696777781</v>
      </c>
      <c r="K310" s="246">
        <v>0.36324833687511116</v>
      </c>
      <c r="L310" s="246">
        <v>0.47301753684728892</v>
      </c>
      <c r="M310" s="246">
        <v>0.59176690405281784</v>
      </c>
      <c r="N310" s="246">
        <v>0.71632630944557973</v>
      </c>
      <c r="O310" s="246">
        <v>0.84923532282012548</v>
      </c>
      <c r="P310" s="246">
        <v>0.99788637320596429</v>
      </c>
      <c r="Q310" s="246">
        <v>1.1586037395485786</v>
      </c>
      <c r="R310" s="246">
        <v>1.3257454440763696</v>
      </c>
      <c r="S310" s="246">
        <v>1.4959263001263772</v>
      </c>
      <c r="T310" s="34">
        <f t="shared" si="4"/>
        <v>8.4580183445326593</v>
      </c>
    </row>
    <row r="311" spans="2:20">
      <c r="B311" s="229"/>
      <c r="C311" s="229"/>
      <c r="D311" s="229"/>
      <c r="E311" s="229" t="s">
        <v>220</v>
      </c>
      <c r="F311" s="230"/>
      <c r="G311" s="232"/>
      <c r="H311" s="234">
        <v>0.16546848662664937</v>
      </c>
      <c r="I311" s="234">
        <v>0.30471315736146232</v>
      </c>
      <c r="J311" s="234">
        <v>0.46464232973115338</v>
      </c>
      <c r="K311" s="234">
        <v>0.60777554970823255</v>
      </c>
      <c r="L311" s="234">
        <v>0.76913074764348432</v>
      </c>
      <c r="M311" s="234">
        <v>0.99340073208793478</v>
      </c>
      <c r="N311" s="234">
        <v>1.1556841035489114</v>
      </c>
      <c r="O311" s="234">
        <v>1.2689418987733825</v>
      </c>
      <c r="P311" s="234">
        <v>1.4782956750280292</v>
      </c>
      <c r="Q311" s="234">
        <v>1.7271454618536679</v>
      </c>
      <c r="R311" s="234">
        <v>1.9619399851898591</v>
      </c>
      <c r="S311" s="234">
        <v>2.1851003797765789</v>
      </c>
      <c r="T311" s="34">
        <f t="shared" si="4"/>
        <v>13.082238507329347</v>
      </c>
    </row>
    <row r="312" spans="2:20">
      <c r="B312" s="93"/>
      <c r="C312" s="93"/>
      <c r="D312" s="93"/>
      <c r="E312" s="93" t="s">
        <v>22</v>
      </c>
      <c r="F312" s="93"/>
      <c r="G312" s="94" t="s">
        <v>736</v>
      </c>
      <c r="H312" s="274">
        <v>0.3717277966266494</v>
      </c>
      <c r="I312" s="274">
        <v>0.64288246736146237</v>
      </c>
      <c r="J312" s="274">
        <v>0.93400663973115328</v>
      </c>
      <c r="K312" s="274">
        <v>1.1905928497082325</v>
      </c>
      <c r="L312" s="274">
        <v>1.4784955476434845</v>
      </c>
      <c r="M312" s="274">
        <v>1.8465230320879347</v>
      </c>
      <c r="N312" s="274">
        <v>2.1582487685489116</v>
      </c>
      <c r="O312" s="274">
        <v>2.5335820721067162</v>
      </c>
      <c r="P312" s="274">
        <v>2.9466650150280298</v>
      </c>
      <c r="Q312" s="274">
        <v>3.3978323018536685</v>
      </c>
      <c r="R312" s="274">
        <v>3.8335326585231928</v>
      </c>
      <c r="S312" s="274">
        <v>4.2561872197765789</v>
      </c>
      <c r="T312" s="34">
        <f t="shared" si="4"/>
        <v>25.590276368996012</v>
      </c>
    </row>
    <row r="313" spans="2:20">
      <c r="B313" s="229"/>
      <c r="C313" s="229"/>
      <c r="D313" s="230"/>
      <c r="E313" s="230" t="s">
        <v>865</v>
      </c>
      <c r="F313" s="230"/>
      <c r="G313" s="232" t="s">
        <v>736</v>
      </c>
      <c r="H313" s="246">
        <v>4.8812933659982717E-2</v>
      </c>
      <c r="I313" s="246">
        <v>7.9767292020795799E-2</v>
      </c>
      <c r="J313" s="246">
        <v>0.11019497557743309</v>
      </c>
      <c r="K313" s="246">
        <v>0.1336172788863042</v>
      </c>
      <c r="L313" s="246">
        <v>0.16190005229772716</v>
      </c>
      <c r="M313" s="246">
        <v>0.22612297850731575</v>
      </c>
      <c r="N313" s="246">
        <v>0.25929592591115802</v>
      </c>
      <c r="O313" s="246">
        <v>0.30270938533618941</v>
      </c>
      <c r="P313" s="246">
        <v>0.35002386475253894</v>
      </c>
      <c r="Q313" s="246">
        <v>0.39655211864477119</v>
      </c>
      <c r="R313" s="246">
        <v>0.4422646601276839</v>
      </c>
      <c r="S313" s="246">
        <v>0.48715361432675874</v>
      </c>
      <c r="T313" s="34">
        <f t="shared" si="4"/>
        <v>2.9984150800486589</v>
      </c>
    </row>
    <row r="314" spans="2:20">
      <c r="B314" s="229"/>
      <c r="C314" s="229"/>
      <c r="D314" s="230"/>
      <c r="E314" s="230" t="s">
        <v>866</v>
      </c>
      <c r="F314" s="230"/>
      <c r="G314" s="232" t="s">
        <v>736</v>
      </c>
      <c r="H314" s="246">
        <v>0.15887369630000001</v>
      </c>
      <c r="I314" s="246">
        <v>0.29457400867399997</v>
      </c>
      <c r="J314" s="246">
        <v>0.45168716415372007</v>
      </c>
      <c r="K314" s="246">
        <v>0.60401390415526157</v>
      </c>
      <c r="L314" s="246">
        <v>0.76600882867909059</v>
      </c>
      <c r="M314" s="246">
        <v>0.94282892858061884</v>
      </c>
      <c r="N314" s="246">
        <v>1.1196145072210866</v>
      </c>
      <c r="O314" s="246">
        <v>1.3187007576038599</v>
      </c>
      <c r="P314" s="246">
        <v>1.5394210440254905</v>
      </c>
      <c r="Q314" s="246">
        <v>1.7712000904611571</v>
      </c>
      <c r="R314" s="246">
        <v>2.007771850478842</v>
      </c>
      <c r="S314" s="246">
        <v>2.2454220929498194</v>
      </c>
      <c r="T314" s="34">
        <f t="shared" si="4"/>
        <v>13.220116873282947</v>
      </c>
    </row>
    <row r="315" spans="2:20">
      <c r="B315" s="229"/>
      <c r="C315" s="229"/>
      <c r="D315" s="230"/>
      <c r="E315" s="230" t="s">
        <v>425</v>
      </c>
      <c r="F315" s="230"/>
      <c r="G315" s="232" t="s">
        <v>736</v>
      </c>
      <c r="H315" s="275"/>
      <c r="I315" s="275"/>
      <c r="J315" s="275"/>
      <c r="K315" s="275"/>
      <c r="L315" s="275"/>
      <c r="M315" s="275"/>
      <c r="N315" s="275"/>
      <c r="O315" s="275"/>
      <c r="P315" s="275"/>
      <c r="Q315" s="246">
        <v>2.9456080247740202E-2</v>
      </c>
      <c r="R315" s="246">
        <v>4.1112499999999989E-2</v>
      </c>
      <c r="S315" s="246">
        <v>4.1112500000000017E-2</v>
      </c>
      <c r="T315" s="34">
        <f t="shared" si="4"/>
        <v>0.11168108024774021</v>
      </c>
    </row>
    <row r="316" spans="2:20">
      <c r="B316" s="229"/>
      <c r="C316" s="229"/>
      <c r="D316" s="230"/>
      <c r="E316" s="230" t="s">
        <v>392</v>
      </c>
      <c r="F316" s="230"/>
      <c r="G316" s="232"/>
      <c r="H316" s="267">
        <v>0.13943499166666667</v>
      </c>
      <c r="I316" s="267">
        <v>0.22825999166666669</v>
      </c>
      <c r="J316" s="267">
        <v>0.31630582500000004</v>
      </c>
      <c r="K316" s="267">
        <v>0.38501741666666661</v>
      </c>
      <c r="L316" s="267">
        <v>0.46799866666666667</v>
      </c>
      <c r="M316" s="267">
        <v>0.56188824999999998</v>
      </c>
      <c r="N316" s="267">
        <v>0.64628057083333346</v>
      </c>
      <c r="O316" s="267">
        <v>0.75643525833333347</v>
      </c>
      <c r="P316" s="267">
        <v>0.87671911250000023</v>
      </c>
      <c r="Q316" s="267">
        <v>0.99563942500000013</v>
      </c>
      <c r="R316" s="267">
        <v>1.1131961958333336</v>
      </c>
      <c r="S316" s="267">
        <v>1.2293894249999999</v>
      </c>
      <c r="T316" s="34">
        <f t="shared" si="4"/>
        <v>7.7165651291666677</v>
      </c>
    </row>
    <row r="317" spans="2:20">
      <c r="B317" s="229"/>
      <c r="C317" s="229"/>
      <c r="D317" s="230"/>
      <c r="E317" s="230" t="s">
        <v>867</v>
      </c>
      <c r="F317" s="230"/>
      <c r="G317" s="203" t="s">
        <v>736</v>
      </c>
      <c r="H317" s="246">
        <v>2.4606175000000001E-2</v>
      </c>
      <c r="I317" s="246">
        <v>4.0281175000000002E-2</v>
      </c>
      <c r="J317" s="246">
        <v>5.5818675000000005E-2</v>
      </c>
      <c r="K317" s="246">
        <v>6.7944249999999998E-2</v>
      </c>
      <c r="L317" s="246">
        <v>8.2587999999999995E-2</v>
      </c>
      <c r="M317" s="246">
        <v>0.11568287500000002</v>
      </c>
      <c r="N317" s="246">
        <v>0.13305776458333338</v>
      </c>
      <c r="O317" s="246">
        <v>0.15573667083333337</v>
      </c>
      <c r="P317" s="246">
        <v>0.18050099375000009</v>
      </c>
      <c r="Q317" s="246">
        <v>0.20498458750000004</v>
      </c>
      <c r="R317" s="246">
        <v>0.22918745208333341</v>
      </c>
      <c r="S317" s="267">
        <v>0.25310958750000007</v>
      </c>
      <c r="T317" s="34">
        <f t="shared" si="4"/>
        <v>1.5434982062500002</v>
      </c>
    </row>
    <row r="318" spans="2:20">
      <c r="B318" s="95"/>
      <c r="C318" s="95"/>
      <c r="D318" s="93"/>
      <c r="E318" s="93" t="s">
        <v>786</v>
      </c>
      <c r="F318" s="93"/>
      <c r="G318" s="214"/>
      <c r="H318" s="249">
        <v>0.20625931000000003</v>
      </c>
      <c r="I318" s="249">
        <v>0.33816931000000006</v>
      </c>
      <c r="J318" s="249">
        <v>0.4693643099999999</v>
      </c>
      <c r="K318" s="249">
        <v>0.58281729999999998</v>
      </c>
      <c r="L318" s="249">
        <v>0.70936480000000013</v>
      </c>
      <c r="M318" s="249">
        <v>0.85312229999999989</v>
      </c>
      <c r="N318" s="249">
        <v>1.0025646650000002</v>
      </c>
      <c r="O318" s="249">
        <v>1.2646401733333337</v>
      </c>
      <c r="P318" s="249">
        <v>1.4683693400000006</v>
      </c>
      <c r="Q318" s="249">
        <v>1.6706868400000006</v>
      </c>
      <c r="R318" s="249">
        <v>1.8715926733333337</v>
      </c>
      <c r="S318" s="249">
        <v>2.07108684</v>
      </c>
      <c r="T318" s="34">
        <f t="shared" si="4"/>
        <v>12.508037861666669</v>
      </c>
    </row>
    <row r="319" spans="2:20">
      <c r="B319" s="229"/>
      <c r="C319" s="229"/>
      <c r="D319" s="230"/>
      <c r="E319" s="230" t="s">
        <v>332</v>
      </c>
      <c r="F319" s="230"/>
      <c r="G319" s="232"/>
      <c r="H319" s="246">
        <v>0.11154799333333333</v>
      </c>
      <c r="I319" s="246">
        <v>0.18260799333333336</v>
      </c>
      <c r="J319" s="246">
        <v>0.25304466000000003</v>
      </c>
      <c r="K319" s="246">
        <v>0.30801393333333332</v>
      </c>
      <c r="L319" s="246">
        <v>0.37439893333333329</v>
      </c>
      <c r="M319" s="246">
        <v>0.44951059999999998</v>
      </c>
      <c r="N319" s="246">
        <v>0.51702445666666674</v>
      </c>
      <c r="O319" s="246">
        <v>0.6051482066666668</v>
      </c>
      <c r="P319" s="246">
        <v>0.70137529000000021</v>
      </c>
      <c r="Q319" s="246">
        <v>0.79651154000000013</v>
      </c>
      <c r="R319" s="246">
        <v>0.89055695666666679</v>
      </c>
      <c r="S319" s="246">
        <v>0.98351154000000007</v>
      </c>
      <c r="T319" s="34">
        <f t="shared" si="4"/>
        <v>6.1732521033333345</v>
      </c>
    </row>
    <row r="320" spans="2:20">
      <c r="B320" s="229"/>
      <c r="C320" s="229"/>
      <c r="D320" s="230"/>
      <c r="E320" s="230" t="s">
        <v>930</v>
      </c>
      <c r="F320" s="230"/>
      <c r="G320" s="232"/>
      <c r="H320" s="246">
        <v>4.4696666666666669E-2</v>
      </c>
      <c r="I320" s="246">
        <v>0.10858555555555555</v>
      </c>
      <c r="J320" s="246">
        <v>0.17191888888888887</v>
      </c>
      <c r="K320" s="246">
        <v>0.22813333333333338</v>
      </c>
      <c r="L320" s="246">
        <v>0.28285555555555558</v>
      </c>
      <c r="M320" s="246">
        <v>0.34202222222222228</v>
      </c>
      <c r="N320" s="246">
        <v>0.40740333333333334</v>
      </c>
      <c r="O320" s="246">
        <v>0.47580611111111115</v>
      </c>
      <c r="P320" s="246">
        <v>0.55434777777777777</v>
      </c>
      <c r="Q320" s="246">
        <v>0.64011166666666697</v>
      </c>
      <c r="R320" s="246">
        <v>0.72490333333333357</v>
      </c>
      <c r="S320" s="246">
        <v>0.80872277777777801</v>
      </c>
      <c r="T320" s="34">
        <f t="shared" si="4"/>
        <v>4.7895072222222232</v>
      </c>
    </row>
    <row r="321" spans="2:20">
      <c r="B321" s="229"/>
      <c r="C321" s="229"/>
      <c r="D321" s="230"/>
      <c r="E321" s="230" t="s">
        <v>869</v>
      </c>
      <c r="F321" s="230"/>
      <c r="G321" s="232"/>
      <c r="H321" s="246">
        <v>7.8307199999999993E-2</v>
      </c>
      <c r="I321" s="246">
        <v>0.12870719999999999</v>
      </c>
      <c r="J321" s="246">
        <v>0.17910719999999997</v>
      </c>
      <c r="K321" s="246">
        <v>0.22950719999999999</v>
      </c>
      <c r="L321" s="246">
        <v>0.27990719999999997</v>
      </c>
      <c r="M321" s="246">
        <v>0.33750720000000001</v>
      </c>
      <c r="N321" s="246">
        <v>0.40950720000000002</v>
      </c>
      <c r="O321" s="246">
        <v>0.48150720000000008</v>
      </c>
      <c r="P321" s="246">
        <v>0.56070720000000007</v>
      </c>
      <c r="Q321" s="246">
        <v>0.63990720000000012</v>
      </c>
      <c r="R321" s="246">
        <v>0.71910720000000006</v>
      </c>
      <c r="S321" s="246">
        <v>0.79830720000000011</v>
      </c>
      <c r="T321" s="34">
        <f t="shared" si="4"/>
        <v>4.8420864000000003</v>
      </c>
    </row>
    <row r="322" spans="2:20">
      <c r="B322" s="229"/>
      <c r="C322" s="229"/>
      <c r="D322" s="230"/>
      <c r="E322" s="230" t="s">
        <v>870</v>
      </c>
      <c r="F322" s="230"/>
      <c r="G322" s="232"/>
      <c r="H322" s="246">
        <v>1.6404116666666666E-2</v>
      </c>
      <c r="I322" s="246">
        <v>2.6854116666666671E-2</v>
      </c>
      <c r="J322" s="246">
        <v>3.7212450000000008E-2</v>
      </c>
      <c r="K322" s="246">
        <v>4.5296166666666665E-2</v>
      </c>
      <c r="L322" s="246">
        <v>5.5058666666666665E-2</v>
      </c>
      <c r="M322" s="246">
        <v>6.6104499999999997E-2</v>
      </c>
      <c r="N322" s="246">
        <v>7.6033008333333346E-2</v>
      </c>
      <c r="O322" s="246">
        <v>0.17798476666666671</v>
      </c>
      <c r="P322" s="246">
        <v>0.20628685000000008</v>
      </c>
      <c r="Q322" s="246">
        <v>0.23426810000000003</v>
      </c>
      <c r="R322" s="246">
        <v>0.26192851666666672</v>
      </c>
      <c r="S322" s="246">
        <v>0.28926810000000003</v>
      </c>
      <c r="T322" s="34">
        <f t="shared" si="4"/>
        <v>1.4926993583333337</v>
      </c>
    </row>
    <row r="323" spans="2:20">
      <c r="B323" s="229"/>
      <c r="C323" s="229"/>
      <c r="D323" s="229" t="s">
        <v>145</v>
      </c>
      <c r="E323" s="230"/>
      <c r="F323" s="230"/>
      <c r="G323" s="203"/>
      <c r="H323" s="246">
        <v>1.4704074007099437</v>
      </c>
      <c r="I323" s="246">
        <v>1.8954463786966715</v>
      </c>
      <c r="J323" s="246">
        <v>2.3360900065092571</v>
      </c>
      <c r="K323" s="246">
        <v>2.6305502697487402</v>
      </c>
      <c r="L323" s="246">
        <v>2.7077063043940832</v>
      </c>
      <c r="M323" s="246">
        <v>3.2216713682929496</v>
      </c>
      <c r="N323" s="246">
        <v>3.5604138777535534</v>
      </c>
      <c r="O323" s="246">
        <v>3.8874692097080441</v>
      </c>
      <c r="P323" s="246">
        <v>4.3406427373052967</v>
      </c>
      <c r="Q323" s="246">
        <v>4.7272402895959305</v>
      </c>
      <c r="R323" s="246">
        <v>5.1625380949646527</v>
      </c>
      <c r="S323" s="246">
        <v>5.4649545986814712</v>
      </c>
      <c r="T323" s="34">
        <f t="shared" si="4"/>
        <v>41.405130536360602</v>
      </c>
    </row>
    <row r="324" spans="2:20">
      <c r="B324" s="229"/>
      <c r="C324" s="229"/>
      <c r="D324" s="230"/>
      <c r="E324" s="230" t="s">
        <v>100</v>
      </c>
      <c r="F324" s="230"/>
      <c r="G324" s="232"/>
      <c r="H324" s="246">
        <v>0.32500000000000001</v>
      </c>
      <c r="I324" s="246">
        <v>0.32500000000000001</v>
      </c>
      <c r="J324" s="246">
        <v>0.32500000000000001</v>
      </c>
      <c r="K324" s="246">
        <v>0.32500000000000001</v>
      </c>
      <c r="L324" s="246">
        <v>0.10833333333333334</v>
      </c>
      <c r="M324" s="246">
        <v>0.12083333333333332</v>
      </c>
      <c r="N324" s="246">
        <v>0.16666666666666669</v>
      </c>
      <c r="O324" s="246">
        <v>0.16666666666666669</v>
      </c>
      <c r="P324" s="246">
        <v>0.17916666666666667</v>
      </c>
      <c r="Q324" s="246">
        <v>0.17916666666666667</v>
      </c>
      <c r="R324" s="246">
        <v>0.17916666666666667</v>
      </c>
      <c r="S324" s="246">
        <v>0.17916666666666667</v>
      </c>
      <c r="T324" s="34">
        <f t="shared" si="4"/>
        <v>2.5791666666666671</v>
      </c>
    </row>
    <row r="325" spans="2:20">
      <c r="B325" s="229"/>
      <c r="C325" s="229"/>
      <c r="D325" s="230"/>
      <c r="E325" s="230" t="s">
        <v>107</v>
      </c>
      <c r="F325" s="230"/>
      <c r="G325" s="203"/>
      <c r="H325" s="246">
        <v>3.8176853333333344E-2</v>
      </c>
      <c r="I325" s="246">
        <v>6.2496853333333345E-2</v>
      </c>
      <c r="J325" s="246">
        <v>8.6603520000000017E-2</v>
      </c>
      <c r="K325" s="246">
        <v>0.10541653333333335</v>
      </c>
      <c r="L325" s="246">
        <v>4.0042666666666671E-2</v>
      </c>
      <c r="M325" s="246">
        <v>4.8076000000000001E-2</v>
      </c>
      <c r="N325" s="246">
        <v>5.5296733333333341E-2</v>
      </c>
      <c r="O325" s="246">
        <v>6.4721733333333351E-2</v>
      </c>
      <c r="P325" s="246">
        <v>7.5013400000000036E-2</v>
      </c>
      <c r="Q325" s="246">
        <v>8.5188400000000025E-2</v>
      </c>
      <c r="R325" s="246">
        <v>9.5246733333333333E-2</v>
      </c>
      <c r="S325" s="246">
        <v>0.1051884</v>
      </c>
      <c r="T325" s="34">
        <f t="shared" si="4"/>
        <v>0.86146782666666677</v>
      </c>
    </row>
    <row r="326" spans="2:20">
      <c r="B326" s="229"/>
      <c r="C326" s="229"/>
      <c r="D326" s="230"/>
      <c r="E326" s="230" t="s">
        <v>871</v>
      </c>
      <c r="F326" s="230"/>
      <c r="G326" s="232" t="s">
        <v>736</v>
      </c>
      <c r="H326" s="193">
        <v>0.45500000000000002</v>
      </c>
      <c r="I326" s="193">
        <v>0.45500000000000002</v>
      </c>
      <c r="J326" s="193">
        <v>0.45500000000000002</v>
      </c>
      <c r="K326" s="193">
        <v>0.45500000000000002</v>
      </c>
      <c r="L326" s="193">
        <v>0.45500000000000002</v>
      </c>
      <c r="M326" s="193">
        <v>0.52</v>
      </c>
      <c r="N326" s="193">
        <v>0.65</v>
      </c>
      <c r="O326" s="193">
        <v>0.65</v>
      </c>
      <c r="P326" s="193">
        <v>0.71499999999999997</v>
      </c>
      <c r="Q326" s="193">
        <v>0.71499999999999997</v>
      </c>
      <c r="R326" s="193">
        <v>0.71499999999999997</v>
      </c>
      <c r="S326" s="193">
        <v>0.71499999999999997</v>
      </c>
      <c r="T326" s="34">
        <f t="shared" si="4"/>
        <v>6.9549999999999992</v>
      </c>
    </row>
    <row r="327" spans="2:20">
      <c r="B327" s="229"/>
      <c r="C327" s="229"/>
      <c r="D327" s="230"/>
      <c r="E327" s="230" t="s">
        <v>807</v>
      </c>
      <c r="F327" s="230"/>
      <c r="G327" s="232"/>
      <c r="H327" s="193"/>
      <c r="I327" s="193"/>
      <c r="J327" s="193"/>
      <c r="K327" s="193"/>
      <c r="L327" s="193"/>
      <c r="M327" s="193"/>
      <c r="N327" s="193"/>
      <c r="O327" s="193"/>
      <c r="P327" s="193"/>
      <c r="Q327" s="193"/>
      <c r="R327" s="193"/>
      <c r="S327" s="193"/>
      <c r="T327" s="34">
        <f t="shared" si="4"/>
        <v>0</v>
      </c>
    </row>
    <row r="328" spans="2:20">
      <c r="B328" s="229"/>
      <c r="C328" s="229"/>
      <c r="D328" s="230"/>
      <c r="E328" s="230" t="s">
        <v>163</v>
      </c>
      <c r="F328" s="230"/>
      <c r="G328" s="232"/>
      <c r="H328" s="246">
        <v>3.3404746666666672E-2</v>
      </c>
      <c r="I328" s="246">
        <v>5.4684746666666673E-2</v>
      </c>
      <c r="J328" s="246">
        <v>7.5778080000000012E-2</v>
      </c>
      <c r="K328" s="246">
        <v>9.2239466666666672E-2</v>
      </c>
      <c r="L328" s="246">
        <v>0.11211946666666668</v>
      </c>
      <c r="M328" s="246">
        <v>0.13461279999999998</v>
      </c>
      <c r="N328" s="246">
        <v>0.15483085333333335</v>
      </c>
      <c r="O328" s="246">
        <v>0.18122085333333335</v>
      </c>
      <c r="P328" s="246">
        <v>0.21003752000000006</v>
      </c>
      <c r="Q328" s="246">
        <v>0.23852752000000008</v>
      </c>
      <c r="R328" s="246">
        <v>0.26669085333333331</v>
      </c>
      <c r="S328" s="246">
        <v>0.29452752000000004</v>
      </c>
      <c r="T328" s="34">
        <f t="shared" ref="T328:T391" si="5">SUM(H328:S328)</f>
        <v>1.8486744266666668</v>
      </c>
    </row>
    <row r="329" spans="2:20">
      <c r="B329" s="229"/>
      <c r="C329" s="229"/>
      <c r="D329" s="230"/>
      <c r="E329" s="230" t="s">
        <v>806</v>
      </c>
      <c r="F329" s="230"/>
      <c r="G329" s="232" t="s">
        <v>736</v>
      </c>
      <c r="H329" s="246">
        <v>5.8310000000000001E-2</v>
      </c>
      <c r="I329" s="246">
        <v>5.8310000000000001E-2</v>
      </c>
      <c r="J329" s="246">
        <v>5.8310000000000001E-2</v>
      </c>
      <c r="K329" s="246">
        <v>5.8310000000000001E-2</v>
      </c>
      <c r="L329" s="246">
        <v>5.8310000000000001E-2</v>
      </c>
      <c r="M329" s="246">
        <v>6.6640000000000005E-2</v>
      </c>
      <c r="N329" s="246">
        <v>8.3299999999999999E-2</v>
      </c>
      <c r="O329" s="246">
        <v>8.3299999999999999E-2</v>
      </c>
      <c r="P329" s="246">
        <v>9.1630000000000003E-2</v>
      </c>
      <c r="Q329" s="246">
        <v>9.1630000000000003E-2</v>
      </c>
      <c r="R329" s="246">
        <v>9.1630000000000003E-2</v>
      </c>
      <c r="S329" s="246">
        <v>9.1630000000000003E-2</v>
      </c>
      <c r="T329" s="34">
        <f t="shared" si="5"/>
        <v>0.89130999999999994</v>
      </c>
    </row>
    <row r="330" spans="2:20">
      <c r="B330" s="229"/>
      <c r="C330" s="229"/>
      <c r="D330" s="230"/>
      <c r="E330" s="230" t="s">
        <v>907</v>
      </c>
      <c r="F330" s="230"/>
      <c r="G330" s="203"/>
      <c r="H330" s="246">
        <v>1.9846195609824636E-2</v>
      </c>
      <c r="I330" s="246">
        <v>2.9422755477710172E-2</v>
      </c>
      <c r="J330" s="246">
        <v>3.7494418529827087E-2</v>
      </c>
      <c r="K330" s="246">
        <v>4.2784730551120052E-2</v>
      </c>
      <c r="L330" s="246">
        <v>4.8542499443921153E-2</v>
      </c>
      <c r="M330" s="246">
        <v>5.5820313251067309E-2</v>
      </c>
      <c r="N330" s="246">
        <v>5.8826124183096774E-2</v>
      </c>
      <c r="O330" s="246">
        <v>6.4238287462783275E-2</v>
      </c>
      <c r="P330" s="246">
        <v>6.9471342323323609E-2</v>
      </c>
      <c r="Q330" s="246">
        <v>7.4008708622999311E-2</v>
      </c>
      <c r="R330" s="246">
        <v>8.0857407925686298E-2</v>
      </c>
      <c r="S330" s="246">
        <v>8.1494999313343253E-2</v>
      </c>
      <c r="T330" s="34">
        <f t="shared" si="5"/>
        <v>0.66280778269470297</v>
      </c>
    </row>
    <row r="331" spans="2:20">
      <c r="B331" s="229"/>
      <c r="C331" s="229"/>
      <c r="D331" s="229"/>
      <c r="E331" s="230" t="s">
        <v>580</v>
      </c>
      <c r="F331" s="229"/>
      <c r="G331" s="203"/>
      <c r="H331" s="246">
        <v>0.38953288526312946</v>
      </c>
      <c r="I331" s="246">
        <v>0.57749762518466152</v>
      </c>
      <c r="J331" s="246">
        <v>0.73592487539308049</v>
      </c>
      <c r="K331" s="246">
        <v>0.8397609226693814</v>
      </c>
      <c r="L331" s="246">
        <v>0.95277201928382871</v>
      </c>
      <c r="M331" s="246">
        <v>1.0956179261992109</v>
      </c>
      <c r="N331" s="246">
        <v>1.1546147348535247</v>
      </c>
      <c r="O331" s="246">
        <v>1.2608424280244912</v>
      </c>
      <c r="P331" s="246">
        <v>1.3635546555285583</v>
      </c>
      <c r="Q331" s="246">
        <v>1.4526121968808869</v>
      </c>
      <c r="R331" s="246">
        <v>1.5870356225148952</v>
      </c>
      <c r="S331" s="246">
        <v>1.5995500014787905</v>
      </c>
      <c r="T331" s="34">
        <f t="shared" si="5"/>
        <v>13.009315893274438</v>
      </c>
    </row>
    <row r="332" spans="2:20">
      <c r="B332" s="95"/>
      <c r="C332" s="95"/>
      <c r="D332" s="95"/>
      <c r="E332" s="93" t="s">
        <v>808</v>
      </c>
      <c r="F332" s="95"/>
      <c r="G332" s="95"/>
      <c r="H332" s="274">
        <v>0.15113671983698981</v>
      </c>
      <c r="I332" s="274">
        <v>0.33303439803429985</v>
      </c>
      <c r="J332" s="274">
        <v>0.56197911258634958</v>
      </c>
      <c r="K332" s="274">
        <v>0.71203861652823852</v>
      </c>
      <c r="L332" s="274">
        <v>0.9325863189996666</v>
      </c>
      <c r="M332" s="274">
        <v>1.1800709955093376</v>
      </c>
      <c r="N332" s="274">
        <v>1.2368787653835986</v>
      </c>
      <c r="O332" s="274">
        <v>1.416479240887436</v>
      </c>
      <c r="P332" s="274">
        <v>1.6367691527867478</v>
      </c>
      <c r="Q332" s="274">
        <v>1.8911067974253772</v>
      </c>
      <c r="R332" s="274">
        <v>2.1469108111907373</v>
      </c>
      <c r="S332" s="274">
        <v>2.3983970112226705</v>
      </c>
      <c r="T332" s="34">
        <f t="shared" si="5"/>
        <v>14.597387940391449</v>
      </c>
    </row>
    <row r="333" spans="2:20">
      <c r="B333" s="229"/>
      <c r="C333" s="229"/>
      <c r="D333" s="229" t="s">
        <v>933</v>
      </c>
      <c r="E333" s="229"/>
      <c r="F333" s="229"/>
      <c r="G333" s="232"/>
      <c r="H333" s="234">
        <v>-1.049784864785964</v>
      </c>
      <c r="I333" s="234">
        <v>-1.0660867118080719</v>
      </c>
      <c r="J333" s="234">
        <v>-1.0093158444899579</v>
      </c>
      <c r="K333" s="234">
        <v>-0.80507543333397358</v>
      </c>
      <c r="L333" s="234">
        <v>-0.3594331057423199</v>
      </c>
      <c r="M333" s="234">
        <v>-0.26009492508169174</v>
      </c>
      <c r="N333" s="234">
        <v>-3.1683372147079059E-2</v>
      </c>
      <c r="O333" s="234">
        <v>0.18538297521678082</v>
      </c>
      <c r="P333" s="234">
        <v>0.42232289373012932</v>
      </c>
      <c r="Q333" s="234">
        <v>0.80171544467108458</v>
      </c>
      <c r="R333" s="234">
        <v>1.1354688830944699</v>
      </c>
      <c r="S333" s="234">
        <v>1.5961563474460867</v>
      </c>
      <c r="T333" s="34">
        <f t="shared" si="5"/>
        <v>-0.44042771323050633</v>
      </c>
    </row>
    <row r="334" spans="2:20">
      <c r="B334" s="229"/>
      <c r="C334" s="229"/>
      <c r="D334" s="230"/>
      <c r="E334" s="230" t="s">
        <v>934</v>
      </c>
      <c r="F334" s="230"/>
      <c r="G334" s="203"/>
      <c r="H334" s="193">
        <v>0.11834909625000001</v>
      </c>
      <c r="I334" s="193">
        <v>0.16329087082000004</v>
      </c>
      <c r="J334" s="193">
        <v>0.2028159368466001</v>
      </c>
      <c r="K334" s="193">
        <v>0.24316679968534782</v>
      </c>
      <c r="L334" s="193">
        <v>0.27585915643028219</v>
      </c>
      <c r="M334" s="193">
        <v>0.3391964531905074</v>
      </c>
      <c r="N334" s="193">
        <v>0.436533592147478</v>
      </c>
      <c r="O334" s="193">
        <v>0.53165408270623549</v>
      </c>
      <c r="P334" s="193">
        <v>0.67104274906855665</v>
      </c>
      <c r="Q334" s="193">
        <v>0.80118874070357238</v>
      </c>
      <c r="R334" s="193">
        <v>0.93072995008227866</v>
      </c>
      <c r="S334" s="193">
        <v>1.0651184180708821</v>
      </c>
      <c r="T334" s="34">
        <f t="shared" si="5"/>
        <v>5.7789458460017409</v>
      </c>
    </row>
    <row r="335" spans="2:20">
      <c r="B335" s="229"/>
      <c r="C335" s="229"/>
      <c r="D335" s="229" t="s">
        <v>935</v>
      </c>
      <c r="E335" s="229"/>
      <c r="F335" s="229"/>
      <c r="G335" s="203"/>
      <c r="H335" s="234">
        <v>-1.168133961035964</v>
      </c>
      <c r="I335" s="234">
        <v>-1.229377582628072</v>
      </c>
      <c r="J335" s="234">
        <v>-1.212131781336558</v>
      </c>
      <c r="K335" s="234">
        <v>-1.0482422330193213</v>
      </c>
      <c r="L335" s="234">
        <v>-0.63529226217260204</v>
      </c>
      <c r="M335" s="234">
        <v>-0.59929137827219914</v>
      </c>
      <c r="N335" s="234">
        <v>-0.46821696429455706</v>
      </c>
      <c r="O335" s="234">
        <v>-0.34627110748945467</v>
      </c>
      <c r="P335" s="234">
        <v>-0.24871985533842733</v>
      </c>
      <c r="Q335" s="234">
        <v>5.2670396751219872E-4</v>
      </c>
      <c r="R335" s="234">
        <v>0.20473893301219126</v>
      </c>
      <c r="S335" s="234">
        <v>0.53103792937520455</v>
      </c>
      <c r="T335" s="34">
        <f t="shared" si="5"/>
        <v>-6.2193735592322463</v>
      </c>
    </row>
    <row r="336" spans="2:20">
      <c r="B336" s="229"/>
      <c r="C336" s="229"/>
      <c r="D336" s="229"/>
      <c r="E336" s="229"/>
      <c r="F336" s="229"/>
      <c r="G336" s="232"/>
      <c r="H336" s="275"/>
      <c r="I336" s="275"/>
      <c r="J336" s="275"/>
      <c r="K336" s="275"/>
      <c r="L336" s="275"/>
      <c r="M336" s="275"/>
      <c r="N336" s="275"/>
      <c r="O336" s="275"/>
      <c r="P336" s="275"/>
      <c r="Q336" s="275"/>
      <c r="R336" s="275"/>
      <c r="S336" s="275"/>
      <c r="T336" s="34">
        <f t="shared" si="5"/>
        <v>0</v>
      </c>
    </row>
    <row r="337" spans="2:20">
      <c r="B337" s="230"/>
      <c r="C337" s="230"/>
      <c r="D337" s="229"/>
      <c r="E337" s="229"/>
      <c r="F337" s="229"/>
      <c r="G337" s="203"/>
      <c r="H337" s="237"/>
      <c r="I337" s="237"/>
      <c r="J337" s="237"/>
      <c r="K337" s="237"/>
      <c r="L337" s="237"/>
      <c r="M337" s="237"/>
      <c r="N337" s="237"/>
      <c r="O337" s="237"/>
      <c r="P337" s="237"/>
      <c r="Q337" s="237"/>
      <c r="R337" s="237"/>
      <c r="S337" s="237"/>
      <c r="T337" s="34">
        <f t="shared" si="5"/>
        <v>0</v>
      </c>
    </row>
    <row r="338" spans="2:20">
      <c r="B338" s="230"/>
      <c r="C338" s="229" t="s">
        <v>938</v>
      </c>
      <c r="D338" s="230"/>
      <c r="E338" s="230"/>
      <c r="F338" s="232"/>
      <c r="T338" s="34">
        <f t="shared" si="5"/>
        <v>0</v>
      </c>
    </row>
    <row r="339" spans="2:20">
      <c r="B339" s="230"/>
      <c r="C339" s="229"/>
      <c r="D339" s="230" t="s">
        <v>199</v>
      </c>
      <c r="E339" s="230"/>
      <c r="F339" s="232"/>
      <c r="H339" s="231">
        <v>154.32286666666664</v>
      </c>
      <c r="I339" s="231">
        <v>169.61036666666666</v>
      </c>
      <c r="J339" s="231">
        <v>183.70807500000001</v>
      </c>
      <c r="K339" s="231">
        <v>195.45616666666669</v>
      </c>
      <c r="L339" s="231">
        <v>208.80804166666672</v>
      </c>
      <c r="M339" s="231">
        <v>217.22950000000006</v>
      </c>
      <c r="N339" s="231">
        <v>236.73613333333338</v>
      </c>
      <c r="O339" s="231">
        <v>253.05988333333337</v>
      </c>
      <c r="P339" s="231">
        <v>270.5003000000001</v>
      </c>
      <c r="Q339" s="231">
        <v>287.70530000000008</v>
      </c>
      <c r="R339" s="231">
        <v>293.42050833333343</v>
      </c>
      <c r="S339" s="231">
        <v>321.40904999999998</v>
      </c>
      <c r="T339" s="34">
        <f t="shared" si="5"/>
        <v>2791.9661916666673</v>
      </c>
    </row>
    <row r="340" spans="2:20">
      <c r="B340" s="230"/>
      <c r="C340" s="229"/>
      <c r="D340" s="230" t="s">
        <v>874</v>
      </c>
      <c r="E340" s="230"/>
      <c r="F340" s="232"/>
      <c r="H340" s="237">
        <v>344.15263898180262</v>
      </c>
      <c r="I340" s="237">
        <v>376.10195005574826</v>
      </c>
      <c r="J340" s="237">
        <v>409.36924503344892</v>
      </c>
      <c r="K340" s="237">
        <v>441.07771368673605</v>
      </c>
      <c r="L340" s="237">
        <v>473.45466987870833</v>
      </c>
      <c r="M340" s="237">
        <v>501.30230192722502</v>
      </c>
      <c r="N340" s="237">
        <v>537.51751448966843</v>
      </c>
      <c r="O340" s="237">
        <v>575.5703920271344</v>
      </c>
      <c r="P340" s="237">
        <v>615.84253521628068</v>
      </c>
      <c r="Q340" s="237">
        <v>657.21082112976842</v>
      </c>
      <c r="R340" s="237">
        <v>687.74700101119447</v>
      </c>
      <c r="S340" s="237">
        <v>734.05725060671671</v>
      </c>
      <c r="T340" s="34">
        <f t="shared" si="5"/>
        <v>6353.4040340444317</v>
      </c>
    </row>
    <row r="341" spans="2:20">
      <c r="B341" s="230"/>
      <c r="C341" s="229"/>
      <c r="D341" s="230" t="s">
        <v>875</v>
      </c>
      <c r="E341" s="230"/>
      <c r="F341" s="232"/>
      <c r="H341" s="237">
        <v>206.49158338908157</v>
      </c>
      <c r="I341" s="237">
        <v>225.66117003344894</v>
      </c>
      <c r="J341" s="237">
        <v>245.62154702006936</v>
      </c>
      <c r="K341" s="237">
        <v>264.64662821204161</v>
      </c>
      <c r="L341" s="237">
        <v>284.07280192722499</v>
      </c>
      <c r="M341" s="237">
        <v>300.78138115633499</v>
      </c>
      <c r="N341" s="237">
        <v>322.510508693801</v>
      </c>
      <c r="O341" s="237">
        <v>345.34223521628059</v>
      </c>
      <c r="P341" s="237">
        <v>369.5055211297684</v>
      </c>
      <c r="Q341" s="237">
        <v>394.32649267786104</v>
      </c>
      <c r="R341" s="237">
        <v>412.64820060671667</v>
      </c>
      <c r="S341" s="237">
        <v>440.43435036402997</v>
      </c>
      <c r="T341" s="34">
        <f t="shared" si="5"/>
        <v>3812.0424204266592</v>
      </c>
    </row>
    <row r="342" spans="2:20">
      <c r="B342" s="230"/>
      <c r="C342" s="229"/>
      <c r="D342" s="230" t="s">
        <v>215</v>
      </c>
      <c r="E342" s="230"/>
      <c r="F342" s="230"/>
      <c r="H342" s="237">
        <v>9.6242908102276346</v>
      </c>
      <c r="I342" s="237">
        <v>10.968685594163579</v>
      </c>
      <c r="J342" s="237">
        <v>12.521991168235255</v>
      </c>
      <c r="K342" s="237">
        <v>13.68712459526704</v>
      </c>
      <c r="L342" s="237">
        <v>14.795509366915562</v>
      </c>
      <c r="M342" s="237">
        <v>16.161917167138636</v>
      </c>
      <c r="N342" s="237">
        <v>17.593435655117293</v>
      </c>
      <c r="O342" s="237">
        <v>18.878835518170863</v>
      </c>
      <c r="P342" s="237">
        <v>20.065082853251148</v>
      </c>
      <c r="Q342" s="237">
        <v>21.549302634887585</v>
      </c>
      <c r="R342" s="237">
        <v>22.828036905144984</v>
      </c>
      <c r="S342" s="237">
        <v>24.22238144851773</v>
      </c>
      <c r="T342" s="34">
        <f t="shared" si="5"/>
        <v>202.89659371703729</v>
      </c>
    </row>
    <row r="343" spans="2:20">
      <c r="B343" s="230"/>
      <c r="C343" s="229"/>
      <c r="D343" s="230" t="s">
        <v>99</v>
      </c>
      <c r="E343" s="230"/>
      <c r="F343" s="230"/>
      <c r="H343" s="237">
        <v>3.541888418339548</v>
      </c>
      <c r="I343" s="237">
        <v>3.9237225904704416</v>
      </c>
      <c r="J343" s="237">
        <v>4.2729560891850431</v>
      </c>
      <c r="K343" s="237">
        <v>4.6021674867471365</v>
      </c>
      <c r="L343" s="237">
        <v>4.9425708998955056</v>
      </c>
      <c r="M343" s="237">
        <v>5.2419041033400813</v>
      </c>
      <c r="N343" s="237">
        <v>5.6515992900596039</v>
      </c>
      <c r="O343" s="237">
        <v>6.3339957023968738</v>
      </c>
      <c r="P343" s="237">
        <v>6.7922974634103488</v>
      </c>
      <c r="Q343" s="237">
        <v>7.2569542207128759</v>
      </c>
      <c r="R343" s="237">
        <v>7.5957552379416153</v>
      </c>
      <c r="S343" s="237">
        <v>8.1431224128621906</v>
      </c>
      <c r="T343" s="34">
        <f t="shared" si="5"/>
        <v>68.298933915361275</v>
      </c>
    </row>
    <row r="344" spans="2:20">
      <c r="B344" s="229"/>
      <c r="C344" s="229"/>
      <c r="D344" s="229" t="s">
        <v>217</v>
      </c>
      <c r="E344" s="229"/>
      <c r="F344" s="229"/>
      <c r="G344" s="203"/>
      <c r="H344" s="275">
        <v>6.0824023918880865</v>
      </c>
      <c r="I344" s="275">
        <v>7.0449630036931374</v>
      </c>
      <c r="J344" s="275">
        <v>8.2490350790502109</v>
      </c>
      <c r="K344" s="275">
        <v>9.0849571085199035</v>
      </c>
      <c r="L344" s="275">
        <v>9.8529384670200564</v>
      </c>
      <c r="M344" s="275">
        <v>10.920013063798555</v>
      </c>
      <c r="N344" s="275">
        <v>11.941836365057689</v>
      </c>
      <c r="O344" s="275">
        <v>12.544839815773988</v>
      </c>
      <c r="P344" s="275">
        <v>13.272785389840799</v>
      </c>
      <c r="Q344" s="275">
        <v>14.292348414174707</v>
      </c>
      <c r="R344" s="275">
        <v>15.232281667203369</v>
      </c>
      <c r="S344" s="275">
        <v>16.079259035655539</v>
      </c>
      <c r="T344" s="34">
        <f t="shared" si="5"/>
        <v>134.59765980167603</v>
      </c>
    </row>
    <row r="345" spans="2:20">
      <c r="B345" s="230"/>
      <c r="C345" s="229"/>
      <c r="D345" s="230"/>
      <c r="E345" s="229" t="s">
        <v>218</v>
      </c>
      <c r="F345" s="230"/>
      <c r="G345" s="203"/>
      <c r="H345" s="275">
        <v>3.908775858477989</v>
      </c>
      <c r="I345" s="275">
        <v>4.5452013283548531</v>
      </c>
      <c r="J345" s="275">
        <v>5.3070820400951026</v>
      </c>
      <c r="K345" s="275">
        <v>5.9280854697948815</v>
      </c>
      <c r="L345" s="275">
        <v>6.4844466667832616</v>
      </c>
      <c r="M345" s="275">
        <v>6.9999070882076495</v>
      </c>
      <c r="N345" s="275">
        <v>7.5709377593906311</v>
      </c>
      <c r="O345" s="275">
        <v>8.2159420547401183</v>
      </c>
      <c r="P345" s="275">
        <v>8.8760260487155733</v>
      </c>
      <c r="Q345" s="275">
        <v>9.5640983297795703</v>
      </c>
      <c r="R345" s="275">
        <v>10.153952133851035</v>
      </c>
      <c r="S345" s="275">
        <v>10.801274548846029</v>
      </c>
      <c r="T345" s="34">
        <f t="shared" si="5"/>
        <v>88.355729327036698</v>
      </c>
    </row>
    <row r="346" spans="2:20">
      <c r="B346" s="230"/>
      <c r="C346" s="229"/>
      <c r="D346" s="230"/>
      <c r="E346" s="230" t="s">
        <v>737</v>
      </c>
      <c r="F346" s="230"/>
      <c r="H346" s="237">
        <v>5.5503437668175373</v>
      </c>
      <c r="I346" s="237">
        <v>6.3758484088252949</v>
      </c>
      <c r="J346" s="237">
        <v>7.3034879942801458</v>
      </c>
      <c r="K346" s="237">
        <v>8.0896381565420192</v>
      </c>
      <c r="L346" s="237">
        <v>8.8088831416787663</v>
      </c>
      <c r="M346" s="237">
        <v>9.4774143915477307</v>
      </c>
      <c r="N346" s="237">
        <v>10.211271459450234</v>
      </c>
      <c r="O346" s="237">
        <v>11.045040483803659</v>
      </c>
      <c r="P346" s="237">
        <v>11.904200572125919</v>
      </c>
      <c r="Q346" s="237">
        <v>12.799775610492446</v>
      </c>
      <c r="R346" s="237">
        <v>13.572386598459316</v>
      </c>
      <c r="S346" s="237">
        <v>14.415027021708219</v>
      </c>
      <c r="T346" s="34">
        <f t="shared" si="5"/>
        <v>119.55331760573128</v>
      </c>
    </row>
    <row r="347" spans="2:20">
      <c r="B347" s="230"/>
      <c r="C347" s="229"/>
      <c r="D347" s="230"/>
      <c r="E347" s="230" t="s">
        <v>798</v>
      </c>
      <c r="F347" s="230"/>
      <c r="H347" s="237">
        <v>1.6415679083395482</v>
      </c>
      <c r="I347" s="237">
        <v>1.8306470804704418</v>
      </c>
      <c r="J347" s="237">
        <v>1.996405954185043</v>
      </c>
      <c r="K347" s="237">
        <v>2.1615526867471369</v>
      </c>
      <c r="L347" s="237">
        <v>2.3244364748955046</v>
      </c>
      <c r="M347" s="237">
        <v>2.4775073033400807</v>
      </c>
      <c r="N347" s="237">
        <v>2.6403337000596041</v>
      </c>
      <c r="O347" s="237">
        <v>2.8290984290635404</v>
      </c>
      <c r="P347" s="237">
        <v>3.0281745234103465</v>
      </c>
      <c r="Q347" s="237">
        <v>3.2356772807128746</v>
      </c>
      <c r="R347" s="237">
        <v>3.4184344646082803</v>
      </c>
      <c r="S347" s="237">
        <v>3.613752472862191</v>
      </c>
      <c r="T347" s="34">
        <f t="shared" si="5"/>
        <v>31.197588278694592</v>
      </c>
    </row>
    <row r="348" spans="2:20">
      <c r="B348" s="230"/>
      <c r="C348" s="229"/>
      <c r="D348" s="230"/>
      <c r="E348" s="229" t="s">
        <v>220</v>
      </c>
      <c r="F348" s="229"/>
      <c r="G348" s="203"/>
      <c r="H348" s="234">
        <v>2.1736265334100975</v>
      </c>
      <c r="I348" s="275">
        <v>2.4997616753382852</v>
      </c>
      <c r="J348" s="275">
        <v>2.9419530389551087</v>
      </c>
      <c r="K348" s="275">
        <v>3.1568716387250211</v>
      </c>
      <c r="L348" s="275">
        <v>3.3684918002367947</v>
      </c>
      <c r="M348" s="275">
        <v>3.9201059755909053</v>
      </c>
      <c r="N348" s="275">
        <v>4.37089860566706</v>
      </c>
      <c r="O348" s="275">
        <v>4.3288977610338693</v>
      </c>
      <c r="P348" s="275">
        <v>4.3967593411252253</v>
      </c>
      <c r="Q348" s="275">
        <v>4.7282500843951372</v>
      </c>
      <c r="R348" s="275">
        <v>5.0783295333523331</v>
      </c>
      <c r="S348" s="275">
        <v>5.27798448680951</v>
      </c>
      <c r="T348" s="34">
        <f t="shared" si="5"/>
        <v>46.241930474639346</v>
      </c>
    </row>
    <row r="349" spans="2:20">
      <c r="B349" s="230"/>
      <c r="C349" s="229"/>
      <c r="D349" s="230"/>
      <c r="E349" s="230" t="s">
        <v>22</v>
      </c>
      <c r="F349" s="230"/>
      <c r="H349" s="237">
        <v>4.0739470434100973</v>
      </c>
      <c r="I349" s="237">
        <v>4.5928371853382846</v>
      </c>
      <c r="J349" s="237">
        <v>5.2185031739551091</v>
      </c>
      <c r="K349" s="237">
        <v>5.5974864387250207</v>
      </c>
      <c r="L349" s="237">
        <v>5.9866262252367957</v>
      </c>
      <c r="M349" s="237">
        <v>6.6845027755909054</v>
      </c>
      <c r="N349" s="237">
        <v>7.3821641956670607</v>
      </c>
      <c r="O349" s="237">
        <v>7.8337950343672027</v>
      </c>
      <c r="P349" s="237">
        <v>8.1608822811252271</v>
      </c>
      <c r="Q349" s="237">
        <v>8.7495270243951389</v>
      </c>
      <c r="R349" s="237">
        <v>9.2556503066856681</v>
      </c>
      <c r="S349" s="237">
        <v>9.8073544268095105</v>
      </c>
      <c r="T349" s="34">
        <f t="shared" si="5"/>
        <v>83.343276111306011</v>
      </c>
    </row>
    <row r="350" spans="2:20">
      <c r="B350" s="230"/>
      <c r="C350" s="229"/>
      <c r="D350" s="230"/>
      <c r="E350" s="230" t="s">
        <v>865</v>
      </c>
      <c r="F350" s="230"/>
      <c r="H350" s="237">
        <v>0.37328621326323502</v>
      </c>
      <c r="I350" s="237">
        <v>0.43052268464088728</v>
      </c>
      <c r="J350" s="237">
        <v>0.48647221173721511</v>
      </c>
      <c r="K350" s="237">
        <v>0.526417818703936</v>
      </c>
      <c r="L350" s="237">
        <v>0.56743862690812075</v>
      </c>
      <c r="M350" s="237">
        <v>0.69357385931758153</v>
      </c>
      <c r="N350" s="237">
        <v>0.76088441244218552</v>
      </c>
      <c r="O350" s="237">
        <v>0.81921774808406944</v>
      </c>
      <c r="P350" s="237">
        <v>0.87977113711216104</v>
      </c>
      <c r="Q350" s="237">
        <v>0.93938835884180305</v>
      </c>
      <c r="R350" s="237">
        <v>0.96007880872649309</v>
      </c>
      <c r="S350" s="237">
        <v>1.0532464381871076</v>
      </c>
      <c r="T350" s="34">
        <f t="shared" si="5"/>
        <v>8.4902983179647968</v>
      </c>
    </row>
    <row r="351" spans="2:20">
      <c r="B351" s="230"/>
      <c r="C351" s="229"/>
      <c r="D351" s="230"/>
      <c r="E351" s="230" t="s">
        <v>866</v>
      </c>
      <c r="F351" s="230"/>
      <c r="H351" s="237">
        <v>2.057432163480196</v>
      </c>
      <c r="I351" s="237">
        <v>2.3611388340307315</v>
      </c>
      <c r="J351" s="237">
        <v>2.6885872122178935</v>
      </c>
      <c r="K351" s="237">
        <v>2.9529014418336805</v>
      </c>
      <c r="L351" s="237">
        <v>3.2009219861170957</v>
      </c>
      <c r="M351" s="237">
        <v>3.4129919519720344</v>
      </c>
      <c r="N351" s="237">
        <v>3.6899952498909281</v>
      </c>
      <c r="O351" s="237">
        <v>3.9810411178108915</v>
      </c>
      <c r="P351" s="237">
        <v>4.280740437243634</v>
      </c>
      <c r="Q351" s="237">
        <v>4.5880901155533342</v>
      </c>
      <c r="R351" s="237">
        <v>4.8101345375425062</v>
      </c>
      <c r="S351" s="237">
        <v>5.1477708511224023</v>
      </c>
      <c r="T351" s="34">
        <f t="shared" si="5"/>
        <v>43.171745898815331</v>
      </c>
    </row>
    <row r="352" spans="2:20">
      <c r="B352" s="230"/>
      <c r="C352" s="229"/>
      <c r="D352" s="230"/>
      <c r="E352" s="230" t="s">
        <v>425</v>
      </c>
      <c r="F352" s="230"/>
      <c r="H352" s="237">
        <v>0.1</v>
      </c>
      <c r="I352" s="237">
        <v>0.10507199999999975</v>
      </c>
      <c r="J352" s="237">
        <v>0.20636300000000016</v>
      </c>
      <c r="K352" s="237">
        <v>0.16360551152073693</v>
      </c>
      <c r="L352" s="237">
        <v>0.13018519554491143</v>
      </c>
      <c r="M352" s="237">
        <v>0.35133458930128914</v>
      </c>
      <c r="N352" s="237">
        <v>0.50473916666727903</v>
      </c>
      <c r="O352" s="237">
        <v>0.43967236430557449</v>
      </c>
      <c r="P352" s="237">
        <v>0.22774263176943121</v>
      </c>
      <c r="Q352" s="237">
        <v>0.27306922499999925</v>
      </c>
      <c r="R352" s="237">
        <v>0.47787675000000129</v>
      </c>
      <c r="S352" s="237">
        <v>0.31189437500000017</v>
      </c>
      <c r="T352" s="34">
        <f t="shared" si="5"/>
        <v>3.2915548091092224</v>
      </c>
    </row>
    <row r="353" spans="2:20">
      <c r="B353" s="230"/>
      <c r="C353" s="229"/>
      <c r="D353" s="230"/>
      <c r="E353" s="230" t="s">
        <v>392</v>
      </c>
      <c r="F353" s="230"/>
      <c r="H353" s="237">
        <v>1.3117443666666664</v>
      </c>
      <c r="I353" s="237">
        <v>1.4416881166666666</v>
      </c>
      <c r="J353" s="237">
        <v>1.5615186374999999</v>
      </c>
      <c r="K353" s="237">
        <v>1.6613774166666668</v>
      </c>
      <c r="L353" s="237">
        <v>1.774868354166667</v>
      </c>
      <c r="M353" s="237">
        <v>1.8464507500000005</v>
      </c>
      <c r="N353" s="237">
        <v>2.0122571333333337</v>
      </c>
      <c r="O353" s="237">
        <v>2.1510090083333337</v>
      </c>
      <c r="P353" s="237">
        <v>2.2992525500000007</v>
      </c>
      <c r="Q353" s="237">
        <v>2.4454950500000008</v>
      </c>
      <c r="R353" s="237">
        <v>2.494074320833334</v>
      </c>
      <c r="S353" s="237">
        <v>2.7319769249999997</v>
      </c>
      <c r="T353" s="34">
        <f t="shared" si="5"/>
        <v>23.731712629166672</v>
      </c>
    </row>
    <row r="354" spans="2:20">
      <c r="B354" s="230"/>
      <c r="C354" s="229"/>
      <c r="D354" s="230"/>
      <c r="E354" s="230" t="s">
        <v>867</v>
      </c>
      <c r="F354" s="230"/>
      <c r="H354" s="237">
        <v>0.23148429999999998</v>
      </c>
      <c r="I354" s="237">
        <v>0.25441554999999999</v>
      </c>
      <c r="J354" s="237">
        <v>0.27556211250000001</v>
      </c>
      <c r="K354" s="237">
        <v>0.29318425000000004</v>
      </c>
      <c r="L354" s="237">
        <v>0.31321206250000005</v>
      </c>
      <c r="M354" s="237">
        <v>0.38015162500000016</v>
      </c>
      <c r="N354" s="237">
        <v>0.41428823333333342</v>
      </c>
      <c r="O354" s="237">
        <v>0.44285479583333343</v>
      </c>
      <c r="P354" s="237">
        <v>0.47337552500000024</v>
      </c>
      <c r="Q354" s="237">
        <v>0.50348427500000015</v>
      </c>
      <c r="R354" s="237">
        <v>0.51348588958333363</v>
      </c>
      <c r="S354" s="237">
        <v>0.56246583750000012</v>
      </c>
      <c r="T354" s="34">
        <f t="shared" si="5"/>
        <v>4.6579644562500011</v>
      </c>
    </row>
    <row r="355" spans="2:20">
      <c r="B355" s="230"/>
      <c r="C355" s="229"/>
      <c r="D355" s="93"/>
      <c r="E355" s="93" t="s">
        <v>786</v>
      </c>
      <c r="F355" s="93"/>
      <c r="G355" s="94"/>
      <c r="H355" s="237">
        <v>1.9003205099999998</v>
      </c>
      <c r="I355" s="237">
        <v>2.0930755099999998</v>
      </c>
      <c r="J355" s="237">
        <v>2.2765501350000004</v>
      </c>
      <c r="K355" s="237">
        <v>2.4406147999999996</v>
      </c>
      <c r="L355" s="237">
        <v>2.6181344250000009</v>
      </c>
      <c r="M355" s="237">
        <v>2.7643968000000001</v>
      </c>
      <c r="N355" s="237">
        <v>3.0112655900000007</v>
      </c>
      <c r="O355" s="237">
        <v>3.5048972733333335</v>
      </c>
      <c r="P355" s="237">
        <v>3.7641229400000018</v>
      </c>
      <c r="Q355" s="237">
        <v>4.0212769400000017</v>
      </c>
      <c r="R355" s="237">
        <v>4.1773207733333342</v>
      </c>
      <c r="S355" s="237">
        <v>4.5293699400000005</v>
      </c>
      <c r="T355" s="34">
        <f t="shared" si="5"/>
        <v>37.101345636666672</v>
      </c>
    </row>
    <row r="356" spans="2:20">
      <c r="B356" s="230"/>
      <c r="C356" s="229"/>
      <c r="D356" s="230"/>
      <c r="E356" s="230" t="s">
        <v>332</v>
      </c>
      <c r="F356" s="230"/>
      <c r="H356" s="237">
        <v>1.0493954933333332</v>
      </c>
      <c r="I356" s="237">
        <v>1.1533504933333334</v>
      </c>
      <c r="J356" s="237">
        <v>1.2492149100000001</v>
      </c>
      <c r="K356" s="237">
        <v>1.3291019333333334</v>
      </c>
      <c r="L356" s="237">
        <v>1.4198946833333337</v>
      </c>
      <c r="M356" s="237">
        <v>1.4771606000000004</v>
      </c>
      <c r="N356" s="237">
        <v>1.6098057066666671</v>
      </c>
      <c r="O356" s="237">
        <v>1.7208072066666671</v>
      </c>
      <c r="P356" s="237">
        <v>1.8394020400000008</v>
      </c>
      <c r="Q356" s="237">
        <v>1.9563960400000004</v>
      </c>
      <c r="R356" s="237">
        <v>1.9952594566666675</v>
      </c>
      <c r="S356" s="237">
        <v>2.1855815400000003</v>
      </c>
      <c r="T356" s="34">
        <f t="shared" si="5"/>
        <v>18.985370103333338</v>
      </c>
    </row>
    <row r="357" spans="2:20">
      <c r="B357" s="230"/>
      <c r="C357" s="229"/>
      <c r="D357" s="230"/>
      <c r="E357" s="230" t="s">
        <v>930</v>
      </c>
      <c r="F357" s="230"/>
      <c r="H357" s="237">
        <v>0.81091194444444459</v>
      </c>
      <c r="I357" s="237">
        <v>0.90167583333333345</v>
      </c>
      <c r="J357" s="237">
        <v>0.98578347222222218</v>
      </c>
      <c r="K357" s="237">
        <v>1.0623555555555557</v>
      </c>
      <c r="L357" s="237">
        <v>1.13701875</v>
      </c>
      <c r="M357" s="237">
        <v>1.1816055555555558</v>
      </c>
      <c r="N357" s="237">
        <v>1.3001984722222222</v>
      </c>
      <c r="O357" s="237">
        <v>1.3872922222222224</v>
      </c>
      <c r="P357" s="237">
        <v>1.4841081944444448</v>
      </c>
      <c r="Q357" s="237">
        <v>1.5877297222222229</v>
      </c>
      <c r="R357" s="237">
        <v>1.6274380555555561</v>
      </c>
      <c r="S357" s="237">
        <v>1.7908061111111113</v>
      </c>
      <c r="T357" s="34">
        <f t="shared" si="5"/>
        <v>15.256923888888892</v>
      </c>
    </row>
    <row r="358" spans="2:20">
      <c r="B358" s="230"/>
      <c r="C358" s="229"/>
      <c r="D358" s="230"/>
      <c r="E358" s="230" t="s">
        <v>869</v>
      </c>
      <c r="F358" s="230"/>
      <c r="H358" s="237">
        <v>0.68922719999999993</v>
      </c>
      <c r="I358" s="237">
        <v>0.76122719999999999</v>
      </c>
      <c r="J358" s="237">
        <v>0.83322720000000006</v>
      </c>
      <c r="K358" s="237">
        <v>0.90522720000000001</v>
      </c>
      <c r="L358" s="237">
        <v>0.97722719999999996</v>
      </c>
      <c r="M358" s="237">
        <v>1.0564271999999999</v>
      </c>
      <c r="N358" s="237">
        <v>1.1500272</v>
      </c>
      <c r="O358" s="237">
        <v>1.2436272000000002</v>
      </c>
      <c r="P358" s="237">
        <v>1.3444272000000002</v>
      </c>
      <c r="Q358" s="237">
        <v>1.4452272000000002</v>
      </c>
      <c r="R358" s="237">
        <v>1.5460272000000002</v>
      </c>
      <c r="S358" s="237">
        <v>1.6468272000000002</v>
      </c>
      <c r="T358" s="34">
        <f t="shared" si="5"/>
        <v>13.5987264</v>
      </c>
    </row>
    <row r="359" spans="2:20">
      <c r="B359" s="230"/>
      <c r="C359" s="229"/>
      <c r="D359" s="230"/>
      <c r="E359" s="230" t="s">
        <v>870</v>
      </c>
      <c r="F359" s="230"/>
      <c r="H359" s="237">
        <v>0.16169781666666666</v>
      </c>
      <c r="I359" s="237">
        <v>0.17849781666666667</v>
      </c>
      <c r="J359" s="237">
        <v>0.19410802499999999</v>
      </c>
      <c r="K359" s="237">
        <v>0.2062856666666667</v>
      </c>
      <c r="L359" s="237">
        <v>0.22101254166666673</v>
      </c>
      <c r="M359" s="237">
        <v>0.23080900000000004</v>
      </c>
      <c r="N359" s="237">
        <v>0.25143268333333335</v>
      </c>
      <c r="O359" s="237">
        <v>0.54046286666666676</v>
      </c>
      <c r="P359" s="237">
        <v>0.58029370000000013</v>
      </c>
      <c r="Q359" s="237">
        <v>0.61965370000000008</v>
      </c>
      <c r="R359" s="237">
        <v>0.63603411666666687</v>
      </c>
      <c r="S359" s="237">
        <v>0.69696120000000006</v>
      </c>
      <c r="T359" s="34">
        <f t="shared" si="5"/>
        <v>4.5172491333333342</v>
      </c>
    </row>
    <row r="360" spans="2:20">
      <c r="B360" s="230"/>
      <c r="C360" s="229"/>
      <c r="D360" s="95" t="s">
        <v>145</v>
      </c>
      <c r="E360" s="95"/>
      <c r="F360" s="95"/>
      <c r="G360" s="214"/>
      <c r="H360" s="275">
        <v>6.5971318634851137</v>
      </c>
      <c r="I360" s="275">
        <v>6.8439795416824225</v>
      </c>
      <c r="J360" s="275">
        <v>7.133081756234473</v>
      </c>
      <c r="K360" s="275">
        <v>7.3330731601763617</v>
      </c>
      <c r="L360" s="275">
        <v>6.880318745981123</v>
      </c>
      <c r="M360" s="275">
        <v>7.2375116724907951</v>
      </c>
      <c r="N360" s="275">
        <v>7.538516145698388</v>
      </c>
      <c r="O360" s="275">
        <v>7.7624547045355596</v>
      </c>
      <c r="P360" s="275">
        <v>8.1160160331015376</v>
      </c>
      <c r="Q360" s="275">
        <v>8.4171617610735012</v>
      </c>
      <c r="R360" s="275">
        <v>8.6906294415055285</v>
      </c>
      <c r="S360" s="275">
        <v>9.0161681415374613</v>
      </c>
      <c r="T360" s="34">
        <f t="shared" si="5"/>
        <v>91.566042967502256</v>
      </c>
    </row>
    <row r="361" spans="2:20">
      <c r="B361" s="230"/>
      <c r="C361" s="229"/>
      <c r="D361" s="230"/>
      <c r="E361" s="230" t="s">
        <v>100</v>
      </c>
      <c r="F361" s="230"/>
      <c r="H361" s="237">
        <v>0.625</v>
      </c>
      <c r="I361" s="237">
        <v>0.625</v>
      </c>
      <c r="J361" s="237">
        <v>0.625</v>
      </c>
      <c r="K361" s="237">
        <v>0.625</v>
      </c>
      <c r="L361" s="237">
        <v>0.20833333333333334</v>
      </c>
      <c r="M361" s="237">
        <v>0.22083333333333333</v>
      </c>
      <c r="N361" s="237">
        <v>0.26666666666666672</v>
      </c>
      <c r="O361" s="237">
        <v>0.26666666666666672</v>
      </c>
      <c r="P361" s="237">
        <v>0.27916666666666667</v>
      </c>
      <c r="Q361" s="237">
        <v>0.27916666666666667</v>
      </c>
      <c r="R361" s="237">
        <v>0.27916666666666667</v>
      </c>
      <c r="S361" s="237">
        <v>0.27916666666666667</v>
      </c>
      <c r="T361" s="34">
        <f t="shared" si="5"/>
        <v>4.5791666666666666</v>
      </c>
    </row>
    <row r="362" spans="2:20">
      <c r="B362" s="230"/>
      <c r="C362" s="230"/>
      <c r="D362" s="230"/>
      <c r="E362" s="230" t="s">
        <v>107</v>
      </c>
      <c r="F362" s="230"/>
      <c r="H362" s="237">
        <v>0.33240352000000006</v>
      </c>
      <c r="I362" s="237">
        <v>0.36704352000000001</v>
      </c>
      <c r="J362" s="237">
        <v>0.39912752000000007</v>
      </c>
      <c r="K362" s="237">
        <v>0.42575786666666671</v>
      </c>
      <c r="L362" s="237">
        <v>0.14254225000000001</v>
      </c>
      <c r="M362" s="237">
        <v>0.14882600000000007</v>
      </c>
      <c r="N362" s="237">
        <v>0.16243215000000005</v>
      </c>
      <c r="O362" s="237">
        <v>0.17410006666666672</v>
      </c>
      <c r="P362" s="237">
        <v>0.18658465000000007</v>
      </c>
      <c r="Q362" s="237">
        <v>0.19890256666666672</v>
      </c>
      <c r="R362" s="237">
        <v>0.20355090000000003</v>
      </c>
      <c r="S362" s="237">
        <v>0.22303840000000003</v>
      </c>
      <c r="T362" s="34">
        <f t="shared" si="5"/>
        <v>2.9643094100000011</v>
      </c>
    </row>
    <row r="363" spans="2:20">
      <c r="B363" s="230"/>
      <c r="C363" s="230"/>
      <c r="D363" s="230"/>
      <c r="E363" s="230" t="s">
        <v>871</v>
      </c>
      <c r="F363" s="230"/>
      <c r="H363" s="237">
        <v>0.65</v>
      </c>
      <c r="I363" s="237">
        <v>0.65</v>
      </c>
      <c r="J363" s="237">
        <v>0.65</v>
      </c>
      <c r="K363" s="237">
        <v>0.65</v>
      </c>
      <c r="L363" s="237">
        <v>0.65</v>
      </c>
      <c r="M363" s="237">
        <v>0.71500000000000008</v>
      </c>
      <c r="N363" s="237">
        <v>0.84499999999999997</v>
      </c>
      <c r="O363" s="237">
        <v>0.84499999999999997</v>
      </c>
      <c r="P363" s="237">
        <v>0.90999999999999992</v>
      </c>
      <c r="Q363" s="237">
        <v>0.90999999999999992</v>
      </c>
      <c r="R363" s="237">
        <v>0.90999999999999992</v>
      </c>
      <c r="S363" s="237">
        <v>0.90999999999999992</v>
      </c>
      <c r="T363" s="34">
        <f t="shared" si="5"/>
        <v>9.2949999999999999</v>
      </c>
    </row>
    <row r="364" spans="2:20">
      <c r="B364" s="229"/>
      <c r="C364" s="229"/>
      <c r="D364" s="230"/>
      <c r="E364" s="230" t="s">
        <v>931</v>
      </c>
      <c r="F364" s="230"/>
      <c r="G364" s="232" t="s">
        <v>736</v>
      </c>
      <c r="H364" s="237">
        <v>0.9</v>
      </c>
      <c r="I364" s="237">
        <v>0.9</v>
      </c>
      <c r="J364" s="237">
        <v>0.9</v>
      </c>
      <c r="K364" s="237">
        <v>0.9</v>
      </c>
      <c r="L364" s="237">
        <v>0.9</v>
      </c>
      <c r="M364" s="237">
        <v>0.9</v>
      </c>
      <c r="N364" s="237">
        <v>0.9</v>
      </c>
      <c r="O364" s="237">
        <v>0.9</v>
      </c>
      <c r="P364" s="237">
        <v>0.9</v>
      </c>
      <c r="Q364" s="237">
        <v>0.9</v>
      </c>
      <c r="R364" s="237">
        <v>0.9</v>
      </c>
      <c r="S364" s="237">
        <v>0.9</v>
      </c>
      <c r="T364" s="34">
        <f t="shared" si="5"/>
        <v>10.800000000000002</v>
      </c>
    </row>
    <row r="365" spans="2:20">
      <c r="B365" s="230"/>
      <c r="C365" s="230"/>
      <c r="D365" s="230"/>
      <c r="E365" s="230" t="s">
        <v>163</v>
      </c>
      <c r="F365" s="230"/>
      <c r="H365" s="237">
        <v>0.29085307999999999</v>
      </c>
      <c r="I365" s="237">
        <v>0.32116307999999999</v>
      </c>
      <c r="J365" s="237">
        <v>0.34923658000000002</v>
      </c>
      <c r="K365" s="237">
        <v>0.37253813333333335</v>
      </c>
      <c r="L365" s="237">
        <v>0.39911830000000004</v>
      </c>
      <c r="M365" s="237">
        <v>0.41671280000000011</v>
      </c>
      <c r="N365" s="237">
        <v>0.45481002000000009</v>
      </c>
      <c r="O365" s="237">
        <v>0.48748018666666681</v>
      </c>
      <c r="P365" s="237">
        <v>0.52243702000000014</v>
      </c>
      <c r="Q365" s="237">
        <v>0.55692718666666685</v>
      </c>
      <c r="R365" s="237">
        <v>0.56994252000000012</v>
      </c>
      <c r="S365" s="237">
        <v>0.62450752000000009</v>
      </c>
      <c r="T365" s="34">
        <f t="shared" si="5"/>
        <v>5.3657264266666669</v>
      </c>
    </row>
    <row r="366" spans="2:20">
      <c r="B366" s="230"/>
      <c r="C366" s="230"/>
      <c r="D366" s="230"/>
      <c r="E366" s="230" t="s">
        <v>806</v>
      </c>
      <c r="F366" s="230"/>
      <c r="H366" s="237">
        <v>8.3299999999999999E-2</v>
      </c>
      <c r="I366" s="237">
        <v>8.3299999999999999E-2</v>
      </c>
      <c r="J366" s="237">
        <v>8.3299999999999999E-2</v>
      </c>
      <c r="K366" s="237">
        <v>8.3299999999999999E-2</v>
      </c>
      <c r="L366" s="237">
        <v>8.3299999999999999E-2</v>
      </c>
      <c r="M366" s="237">
        <v>9.1630000000000003E-2</v>
      </c>
      <c r="N366" s="237">
        <v>0.10829</v>
      </c>
      <c r="O366" s="237">
        <v>0.10829</v>
      </c>
      <c r="P366" s="237">
        <v>0.11662</v>
      </c>
      <c r="Q366" s="237">
        <v>0.11662</v>
      </c>
      <c r="R366" s="237">
        <v>0.11662</v>
      </c>
      <c r="S366" s="237">
        <v>0.11662</v>
      </c>
      <c r="T366" s="34">
        <f t="shared" si="5"/>
        <v>1.1911899999999997</v>
      </c>
    </row>
    <row r="367" spans="2:20">
      <c r="B367" s="230"/>
      <c r="C367" s="230"/>
      <c r="D367" s="230"/>
      <c r="E367" s="230" t="s">
        <v>907</v>
      </c>
      <c r="F367" s="232"/>
      <c r="H367" s="253">
        <v>0.17279960770245748</v>
      </c>
      <c r="I367" s="253">
        <v>0.17279960770245748</v>
      </c>
      <c r="J367" s="253">
        <v>0.17279960770245748</v>
      </c>
      <c r="K367" s="253">
        <v>0.17279960770245748</v>
      </c>
      <c r="L367" s="253">
        <v>0.17279960770245748</v>
      </c>
      <c r="M367" s="253">
        <v>0.17279960770245748</v>
      </c>
      <c r="N367" s="253">
        <v>0.17279960770245748</v>
      </c>
      <c r="O367" s="253">
        <v>0.17279960770245748</v>
      </c>
      <c r="P367" s="253">
        <v>0.17279960770245748</v>
      </c>
      <c r="Q367" s="253">
        <v>0.17279960770245748</v>
      </c>
      <c r="R367" s="253">
        <v>0.17279960770245748</v>
      </c>
      <c r="S367" s="253">
        <v>0.17279960770245748</v>
      </c>
      <c r="T367" s="34">
        <f t="shared" si="5"/>
        <v>2.0735952924294891</v>
      </c>
    </row>
    <row r="368" spans="2:20">
      <c r="B368" s="230"/>
      <c r="C368" s="230"/>
      <c r="D368" s="230"/>
      <c r="E368" s="230" t="s">
        <v>939</v>
      </c>
      <c r="F368" s="232"/>
      <c r="H368" s="253">
        <v>3.3916389359456658</v>
      </c>
      <c r="I368" s="253">
        <v>3.3916389359456658</v>
      </c>
      <c r="J368" s="253">
        <v>3.3916389359456658</v>
      </c>
      <c r="K368" s="253">
        <v>3.3916389359456658</v>
      </c>
      <c r="L368" s="253">
        <v>3.3916389359456658</v>
      </c>
      <c r="M368" s="253">
        <v>3.3916389359456658</v>
      </c>
      <c r="N368" s="253">
        <v>3.3916389359456658</v>
      </c>
      <c r="O368" s="253">
        <v>3.3916389359456658</v>
      </c>
      <c r="P368" s="253">
        <v>3.3916389359456658</v>
      </c>
      <c r="Q368" s="253">
        <v>3.3916389359456658</v>
      </c>
      <c r="R368" s="253">
        <v>3.3916389359456658</v>
      </c>
      <c r="S368" s="253">
        <v>3.3916389359456658</v>
      </c>
      <c r="T368" s="34">
        <f t="shared" si="5"/>
        <v>40.699667231347981</v>
      </c>
    </row>
    <row r="369" spans="2:20">
      <c r="B369" s="230"/>
      <c r="C369" s="230"/>
      <c r="D369" s="230"/>
      <c r="E369" s="230" t="s">
        <v>808</v>
      </c>
      <c r="F369" s="232"/>
      <c r="H369" s="253">
        <v>0.15113671983698981</v>
      </c>
      <c r="I369" s="253">
        <v>0.33303439803429985</v>
      </c>
      <c r="J369" s="253">
        <v>0.56197911258634958</v>
      </c>
      <c r="K369" s="253">
        <v>0.71203861652823852</v>
      </c>
      <c r="L369" s="253">
        <v>0.9325863189996666</v>
      </c>
      <c r="M369" s="253">
        <v>1.1800709955093376</v>
      </c>
      <c r="N369" s="253">
        <v>1.2368787653835986</v>
      </c>
      <c r="O369" s="253">
        <v>1.416479240887436</v>
      </c>
      <c r="P369" s="253">
        <v>1.6367691527867478</v>
      </c>
      <c r="Q369" s="253">
        <v>1.8911067974253772</v>
      </c>
      <c r="R369" s="253">
        <v>2.1469108111907373</v>
      </c>
      <c r="S369" s="253">
        <v>2.3983970112226705</v>
      </c>
      <c r="T369" s="34">
        <f t="shared" si="5"/>
        <v>14.597387940391449</v>
      </c>
    </row>
    <row r="370" spans="2:20">
      <c r="B370" s="229"/>
      <c r="C370" s="229"/>
      <c r="D370" s="229"/>
      <c r="E370" s="229"/>
      <c r="F370" s="203"/>
      <c r="G370" s="203"/>
      <c r="H370" s="275"/>
      <c r="I370" s="275"/>
      <c r="J370" s="275"/>
      <c r="K370" s="275"/>
      <c r="L370" s="275"/>
      <c r="M370" s="275"/>
      <c r="N370" s="275"/>
      <c r="O370" s="275"/>
      <c r="P370" s="275"/>
      <c r="Q370" s="275"/>
      <c r="R370" s="275"/>
      <c r="S370" s="275"/>
      <c r="T370" s="34">
        <f t="shared" si="5"/>
        <v>0</v>
      </c>
    </row>
    <row r="371" spans="2:20">
      <c r="B371" s="230"/>
      <c r="C371" s="229" t="s">
        <v>135</v>
      </c>
      <c r="D371" s="229"/>
      <c r="E371" s="229"/>
      <c r="F371" s="203"/>
      <c r="G371" s="203"/>
      <c r="H371" s="275">
        <v>-0.5147294715970272</v>
      </c>
      <c r="I371" s="275">
        <v>0.20098346201071493</v>
      </c>
      <c r="J371" s="275">
        <v>1.1159533228157379</v>
      </c>
      <c r="K371" s="275">
        <v>1.7518839483435418</v>
      </c>
      <c r="L371" s="275">
        <v>2.9726197210389333</v>
      </c>
      <c r="M371" s="275">
        <v>3.6825013913077598</v>
      </c>
      <c r="N371" s="275">
        <v>4.4033202193593013</v>
      </c>
      <c r="O371" s="275">
        <v>4.7823851112384288</v>
      </c>
      <c r="P371" s="275">
        <v>5.156769356739261</v>
      </c>
      <c r="Q371" s="275">
        <v>5.8751866531012062</v>
      </c>
      <c r="R371" s="275">
        <v>6.54165222569784</v>
      </c>
      <c r="S371" s="275">
        <v>7.0630908941180781</v>
      </c>
      <c r="T371" s="34">
        <f t="shared" si="5"/>
        <v>43.031616834173775</v>
      </c>
    </row>
    <row r="372" spans="2:20">
      <c r="B372" s="230"/>
      <c r="C372" s="230"/>
      <c r="D372" s="230" t="s">
        <v>136</v>
      </c>
      <c r="E372" s="230"/>
      <c r="F372" s="232"/>
      <c r="H372" s="193">
        <v>13.99918192031358</v>
      </c>
      <c r="I372" s="193">
        <v>14.936898965435709</v>
      </c>
      <c r="J372" s="193">
        <v>9.4485691099330662</v>
      </c>
      <c r="K372" s="193">
        <v>6.535894027140384</v>
      </c>
      <c r="L372" s="193">
        <v>6.1449467437933505</v>
      </c>
      <c r="M372" s="193">
        <v>6.1053576490657857</v>
      </c>
      <c r="N372" s="193">
        <v>6.1076013254868595</v>
      </c>
      <c r="O372" s="193">
        <v>5.3931130326582561</v>
      </c>
      <c r="P372" s="193">
        <v>5.5272550223987</v>
      </c>
      <c r="Q372" s="193">
        <v>5.3499873669803844</v>
      </c>
      <c r="R372" s="193">
        <v>5.1869011680646455</v>
      </c>
      <c r="S372" s="193">
        <v>4.7925984427520714</v>
      </c>
      <c r="T372" s="34">
        <f t="shared" si="5"/>
        <v>89.5283047740228</v>
      </c>
    </row>
    <row r="373" spans="2:20">
      <c r="B373" s="229"/>
      <c r="C373" s="229" t="s">
        <v>860</v>
      </c>
      <c r="D373" s="229"/>
      <c r="E373" s="229"/>
      <c r="F373" s="203"/>
      <c r="G373" s="203"/>
      <c r="H373" s="234">
        <v>-14.513911391910607</v>
      </c>
      <c r="I373" s="234">
        <v>-14.735915503424994</v>
      </c>
      <c r="J373" s="234">
        <v>-8.3326157871173283</v>
      </c>
      <c r="K373" s="234">
        <v>-4.7840100787968423</v>
      </c>
      <c r="L373" s="234">
        <v>-3.1723270227544171</v>
      </c>
      <c r="M373" s="234">
        <v>-2.4228562577580259</v>
      </c>
      <c r="N373" s="234">
        <v>-1.7042811061275582</v>
      </c>
      <c r="O373" s="234">
        <v>-0.61072792141982735</v>
      </c>
      <c r="P373" s="234">
        <v>-0.37048566565943908</v>
      </c>
      <c r="Q373" s="234">
        <v>0.5251992861208219</v>
      </c>
      <c r="R373" s="234">
        <v>1.3547510576331945</v>
      </c>
      <c r="S373" s="234">
        <v>2.2704924513660067</v>
      </c>
      <c r="T373" s="34">
        <f t="shared" si="5"/>
        <v>-46.496687939849011</v>
      </c>
    </row>
    <row r="374" spans="2:20">
      <c r="B374" s="230"/>
      <c r="C374" s="230"/>
      <c r="D374" s="230"/>
      <c r="E374" s="230"/>
      <c r="F374" s="232"/>
      <c r="G374" t="s">
        <v>736</v>
      </c>
      <c r="H374" s="276"/>
      <c r="I374" s="276"/>
      <c r="J374" s="276"/>
      <c r="K374" s="276"/>
      <c r="L374" s="276"/>
      <c r="M374" s="276"/>
      <c r="N374" s="276"/>
      <c r="O374" s="276"/>
      <c r="P374" s="276"/>
      <c r="Q374" s="276"/>
      <c r="R374" s="276"/>
      <c r="S374" s="276"/>
      <c r="T374" s="34">
        <f t="shared" si="5"/>
        <v>0</v>
      </c>
    </row>
    <row r="375" spans="2:20">
      <c r="B375" s="229" t="s">
        <v>940</v>
      </c>
      <c r="C375" s="230"/>
      <c r="D375" s="230"/>
      <c r="E375" s="230"/>
      <c r="F375" s="232"/>
      <c r="G375" t="s">
        <v>736</v>
      </c>
      <c r="T375" s="34">
        <f t="shared" si="5"/>
        <v>0</v>
      </c>
    </row>
    <row r="376" spans="2:20">
      <c r="B376" s="229" t="s">
        <v>779</v>
      </c>
      <c r="C376" s="229"/>
      <c r="D376" s="229"/>
      <c r="E376" s="229"/>
      <c r="F376" s="203"/>
      <c r="G376" s="203" t="s">
        <v>736</v>
      </c>
      <c r="H376" s="277">
        <v>0.25737697464500003</v>
      </c>
      <c r="I376" s="277">
        <v>0.27755984592465599</v>
      </c>
      <c r="J376" s="277">
        <v>0.29485008541461388</v>
      </c>
      <c r="K376" s="277">
        <v>0.31918434096757775</v>
      </c>
      <c r="L376" s="277">
        <v>0.34586219215573361</v>
      </c>
      <c r="M376" s="277">
        <v>0.37367325418902231</v>
      </c>
      <c r="N376" s="277">
        <v>0.40057438008264334</v>
      </c>
      <c r="O376" s="277">
        <v>0.42332543878876017</v>
      </c>
      <c r="P376" s="277">
        <v>0.44498890533052343</v>
      </c>
      <c r="Q376" s="277">
        <v>0.46982891662682924</v>
      </c>
      <c r="R376" s="277">
        <v>0.49832907349632843</v>
      </c>
      <c r="S376" s="277">
        <v>0.53526523085245648</v>
      </c>
      <c r="T376" s="34">
        <f t="shared" si="5"/>
        <v>4.6408186384741441</v>
      </c>
    </row>
    <row r="377" spans="2:20">
      <c r="B377" s="229"/>
      <c r="C377" s="230" t="s">
        <v>343</v>
      </c>
      <c r="D377" s="230"/>
      <c r="E377" s="230"/>
      <c r="F377" s="232"/>
      <c r="H377" s="262">
        <v>2.661899684500001E-2</v>
      </c>
      <c r="I377" s="262">
        <v>3.1773919691500001E-2</v>
      </c>
      <c r="J377" s="262">
        <v>3.8913121879800006E-2</v>
      </c>
      <c r="K377" s="262">
        <v>4.7637048155760003E-2</v>
      </c>
      <c r="L377" s="262">
        <v>5.8294020066912013E-2</v>
      </c>
      <c r="M377" s="262">
        <v>6.9673652823196805E-2</v>
      </c>
      <c r="N377" s="262">
        <v>7.9732799439814081E-2</v>
      </c>
      <c r="O377" s="262">
        <v>8.7197048148927009E-2</v>
      </c>
      <c r="P377" s="262">
        <v>9.3234554693686383E-2</v>
      </c>
      <c r="Q377" s="262">
        <v>0.10210945599298842</v>
      </c>
      <c r="R377" s="262">
        <v>0.11430535286548371</v>
      </c>
      <c r="S377" s="262">
        <v>0.12669115292460773</v>
      </c>
      <c r="T377" s="34">
        <f t="shared" si="5"/>
        <v>0.87618112352767608</v>
      </c>
    </row>
    <row r="378" spans="2:20">
      <c r="B378" s="229"/>
      <c r="C378" s="230" t="s">
        <v>345</v>
      </c>
      <c r="D378" s="230"/>
      <c r="E378" s="230"/>
      <c r="F378" s="232"/>
      <c r="H378" s="262">
        <v>0.12153719900000003</v>
      </c>
      <c r="I378" s="262">
        <v>0.12406594899999999</v>
      </c>
      <c r="J378" s="262">
        <v>0.126594699</v>
      </c>
      <c r="K378" s="262">
        <v>0.129123449</v>
      </c>
      <c r="L378" s="262">
        <v>0.131652199</v>
      </c>
      <c r="M378" s="262">
        <v>0.13418094899999999</v>
      </c>
      <c r="N378" s="262">
        <v>0.13670969899999999</v>
      </c>
      <c r="O378" s="262">
        <v>0.13923844899999999</v>
      </c>
      <c r="P378" s="262">
        <v>0.14176719899999998</v>
      </c>
      <c r="Q378" s="262">
        <v>0.14429594900000001</v>
      </c>
      <c r="R378" s="262">
        <v>0.146824699</v>
      </c>
      <c r="S378" s="262">
        <v>0.14935344900000003</v>
      </c>
      <c r="T378" s="34">
        <f t="shared" si="5"/>
        <v>1.6253438879999997</v>
      </c>
    </row>
    <row r="379" spans="2:20">
      <c r="B379" s="229"/>
      <c r="C379" s="230" t="s">
        <v>346</v>
      </c>
      <c r="D379" s="230"/>
      <c r="E379" s="230"/>
      <c r="F379" s="232"/>
      <c r="H379" s="262">
        <v>0</v>
      </c>
      <c r="I379" s="262">
        <v>7.0060771199999998E-3</v>
      </c>
      <c r="J379" s="262">
        <v>8.9360964000000011E-3</v>
      </c>
      <c r="K379" s="262">
        <v>1.2760434960000001E-2</v>
      </c>
      <c r="L379" s="262">
        <v>1.6727573520000004E-2</v>
      </c>
      <c r="M379" s="262">
        <v>2.0837512079999999E-2</v>
      </c>
      <c r="N379" s="262">
        <v>2.5090250639999999E-2</v>
      </c>
      <c r="O379" s="262">
        <v>2.7520069920000004E-2</v>
      </c>
      <c r="P379" s="262">
        <v>3.0021289200000006E-2</v>
      </c>
      <c r="Q379" s="262">
        <v>3.259390848000001E-2</v>
      </c>
      <c r="R379" s="262">
        <v>3.5237927760000003E-2</v>
      </c>
      <c r="S379" s="262">
        <v>3.7953347040000016E-2</v>
      </c>
      <c r="T379" s="34">
        <f t="shared" si="5"/>
        <v>0.25468448712000002</v>
      </c>
    </row>
    <row r="380" spans="2:20">
      <c r="B380" s="229"/>
      <c r="C380" s="230" t="s">
        <v>348</v>
      </c>
      <c r="D380" s="230"/>
      <c r="E380" s="230"/>
      <c r="F380" s="232"/>
      <c r="H380" s="262">
        <v>2.5737289200000006E-2</v>
      </c>
      <c r="I380" s="262">
        <v>3.2840986500000002E-2</v>
      </c>
      <c r="J380" s="262">
        <v>4.0212433800000003E-2</v>
      </c>
      <c r="K380" s="262">
        <v>4.78516311E-2</v>
      </c>
      <c r="L380" s="262">
        <v>5.5758578400000001E-2</v>
      </c>
      <c r="M380" s="262">
        <v>6.39332757E-2</v>
      </c>
      <c r="N380" s="262">
        <v>7.2375722999999989E-2</v>
      </c>
      <c r="O380" s="262">
        <v>8.1085920300000003E-2</v>
      </c>
      <c r="P380" s="262">
        <v>9.0063867600000014E-2</v>
      </c>
      <c r="Q380" s="262">
        <v>9.9309564899999994E-2</v>
      </c>
      <c r="R380" s="262">
        <v>0.10882301220000003</v>
      </c>
      <c r="S380" s="262">
        <v>0.12651115680000002</v>
      </c>
      <c r="T380" s="34">
        <f t="shared" si="5"/>
        <v>0.84450343950000006</v>
      </c>
    </row>
    <row r="381" spans="2:20">
      <c r="B381" s="230"/>
      <c r="C381" s="230" t="s">
        <v>30</v>
      </c>
      <c r="D381" s="230"/>
      <c r="E381" s="230"/>
      <c r="F381" s="232"/>
      <c r="G381" s="232"/>
      <c r="H381" s="261">
        <v>8.3483489600000002E-2</v>
      </c>
      <c r="I381" s="261">
        <v>8.1872913613155976E-2</v>
      </c>
      <c r="J381" s="261">
        <v>8.0193734334813888E-2</v>
      </c>
      <c r="K381" s="261">
        <v>8.1811777751817735E-2</v>
      </c>
      <c r="L381" s="261">
        <v>8.3429821168821583E-2</v>
      </c>
      <c r="M381" s="261">
        <v>8.5047864585825445E-2</v>
      </c>
      <c r="N381" s="261">
        <v>8.6665908002829292E-2</v>
      </c>
      <c r="O381" s="261">
        <v>8.8283951419833168E-2</v>
      </c>
      <c r="P381" s="261">
        <v>8.9901994836837015E-2</v>
      </c>
      <c r="Q381" s="261">
        <v>9.1520038253840877E-2</v>
      </c>
      <c r="R381" s="261">
        <v>9.3138081670844711E-2</v>
      </c>
      <c r="S381" s="261">
        <v>9.47561250878486E-2</v>
      </c>
      <c r="T381" s="34">
        <f t="shared" si="5"/>
        <v>1.0401057003264682</v>
      </c>
    </row>
    <row r="382" spans="2:20">
      <c r="B382" s="230"/>
      <c r="C382" s="278"/>
      <c r="D382" s="230" t="s">
        <v>31</v>
      </c>
      <c r="E382" s="230"/>
      <c r="F382" s="232"/>
      <c r="G382" s="232"/>
      <c r="H382" s="246">
        <v>7.074872000000002E-3</v>
      </c>
      <c r="I382" s="246">
        <v>3.8577960131559765E-3</v>
      </c>
      <c r="J382" s="246">
        <v>5.7211673481388098E-4</v>
      </c>
      <c r="K382" s="246">
        <v>5.8366015181773867E-4</v>
      </c>
      <c r="L382" s="246">
        <v>5.9520356882159637E-4</v>
      </c>
      <c r="M382" s="246">
        <v>6.0674698582545417E-4</v>
      </c>
      <c r="N382" s="246">
        <v>6.1829040282931186E-4</v>
      </c>
      <c r="O382" s="246">
        <v>6.2983381983316967E-4</v>
      </c>
      <c r="P382" s="246">
        <v>6.4137723683702747E-4</v>
      </c>
      <c r="Q382" s="246">
        <v>6.5292065384088516E-4</v>
      </c>
      <c r="R382" s="246">
        <v>6.6446407084474286E-4</v>
      </c>
      <c r="S382" s="246">
        <v>6.7600748784860066E-4</v>
      </c>
      <c r="T382" s="34">
        <f t="shared" si="5"/>
        <v>1.7173289126468389E-2</v>
      </c>
    </row>
    <row r="383" spans="2:20">
      <c r="B383" s="230"/>
      <c r="C383" s="278"/>
      <c r="D383" s="230" t="s">
        <v>32</v>
      </c>
      <c r="E383" s="230"/>
      <c r="F383" s="232"/>
      <c r="G383" s="232"/>
      <c r="H383" s="246">
        <v>7.6408617600000006E-2</v>
      </c>
      <c r="I383" s="246">
        <v>7.8015117600000003E-2</v>
      </c>
      <c r="J383" s="246">
        <v>7.96216176E-2</v>
      </c>
      <c r="K383" s="246">
        <v>8.1228117599999997E-2</v>
      </c>
      <c r="L383" s="246">
        <v>8.2834617599999993E-2</v>
      </c>
      <c r="M383" s="246">
        <v>8.444111759999999E-2</v>
      </c>
      <c r="N383" s="246">
        <v>8.6047617599999987E-2</v>
      </c>
      <c r="O383" s="246">
        <v>8.7654117599999998E-2</v>
      </c>
      <c r="P383" s="246">
        <v>8.9260617599999995E-2</v>
      </c>
      <c r="Q383" s="246">
        <v>9.0867117599999991E-2</v>
      </c>
      <c r="R383" s="246">
        <v>9.2473617599999974E-2</v>
      </c>
      <c r="S383" s="246">
        <v>9.4080117599999999E-2</v>
      </c>
      <c r="T383" s="34">
        <f t="shared" si="5"/>
        <v>1.0229324112</v>
      </c>
    </row>
    <row r="384" spans="2:20">
      <c r="B384" s="230"/>
      <c r="C384" s="230" t="s">
        <v>354</v>
      </c>
      <c r="D384" s="230"/>
      <c r="E384" s="230"/>
      <c r="F384" s="279"/>
      <c r="G384" s="279"/>
      <c r="H384" s="246">
        <v>1.1438795200000003E-2</v>
      </c>
      <c r="I384" s="246">
        <v>1.4774389482222223E-2</v>
      </c>
      <c r="J384" s="246">
        <v>1.8699609133333336E-2</v>
      </c>
      <c r="K384" s="246">
        <v>2.3242220820000003E-2</v>
      </c>
      <c r="L384" s="246">
        <v>2.8429991208888887E-2</v>
      </c>
      <c r="M384" s="246">
        <v>3.4290686966666664E-2</v>
      </c>
      <c r="N384" s="246">
        <v>4.0852074760000009E-2</v>
      </c>
      <c r="O384" s="246">
        <v>4.8141921255555581E-2</v>
      </c>
      <c r="P384" s="246">
        <v>5.6187993120000015E-2</v>
      </c>
      <c r="Q384" s="246">
        <v>6.501805702000002E-2</v>
      </c>
      <c r="R384" s="246">
        <v>7.4659879622222244E-2</v>
      </c>
      <c r="S384" s="246">
        <v>9.4883367600000004E-2</v>
      </c>
      <c r="T384" s="34">
        <f t="shared" si="5"/>
        <v>0.51061898618888901</v>
      </c>
    </row>
    <row r="385" spans="2:20">
      <c r="B385" s="230"/>
      <c r="C385" s="230"/>
      <c r="D385" s="230" t="s">
        <v>356</v>
      </c>
      <c r="E385" s="230"/>
      <c r="F385" s="279"/>
      <c r="G385" s="279" t="s">
        <v>736</v>
      </c>
      <c r="H385" s="253">
        <v>1.0294915680000002E-2</v>
      </c>
      <c r="I385" s="253">
        <v>1.182275514E-2</v>
      </c>
      <c r="J385" s="253">
        <v>1.3404144600000004E-2</v>
      </c>
      <c r="K385" s="253">
        <v>1.5039084060000004E-2</v>
      </c>
      <c r="L385" s="253">
        <v>1.672757352E-2</v>
      </c>
      <c r="M385" s="253">
        <v>1.8469612980000001E-2</v>
      </c>
      <c r="N385" s="253">
        <v>2.0265202440000012E-2</v>
      </c>
      <c r="O385" s="253">
        <v>2.2114341900000015E-2</v>
      </c>
      <c r="P385" s="253">
        <v>2.4017031360000007E-2</v>
      </c>
      <c r="Q385" s="253">
        <v>2.5973270820000012E-2</v>
      </c>
      <c r="R385" s="253">
        <v>2.7983060280000013E-2</v>
      </c>
      <c r="S385" s="253">
        <v>3.1627789200000006E-2</v>
      </c>
      <c r="T385" s="34">
        <f t="shared" si="5"/>
        <v>0.23773878198000006</v>
      </c>
    </row>
    <row r="386" spans="2:20">
      <c r="B386" s="230"/>
      <c r="C386" s="230"/>
      <c r="D386" s="230" t="s">
        <v>358</v>
      </c>
      <c r="E386" s="230"/>
      <c r="F386" s="279"/>
      <c r="G386" s="279" t="s">
        <v>736</v>
      </c>
      <c r="H386" s="246">
        <v>1.1438795200000003E-3</v>
      </c>
      <c r="I386" s="246">
        <v>2.9516343422222222E-3</v>
      </c>
      <c r="J386" s="246">
        <v>5.295464533333333E-3</v>
      </c>
      <c r="K386" s="246">
        <v>8.2031367599999985E-3</v>
      </c>
      <c r="L386" s="246">
        <v>1.1702417688888888E-2</v>
      </c>
      <c r="M386" s="246">
        <v>1.5821073986666667E-2</v>
      </c>
      <c r="N386" s="246">
        <v>2.0586872319999998E-2</v>
      </c>
      <c r="O386" s="246">
        <v>2.6027579355555566E-2</v>
      </c>
      <c r="P386" s="246">
        <v>3.2170961760000005E-2</v>
      </c>
      <c r="Q386" s="246">
        <v>3.9044786200000008E-2</v>
      </c>
      <c r="R386" s="246">
        <v>4.6676819342222231E-2</v>
      </c>
      <c r="S386" s="246">
        <v>6.3255578399999998E-2</v>
      </c>
      <c r="T386" s="34">
        <f t="shared" si="5"/>
        <v>0.27288020420888892</v>
      </c>
    </row>
    <row r="387" spans="2:20">
      <c r="B387" s="229" t="s">
        <v>787</v>
      </c>
      <c r="C387" s="229"/>
      <c r="D387" s="229"/>
      <c r="E387" s="229"/>
      <c r="F387" s="280"/>
      <c r="G387" s="280" t="s">
        <v>736</v>
      </c>
      <c r="H387" s="248">
        <v>0.17158192800000005</v>
      </c>
      <c r="I387" s="248">
        <v>0.17515192799999996</v>
      </c>
      <c r="J387" s="248">
        <v>0.178721928</v>
      </c>
      <c r="K387" s="248">
        <v>0.18229192800000002</v>
      </c>
      <c r="L387" s="248">
        <v>0.18586192800000001</v>
      </c>
      <c r="M387" s="248">
        <v>0.18943192799999997</v>
      </c>
      <c r="N387" s="248">
        <v>0.19300192799999999</v>
      </c>
      <c r="O387" s="248">
        <v>0.19657192800000001</v>
      </c>
      <c r="P387" s="248">
        <v>0.20014192800000002</v>
      </c>
      <c r="Q387" s="248">
        <v>0.20371192800000001</v>
      </c>
      <c r="R387" s="248">
        <v>0.20728192799999998</v>
      </c>
      <c r="S387" s="248">
        <v>0.21085192800000002</v>
      </c>
      <c r="T387" s="34">
        <f t="shared" si="5"/>
        <v>2.2946031359999997</v>
      </c>
    </row>
    <row r="388" spans="2:20">
      <c r="B388" s="230"/>
      <c r="C388" s="230" t="s">
        <v>788</v>
      </c>
      <c r="D388" s="230"/>
      <c r="E388" s="230"/>
      <c r="F388" s="279"/>
      <c r="G388" s="279"/>
      <c r="H388" s="246">
        <v>0.17158192800000005</v>
      </c>
      <c r="I388" s="246">
        <v>0.17515192799999996</v>
      </c>
      <c r="J388" s="246">
        <v>0.178721928</v>
      </c>
      <c r="K388" s="246">
        <v>0.18229192800000002</v>
      </c>
      <c r="L388" s="246">
        <v>0.18586192800000001</v>
      </c>
      <c r="M388" s="246">
        <v>0.18943192799999997</v>
      </c>
      <c r="N388" s="246">
        <v>0.19300192799999999</v>
      </c>
      <c r="O388" s="246">
        <v>0.19657192800000001</v>
      </c>
      <c r="P388" s="246">
        <v>0.20014192800000002</v>
      </c>
      <c r="Q388" s="246">
        <v>0.20371192800000001</v>
      </c>
      <c r="R388" s="246">
        <v>0.20728192799999998</v>
      </c>
      <c r="S388" s="246">
        <v>0.21085192800000002</v>
      </c>
      <c r="T388" s="34">
        <f t="shared" si="5"/>
        <v>2.2946031359999997</v>
      </c>
    </row>
    <row r="389" spans="2:20">
      <c r="B389" s="230"/>
      <c r="C389" s="230" t="s">
        <v>941</v>
      </c>
      <c r="D389" s="230"/>
      <c r="E389" s="230"/>
      <c r="F389" s="279"/>
      <c r="G389" s="279"/>
      <c r="H389" s="246"/>
      <c r="I389" s="246"/>
      <c r="J389" s="246"/>
      <c r="K389" s="246"/>
      <c r="L389" s="246"/>
      <c r="M389" s="246"/>
      <c r="N389" s="246"/>
      <c r="O389" s="246"/>
      <c r="P389" s="246"/>
      <c r="Q389" s="246"/>
      <c r="R389" s="246"/>
      <c r="S389" s="246"/>
      <c r="T389" s="34">
        <f t="shared" si="5"/>
        <v>0</v>
      </c>
    </row>
    <row r="390" spans="2:20">
      <c r="B390" s="230"/>
      <c r="C390" s="229" t="s">
        <v>942</v>
      </c>
      <c r="D390" s="230"/>
      <c r="E390" s="230"/>
      <c r="F390" s="279"/>
      <c r="G390" s="279"/>
      <c r="H390" s="246">
        <v>8.5795046644999984E-2</v>
      </c>
      <c r="I390" s="246">
        <v>0.10240791792465603</v>
      </c>
      <c r="J390" s="246">
        <v>0.11612815741461388</v>
      </c>
      <c r="K390" s="246">
        <v>0.13689241296757773</v>
      </c>
      <c r="L390" s="246">
        <v>0.1600002641557336</v>
      </c>
      <c r="M390" s="246">
        <v>0.18424132618902234</v>
      </c>
      <c r="N390" s="246">
        <v>0.20757245208264336</v>
      </c>
      <c r="O390" s="246">
        <v>0.22675351078876016</v>
      </c>
      <c r="P390" s="246">
        <v>0.24484697733052341</v>
      </c>
      <c r="Q390" s="246">
        <v>0.2661169886268292</v>
      </c>
      <c r="R390" s="246">
        <v>0.29104714549632849</v>
      </c>
      <c r="S390" s="246">
        <v>0.32441330285245645</v>
      </c>
      <c r="T390" s="34">
        <f t="shared" si="5"/>
        <v>2.3462155024741445</v>
      </c>
    </row>
    <row r="391" spans="2:20">
      <c r="B391" s="230"/>
      <c r="C391" s="278"/>
      <c r="D391" s="230"/>
      <c r="E391" s="230"/>
      <c r="F391" s="232"/>
      <c r="H391" s="246"/>
      <c r="I391" s="246"/>
      <c r="J391" s="246"/>
      <c r="K391" s="246"/>
      <c r="L391" s="246"/>
      <c r="M391" s="246"/>
      <c r="N391" s="246"/>
      <c r="O391" s="246"/>
      <c r="P391" s="246"/>
      <c r="Q391" s="246"/>
      <c r="R391" s="246"/>
      <c r="S391" s="246"/>
      <c r="T391" s="34">
        <f t="shared" si="5"/>
        <v>0</v>
      </c>
    </row>
    <row r="392" spans="2:20">
      <c r="B392" s="229"/>
      <c r="C392" s="229" t="s">
        <v>943</v>
      </c>
      <c r="D392" s="229"/>
      <c r="E392" s="229"/>
      <c r="F392" s="203"/>
      <c r="G392" s="203"/>
      <c r="H392" s="234">
        <v>1.2959999999999998</v>
      </c>
      <c r="I392" s="234">
        <v>1.2959999999999998</v>
      </c>
      <c r="J392" s="234">
        <v>1.9159999999999999</v>
      </c>
      <c r="K392" s="234">
        <v>1.9159999999999999</v>
      </c>
      <c r="L392" s="234">
        <v>1.9159999999999999</v>
      </c>
      <c r="M392" s="234">
        <v>1.9159999999999999</v>
      </c>
      <c r="N392" s="234">
        <v>1.9159999999999999</v>
      </c>
      <c r="O392" s="234">
        <v>1.9159999999999999</v>
      </c>
      <c r="P392" s="234">
        <v>1.9159999999999999</v>
      </c>
      <c r="Q392" s="234">
        <v>1.9159999999999999</v>
      </c>
      <c r="R392" s="234">
        <v>1.9159999999999999</v>
      </c>
      <c r="S392" s="234">
        <v>1.9159999999999999</v>
      </c>
      <c r="T392" s="34">
        <f t="shared" ref="T392:T413" si="6">SUM(H392:S392)</f>
        <v>21.752000000000002</v>
      </c>
    </row>
    <row r="393" spans="2:20">
      <c r="B393" s="230"/>
      <c r="C393" s="230"/>
      <c r="D393" s="230" t="s">
        <v>944</v>
      </c>
      <c r="E393" s="230"/>
      <c r="F393" s="232"/>
      <c r="G393" s="232"/>
      <c r="H393" s="246">
        <v>0.72</v>
      </c>
      <c r="I393" s="246">
        <v>0.72</v>
      </c>
      <c r="J393" s="246">
        <v>0.72</v>
      </c>
      <c r="K393" s="246">
        <v>0.72</v>
      </c>
      <c r="L393" s="246">
        <v>0.72</v>
      </c>
      <c r="M393" s="246">
        <v>0.72</v>
      </c>
      <c r="N393" s="246">
        <v>0.72</v>
      </c>
      <c r="O393" s="246">
        <v>0.72</v>
      </c>
      <c r="P393" s="246">
        <v>0.72</v>
      </c>
      <c r="Q393" s="246">
        <v>0.72</v>
      </c>
      <c r="R393" s="246">
        <v>0.72</v>
      </c>
      <c r="S393" s="246">
        <v>0.72</v>
      </c>
      <c r="T393" s="34">
        <f t="shared" si="6"/>
        <v>8.6399999999999988</v>
      </c>
    </row>
    <row r="394" spans="2:20">
      <c r="B394" s="230"/>
      <c r="C394" s="230"/>
      <c r="D394" s="230" t="s">
        <v>945</v>
      </c>
      <c r="E394" s="230"/>
      <c r="F394" s="232"/>
      <c r="G394" s="232"/>
      <c r="H394" s="246">
        <v>0.57599999999999996</v>
      </c>
      <c r="I394" s="246">
        <v>0.57599999999999996</v>
      </c>
      <c r="J394" s="246">
        <v>0.57599999999999996</v>
      </c>
      <c r="K394" s="246">
        <v>0.57599999999999996</v>
      </c>
      <c r="L394" s="246">
        <v>0.57599999999999996</v>
      </c>
      <c r="M394" s="246">
        <v>0.57599999999999996</v>
      </c>
      <c r="N394" s="246">
        <v>0.57599999999999996</v>
      </c>
      <c r="O394" s="246">
        <v>0.57599999999999996</v>
      </c>
      <c r="P394" s="246">
        <v>0.57599999999999996</v>
      </c>
      <c r="Q394" s="246">
        <v>0.57599999999999996</v>
      </c>
      <c r="R394" s="246">
        <v>0.57599999999999996</v>
      </c>
      <c r="S394" s="246">
        <v>0.57599999999999996</v>
      </c>
      <c r="T394" s="34">
        <f t="shared" si="6"/>
        <v>6.9119999999999981</v>
      </c>
    </row>
    <row r="395" spans="2:20">
      <c r="B395" s="230"/>
      <c r="C395" s="230"/>
      <c r="D395" s="230" t="s">
        <v>946</v>
      </c>
      <c r="E395" s="230"/>
      <c r="F395" s="232"/>
      <c r="H395" s="246"/>
      <c r="I395" s="246"/>
      <c r="J395" s="246">
        <v>0.62</v>
      </c>
      <c r="K395" s="246">
        <v>0.62</v>
      </c>
      <c r="L395" s="246">
        <v>0.62</v>
      </c>
      <c r="M395" s="246">
        <v>0.62</v>
      </c>
      <c r="N395" s="246">
        <v>0.62</v>
      </c>
      <c r="O395" s="246">
        <v>0.62</v>
      </c>
      <c r="P395" s="246">
        <v>0.62</v>
      </c>
      <c r="Q395" s="246">
        <v>0.62</v>
      </c>
      <c r="R395" s="246">
        <v>0.62</v>
      </c>
      <c r="S395" s="246">
        <v>0.62</v>
      </c>
      <c r="T395" s="34">
        <f t="shared" si="6"/>
        <v>6.2</v>
      </c>
    </row>
    <row r="396" spans="2:20">
      <c r="B396" s="229"/>
      <c r="C396" s="229" t="s">
        <v>947</v>
      </c>
      <c r="D396" s="229"/>
      <c r="E396" s="229"/>
      <c r="F396" s="203"/>
      <c r="G396" s="203"/>
      <c r="H396" s="234">
        <v>3.7403585050000001</v>
      </c>
      <c r="I396" s="234">
        <v>3.7403585050000001</v>
      </c>
      <c r="J396" s="234">
        <v>2.3303585050000004</v>
      </c>
      <c r="K396" s="234">
        <v>2.3303585050000004</v>
      </c>
      <c r="L396" s="234">
        <v>2.3303585050000004</v>
      </c>
      <c r="M396" s="234">
        <v>0.92446500000000009</v>
      </c>
      <c r="N396" s="234">
        <v>0.92446500000000009</v>
      </c>
      <c r="O396" s="234">
        <v>0.92446500000000009</v>
      </c>
      <c r="P396" s="234">
        <v>0.92446500000000009</v>
      </c>
      <c r="Q396" s="234">
        <v>0.92446500000000009</v>
      </c>
      <c r="R396" s="234">
        <v>0.92446500000000009</v>
      </c>
      <c r="S396" s="234">
        <v>0.92446500000000009</v>
      </c>
      <c r="T396" s="34">
        <f t="shared" si="6"/>
        <v>20.943047525000008</v>
      </c>
    </row>
    <row r="397" spans="2:20">
      <c r="B397" s="230"/>
      <c r="C397" s="230"/>
      <c r="D397" s="230" t="s">
        <v>398</v>
      </c>
      <c r="E397" s="230"/>
      <c r="F397" s="232"/>
      <c r="H397" s="246">
        <v>2.4465000000000001E-2</v>
      </c>
      <c r="I397" s="246">
        <v>2.4465000000000001E-2</v>
      </c>
      <c r="J397" s="246">
        <v>2.4465000000000001E-2</v>
      </c>
      <c r="K397" s="246">
        <v>2.4465000000000001E-2</v>
      </c>
      <c r="L397" s="246">
        <v>2.4465000000000001E-2</v>
      </c>
      <c r="M397" s="246">
        <v>2.4465000000000001E-2</v>
      </c>
      <c r="N397" s="246">
        <v>2.4465000000000001E-2</v>
      </c>
      <c r="O397" s="246">
        <v>2.4465000000000001E-2</v>
      </c>
      <c r="P397" s="246">
        <v>2.4465000000000001E-2</v>
      </c>
      <c r="Q397" s="246">
        <v>2.4465000000000001E-2</v>
      </c>
      <c r="R397" s="246">
        <v>2.4465000000000001E-2</v>
      </c>
      <c r="S397" s="246">
        <v>2.4465000000000001E-2</v>
      </c>
      <c r="T397" s="34">
        <f t="shared" si="6"/>
        <v>0.29358000000000006</v>
      </c>
    </row>
    <row r="398" spans="2:20">
      <c r="B398" s="230"/>
      <c r="C398" s="230"/>
      <c r="D398" s="230" t="s">
        <v>400</v>
      </c>
      <c r="E398" s="230"/>
      <c r="F398" s="232"/>
      <c r="H398" s="193">
        <v>0.4</v>
      </c>
      <c r="I398" s="193">
        <v>0.4</v>
      </c>
      <c r="J398" s="193">
        <v>0.4</v>
      </c>
      <c r="K398" s="193">
        <v>0.4</v>
      </c>
      <c r="L398" s="193">
        <v>0.4</v>
      </c>
      <c r="M398" s="193">
        <v>0.4</v>
      </c>
      <c r="N398" s="193">
        <v>0.4</v>
      </c>
      <c r="O398" s="193">
        <v>0.4</v>
      </c>
      <c r="P398" s="193">
        <v>0.4</v>
      </c>
      <c r="Q398" s="193">
        <v>0.4</v>
      </c>
      <c r="R398" s="193">
        <v>0.4</v>
      </c>
      <c r="S398" s="193">
        <v>0.4</v>
      </c>
      <c r="T398" s="34">
        <f t="shared" si="6"/>
        <v>4.8</v>
      </c>
    </row>
    <row r="399" spans="2:20">
      <c r="B399" s="230"/>
      <c r="C399" s="230"/>
      <c r="D399" s="230" t="s">
        <v>892</v>
      </c>
      <c r="E399" s="230"/>
      <c r="F399" s="232"/>
      <c r="H399" s="246">
        <v>2.815893505</v>
      </c>
      <c r="I399" s="246">
        <v>2.815893505</v>
      </c>
      <c r="J399" s="246">
        <v>2.815893505</v>
      </c>
      <c r="K399" s="246">
        <v>2.815893505</v>
      </c>
      <c r="L399" s="246">
        <v>2.815893505</v>
      </c>
      <c r="M399" s="246">
        <v>1</v>
      </c>
      <c r="N399" s="246">
        <v>1</v>
      </c>
      <c r="O399" s="246">
        <v>1</v>
      </c>
      <c r="P399" s="246">
        <v>1</v>
      </c>
      <c r="Q399" s="246">
        <v>1</v>
      </c>
      <c r="R399" s="246">
        <v>1</v>
      </c>
      <c r="S399" s="246">
        <v>1</v>
      </c>
      <c r="T399" s="34">
        <f t="shared" si="6"/>
        <v>21.079467524999998</v>
      </c>
    </row>
    <row r="400" spans="2:20">
      <c r="B400" s="230"/>
      <c r="C400" s="230"/>
      <c r="D400" s="230" t="s">
        <v>948</v>
      </c>
      <c r="E400" s="230"/>
      <c r="F400" s="232"/>
      <c r="H400" s="246"/>
      <c r="I400" s="246"/>
      <c r="J400" s="246">
        <v>-1.41</v>
      </c>
      <c r="K400" s="246">
        <v>-1.41</v>
      </c>
      <c r="L400" s="246">
        <v>-1.41</v>
      </c>
      <c r="M400" s="246">
        <v>-1</v>
      </c>
      <c r="N400" s="246">
        <v>-1</v>
      </c>
      <c r="O400" s="246">
        <v>-1</v>
      </c>
      <c r="P400" s="246">
        <v>-1</v>
      </c>
      <c r="Q400" s="246">
        <v>-1</v>
      </c>
      <c r="R400" s="246">
        <v>-1</v>
      </c>
      <c r="S400" s="246">
        <v>-1</v>
      </c>
      <c r="T400" s="34">
        <f t="shared" si="6"/>
        <v>-11.23</v>
      </c>
    </row>
    <row r="401" spans="2:20">
      <c r="B401" s="230"/>
      <c r="C401" s="230"/>
      <c r="D401" s="230" t="s">
        <v>404</v>
      </c>
      <c r="E401" s="230"/>
      <c r="F401" s="232"/>
      <c r="G401" t="s">
        <v>736</v>
      </c>
      <c r="H401" s="246">
        <v>0.5</v>
      </c>
      <c r="I401" s="246">
        <v>0.5</v>
      </c>
      <c r="J401" s="246">
        <v>0.5</v>
      </c>
      <c r="K401" s="246">
        <v>0.5</v>
      </c>
      <c r="L401" s="246">
        <v>0.5</v>
      </c>
      <c r="M401" s="246">
        <v>0.5</v>
      </c>
      <c r="N401" s="246">
        <v>0.5</v>
      </c>
      <c r="O401" s="246">
        <v>0.5</v>
      </c>
      <c r="P401" s="246">
        <v>0.5</v>
      </c>
      <c r="Q401" s="246">
        <v>0.5</v>
      </c>
      <c r="R401" s="246">
        <v>0.5</v>
      </c>
      <c r="S401" s="246">
        <v>0.5</v>
      </c>
      <c r="T401" s="34">
        <f t="shared" si="6"/>
        <v>6</v>
      </c>
    </row>
    <row r="402" spans="2:20">
      <c r="B402" s="229"/>
      <c r="C402" s="229" t="s">
        <v>949</v>
      </c>
      <c r="D402" s="229"/>
      <c r="E402" s="229"/>
      <c r="F402" s="203"/>
      <c r="G402" s="203" t="s">
        <v>736</v>
      </c>
      <c r="H402" s="248">
        <v>-2.4443585050000003</v>
      </c>
      <c r="I402" s="248">
        <v>-2.4443585050000003</v>
      </c>
      <c r="J402" s="248">
        <v>-0.41435850500000049</v>
      </c>
      <c r="K402" s="248">
        <v>-0.41435850500000049</v>
      </c>
      <c r="L402" s="248">
        <v>-0.41435850500000049</v>
      </c>
      <c r="M402" s="248">
        <v>0.99153499999999983</v>
      </c>
      <c r="N402" s="248">
        <v>0.99153499999999983</v>
      </c>
      <c r="O402" s="248">
        <v>0.99153499999999983</v>
      </c>
      <c r="P402" s="248">
        <v>0.99153499999999983</v>
      </c>
      <c r="Q402" s="248">
        <v>0.99153499999999983</v>
      </c>
      <c r="R402" s="248">
        <v>0.99153499999999983</v>
      </c>
      <c r="S402" s="248">
        <v>0.99153499999999983</v>
      </c>
      <c r="T402" s="34">
        <f t="shared" si="6"/>
        <v>0.80895247499999545</v>
      </c>
    </row>
    <row r="403" spans="2:20">
      <c r="B403" s="230"/>
      <c r="C403" s="230"/>
      <c r="D403" s="230" t="s">
        <v>950</v>
      </c>
      <c r="E403" s="230"/>
      <c r="F403" s="232"/>
      <c r="H403" s="246">
        <v>0.4</v>
      </c>
      <c r="I403" s="246">
        <v>0.4</v>
      </c>
      <c r="J403" s="246">
        <v>0.4</v>
      </c>
      <c r="K403" s="246">
        <v>0.4</v>
      </c>
      <c r="L403" s="246">
        <v>0.4</v>
      </c>
      <c r="M403" s="246">
        <v>0.4</v>
      </c>
      <c r="N403" s="246">
        <v>0.4</v>
      </c>
      <c r="O403" s="246">
        <v>0.4</v>
      </c>
      <c r="P403" s="246">
        <v>0.4</v>
      </c>
      <c r="Q403" s="246">
        <v>0.4</v>
      </c>
      <c r="R403" s="246">
        <v>0.4</v>
      </c>
      <c r="S403" s="246">
        <v>0.4</v>
      </c>
      <c r="T403" s="34">
        <f t="shared" si="6"/>
        <v>4.8</v>
      </c>
    </row>
    <row r="404" spans="2:20">
      <c r="B404" s="230"/>
      <c r="C404" s="230"/>
      <c r="D404" s="230" t="s">
        <v>386</v>
      </c>
      <c r="E404" s="230"/>
      <c r="F404" s="232"/>
      <c r="H404" s="246">
        <v>0.1</v>
      </c>
      <c r="I404" s="246">
        <v>0.1</v>
      </c>
      <c r="J404" s="246">
        <v>0.1</v>
      </c>
      <c r="K404" s="246">
        <v>0.1</v>
      </c>
      <c r="L404" s="246">
        <v>0.1</v>
      </c>
      <c r="M404" s="246">
        <v>0.1</v>
      </c>
      <c r="N404" s="246">
        <v>0.1</v>
      </c>
      <c r="O404" s="246">
        <v>0.1</v>
      </c>
      <c r="P404" s="246">
        <v>0.1</v>
      </c>
      <c r="Q404" s="246">
        <v>0.1</v>
      </c>
      <c r="R404" s="246">
        <v>0.1</v>
      </c>
      <c r="S404" s="246">
        <v>0.1</v>
      </c>
      <c r="T404" s="34">
        <f t="shared" si="6"/>
        <v>1.2</v>
      </c>
    </row>
    <row r="405" spans="2:20">
      <c r="B405" s="230"/>
      <c r="C405" s="230"/>
      <c r="D405" s="230" t="s">
        <v>388</v>
      </c>
      <c r="E405" s="230"/>
      <c r="F405" s="232"/>
      <c r="G405" t="s">
        <v>736</v>
      </c>
      <c r="H405" s="246">
        <v>0.3</v>
      </c>
      <c r="I405" s="246">
        <v>0.3</v>
      </c>
      <c r="J405" s="246">
        <v>0.3</v>
      </c>
      <c r="K405" s="246">
        <v>0.3</v>
      </c>
      <c r="L405" s="246">
        <v>0.3</v>
      </c>
      <c r="M405" s="246">
        <v>0.3</v>
      </c>
      <c r="N405" s="246">
        <v>0.3</v>
      </c>
      <c r="O405" s="246">
        <v>0.3</v>
      </c>
      <c r="P405" s="246">
        <v>0.3</v>
      </c>
      <c r="Q405" s="246">
        <v>0.3</v>
      </c>
      <c r="R405" s="246">
        <v>0.3</v>
      </c>
      <c r="S405" s="246">
        <v>0.3</v>
      </c>
      <c r="T405" s="34">
        <f t="shared" si="6"/>
        <v>3.5999999999999992</v>
      </c>
    </row>
    <row r="406" spans="2:20">
      <c r="B406" s="230"/>
      <c r="C406" s="230"/>
      <c r="D406" s="230"/>
      <c r="E406" s="230"/>
      <c r="F406" s="232"/>
      <c r="G406" t="s">
        <v>736</v>
      </c>
      <c r="H406" s="246"/>
      <c r="I406" s="246"/>
      <c r="J406" s="246"/>
      <c r="K406" s="246"/>
      <c r="L406" s="246"/>
      <c r="M406" s="246"/>
      <c r="N406" s="246"/>
      <c r="O406" s="246"/>
      <c r="P406" s="246"/>
      <c r="Q406" s="246"/>
      <c r="R406" s="246"/>
      <c r="S406" s="246"/>
      <c r="T406" s="34">
        <f t="shared" si="6"/>
        <v>0</v>
      </c>
    </row>
    <row r="407" spans="2:20">
      <c r="B407" s="230"/>
      <c r="C407" s="230"/>
      <c r="D407" s="230"/>
      <c r="E407" s="230"/>
      <c r="F407" s="232"/>
      <c r="G407" t="s">
        <v>736</v>
      </c>
      <c r="H407" s="246"/>
      <c r="I407" s="246"/>
      <c r="J407" s="246"/>
      <c r="K407" s="246"/>
      <c r="L407" s="246"/>
      <c r="M407" s="246"/>
      <c r="N407" s="246"/>
      <c r="O407" s="246"/>
      <c r="P407" s="246"/>
      <c r="Q407" s="246"/>
      <c r="R407" s="246"/>
      <c r="S407" s="246"/>
      <c r="T407" s="34">
        <f t="shared" si="6"/>
        <v>0</v>
      </c>
    </row>
    <row r="408" spans="2:20">
      <c r="B408" s="230"/>
      <c r="C408" s="229" t="s">
        <v>951</v>
      </c>
      <c r="D408" s="229"/>
      <c r="E408" s="229"/>
      <c r="F408" s="203"/>
      <c r="G408" s="203" t="s">
        <v>736</v>
      </c>
      <c r="H408" s="234">
        <v>1.3794834895999999</v>
      </c>
      <c r="I408" s="234">
        <v>1.3778729136131558</v>
      </c>
      <c r="J408" s="234">
        <v>1.9961937343348137</v>
      </c>
      <c r="K408" s="234">
        <v>1.9978117777518176</v>
      </c>
      <c r="L408" s="234">
        <v>1.9994298211688215</v>
      </c>
      <c r="M408" s="234">
        <v>2.0010478645858254</v>
      </c>
      <c r="N408" s="234">
        <v>2.0026659080028293</v>
      </c>
      <c r="O408" s="234">
        <v>2.0042839514198332</v>
      </c>
      <c r="P408" s="234">
        <v>2.0059019948368371</v>
      </c>
      <c r="Q408" s="234">
        <v>2.007520038253841</v>
      </c>
      <c r="R408" s="234">
        <v>2.0091380816708448</v>
      </c>
      <c r="S408" s="234">
        <v>2.0107561250878487</v>
      </c>
      <c r="T408" s="34">
        <f t="shared" si="6"/>
        <v>22.792105700326466</v>
      </c>
    </row>
    <row r="409" spans="2:20">
      <c r="B409" s="230"/>
      <c r="C409" s="229" t="s">
        <v>952</v>
      </c>
      <c r="D409" s="230"/>
      <c r="E409" s="230"/>
      <c r="F409" s="232"/>
      <c r="G409" s="232" t="s">
        <v>736</v>
      </c>
      <c r="H409" s="234">
        <v>2.0959999999999996</v>
      </c>
      <c r="I409" s="234">
        <v>2.0959999999999996</v>
      </c>
      <c r="J409" s="234">
        <v>2.7159999999999997</v>
      </c>
      <c r="K409" s="234">
        <v>2.7159999999999997</v>
      </c>
      <c r="L409" s="234">
        <v>2.7159999999999997</v>
      </c>
      <c r="M409" s="234">
        <v>2.7159999999999997</v>
      </c>
      <c r="N409" s="234">
        <v>2.7159999999999997</v>
      </c>
      <c r="O409" s="234">
        <v>2.7159999999999997</v>
      </c>
      <c r="P409" s="234">
        <v>2.7159999999999997</v>
      </c>
      <c r="Q409" s="234">
        <v>2.7159999999999997</v>
      </c>
      <c r="R409" s="234">
        <v>2.7159999999999997</v>
      </c>
      <c r="S409" s="234">
        <v>2.7159999999999997</v>
      </c>
      <c r="T409" s="34">
        <f t="shared" si="6"/>
        <v>31.352000000000004</v>
      </c>
    </row>
    <row r="410" spans="2:20">
      <c r="B410" s="230"/>
      <c r="C410" s="229" t="s">
        <v>88</v>
      </c>
      <c r="D410" s="230"/>
      <c r="E410" s="230"/>
      <c r="F410" s="232"/>
      <c r="H410" s="234"/>
      <c r="I410" s="234"/>
      <c r="J410" s="234"/>
      <c r="K410" s="234"/>
      <c r="L410" s="234"/>
      <c r="M410" s="234"/>
      <c r="N410" s="234"/>
      <c r="O410" s="234"/>
      <c r="P410" s="234"/>
      <c r="Q410" s="234"/>
      <c r="R410" s="234"/>
      <c r="S410" s="234"/>
      <c r="T410" s="34">
        <f t="shared" si="6"/>
        <v>0</v>
      </c>
    </row>
    <row r="411" spans="2:20">
      <c r="B411" s="230"/>
      <c r="C411" s="230"/>
      <c r="D411" s="230"/>
      <c r="E411" s="230"/>
      <c r="F411" s="232"/>
      <c r="T411" s="34">
        <f t="shared" si="6"/>
        <v>0</v>
      </c>
    </row>
    <row r="412" spans="2:20">
      <c r="B412" s="229" t="s">
        <v>953</v>
      </c>
      <c r="C412" s="230"/>
      <c r="D412" s="230"/>
      <c r="E412" s="230"/>
      <c r="F412" s="232"/>
      <c r="G412" s="232" t="s">
        <v>736</v>
      </c>
      <c r="H412" s="234">
        <v>5.875</v>
      </c>
      <c r="I412" s="234">
        <v>5.875</v>
      </c>
      <c r="J412" s="234">
        <v>5.875</v>
      </c>
      <c r="K412" s="234">
        <v>5.875</v>
      </c>
      <c r="L412" s="234">
        <v>5.875</v>
      </c>
      <c r="M412" s="234">
        <v>5.875</v>
      </c>
      <c r="N412" s="234">
        <v>5.875</v>
      </c>
      <c r="O412" s="234">
        <v>5.875</v>
      </c>
      <c r="P412" s="234">
        <v>5.875</v>
      </c>
      <c r="Q412" s="234">
        <v>5.875</v>
      </c>
      <c r="R412" s="234">
        <v>5.875</v>
      </c>
      <c r="S412" s="234">
        <v>5.875</v>
      </c>
      <c r="T412" s="34">
        <f t="shared" si="6"/>
        <v>70.5</v>
      </c>
    </row>
    <row r="413" spans="2:20">
      <c r="B413" s="230"/>
      <c r="C413" s="230" t="s">
        <v>954</v>
      </c>
      <c r="D413" s="230"/>
      <c r="E413" s="230"/>
      <c r="F413" s="232"/>
      <c r="G413" s="232" t="s">
        <v>736</v>
      </c>
      <c r="H413" s="246">
        <v>5.875</v>
      </c>
      <c r="I413" s="246">
        <v>5.875</v>
      </c>
      <c r="J413" s="246">
        <v>5.875</v>
      </c>
      <c r="K413" s="246">
        <v>5.875</v>
      </c>
      <c r="L413" s="246">
        <v>5.875</v>
      </c>
      <c r="M413" s="246">
        <v>5.875</v>
      </c>
      <c r="N413" s="246">
        <v>5.875</v>
      </c>
      <c r="O413" s="246">
        <v>5.875</v>
      </c>
      <c r="P413" s="246">
        <v>5.875</v>
      </c>
      <c r="Q413" s="246">
        <v>5.875</v>
      </c>
      <c r="R413" s="246">
        <v>5.875</v>
      </c>
      <c r="S413" s="246">
        <v>5.875</v>
      </c>
      <c r="T413" s="34">
        <f t="shared" si="6"/>
        <v>70.5</v>
      </c>
    </row>
    <row r="414" spans="2:20">
      <c r="B414" s="230"/>
      <c r="C414" s="230" t="s">
        <v>51</v>
      </c>
      <c r="D414" s="230"/>
      <c r="E414" s="230"/>
      <c r="F414" s="232"/>
      <c r="G414" s="232" t="s">
        <v>736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7ADF2-7CF2-4BB6-94C3-D369C02359BF}">
  <dimension ref="A1:AZ196"/>
  <sheetViews>
    <sheetView zoomScale="80" zoomScaleNormal="80" workbookViewId="0">
      <pane xSplit="1" topLeftCell="B1" activePane="topRight" state="frozen"/>
      <selection pane="topRight" activeCell="Q184" sqref="Q184"/>
    </sheetView>
  </sheetViews>
  <sheetFormatPr baseColWidth="10" defaultColWidth="8.83203125" defaultRowHeight="15"/>
  <cols>
    <col min="1" max="1" width="18.33203125" customWidth="1"/>
    <col min="2" max="2" width="11" customWidth="1"/>
    <col min="3" max="3" width="17.6640625" customWidth="1"/>
    <col min="4" max="4" width="16.83203125" customWidth="1"/>
    <col min="5" max="5" width="16.5" customWidth="1"/>
    <col min="6" max="6" width="17.5" customWidth="1"/>
    <col min="7" max="7" width="18.5" customWidth="1"/>
    <col min="8" max="8" width="16.33203125" customWidth="1"/>
    <col min="9" max="9" width="18.6640625" customWidth="1"/>
    <col min="10" max="10" width="16.5" customWidth="1"/>
    <col min="11" max="11" width="15.83203125" customWidth="1"/>
    <col min="12" max="12" width="17.6640625" customWidth="1"/>
    <col min="13" max="13" width="23.5" customWidth="1"/>
    <col min="14" max="14" width="12.83203125" customWidth="1"/>
    <col min="15" max="15" width="17.5" customWidth="1"/>
    <col min="16" max="16" width="18.33203125" customWidth="1"/>
    <col min="17" max="17" width="19.33203125" customWidth="1"/>
    <col min="18" max="18" width="17.5" customWidth="1"/>
    <col min="19" max="19" width="18.5" customWidth="1"/>
    <col min="20" max="20" width="11.33203125" customWidth="1"/>
    <col min="21" max="21" width="20.5" customWidth="1"/>
    <col min="22" max="22" width="16.83203125" customWidth="1"/>
    <col min="23" max="23" width="18.5" customWidth="1"/>
    <col min="24" max="24" width="17.6640625" bestFit="1" customWidth="1"/>
    <col min="25" max="25" width="20.1640625" bestFit="1" customWidth="1"/>
    <col min="26" max="26" width="14.5" bestFit="1" customWidth="1"/>
    <col min="27" max="27" width="19.5" customWidth="1"/>
    <col min="28" max="28" width="17.6640625" customWidth="1"/>
    <col min="29" max="29" width="12.33203125" bestFit="1" customWidth="1"/>
    <col min="30" max="30" width="18.6640625" customWidth="1"/>
    <col min="31" max="31" width="19.33203125" customWidth="1"/>
    <col min="32" max="32" width="12.33203125" bestFit="1" customWidth="1"/>
    <col min="33" max="33" width="18.1640625" customWidth="1"/>
    <col min="34" max="34" width="23.5" customWidth="1"/>
    <col min="35" max="35" width="15.1640625" bestFit="1" customWidth="1"/>
    <col min="36" max="36" width="19.33203125" customWidth="1"/>
    <col min="37" max="37" width="23" customWidth="1"/>
    <col min="39" max="39" width="19" customWidth="1"/>
    <col min="40" max="40" width="17.6640625" customWidth="1"/>
    <col min="42" max="42" width="19.6640625" customWidth="1"/>
    <col min="43" max="43" width="21.83203125" customWidth="1"/>
  </cols>
  <sheetData>
    <row r="1" spans="1:46" ht="19">
      <c r="A1" s="107" t="s">
        <v>526</v>
      </c>
      <c r="B1" s="107"/>
      <c r="C1" s="107"/>
      <c r="D1" s="107"/>
      <c r="E1" s="107"/>
      <c r="F1" s="107"/>
      <c r="G1" s="107"/>
      <c r="H1" s="107"/>
      <c r="I1" s="107"/>
    </row>
    <row r="3" spans="1:46" ht="14.5" customHeight="1">
      <c r="A3" s="1550" t="s">
        <v>955</v>
      </c>
      <c r="B3" s="1556" t="s">
        <v>956</v>
      </c>
      <c r="C3" s="1557"/>
      <c r="D3" s="1558"/>
      <c r="E3" s="1556" t="s">
        <v>957</v>
      </c>
      <c r="F3" s="1557"/>
      <c r="G3" s="1558"/>
      <c r="H3" s="1440" t="s">
        <v>958</v>
      </c>
      <c r="I3" s="1440"/>
      <c r="J3" s="1440"/>
      <c r="K3" s="1440" t="s">
        <v>959</v>
      </c>
      <c r="L3" s="1440"/>
      <c r="M3" s="1440"/>
      <c r="N3" s="1440" t="s">
        <v>960</v>
      </c>
      <c r="O3" s="1440"/>
      <c r="P3" s="1440"/>
      <c r="Q3" s="1440" t="s">
        <v>961</v>
      </c>
      <c r="R3" s="1440"/>
      <c r="S3" s="1440"/>
      <c r="T3" s="1440" t="s">
        <v>962</v>
      </c>
      <c r="U3" s="1440"/>
      <c r="V3" s="1440"/>
      <c r="W3" s="1440" t="s">
        <v>963</v>
      </c>
      <c r="X3" s="1440"/>
      <c r="Y3" s="1440"/>
      <c r="Z3" s="1440" t="s">
        <v>964</v>
      </c>
      <c r="AA3" s="1440"/>
      <c r="AB3" s="1440"/>
      <c r="AC3" s="1440" t="s">
        <v>965</v>
      </c>
      <c r="AD3" s="1440"/>
      <c r="AE3" s="1440"/>
      <c r="AF3" s="1440" t="s">
        <v>966</v>
      </c>
      <c r="AG3" s="1440"/>
      <c r="AH3" s="1440"/>
      <c r="AI3" s="1440" t="s">
        <v>967</v>
      </c>
      <c r="AJ3" s="1440"/>
      <c r="AK3" s="1440"/>
      <c r="AL3" s="1440" t="s">
        <v>956</v>
      </c>
      <c r="AM3" s="1440"/>
      <c r="AN3" s="1440"/>
      <c r="AO3" s="1440" t="s">
        <v>957</v>
      </c>
      <c r="AP3" s="1440"/>
      <c r="AQ3" s="1440"/>
      <c r="AR3" s="1521"/>
      <c r="AS3" s="1521"/>
      <c r="AT3" s="1521"/>
    </row>
    <row r="4" spans="1:46" ht="14.5" customHeight="1">
      <c r="A4" s="1551"/>
      <c r="B4" s="312" t="s">
        <v>968</v>
      </c>
      <c r="C4" s="1440" t="s">
        <v>969</v>
      </c>
      <c r="D4" s="1440"/>
      <c r="E4" s="312" t="s">
        <v>968</v>
      </c>
      <c r="F4" s="1440" t="s">
        <v>969</v>
      </c>
      <c r="G4" s="1440"/>
      <c r="H4" s="314" t="s">
        <v>968</v>
      </c>
      <c r="I4" s="1440" t="s">
        <v>969</v>
      </c>
      <c r="J4" s="1440"/>
      <c r="K4" s="314" t="s">
        <v>968</v>
      </c>
      <c r="L4" s="1440" t="s">
        <v>969</v>
      </c>
      <c r="M4" s="1440"/>
      <c r="N4" s="314" t="s">
        <v>968</v>
      </c>
      <c r="O4" s="1440" t="s">
        <v>969</v>
      </c>
      <c r="P4" s="1440"/>
      <c r="Q4" s="108" t="s">
        <v>968</v>
      </c>
      <c r="R4" s="1455" t="s">
        <v>969</v>
      </c>
      <c r="S4" s="1456"/>
      <c r="T4" s="108" t="s">
        <v>968</v>
      </c>
      <c r="U4" s="1455" t="s">
        <v>969</v>
      </c>
      <c r="V4" s="1456"/>
      <c r="W4" s="108" t="s">
        <v>968</v>
      </c>
      <c r="X4" s="1455" t="s">
        <v>969</v>
      </c>
      <c r="Y4" s="1456"/>
      <c r="Z4" s="143" t="s">
        <v>968</v>
      </c>
      <c r="AA4" s="1455" t="s">
        <v>969</v>
      </c>
      <c r="AB4" s="1456"/>
      <c r="AC4" s="143" t="s">
        <v>968</v>
      </c>
      <c r="AD4" s="1428" t="s">
        <v>969</v>
      </c>
      <c r="AE4" s="1557"/>
      <c r="AF4" s="312" t="s">
        <v>968</v>
      </c>
      <c r="AG4" s="1440" t="s">
        <v>969</v>
      </c>
      <c r="AH4" s="1440"/>
      <c r="AI4" s="312" t="s">
        <v>968</v>
      </c>
      <c r="AJ4" s="1440" t="s">
        <v>969</v>
      </c>
      <c r="AK4" s="1440"/>
    </row>
    <row r="5" spans="1:46" ht="14.5" customHeight="1">
      <c r="A5" s="319">
        <v>1</v>
      </c>
      <c r="B5" s="541">
        <v>25585</v>
      </c>
      <c r="C5" s="1431">
        <v>202943214702</v>
      </c>
      <c r="D5" s="1431"/>
      <c r="E5" s="541">
        <v>27325</v>
      </c>
      <c r="F5" s="1431">
        <v>210169689091</v>
      </c>
      <c r="G5" s="1431"/>
      <c r="H5" s="541">
        <v>28355</v>
      </c>
      <c r="I5" s="1431">
        <v>215467394262</v>
      </c>
      <c r="J5" s="1431"/>
      <c r="K5" s="320">
        <v>28518</v>
      </c>
      <c r="L5" s="1420">
        <v>215186674746</v>
      </c>
      <c r="M5" s="1420"/>
      <c r="N5" s="320"/>
      <c r="O5" s="1520"/>
      <c r="P5" s="1520"/>
      <c r="Q5" s="122"/>
      <c r="R5" s="1533"/>
      <c r="S5" s="1534"/>
      <c r="T5" s="122"/>
      <c r="U5" s="1457"/>
      <c r="V5" s="1464"/>
      <c r="W5" s="144"/>
      <c r="X5" s="1574"/>
      <c r="Y5" s="1568"/>
      <c r="Z5" s="511"/>
      <c r="AA5" s="1568"/>
      <c r="AB5" s="1569"/>
      <c r="AC5" s="539"/>
      <c r="AD5" s="1566"/>
      <c r="AE5" s="1540"/>
      <c r="AF5" s="541"/>
      <c r="AG5" s="1431"/>
      <c r="AH5" s="1431"/>
      <c r="AI5" s="541"/>
      <c r="AJ5" s="1431"/>
      <c r="AK5" s="1431"/>
    </row>
    <row r="6" spans="1:46" ht="14.5" customHeight="1">
      <c r="A6" s="319">
        <v>2</v>
      </c>
      <c r="B6" s="541">
        <v>1505</v>
      </c>
      <c r="C6" s="1431">
        <v>13204868034</v>
      </c>
      <c r="D6" s="1431"/>
      <c r="E6" s="541">
        <v>1759</v>
      </c>
      <c r="F6" s="1431">
        <v>15068631088</v>
      </c>
      <c r="G6" s="1431"/>
      <c r="H6" s="541">
        <v>1494</v>
      </c>
      <c r="I6" s="1431">
        <v>12368793423</v>
      </c>
      <c r="J6" s="1431"/>
      <c r="K6" s="320">
        <v>2142</v>
      </c>
      <c r="L6" s="1542">
        <v>17017349892</v>
      </c>
      <c r="M6" s="1543"/>
      <c r="N6" s="113"/>
      <c r="O6" s="1520"/>
      <c r="P6" s="1520"/>
      <c r="Q6" s="122"/>
      <c r="R6" s="1533"/>
      <c r="S6" s="1534"/>
      <c r="T6" s="110"/>
      <c r="U6" s="1457"/>
      <c r="V6" s="1464"/>
      <c r="W6" s="145"/>
      <c r="X6" s="1575"/>
      <c r="Y6" s="1576"/>
      <c r="Z6" s="512"/>
      <c r="AA6" s="1568"/>
      <c r="AB6" s="1569"/>
      <c r="AC6" s="540"/>
      <c r="AD6" s="1566"/>
      <c r="AE6" s="1540"/>
      <c r="AF6" s="541"/>
      <c r="AG6" s="1431"/>
      <c r="AH6" s="1431"/>
      <c r="AI6" s="541"/>
      <c r="AJ6" s="1431"/>
      <c r="AK6" s="1431"/>
    </row>
    <row r="7" spans="1:46" ht="14.5" customHeight="1">
      <c r="A7" s="319">
        <v>3</v>
      </c>
      <c r="B7" s="541">
        <v>664</v>
      </c>
      <c r="C7" s="1431">
        <v>5558450521</v>
      </c>
      <c r="D7" s="1431"/>
      <c r="E7" s="541">
        <v>737</v>
      </c>
      <c r="F7" s="1431">
        <v>6420682176</v>
      </c>
      <c r="G7" s="1431"/>
      <c r="H7" s="541">
        <v>1359</v>
      </c>
      <c r="I7" s="1431">
        <v>11929114663</v>
      </c>
      <c r="J7" s="1431"/>
      <c r="K7" s="320">
        <v>1392</v>
      </c>
      <c r="L7" s="1542">
        <v>12339268666</v>
      </c>
      <c r="M7" s="1543"/>
      <c r="N7" s="294"/>
      <c r="O7" s="1520"/>
      <c r="P7" s="1520"/>
      <c r="Q7" s="122"/>
      <c r="R7" s="1533"/>
      <c r="S7" s="1534"/>
      <c r="T7" s="110"/>
      <c r="U7" s="1457"/>
      <c r="V7" s="1464"/>
      <c r="W7" s="122"/>
      <c r="X7" s="1577"/>
      <c r="Y7" s="1576"/>
      <c r="Z7" s="513"/>
      <c r="AA7" s="1568"/>
      <c r="AB7" s="1569"/>
      <c r="AC7" s="539"/>
      <c r="AD7" s="1566"/>
      <c r="AE7" s="1540"/>
      <c r="AF7" s="541"/>
      <c r="AG7" s="1431"/>
      <c r="AH7" s="1431"/>
      <c r="AI7" s="541"/>
      <c r="AJ7" s="1431"/>
      <c r="AK7" s="1431"/>
    </row>
    <row r="8" spans="1:46" ht="14.5" customHeight="1">
      <c r="A8" s="319">
        <v>4</v>
      </c>
      <c r="B8" s="541">
        <v>1404</v>
      </c>
      <c r="C8" s="1431">
        <v>12665772064</v>
      </c>
      <c r="D8" s="1431"/>
      <c r="E8" s="541">
        <v>1200</v>
      </c>
      <c r="F8" s="1431">
        <v>11116560471</v>
      </c>
      <c r="G8" s="1431"/>
      <c r="H8" s="541">
        <v>1230</v>
      </c>
      <c r="I8" s="1431">
        <v>11271650282</v>
      </c>
      <c r="J8" s="1431"/>
      <c r="K8" s="320">
        <v>74</v>
      </c>
      <c r="L8" s="1542">
        <v>535847377</v>
      </c>
      <c r="M8" s="1543"/>
      <c r="N8" s="294"/>
      <c r="O8" s="1520"/>
      <c r="P8" s="1520"/>
      <c r="Q8" s="122"/>
      <c r="R8" s="1533"/>
      <c r="S8" s="1534"/>
      <c r="T8" s="110"/>
      <c r="U8" s="1457"/>
      <c r="V8" s="1464"/>
      <c r="W8" s="122"/>
      <c r="X8" s="1577"/>
      <c r="Y8" s="1576"/>
      <c r="Z8" s="511"/>
      <c r="AA8" s="1568"/>
      <c r="AB8" s="1569"/>
      <c r="AC8" s="539"/>
      <c r="AD8" s="1540"/>
      <c r="AE8" s="1540"/>
      <c r="AF8" s="541"/>
      <c r="AG8" s="1431"/>
      <c r="AH8" s="1431"/>
      <c r="AI8" s="541"/>
      <c r="AJ8" s="1431"/>
      <c r="AK8" s="1431"/>
    </row>
    <row r="9" spans="1:46" ht="14.5" customHeight="1">
      <c r="A9" s="319">
        <v>5</v>
      </c>
      <c r="B9" s="541">
        <v>372</v>
      </c>
      <c r="C9" s="1431">
        <v>3121367822</v>
      </c>
      <c r="D9" s="1431"/>
      <c r="E9" s="541">
        <v>86</v>
      </c>
      <c r="F9" s="1431">
        <v>804620533</v>
      </c>
      <c r="G9" s="1431"/>
      <c r="H9" s="541">
        <v>126</v>
      </c>
      <c r="I9" s="1431">
        <v>1248880249</v>
      </c>
      <c r="J9" s="1431"/>
      <c r="K9" s="320">
        <v>7</v>
      </c>
      <c r="L9" s="1544">
        <v>5000000</v>
      </c>
      <c r="M9" s="1530"/>
      <c r="N9" s="113"/>
      <c r="O9" s="1520"/>
      <c r="P9" s="1520"/>
      <c r="Q9" s="110"/>
      <c r="R9" s="1471"/>
      <c r="S9" s="1472"/>
      <c r="T9" s="110"/>
      <c r="U9" s="1457"/>
      <c r="V9" s="1464"/>
      <c r="W9" s="110"/>
      <c r="X9" s="1578"/>
      <c r="Y9" s="1579"/>
      <c r="Z9" s="511"/>
      <c r="AA9" s="1568"/>
      <c r="AB9" s="1569"/>
      <c r="AC9" s="539"/>
      <c r="AD9" s="1566"/>
      <c r="AE9" s="1540"/>
      <c r="AF9" s="541"/>
      <c r="AG9" s="1431"/>
      <c r="AH9" s="1431"/>
      <c r="AI9" s="541"/>
      <c r="AJ9" s="1431"/>
      <c r="AK9" s="1431"/>
    </row>
    <row r="10" spans="1:46" s="4" customFormat="1" ht="14.5" customHeight="1">
      <c r="A10" s="794" t="s">
        <v>970</v>
      </c>
      <c r="B10" s="795">
        <f t="shared" ref="B10" si="0">SUM(B5:B9)</f>
        <v>29530</v>
      </c>
      <c r="C10" s="1441">
        <f>SUM(C5:D9)</f>
        <v>237493673143</v>
      </c>
      <c r="D10" s="1442">
        <f t="shared" ref="D10" si="1">SUM(D5:D9)</f>
        <v>0</v>
      </c>
      <c r="E10" s="795">
        <f>SUM(E5:E9)</f>
        <v>31107</v>
      </c>
      <c r="F10" s="1441">
        <v>243580183359</v>
      </c>
      <c r="G10" s="1442">
        <f t="shared" ref="G10" si="2">SUM(G5:G9)</f>
        <v>0</v>
      </c>
      <c r="H10" s="796">
        <f>SUM(H5:H9)</f>
        <v>32564</v>
      </c>
      <c r="I10" s="1541">
        <f>SUM(I5:I9)</f>
        <v>252285832879</v>
      </c>
      <c r="J10" s="1541"/>
      <c r="K10" s="791">
        <f>SUM(K5:K9)</f>
        <v>32133</v>
      </c>
      <c r="L10" s="1541">
        <f>SUM(L5:L9)</f>
        <v>245084140681</v>
      </c>
      <c r="M10" s="1541"/>
      <c r="N10" s="791">
        <f>SUM(N5:N9)</f>
        <v>0</v>
      </c>
      <c r="O10" s="1541">
        <f>SUM(O5:O9)</f>
        <v>0</v>
      </c>
      <c r="P10" s="1541"/>
      <c r="Q10" s="797">
        <f>SUM(Q5:Q9)</f>
        <v>0</v>
      </c>
      <c r="R10" s="1538">
        <f>SUM(R5:S9)</f>
        <v>0</v>
      </c>
      <c r="S10" s="1539"/>
      <c r="T10" s="797"/>
      <c r="U10" s="1561">
        <f>SUM(U5:V9)</f>
        <v>0</v>
      </c>
      <c r="V10" s="1562"/>
      <c r="W10" s="798"/>
      <c r="X10" s="1580">
        <f>SUM(X5:Y9)</f>
        <v>0</v>
      </c>
      <c r="Y10" s="1570"/>
      <c r="Z10" s="799">
        <f t="shared" ref="Z10:AE10" si="3">SUM(Z5:Z9)</f>
        <v>0</v>
      </c>
      <c r="AA10" s="1570">
        <f t="shared" si="3"/>
        <v>0</v>
      </c>
      <c r="AB10" s="1571">
        <f t="shared" si="3"/>
        <v>0</v>
      </c>
      <c r="AC10" s="800">
        <f t="shared" si="3"/>
        <v>0</v>
      </c>
      <c r="AD10" s="1567">
        <f t="shared" si="3"/>
        <v>0</v>
      </c>
      <c r="AE10" s="1567">
        <f t="shared" si="3"/>
        <v>0</v>
      </c>
      <c r="AF10" s="795">
        <f t="shared" ref="AF10:AH10" si="4">SUM(AF5:AF9)</f>
        <v>0</v>
      </c>
      <c r="AG10" s="1441">
        <f>SUM(AG5:AH9)</f>
        <v>0</v>
      </c>
      <c r="AH10" s="1442">
        <f t="shared" si="4"/>
        <v>0</v>
      </c>
      <c r="AI10" s="795">
        <f>SUM(AI5:AI9)</f>
        <v>0</v>
      </c>
      <c r="AJ10" s="1441">
        <v>243580183359</v>
      </c>
      <c r="AK10" s="1442">
        <f t="shared" ref="AK10" si="5">SUM(AK5:AK9)</f>
        <v>0</v>
      </c>
    </row>
    <row r="11" spans="1:46" s="792" customFormat="1" ht="14.5" customHeight="1">
      <c r="A11" s="113"/>
      <c r="B11" s="334"/>
      <c r="C11" s="113"/>
      <c r="D11" s="113"/>
      <c r="E11" s="113"/>
      <c r="F11" s="334">
        <f>E20-E10</f>
        <v>-2183</v>
      </c>
      <c r="G11" s="113"/>
      <c r="H11" s="113"/>
      <c r="I11" s="1588"/>
      <c r="J11" s="1589"/>
      <c r="K11" s="113">
        <v>2353</v>
      </c>
      <c r="L11" s="1587">
        <v>20763749995</v>
      </c>
      <c r="M11" s="1530"/>
      <c r="N11" s="113"/>
      <c r="O11" s="1502"/>
      <c r="P11" s="1503"/>
      <c r="Q11" s="145"/>
      <c r="R11" s="1590"/>
      <c r="S11" s="1591"/>
      <c r="U11" s="1588"/>
      <c r="V11" s="1589"/>
      <c r="W11" s="793"/>
      <c r="X11" s="1588"/>
      <c r="Y11" s="1589"/>
    </row>
    <row r="12" spans="1:46">
      <c r="A12" s="106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T12" s="89"/>
    </row>
    <row r="13" spans="1:46" ht="14.5" customHeight="1">
      <c r="A13" s="1552" t="s">
        <v>971</v>
      </c>
      <c r="B13" s="1545" t="s">
        <v>956</v>
      </c>
      <c r="C13" s="1443"/>
      <c r="D13" s="1444"/>
      <c r="E13" s="1545" t="s">
        <v>957</v>
      </c>
      <c r="F13" s="1443"/>
      <c r="G13" s="1444"/>
      <c r="H13" s="1443" t="s">
        <v>958</v>
      </c>
      <c r="I13" s="1443"/>
      <c r="J13" s="1444"/>
      <c r="K13" s="1443" t="s">
        <v>959</v>
      </c>
      <c r="L13" s="1443"/>
      <c r="M13" s="1444"/>
      <c r="N13" s="1443" t="s">
        <v>960</v>
      </c>
      <c r="O13" s="1443"/>
      <c r="P13" s="1444"/>
      <c r="Q13" s="1443" t="s">
        <v>961</v>
      </c>
      <c r="R13" s="1443"/>
      <c r="S13" s="1444"/>
      <c r="T13" s="1443" t="s">
        <v>962</v>
      </c>
      <c r="U13" s="1443"/>
      <c r="V13" s="1444"/>
      <c r="W13" s="1443" t="s">
        <v>963</v>
      </c>
      <c r="X13" s="1443"/>
      <c r="Y13" s="1444"/>
      <c r="Z13" s="1443" t="s">
        <v>964</v>
      </c>
      <c r="AA13" s="1443"/>
      <c r="AB13" s="1444"/>
      <c r="AC13" s="1443" t="s">
        <v>965</v>
      </c>
      <c r="AD13" s="1443"/>
      <c r="AE13" s="1444"/>
      <c r="AF13" s="1443" t="s">
        <v>966</v>
      </c>
      <c r="AG13" s="1443"/>
      <c r="AH13" s="1444"/>
      <c r="AI13" s="1443" t="s">
        <v>967</v>
      </c>
      <c r="AJ13" s="1443"/>
      <c r="AK13" s="1444"/>
      <c r="AL13" s="1443" t="s">
        <v>956</v>
      </c>
      <c r="AM13" s="1443"/>
      <c r="AN13" s="1444"/>
      <c r="AO13" s="1443" t="s">
        <v>957</v>
      </c>
      <c r="AP13" s="1443"/>
      <c r="AQ13" s="1444"/>
    </row>
    <row r="14" spans="1:46" ht="14.5" customHeight="1">
      <c r="A14" s="1553"/>
      <c r="B14" s="509" t="s">
        <v>968</v>
      </c>
      <c r="C14" s="509" t="s">
        <v>972</v>
      </c>
      <c r="D14" s="509" t="s">
        <v>969</v>
      </c>
      <c r="E14" s="509" t="s">
        <v>968</v>
      </c>
      <c r="F14" s="509" t="s">
        <v>972</v>
      </c>
      <c r="G14" s="509" t="s">
        <v>969</v>
      </c>
      <c r="H14" s="327" t="s">
        <v>968</v>
      </c>
      <c r="I14" s="327" t="s">
        <v>972</v>
      </c>
      <c r="J14" s="327" t="s">
        <v>969</v>
      </c>
      <c r="K14" s="111" t="s">
        <v>968</v>
      </c>
      <c r="L14" s="327" t="s">
        <v>972</v>
      </c>
      <c r="M14" s="327" t="s">
        <v>969</v>
      </c>
      <c r="N14" s="111" t="s">
        <v>968</v>
      </c>
      <c r="O14" s="111" t="s">
        <v>972</v>
      </c>
      <c r="P14" s="327" t="s">
        <v>969</v>
      </c>
      <c r="Q14" s="327" t="s">
        <v>969</v>
      </c>
      <c r="R14" s="111" t="s">
        <v>972</v>
      </c>
      <c r="S14" s="456" t="s">
        <v>969</v>
      </c>
      <c r="T14" s="458" t="s">
        <v>968</v>
      </c>
      <c r="U14" s="458" t="s">
        <v>972</v>
      </c>
      <c r="V14" s="458" t="s">
        <v>969</v>
      </c>
      <c r="W14" s="458" t="s">
        <v>968</v>
      </c>
      <c r="X14" s="458" t="s">
        <v>972</v>
      </c>
      <c r="Y14" s="111" t="s">
        <v>969</v>
      </c>
      <c r="Z14" s="458" t="s">
        <v>968</v>
      </c>
      <c r="AA14" s="458" t="s">
        <v>972</v>
      </c>
      <c r="AB14" s="458" t="s">
        <v>969</v>
      </c>
      <c r="AC14" s="458" t="s">
        <v>968</v>
      </c>
      <c r="AD14" s="458" t="s">
        <v>972</v>
      </c>
      <c r="AE14" s="458" t="s">
        <v>969</v>
      </c>
      <c r="AF14" s="509" t="s">
        <v>968</v>
      </c>
      <c r="AG14" s="509" t="s">
        <v>972</v>
      </c>
      <c r="AH14" s="509" t="s">
        <v>969</v>
      </c>
      <c r="AI14" s="509" t="s">
        <v>968</v>
      </c>
      <c r="AJ14" s="509" t="s">
        <v>972</v>
      </c>
      <c r="AK14" s="509" t="s">
        <v>969</v>
      </c>
    </row>
    <row r="15" spans="1:46" ht="14.5" customHeight="1">
      <c r="A15" s="109">
        <v>1</v>
      </c>
      <c r="B15" s="521">
        <v>21888</v>
      </c>
      <c r="C15" s="330">
        <v>122881193</v>
      </c>
      <c r="D15" s="330">
        <v>189108327202</v>
      </c>
      <c r="E15" s="521">
        <v>22841</v>
      </c>
      <c r="F15" s="330">
        <v>110811365</v>
      </c>
      <c r="G15" s="330">
        <v>191716884917</v>
      </c>
      <c r="H15" s="521">
        <v>24019</v>
      </c>
      <c r="I15" s="330">
        <v>207036022</v>
      </c>
      <c r="J15" s="784">
        <v>198268264210</v>
      </c>
      <c r="K15" s="124">
        <v>24049</v>
      </c>
      <c r="L15" s="328">
        <v>81383917</v>
      </c>
      <c r="M15" s="145">
        <v>196908175228</v>
      </c>
      <c r="N15" s="110"/>
      <c r="O15" s="336"/>
      <c r="P15" s="452"/>
      <c r="Q15" s="64"/>
      <c r="R15" s="453"/>
      <c r="S15" s="457"/>
      <c r="T15" s="459"/>
      <c r="U15" s="459"/>
      <c r="V15" s="459"/>
      <c r="W15" s="119"/>
      <c r="X15" s="119"/>
      <c r="Y15" s="119"/>
      <c r="Z15" s="64"/>
      <c r="AA15" s="64"/>
      <c r="AB15" s="64"/>
      <c r="AC15" s="64"/>
      <c r="AD15" s="64"/>
      <c r="AE15" s="330"/>
      <c r="AF15" s="521"/>
      <c r="AG15" s="330"/>
      <c r="AH15" s="330"/>
      <c r="AI15" s="521"/>
      <c r="AJ15" s="330"/>
      <c r="AK15" s="330"/>
    </row>
    <row r="16" spans="1:46" ht="14.5" customHeight="1">
      <c r="A16" s="109">
        <v>2</v>
      </c>
      <c r="B16" s="521">
        <v>2387</v>
      </c>
      <c r="C16" s="330">
        <v>361312441</v>
      </c>
      <c r="D16" s="330">
        <v>20102499821</v>
      </c>
      <c r="E16" s="521">
        <v>2924</v>
      </c>
      <c r="F16" s="330">
        <v>603235893</v>
      </c>
      <c r="G16" s="330">
        <v>24110953064</v>
      </c>
      <c r="H16" s="521">
        <v>2972</v>
      </c>
      <c r="I16" s="330">
        <v>274014734</v>
      </c>
      <c r="J16" s="784">
        <v>24043339409</v>
      </c>
      <c r="K16" s="124">
        <v>3255</v>
      </c>
      <c r="L16" s="328">
        <v>447560167</v>
      </c>
      <c r="M16" s="145">
        <v>25979333547</v>
      </c>
      <c r="N16" s="110"/>
      <c r="O16" s="336"/>
      <c r="P16" s="452"/>
      <c r="Q16" s="64"/>
      <c r="R16" s="453"/>
      <c r="S16" s="457"/>
      <c r="T16" s="459"/>
      <c r="U16" s="459"/>
      <c r="V16" s="459"/>
      <c r="W16" s="119"/>
      <c r="X16" s="119"/>
      <c r="Y16" s="119"/>
      <c r="Z16" s="64"/>
      <c r="AA16" s="64"/>
      <c r="AB16" s="64"/>
      <c r="AC16" s="64"/>
      <c r="AD16" s="64"/>
      <c r="AE16" s="330"/>
      <c r="AF16" s="521"/>
      <c r="AG16" s="330"/>
      <c r="AH16" s="330"/>
      <c r="AI16" s="521"/>
      <c r="AJ16" s="330"/>
      <c r="AK16" s="330"/>
    </row>
    <row r="17" spans="1:52" ht="14.5" customHeight="1">
      <c r="A17" s="109">
        <v>3</v>
      </c>
      <c r="B17" s="521">
        <v>1054</v>
      </c>
      <c r="C17" s="330">
        <v>491047200</v>
      </c>
      <c r="D17" s="330">
        <v>9041304361</v>
      </c>
      <c r="E17" s="521">
        <v>1351</v>
      </c>
      <c r="F17" s="330">
        <v>843317561</v>
      </c>
      <c r="G17" s="330">
        <v>11391523795</v>
      </c>
      <c r="H17" s="521">
        <v>1639</v>
      </c>
      <c r="I17" s="330">
        <v>675133029</v>
      </c>
      <c r="J17" s="784">
        <v>13888418792</v>
      </c>
      <c r="K17" s="124">
        <v>1843</v>
      </c>
      <c r="L17" s="328">
        <v>735474417</v>
      </c>
      <c r="M17" s="334">
        <v>15053698371</v>
      </c>
      <c r="N17" s="110"/>
      <c r="O17" s="336"/>
      <c r="P17" s="452"/>
      <c r="Q17" s="64"/>
      <c r="R17" s="453"/>
      <c r="S17" s="457"/>
      <c r="T17" s="459"/>
      <c r="U17" s="459"/>
      <c r="V17" s="459"/>
      <c r="W17" s="119"/>
      <c r="X17" s="119"/>
      <c r="Y17" s="119"/>
      <c r="Z17" s="64"/>
      <c r="AA17" s="64"/>
      <c r="AB17" s="64"/>
      <c r="AC17" s="64"/>
      <c r="AD17" s="64"/>
      <c r="AE17" s="330"/>
      <c r="AF17" s="521"/>
      <c r="AG17" s="330"/>
      <c r="AH17" s="330"/>
      <c r="AI17" s="521"/>
      <c r="AJ17" s="330"/>
      <c r="AK17" s="330"/>
    </row>
    <row r="18" spans="1:52" ht="14.5" customHeight="1">
      <c r="A18" s="109">
        <v>4</v>
      </c>
      <c r="B18" s="521">
        <v>1331</v>
      </c>
      <c r="C18" s="330">
        <v>735207870</v>
      </c>
      <c r="D18" s="330">
        <v>12351062220</v>
      </c>
      <c r="E18" s="521">
        <v>1502</v>
      </c>
      <c r="F18" s="330">
        <v>1016999136</v>
      </c>
      <c r="G18" s="330">
        <v>13768850282</v>
      </c>
      <c r="H18" s="521">
        <v>185</v>
      </c>
      <c r="I18" s="330">
        <v>-290337</v>
      </c>
      <c r="J18" s="784">
        <v>1555402364</v>
      </c>
      <c r="K18" s="124">
        <v>131</v>
      </c>
      <c r="L18" s="328">
        <v>134348101</v>
      </c>
      <c r="M18" s="334">
        <v>1037446779</v>
      </c>
      <c r="N18" s="110"/>
      <c r="O18" s="336"/>
      <c r="P18" s="452"/>
      <c r="Q18" s="64"/>
      <c r="R18" s="453"/>
      <c r="S18" s="457"/>
      <c r="T18" s="459"/>
      <c r="U18" s="459"/>
      <c r="V18" s="459"/>
      <c r="W18" s="119"/>
      <c r="X18" s="119"/>
      <c r="Y18" s="119"/>
      <c r="Z18" s="64"/>
      <c r="AA18" s="64"/>
      <c r="AB18" s="64"/>
      <c r="AC18" s="64"/>
      <c r="AD18" s="64"/>
      <c r="AE18" s="330"/>
      <c r="AF18" s="521"/>
      <c r="AG18" s="330"/>
      <c r="AH18" s="330"/>
      <c r="AI18" s="521"/>
      <c r="AJ18" s="330"/>
      <c r="AK18" s="330"/>
    </row>
    <row r="19" spans="1:52" ht="14.5" customHeight="1">
      <c r="A19" s="109">
        <v>5</v>
      </c>
      <c r="B19" s="521">
        <v>858</v>
      </c>
      <c r="C19" s="330">
        <v>838679982</v>
      </c>
      <c r="D19" s="330">
        <v>6890479539</v>
      </c>
      <c r="E19" s="521">
        <v>306</v>
      </c>
      <c r="F19" s="330">
        <v>1234444304</v>
      </c>
      <c r="G19" s="330">
        <v>2591971287</v>
      </c>
      <c r="H19" s="521">
        <v>1584</v>
      </c>
      <c r="I19" s="330">
        <v>7418052793</v>
      </c>
      <c r="J19" s="784">
        <v>14530408104</v>
      </c>
      <c r="K19" s="124">
        <v>712</v>
      </c>
      <c r="L19" s="328">
        <v>3144085503</v>
      </c>
      <c r="M19" s="334">
        <v>6105486756</v>
      </c>
      <c r="N19" s="110"/>
      <c r="O19" s="336"/>
      <c r="P19" s="452"/>
      <c r="Q19" s="64"/>
      <c r="R19" s="64"/>
      <c r="S19" s="457"/>
      <c r="T19" s="459"/>
      <c r="U19" s="459"/>
      <c r="V19" s="459"/>
      <c r="W19" s="119"/>
      <c r="X19" s="119"/>
      <c r="Y19" s="119"/>
      <c r="Z19" s="64"/>
      <c r="AA19" s="64"/>
      <c r="AB19" s="64"/>
      <c r="AC19" s="64"/>
      <c r="AD19" s="64"/>
      <c r="AE19" s="330"/>
      <c r="AF19" s="521"/>
      <c r="AG19" s="330"/>
      <c r="AH19" s="330"/>
      <c r="AI19" s="521"/>
      <c r="AJ19" s="330"/>
      <c r="AK19" s="330"/>
    </row>
    <row r="20" spans="1:52" ht="14.5" customHeight="1">
      <c r="A20" s="113" t="s">
        <v>970</v>
      </c>
      <c r="B20" s="510">
        <f t="shared" ref="B20" si="6">SUM(B15:B19)</f>
        <v>27518</v>
      </c>
      <c r="C20" s="296">
        <f>SUM(C15:C19)+C21</f>
        <v>2228959092</v>
      </c>
      <c r="D20" s="510">
        <f t="shared" ref="D20" si="7">SUM(D15:D19)</f>
        <v>237493673143</v>
      </c>
      <c r="E20" s="510">
        <f>SUM(E15:E19)</f>
        <v>28924</v>
      </c>
      <c r="F20" s="296">
        <f>SUM(F15:F19)+F21</f>
        <v>3398739597</v>
      </c>
      <c r="G20" s="510">
        <f>SUM(G15:G19)</f>
        <v>243580183345</v>
      </c>
      <c r="H20" s="510">
        <f>SUM(H15:H19)</f>
        <v>30399</v>
      </c>
      <c r="I20" s="296">
        <f>SUM(I15:I19)+I21</f>
        <v>8291301887</v>
      </c>
      <c r="J20" s="510">
        <f>SUM(J15:J19)</f>
        <v>252285832879</v>
      </c>
      <c r="K20" s="296">
        <f>SUM(K15:K19)</f>
        <v>29990</v>
      </c>
      <c r="L20" s="296">
        <f>SUM(L15:L19)+L21</f>
        <v>4214347931</v>
      </c>
      <c r="M20" s="296">
        <f>SUM(M15:M19)</f>
        <v>245084140681</v>
      </c>
      <c r="N20" s="296">
        <f>SUM(N15:N19)</f>
        <v>0</v>
      </c>
      <c r="O20" s="296">
        <f>SUM(O15:O19)+O21</f>
        <v>0</v>
      </c>
      <c r="P20" s="447">
        <f>SUM(P15:P19)</f>
        <v>0</v>
      </c>
      <c r="Q20" s="480">
        <f>SUM(Q15:Q19)</f>
        <v>0</v>
      </c>
      <c r="R20" s="296">
        <f>SUM(R15:R19)+R21</f>
        <v>0</v>
      </c>
      <c r="S20" s="481">
        <f>SUM(S15:S19)</f>
        <v>0</v>
      </c>
      <c r="T20" s="481">
        <f t="shared" ref="T20" si="8">SUM(T15:T19)</f>
        <v>0</v>
      </c>
      <c r="U20" s="296">
        <f>SUM(U15:U19)+U21</f>
        <v>0</v>
      </c>
      <c r="V20" s="460">
        <f>SUM(V15:V19)</f>
        <v>0</v>
      </c>
      <c r="W20" s="121">
        <f>SUM(W15:W19)</f>
        <v>0</v>
      </c>
      <c r="X20" s="296">
        <f>SUM(X15:X19)+X21</f>
        <v>0</v>
      </c>
      <c r="Y20" s="121">
        <f>SUM(Y15:Y19)</f>
        <v>0</v>
      </c>
      <c r="Z20" s="460">
        <f t="shared" ref="Z20:AE20" si="9">SUM(Z15:Z19)</f>
        <v>0</v>
      </c>
      <c r="AA20" s="296">
        <f>SUM(AA15:AA19)+AA21</f>
        <v>0</v>
      </c>
      <c r="AB20" s="460">
        <f t="shared" si="9"/>
        <v>0</v>
      </c>
      <c r="AC20" s="460">
        <f t="shared" si="9"/>
        <v>0</v>
      </c>
      <c r="AD20" s="296">
        <f>SUM(AD15:AD19)+AD21</f>
        <v>0</v>
      </c>
      <c r="AE20" s="460">
        <f t="shared" si="9"/>
        <v>0</v>
      </c>
      <c r="AF20" s="510">
        <f t="shared" ref="AF20:AH20" si="10">SUM(AF15:AF19)</f>
        <v>0</v>
      </c>
      <c r="AG20" s="296">
        <f>SUM(AG15:AG19)+AG21</f>
        <v>0</v>
      </c>
      <c r="AH20" s="510">
        <f t="shared" si="10"/>
        <v>0</v>
      </c>
      <c r="AI20" s="510">
        <f>SUM(AI15:AI19)</f>
        <v>0</v>
      </c>
      <c r="AJ20" s="296">
        <f>SUM(AJ15:AJ19)+AJ21</f>
        <v>0</v>
      </c>
      <c r="AK20" s="510">
        <f>SUM(AK15:AK19)</f>
        <v>0</v>
      </c>
    </row>
    <row r="21" spans="1:52" ht="14.5" customHeight="1">
      <c r="C21">
        <v>-320169594</v>
      </c>
      <c r="F21">
        <v>-410068662</v>
      </c>
      <c r="H21" s="325"/>
      <c r="I21">
        <v>-282644354</v>
      </c>
      <c r="L21">
        <v>-328504174</v>
      </c>
      <c r="Z21" s="89"/>
      <c r="AD21" s="7"/>
    </row>
    <row r="22" spans="1:52">
      <c r="H22" s="326"/>
      <c r="I22" s="106"/>
    </row>
    <row r="24" spans="1:52" ht="14.5" customHeight="1">
      <c r="A24" s="1548" t="s">
        <v>973</v>
      </c>
      <c r="B24" s="1459" t="s">
        <v>956</v>
      </c>
      <c r="C24" s="1460"/>
      <c r="D24" s="1461"/>
      <c r="E24" s="1459" t="s">
        <v>957</v>
      </c>
      <c r="F24" s="1460"/>
      <c r="G24" s="1461"/>
      <c r="H24" s="1440" t="s">
        <v>958</v>
      </c>
      <c r="I24" s="1440"/>
      <c r="J24" s="1440"/>
      <c r="K24" s="1440" t="s">
        <v>959</v>
      </c>
      <c r="L24" s="1440"/>
      <c r="M24" s="1440"/>
      <c r="N24" s="1440" t="s">
        <v>960</v>
      </c>
      <c r="O24" s="1440"/>
      <c r="P24" s="1440"/>
      <c r="Q24" s="1440" t="s">
        <v>961</v>
      </c>
      <c r="R24" s="1440"/>
      <c r="S24" s="1440"/>
      <c r="T24" s="1440" t="s">
        <v>962</v>
      </c>
      <c r="U24" s="1440"/>
      <c r="V24" s="1440"/>
      <c r="W24" s="1440" t="s">
        <v>963</v>
      </c>
      <c r="X24" s="1440"/>
      <c r="Y24" s="1440"/>
      <c r="Z24" s="1440" t="s">
        <v>964</v>
      </c>
      <c r="AA24" s="1440"/>
      <c r="AB24" s="1440"/>
      <c r="AC24" s="1440" t="s">
        <v>965</v>
      </c>
      <c r="AD24" s="1440"/>
      <c r="AE24" s="1440"/>
      <c r="AF24" s="1440" t="s">
        <v>966</v>
      </c>
      <c r="AG24" s="1440"/>
      <c r="AH24" s="1440"/>
      <c r="AI24" s="1440" t="s">
        <v>967</v>
      </c>
      <c r="AJ24" s="1440"/>
      <c r="AK24" s="1440"/>
      <c r="AL24" s="1440" t="s">
        <v>956</v>
      </c>
      <c r="AM24" s="1440"/>
      <c r="AN24" s="1440"/>
      <c r="AO24" s="1440" t="s">
        <v>957</v>
      </c>
      <c r="AP24" s="1440"/>
      <c r="AQ24" s="1440"/>
      <c r="AR24" s="1521"/>
      <c r="AS24" s="1521"/>
      <c r="AT24" s="1521"/>
      <c r="AU24" s="1521"/>
      <c r="AV24" s="1521"/>
      <c r="AW24" s="1521"/>
      <c r="AX24" s="1521"/>
      <c r="AY24" s="1521"/>
      <c r="AZ24" s="1521"/>
    </row>
    <row r="25" spans="1:52" ht="14.5" customHeight="1">
      <c r="A25" s="1549"/>
      <c r="B25" s="143" t="s">
        <v>968</v>
      </c>
      <c r="C25" s="1526" t="s">
        <v>969</v>
      </c>
      <c r="D25" s="1526"/>
      <c r="E25" s="143" t="s">
        <v>968</v>
      </c>
      <c r="F25" s="1526" t="s">
        <v>969</v>
      </c>
      <c r="G25" s="1526"/>
      <c r="H25" s="317" t="s">
        <v>968</v>
      </c>
      <c r="I25" s="1523" t="s">
        <v>969</v>
      </c>
      <c r="J25" s="1523"/>
      <c r="K25" s="317" t="s">
        <v>968</v>
      </c>
      <c r="L25" s="1523" t="s">
        <v>969</v>
      </c>
      <c r="M25" s="1523"/>
      <c r="N25" s="317" t="s">
        <v>968</v>
      </c>
      <c r="O25" s="1523" t="s">
        <v>969</v>
      </c>
      <c r="P25" s="1523"/>
      <c r="Q25" s="317" t="s">
        <v>968</v>
      </c>
      <c r="R25" s="1523" t="s">
        <v>969</v>
      </c>
      <c r="S25" s="1523"/>
      <c r="T25" s="108" t="s">
        <v>968</v>
      </c>
      <c r="U25" s="1455" t="s">
        <v>969</v>
      </c>
      <c r="V25" s="1456"/>
      <c r="W25" s="108" t="s">
        <v>968</v>
      </c>
      <c r="X25" s="1449" t="s">
        <v>969</v>
      </c>
      <c r="Y25" s="1449"/>
      <c r="Z25" s="143" t="s">
        <v>968</v>
      </c>
      <c r="AA25" s="1449" t="s">
        <v>969</v>
      </c>
      <c r="AB25" s="1449"/>
      <c r="AC25" s="143" t="s">
        <v>968</v>
      </c>
      <c r="AD25" s="1449" t="s">
        <v>969</v>
      </c>
      <c r="AE25" s="1449"/>
      <c r="AF25" s="143" t="s">
        <v>968</v>
      </c>
      <c r="AG25" s="1526" t="s">
        <v>969</v>
      </c>
      <c r="AH25" s="1526"/>
      <c r="AI25" s="143" t="s">
        <v>968</v>
      </c>
      <c r="AJ25" s="1526" t="s">
        <v>969</v>
      </c>
      <c r="AK25" s="1526"/>
    </row>
    <row r="26" spans="1:52" ht="14.5" customHeight="1">
      <c r="A26" s="118">
        <v>1</v>
      </c>
      <c r="B26" s="529">
        <v>29074</v>
      </c>
      <c r="C26" s="1527">
        <v>109878224118</v>
      </c>
      <c r="D26" s="1528"/>
      <c r="E26" s="532">
        <v>38077</v>
      </c>
      <c r="F26" s="1540">
        <v>144304017858</v>
      </c>
      <c r="G26" s="1540"/>
      <c r="H26" s="532">
        <v>33201</v>
      </c>
      <c r="I26" s="1540">
        <v>127513796273</v>
      </c>
      <c r="J26" s="1540"/>
      <c r="K26" s="316">
        <v>31911</v>
      </c>
      <c r="L26" s="1470">
        <v>122528949920</v>
      </c>
      <c r="M26" s="1420"/>
      <c r="N26" s="316"/>
      <c r="O26" s="1519"/>
      <c r="P26" s="1520"/>
      <c r="Q26" s="119"/>
      <c r="R26" s="1533"/>
      <c r="S26" s="1534"/>
      <c r="T26" s="122"/>
      <c r="U26" s="1457"/>
      <c r="V26" s="1464"/>
      <c r="W26" s="144"/>
      <c r="X26" s="1450"/>
      <c r="Y26" s="1451"/>
      <c r="Z26" s="511"/>
      <c r="AA26" s="1451"/>
      <c r="AB26" s="1565"/>
      <c r="AC26" s="536"/>
      <c r="AD26" s="1566"/>
      <c r="AE26" s="1528"/>
      <c r="AF26" s="529"/>
      <c r="AG26" s="1527"/>
      <c r="AH26" s="1528"/>
      <c r="AI26" s="532"/>
      <c r="AJ26" s="1540"/>
      <c r="AK26" s="1540"/>
    </row>
    <row r="27" spans="1:52" ht="14.5" customHeight="1">
      <c r="A27" s="118">
        <v>2</v>
      </c>
      <c r="B27" s="529">
        <v>4473</v>
      </c>
      <c r="C27" s="1527">
        <v>13884869641</v>
      </c>
      <c r="D27" s="1528"/>
      <c r="E27" s="532">
        <v>4258</v>
      </c>
      <c r="F27" s="1540">
        <v>13542192616</v>
      </c>
      <c r="G27" s="1540"/>
      <c r="H27" s="532">
        <v>5395</v>
      </c>
      <c r="I27" s="1540">
        <v>17377838418</v>
      </c>
      <c r="J27" s="1540"/>
      <c r="K27" s="316">
        <v>6169</v>
      </c>
      <c r="L27" s="1470">
        <v>20001522000</v>
      </c>
      <c r="M27" s="1420"/>
      <c r="N27" s="316"/>
      <c r="O27" s="1519"/>
      <c r="P27" s="1520"/>
      <c r="Q27" s="119"/>
      <c r="R27" s="1533"/>
      <c r="S27" s="1534"/>
      <c r="T27" s="110"/>
      <c r="U27" s="1457"/>
      <c r="V27" s="1464"/>
      <c r="W27" s="145"/>
      <c r="X27" s="1450"/>
      <c r="Y27" s="1451"/>
      <c r="Z27" s="514"/>
      <c r="AA27" s="1451"/>
      <c r="AB27" s="1565"/>
      <c r="AC27" s="536"/>
      <c r="AD27" s="1566"/>
      <c r="AE27" s="1528"/>
      <c r="AF27" s="529"/>
      <c r="AG27" s="1527"/>
      <c r="AH27" s="1528"/>
      <c r="AI27" s="532"/>
      <c r="AJ27" s="1540"/>
      <c r="AK27" s="1540"/>
    </row>
    <row r="28" spans="1:52" ht="14.5" customHeight="1">
      <c r="A28" s="118">
        <v>3</v>
      </c>
      <c r="B28" s="529">
        <v>3752</v>
      </c>
      <c r="C28" s="1527">
        <v>11078276194</v>
      </c>
      <c r="D28" s="1528"/>
      <c r="E28" s="532">
        <v>4143</v>
      </c>
      <c r="F28" s="1540">
        <v>12314526369</v>
      </c>
      <c r="G28" s="1540"/>
      <c r="H28" s="532">
        <v>4518</v>
      </c>
      <c r="I28" s="1540">
        <v>13679843534</v>
      </c>
      <c r="J28" s="1540"/>
      <c r="K28" s="316">
        <v>4271</v>
      </c>
      <c r="L28" s="1470">
        <v>13283320404</v>
      </c>
      <c r="M28" s="1420"/>
      <c r="N28" s="316"/>
      <c r="O28" s="1519"/>
      <c r="P28" s="1520"/>
      <c r="Q28" s="112"/>
      <c r="R28" s="1533"/>
      <c r="S28" s="1534"/>
      <c r="T28" s="110"/>
      <c r="U28" s="1457"/>
      <c r="V28" s="1464"/>
      <c r="W28" s="122"/>
      <c r="X28" s="1450"/>
      <c r="Y28" s="1451"/>
      <c r="Z28" s="514"/>
      <c r="AA28" s="1451"/>
      <c r="AB28" s="1565"/>
      <c r="AC28" s="536"/>
      <c r="AD28" s="1566"/>
      <c r="AE28" s="1528"/>
      <c r="AF28" s="529"/>
      <c r="AG28" s="1527"/>
      <c r="AH28" s="1528"/>
      <c r="AI28" s="532"/>
      <c r="AJ28" s="1540"/>
      <c r="AK28" s="1540"/>
    </row>
    <row r="29" spans="1:52" ht="14.5" customHeight="1">
      <c r="A29" s="118">
        <v>4</v>
      </c>
      <c r="B29" s="529">
        <v>4289</v>
      </c>
      <c r="C29" s="1527">
        <v>13569554565</v>
      </c>
      <c r="D29" s="1528"/>
      <c r="E29" s="532">
        <v>4668</v>
      </c>
      <c r="F29" s="1540">
        <v>14637680757</v>
      </c>
      <c r="G29" s="1540"/>
      <c r="H29" s="532">
        <v>4591</v>
      </c>
      <c r="I29" s="1540">
        <v>14103810408</v>
      </c>
      <c r="J29" s="1540"/>
      <c r="K29" s="316">
        <v>1396</v>
      </c>
      <c r="L29" s="1470">
        <v>3982155871</v>
      </c>
      <c r="M29" s="1420"/>
      <c r="N29" s="316"/>
      <c r="O29" s="1519"/>
      <c r="P29" s="1520"/>
      <c r="Q29" s="112"/>
      <c r="R29" s="1533"/>
      <c r="S29" s="1534"/>
      <c r="T29" s="110"/>
      <c r="U29" s="1457"/>
      <c r="V29" s="1464"/>
      <c r="W29" s="122"/>
      <c r="X29" s="1450"/>
      <c r="Y29" s="1451"/>
      <c r="Z29" s="511"/>
      <c r="AA29" s="1451"/>
      <c r="AB29" s="1565"/>
      <c r="AC29" s="536"/>
      <c r="AD29" s="1566"/>
      <c r="AE29" s="1528"/>
      <c r="AF29" s="529"/>
      <c r="AG29" s="1527"/>
      <c r="AH29" s="1528"/>
      <c r="AI29" s="532"/>
      <c r="AJ29" s="1540"/>
      <c r="AK29" s="1540"/>
    </row>
    <row r="30" spans="1:52" ht="14.5" customHeight="1">
      <c r="A30" s="118">
        <v>5</v>
      </c>
      <c r="B30" s="529">
        <v>699</v>
      </c>
      <c r="C30" s="1527">
        <v>2129625003</v>
      </c>
      <c r="D30" s="1528"/>
      <c r="E30" s="555">
        <v>3842</v>
      </c>
      <c r="F30" s="1524">
        <v>11974116584</v>
      </c>
      <c r="G30" s="1524"/>
      <c r="H30" s="555">
        <v>832</v>
      </c>
      <c r="I30" s="1524">
        <v>2542821957</v>
      </c>
      <c r="J30" s="1524"/>
      <c r="K30" s="124">
        <v>45</v>
      </c>
      <c r="L30" s="1529">
        <v>25988000</v>
      </c>
      <c r="M30" s="1530"/>
      <c r="N30" s="295"/>
      <c r="O30" s="1521"/>
      <c r="P30" s="1521"/>
      <c r="Q30" s="112"/>
      <c r="R30" s="1533"/>
      <c r="S30" s="1534"/>
      <c r="T30" s="110"/>
      <c r="U30" s="1457"/>
      <c r="V30" s="1464"/>
      <c r="W30" s="110"/>
      <c r="X30" s="1450"/>
      <c r="Y30" s="1451"/>
      <c r="Z30" s="511"/>
      <c r="AA30" s="1451"/>
      <c r="AB30" s="1565"/>
      <c r="AC30" s="536"/>
      <c r="AD30" s="1566"/>
      <c r="AE30" s="1528"/>
      <c r="AF30" s="529"/>
      <c r="AG30" s="1527"/>
      <c r="AH30" s="1528"/>
      <c r="AI30" s="555"/>
      <c r="AJ30" s="1524"/>
      <c r="AK30" s="1524"/>
    </row>
    <row r="31" spans="1:52" s="500" customFormat="1" ht="14.5" customHeight="1">
      <c r="A31" s="503" t="s">
        <v>970</v>
      </c>
      <c r="B31" s="538">
        <f>SUM(B26:B30)</f>
        <v>42287</v>
      </c>
      <c r="C31" s="1554">
        <f>SUM(C26:D30)</f>
        <v>150540549521</v>
      </c>
      <c r="D31" s="1555">
        <f>SUM(D26:D30)</f>
        <v>0</v>
      </c>
      <c r="E31" s="538">
        <f>SUM(E26:E30)</f>
        <v>54988</v>
      </c>
      <c r="F31" s="1525">
        <f>SUM(F26:G30)</f>
        <v>196772534184</v>
      </c>
      <c r="G31" s="1525">
        <f>SUM(G26:G30)</f>
        <v>0</v>
      </c>
      <c r="H31" s="538">
        <f>SUM(H26:H30)</f>
        <v>48537</v>
      </c>
      <c r="I31" s="1525">
        <f>SUM(I26:I30)</f>
        <v>175218110590</v>
      </c>
      <c r="J31" s="1525"/>
      <c r="K31" s="501">
        <f>SUM(K26:K30)</f>
        <v>43792</v>
      </c>
      <c r="L31" s="1522">
        <f>SUM(L26:L30)</f>
        <v>159821936195</v>
      </c>
      <c r="M31" s="1522"/>
      <c r="N31" s="501">
        <f>SUM(N26:N30)</f>
        <v>0</v>
      </c>
      <c r="O31" s="1522">
        <f>SUM(O26:O30)</f>
        <v>0</v>
      </c>
      <c r="P31" s="1522"/>
      <c r="Q31" s="121">
        <f>SUM(Q26:Q30)</f>
        <v>0</v>
      </c>
      <c r="R31" s="1480">
        <f>SUM(R26:S30)</f>
        <v>0</v>
      </c>
      <c r="S31" s="1481"/>
      <c r="T31" s="123"/>
      <c r="U31" s="1563">
        <f>SUM(U26:V30)</f>
        <v>0</v>
      </c>
      <c r="V31" s="1564"/>
      <c r="W31" s="121">
        <f t="shared" ref="W31:AB31" si="11">SUM(W26:W30)</f>
        <v>0</v>
      </c>
      <c r="X31" s="1452">
        <f t="shared" si="11"/>
        <v>0</v>
      </c>
      <c r="Y31" s="1453">
        <f t="shared" si="11"/>
        <v>0</v>
      </c>
      <c r="Z31" s="515">
        <f t="shared" si="11"/>
        <v>0</v>
      </c>
      <c r="AA31" s="1452">
        <f t="shared" si="11"/>
        <v>0</v>
      </c>
      <c r="AB31" s="1452">
        <f t="shared" si="11"/>
        <v>0</v>
      </c>
      <c r="AC31" s="538">
        <f>SUM(AC26:AC30)</f>
        <v>0</v>
      </c>
      <c r="AD31" s="1452">
        <f>SUM(AD26:AD30)</f>
        <v>0</v>
      </c>
      <c r="AE31" s="1453">
        <f>SUM(AE26:AE30)</f>
        <v>0</v>
      </c>
      <c r="AF31" s="538">
        <f>SUM(AF26:AF30)</f>
        <v>0</v>
      </c>
      <c r="AG31" s="1554">
        <f>SUM(AG26:AH30)</f>
        <v>0</v>
      </c>
      <c r="AH31" s="1555">
        <f>SUM(AH26:AH30)</f>
        <v>0</v>
      </c>
      <c r="AI31" s="538">
        <f>SUM(AI26:AI30)</f>
        <v>0</v>
      </c>
      <c r="AJ31" s="1525">
        <f>SUM(AJ26:AK30)</f>
        <v>0</v>
      </c>
      <c r="AK31" s="1525">
        <f>SUM(AK26:AK30)</f>
        <v>0</v>
      </c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>
      <c r="A32" s="106"/>
      <c r="B32" s="106"/>
      <c r="C32" s="201"/>
      <c r="D32" s="201"/>
      <c r="E32" s="106"/>
      <c r="F32" s="318"/>
      <c r="G32" s="318"/>
      <c r="H32" s="106"/>
      <c r="I32" s="106"/>
      <c r="J32" s="116"/>
      <c r="K32" s="116"/>
      <c r="L32" s="116"/>
      <c r="M32" s="116"/>
      <c r="N32" s="116"/>
      <c r="O32" s="106"/>
      <c r="P32" s="116"/>
      <c r="Q32" s="106"/>
      <c r="S32" s="106"/>
      <c r="U32" s="106"/>
      <c r="W32" s="106"/>
      <c r="X32" s="106"/>
      <c r="Y32" s="106"/>
    </row>
    <row r="33" spans="1:52">
      <c r="A33" s="106"/>
      <c r="B33" s="106"/>
      <c r="C33" s="106"/>
      <c r="D33" s="106"/>
      <c r="E33" s="106"/>
      <c r="F33" s="106"/>
      <c r="G33" s="106"/>
      <c r="H33" s="106"/>
      <c r="I33" s="106"/>
      <c r="J33" s="116"/>
      <c r="K33" s="116"/>
      <c r="L33" s="116"/>
      <c r="M33" s="116"/>
      <c r="N33" s="116"/>
      <c r="O33" s="116"/>
      <c r="P33" s="116"/>
      <c r="Q33" s="116"/>
    </row>
    <row r="34" spans="1:52" ht="14.5" customHeight="1">
      <c r="A34" s="1552" t="s">
        <v>974</v>
      </c>
      <c r="B34" s="1545" t="s">
        <v>956</v>
      </c>
      <c r="C34" s="1443"/>
      <c r="D34" s="1444"/>
      <c r="E34" s="1545" t="s">
        <v>957</v>
      </c>
      <c r="F34" s="1443"/>
      <c r="G34" s="1444"/>
      <c r="H34" s="1430" t="s">
        <v>958</v>
      </c>
      <c r="I34" s="1430"/>
      <c r="J34" s="1430"/>
      <c r="K34" s="1430" t="s">
        <v>959</v>
      </c>
      <c r="L34" s="1430"/>
      <c r="M34" s="1430"/>
      <c r="N34" s="1430" t="s">
        <v>960</v>
      </c>
      <c r="O34" s="1430"/>
      <c r="P34" s="1430"/>
      <c r="Q34" s="1430" t="s">
        <v>961</v>
      </c>
      <c r="R34" s="1430"/>
      <c r="S34" s="1430"/>
      <c r="T34" s="1430" t="s">
        <v>962</v>
      </c>
      <c r="U34" s="1430"/>
      <c r="V34" s="1430"/>
      <c r="W34" s="1430" t="s">
        <v>963</v>
      </c>
      <c r="X34" s="1430"/>
      <c r="Y34" s="1430"/>
      <c r="Z34" s="1430" t="s">
        <v>964</v>
      </c>
      <c r="AA34" s="1430"/>
      <c r="AB34" s="1430"/>
      <c r="AC34" s="1430" t="s">
        <v>965</v>
      </c>
      <c r="AD34" s="1430"/>
      <c r="AE34" s="1430"/>
      <c r="AF34" s="1430" t="s">
        <v>966</v>
      </c>
      <c r="AG34" s="1430"/>
      <c r="AH34" s="1430"/>
      <c r="AI34" s="1430" t="s">
        <v>967</v>
      </c>
      <c r="AJ34" s="1430"/>
      <c r="AK34" s="1430"/>
      <c r="AL34" s="1430" t="s">
        <v>956</v>
      </c>
      <c r="AM34" s="1430"/>
      <c r="AN34" s="1430"/>
      <c r="AO34" s="1430" t="s">
        <v>957</v>
      </c>
      <c r="AP34" s="1430"/>
      <c r="AQ34" s="1430"/>
    </row>
    <row r="35" spans="1:52" ht="14.5" customHeight="1">
      <c r="A35" s="1553"/>
      <c r="B35" s="509" t="s">
        <v>968</v>
      </c>
      <c r="C35" s="509" t="s">
        <v>972</v>
      </c>
      <c r="D35" s="509" t="s">
        <v>969</v>
      </c>
      <c r="E35" s="509" t="s">
        <v>968</v>
      </c>
      <c r="F35" s="509" t="s">
        <v>972</v>
      </c>
      <c r="G35" s="509" t="s">
        <v>969</v>
      </c>
      <c r="H35" s="327" t="s">
        <v>968</v>
      </c>
      <c r="I35" s="327" t="s">
        <v>972</v>
      </c>
      <c r="J35" s="327" t="s">
        <v>969</v>
      </c>
      <c r="K35" s="111" t="s">
        <v>968</v>
      </c>
      <c r="L35" s="111" t="s">
        <v>972</v>
      </c>
      <c r="M35" s="111" t="s">
        <v>969</v>
      </c>
      <c r="N35" s="111" t="s">
        <v>968</v>
      </c>
      <c r="O35" s="111" t="s">
        <v>972</v>
      </c>
      <c r="P35" s="111" t="s">
        <v>969</v>
      </c>
      <c r="Q35" s="111" t="s">
        <v>968</v>
      </c>
      <c r="R35" s="111" t="s">
        <v>972</v>
      </c>
      <c r="S35" s="111" t="s">
        <v>969</v>
      </c>
      <c r="T35" s="458" t="s">
        <v>968</v>
      </c>
      <c r="U35" s="458" t="s">
        <v>972</v>
      </c>
      <c r="V35" s="458" t="s">
        <v>969</v>
      </c>
      <c r="W35" s="458" t="s">
        <v>968</v>
      </c>
      <c r="X35" s="458" t="s">
        <v>972</v>
      </c>
      <c r="Y35" s="458" t="s">
        <v>969</v>
      </c>
      <c r="Z35" s="458" t="s">
        <v>968</v>
      </c>
      <c r="AA35" s="458" t="s">
        <v>972</v>
      </c>
      <c r="AB35" s="458" t="s">
        <v>969</v>
      </c>
      <c r="AC35" s="458" t="s">
        <v>968</v>
      </c>
      <c r="AD35" s="458" t="s">
        <v>972</v>
      </c>
      <c r="AE35" s="458" t="s">
        <v>969</v>
      </c>
      <c r="AF35" s="509" t="s">
        <v>968</v>
      </c>
      <c r="AG35" s="509" t="s">
        <v>972</v>
      </c>
      <c r="AH35" s="509" t="s">
        <v>969</v>
      </c>
      <c r="AI35" s="509" t="s">
        <v>968</v>
      </c>
      <c r="AJ35" s="509" t="s">
        <v>972</v>
      </c>
      <c r="AK35" s="509" t="s">
        <v>969</v>
      </c>
    </row>
    <row r="36" spans="1:52" ht="14.5" customHeight="1">
      <c r="A36" s="118">
        <v>1</v>
      </c>
      <c r="B36" s="521">
        <v>28782</v>
      </c>
      <c r="C36" s="308">
        <v>694295616</v>
      </c>
      <c r="D36" s="64">
        <v>108814494598</v>
      </c>
      <c r="E36" s="521">
        <v>37366</v>
      </c>
      <c r="F36" s="308">
        <v>937465839</v>
      </c>
      <c r="G36" s="330">
        <v>141767606494</v>
      </c>
      <c r="H36" s="521">
        <v>32707</v>
      </c>
      <c r="I36" s="521">
        <v>780905129</v>
      </c>
      <c r="J36" s="145">
        <v>125587446458</v>
      </c>
      <c r="K36" s="316">
        <v>31534</v>
      </c>
      <c r="L36" s="294">
        <v>735462321</v>
      </c>
      <c r="M36" s="294">
        <v>121096097212</v>
      </c>
      <c r="N36" s="291"/>
      <c r="O36" s="294"/>
      <c r="P36" s="294"/>
      <c r="Q36" s="119"/>
      <c r="R36" s="119"/>
      <c r="S36" s="119"/>
      <c r="T36" s="459"/>
      <c r="U36" s="459"/>
      <c r="V36" s="459"/>
      <c r="W36" s="119"/>
      <c r="X36" s="119"/>
      <c r="Y36" s="119"/>
      <c r="Z36" s="64"/>
      <c r="AA36" s="64"/>
      <c r="AB36" s="64"/>
      <c r="AC36" s="64"/>
      <c r="AD36" s="64"/>
      <c r="AE36" s="330"/>
      <c r="AF36" s="521"/>
      <c r="AG36" s="308"/>
      <c r="AH36" s="64"/>
      <c r="AI36" s="521"/>
      <c r="AJ36" s="308"/>
      <c r="AK36" s="64"/>
      <c r="AM36" s="34"/>
    </row>
    <row r="37" spans="1:52" ht="14.5" customHeight="1">
      <c r="A37" s="118">
        <v>2</v>
      </c>
      <c r="B37" s="521">
        <v>4572</v>
      </c>
      <c r="C37" s="308">
        <v>280523478</v>
      </c>
      <c r="D37" s="64">
        <v>14416046513</v>
      </c>
      <c r="E37" s="521">
        <v>4767</v>
      </c>
      <c r="F37" s="308">
        <v>504167373</v>
      </c>
      <c r="G37" s="330">
        <v>15449290651</v>
      </c>
      <c r="H37" s="521">
        <v>5707</v>
      </c>
      <c r="I37" s="521">
        <v>404930376</v>
      </c>
      <c r="J37" s="145">
        <v>18726156008</v>
      </c>
      <c r="K37" s="316">
        <v>6317</v>
      </c>
      <c r="L37" s="294">
        <v>400523417</v>
      </c>
      <c r="M37" s="294">
        <v>20654184783</v>
      </c>
      <c r="N37" s="291"/>
      <c r="O37" s="294"/>
      <c r="P37" s="294"/>
      <c r="Q37" s="119"/>
      <c r="R37" s="112"/>
      <c r="S37" s="119"/>
      <c r="T37" s="459"/>
      <c r="U37" s="459"/>
      <c r="V37" s="459"/>
      <c r="W37" s="119"/>
      <c r="X37" s="119"/>
      <c r="Y37" s="119"/>
      <c r="Z37" s="64"/>
      <c r="AA37" s="64"/>
      <c r="AB37" s="64"/>
      <c r="AC37" s="64"/>
      <c r="AD37" s="64"/>
      <c r="AE37" s="330"/>
      <c r="AF37" s="521"/>
      <c r="AG37" s="308"/>
      <c r="AH37" s="64"/>
      <c r="AI37" s="521"/>
      <c r="AJ37" s="308"/>
      <c r="AK37" s="64"/>
      <c r="AM37" s="34"/>
    </row>
    <row r="38" spans="1:52" ht="14.5" customHeight="1">
      <c r="A38" s="118">
        <v>3</v>
      </c>
      <c r="B38" s="521">
        <v>3732</v>
      </c>
      <c r="C38" s="308">
        <v>671526234</v>
      </c>
      <c r="D38" s="64">
        <v>11069603241</v>
      </c>
      <c r="E38" s="521">
        <v>4125</v>
      </c>
      <c r="F38" s="308">
        <v>740908835</v>
      </c>
      <c r="G38" s="330">
        <v>12412832508</v>
      </c>
      <c r="H38" s="521">
        <v>4505</v>
      </c>
      <c r="I38" s="521">
        <v>687078746</v>
      </c>
      <c r="J38" s="145">
        <v>13747806170</v>
      </c>
      <c r="K38" s="316">
        <v>4247</v>
      </c>
      <c r="L38" s="294">
        <v>591354541</v>
      </c>
      <c r="M38" s="294">
        <v>13359535626</v>
      </c>
      <c r="N38" s="291"/>
      <c r="O38" s="294"/>
      <c r="P38" s="294"/>
      <c r="Q38" s="119"/>
      <c r="R38" s="112"/>
      <c r="S38" s="119"/>
      <c r="T38" s="459"/>
      <c r="U38" s="459"/>
      <c r="V38" s="459"/>
      <c r="W38" s="119"/>
      <c r="X38" s="119"/>
      <c r="Y38" s="119"/>
      <c r="Z38" s="64"/>
      <c r="AA38" s="64"/>
      <c r="AB38" s="64"/>
      <c r="AC38" s="64"/>
      <c r="AD38" s="64"/>
      <c r="AE38" s="330"/>
      <c r="AF38" s="521"/>
      <c r="AG38" s="308"/>
      <c r="AH38" s="64"/>
      <c r="AI38" s="521"/>
      <c r="AJ38" s="308"/>
      <c r="AK38" s="64"/>
      <c r="AM38" s="34"/>
    </row>
    <row r="39" spans="1:52" ht="14.5" customHeight="1">
      <c r="A39" s="118">
        <v>4</v>
      </c>
      <c r="B39" s="521">
        <v>4234</v>
      </c>
      <c r="C39" s="308">
        <v>654616028</v>
      </c>
      <c r="D39" s="64">
        <v>13518544324</v>
      </c>
      <c r="E39" s="521">
        <v>4387</v>
      </c>
      <c r="F39" s="308">
        <v>1048361726</v>
      </c>
      <c r="G39" s="330">
        <v>13801483943</v>
      </c>
      <c r="H39" s="521">
        <v>84</v>
      </c>
      <c r="I39" s="521">
        <v>7950000</v>
      </c>
      <c r="J39" s="145">
        <v>273496849</v>
      </c>
      <c r="K39" s="316">
        <v>126</v>
      </c>
      <c r="L39" s="294">
        <v>104225381</v>
      </c>
      <c r="M39" s="294">
        <v>374125735</v>
      </c>
      <c r="N39" s="291"/>
      <c r="O39" s="294"/>
      <c r="P39" s="294"/>
      <c r="Q39" s="119"/>
      <c r="R39" s="112"/>
      <c r="S39" s="119"/>
      <c r="T39" s="459"/>
      <c r="U39" s="459"/>
      <c r="V39" s="459"/>
      <c r="W39" s="119"/>
      <c r="X39" s="119"/>
      <c r="Y39" s="119"/>
      <c r="Z39" s="64"/>
      <c r="AA39" s="64"/>
      <c r="AB39" s="64"/>
      <c r="AC39" s="64"/>
      <c r="AD39" s="64"/>
      <c r="AE39" s="330"/>
      <c r="AF39" s="521"/>
      <c r="AG39" s="308"/>
      <c r="AH39" s="64"/>
      <c r="AI39" s="521"/>
      <c r="AJ39" s="308"/>
      <c r="AK39" s="64"/>
      <c r="AM39" s="34"/>
    </row>
    <row r="40" spans="1:52" ht="14.5" customHeight="1">
      <c r="A40" s="118">
        <v>5</v>
      </c>
      <c r="B40" s="521">
        <v>868</v>
      </c>
      <c r="C40" s="308">
        <v>1293586924</v>
      </c>
      <c r="D40" s="64">
        <v>2721860845</v>
      </c>
      <c r="E40" s="521">
        <v>909</v>
      </c>
      <c r="F40" s="308">
        <v>1596917632</v>
      </c>
      <c r="G40" s="330">
        <v>2866849808</v>
      </c>
      <c r="H40" s="521">
        <v>5426</v>
      </c>
      <c r="I40" s="521">
        <v>9175741149</v>
      </c>
      <c r="J40" s="145">
        <v>16883205105</v>
      </c>
      <c r="K40" s="316">
        <v>1456</v>
      </c>
      <c r="L40" s="294">
        <v>3188353043</v>
      </c>
      <c r="M40" s="294">
        <v>4337992839</v>
      </c>
      <c r="N40" s="291"/>
      <c r="O40" s="294"/>
      <c r="P40" s="294"/>
      <c r="Q40" s="119"/>
      <c r="R40" s="110"/>
      <c r="S40" s="134"/>
      <c r="T40" s="459"/>
      <c r="U40" s="459"/>
      <c r="V40" s="459"/>
      <c r="W40" s="119"/>
      <c r="X40" s="119"/>
      <c r="Y40" s="119"/>
      <c r="Z40" s="64"/>
      <c r="AA40" s="64"/>
      <c r="AB40" s="64"/>
      <c r="AC40" s="64"/>
      <c r="AD40" s="64"/>
      <c r="AE40" s="330"/>
      <c r="AF40" s="521"/>
      <c r="AG40" s="308"/>
      <c r="AH40" s="64"/>
      <c r="AI40" s="521"/>
      <c r="AJ40" s="308"/>
      <c r="AK40" s="64"/>
      <c r="AM40" s="34"/>
    </row>
    <row r="41" spans="1:52" ht="14.5" customHeight="1">
      <c r="A41" s="114" t="s">
        <v>970</v>
      </c>
      <c r="B41" s="510"/>
      <c r="C41" s="296">
        <f>SUM(C36:C40)+C42</f>
        <v>2777196993</v>
      </c>
      <c r="D41" s="510">
        <f t="shared" ref="D41" si="12">SUM(D36:D40)</f>
        <v>150540549521</v>
      </c>
      <c r="E41" s="510">
        <f>SUM(E36:E40)</f>
        <v>51554</v>
      </c>
      <c r="F41" s="296">
        <f>SUM(F36:F40)+F42</f>
        <v>3990821336</v>
      </c>
      <c r="G41" s="510">
        <f>SUM(G36:G40)</f>
        <v>186298063404</v>
      </c>
      <c r="H41" s="779">
        <f>SUM(H36:H40)</f>
        <v>48429</v>
      </c>
      <c r="I41" s="779">
        <f>SUM(I36:I40)+I42</f>
        <v>10007974585</v>
      </c>
      <c r="J41" s="779">
        <f>SUM(J36:J40)</f>
        <v>175218110590</v>
      </c>
      <c r="K41" s="297">
        <f>SUM(K36:K40)</f>
        <v>43680</v>
      </c>
      <c r="L41" s="297">
        <f>SUM(L36:L40)+L42</f>
        <v>4027886923</v>
      </c>
      <c r="M41" s="297">
        <f t="shared" ref="M41:U41" si="13">SUM(M36:M40)</f>
        <v>159821936195</v>
      </c>
      <c r="N41" s="297">
        <f t="shared" si="13"/>
        <v>0</v>
      </c>
      <c r="O41" s="297">
        <f t="shared" si="13"/>
        <v>0</v>
      </c>
      <c r="P41" s="297">
        <f t="shared" si="13"/>
        <v>0</v>
      </c>
      <c r="Q41" s="297">
        <f t="shared" si="13"/>
        <v>0</v>
      </c>
      <c r="R41" s="297">
        <f t="shared" si="13"/>
        <v>0</v>
      </c>
      <c r="S41" s="297">
        <f t="shared" si="13"/>
        <v>0</v>
      </c>
      <c r="T41" s="297">
        <f t="shared" si="13"/>
        <v>0</v>
      </c>
      <c r="U41" s="297">
        <f t="shared" si="13"/>
        <v>0</v>
      </c>
      <c r="V41" s="460">
        <f>SUM(V36:V40)</f>
        <v>0</v>
      </c>
      <c r="W41" s="460">
        <f>SUM(W36:W40)</f>
        <v>0</v>
      </c>
      <c r="X41" s="121">
        <f t="shared" ref="X41:AE41" si="14">SUM(X36:X40)</f>
        <v>0</v>
      </c>
      <c r="Y41" s="121">
        <f t="shared" si="14"/>
        <v>0</v>
      </c>
      <c r="Z41" s="460">
        <f t="shared" si="14"/>
        <v>0</v>
      </c>
      <c r="AA41" s="460">
        <f t="shared" si="14"/>
        <v>0</v>
      </c>
      <c r="AB41" s="460">
        <f t="shared" si="14"/>
        <v>0</v>
      </c>
      <c r="AC41" s="460">
        <f t="shared" si="14"/>
        <v>0</v>
      </c>
      <c r="AD41" s="460">
        <f t="shared" si="14"/>
        <v>0</v>
      </c>
      <c r="AE41" s="460">
        <f t="shared" si="14"/>
        <v>0</v>
      </c>
      <c r="AF41" s="510"/>
      <c r="AG41" s="296">
        <f>SUM(AG36:AG40)+AG42</f>
        <v>0</v>
      </c>
      <c r="AH41" s="510">
        <f t="shared" ref="AH41" si="15">SUM(AH36:AH40)</f>
        <v>0</v>
      </c>
      <c r="AI41" s="510">
        <f>SUM(AI36:AI40)</f>
        <v>0</v>
      </c>
      <c r="AJ41" s="296">
        <f>SUM(AJ36:AJ40)+AJ42</f>
        <v>0</v>
      </c>
      <c r="AK41" s="510">
        <f>SUM(AK36:AK40)</f>
        <v>0</v>
      </c>
    </row>
    <row r="42" spans="1:52" ht="14.5" customHeight="1">
      <c r="C42">
        <v>-817351287</v>
      </c>
      <c r="F42">
        <v>-837000069</v>
      </c>
      <c r="I42">
        <v>-1048630815</v>
      </c>
      <c r="L42">
        <v>-992031780</v>
      </c>
      <c r="Q42" s="89"/>
      <c r="R42" s="89"/>
      <c r="S42" s="133"/>
      <c r="Z42" s="89"/>
      <c r="AD42" s="342"/>
      <c r="AE42" s="89"/>
    </row>
    <row r="43" spans="1:52">
      <c r="R43" s="89"/>
      <c r="S43" s="89"/>
    </row>
    <row r="45" spans="1:52" ht="14.5" customHeight="1">
      <c r="A45" s="1550" t="s">
        <v>975</v>
      </c>
      <c r="B45" s="1459" t="s">
        <v>956</v>
      </c>
      <c r="C45" s="1460"/>
      <c r="D45" s="1461"/>
      <c r="E45" s="1459" t="s">
        <v>957</v>
      </c>
      <c r="F45" s="1460"/>
      <c r="G45" s="1461"/>
      <c r="H45" s="1440" t="s">
        <v>958</v>
      </c>
      <c r="I45" s="1440"/>
      <c r="J45" s="1440"/>
      <c r="K45" s="1440" t="s">
        <v>959</v>
      </c>
      <c r="L45" s="1440"/>
      <c r="M45" s="1440"/>
      <c r="N45" s="1440" t="s">
        <v>960</v>
      </c>
      <c r="O45" s="1440"/>
      <c r="P45" s="1440"/>
      <c r="Q45" s="1440" t="s">
        <v>961</v>
      </c>
      <c r="R45" s="1440"/>
      <c r="S45" s="1440"/>
      <c r="T45" s="1440" t="s">
        <v>962</v>
      </c>
      <c r="U45" s="1440"/>
      <c r="V45" s="1440"/>
      <c r="W45" s="1440" t="s">
        <v>963</v>
      </c>
      <c r="X45" s="1440"/>
      <c r="Y45" s="1440"/>
      <c r="Z45" s="1440" t="s">
        <v>964</v>
      </c>
      <c r="AA45" s="1440"/>
      <c r="AB45" s="1440"/>
      <c r="AC45" s="1440" t="s">
        <v>965</v>
      </c>
      <c r="AD45" s="1440"/>
      <c r="AE45" s="1440"/>
      <c r="AF45" s="1440" t="s">
        <v>966</v>
      </c>
      <c r="AG45" s="1440"/>
      <c r="AH45" s="1440"/>
      <c r="AI45" s="1440" t="s">
        <v>967</v>
      </c>
      <c r="AJ45" s="1440"/>
      <c r="AK45" s="1440"/>
      <c r="AL45" s="1440" t="s">
        <v>956</v>
      </c>
      <c r="AM45" s="1440"/>
      <c r="AN45" s="1440"/>
      <c r="AO45" s="1440" t="s">
        <v>957</v>
      </c>
      <c r="AP45" s="1440"/>
      <c r="AQ45" s="1440"/>
      <c r="AR45" s="1521"/>
      <c r="AS45" s="1521"/>
      <c r="AT45" s="1521"/>
      <c r="AU45" s="1521"/>
      <c r="AV45" s="1521"/>
      <c r="AW45" s="1521"/>
      <c r="AX45" s="1521"/>
      <c r="AY45" s="1521"/>
      <c r="AZ45" s="1521"/>
    </row>
    <row r="46" spans="1:52" ht="14.5" customHeight="1">
      <c r="A46" s="1551"/>
      <c r="B46" s="143" t="s">
        <v>968</v>
      </c>
      <c r="C46" s="1428" t="s">
        <v>969</v>
      </c>
      <c r="D46" s="1429"/>
      <c r="E46" s="143" t="s">
        <v>968</v>
      </c>
      <c r="F46" s="1428" t="s">
        <v>969</v>
      </c>
      <c r="G46" s="1429"/>
      <c r="H46" s="312" t="s">
        <v>968</v>
      </c>
      <c r="I46" s="1488" t="s">
        <v>969</v>
      </c>
      <c r="J46" s="1488"/>
      <c r="K46" s="323" t="s">
        <v>968</v>
      </c>
      <c r="L46" s="1488" t="s">
        <v>969</v>
      </c>
      <c r="M46" s="1488"/>
      <c r="N46" s="323" t="s">
        <v>968</v>
      </c>
      <c r="O46" s="1488" t="s">
        <v>969</v>
      </c>
      <c r="P46" s="1488"/>
      <c r="Q46" s="108" t="s">
        <v>969</v>
      </c>
      <c r="R46" s="1455" t="s">
        <v>968</v>
      </c>
      <c r="S46" s="1456"/>
      <c r="T46" s="108" t="s">
        <v>968</v>
      </c>
      <c r="U46" s="1455" t="s">
        <v>969</v>
      </c>
      <c r="V46" s="1456"/>
      <c r="W46" s="108" t="s">
        <v>968</v>
      </c>
      <c r="X46" s="1455" t="s">
        <v>969</v>
      </c>
      <c r="Y46" s="1456"/>
      <c r="Z46" s="108" t="s">
        <v>968</v>
      </c>
      <c r="AA46" s="1455" t="s">
        <v>969</v>
      </c>
      <c r="AB46" s="1456"/>
      <c r="AC46" s="108" t="s">
        <v>968</v>
      </c>
      <c r="AD46" s="1428" t="s">
        <v>969</v>
      </c>
      <c r="AE46" s="1429"/>
      <c r="AF46" s="143" t="s">
        <v>968</v>
      </c>
      <c r="AG46" s="1428" t="s">
        <v>969</v>
      </c>
      <c r="AH46" s="1429"/>
      <c r="AI46" s="143" t="s">
        <v>968</v>
      </c>
      <c r="AJ46" s="1428" t="s">
        <v>969</v>
      </c>
      <c r="AK46" s="1429"/>
    </row>
    <row r="47" spans="1:52" ht="14.5" customHeight="1">
      <c r="A47" s="118">
        <v>1</v>
      </c>
      <c r="B47" s="530">
        <v>104791</v>
      </c>
      <c r="C47" s="1445">
        <v>886040080615</v>
      </c>
      <c r="D47" s="1504"/>
      <c r="E47" s="529">
        <v>104377</v>
      </c>
      <c r="F47" s="1437">
        <v>897447650649</v>
      </c>
      <c r="G47" s="1438"/>
      <c r="H47" s="529">
        <v>104924</v>
      </c>
      <c r="I47" s="1437">
        <v>926046706074</v>
      </c>
      <c r="J47" s="1559"/>
      <c r="K47" s="521">
        <v>102859</v>
      </c>
      <c r="L47" s="1493">
        <v>883079874253</v>
      </c>
      <c r="M47" s="1505"/>
      <c r="N47" s="521">
        <v>104569</v>
      </c>
      <c r="O47" s="1535">
        <v>896140797720</v>
      </c>
      <c r="P47" s="1535"/>
      <c r="Q47" s="807"/>
      <c r="R47" s="1511"/>
      <c r="S47" s="1512"/>
      <c r="T47" s="122"/>
      <c r="U47" s="1457"/>
      <c r="V47" s="1464"/>
      <c r="W47" s="122"/>
      <c r="X47" s="1457"/>
      <c r="Y47" s="1458"/>
      <c r="Z47" s="64"/>
      <c r="AA47" s="1457"/>
      <c r="AB47" s="1458"/>
      <c r="AC47" s="532"/>
      <c r="AD47" s="1445"/>
      <c r="AE47" s="1446"/>
      <c r="AF47" s="530"/>
      <c r="AG47" s="1445"/>
      <c r="AH47" s="1504"/>
      <c r="AI47" s="529"/>
      <c r="AJ47" s="1437"/>
      <c r="AK47" s="1438"/>
    </row>
    <row r="48" spans="1:52" ht="14.5" customHeight="1">
      <c r="A48" s="118">
        <v>2</v>
      </c>
      <c r="B48" s="530">
        <v>10134</v>
      </c>
      <c r="C48" s="1445">
        <v>82115894537</v>
      </c>
      <c r="D48" s="1504"/>
      <c r="E48" s="529">
        <v>23376</v>
      </c>
      <c r="F48" s="1437">
        <v>91629752816</v>
      </c>
      <c r="G48" s="1438"/>
      <c r="H48" s="529">
        <v>11294</v>
      </c>
      <c r="I48" s="1437">
        <v>88532002635</v>
      </c>
      <c r="J48" s="1559"/>
      <c r="K48" s="521">
        <v>9996</v>
      </c>
      <c r="L48" s="1493">
        <v>80581752386</v>
      </c>
      <c r="M48" s="1505"/>
      <c r="N48" s="521">
        <v>9270</v>
      </c>
      <c r="O48" s="1535">
        <v>75236356387</v>
      </c>
      <c r="P48" s="1535"/>
      <c r="Q48" s="119"/>
      <c r="R48" s="1531"/>
      <c r="S48" s="1512"/>
      <c r="T48" s="110"/>
      <c r="U48" s="1457"/>
      <c r="V48" s="1464"/>
      <c r="W48" s="110"/>
      <c r="X48" s="1457"/>
      <c r="Y48" s="1458"/>
      <c r="Z48" s="64"/>
      <c r="AA48" s="1457"/>
      <c r="AB48" s="1458"/>
      <c r="AC48" s="532"/>
      <c r="AD48" s="1445"/>
      <c r="AE48" s="1446"/>
      <c r="AF48" s="530"/>
      <c r="AG48" s="1445"/>
      <c r="AH48" s="1504"/>
      <c r="AI48" s="529"/>
      <c r="AJ48" s="1437"/>
      <c r="AK48" s="1438"/>
    </row>
    <row r="49" spans="1:43" ht="14.5" customHeight="1">
      <c r="A49" s="118">
        <v>3</v>
      </c>
      <c r="B49" s="530">
        <v>4874</v>
      </c>
      <c r="C49" s="1445">
        <v>43901276898</v>
      </c>
      <c r="D49" s="1504"/>
      <c r="E49" s="529">
        <v>17733</v>
      </c>
      <c r="F49" s="1437">
        <v>52505516108</v>
      </c>
      <c r="G49" s="1438"/>
      <c r="H49" s="529">
        <v>7854</v>
      </c>
      <c r="I49" s="1437">
        <v>66173068334</v>
      </c>
      <c r="J49" s="1559"/>
      <c r="K49" s="521">
        <v>9975</v>
      </c>
      <c r="L49" s="1493">
        <v>80266351973</v>
      </c>
      <c r="M49" s="1505"/>
      <c r="N49" s="521">
        <v>10927</v>
      </c>
      <c r="O49" s="1535">
        <v>85790317653</v>
      </c>
      <c r="P49" s="1535"/>
      <c r="Q49" s="110"/>
      <c r="R49" s="1531"/>
      <c r="S49" s="1512"/>
      <c r="T49" s="110"/>
      <c r="U49" s="1457"/>
      <c r="V49" s="1464"/>
      <c r="W49" s="110"/>
      <c r="X49" s="1457"/>
      <c r="Y49" s="1458"/>
      <c r="Z49" s="64"/>
      <c r="AA49" s="1457"/>
      <c r="AB49" s="1458"/>
      <c r="AC49" s="532"/>
      <c r="AD49" s="1445"/>
      <c r="AE49" s="1446"/>
      <c r="AF49" s="530"/>
      <c r="AG49" s="1445"/>
      <c r="AH49" s="1504"/>
      <c r="AI49" s="529"/>
      <c r="AJ49" s="1437"/>
      <c r="AK49" s="1438"/>
    </row>
    <row r="50" spans="1:43" ht="14.5" customHeight="1">
      <c r="A50" s="118">
        <v>4</v>
      </c>
      <c r="B50" s="530">
        <v>6489</v>
      </c>
      <c r="C50" s="1445">
        <v>57550885907</v>
      </c>
      <c r="D50" s="1504"/>
      <c r="E50" s="529">
        <v>26892</v>
      </c>
      <c r="F50" s="1437">
        <v>60638935644</v>
      </c>
      <c r="G50" s="1438"/>
      <c r="H50" s="529">
        <v>6366</v>
      </c>
      <c r="I50" s="1516">
        <v>56506395097</v>
      </c>
      <c r="J50" s="1517"/>
      <c r="K50" s="521">
        <v>1755</v>
      </c>
      <c r="L50" s="1493">
        <v>15819308282</v>
      </c>
      <c r="M50" s="1505"/>
      <c r="N50" s="521">
        <v>2158</v>
      </c>
      <c r="O50" s="1535">
        <v>18655671611</v>
      </c>
      <c r="P50" s="1535"/>
      <c r="Q50" s="110"/>
      <c r="R50" s="1531"/>
      <c r="S50" s="1512"/>
      <c r="T50" s="110"/>
      <c r="U50" s="1457"/>
      <c r="V50" s="1464"/>
      <c r="W50" s="110"/>
      <c r="X50" s="1457"/>
      <c r="Y50" s="1458"/>
      <c r="Z50" s="64"/>
      <c r="AA50" s="1457"/>
      <c r="AB50" s="1458"/>
      <c r="AC50" s="532"/>
      <c r="AD50" s="1445"/>
      <c r="AE50" s="1446"/>
      <c r="AF50" s="530"/>
      <c r="AG50" s="1445"/>
      <c r="AH50" s="1504"/>
      <c r="AI50" s="529"/>
      <c r="AJ50" s="1437"/>
      <c r="AK50" s="1438"/>
    </row>
    <row r="51" spans="1:43" ht="14.5" customHeight="1">
      <c r="A51" s="118">
        <v>5</v>
      </c>
      <c r="B51" s="530">
        <v>2836</v>
      </c>
      <c r="C51" s="1445">
        <v>27152745600</v>
      </c>
      <c r="D51" s="1504"/>
      <c r="E51" s="529">
        <v>19835</v>
      </c>
      <c r="F51" s="1437">
        <v>36453773768</v>
      </c>
      <c r="G51" s="1438"/>
      <c r="H51" s="532">
        <v>1144</v>
      </c>
      <c r="I51" s="1518">
        <v>10220858091</v>
      </c>
      <c r="J51" s="1516"/>
      <c r="K51" s="521">
        <v>18</v>
      </c>
      <c r="L51" s="1493">
        <v>89237799</v>
      </c>
      <c r="M51" s="1505"/>
      <c r="N51" s="521">
        <v>23</v>
      </c>
      <c r="O51" s="1535">
        <v>117929427</v>
      </c>
      <c r="P51" s="1535"/>
      <c r="Q51" s="110"/>
      <c r="R51" s="1471"/>
      <c r="S51" s="1472"/>
      <c r="T51" s="110"/>
      <c r="U51" s="1457"/>
      <c r="V51" s="1464"/>
      <c r="W51" s="110"/>
      <c r="X51" s="1457"/>
      <c r="Y51" s="1458"/>
      <c r="Z51" s="64"/>
      <c r="AA51" s="1457"/>
      <c r="AB51" s="1458"/>
      <c r="AC51" s="532"/>
      <c r="AD51" s="1572"/>
      <c r="AE51" s="1573"/>
      <c r="AF51" s="530"/>
      <c r="AG51" s="1445"/>
      <c r="AH51" s="1504"/>
      <c r="AI51" s="529"/>
      <c r="AJ51" s="1437"/>
      <c r="AK51" s="1438"/>
    </row>
    <row r="52" spans="1:43" s="500" customFormat="1" ht="14.5" customHeight="1">
      <c r="A52" s="503" t="s">
        <v>970</v>
      </c>
      <c r="B52" s="531">
        <f>SUM(B47:B51)</f>
        <v>129124</v>
      </c>
      <c r="C52" s="1427">
        <f>SUM(C47:C51)</f>
        <v>1096760883557</v>
      </c>
      <c r="D52" s="1427"/>
      <c r="E52" s="556">
        <f>SUM(E47:E51)</f>
        <v>192213</v>
      </c>
      <c r="F52" s="1439">
        <f>SUM(F47:G51)</f>
        <v>1138675628985</v>
      </c>
      <c r="G52" s="1439"/>
      <c r="H52" s="783">
        <f>SUM(H47:H51)</f>
        <v>131582</v>
      </c>
      <c r="I52" s="1427">
        <f>SUM(I47:J51)</f>
        <v>1147479030231</v>
      </c>
      <c r="J52" s="1427"/>
      <c r="K52" s="801">
        <f>SUM(K47:K51)</f>
        <v>124603</v>
      </c>
      <c r="L52" s="1546">
        <f>SUM(L47:L51)</f>
        <v>1059836524693</v>
      </c>
      <c r="M52" s="1547"/>
      <c r="N52" s="808">
        <f>SUM(N47:N51)</f>
        <v>126947</v>
      </c>
      <c r="O52" s="1546">
        <f>SUM(O47:O51)</f>
        <v>1075941072798</v>
      </c>
      <c r="P52" s="1547"/>
      <c r="Q52" s="121">
        <f>SUM(Q47:Q51)</f>
        <v>0</v>
      </c>
      <c r="R52" s="1473">
        <f>SUM(R47:S51)</f>
        <v>0</v>
      </c>
      <c r="S52" s="1474"/>
      <c r="T52" s="123"/>
      <c r="U52" s="1435">
        <f>SUM(U47:V51)</f>
        <v>0</v>
      </c>
      <c r="V52" s="1436"/>
      <c r="W52" s="123"/>
      <c r="X52" s="1435">
        <f>SUM(X47:Y51)</f>
        <v>0</v>
      </c>
      <c r="Y52" s="1454"/>
      <c r="Z52" s="61">
        <f>SUM(Z47:Z51)</f>
        <v>0</v>
      </c>
      <c r="AA52" s="1435">
        <f>SUM(AA47:AA51)</f>
        <v>0</v>
      </c>
      <c r="AB52" s="1436"/>
      <c r="AC52" s="533">
        <f>SUM(AC47:AC51)</f>
        <v>0</v>
      </c>
      <c r="AD52" s="1427">
        <f>SUM(AD47:AD51)</f>
        <v>0</v>
      </c>
      <c r="AE52" s="1427"/>
      <c r="AF52" s="531">
        <f>SUM(AF47:AF51)</f>
        <v>0</v>
      </c>
      <c r="AG52" s="1427">
        <f>SUM(AG47:AG51)</f>
        <v>0</v>
      </c>
      <c r="AH52" s="1427"/>
      <c r="AI52" s="556">
        <f>SUM(AI47:AI51)</f>
        <v>0</v>
      </c>
      <c r="AJ52" s="1439">
        <f>SUM(AJ47:AK51)</f>
        <v>0</v>
      </c>
      <c r="AK52" s="1439"/>
      <c r="AL52" s="4"/>
      <c r="AM52" s="4"/>
      <c r="AN52" s="4"/>
      <c r="AO52" s="4"/>
      <c r="AP52" s="4"/>
      <c r="AQ52" s="4"/>
    </row>
    <row r="53" spans="1:43">
      <c r="C53" s="147"/>
      <c r="D53" s="147"/>
      <c r="E53" s="147"/>
      <c r="F53" s="147"/>
      <c r="H53" s="147"/>
      <c r="I53" s="147"/>
      <c r="J53" s="318"/>
      <c r="K53" s="802">
        <v>12274</v>
      </c>
      <c r="L53" s="147"/>
      <c r="M53" s="803">
        <v>111474097020</v>
      </c>
      <c r="N53" s="802">
        <v>141288</v>
      </c>
      <c r="P53" s="803">
        <v>1206074429218</v>
      </c>
      <c r="S53" s="106"/>
      <c r="U53" s="106"/>
      <c r="W53" s="201"/>
      <c r="X53" s="147"/>
      <c r="Y53" s="201"/>
    </row>
    <row r="54" spans="1:43">
      <c r="K54" s="147"/>
    </row>
    <row r="55" spans="1:43" ht="14.5" customHeight="1">
      <c r="A55" s="1482" t="s">
        <v>976</v>
      </c>
      <c r="B55" s="1484" t="s">
        <v>956</v>
      </c>
      <c r="C55" s="1484"/>
      <c r="D55" s="1484"/>
      <c r="E55" s="1484" t="s">
        <v>957</v>
      </c>
      <c r="F55" s="1484"/>
      <c r="G55" s="1484"/>
      <c r="H55" s="1430" t="s">
        <v>958</v>
      </c>
      <c r="I55" s="1430"/>
      <c r="J55" s="1430"/>
      <c r="K55" s="1430" t="s">
        <v>959</v>
      </c>
      <c r="L55" s="1430"/>
      <c r="M55" s="1430"/>
      <c r="N55" s="1430" t="s">
        <v>960</v>
      </c>
      <c r="O55" s="1430"/>
      <c r="P55" s="1430"/>
      <c r="Q55" s="1430" t="s">
        <v>961</v>
      </c>
      <c r="R55" s="1430"/>
      <c r="S55" s="1430"/>
      <c r="T55" s="1430" t="s">
        <v>962</v>
      </c>
      <c r="U55" s="1430"/>
      <c r="V55" s="1430"/>
      <c r="W55" s="1430" t="s">
        <v>963</v>
      </c>
      <c r="X55" s="1430"/>
      <c r="Y55" s="1430"/>
      <c r="Z55" s="1430" t="s">
        <v>964</v>
      </c>
      <c r="AA55" s="1430"/>
      <c r="AB55" s="1430"/>
      <c r="AC55" s="1430" t="s">
        <v>965</v>
      </c>
      <c r="AD55" s="1430"/>
      <c r="AE55" s="1430"/>
      <c r="AF55" s="1430" t="s">
        <v>966</v>
      </c>
      <c r="AG55" s="1430"/>
      <c r="AH55" s="1430"/>
      <c r="AI55" s="1430" t="s">
        <v>967</v>
      </c>
      <c r="AJ55" s="1430"/>
      <c r="AK55" s="1430"/>
      <c r="AL55" s="1430" t="s">
        <v>956</v>
      </c>
      <c r="AM55" s="1430"/>
      <c r="AN55" s="1430"/>
      <c r="AO55" s="1430" t="s">
        <v>957</v>
      </c>
      <c r="AP55" s="1430"/>
      <c r="AQ55" s="1430"/>
    </row>
    <row r="56" spans="1:43" ht="14.5" customHeight="1">
      <c r="A56" s="1482"/>
      <c r="B56" s="509" t="s">
        <v>968</v>
      </c>
      <c r="C56" s="509" t="s">
        <v>972</v>
      </c>
      <c r="D56" s="458" t="s">
        <v>969</v>
      </c>
      <c r="E56" s="509" t="s">
        <v>968</v>
      </c>
      <c r="F56" s="509" t="s">
        <v>972</v>
      </c>
      <c r="G56" s="458" t="s">
        <v>969</v>
      </c>
      <c r="H56" s="327" t="s">
        <v>968</v>
      </c>
      <c r="I56" s="327" t="s">
        <v>972</v>
      </c>
      <c r="J56" s="111" t="s">
        <v>969</v>
      </c>
      <c r="K56" s="111" t="s">
        <v>968</v>
      </c>
      <c r="L56" s="111" t="s">
        <v>972</v>
      </c>
      <c r="M56" s="111" t="s">
        <v>969</v>
      </c>
      <c r="N56" s="111" t="s">
        <v>968</v>
      </c>
      <c r="O56" s="111" t="s">
        <v>972</v>
      </c>
      <c r="P56" s="111" t="s">
        <v>969</v>
      </c>
      <c r="Q56" s="111" t="s">
        <v>968</v>
      </c>
      <c r="R56" s="111" t="s">
        <v>972</v>
      </c>
      <c r="S56" s="111" t="s">
        <v>969</v>
      </c>
      <c r="T56" s="458" t="s">
        <v>968</v>
      </c>
      <c r="U56" s="458" t="s">
        <v>972</v>
      </c>
      <c r="V56" s="458" t="s">
        <v>969</v>
      </c>
      <c r="W56" s="458" t="s">
        <v>968</v>
      </c>
      <c r="X56" s="458" t="s">
        <v>972</v>
      </c>
      <c r="Y56" s="458" t="s">
        <v>969</v>
      </c>
      <c r="Z56" s="458" t="s">
        <v>968</v>
      </c>
      <c r="AA56" s="458" t="s">
        <v>972</v>
      </c>
      <c r="AB56" s="458" t="s">
        <v>969</v>
      </c>
      <c r="AC56" s="458" t="s">
        <v>968</v>
      </c>
      <c r="AD56" s="458" t="s">
        <v>972</v>
      </c>
      <c r="AE56" s="458" t="s">
        <v>969</v>
      </c>
      <c r="AF56" s="509" t="s">
        <v>968</v>
      </c>
      <c r="AG56" s="509" t="s">
        <v>972</v>
      </c>
      <c r="AH56" s="458" t="s">
        <v>969</v>
      </c>
      <c r="AI56" s="509" t="s">
        <v>968</v>
      </c>
      <c r="AJ56" s="509" t="s">
        <v>972</v>
      </c>
      <c r="AK56" s="458" t="s">
        <v>969</v>
      </c>
    </row>
    <row r="57" spans="1:43" ht="14.5" customHeight="1">
      <c r="A57" s="109">
        <v>1</v>
      </c>
      <c r="B57" s="521">
        <v>100822</v>
      </c>
      <c r="C57" s="64">
        <v>500362215</v>
      </c>
      <c r="D57" s="308">
        <v>854425370744</v>
      </c>
      <c r="E57" s="521">
        <v>100097</v>
      </c>
      <c r="F57" s="64">
        <v>59254544</v>
      </c>
      <c r="G57" s="781">
        <v>863482103156</v>
      </c>
      <c r="H57" s="529">
        <v>100279</v>
      </c>
      <c r="I57" s="529">
        <v>704230993</v>
      </c>
      <c r="J57" s="322">
        <v>890091199119</v>
      </c>
      <c r="K57" s="110">
        <v>97693</v>
      </c>
      <c r="L57" s="294">
        <v>-108103211</v>
      </c>
      <c r="M57" s="294">
        <v>843625489090</v>
      </c>
      <c r="N57" s="110"/>
      <c r="O57" s="294"/>
      <c r="P57" s="294"/>
      <c r="Q57" s="119"/>
      <c r="R57" s="119"/>
      <c r="S57" s="119"/>
      <c r="T57" s="459"/>
      <c r="U57" s="459"/>
      <c r="V57" s="459"/>
      <c r="W57" s="119"/>
      <c r="X57" s="119"/>
      <c r="Y57" s="119"/>
      <c r="Z57" s="64"/>
      <c r="AA57" s="64"/>
      <c r="AB57" s="64"/>
      <c r="AC57" s="64"/>
      <c r="AD57" s="64"/>
      <c r="AE57" s="330"/>
      <c r="AF57" s="521"/>
      <c r="AG57" s="64"/>
      <c r="AH57" s="308"/>
      <c r="AI57" s="521"/>
      <c r="AJ57" s="64"/>
      <c r="AK57" s="308"/>
    </row>
    <row r="58" spans="1:43" ht="14.5" customHeight="1">
      <c r="A58" s="109">
        <v>2</v>
      </c>
      <c r="B58" s="521">
        <v>12857</v>
      </c>
      <c r="C58" s="64">
        <v>1900408294</v>
      </c>
      <c r="D58" s="308">
        <v>104680557400</v>
      </c>
      <c r="E58" s="521">
        <v>14638</v>
      </c>
      <c r="F58" s="64">
        <v>2611447968</v>
      </c>
      <c r="G58" s="781">
        <v>115779594704</v>
      </c>
      <c r="H58" s="529">
        <v>14421</v>
      </c>
      <c r="I58" s="529">
        <v>1018527703</v>
      </c>
      <c r="J58" s="322">
        <v>113113794705</v>
      </c>
      <c r="K58" s="110">
        <v>13525</v>
      </c>
      <c r="L58" s="294">
        <v>1613773480</v>
      </c>
      <c r="M58" s="294">
        <v>108203823809</v>
      </c>
      <c r="N58" s="110"/>
      <c r="O58" s="294"/>
      <c r="P58" s="294"/>
      <c r="Q58" s="119"/>
      <c r="R58" s="119"/>
      <c r="S58" s="119"/>
      <c r="T58" s="459"/>
      <c r="U58" s="459"/>
      <c r="V58" s="459"/>
      <c r="W58" s="119"/>
      <c r="X58" s="119"/>
      <c r="Y58" s="119"/>
      <c r="Z58" s="64"/>
      <c r="AA58" s="64"/>
      <c r="AB58" s="64"/>
      <c r="AC58" s="64"/>
      <c r="AD58" s="64"/>
      <c r="AE58" s="330"/>
      <c r="AF58" s="521"/>
      <c r="AG58" s="64"/>
      <c r="AH58" s="308"/>
      <c r="AI58" s="521"/>
      <c r="AJ58" s="64"/>
      <c r="AK58" s="308"/>
    </row>
    <row r="59" spans="1:43" ht="14.5" customHeight="1">
      <c r="A59" s="109">
        <v>3</v>
      </c>
      <c r="B59" s="521">
        <v>5273</v>
      </c>
      <c r="C59" s="64">
        <v>2724402627</v>
      </c>
      <c r="D59" s="308">
        <v>46491302669</v>
      </c>
      <c r="E59" s="521">
        <v>6399</v>
      </c>
      <c r="F59" s="64">
        <v>4071970976</v>
      </c>
      <c r="G59" s="781">
        <v>56155612094</v>
      </c>
      <c r="H59" s="529">
        <v>8463</v>
      </c>
      <c r="I59" s="529">
        <v>3652973410</v>
      </c>
      <c r="J59" s="322">
        <v>70637461590</v>
      </c>
      <c r="K59" s="110">
        <v>10506</v>
      </c>
      <c r="L59" s="294">
        <v>4584422866</v>
      </c>
      <c r="M59" s="294">
        <v>83761822852</v>
      </c>
      <c r="N59" s="110"/>
      <c r="O59" s="294"/>
      <c r="P59" s="294"/>
      <c r="Q59" s="119"/>
      <c r="R59" s="119"/>
      <c r="S59" s="119"/>
      <c r="T59" s="459"/>
      <c r="U59" s="459"/>
      <c r="V59" s="459"/>
      <c r="W59" s="113"/>
      <c r="X59" s="119"/>
      <c r="Y59" s="119"/>
      <c r="Z59" s="64"/>
      <c r="AA59" s="64"/>
      <c r="AB59" s="64"/>
      <c r="AC59" s="64"/>
      <c r="AD59" s="64"/>
      <c r="AE59" s="330"/>
      <c r="AF59" s="521"/>
      <c r="AG59" s="64"/>
      <c r="AH59" s="308"/>
      <c r="AI59" s="521"/>
      <c r="AJ59" s="64"/>
      <c r="AK59" s="308"/>
    </row>
    <row r="60" spans="1:43" ht="14.5" customHeight="1">
      <c r="A60" s="109">
        <v>4</v>
      </c>
      <c r="B60" s="521">
        <v>6493</v>
      </c>
      <c r="C60" s="64">
        <v>2085812118</v>
      </c>
      <c r="D60" s="308">
        <v>56156495275</v>
      </c>
      <c r="E60" s="521">
        <v>6664</v>
      </c>
      <c r="F60" s="64">
        <v>4105499366</v>
      </c>
      <c r="G60" s="781">
        <v>58354796161</v>
      </c>
      <c r="H60" s="529">
        <v>478</v>
      </c>
      <c r="I60" s="529">
        <v>-35159351</v>
      </c>
      <c r="J60" s="322">
        <v>3725530681</v>
      </c>
      <c r="K60" s="110">
        <v>383</v>
      </c>
      <c r="L60" s="294">
        <v>384802172</v>
      </c>
      <c r="M60" s="294">
        <v>2726709969</v>
      </c>
      <c r="N60" s="110"/>
      <c r="O60" s="294"/>
      <c r="P60" s="294"/>
      <c r="Q60" s="119"/>
      <c r="R60" s="119"/>
      <c r="S60" s="119"/>
      <c r="T60" s="459"/>
      <c r="U60" s="459"/>
      <c r="V60" s="459"/>
      <c r="W60" s="113"/>
      <c r="X60" s="119"/>
      <c r="Y60" s="119"/>
      <c r="Z60" s="64"/>
      <c r="AA60" s="64"/>
      <c r="AB60" s="64"/>
      <c r="AC60" s="64"/>
      <c r="AD60" s="64"/>
      <c r="AE60" s="330"/>
      <c r="AF60" s="521"/>
      <c r="AG60" s="64"/>
      <c r="AH60" s="308"/>
      <c r="AI60" s="521"/>
      <c r="AJ60" s="64"/>
      <c r="AK60" s="308"/>
    </row>
    <row r="61" spans="1:43" ht="14.5" customHeight="1">
      <c r="A61" s="109">
        <v>5</v>
      </c>
      <c r="B61" s="521">
        <v>3652</v>
      </c>
      <c r="C61" s="64">
        <v>5343663629</v>
      </c>
      <c r="D61" s="308">
        <v>35007157469</v>
      </c>
      <c r="E61" s="521">
        <v>1435</v>
      </c>
      <c r="F61" s="64">
        <v>6858987321</v>
      </c>
      <c r="G61" s="781">
        <v>11793220372</v>
      </c>
      <c r="H61" s="529">
        <v>7904</v>
      </c>
      <c r="I61" s="529">
        <v>37159182052</v>
      </c>
      <c r="J61" s="322">
        <v>69911044136</v>
      </c>
      <c r="K61" s="110">
        <v>2454</v>
      </c>
      <c r="L61" s="294">
        <v>14264171099</v>
      </c>
      <c r="M61" s="294">
        <v>21518678973</v>
      </c>
      <c r="N61" s="110"/>
      <c r="O61" s="294"/>
      <c r="P61" s="294"/>
      <c r="Q61" s="119"/>
      <c r="R61" s="119"/>
      <c r="S61" s="119"/>
      <c r="T61" s="459"/>
      <c r="U61" s="459"/>
      <c r="V61" s="459"/>
      <c r="W61" s="113"/>
      <c r="X61" s="119"/>
      <c r="Y61" s="119"/>
      <c r="Z61" s="64"/>
      <c r="AA61" s="64"/>
      <c r="AB61" s="64"/>
      <c r="AC61" s="64"/>
      <c r="AD61" s="64"/>
      <c r="AE61" s="330"/>
      <c r="AF61" s="521"/>
      <c r="AG61" s="64"/>
      <c r="AH61" s="308"/>
      <c r="AI61" s="521"/>
      <c r="AJ61" s="64"/>
      <c r="AK61" s="308"/>
    </row>
    <row r="62" spans="1:43" ht="14.5" customHeight="1">
      <c r="A62" s="292" t="s">
        <v>970</v>
      </c>
      <c r="B62" s="510">
        <f t="shared" ref="B62" si="16">SUM(B57:B61)</f>
        <v>129097</v>
      </c>
      <c r="C62" s="296">
        <f>SUM(C57:C61)+C63</f>
        <v>11931346505</v>
      </c>
      <c r="D62" s="460">
        <f>SUM(D57:D61)</f>
        <v>1096760883557</v>
      </c>
      <c r="E62" s="510">
        <f>SUM(E57:E61)</f>
        <v>129233</v>
      </c>
      <c r="F62" s="296">
        <f>SUM(F57:F61)+F63</f>
        <v>17026123186</v>
      </c>
      <c r="G62" s="460">
        <f>SUM(G57:G61)</f>
        <v>1105565326487</v>
      </c>
      <c r="H62" s="779">
        <f t="shared" ref="H62:P62" si="17">SUM(H57:H61)</f>
        <v>131545</v>
      </c>
      <c r="I62" s="779">
        <f>SUM(I57:I61)+I63</f>
        <v>41826219082</v>
      </c>
      <c r="J62" s="297">
        <f t="shared" si="17"/>
        <v>1147479030231</v>
      </c>
      <c r="K62" s="297">
        <f t="shared" si="17"/>
        <v>124561</v>
      </c>
      <c r="L62" s="296">
        <f>SUM(L57:L61)+L63</f>
        <v>19959148404</v>
      </c>
      <c r="M62" s="297">
        <f t="shared" si="17"/>
        <v>1059836524693</v>
      </c>
      <c r="N62" s="297">
        <f t="shared" si="17"/>
        <v>0</v>
      </c>
      <c r="O62" s="296">
        <f>SUM(O57:O61)+O63</f>
        <v>0</v>
      </c>
      <c r="P62" s="297">
        <f t="shared" si="17"/>
        <v>0</v>
      </c>
      <c r="Q62" s="121">
        <f t="shared" ref="Q62:AE62" si="18">SUM(Q57:Q61)</f>
        <v>0</v>
      </c>
      <c r="R62" s="296">
        <f>SUM(R57:R61)+R63</f>
        <v>0</v>
      </c>
      <c r="S62" s="121">
        <f t="shared" si="18"/>
        <v>0</v>
      </c>
      <c r="T62" s="121">
        <f t="shared" si="18"/>
        <v>0</v>
      </c>
      <c r="U62" s="296">
        <f>SUM(U57:U61)+U63</f>
        <v>0</v>
      </c>
      <c r="V62" s="460">
        <f>SUM(V57:V61)</f>
        <v>0</v>
      </c>
      <c r="W62" s="120">
        <f t="shared" si="18"/>
        <v>0</v>
      </c>
      <c r="X62" s="296">
        <f>SUM(X57:X61)+X63</f>
        <v>0</v>
      </c>
      <c r="Y62" s="121">
        <f t="shared" si="18"/>
        <v>0</v>
      </c>
      <c r="Z62" s="121">
        <f t="shared" si="18"/>
        <v>0</v>
      </c>
      <c r="AA62" s="296">
        <f>SUM(AA57:AA61)+AA63</f>
        <v>0</v>
      </c>
      <c r="AB62" s="460">
        <f t="shared" si="18"/>
        <v>0</v>
      </c>
      <c r="AC62" s="460">
        <f t="shared" si="18"/>
        <v>0</v>
      </c>
      <c r="AD62" s="296">
        <f>SUM(AD57:AD61)+AD63</f>
        <v>0</v>
      </c>
      <c r="AE62" s="460">
        <f t="shared" si="18"/>
        <v>0</v>
      </c>
      <c r="AF62" s="510">
        <f t="shared" ref="AF62" si="19">SUM(AF57:AF61)</f>
        <v>0</v>
      </c>
      <c r="AG62" s="296">
        <f>SUM(AG57:AG61)+AG63</f>
        <v>0</v>
      </c>
      <c r="AH62" s="460">
        <f>SUM(AH57:AH61)</f>
        <v>0</v>
      </c>
      <c r="AI62" s="510">
        <f>SUM(AI57:AI61)</f>
        <v>0</v>
      </c>
      <c r="AJ62" s="296">
        <f>SUM(AJ57:AJ61)+AJ63</f>
        <v>0</v>
      </c>
      <c r="AK62" s="460">
        <f>SUM(AK57:AK61)</f>
        <v>0</v>
      </c>
    </row>
    <row r="63" spans="1:43" ht="14.5" customHeight="1">
      <c r="A63" s="1043"/>
      <c r="C63">
        <v>-623302378</v>
      </c>
      <c r="F63">
        <v>-681036989</v>
      </c>
      <c r="I63">
        <v>-673535725</v>
      </c>
      <c r="L63">
        <v>-779918002</v>
      </c>
      <c r="Z63" s="89"/>
    </row>
    <row r="64" spans="1:43" hidden="1"/>
    <row r="65" spans="1:34" hidden="1"/>
    <row r="66" spans="1:34" ht="14.5" hidden="1" customHeight="1">
      <c r="A66" s="1486" t="s">
        <v>977</v>
      </c>
      <c r="B66" s="1499" t="s">
        <v>958</v>
      </c>
      <c r="C66" s="1499"/>
      <c r="D66" s="1510"/>
      <c r="E66" s="1498" t="s">
        <v>959</v>
      </c>
      <c r="F66" s="1499"/>
      <c r="G66" s="1499"/>
      <c r="H66" s="1440" t="s">
        <v>960</v>
      </c>
      <c r="I66" s="1440"/>
      <c r="J66" s="1440"/>
      <c r="K66" s="1440" t="s">
        <v>961</v>
      </c>
      <c r="L66" s="1440"/>
      <c r="M66" s="1440"/>
      <c r="N66" s="1440" t="s">
        <v>962</v>
      </c>
      <c r="O66" s="1440"/>
      <c r="P66" s="1498"/>
      <c r="Q66" s="1455" t="s">
        <v>963</v>
      </c>
      <c r="R66" s="1460"/>
      <c r="S66" s="1456"/>
      <c r="T66" s="1459" t="s">
        <v>964</v>
      </c>
      <c r="U66" s="1460"/>
      <c r="V66" s="1461"/>
      <c r="W66" s="1459" t="s">
        <v>965</v>
      </c>
      <c r="X66" s="1460"/>
      <c r="Y66" s="1461"/>
      <c r="Z66" s="1459" t="s">
        <v>966</v>
      </c>
      <c r="AA66" s="1460"/>
      <c r="AB66" s="1461"/>
      <c r="AC66" s="1459" t="s">
        <v>967</v>
      </c>
      <c r="AD66" s="1460"/>
      <c r="AE66" s="1461"/>
      <c r="AF66" s="1459" t="s">
        <v>956</v>
      </c>
      <c r="AG66" s="1460"/>
      <c r="AH66" s="1461"/>
    </row>
    <row r="67" spans="1:34" hidden="1">
      <c r="A67" s="1486"/>
      <c r="B67" s="108" t="s">
        <v>968</v>
      </c>
      <c r="C67" s="1491" t="s">
        <v>969</v>
      </c>
      <c r="D67" s="1509"/>
      <c r="E67" s="108" t="s">
        <v>968</v>
      </c>
      <c r="F67" s="1491" t="s">
        <v>969</v>
      </c>
      <c r="G67" s="1492"/>
      <c r="H67" s="312" t="s">
        <v>968</v>
      </c>
      <c r="I67" s="1440" t="s">
        <v>969</v>
      </c>
      <c r="J67" s="1440"/>
      <c r="K67" s="312" t="s">
        <v>968</v>
      </c>
      <c r="L67" s="1440" t="s">
        <v>969</v>
      </c>
      <c r="M67" s="1440"/>
      <c r="N67" s="312" t="s">
        <v>968</v>
      </c>
      <c r="O67" s="1440" t="s">
        <v>969</v>
      </c>
      <c r="P67" s="1498"/>
      <c r="Q67" s="448"/>
      <c r="R67" s="1455"/>
      <c r="S67" s="1456"/>
      <c r="T67" s="108" t="s">
        <v>968</v>
      </c>
      <c r="U67" s="1455" t="s">
        <v>969</v>
      </c>
      <c r="V67" s="1456"/>
      <c r="W67" s="108" t="s">
        <v>968</v>
      </c>
      <c r="X67" s="1455" t="s">
        <v>969</v>
      </c>
      <c r="Y67" s="1456"/>
      <c r="Z67" s="108" t="s">
        <v>968</v>
      </c>
      <c r="AA67" s="1455" t="s">
        <v>969</v>
      </c>
      <c r="AB67" s="1456"/>
      <c r="AC67" s="108" t="s">
        <v>968</v>
      </c>
      <c r="AD67" s="1455" t="s">
        <v>969</v>
      </c>
      <c r="AE67" s="1456"/>
      <c r="AF67" s="108" t="s">
        <v>968</v>
      </c>
      <c r="AG67" s="1455" t="s">
        <v>969</v>
      </c>
      <c r="AH67" s="1456"/>
    </row>
    <row r="68" spans="1:34" hidden="1">
      <c r="A68" s="118">
        <v>1</v>
      </c>
      <c r="B68" s="321">
        <v>874</v>
      </c>
      <c r="C68" s="1420">
        <v>12835722136</v>
      </c>
      <c r="D68" s="1420"/>
      <c r="E68" s="321">
        <v>1113</v>
      </c>
      <c r="F68" s="1493">
        <v>15465603401</v>
      </c>
      <c r="G68" s="1494"/>
      <c r="H68" s="315">
        <v>1308</v>
      </c>
      <c r="I68" s="1500">
        <v>17797999651</v>
      </c>
      <c r="J68" s="1501"/>
      <c r="K68" s="315">
        <v>1509</v>
      </c>
      <c r="L68" s="1470">
        <v>20008294734</v>
      </c>
      <c r="M68" s="1420"/>
      <c r="N68" s="315">
        <v>1662</v>
      </c>
      <c r="O68" s="1470">
        <v>21341032790</v>
      </c>
      <c r="P68" s="1420"/>
      <c r="Q68" s="146">
        <v>1943</v>
      </c>
      <c r="R68" s="1532">
        <v>24216923437</v>
      </c>
      <c r="S68" s="1472"/>
      <c r="T68" s="122"/>
      <c r="U68" s="1457">
        <v>25965539464</v>
      </c>
      <c r="V68" s="1464"/>
      <c r="W68" s="144"/>
      <c r="X68" s="1457">
        <v>26644655575</v>
      </c>
      <c r="Y68" s="1458"/>
      <c r="Z68" s="504"/>
      <c r="AA68" s="1457">
        <v>25733317189</v>
      </c>
      <c r="AB68" s="1464"/>
      <c r="AC68" s="521">
        <v>2260</v>
      </c>
      <c r="AD68" s="1445">
        <v>23414431358</v>
      </c>
      <c r="AE68" s="1446"/>
      <c r="AF68" s="521"/>
      <c r="AG68" s="1445"/>
      <c r="AH68" s="1446"/>
    </row>
    <row r="69" spans="1:34" hidden="1">
      <c r="A69" s="118">
        <v>2</v>
      </c>
      <c r="B69" s="321">
        <v>13</v>
      </c>
      <c r="C69" s="1420">
        <v>149520242</v>
      </c>
      <c r="D69" s="1420"/>
      <c r="E69" s="321">
        <v>70</v>
      </c>
      <c r="F69" s="1493">
        <v>1038433162</v>
      </c>
      <c r="G69" s="1494"/>
      <c r="H69" s="294">
        <v>146</v>
      </c>
      <c r="I69" s="1493">
        <v>1891540444</v>
      </c>
      <c r="J69" s="1494"/>
      <c r="K69" s="294">
        <v>205</v>
      </c>
      <c r="L69" s="1470">
        <v>2600374207</v>
      </c>
      <c r="M69" s="1420"/>
      <c r="N69" s="294">
        <v>209</v>
      </c>
      <c r="O69" s="1470">
        <v>2560211867</v>
      </c>
      <c r="P69" s="1420"/>
      <c r="Q69" s="119">
        <v>225</v>
      </c>
      <c r="R69" s="1471">
        <v>2695032552</v>
      </c>
      <c r="S69" s="1472"/>
      <c r="T69" s="110"/>
      <c r="U69" s="1457">
        <v>2850649198</v>
      </c>
      <c r="V69" s="1464"/>
      <c r="W69" s="145"/>
      <c r="X69" s="1457">
        <v>2971836728</v>
      </c>
      <c r="Y69" s="1458"/>
      <c r="Z69" s="504"/>
      <c r="AA69" s="1457">
        <v>2853072824</v>
      </c>
      <c r="AB69" s="1464"/>
      <c r="AC69" s="521">
        <v>274</v>
      </c>
      <c r="AD69" s="1445">
        <v>2998098886</v>
      </c>
      <c r="AE69" s="1446"/>
      <c r="AF69" s="521"/>
      <c r="AG69" s="1445"/>
      <c r="AH69" s="1446"/>
    </row>
    <row r="70" spans="1:34" hidden="1">
      <c r="A70" s="118">
        <v>3</v>
      </c>
      <c r="B70" s="295"/>
      <c r="C70" s="1420"/>
      <c r="D70" s="1420"/>
      <c r="E70" s="295"/>
      <c r="F70" s="1493"/>
      <c r="G70" s="1494"/>
      <c r="H70" s="294">
        <v>2</v>
      </c>
      <c r="I70" s="1493">
        <v>25921175</v>
      </c>
      <c r="J70" s="1494"/>
      <c r="K70" s="294">
        <v>23</v>
      </c>
      <c r="L70" s="1470">
        <v>292377170</v>
      </c>
      <c r="M70" s="1420"/>
      <c r="N70" s="294">
        <v>91</v>
      </c>
      <c r="O70" s="1470">
        <v>1169865106</v>
      </c>
      <c r="P70" s="1420"/>
      <c r="Q70" s="110">
        <v>151</v>
      </c>
      <c r="R70" s="1471">
        <v>1914145076</v>
      </c>
      <c r="S70" s="1472"/>
      <c r="T70" s="110"/>
      <c r="U70" s="1457">
        <v>2474458122</v>
      </c>
      <c r="V70" s="1464"/>
      <c r="W70" s="122"/>
      <c r="X70" s="1457">
        <v>2484611309</v>
      </c>
      <c r="Y70" s="1458"/>
      <c r="Z70" s="504"/>
      <c r="AA70" s="1457">
        <v>2751812392</v>
      </c>
      <c r="AB70" s="1464"/>
      <c r="AC70" s="521">
        <v>224</v>
      </c>
      <c r="AD70" s="1445">
        <v>2747383201</v>
      </c>
      <c r="AE70" s="1446"/>
      <c r="AF70" s="521"/>
      <c r="AG70" s="1445"/>
      <c r="AH70" s="1446"/>
    </row>
    <row r="71" spans="1:34" hidden="1">
      <c r="A71" s="118">
        <v>4</v>
      </c>
      <c r="B71" s="295"/>
      <c r="C71" s="1470"/>
      <c r="D71" s="1470"/>
      <c r="E71" s="295"/>
      <c r="F71" s="1502"/>
      <c r="G71" s="1503"/>
      <c r="H71" s="291"/>
      <c r="I71" s="1475"/>
      <c r="J71" s="1476"/>
      <c r="K71" s="291"/>
      <c r="L71" s="1475"/>
      <c r="M71" s="1476"/>
      <c r="N71" s="291"/>
      <c r="O71" s="1475"/>
      <c r="P71" s="1476"/>
      <c r="Q71" s="110">
        <v>2</v>
      </c>
      <c r="R71" s="1471">
        <v>25919175</v>
      </c>
      <c r="S71" s="1472"/>
      <c r="T71" s="110"/>
      <c r="U71" s="1457">
        <v>302313170</v>
      </c>
      <c r="V71" s="1464"/>
      <c r="W71" s="122"/>
      <c r="X71" s="1457">
        <v>1208132167</v>
      </c>
      <c r="Y71" s="1458"/>
      <c r="Z71" s="504"/>
      <c r="AA71" s="1457">
        <v>1984954799</v>
      </c>
      <c r="AB71" s="1464"/>
      <c r="AC71" s="145">
        <v>227</v>
      </c>
      <c r="AD71" s="1445">
        <v>2818408013</v>
      </c>
      <c r="AE71" s="1446"/>
      <c r="AF71" s="145"/>
      <c r="AG71" s="1445"/>
      <c r="AH71" s="1446"/>
    </row>
    <row r="72" spans="1:34" hidden="1">
      <c r="A72" s="118">
        <v>5</v>
      </c>
      <c r="B72" s="295"/>
      <c r="C72" s="1470"/>
      <c r="D72" s="1470"/>
      <c r="E72" s="295"/>
      <c r="F72" s="1496"/>
      <c r="G72" s="1497"/>
      <c r="H72" s="291"/>
      <c r="I72" s="1471"/>
      <c r="J72" s="1472"/>
      <c r="K72" s="291"/>
      <c r="L72" s="1471"/>
      <c r="M72" s="1472"/>
      <c r="N72" s="291"/>
      <c r="O72" s="1471"/>
      <c r="P72" s="1472"/>
      <c r="Q72" s="110"/>
      <c r="R72" s="1471"/>
      <c r="S72" s="1472"/>
      <c r="T72" s="110"/>
      <c r="U72" s="1457"/>
      <c r="V72" s="1464"/>
      <c r="W72" s="110"/>
      <c r="X72" s="1457"/>
      <c r="Y72" s="1458"/>
      <c r="Z72" s="505"/>
      <c r="AA72" s="1457"/>
      <c r="AB72" s="1464"/>
      <c r="AC72" s="505"/>
      <c r="AD72" s="1457"/>
      <c r="AE72" s="1464"/>
      <c r="AF72" s="505"/>
      <c r="AG72" s="1457"/>
      <c r="AH72" s="1464"/>
    </row>
    <row r="73" spans="1:34" s="500" customFormat="1" hidden="1">
      <c r="A73" s="503" t="s">
        <v>970</v>
      </c>
      <c r="B73" s="506">
        <f>SUM(B68:B72)</f>
        <v>887</v>
      </c>
      <c r="C73" s="1485">
        <f>SUM(C68:D72)</f>
        <v>12985242378</v>
      </c>
      <c r="D73" s="1485"/>
      <c r="E73" s="507">
        <f>SUM(E68:E72)</f>
        <v>1183</v>
      </c>
      <c r="F73" s="1478">
        <f>SUM(F68:G72)</f>
        <v>16504036563</v>
      </c>
      <c r="G73" s="1479"/>
      <c r="H73" s="507">
        <f>SUM(H68:H72)</f>
        <v>1456</v>
      </c>
      <c r="I73" s="1478">
        <f>SUM(I68:J72)</f>
        <v>19715461270</v>
      </c>
      <c r="J73" s="1479"/>
      <c r="K73" s="507">
        <f>SUM(K68:K72)</f>
        <v>1737</v>
      </c>
      <c r="L73" s="1478">
        <f>SUM(L68:M72)</f>
        <v>22901046111</v>
      </c>
      <c r="M73" s="1479"/>
      <c r="N73" s="507">
        <f>SUM(N68:N72)</f>
        <v>1962</v>
      </c>
      <c r="O73" s="1478">
        <f>SUM(O68:P72)</f>
        <v>25071109763</v>
      </c>
      <c r="P73" s="1479"/>
      <c r="Q73" s="121">
        <f>SUM(Q68:Q72)</f>
        <v>2321</v>
      </c>
      <c r="R73" s="1480">
        <f>SUM(R68:R72)</f>
        <v>28852020240</v>
      </c>
      <c r="S73" s="1481"/>
      <c r="T73" s="123"/>
      <c r="U73" s="1435">
        <f>SUM(U68:V72)</f>
        <v>31592959954</v>
      </c>
      <c r="V73" s="1436"/>
      <c r="W73" s="121">
        <f>SUM(W68:W72)</f>
        <v>0</v>
      </c>
      <c r="X73" s="1435">
        <f>SUM(X68:X72)</f>
        <v>33309235779</v>
      </c>
      <c r="Y73" s="1454">
        <f>SUM(Y68:Y72)</f>
        <v>0</v>
      </c>
      <c r="Z73" s="508">
        <f>SUM(Z68:Z72)</f>
        <v>0</v>
      </c>
      <c r="AA73" s="1435">
        <f>SUM(AA68:AA72)</f>
        <v>33323157204</v>
      </c>
      <c r="AB73" s="1436"/>
      <c r="AC73" s="508">
        <f>SUM(AC68:AC72)</f>
        <v>2985</v>
      </c>
      <c r="AD73" s="1435">
        <f>SUM(AD68:AD72)</f>
        <v>31978321458</v>
      </c>
      <c r="AE73" s="1436"/>
      <c r="AF73" s="508">
        <f>SUM(AF68:AF72)</f>
        <v>0</v>
      </c>
      <c r="AG73" s="1435">
        <f>SUM(AG68:AG72)</f>
        <v>0</v>
      </c>
      <c r="AH73" s="1436"/>
    </row>
    <row r="74" spans="1:34" hidden="1">
      <c r="S74" s="106"/>
      <c r="U74" s="106"/>
      <c r="W74" s="201"/>
      <c r="X74" s="147"/>
      <c r="Y74" s="201"/>
    </row>
    <row r="75" spans="1:34" hidden="1"/>
    <row r="76" spans="1:34" ht="14.5" hidden="1" customHeight="1">
      <c r="A76" s="1506" t="s">
        <v>978</v>
      </c>
      <c r="B76" s="1508" t="s">
        <v>958</v>
      </c>
      <c r="C76" s="1430"/>
      <c r="D76" s="1430"/>
      <c r="E76" s="1490" t="s">
        <v>959</v>
      </c>
      <c r="F76" s="1430"/>
      <c r="G76" s="1430"/>
      <c r="H76" s="1490" t="s">
        <v>960</v>
      </c>
      <c r="I76" s="1430"/>
      <c r="J76" s="1430"/>
      <c r="K76" s="1495" t="s">
        <v>961</v>
      </c>
      <c r="L76" s="1443"/>
      <c r="M76" s="1443"/>
      <c r="N76" s="1545" t="s">
        <v>962</v>
      </c>
      <c r="O76" s="1443"/>
      <c r="P76" s="1560"/>
      <c r="Q76" s="1513" t="s">
        <v>963</v>
      </c>
      <c r="R76" s="1514"/>
      <c r="S76" s="1515"/>
      <c r="T76" s="1484" t="s">
        <v>964</v>
      </c>
      <c r="U76" s="1484"/>
      <c r="V76" s="1484"/>
      <c r="W76" s="1484" t="s">
        <v>965</v>
      </c>
      <c r="X76" s="1484"/>
      <c r="Y76" s="1484"/>
      <c r="Z76" s="1484" t="s">
        <v>966</v>
      </c>
      <c r="AA76" s="1484"/>
      <c r="AB76" s="1484"/>
      <c r="AC76" s="1484" t="s">
        <v>966</v>
      </c>
      <c r="AD76" s="1484"/>
      <c r="AE76" s="1484"/>
    </row>
    <row r="77" spans="1:34" ht="14.5" hidden="1" customHeight="1">
      <c r="A77" s="1507"/>
      <c r="B77" s="313" t="s">
        <v>968</v>
      </c>
      <c r="C77" s="117" t="s">
        <v>972</v>
      </c>
      <c r="D77" s="117" t="s">
        <v>969</v>
      </c>
      <c r="E77" s="111" t="s">
        <v>968</v>
      </c>
      <c r="F77" s="117" t="s">
        <v>972</v>
      </c>
      <c r="G77" s="117" t="s">
        <v>969</v>
      </c>
      <c r="H77" s="111" t="s">
        <v>968</v>
      </c>
      <c r="I77" s="117" t="s">
        <v>972</v>
      </c>
      <c r="J77" s="117" t="s">
        <v>969</v>
      </c>
      <c r="K77" s="111" t="s">
        <v>968</v>
      </c>
      <c r="L77" s="117" t="s">
        <v>972</v>
      </c>
      <c r="M77" s="117" t="s">
        <v>969</v>
      </c>
      <c r="N77" s="111" t="s">
        <v>968</v>
      </c>
      <c r="O77" s="117" t="s">
        <v>972</v>
      </c>
      <c r="P77" s="117" t="s">
        <v>969</v>
      </c>
      <c r="Q77" s="111" t="s">
        <v>968</v>
      </c>
      <c r="R77" s="117" t="s">
        <v>972</v>
      </c>
      <c r="S77" s="111" t="s">
        <v>969</v>
      </c>
      <c r="T77" s="458" t="s">
        <v>968</v>
      </c>
      <c r="U77" s="458" t="s">
        <v>972</v>
      </c>
      <c r="V77" s="458" t="s">
        <v>969</v>
      </c>
      <c r="W77" s="458" t="s">
        <v>968</v>
      </c>
      <c r="X77" s="458" t="s">
        <v>972</v>
      </c>
      <c r="Y77" s="458" t="s">
        <v>969</v>
      </c>
      <c r="Z77" s="458" t="s">
        <v>968</v>
      </c>
      <c r="AA77" s="458" t="s">
        <v>972</v>
      </c>
      <c r="AB77" s="458" t="s">
        <v>969</v>
      </c>
      <c r="AC77" s="458" t="s">
        <v>968</v>
      </c>
      <c r="AD77" s="458" t="s">
        <v>972</v>
      </c>
      <c r="AE77" s="458" t="s">
        <v>969</v>
      </c>
    </row>
    <row r="78" spans="1:34" ht="14.5" hidden="1" customHeight="1">
      <c r="A78" s="118">
        <v>1</v>
      </c>
      <c r="B78" s="110">
        <v>835</v>
      </c>
      <c r="C78" s="294">
        <v>61629519</v>
      </c>
      <c r="D78" s="294">
        <v>12275737919</v>
      </c>
      <c r="E78" s="294">
        <v>1045</v>
      </c>
      <c r="F78" s="294">
        <v>20391937</v>
      </c>
      <c r="G78" s="294">
        <v>14645728492</v>
      </c>
      <c r="H78" s="294">
        <v>1228</v>
      </c>
      <c r="I78" s="294">
        <v>20563954</v>
      </c>
      <c r="J78" s="294">
        <v>16716022343</v>
      </c>
      <c r="K78" s="119">
        <v>1419</v>
      </c>
      <c r="L78" s="294">
        <v>17357022</v>
      </c>
      <c r="M78" s="145">
        <v>18833991905</v>
      </c>
      <c r="N78" s="119">
        <v>1558</v>
      </c>
      <c r="O78" s="119">
        <v>2931539</v>
      </c>
      <c r="P78" s="119">
        <v>20031934159</v>
      </c>
      <c r="Q78" s="119">
        <v>1843</v>
      </c>
      <c r="R78" s="119">
        <v>11017751</v>
      </c>
      <c r="S78" s="119">
        <v>23030684002</v>
      </c>
      <c r="T78" s="459">
        <v>2081</v>
      </c>
      <c r="U78" s="459">
        <v>22209530</v>
      </c>
      <c r="V78" s="459">
        <v>25077167477</v>
      </c>
      <c r="W78" s="119">
        <v>2233</v>
      </c>
      <c r="X78" s="119">
        <v>13214289</v>
      </c>
      <c r="Y78" s="499">
        <v>25751389751</v>
      </c>
      <c r="Z78" s="64">
        <v>2262</v>
      </c>
      <c r="AA78" s="64">
        <v>-3253097</v>
      </c>
      <c r="AB78" s="64">
        <v>24832509177</v>
      </c>
      <c r="AC78" s="64">
        <v>2148</v>
      </c>
      <c r="AD78" s="64">
        <v>-4867175</v>
      </c>
      <c r="AE78" s="64">
        <v>22364852864</v>
      </c>
    </row>
    <row r="79" spans="1:34" ht="14.5" hidden="1" customHeight="1">
      <c r="A79" s="118">
        <v>2</v>
      </c>
      <c r="B79" s="110">
        <v>36</v>
      </c>
      <c r="C79" s="294">
        <v>25144762</v>
      </c>
      <c r="D79" s="294">
        <v>496204559</v>
      </c>
      <c r="E79" s="294">
        <v>117</v>
      </c>
      <c r="F79" s="294">
        <v>61433101</v>
      </c>
      <c r="G79" s="294">
        <v>1581273927</v>
      </c>
      <c r="H79" s="294">
        <v>198</v>
      </c>
      <c r="I79" s="294">
        <v>60415282</v>
      </c>
      <c r="J79" s="294">
        <v>2621507764</v>
      </c>
      <c r="K79" s="119">
        <v>259</v>
      </c>
      <c r="L79" s="294">
        <v>62051469</v>
      </c>
      <c r="M79" s="145">
        <v>3317914360</v>
      </c>
      <c r="N79" s="119">
        <v>270</v>
      </c>
      <c r="O79" s="119">
        <v>57271077</v>
      </c>
      <c r="P79" s="119">
        <v>3343079328</v>
      </c>
      <c r="Q79" s="119">
        <v>286</v>
      </c>
      <c r="R79" s="119">
        <v>34741793</v>
      </c>
      <c r="S79" s="119">
        <v>3409852527</v>
      </c>
      <c r="T79" s="459">
        <v>282</v>
      </c>
      <c r="U79" s="459">
        <v>39597792</v>
      </c>
      <c r="V79" s="459">
        <v>3378815452</v>
      </c>
      <c r="W79" s="119">
        <v>295</v>
      </c>
      <c r="X79" s="119">
        <v>59308375</v>
      </c>
      <c r="Y79" s="499">
        <v>3516086800</v>
      </c>
      <c r="Z79" s="64">
        <v>300</v>
      </c>
      <c r="AA79" s="64">
        <v>57555422</v>
      </c>
      <c r="AB79" s="64">
        <v>3385492345</v>
      </c>
      <c r="AC79" s="64">
        <v>345</v>
      </c>
      <c r="AD79" s="64">
        <v>40772518</v>
      </c>
      <c r="AE79" s="64">
        <v>3675642720</v>
      </c>
    </row>
    <row r="80" spans="1:34" ht="14.5" hidden="1" customHeight="1">
      <c r="A80" s="118">
        <v>3</v>
      </c>
      <c r="B80" s="110">
        <v>3</v>
      </c>
      <c r="C80" s="294">
        <v>7446125</v>
      </c>
      <c r="D80" s="294">
        <v>47593515</v>
      </c>
      <c r="E80" s="294">
        <v>7</v>
      </c>
      <c r="F80" s="294">
        <v>9140153</v>
      </c>
      <c r="G80" s="294">
        <v>98916537</v>
      </c>
      <c r="H80" s="294">
        <v>10</v>
      </c>
      <c r="I80" s="294">
        <v>8482859</v>
      </c>
      <c r="J80" s="294">
        <v>137938962</v>
      </c>
      <c r="K80" s="119">
        <v>36</v>
      </c>
      <c r="L80" s="294">
        <v>52587623</v>
      </c>
      <c r="M80" s="145">
        <v>475586608</v>
      </c>
      <c r="N80" s="119">
        <v>108</v>
      </c>
      <c r="O80" s="119">
        <v>142815531</v>
      </c>
      <c r="P80" s="119">
        <v>1389029961</v>
      </c>
      <c r="Q80" s="119">
        <v>165</v>
      </c>
      <c r="R80" s="119">
        <v>100393657</v>
      </c>
      <c r="S80" s="119">
        <v>2080564829</v>
      </c>
      <c r="T80" s="459">
        <v>207</v>
      </c>
      <c r="U80" s="459">
        <v>109234632</v>
      </c>
      <c r="V80" s="459">
        <v>2556979013</v>
      </c>
      <c r="W80" s="119">
        <v>211</v>
      </c>
      <c r="X80" s="119">
        <v>133830627</v>
      </c>
      <c r="Y80" s="499">
        <v>2507021682</v>
      </c>
      <c r="Z80" s="64">
        <v>237</v>
      </c>
      <c r="AA80" s="64">
        <v>160288377</v>
      </c>
      <c r="AB80" s="64">
        <v>2815485197</v>
      </c>
      <c r="AC80" s="64">
        <v>235</v>
      </c>
      <c r="AD80" s="64">
        <v>99226388</v>
      </c>
      <c r="AE80" s="64">
        <v>2809544286</v>
      </c>
    </row>
    <row r="81" spans="1:31" ht="14.5" hidden="1" customHeight="1">
      <c r="A81" s="118">
        <v>4</v>
      </c>
      <c r="B81" s="110">
        <v>8</v>
      </c>
      <c r="C81" s="294">
        <v>26523979</v>
      </c>
      <c r="D81" s="294">
        <v>98557101</v>
      </c>
      <c r="E81" s="294">
        <v>7</v>
      </c>
      <c r="F81" s="294">
        <v>-897573</v>
      </c>
      <c r="G81" s="294">
        <v>86288483</v>
      </c>
      <c r="H81" s="294">
        <v>8</v>
      </c>
      <c r="I81" s="294">
        <v>4546508</v>
      </c>
      <c r="J81" s="294">
        <v>93095755</v>
      </c>
      <c r="K81" s="119">
        <v>8</v>
      </c>
      <c r="L81" s="294">
        <v>4991589</v>
      </c>
      <c r="M81" s="145">
        <v>94576284</v>
      </c>
      <c r="N81" s="119">
        <v>9</v>
      </c>
      <c r="O81" s="119">
        <v>10317806</v>
      </c>
      <c r="P81" s="119">
        <v>104007135</v>
      </c>
      <c r="Q81" s="119">
        <v>13</v>
      </c>
      <c r="R81" s="119">
        <v>21752660</v>
      </c>
      <c r="S81" s="119">
        <v>146846518</v>
      </c>
      <c r="T81" s="459">
        <v>32</v>
      </c>
      <c r="U81" s="459">
        <v>72601295</v>
      </c>
      <c r="V81" s="74">
        <v>391107679</v>
      </c>
      <c r="W81" s="119">
        <v>101</v>
      </c>
      <c r="X81" s="119">
        <v>258250447</v>
      </c>
      <c r="Y81" s="499">
        <v>1272121353</v>
      </c>
      <c r="Z81" s="64">
        <v>160</v>
      </c>
      <c r="AA81" s="64">
        <v>209370855</v>
      </c>
      <c r="AB81" s="64">
        <v>1969264120</v>
      </c>
      <c r="AC81" s="64">
        <v>225</v>
      </c>
      <c r="AD81" s="64">
        <v>206023693</v>
      </c>
      <c r="AE81" s="64">
        <v>2720025513</v>
      </c>
    </row>
    <row r="82" spans="1:31" ht="14.5" hidden="1" customHeight="1">
      <c r="A82" s="118">
        <v>5</v>
      </c>
      <c r="B82" s="293">
        <v>5</v>
      </c>
      <c r="C82" s="294">
        <v>51399284</v>
      </c>
      <c r="D82" s="294">
        <v>67149284</v>
      </c>
      <c r="E82" s="294">
        <v>7</v>
      </c>
      <c r="F82" s="294">
        <v>19351090</v>
      </c>
      <c r="G82" s="294">
        <v>91829124</v>
      </c>
      <c r="H82" s="294">
        <v>12</v>
      </c>
      <c r="I82" s="294">
        <v>49738572</v>
      </c>
      <c r="J82" s="294">
        <v>146896446</v>
      </c>
      <c r="K82" s="119">
        <v>15</v>
      </c>
      <c r="L82" s="294">
        <v>26713850</v>
      </c>
      <c r="M82" s="145">
        <v>178976954</v>
      </c>
      <c r="N82" s="119">
        <v>17</v>
      </c>
      <c r="O82" s="119">
        <v>18778852</v>
      </c>
      <c r="P82" s="119">
        <v>203059180</v>
      </c>
      <c r="Q82" s="119">
        <v>14</v>
      </c>
      <c r="R82" s="119">
        <v>12312630</v>
      </c>
      <c r="S82" s="119">
        <v>184072364</v>
      </c>
      <c r="T82" s="459">
        <v>15</v>
      </c>
      <c r="U82" s="459">
        <v>2950537</v>
      </c>
      <c r="V82" s="459">
        <v>188890333</v>
      </c>
      <c r="W82" s="119">
        <v>21</v>
      </c>
      <c r="X82" s="119">
        <v>67792041</v>
      </c>
      <c r="Y82" s="499">
        <v>262616193</v>
      </c>
      <c r="Z82" s="64">
        <v>26</v>
      </c>
      <c r="AA82" s="64">
        <v>53384443</v>
      </c>
      <c r="AB82" s="64">
        <v>320406365</v>
      </c>
      <c r="AC82" s="64">
        <v>32</v>
      </c>
      <c r="AD82" s="64">
        <v>47615865</v>
      </c>
      <c r="AE82" s="64">
        <v>408256075</v>
      </c>
    </row>
    <row r="83" spans="1:31" ht="14.5" hidden="1" customHeight="1">
      <c r="A83" s="292" t="s">
        <v>970</v>
      </c>
      <c r="B83" s="115">
        <f t="shared" ref="B83:J83" si="20">SUM(B78:B82)</f>
        <v>887</v>
      </c>
      <c r="C83" s="297">
        <f t="shared" si="20"/>
        <v>172143669</v>
      </c>
      <c r="D83" s="297">
        <f t="shared" si="20"/>
        <v>12985242378</v>
      </c>
      <c r="E83" s="297">
        <f t="shared" si="20"/>
        <v>1183</v>
      </c>
      <c r="F83" s="297">
        <f t="shared" si="20"/>
        <v>109418708</v>
      </c>
      <c r="G83" s="297">
        <f t="shared" si="20"/>
        <v>16504036563</v>
      </c>
      <c r="H83" s="297">
        <f t="shared" si="20"/>
        <v>1456</v>
      </c>
      <c r="I83" s="297">
        <f>SUM(I78:I82)+I86</f>
        <v>141959785</v>
      </c>
      <c r="J83" s="297">
        <f t="shared" si="20"/>
        <v>19715461270</v>
      </c>
      <c r="K83" s="121">
        <f t="shared" ref="K83:Q83" si="21">SUM(K78:K82)</f>
        <v>1737</v>
      </c>
      <c r="L83" s="121">
        <f t="shared" si="21"/>
        <v>163701553</v>
      </c>
      <c r="M83" s="121">
        <f t="shared" si="21"/>
        <v>22901046111</v>
      </c>
      <c r="N83" s="121">
        <f t="shared" si="21"/>
        <v>1962</v>
      </c>
      <c r="O83" s="121">
        <f t="shared" si="21"/>
        <v>232114805</v>
      </c>
      <c r="P83" s="121">
        <f t="shared" si="21"/>
        <v>25071109763</v>
      </c>
      <c r="Q83" s="121">
        <f t="shared" si="21"/>
        <v>2321</v>
      </c>
      <c r="R83" s="121">
        <f>SUM(R78:R82)</f>
        <v>180218491</v>
      </c>
      <c r="S83" s="121">
        <f t="shared" ref="S83:AE83" si="22">SUM(S78:S82)</f>
        <v>28852020240</v>
      </c>
      <c r="T83" s="121">
        <f t="shared" si="22"/>
        <v>2617</v>
      </c>
      <c r="U83" s="121">
        <f t="shared" si="22"/>
        <v>246593786</v>
      </c>
      <c r="V83" s="460">
        <f>SUM(V78:V82)</f>
        <v>31592959954</v>
      </c>
      <c r="W83" s="120">
        <f t="shared" si="22"/>
        <v>2861</v>
      </c>
      <c r="X83" s="121">
        <f t="shared" si="22"/>
        <v>532395779</v>
      </c>
      <c r="Y83" s="460">
        <f t="shared" si="22"/>
        <v>33309235779</v>
      </c>
      <c r="Z83" s="460">
        <f t="shared" si="22"/>
        <v>2985</v>
      </c>
      <c r="AA83" s="460">
        <f t="shared" si="22"/>
        <v>477346000</v>
      </c>
      <c r="AB83" s="460">
        <f t="shared" si="22"/>
        <v>33323157204</v>
      </c>
      <c r="AC83" s="460">
        <f t="shared" si="22"/>
        <v>2985</v>
      </c>
      <c r="AD83" s="460">
        <f>SUM(AD78:AD82)</f>
        <v>388771289</v>
      </c>
      <c r="AE83" s="460">
        <f t="shared" si="22"/>
        <v>31978321458</v>
      </c>
    </row>
    <row r="84" spans="1:31" ht="14.5" hidden="1" customHeight="1">
      <c r="A84" s="337"/>
      <c r="B84" s="337"/>
      <c r="C84" s="318"/>
      <c r="D84" s="318"/>
      <c r="E84" s="318"/>
      <c r="F84" s="318"/>
      <c r="G84" s="318"/>
      <c r="H84" s="318"/>
      <c r="I84" s="318"/>
      <c r="J84" s="318"/>
      <c r="K84" s="133"/>
      <c r="L84" s="133"/>
      <c r="M84" s="133"/>
      <c r="N84" s="133"/>
      <c r="O84" s="445">
        <v>-3275372</v>
      </c>
      <c r="P84" s="133"/>
      <c r="Q84" s="133"/>
      <c r="R84" s="133">
        <v>-7640760</v>
      </c>
      <c r="S84" s="133"/>
      <c r="T84" s="133"/>
      <c r="U84" s="133"/>
      <c r="V84" s="133"/>
      <c r="W84" s="133"/>
      <c r="X84" s="445">
        <v>-8971862</v>
      </c>
      <c r="Y84" s="133"/>
      <c r="Z84" s="89"/>
      <c r="AA84">
        <v>-16150426</v>
      </c>
      <c r="AD84">
        <v>-15222162</v>
      </c>
    </row>
    <row r="85" spans="1:31" ht="14.5" hidden="1" customHeight="1">
      <c r="A85" s="337"/>
      <c r="B85" s="337"/>
      <c r="C85" s="318"/>
      <c r="D85" s="318"/>
      <c r="E85" s="318"/>
      <c r="F85" s="318"/>
      <c r="G85" s="318"/>
      <c r="H85" s="318"/>
      <c r="I85" s="318"/>
      <c r="J85" s="318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</row>
    <row r="86" spans="1:31" hidden="1">
      <c r="I86">
        <v>-1787390</v>
      </c>
    </row>
    <row r="87" spans="1:31" ht="14.5" hidden="1" customHeight="1">
      <c r="A87" s="1486" t="s">
        <v>979</v>
      </c>
      <c r="B87" s="1499" t="s">
        <v>958</v>
      </c>
      <c r="C87" s="1499"/>
      <c r="D87" s="1510"/>
      <c r="E87" s="1498" t="s">
        <v>959</v>
      </c>
      <c r="F87" s="1499"/>
      <c r="G87" s="1499"/>
      <c r="H87" s="1440" t="s">
        <v>960</v>
      </c>
      <c r="I87" s="1440"/>
      <c r="J87" s="1440"/>
      <c r="K87" s="1440" t="s">
        <v>961</v>
      </c>
      <c r="L87" s="1440"/>
      <c r="M87" s="1440"/>
      <c r="N87" s="1440" t="s">
        <v>962</v>
      </c>
      <c r="O87" s="1440"/>
      <c r="P87" s="1440"/>
      <c r="Q87" s="1440" t="s">
        <v>963</v>
      </c>
      <c r="R87" s="1440"/>
      <c r="S87" s="1440"/>
      <c r="T87" s="1459" t="s">
        <v>964</v>
      </c>
      <c r="U87" s="1460"/>
      <c r="V87" s="1461"/>
      <c r="W87" s="1459" t="s">
        <v>965</v>
      </c>
      <c r="X87" s="1460"/>
      <c r="Y87" s="1461"/>
      <c r="Z87" s="1459" t="s">
        <v>966</v>
      </c>
      <c r="AA87" s="1460"/>
      <c r="AB87" s="1461"/>
      <c r="AC87" s="1459" t="s">
        <v>967</v>
      </c>
      <c r="AD87" s="1460"/>
      <c r="AE87" s="1461"/>
    </row>
    <row r="88" spans="1:31" hidden="1">
      <c r="A88" s="1486"/>
      <c r="B88" s="108" t="s">
        <v>968</v>
      </c>
      <c r="C88" s="1491" t="s">
        <v>969</v>
      </c>
      <c r="D88" s="1509"/>
      <c r="E88" s="108" t="s">
        <v>968</v>
      </c>
      <c r="F88" s="1491" t="s">
        <v>969</v>
      </c>
      <c r="G88" s="1492"/>
      <c r="H88" s="312" t="s">
        <v>968</v>
      </c>
      <c r="I88" s="1440" t="s">
        <v>969</v>
      </c>
      <c r="J88" s="1440"/>
      <c r="K88" s="312" t="s">
        <v>968</v>
      </c>
      <c r="L88" s="1440" t="s">
        <v>969</v>
      </c>
      <c r="M88" s="1440"/>
      <c r="N88" s="312" t="s">
        <v>968</v>
      </c>
      <c r="O88" s="1440" t="s">
        <v>969</v>
      </c>
      <c r="P88" s="1440"/>
      <c r="Q88" s="312" t="s">
        <v>968</v>
      </c>
      <c r="R88" s="1440" t="s">
        <v>969</v>
      </c>
      <c r="S88" s="1440"/>
      <c r="T88" s="108" t="s">
        <v>968</v>
      </c>
      <c r="U88" s="1455" t="s">
        <v>969</v>
      </c>
      <c r="V88" s="1456"/>
      <c r="W88" s="108" t="s">
        <v>968</v>
      </c>
      <c r="X88" s="1455" t="s">
        <v>969</v>
      </c>
      <c r="Y88" s="1456"/>
      <c r="Z88" s="108" t="s">
        <v>968</v>
      </c>
      <c r="AA88" s="1455" t="s">
        <v>969</v>
      </c>
      <c r="AB88" s="1456"/>
      <c r="AC88" s="108" t="s">
        <v>968</v>
      </c>
      <c r="AD88" s="1455" t="s">
        <v>969</v>
      </c>
      <c r="AE88" s="1456"/>
    </row>
    <row r="89" spans="1:31" hidden="1">
      <c r="A89" s="118">
        <v>1</v>
      </c>
      <c r="B89" s="321"/>
      <c r="C89" s="1420"/>
      <c r="D89" s="1420"/>
      <c r="E89" s="321"/>
      <c r="F89" s="1493"/>
      <c r="G89" s="1494"/>
      <c r="H89" s="315"/>
      <c r="I89" s="1500"/>
      <c r="J89" s="1501"/>
      <c r="K89" s="315">
        <v>108</v>
      </c>
      <c r="L89" s="1493">
        <v>1661010000</v>
      </c>
      <c r="M89" s="1494"/>
      <c r="N89" s="315">
        <v>414</v>
      </c>
      <c r="O89" s="1470">
        <v>6252541423</v>
      </c>
      <c r="P89" s="1420"/>
      <c r="Q89" s="125">
        <v>2248</v>
      </c>
      <c r="R89" s="1470">
        <v>28065996223</v>
      </c>
      <c r="S89" s="1420"/>
      <c r="T89" s="122"/>
      <c r="U89" s="1457">
        <v>73055065742</v>
      </c>
      <c r="V89" s="1464"/>
      <c r="W89" s="144"/>
      <c r="X89" s="1457">
        <v>87935106373</v>
      </c>
      <c r="Y89" s="1458"/>
      <c r="Z89" s="55"/>
      <c r="AA89" s="1457">
        <v>70564465535</v>
      </c>
      <c r="AB89" s="1464"/>
      <c r="AC89" s="55">
        <v>5208</v>
      </c>
      <c r="AD89" s="1445">
        <v>58708106213</v>
      </c>
      <c r="AE89" s="1446"/>
    </row>
    <row r="90" spans="1:31" hidden="1">
      <c r="A90" s="118">
        <v>2</v>
      </c>
      <c r="B90" s="321"/>
      <c r="C90" s="1420"/>
      <c r="D90" s="1420"/>
      <c r="E90" s="321"/>
      <c r="F90" s="1493"/>
      <c r="G90" s="1494"/>
      <c r="H90" s="294"/>
      <c r="I90" s="1493"/>
      <c r="J90" s="1494"/>
      <c r="K90" s="294"/>
      <c r="L90" s="1470"/>
      <c r="M90" s="1420"/>
      <c r="N90" s="294">
        <v>5</v>
      </c>
      <c r="O90" s="1470">
        <v>83460000</v>
      </c>
      <c r="P90" s="1420"/>
      <c r="Q90" s="119">
        <v>36</v>
      </c>
      <c r="R90" s="1470">
        <v>469344732</v>
      </c>
      <c r="S90" s="1420"/>
      <c r="T90" s="110"/>
      <c r="U90" s="1457">
        <v>2849068519</v>
      </c>
      <c r="V90" s="1464"/>
      <c r="W90" s="145"/>
      <c r="X90" s="1457">
        <v>10857275325</v>
      </c>
      <c r="Y90" s="1458"/>
      <c r="Z90" s="55"/>
      <c r="AA90" s="1457">
        <v>22480376699</v>
      </c>
      <c r="AB90" s="1464"/>
      <c r="AC90" s="55">
        <v>2219</v>
      </c>
      <c r="AD90" s="1445">
        <v>24693445263</v>
      </c>
      <c r="AE90" s="1446"/>
    </row>
    <row r="91" spans="1:31" hidden="1">
      <c r="A91" s="118">
        <v>3</v>
      </c>
      <c r="B91" s="295"/>
      <c r="C91" s="1420"/>
      <c r="D91" s="1420"/>
      <c r="E91" s="295"/>
      <c r="F91" s="1493"/>
      <c r="G91" s="1494"/>
      <c r="H91" s="294"/>
      <c r="I91" s="1493"/>
      <c r="J91" s="1494"/>
      <c r="K91" s="294"/>
      <c r="L91" s="1470"/>
      <c r="M91" s="1420"/>
      <c r="N91" s="294"/>
      <c r="O91" s="1470"/>
      <c r="P91" s="1420"/>
      <c r="Q91" s="110"/>
      <c r="R91" s="1470"/>
      <c r="S91" s="1420"/>
      <c r="T91" s="110"/>
      <c r="U91" s="1457"/>
      <c r="V91" s="1464"/>
      <c r="W91" s="122"/>
      <c r="X91" s="1457">
        <v>111279948</v>
      </c>
      <c r="Y91" s="1458"/>
      <c r="Z91" s="55"/>
      <c r="AA91" s="1457">
        <v>608897515</v>
      </c>
      <c r="AB91" s="1464"/>
      <c r="AC91" s="55">
        <v>421</v>
      </c>
      <c r="AD91" s="1445">
        <v>4838081862</v>
      </c>
      <c r="AE91" s="1446"/>
    </row>
    <row r="92" spans="1:31" hidden="1">
      <c r="A92" s="118">
        <v>4</v>
      </c>
      <c r="B92" s="295"/>
      <c r="C92" s="1470"/>
      <c r="D92" s="1470"/>
      <c r="E92" s="295"/>
      <c r="F92" s="1502"/>
      <c r="G92" s="1503"/>
      <c r="H92" s="291"/>
      <c r="I92" s="1475"/>
      <c r="J92" s="1476"/>
      <c r="K92" s="291"/>
      <c r="L92" s="1475"/>
      <c r="M92" s="1476"/>
      <c r="N92" s="291"/>
      <c r="O92" s="1475"/>
      <c r="P92" s="1476"/>
      <c r="Q92" s="110"/>
      <c r="R92" s="1475"/>
      <c r="S92" s="1476"/>
      <c r="T92" s="110"/>
      <c r="U92" s="1457"/>
      <c r="V92" s="1464"/>
      <c r="W92" s="122"/>
      <c r="X92" s="1457"/>
      <c r="Y92" s="1458"/>
      <c r="Z92" s="55"/>
      <c r="AA92" s="1457"/>
      <c r="AB92" s="1464"/>
      <c r="AC92" s="55"/>
      <c r="AD92" s="1457"/>
      <c r="AE92" s="1464"/>
    </row>
    <row r="93" spans="1:31" hidden="1">
      <c r="A93" s="118">
        <v>5</v>
      </c>
      <c r="B93" s="295"/>
      <c r="C93" s="1470"/>
      <c r="D93" s="1470"/>
      <c r="E93" s="295"/>
      <c r="F93" s="1496"/>
      <c r="G93" s="1497"/>
      <c r="H93" s="291"/>
      <c r="I93" s="1471"/>
      <c r="J93" s="1472"/>
      <c r="K93" s="291"/>
      <c r="L93" s="1471"/>
      <c r="M93" s="1472"/>
      <c r="N93" s="291"/>
      <c r="O93" s="1471"/>
      <c r="P93" s="1472"/>
      <c r="Q93" s="110"/>
      <c r="R93" s="1471"/>
      <c r="S93" s="1472"/>
      <c r="T93" s="110"/>
      <c r="U93" s="1457"/>
      <c r="V93" s="1464"/>
      <c r="W93" s="110"/>
      <c r="X93" s="1457" t="s">
        <v>980</v>
      </c>
      <c r="Y93" s="1458" t="s">
        <v>981</v>
      </c>
      <c r="Z93" s="499"/>
      <c r="AA93" s="1457"/>
      <c r="AB93" s="1464"/>
      <c r="AC93" s="499"/>
      <c r="AD93" s="1457"/>
      <c r="AE93" s="1464"/>
    </row>
    <row r="94" spans="1:31" s="500" customFormat="1" hidden="1">
      <c r="A94" s="503" t="s">
        <v>970</v>
      </c>
      <c r="B94" s="506">
        <f>SUM(B89:B93)</f>
        <v>0</v>
      </c>
      <c r="C94" s="1485">
        <f>SUM(C89:D93)</f>
        <v>0</v>
      </c>
      <c r="D94" s="1485"/>
      <c r="E94" s="507">
        <f>SUM(E89:E93)</f>
        <v>0</v>
      </c>
      <c r="F94" s="1478">
        <f>SUM(F89:G93)</f>
        <v>0</v>
      </c>
      <c r="G94" s="1479"/>
      <c r="H94" s="507">
        <f>SUM(H89:H93)</f>
        <v>0</v>
      </c>
      <c r="I94" s="1478">
        <f>SUM(I89:J93)</f>
        <v>0</v>
      </c>
      <c r="J94" s="1479"/>
      <c r="K94" s="507">
        <f>SUM(K89:K93)</f>
        <v>108</v>
      </c>
      <c r="L94" s="1478">
        <f>SUM(L89:M93)</f>
        <v>1661010000</v>
      </c>
      <c r="M94" s="1479"/>
      <c r="N94" s="507">
        <f>SUM(N89:N93)</f>
        <v>419</v>
      </c>
      <c r="O94" s="1478">
        <f>SUM(O89:P93)</f>
        <v>6336001423</v>
      </c>
      <c r="P94" s="1479"/>
      <c r="Q94" s="121">
        <f>SUM(Q89:Q93)</f>
        <v>2284</v>
      </c>
      <c r="R94" s="1453">
        <f>SUM(R89:R93)</f>
        <v>28535340955</v>
      </c>
      <c r="S94" s="1477"/>
      <c r="T94" s="123"/>
      <c r="U94" s="1435">
        <f>SUM(U89:V93)</f>
        <v>75904134261</v>
      </c>
      <c r="V94" s="1436"/>
      <c r="W94" s="121">
        <f t="shared" ref="W94:AB94" si="23">SUM(W89:W93)</f>
        <v>0</v>
      </c>
      <c r="X94" s="1435">
        <f t="shared" si="23"/>
        <v>98903661646</v>
      </c>
      <c r="Y94" s="1454">
        <f t="shared" si="23"/>
        <v>0</v>
      </c>
      <c r="Z94" s="460">
        <f t="shared" si="23"/>
        <v>0</v>
      </c>
      <c r="AA94" s="1435">
        <f t="shared" si="23"/>
        <v>93653739749</v>
      </c>
      <c r="AB94" s="1436">
        <f t="shared" si="23"/>
        <v>0</v>
      </c>
      <c r="AC94" s="460">
        <f>SUM(AC89:AC93)</f>
        <v>7848</v>
      </c>
      <c r="AD94" s="1435">
        <f>SUM(AD89:AD93)</f>
        <v>88239633338</v>
      </c>
      <c r="AE94" s="1436">
        <f>SUM(AE89:AE93)</f>
        <v>0</v>
      </c>
    </row>
    <row r="95" spans="1:31" hidden="1">
      <c r="S95" s="106"/>
      <c r="U95" s="106"/>
      <c r="W95" s="201"/>
      <c r="X95" s="147"/>
      <c r="Y95" s="201"/>
    </row>
    <row r="96" spans="1:31" hidden="1"/>
    <row r="97" spans="1:43" ht="14.5" hidden="1" customHeight="1">
      <c r="A97" s="1482" t="s">
        <v>982</v>
      </c>
      <c r="B97" s="1490" t="s">
        <v>958</v>
      </c>
      <c r="C97" s="1430"/>
      <c r="D97" s="1430"/>
      <c r="E97" s="1490" t="s">
        <v>959</v>
      </c>
      <c r="F97" s="1430"/>
      <c r="G97" s="1430"/>
      <c r="H97" s="1490" t="s">
        <v>960</v>
      </c>
      <c r="I97" s="1430"/>
      <c r="J97" s="1430"/>
      <c r="K97" s="1490" t="s">
        <v>961</v>
      </c>
      <c r="L97" s="1430"/>
      <c r="M97" s="1430"/>
      <c r="N97" s="1490" t="s">
        <v>962</v>
      </c>
      <c r="O97" s="1430"/>
      <c r="P97" s="1430"/>
      <c r="Q97" s="1490" t="s">
        <v>963</v>
      </c>
      <c r="R97" s="1430"/>
      <c r="S97" s="1430"/>
      <c r="T97" s="1484" t="s">
        <v>964</v>
      </c>
      <c r="U97" s="1484"/>
      <c r="V97" s="1484"/>
      <c r="W97" s="1484" t="s">
        <v>965</v>
      </c>
      <c r="X97" s="1484"/>
      <c r="Y97" s="1484"/>
      <c r="Z97" s="1484" t="s">
        <v>966</v>
      </c>
      <c r="AA97" s="1484"/>
      <c r="AB97" s="1484"/>
      <c r="AC97" s="1484" t="s">
        <v>967</v>
      </c>
      <c r="AD97" s="1484"/>
      <c r="AE97" s="1484"/>
    </row>
    <row r="98" spans="1:43" hidden="1">
      <c r="A98" s="1482"/>
      <c r="B98" s="111" t="s">
        <v>968</v>
      </c>
      <c r="C98" s="111" t="s">
        <v>972</v>
      </c>
      <c r="D98" s="111" t="s">
        <v>969</v>
      </c>
      <c r="E98" s="111" t="s">
        <v>968</v>
      </c>
      <c r="F98" s="111" t="s">
        <v>972</v>
      </c>
      <c r="G98" s="111" t="s">
        <v>969</v>
      </c>
      <c r="H98" s="111" t="s">
        <v>968</v>
      </c>
      <c r="I98" s="111" t="s">
        <v>972</v>
      </c>
      <c r="J98" s="111" t="s">
        <v>969</v>
      </c>
      <c r="K98" s="111" t="s">
        <v>968</v>
      </c>
      <c r="L98" s="111" t="s">
        <v>972</v>
      </c>
      <c r="M98" s="111" t="s">
        <v>969</v>
      </c>
      <c r="N98" s="111" t="s">
        <v>968</v>
      </c>
      <c r="O98" s="111" t="s">
        <v>972</v>
      </c>
      <c r="P98" s="111" t="s">
        <v>969</v>
      </c>
      <c r="Q98" s="111" t="s">
        <v>968</v>
      </c>
      <c r="R98" s="111" t="s">
        <v>972</v>
      </c>
      <c r="S98" s="111" t="s">
        <v>969</v>
      </c>
      <c r="T98" s="458" t="s">
        <v>968</v>
      </c>
      <c r="U98" s="458" t="s">
        <v>972</v>
      </c>
      <c r="V98" s="458" t="s">
        <v>969</v>
      </c>
      <c r="W98" s="458" t="s">
        <v>968</v>
      </c>
      <c r="X98" s="458" t="s">
        <v>972</v>
      </c>
      <c r="Y98" s="458" t="s">
        <v>969</v>
      </c>
      <c r="Z98" s="458" t="s">
        <v>968</v>
      </c>
      <c r="AA98" s="458" t="s">
        <v>972</v>
      </c>
      <c r="AB98" s="458" t="s">
        <v>969</v>
      </c>
      <c r="AC98" s="458" t="s">
        <v>968</v>
      </c>
      <c r="AD98" s="458" t="s">
        <v>972</v>
      </c>
      <c r="AE98" s="458" t="s">
        <v>969</v>
      </c>
    </row>
    <row r="99" spans="1:43" hidden="1">
      <c r="A99" s="109">
        <v>1</v>
      </c>
      <c r="B99" s="110"/>
      <c r="C99" s="294"/>
      <c r="D99" s="294"/>
      <c r="E99" s="110"/>
      <c r="F99" s="294"/>
      <c r="G99" s="294"/>
      <c r="H99" s="110"/>
      <c r="I99" s="294"/>
      <c r="J99" s="294"/>
      <c r="K99" s="110">
        <v>102</v>
      </c>
      <c r="L99" s="334">
        <v>11663100</v>
      </c>
      <c r="M99" s="334">
        <v>1555080000</v>
      </c>
      <c r="N99" s="110">
        <v>390</v>
      </c>
      <c r="O99" s="294">
        <v>29071114</v>
      </c>
      <c r="P99" s="294">
        <v>5895252355</v>
      </c>
      <c r="Q99" s="119">
        <v>2138</v>
      </c>
      <c r="R99" s="119">
        <v>149580208</v>
      </c>
      <c r="S99" s="119">
        <v>26653360085</v>
      </c>
      <c r="T99" s="459">
        <v>6096</v>
      </c>
      <c r="U99" s="459">
        <v>356413028</v>
      </c>
      <c r="V99" s="459">
        <v>71709903355</v>
      </c>
      <c r="W99" s="119">
        <v>6779</v>
      </c>
      <c r="X99" s="119">
        <v>148173939</v>
      </c>
      <c r="Y99" s="119">
        <v>84113343227</v>
      </c>
      <c r="Z99" s="64">
        <v>5599</v>
      </c>
      <c r="AA99" s="64">
        <v>-70969711</v>
      </c>
      <c r="AB99" s="64">
        <v>66595084767</v>
      </c>
      <c r="AC99" s="64">
        <v>4854</v>
      </c>
      <c r="AD99" s="64">
        <v>-29087430</v>
      </c>
      <c r="AE99" s="64">
        <v>54732080576</v>
      </c>
    </row>
    <row r="100" spans="1:43" hidden="1">
      <c r="A100" s="109">
        <v>2</v>
      </c>
      <c r="B100" s="110"/>
      <c r="C100" s="294"/>
      <c r="D100" s="294"/>
      <c r="E100" s="110"/>
      <c r="F100" s="294"/>
      <c r="G100" s="294"/>
      <c r="H100" s="110"/>
      <c r="I100" s="294"/>
      <c r="J100" s="294"/>
      <c r="K100" s="110">
        <v>4</v>
      </c>
      <c r="L100" s="334">
        <v>4491325</v>
      </c>
      <c r="M100" s="334">
        <v>78110000</v>
      </c>
      <c r="N100" s="110">
        <v>20</v>
      </c>
      <c r="O100" s="294">
        <v>17343088</v>
      </c>
      <c r="P100" s="294">
        <v>319204133</v>
      </c>
      <c r="Q100" s="119">
        <v>104</v>
      </c>
      <c r="R100" s="119">
        <v>46148638</v>
      </c>
      <c r="S100" s="119">
        <v>1355399668</v>
      </c>
      <c r="T100" s="459">
        <v>301</v>
      </c>
      <c r="U100" s="459">
        <v>117206474</v>
      </c>
      <c r="V100" s="459">
        <v>3664218279</v>
      </c>
      <c r="W100" s="119">
        <v>1115</v>
      </c>
      <c r="X100" s="119">
        <v>467129604</v>
      </c>
      <c r="Y100" s="119">
        <v>12702350201</v>
      </c>
      <c r="Z100" s="64">
        <v>2121</v>
      </c>
      <c r="AA100" s="64">
        <v>615618731</v>
      </c>
      <c r="AB100" s="64">
        <v>24117291667</v>
      </c>
      <c r="AC100" s="64">
        <v>2387</v>
      </c>
      <c r="AD100" s="64">
        <v>269365738</v>
      </c>
      <c r="AE100" s="64">
        <v>26692288600</v>
      </c>
    </row>
    <row r="101" spans="1:43" hidden="1">
      <c r="A101" s="109">
        <v>3</v>
      </c>
      <c r="B101" s="110"/>
      <c r="C101" s="294"/>
      <c r="D101" s="294"/>
      <c r="E101" s="110"/>
      <c r="F101" s="294"/>
      <c r="G101" s="294"/>
      <c r="H101" s="110"/>
      <c r="I101" s="294"/>
      <c r="J101" s="294"/>
      <c r="K101" s="110">
        <v>1</v>
      </c>
      <c r="L101" s="334">
        <v>2886325</v>
      </c>
      <c r="M101" s="334">
        <v>13910000</v>
      </c>
      <c r="N101" s="110">
        <v>2</v>
      </c>
      <c r="O101" s="294">
        <v>2773841</v>
      </c>
      <c r="P101" s="294">
        <v>27277910</v>
      </c>
      <c r="Q101" s="119">
        <v>10</v>
      </c>
      <c r="R101" s="119">
        <v>20138250</v>
      </c>
      <c r="S101" s="119">
        <v>110961806</v>
      </c>
      <c r="T101" s="459">
        <v>10</v>
      </c>
      <c r="U101" s="459">
        <v>-653975</v>
      </c>
      <c r="V101" s="459">
        <v>107810118</v>
      </c>
      <c r="W101" s="113">
        <v>60</v>
      </c>
      <c r="X101" s="119">
        <v>102514838</v>
      </c>
      <c r="Y101" s="119">
        <v>678028811</v>
      </c>
      <c r="Z101" s="64">
        <v>106</v>
      </c>
      <c r="AA101" s="64">
        <v>109410470</v>
      </c>
      <c r="AB101" s="64">
        <v>1280117341</v>
      </c>
      <c r="AC101" s="64">
        <v>468</v>
      </c>
      <c r="AD101" s="64">
        <v>576763368</v>
      </c>
      <c r="AE101" s="64">
        <v>5309540873</v>
      </c>
    </row>
    <row r="102" spans="1:43" hidden="1">
      <c r="A102" s="109">
        <v>4</v>
      </c>
      <c r="B102" s="110"/>
      <c r="C102" s="294"/>
      <c r="D102" s="294"/>
      <c r="E102" s="110"/>
      <c r="F102" s="294"/>
      <c r="G102" s="294"/>
      <c r="H102" s="110"/>
      <c r="I102" s="294"/>
      <c r="J102" s="294"/>
      <c r="K102" s="110"/>
      <c r="L102" s="294"/>
      <c r="M102" s="294"/>
      <c r="N102" s="110">
        <v>4</v>
      </c>
      <c r="O102" s="294">
        <v>29323350</v>
      </c>
      <c r="P102" s="294">
        <v>57780000</v>
      </c>
      <c r="Q102" s="119">
        <v>7</v>
      </c>
      <c r="R102" s="119">
        <v>32455456</v>
      </c>
      <c r="S102" s="119">
        <v>87607333</v>
      </c>
      <c r="T102" s="459">
        <v>9</v>
      </c>
      <c r="U102" s="459">
        <v>15230219</v>
      </c>
      <c r="V102" s="459">
        <v>117617616</v>
      </c>
      <c r="W102" s="113">
        <v>44</v>
      </c>
      <c r="X102" s="119">
        <v>226288399</v>
      </c>
      <c r="Y102" s="119">
        <v>506922734</v>
      </c>
      <c r="Z102" s="64">
        <v>47</v>
      </c>
      <c r="AA102" s="64">
        <v>37835979</v>
      </c>
      <c r="AB102" s="64">
        <v>502947079</v>
      </c>
      <c r="AC102" s="64">
        <v>45</v>
      </c>
      <c r="AD102" s="64">
        <v>-5262693</v>
      </c>
      <c r="AE102" s="64">
        <v>460176639</v>
      </c>
    </row>
    <row r="103" spans="1:43" hidden="1">
      <c r="A103" s="109">
        <v>5</v>
      </c>
      <c r="B103" s="293"/>
      <c r="C103" s="294"/>
      <c r="D103" s="294"/>
      <c r="E103" s="110"/>
      <c r="F103" s="294"/>
      <c r="G103" s="294"/>
      <c r="H103" s="110"/>
      <c r="I103" s="294"/>
      <c r="J103" s="294"/>
      <c r="K103" s="110">
        <v>1</v>
      </c>
      <c r="L103" s="334">
        <v>13910000</v>
      </c>
      <c r="M103" s="334">
        <v>13910000</v>
      </c>
      <c r="N103" s="110">
        <v>3</v>
      </c>
      <c r="O103" s="294">
        <v>22577025</v>
      </c>
      <c r="P103" s="294">
        <v>36487025</v>
      </c>
      <c r="Q103" s="119">
        <v>25</v>
      </c>
      <c r="R103" s="119">
        <v>291525038</v>
      </c>
      <c r="S103" s="119">
        <v>328012063</v>
      </c>
      <c r="T103" s="459">
        <v>24</v>
      </c>
      <c r="U103" s="459">
        <v>-11657170</v>
      </c>
      <c r="V103" s="459">
        <v>304584893</v>
      </c>
      <c r="W103" s="113">
        <v>81</v>
      </c>
      <c r="X103" s="119">
        <v>596033849</v>
      </c>
      <c r="Y103" s="119">
        <v>903016673</v>
      </c>
      <c r="Z103" s="64">
        <v>105</v>
      </c>
      <c r="AA103" s="64">
        <v>246405565</v>
      </c>
      <c r="AB103" s="64">
        <v>1158298895</v>
      </c>
      <c r="AC103" s="64">
        <v>94</v>
      </c>
      <c r="AD103" s="64">
        <v>-41512916</v>
      </c>
      <c r="AE103" s="64">
        <v>1045546650</v>
      </c>
    </row>
    <row r="104" spans="1:43" hidden="1">
      <c r="A104" s="292" t="s">
        <v>970</v>
      </c>
      <c r="B104" s="297">
        <f t="shared" ref="B104:AE104" si="24">SUM(B99:B103)</f>
        <v>0</v>
      </c>
      <c r="C104" s="297">
        <f t="shared" si="24"/>
        <v>0</v>
      </c>
      <c r="D104" s="297">
        <f t="shared" si="24"/>
        <v>0</v>
      </c>
      <c r="E104" s="297">
        <f t="shared" si="24"/>
        <v>0</v>
      </c>
      <c r="F104" s="297">
        <f t="shared" si="24"/>
        <v>0</v>
      </c>
      <c r="G104" s="297">
        <f t="shared" si="24"/>
        <v>0</v>
      </c>
      <c r="H104" s="297">
        <f t="shared" si="24"/>
        <v>0</v>
      </c>
      <c r="I104" s="297">
        <f t="shared" si="24"/>
        <v>0</v>
      </c>
      <c r="J104" s="297">
        <f t="shared" si="24"/>
        <v>0</v>
      </c>
      <c r="K104" s="297">
        <f t="shared" si="24"/>
        <v>108</v>
      </c>
      <c r="L104" s="297">
        <f t="shared" si="24"/>
        <v>32950750</v>
      </c>
      <c r="M104" s="297">
        <f t="shared" si="24"/>
        <v>1661010000</v>
      </c>
      <c r="N104" s="297">
        <f t="shared" si="24"/>
        <v>419</v>
      </c>
      <c r="O104" s="297">
        <f t="shared" si="24"/>
        <v>101088418</v>
      </c>
      <c r="P104" s="297">
        <f t="shared" si="24"/>
        <v>6336001423</v>
      </c>
      <c r="Q104" s="297">
        <f t="shared" si="24"/>
        <v>2284</v>
      </c>
      <c r="R104" s="297">
        <f t="shared" si="24"/>
        <v>539847590</v>
      </c>
      <c r="S104" s="297">
        <f t="shared" si="24"/>
        <v>28535340955</v>
      </c>
      <c r="T104" s="297">
        <f t="shared" si="24"/>
        <v>6440</v>
      </c>
      <c r="U104" s="297">
        <f t="shared" si="24"/>
        <v>476538576</v>
      </c>
      <c r="V104" s="297">
        <f t="shared" si="24"/>
        <v>75904134261</v>
      </c>
      <c r="W104" s="297">
        <f t="shared" si="24"/>
        <v>8079</v>
      </c>
      <c r="X104" s="297">
        <f t="shared" si="24"/>
        <v>1540140629</v>
      </c>
      <c r="Y104" s="297">
        <f t="shared" si="24"/>
        <v>98903661646</v>
      </c>
      <c r="Z104" s="297">
        <f t="shared" si="24"/>
        <v>7978</v>
      </c>
      <c r="AA104" s="297">
        <f t="shared" si="24"/>
        <v>938301034</v>
      </c>
      <c r="AB104" s="297">
        <f t="shared" si="24"/>
        <v>93653739749</v>
      </c>
      <c r="AC104" s="297">
        <f t="shared" si="24"/>
        <v>7848</v>
      </c>
      <c r="AD104" s="297">
        <f t="shared" si="24"/>
        <v>770266067</v>
      </c>
      <c r="AE104" s="297">
        <f t="shared" si="24"/>
        <v>88239633338</v>
      </c>
    </row>
    <row r="105" spans="1:43" hidden="1">
      <c r="A105" s="337"/>
      <c r="B105" s="318"/>
      <c r="C105" s="318"/>
      <c r="D105" s="318"/>
      <c r="E105" s="318"/>
      <c r="F105" s="318"/>
      <c r="G105" s="318"/>
      <c r="H105" s="318"/>
      <c r="I105" s="318"/>
      <c r="J105" s="318"/>
      <c r="K105" s="318"/>
      <c r="L105" s="318"/>
      <c r="M105" s="318"/>
      <c r="N105" s="318"/>
      <c r="O105" s="318"/>
      <c r="P105" s="318"/>
      <c r="Q105" s="318"/>
      <c r="R105" s="318">
        <v>-553725</v>
      </c>
      <c r="S105" s="318"/>
      <c r="T105" s="318"/>
      <c r="U105" s="318">
        <v>-14708383</v>
      </c>
      <c r="V105" s="318"/>
      <c r="W105" s="318"/>
      <c r="X105" s="318">
        <v>-13097769</v>
      </c>
      <c r="Y105" s="318"/>
      <c r="Z105" s="89"/>
      <c r="AA105">
        <v>-35130903</v>
      </c>
      <c r="AD105">
        <v>-19904422</v>
      </c>
    </row>
    <row r="106" spans="1:43" hidden="1">
      <c r="A106" s="337"/>
      <c r="B106" s="318"/>
      <c r="C106" s="318"/>
      <c r="D106" s="318"/>
      <c r="E106" s="318"/>
      <c r="F106" s="318"/>
      <c r="G106" s="318"/>
      <c r="H106" s="318"/>
      <c r="I106" s="318"/>
      <c r="J106" s="318"/>
      <c r="K106" s="318"/>
      <c r="L106" s="318"/>
      <c r="M106" s="318"/>
      <c r="N106" s="318"/>
      <c r="O106" s="318"/>
      <c r="P106" s="318"/>
      <c r="Q106" s="318"/>
      <c r="R106" s="318"/>
      <c r="S106" s="318"/>
      <c r="T106" s="318"/>
      <c r="U106" s="318"/>
      <c r="V106" s="318"/>
      <c r="W106" s="318"/>
      <c r="X106" s="318"/>
      <c r="Y106" s="318"/>
    </row>
    <row r="107" spans="1:43">
      <c r="A107" s="1044"/>
      <c r="B107" s="318"/>
      <c r="C107" s="318"/>
      <c r="D107" s="318"/>
      <c r="E107" s="318"/>
      <c r="F107" s="318"/>
      <c r="G107" s="318"/>
      <c r="H107" s="318"/>
      <c r="I107" s="318"/>
      <c r="J107" s="318"/>
      <c r="K107" s="318"/>
      <c r="L107" s="318"/>
      <c r="M107" s="318"/>
      <c r="N107" s="318"/>
      <c r="O107" s="318"/>
      <c r="P107" s="318"/>
      <c r="Q107" s="318"/>
      <c r="R107" s="318"/>
      <c r="S107" s="318"/>
      <c r="T107" s="318"/>
      <c r="U107" s="318"/>
      <c r="V107" s="318"/>
      <c r="W107" s="318"/>
      <c r="X107" s="318"/>
      <c r="Y107" s="318"/>
      <c r="AG107" s="147"/>
    </row>
    <row r="108" spans="1:43" ht="14.5" customHeight="1">
      <c r="A108" s="1486" t="s">
        <v>983</v>
      </c>
      <c r="B108" s="1459" t="s">
        <v>956</v>
      </c>
      <c r="C108" s="1460"/>
      <c r="D108" s="1461"/>
      <c r="E108" s="1459" t="s">
        <v>957</v>
      </c>
      <c r="F108" s="1460"/>
      <c r="G108" s="1461"/>
      <c r="H108" s="1440" t="s">
        <v>958</v>
      </c>
      <c r="I108" s="1440"/>
      <c r="J108" s="1440"/>
      <c r="K108" s="1488" t="s">
        <v>959</v>
      </c>
      <c r="L108" s="1488"/>
      <c r="M108" s="1488"/>
      <c r="N108" s="1440" t="s">
        <v>960</v>
      </c>
      <c r="O108" s="1440"/>
      <c r="P108" s="1440"/>
      <c r="Q108" s="1440" t="s">
        <v>961</v>
      </c>
      <c r="R108" s="1440"/>
      <c r="S108" s="1440"/>
      <c r="T108" s="1440" t="s">
        <v>962</v>
      </c>
      <c r="U108" s="1440"/>
      <c r="V108" s="1440"/>
      <c r="W108" s="1440" t="s">
        <v>963</v>
      </c>
      <c r="X108" s="1440"/>
      <c r="Y108" s="1440"/>
      <c r="Z108" s="1440" t="s">
        <v>964</v>
      </c>
      <c r="AA108" s="1440"/>
      <c r="AB108" s="1440"/>
      <c r="AC108" s="1440" t="s">
        <v>965</v>
      </c>
      <c r="AD108" s="1440"/>
      <c r="AE108" s="1440"/>
      <c r="AF108" s="1440" t="s">
        <v>966</v>
      </c>
      <c r="AG108" s="1440"/>
      <c r="AH108" s="1440"/>
      <c r="AI108" s="1440" t="s">
        <v>967</v>
      </c>
      <c r="AJ108" s="1440"/>
      <c r="AK108" s="1440"/>
      <c r="AL108" s="1440" t="s">
        <v>956</v>
      </c>
      <c r="AM108" s="1440"/>
      <c r="AN108" s="1440"/>
      <c r="AO108" s="1440" t="s">
        <v>957</v>
      </c>
      <c r="AP108" s="1440"/>
      <c r="AQ108" s="1440"/>
    </row>
    <row r="109" spans="1:43" ht="14.5" customHeight="1">
      <c r="A109" s="1487"/>
      <c r="B109" s="143" t="s">
        <v>968</v>
      </c>
      <c r="C109" s="1428" t="s">
        <v>969</v>
      </c>
      <c r="D109" s="1429"/>
      <c r="E109" s="143" t="s">
        <v>968</v>
      </c>
      <c r="F109" s="1428" t="s">
        <v>969</v>
      </c>
      <c r="G109" s="1429"/>
      <c r="H109" s="323" t="s">
        <v>968</v>
      </c>
      <c r="I109" s="1488" t="s">
        <v>969</v>
      </c>
      <c r="J109" s="1489"/>
      <c r="K109" s="312" t="s">
        <v>968</v>
      </c>
      <c r="L109" s="1488" t="s">
        <v>969</v>
      </c>
      <c r="M109" s="1488"/>
      <c r="N109" s="809" t="s">
        <v>968</v>
      </c>
      <c r="O109" s="1488" t="s">
        <v>969</v>
      </c>
      <c r="P109" s="1488"/>
      <c r="Q109" s="312" t="s">
        <v>968</v>
      </c>
      <c r="R109" s="1440" t="s">
        <v>969</v>
      </c>
      <c r="S109" s="1440"/>
      <c r="T109" s="108" t="s">
        <v>968</v>
      </c>
      <c r="U109" s="1455" t="s">
        <v>969</v>
      </c>
      <c r="V109" s="1456"/>
      <c r="W109" s="108" t="s">
        <v>968</v>
      </c>
      <c r="X109" s="1455" t="s">
        <v>969</v>
      </c>
      <c r="Y109" s="1456"/>
      <c r="Z109" s="108" t="s">
        <v>968</v>
      </c>
      <c r="AA109" s="1455" t="s">
        <v>969</v>
      </c>
      <c r="AB109" s="1456"/>
      <c r="AC109" s="108" t="s">
        <v>968</v>
      </c>
      <c r="AD109" s="1455" t="s">
        <v>969</v>
      </c>
      <c r="AE109" s="1456"/>
      <c r="AF109" s="143" t="s">
        <v>968</v>
      </c>
      <c r="AG109" s="1428" t="s">
        <v>969</v>
      </c>
      <c r="AH109" s="1429"/>
      <c r="AI109" s="143" t="s">
        <v>968</v>
      </c>
      <c r="AJ109" s="1428" t="s">
        <v>969</v>
      </c>
      <c r="AK109" s="1429"/>
    </row>
    <row r="110" spans="1:43" ht="14.5" customHeight="1">
      <c r="A110" s="482">
        <v>1</v>
      </c>
      <c r="B110" s="529">
        <v>43430</v>
      </c>
      <c r="C110" s="1535">
        <v>394866200184</v>
      </c>
      <c r="D110" s="1535"/>
      <c r="E110" s="554">
        <v>53551</v>
      </c>
      <c r="F110" s="1431">
        <v>482177714987</v>
      </c>
      <c r="G110" s="1583"/>
      <c r="H110" s="521">
        <v>60996</v>
      </c>
      <c r="I110" s="1581">
        <v>553731753835</v>
      </c>
      <c r="J110" s="1431"/>
      <c r="K110" s="810">
        <v>64893</v>
      </c>
      <c r="L110" s="1420">
        <v>566904639578</v>
      </c>
      <c r="M110" s="1420"/>
      <c r="N110" s="804">
        <v>72354</v>
      </c>
      <c r="O110" s="1420">
        <v>627371923312</v>
      </c>
      <c r="P110" s="1420"/>
      <c r="Q110" s="804"/>
      <c r="R110" s="1462"/>
      <c r="S110" s="1463"/>
      <c r="T110" s="122"/>
      <c r="U110" s="1457"/>
      <c r="V110" s="1464"/>
      <c r="W110" s="144"/>
      <c r="X110" s="1457"/>
      <c r="Y110" s="1458"/>
      <c r="Z110" s="55"/>
      <c r="AA110" s="1457"/>
      <c r="AB110" s="1464"/>
      <c r="AC110" s="529"/>
      <c r="AD110" s="1445"/>
      <c r="AE110" s="1504"/>
      <c r="AF110" s="529"/>
      <c r="AG110" s="1535"/>
      <c r="AH110" s="1535"/>
      <c r="AI110" s="554"/>
      <c r="AJ110" s="1431"/>
      <c r="AK110" s="1431"/>
    </row>
    <row r="111" spans="1:43" ht="14.5" customHeight="1">
      <c r="A111" s="482">
        <v>2</v>
      </c>
      <c r="B111" s="529">
        <v>2582</v>
      </c>
      <c r="C111" s="1535">
        <v>24999917660</v>
      </c>
      <c r="D111" s="1535"/>
      <c r="E111" s="554">
        <v>3278</v>
      </c>
      <c r="F111" s="1431">
        <v>29903416203</v>
      </c>
      <c r="G111" s="1583"/>
      <c r="H111" s="521">
        <v>4217</v>
      </c>
      <c r="I111" s="1581">
        <v>36972546551</v>
      </c>
      <c r="J111" s="1431"/>
      <c r="K111" s="810">
        <v>4963</v>
      </c>
      <c r="L111" s="1420">
        <v>42689490944</v>
      </c>
      <c r="M111" s="1420"/>
      <c r="N111" s="804">
        <v>5853</v>
      </c>
      <c r="O111" s="1420">
        <v>49716629241</v>
      </c>
      <c r="P111" s="1420"/>
      <c r="Q111" s="804"/>
      <c r="R111" s="1462"/>
      <c r="S111" s="1463"/>
      <c r="T111" s="110"/>
      <c r="U111" s="1457"/>
      <c r="V111" s="1464"/>
      <c r="W111" s="145"/>
      <c r="X111" s="1457"/>
      <c r="Y111" s="1458"/>
      <c r="Z111" s="55"/>
      <c r="AA111" s="1457"/>
      <c r="AB111" s="1464"/>
      <c r="AC111" s="529"/>
      <c r="AD111" s="1445"/>
      <c r="AE111" s="1504"/>
      <c r="AF111" s="529"/>
      <c r="AG111" s="1535"/>
      <c r="AH111" s="1535"/>
      <c r="AI111" s="554"/>
      <c r="AJ111" s="1431"/>
      <c r="AK111" s="1431"/>
    </row>
    <row r="112" spans="1:43" ht="14.5" customHeight="1">
      <c r="A112" s="482">
        <v>3</v>
      </c>
      <c r="B112" s="529">
        <v>983</v>
      </c>
      <c r="C112" s="1535">
        <v>11051087510</v>
      </c>
      <c r="D112" s="1535"/>
      <c r="E112" s="554">
        <v>1751</v>
      </c>
      <c r="F112" s="1431">
        <v>18943802085</v>
      </c>
      <c r="G112" s="1583"/>
      <c r="H112" s="521">
        <v>2145</v>
      </c>
      <c r="I112" s="1581">
        <v>21978653980</v>
      </c>
      <c r="J112" s="1431"/>
      <c r="K112" s="810">
        <v>2693</v>
      </c>
      <c r="L112" s="1420">
        <v>25783903996</v>
      </c>
      <c r="M112" s="1420"/>
      <c r="N112" s="804">
        <v>3274</v>
      </c>
      <c r="O112" s="1420">
        <v>29756702887</v>
      </c>
      <c r="P112" s="1420"/>
      <c r="Q112" s="804"/>
      <c r="R112" s="1462"/>
      <c r="S112" s="1463"/>
      <c r="T112" s="110"/>
      <c r="U112" s="1457"/>
      <c r="V112" s="1464"/>
      <c r="W112" s="122"/>
      <c r="X112" s="1457"/>
      <c r="Y112" s="1458"/>
      <c r="Z112" s="55"/>
      <c r="AA112" s="1457"/>
      <c r="AB112" s="1464"/>
      <c r="AC112" s="529"/>
      <c r="AD112" s="1445"/>
      <c r="AE112" s="1504"/>
      <c r="AF112" s="529"/>
      <c r="AG112" s="1535"/>
      <c r="AH112" s="1535"/>
      <c r="AI112" s="554"/>
      <c r="AJ112" s="1431"/>
      <c r="AK112" s="1431"/>
    </row>
    <row r="113" spans="1:52" ht="14.5" customHeight="1">
      <c r="A113" s="482">
        <v>4</v>
      </c>
      <c r="B113" s="557"/>
      <c r="C113" s="1432"/>
      <c r="D113" s="1432"/>
      <c r="E113" s="557"/>
      <c r="F113" s="1432"/>
      <c r="G113" s="1584"/>
      <c r="H113" s="521">
        <v>427</v>
      </c>
      <c r="I113" s="1434">
        <v>4705980842</v>
      </c>
      <c r="J113" s="1432"/>
      <c r="K113" s="810">
        <v>527</v>
      </c>
      <c r="L113" s="1420">
        <v>5977792466</v>
      </c>
      <c r="M113" s="1420"/>
      <c r="N113" s="804">
        <v>710</v>
      </c>
      <c r="O113" s="1420">
        <v>7277075647</v>
      </c>
      <c r="P113" s="1420"/>
      <c r="Q113" s="804"/>
      <c r="R113" s="1462"/>
      <c r="S113" s="1463"/>
      <c r="T113" s="110"/>
      <c r="U113" s="1457"/>
      <c r="V113" s="1464"/>
      <c r="W113" s="122"/>
      <c r="X113" s="1457"/>
      <c r="Y113" s="1458"/>
      <c r="Z113" s="55"/>
      <c r="AA113" s="1457"/>
      <c r="AB113" s="1464"/>
      <c r="AC113" s="534"/>
      <c r="AD113" s="1457"/>
      <c r="AE113" s="1458"/>
      <c r="AF113" s="557"/>
      <c r="AG113" s="1432"/>
      <c r="AH113" s="1432"/>
      <c r="AI113" s="557"/>
      <c r="AJ113" s="1432"/>
      <c r="AK113" s="1432"/>
    </row>
    <row r="114" spans="1:52" ht="14.5" customHeight="1">
      <c r="A114" s="482">
        <v>5</v>
      </c>
      <c r="B114" s="537"/>
      <c r="C114" s="1433"/>
      <c r="D114" s="1434"/>
      <c r="E114" s="537"/>
      <c r="F114" s="1433"/>
      <c r="G114" s="1582"/>
      <c r="H114" s="521"/>
      <c r="I114" s="1582"/>
      <c r="J114" s="1434"/>
      <c r="K114" s="776"/>
      <c r="L114" s="1421"/>
      <c r="M114" s="1422"/>
      <c r="N114" s="778"/>
      <c r="O114" s="1466"/>
      <c r="P114" s="1467"/>
      <c r="Q114" s="449"/>
      <c r="R114" s="1462"/>
      <c r="S114" s="1463"/>
      <c r="T114" s="110"/>
      <c r="U114" s="1457"/>
      <c r="V114" s="1464"/>
      <c r="W114" s="110"/>
      <c r="X114" s="1457"/>
      <c r="Y114" s="1458"/>
      <c r="Z114" s="55"/>
      <c r="AA114" s="1457"/>
      <c r="AB114" s="1464"/>
      <c r="AC114" s="534"/>
      <c r="AD114" s="1457"/>
      <c r="AE114" s="1464"/>
      <c r="AF114" s="537"/>
      <c r="AG114" s="1433"/>
      <c r="AH114" s="1434"/>
      <c r="AI114" s="537"/>
      <c r="AJ114" s="1433"/>
      <c r="AK114" s="1434"/>
    </row>
    <row r="115" spans="1:52" s="500" customFormat="1" ht="14.5" customHeight="1">
      <c r="A115" s="483" t="s">
        <v>970</v>
      </c>
      <c r="B115" s="535">
        <f t="shared" ref="B115:E115" si="25">SUM(B110:B114)</f>
        <v>46995</v>
      </c>
      <c r="C115" s="1435">
        <f t="shared" si="25"/>
        <v>430917205354</v>
      </c>
      <c r="D115" s="1436">
        <f t="shared" si="25"/>
        <v>0</v>
      </c>
      <c r="E115" s="535">
        <f t="shared" si="25"/>
        <v>58580</v>
      </c>
      <c r="F115" s="1435">
        <f>SUM(F110:F114)</f>
        <v>531024933275</v>
      </c>
      <c r="G115" s="1436">
        <f t="shared" ref="G115" si="26">SUM(G110:G114)</f>
        <v>0</v>
      </c>
      <c r="H115" s="782">
        <f>SUM(H110:H114)</f>
        <v>67785</v>
      </c>
      <c r="I115" s="1423">
        <f t="shared" ref="I115:J115" si="27">SUM(I110:I114)</f>
        <v>617388935208</v>
      </c>
      <c r="J115" s="1419">
        <f t="shared" si="27"/>
        <v>0</v>
      </c>
      <c r="K115" s="782">
        <f>SUM(K110:K114)</f>
        <v>73076</v>
      </c>
      <c r="L115" s="1423">
        <f>SUM(L110:M114)</f>
        <v>641355826984</v>
      </c>
      <c r="M115" s="1419">
        <f>SUM(M110:M114)</f>
        <v>0</v>
      </c>
      <c r="N115" s="782">
        <f>SUM(N110:N114)</f>
        <v>82191</v>
      </c>
      <c r="O115" s="1423">
        <f>SUM(O110:P114)</f>
        <v>714122331087</v>
      </c>
      <c r="P115" s="1419">
        <f>SUM(P110:P114)</f>
        <v>0</v>
      </c>
      <c r="Q115" s="502">
        <f>SUM(Q110:Q114)</f>
        <v>0</v>
      </c>
      <c r="R115" s="1468">
        <f>SUM(R110:S114)</f>
        <v>0</v>
      </c>
      <c r="S115" s="1469"/>
      <c r="T115" s="123"/>
      <c r="U115" s="1435">
        <f>SUM(U110:V114)</f>
        <v>0</v>
      </c>
      <c r="V115" s="1436"/>
      <c r="W115" s="121">
        <f t="shared" ref="W115:AB115" si="28">SUM(W110:W114)</f>
        <v>0</v>
      </c>
      <c r="X115" s="1435">
        <f t="shared" si="28"/>
        <v>0</v>
      </c>
      <c r="Y115" s="1454">
        <f t="shared" si="28"/>
        <v>0</v>
      </c>
      <c r="Z115" s="59">
        <f t="shared" si="28"/>
        <v>0</v>
      </c>
      <c r="AA115" s="1435">
        <f t="shared" si="28"/>
        <v>0</v>
      </c>
      <c r="AB115" s="1436">
        <f t="shared" si="28"/>
        <v>0</v>
      </c>
      <c r="AC115" s="535">
        <f t="shared" ref="AC115:AH115" si="29">SUM(AC110:AC114)</f>
        <v>0</v>
      </c>
      <c r="AD115" s="1435">
        <f t="shared" si="29"/>
        <v>0</v>
      </c>
      <c r="AE115" s="1436">
        <f t="shared" si="29"/>
        <v>0</v>
      </c>
      <c r="AF115" s="535">
        <f t="shared" si="29"/>
        <v>0</v>
      </c>
      <c r="AG115" s="1435">
        <f t="shared" si="29"/>
        <v>0</v>
      </c>
      <c r="AH115" s="1436">
        <f t="shared" si="29"/>
        <v>0</v>
      </c>
      <c r="AI115" s="535">
        <f t="shared" ref="AI115:AK115" si="30">SUM(AI110:AI114)</f>
        <v>0</v>
      </c>
      <c r="AJ115" s="1435">
        <f>SUM(AJ110:AJ114)</f>
        <v>0</v>
      </c>
      <c r="AK115" s="1436">
        <f t="shared" si="30"/>
        <v>0</v>
      </c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spans="1:52">
      <c r="A116" s="337"/>
      <c r="B116" s="318"/>
      <c r="C116" s="318"/>
      <c r="D116" s="318"/>
      <c r="E116" s="318"/>
      <c r="F116" s="318"/>
      <c r="G116" s="318"/>
      <c r="H116" s="318"/>
      <c r="I116" s="318"/>
      <c r="J116" s="318"/>
      <c r="K116" s="318"/>
      <c r="L116" s="318"/>
      <c r="M116" s="318"/>
      <c r="N116" s="802">
        <v>83213</v>
      </c>
      <c r="O116" s="802"/>
      <c r="P116" s="802">
        <v>725569836722</v>
      </c>
      <c r="Q116" s="318"/>
      <c r="R116" s="318"/>
      <c r="S116" s="318"/>
      <c r="T116" s="318"/>
      <c r="U116" s="318"/>
      <c r="V116" s="318"/>
      <c r="W116" s="318"/>
      <c r="X116" s="318"/>
      <c r="Y116" s="318"/>
    </row>
    <row r="117" spans="1:52">
      <c r="A117" s="337"/>
      <c r="B117" s="318"/>
      <c r="C117" s="318"/>
      <c r="D117" s="318"/>
      <c r="E117" s="318"/>
      <c r="F117" s="318"/>
      <c r="G117" s="318"/>
      <c r="H117" s="318"/>
      <c r="I117" s="318"/>
      <c r="J117" s="318"/>
      <c r="K117" s="318"/>
      <c r="L117" s="318"/>
      <c r="M117" s="318"/>
      <c r="N117" s="318"/>
      <c r="O117" s="318"/>
      <c r="P117" s="318"/>
      <c r="Q117" s="318"/>
      <c r="R117" s="318"/>
      <c r="S117" s="318"/>
      <c r="T117" s="318"/>
      <c r="U117" s="318"/>
      <c r="V117" s="318"/>
      <c r="W117" s="318"/>
      <c r="X117" s="318"/>
      <c r="Y117" s="318"/>
    </row>
    <row r="118" spans="1:52" ht="14.5" customHeight="1">
      <c r="A118" s="1482" t="s">
        <v>984</v>
      </c>
      <c r="B118" s="1484" t="s">
        <v>956</v>
      </c>
      <c r="C118" s="1484"/>
      <c r="D118" s="1484"/>
      <c r="E118" s="1484" t="s">
        <v>957</v>
      </c>
      <c r="F118" s="1484"/>
      <c r="G118" s="1484"/>
      <c r="H118" s="1430" t="s">
        <v>958</v>
      </c>
      <c r="I118" s="1430"/>
      <c r="J118" s="1430"/>
      <c r="K118" s="1430" t="s">
        <v>959</v>
      </c>
      <c r="L118" s="1430"/>
      <c r="M118" s="1430"/>
      <c r="N118" s="1430" t="s">
        <v>960</v>
      </c>
      <c r="O118" s="1430"/>
      <c r="P118" s="1430"/>
      <c r="Q118" s="1430" t="s">
        <v>961</v>
      </c>
      <c r="R118" s="1430"/>
      <c r="S118" s="1430"/>
      <c r="T118" s="1430" t="s">
        <v>962</v>
      </c>
      <c r="U118" s="1430"/>
      <c r="V118" s="1430"/>
      <c r="W118" s="1430" t="s">
        <v>963</v>
      </c>
      <c r="X118" s="1430"/>
      <c r="Y118" s="1430"/>
      <c r="Z118" s="1430" t="s">
        <v>964</v>
      </c>
      <c r="AA118" s="1430"/>
      <c r="AB118" s="1430"/>
      <c r="AC118" s="1430" t="s">
        <v>965</v>
      </c>
      <c r="AD118" s="1430"/>
      <c r="AE118" s="1430"/>
      <c r="AF118" s="1430" t="s">
        <v>966</v>
      </c>
      <c r="AG118" s="1430"/>
      <c r="AH118" s="1430"/>
      <c r="AI118" s="1430" t="s">
        <v>967</v>
      </c>
      <c r="AJ118" s="1430"/>
      <c r="AK118" s="1430"/>
      <c r="AL118" s="1430" t="s">
        <v>956</v>
      </c>
      <c r="AM118" s="1430"/>
      <c r="AN118" s="1430"/>
      <c r="AO118" s="1430" t="s">
        <v>957</v>
      </c>
      <c r="AP118" s="1430"/>
      <c r="AQ118" s="1430"/>
    </row>
    <row r="119" spans="1:52" ht="14.5" customHeight="1">
      <c r="A119" s="1483"/>
      <c r="B119" s="509" t="s">
        <v>968</v>
      </c>
      <c r="C119" s="509" t="s">
        <v>972</v>
      </c>
      <c r="D119" s="509" t="s">
        <v>969</v>
      </c>
      <c r="E119" s="509" t="s">
        <v>968</v>
      </c>
      <c r="F119" s="509" t="s">
        <v>972</v>
      </c>
      <c r="G119" s="509" t="s">
        <v>969</v>
      </c>
      <c r="H119" s="327" t="s">
        <v>968</v>
      </c>
      <c r="I119" s="327" t="s">
        <v>972</v>
      </c>
      <c r="J119" s="327" t="s">
        <v>969</v>
      </c>
      <c r="K119" s="327" t="s">
        <v>968</v>
      </c>
      <c r="L119" s="327" t="s">
        <v>972</v>
      </c>
      <c r="M119" s="327" t="s">
        <v>969</v>
      </c>
      <c r="N119" s="327" t="s">
        <v>968</v>
      </c>
      <c r="O119" s="327" t="s">
        <v>972</v>
      </c>
      <c r="P119" s="327" t="s">
        <v>969</v>
      </c>
      <c r="Q119" s="327" t="s">
        <v>968</v>
      </c>
      <c r="R119" s="327" t="s">
        <v>972</v>
      </c>
      <c r="S119" s="327" t="s">
        <v>969</v>
      </c>
      <c r="T119" s="458" t="s">
        <v>968</v>
      </c>
      <c r="U119" s="458" t="s">
        <v>972</v>
      </c>
      <c r="V119" s="458" t="s">
        <v>969</v>
      </c>
      <c r="W119" s="458" t="s">
        <v>968</v>
      </c>
      <c r="X119" s="458" t="s">
        <v>972</v>
      </c>
      <c r="Y119" s="458" t="s">
        <v>969</v>
      </c>
      <c r="Z119" s="509" t="s">
        <v>968</v>
      </c>
      <c r="AA119" s="509" t="s">
        <v>972</v>
      </c>
      <c r="AB119" s="509" t="s">
        <v>969</v>
      </c>
      <c r="AC119" s="509" t="s">
        <v>968</v>
      </c>
      <c r="AD119" s="509" t="s">
        <v>972</v>
      </c>
      <c r="AE119" s="509" t="s">
        <v>969</v>
      </c>
      <c r="AF119" s="509" t="s">
        <v>968</v>
      </c>
      <c r="AG119" s="509" t="s">
        <v>972</v>
      </c>
      <c r="AH119" s="509" t="s">
        <v>969</v>
      </c>
      <c r="AI119" s="509" t="s">
        <v>968</v>
      </c>
      <c r="AJ119" s="509" t="s">
        <v>972</v>
      </c>
      <c r="AK119" s="509" t="s">
        <v>969</v>
      </c>
    </row>
    <row r="120" spans="1:52" ht="14.5" customHeight="1">
      <c r="A120" s="482">
        <v>1</v>
      </c>
      <c r="B120" s="64">
        <v>42477</v>
      </c>
      <c r="C120" s="64">
        <v>672380307</v>
      </c>
      <c r="D120" s="64">
        <v>386936023401</v>
      </c>
      <c r="E120" s="521">
        <v>51355</v>
      </c>
      <c r="F120" s="521">
        <v>747604140</v>
      </c>
      <c r="G120" s="330">
        <v>464021770394</v>
      </c>
      <c r="H120" s="529">
        <v>59223</v>
      </c>
      <c r="I120" s="529">
        <v>780421652</v>
      </c>
      <c r="J120" s="804">
        <v>539310178715</v>
      </c>
      <c r="K120" s="804">
        <v>62405</v>
      </c>
      <c r="L120" s="449">
        <v>292016187</v>
      </c>
      <c r="M120" s="449">
        <v>547618540479</v>
      </c>
      <c r="N120" s="446"/>
      <c r="O120" s="446"/>
      <c r="P120" s="446"/>
      <c r="Q120" s="449"/>
      <c r="R120" s="449"/>
      <c r="S120" s="449"/>
      <c r="T120" s="459"/>
      <c r="U120" s="459"/>
      <c r="V120" s="459"/>
      <c r="W120" s="449"/>
      <c r="X120" s="449"/>
      <c r="Y120" s="449"/>
      <c r="Z120" s="64"/>
      <c r="AA120" s="64"/>
      <c r="AB120" s="64"/>
      <c r="AC120" s="55"/>
      <c r="AD120" s="64"/>
      <c r="AE120" s="64"/>
      <c r="AF120" s="64"/>
      <c r="AG120" s="64"/>
      <c r="AH120" s="64"/>
      <c r="AI120" s="521"/>
      <c r="AJ120" s="521"/>
      <c r="AK120" s="64"/>
    </row>
    <row r="121" spans="1:52" ht="14.5" customHeight="1">
      <c r="A121" s="482">
        <v>2</v>
      </c>
      <c r="B121" s="64">
        <v>3425</v>
      </c>
      <c r="C121" s="64">
        <v>661219787</v>
      </c>
      <c r="D121" s="64">
        <v>31830476723</v>
      </c>
      <c r="E121" s="521">
        <v>5047</v>
      </c>
      <c r="F121" s="521">
        <v>1293180984</v>
      </c>
      <c r="G121" s="330">
        <v>44414757656</v>
      </c>
      <c r="H121" s="529">
        <v>5701</v>
      </c>
      <c r="I121" s="529">
        <v>637513763</v>
      </c>
      <c r="J121" s="804">
        <v>49095219563</v>
      </c>
      <c r="K121" s="449">
        <v>7042</v>
      </c>
      <c r="L121" s="449">
        <v>1122874783</v>
      </c>
      <c r="M121" s="449">
        <v>58891942010</v>
      </c>
      <c r="N121" s="446"/>
      <c r="O121" s="446"/>
      <c r="P121" s="446"/>
      <c r="Q121" s="449"/>
      <c r="R121" s="449"/>
      <c r="S121" s="449"/>
      <c r="T121" s="459"/>
      <c r="U121" s="459"/>
      <c r="V121" s="459"/>
      <c r="W121" s="449"/>
      <c r="X121" s="449"/>
      <c r="Y121" s="449"/>
      <c r="Z121" s="64"/>
      <c r="AA121" s="64"/>
      <c r="AB121" s="64"/>
      <c r="AC121" s="55"/>
      <c r="AD121" s="64"/>
      <c r="AE121" s="64"/>
      <c r="AF121" s="64"/>
      <c r="AG121" s="64"/>
      <c r="AH121" s="64"/>
      <c r="AI121" s="521"/>
      <c r="AJ121" s="521"/>
      <c r="AK121" s="64"/>
    </row>
    <row r="122" spans="1:52" ht="14.5" customHeight="1">
      <c r="A122" s="482">
        <v>3</v>
      </c>
      <c r="B122" s="64">
        <v>1074</v>
      </c>
      <c r="C122" s="64">
        <v>1066617449</v>
      </c>
      <c r="D122" s="64">
        <v>11960946535</v>
      </c>
      <c r="E122" s="521">
        <v>2060</v>
      </c>
      <c r="F122" s="521">
        <v>1530942997</v>
      </c>
      <c r="G122" s="330">
        <v>21324096982</v>
      </c>
      <c r="H122" s="529">
        <v>2366</v>
      </c>
      <c r="I122" s="529">
        <v>1006630248</v>
      </c>
      <c r="J122" s="804">
        <v>23563773353</v>
      </c>
      <c r="K122" s="449">
        <v>2967</v>
      </c>
      <c r="L122" s="449">
        <v>1579245421</v>
      </c>
      <c r="M122" s="449">
        <v>27551251844</v>
      </c>
      <c r="N122" s="446"/>
      <c r="O122" s="446"/>
      <c r="P122" s="446"/>
      <c r="Q122" s="449"/>
      <c r="R122" s="449"/>
      <c r="S122" s="449"/>
      <c r="T122" s="459"/>
      <c r="U122" s="459"/>
      <c r="V122" s="459"/>
      <c r="W122" s="449"/>
      <c r="X122" s="449"/>
      <c r="Y122" s="449"/>
      <c r="Z122" s="64"/>
      <c r="AA122" s="64"/>
      <c r="AB122" s="64"/>
      <c r="AC122" s="55"/>
      <c r="AD122" s="64"/>
      <c r="AE122" s="64"/>
      <c r="AF122" s="64"/>
      <c r="AG122" s="64"/>
      <c r="AH122" s="64"/>
      <c r="AI122" s="521"/>
      <c r="AJ122" s="521"/>
      <c r="AK122" s="64"/>
    </row>
    <row r="123" spans="1:52" ht="14.5" customHeight="1">
      <c r="A123" s="482">
        <v>4</v>
      </c>
      <c r="B123" s="64">
        <v>9</v>
      </c>
      <c r="C123" s="64">
        <v>6305678</v>
      </c>
      <c r="D123" s="64">
        <v>76469588</v>
      </c>
      <c r="E123" s="521">
        <v>89</v>
      </c>
      <c r="F123" s="521">
        <v>295503476</v>
      </c>
      <c r="G123" s="330">
        <v>930305441</v>
      </c>
      <c r="H123" s="529">
        <v>49</v>
      </c>
      <c r="I123" s="529">
        <v>10396460</v>
      </c>
      <c r="J123" s="804">
        <v>505446403</v>
      </c>
      <c r="K123" s="449">
        <v>41</v>
      </c>
      <c r="L123" s="449">
        <v>80832008</v>
      </c>
      <c r="M123" s="449">
        <v>325975263</v>
      </c>
      <c r="N123" s="446"/>
      <c r="O123" s="446"/>
      <c r="P123" s="446"/>
      <c r="Q123" s="449"/>
      <c r="R123" s="449"/>
      <c r="S123" s="449"/>
      <c r="T123" s="459"/>
      <c r="U123" s="459"/>
      <c r="V123" s="459"/>
      <c r="W123" s="449"/>
      <c r="X123" s="449"/>
      <c r="Y123" s="449"/>
      <c r="Z123" s="64"/>
      <c r="AA123" s="64"/>
      <c r="AB123" s="64"/>
      <c r="AC123" s="55"/>
      <c r="AD123" s="64"/>
      <c r="AE123" s="64"/>
      <c r="AF123" s="64"/>
      <c r="AG123" s="64"/>
      <c r="AH123" s="64"/>
      <c r="AI123" s="521"/>
      <c r="AJ123" s="521"/>
      <c r="AK123" s="64"/>
    </row>
    <row r="124" spans="1:52" ht="14.5" customHeight="1">
      <c r="A124" s="482">
        <v>5</v>
      </c>
      <c r="B124" s="64">
        <v>10</v>
      </c>
      <c r="C124" s="64">
        <v>27764685</v>
      </c>
      <c r="D124" s="64">
        <v>113289107</v>
      </c>
      <c r="E124" s="521">
        <v>24</v>
      </c>
      <c r="F124" s="521">
        <v>192921258</v>
      </c>
      <c r="G124" s="330">
        <v>269347440</v>
      </c>
      <c r="H124" s="529">
        <v>446</v>
      </c>
      <c r="I124" s="529">
        <v>3686706689</v>
      </c>
      <c r="J124" s="804">
        <v>4914317174</v>
      </c>
      <c r="K124" s="449">
        <v>620</v>
      </c>
      <c r="L124" s="449">
        <v>5223687486</v>
      </c>
      <c r="M124" s="449">
        <v>6968117388</v>
      </c>
      <c r="N124" s="446"/>
      <c r="O124" s="446"/>
      <c r="P124" s="446"/>
      <c r="Q124" s="449"/>
      <c r="R124" s="449"/>
      <c r="S124" s="449"/>
      <c r="T124" s="459"/>
      <c r="U124" s="459"/>
      <c r="V124" s="459"/>
      <c r="W124" s="449"/>
      <c r="X124" s="449"/>
      <c r="Y124" s="449"/>
      <c r="Z124" s="64"/>
      <c r="AA124" s="64"/>
      <c r="AB124" s="64"/>
      <c r="AC124" s="55"/>
      <c r="AD124" s="64"/>
      <c r="AE124" s="64"/>
      <c r="AF124" s="64"/>
      <c r="AG124" s="64"/>
      <c r="AH124" s="64"/>
      <c r="AI124" s="521"/>
      <c r="AJ124" s="521"/>
      <c r="AK124" s="64"/>
    </row>
    <row r="125" spans="1:52" ht="14.5" customHeight="1">
      <c r="A125" s="483" t="s">
        <v>970</v>
      </c>
      <c r="B125" s="460">
        <f t="shared" ref="B125" si="31">SUM(B120:B124)</f>
        <v>46995</v>
      </c>
      <c r="C125" s="460">
        <f>SUM(C120:C124)+C126</f>
        <v>2334835528</v>
      </c>
      <c r="D125" s="460">
        <f>SUM(D120:D124)</f>
        <v>430917205354</v>
      </c>
      <c r="E125" s="460">
        <f t="shared" ref="E125" si="32">SUM(E120:E124)</f>
        <v>58575</v>
      </c>
      <c r="F125" s="460">
        <f>SUM(F120:F124)+F126</f>
        <v>3898629235</v>
      </c>
      <c r="G125" s="775">
        <f>SUM(G120:G124)</f>
        <v>530960277913</v>
      </c>
      <c r="H125" s="297">
        <f t="shared" ref="H125:M125" si="33">SUM(H120:H124)+H126</f>
        <v>67785</v>
      </c>
      <c r="I125" s="297">
        <f t="shared" si="33"/>
        <v>5901595062</v>
      </c>
      <c r="J125" s="777">
        <f t="shared" si="33"/>
        <v>617388935208</v>
      </c>
      <c r="K125" s="777">
        <f t="shared" si="33"/>
        <v>73075</v>
      </c>
      <c r="L125" s="777">
        <f t="shared" si="33"/>
        <v>8079410479</v>
      </c>
      <c r="M125" s="777">
        <f t="shared" si="33"/>
        <v>641355826984</v>
      </c>
      <c r="N125" s="446"/>
      <c r="O125" s="446"/>
      <c r="P125" s="446"/>
      <c r="Q125" s="446">
        <f t="shared" ref="Q125:AE125" si="34">SUM(Q120:Q124)</f>
        <v>0</v>
      </c>
      <c r="R125" s="446">
        <f t="shared" si="34"/>
        <v>0</v>
      </c>
      <c r="S125" s="446">
        <f t="shared" si="34"/>
        <v>0</v>
      </c>
      <c r="T125" s="446">
        <f t="shared" si="34"/>
        <v>0</v>
      </c>
      <c r="U125" s="446">
        <f t="shared" si="34"/>
        <v>0</v>
      </c>
      <c r="V125" s="460">
        <f t="shared" si="34"/>
        <v>0</v>
      </c>
      <c r="W125" s="460">
        <f t="shared" si="34"/>
        <v>0</v>
      </c>
      <c r="X125" s="460">
        <f>SUM(X120:X124)+X126</f>
        <v>0</v>
      </c>
      <c r="Y125" s="460">
        <f t="shared" si="34"/>
        <v>0</v>
      </c>
      <c r="Z125" s="510">
        <f t="shared" si="34"/>
        <v>0</v>
      </c>
      <c r="AA125" s="460">
        <f>SUM(AA120:AA124)+AA126</f>
        <v>0</v>
      </c>
      <c r="AB125" s="510">
        <f t="shared" si="34"/>
        <v>0</v>
      </c>
      <c r="AC125" s="460">
        <f t="shared" si="34"/>
        <v>0</v>
      </c>
      <c r="AD125" s="460">
        <f>SUM(AD120:AD124)+AD126</f>
        <v>0</v>
      </c>
      <c r="AE125" s="460">
        <f t="shared" si="34"/>
        <v>0</v>
      </c>
      <c r="AF125" s="460">
        <f t="shared" ref="AF125" si="35">SUM(AF120:AF124)</f>
        <v>0</v>
      </c>
      <c r="AG125" s="460">
        <f>SUM(AG120:AG124)+AG126</f>
        <v>0</v>
      </c>
      <c r="AH125" s="460">
        <f>SUM(AH120:AH124)</f>
        <v>0</v>
      </c>
      <c r="AI125" s="460">
        <f t="shared" ref="AI125" si="36">SUM(AI120:AI124)</f>
        <v>0</v>
      </c>
      <c r="AJ125" s="460">
        <f>SUM(AJ120:AJ124)+AJ126</f>
        <v>0</v>
      </c>
      <c r="AK125" s="460">
        <f>SUM(AK120:AK124)</f>
        <v>0</v>
      </c>
    </row>
    <row r="126" spans="1:52" ht="14.5" customHeight="1">
      <c r="A126" s="337"/>
      <c r="C126">
        <v>-99452378</v>
      </c>
      <c r="F126">
        <v>-161523620</v>
      </c>
      <c r="H126" s="318"/>
      <c r="I126" s="318">
        <v>-220073750</v>
      </c>
      <c r="J126" s="318"/>
      <c r="K126" s="318"/>
      <c r="L126" s="318">
        <v>-219245406</v>
      </c>
      <c r="M126" s="318"/>
      <c r="N126" s="318"/>
      <c r="O126" s="318"/>
      <c r="P126" s="318"/>
      <c r="Q126" s="318"/>
      <c r="R126" s="318"/>
      <c r="S126" s="318"/>
      <c r="T126" s="318"/>
      <c r="U126" s="318"/>
      <c r="V126" s="318"/>
      <c r="W126" s="318"/>
      <c r="X126" s="318"/>
      <c r="Y126" s="318"/>
    </row>
    <row r="127" spans="1:52">
      <c r="A127" s="337"/>
      <c r="B127" s="318"/>
      <c r="C127" s="318"/>
      <c r="D127" s="318"/>
      <c r="E127" s="318"/>
      <c r="F127" s="318"/>
      <c r="G127" s="318"/>
      <c r="H127" s="318"/>
      <c r="I127" s="318"/>
      <c r="J127" s="318"/>
      <c r="K127" s="318"/>
      <c r="L127" s="318"/>
      <c r="M127" s="318"/>
      <c r="N127" s="318"/>
      <c r="O127" s="318"/>
      <c r="P127" s="318"/>
      <c r="Q127" s="318"/>
      <c r="R127" s="318"/>
      <c r="S127" s="318"/>
      <c r="T127" s="318"/>
      <c r="U127" s="318"/>
      <c r="V127" s="318"/>
      <c r="W127" s="318"/>
      <c r="X127" s="318"/>
      <c r="Y127" s="318"/>
    </row>
    <row r="128" spans="1:52" ht="14.5" customHeight="1">
      <c r="A128" s="1486" t="s">
        <v>985</v>
      </c>
      <c r="B128" s="1459" t="s">
        <v>956</v>
      </c>
      <c r="C128" s="1460"/>
      <c r="D128" s="1461"/>
      <c r="E128" s="1459" t="s">
        <v>957</v>
      </c>
      <c r="F128" s="1460"/>
      <c r="G128" s="1461"/>
      <c r="H128" s="1440" t="s">
        <v>958</v>
      </c>
      <c r="I128" s="1440"/>
      <c r="J128" s="1440"/>
      <c r="K128" s="1440" t="s">
        <v>959</v>
      </c>
      <c r="L128" s="1440"/>
      <c r="M128" s="1440"/>
      <c r="N128" s="1440" t="s">
        <v>960</v>
      </c>
      <c r="O128" s="1440"/>
      <c r="P128" s="1440"/>
      <c r="Q128" s="1440" t="s">
        <v>961</v>
      </c>
      <c r="R128" s="1440"/>
      <c r="S128" s="1440"/>
      <c r="T128" s="1440" t="s">
        <v>962</v>
      </c>
      <c r="U128" s="1440"/>
      <c r="V128" s="1440"/>
      <c r="W128" s="1440" t="s">
        <v>963</v>
      </c>
      <c r="X128" s="1440"/>
      <c r="Y128" s="1440"/>
      <c r="Z128" s="1440" t="s">
        <v>964</v>
      </c>
      <c r="AA128" s="1440"/>
      <c r="AB128" s="1440"/>
      <c r="AC128" s="1440" t="s">
        <v>965</v>
      </c>
      <c r="AD128" s="1440"/>
      <c r="AE128" s="1440"/>
      <c r="AF128" s="1440" t="s">
        <v>966</v>
      </c>
      <c r="AG128" s="1440"/>
      <c r="AH128" s="1440"/>
      <c r="AI128" s="1440" t="s">
        <v>967</v>
      </c>
      <c r="AJ128" s="1440"/>
      <c r="AK128" s="1440"/>
      <c r="AL128" s="1440" t="s">
        <v>956</v>
      </c>
      <c r="AM128" s="1440"/>
      <c r="AN128" s="1440"/>
      <c r="AO128" s="1440" t="s">
        <v>957</v>
      </c>
      <c r="AP128" s="1440"/>
      <c r="AQ128" s="1440"/>
    </row>
    <row r="129" spans="1:52" ht="14.5" customHeight="1">
      <c r="A129" s="1487"/>
      <c r="B129" s="143" t="s">
        <v>968</v>
      </c>
      <c r="C129" s="1428" t="s">
        <v>969</v>
      </c>
      <c r="D129" s="1429"/>
      <c r="E129" s="143" t="s">
        <v>968</v>
      </c>
      <c r="F129" s="1428" t="s">
        <v>969</v>
      </c>
      <c r="G129" s="1429"/>
      <c r="H129" s="323" t="s">
        <v>968</v>
      </c>
      <c r="I129" s="1488" t="s">
        <v>969</v>
      </c>
      <c r="J129" s="1488"/>
      <c r="K129" s="323" t="s">
        <v>968</v>
      </c>
      <c r="L129" s="1488" t="s">
        <v>969</v>
      </c>
      <c r="M129" s="1488"/>
      <c r="N129" s="323" t="s">
        <v>968</v>
      </c>
      <c r="O129" s="1488" t="s">
        <v>969</v>
      </c>
      <c r="P129" s="1488"/>
      <c r="Q129" s="312" t="s">
        <v>968</v>
      </c>
      <c r="R129" s="1440" t="s">
        <v>969</v>
      </c>
      <c r="S129" s="1440"/>
      <c r="T129" s="108" t="s">
        <v>968</v>
      </c>
      <c r="U129" s="1455" t="s">
        <v>969</v>
      </c>
      <c r="V129" s="1456"/>
      <c r="W129" s="108" t="s">
        <v>968</v>
      </c>
      <c r="X129" s="1455" t="s">
        <v>969</v>
      </c>
      <c r="Y129" s="1456"/>
      <c r="Z129" s="108" t="s">
        <v>968</v>
      </c>
      <c r="AA129" s="1455" t="s">
        <v>969</v>
      </c>
      <c r="AB129" s="1456"/>
      <c r="AC129" s="108" t="s">
        <v>968</v>
      </c>
      <c r="AD129" s="1455" t="s">
        <v>969</v>
      </c>
      <c r="AE129" s="1456"/>
      <c r="AF129" s="143" t="s">
        <v>968</v>
      </c>
      <c r="AG129" s="1428" t="s">
        <v>969</v>
      </c>
      <c r="AH129" s="1429"/>
      <c r="AI129" s="143" t="s">
        <v>968</v>
      </c>
      <c r="AJ129" s="1428" t="s">
        <v>969</v>
      </c>
      <c r="AK129" s="1429"/>
    </row>
    <row r="130" spans="1:52" ht="14.5" customHeight="1">
      <c r="A130" s="482">
        <v>1</v>
      </c>
      <c r="B130" s="529"/>
      <c r="C130" s="1535"/>
      <c r="D130" s="1535"/>
      <c r="E130" s="554"/>
      <c r="F130" s="1431"/>
      <c r="G130" s="1431"/>
      <c r="H130" s="554">
        <v>2731</v>
      </c>
      <c r="I130" s="1431">
        <v>34943539247</v>
      </c>
      <c r="J130" s="1431"/>
      <c r="K130" s="449">
        <v>3569</v>
      </c>
      <c r="L130" s="1416">
        <v>43875663441</v>
      </c>
      <c r="M130" s="1424"/>
      <c r="N130" s="521">
        <v>5139</v>
      </c>
      <c r="O130" s="1424">
        <v>61776751413</v>
      </c>
      <c r="P130" s="1417"/>
      <c r="Q130" s="449"/>
      <c r="R130" s="1462"/>
      <c r="S130" s="1463"/>
      <c r="T130" s="122"/>
      <c r="U130" s="1457"/>
      <c r="V130" s="1464"/>
      <c r="W130" s="144"/>
      <c r="X130" s="1457"/>
      <c r="Y130" s="1458"/>
      <c r="Z130" s="55"/>
      <c r="AA130" s="1457"/>
      <c r="AB130" s="1464"/>
      <c r="AC130" s="529"/>
      <c r="AD130" s="1445"/>
      <c r="AE130" s="1504"/>
      <c r="AF130" s="529"/>
      <c r="AG130" s="1535"/>
      <c r="AH130" s="1535"/>
      <c r="AI130" s="554"/>
      <c r="AJ130" s="1431"/>
      <c r="AK130" s="1431"/>
    </row>
    <row r="131" spans="1:52" ht="14.5" customHeight="1">
      <c r="A131" s="482">
        <v>2</v>
      </c>
      <c r="B131" s="529"/>
      <c r="C131" s="1535"/>
      <c r="D131" s="1535"/>
      <c r="E131" s="554"/>
      <c r="F131" s="1431"/>
      <c r="G131" s="1431"/>
      <c r="H131" s="554">
        <v>111</v>
      </c>
      <c r="I131" s="1431">
        <v>1423730392</v>
      </c>
      <c r="J131" s="1431"/>
      <c r="K131" s="449">
        <v>169</v>
      </c>
      <c r="L131" s="1416">
        <v>2109121125</v>
      </c>
      <c r="M131" s="1424"/>
      <c r="N131" s="521">
        <v>262</v>
      </c>
      <c r="O131" s="1424">
        <v>3158041536</v>
      </c>
      <c r="P131" s="1417"/>
      <c r="Q131" s="449"/>
      <c r="R131" s="1462"/>
      <c r="S131" s="1463"/>
      <c r="T131" s="110"/>
      <c r="U131" s="1457"/>
      <c r="V131" s="1464"/>
      <c r="W131" s="145"/>
      <c r="X131" s="1457"/>
      <c r="Y131" s="1458"/>
      <c r="Z131" s="55"/>
      <c r="AA131" s="1457"/>
      <c r="AB131" s="1464"/>
      <c r="AC131" s="529"/>
      <c r="AD131" s="1445"/>
      <c r="AE131" s="1504"/>
      <c r="AF131" s="529"/>
      <c r="AG131" s="1535"/>
      <c r="AH131" s="1535"/>
      <c r="AI131" s="554"/>
      <c r="AJ131" s="1431"/>
      <c r="AK131" s="1431"/>
    </row>
    <row r="132" spans="1:52" ht="14.5" customHeight="1">
      <c r="A132" s="482">
        <v>3</v>
      </c>
      <c r="B132" s="529"/>
      <c r="C132" s="1535"/>
      <c r="D132" s="1535"/>
      <c r="E132" s="554"/>
      <c r="F132" s="1431"/>
      <c r="G132" s="1431"/>
      <c r="H132" s="554"/>
      <c r="I132" s="1431"/>
      <c r="J132" s="1431"/>
      <c r="K132" s="449">
        <v>7</v>
      </c>
      <c r="L132" s="1416">
        <v>82327743</v>
      </c>
      <c r="M132" s="1424"/>
      <c r="N132" s="521">
        <v>37</v>
      </c>
      <c r="O132" s="1424">
        <v>455344816</v>
      </c>
      <c r="P132" s="1417"/>
      <c r="Q132" s="449"/>
      <c r="R132" s="1462"/>
      <c r="S132" s="1463"/>
      <c r="T132" s="110"/>
      <c r="U132" s="1457"/>
      <c r="V132" s="1464"/>
      <c r="W132" s="122"/>
      <c r="X132" s="1457"/>
      <c r="Y132" s="1458"/>
      <c r="Z132" s="55"/>
      <c r="AA132" s="1457"/>
      <c r="AB132" s="1464"/>
      <c r="AC132" s="529"/>
      <c r="AD132" s="1445"/>
      <c r="AE132" s="1504"/>
      <c r="AF132" s="529"/>
      <c r="AG132" s="1535"/>
      <c r="AH132" s="1535"/>
      <c r="AI132" s="554"/>
      <c r="AJ132" s="1431"/>
      <c r="AK132" s="1431"/>
    </row>
    <row r="133" spans="1:52" ht="14.5" customHeight="1">
      <c r="A133" s="482">
        <v>4</v>
      </c>
      <c r="B133" s="557"/>
      <c r="C133" s="1432"/>
      <c r="D133" s="1432"/>
      <c r="E133" s="557"/>
      <c r="F133" s="1432"/>
      <c r="G133" s="1432"/>
      <c r="H133" s="557"/>
      <c r="I133" s="1432"/>
      <c r="J133" s="1432"/>
      <c r="K133" s="449"/>
      <c r="L133" s="1416"/>
      <c r="M133" s="1417"/>
      <c r="N133" s="778"/>
      <c r="O133" s="1585"/>
      <c r="P133" s="1586"/>
      <c r="Q133" s="449"/>
      <c r="R133" s="1462"/>
      <c r="S133" s="1463"/>
      <c r="T133" s="110"/>
      <c r="U133" s="1457"/>
      <c r="V133" s="1464"/>
      <c r="W133" s="122"/>
      <c r="X133" s="1457"/>
      <c r="Y133" s="1458"/>
      <c r="Z133" s="55"/>
      <c r="AA133" s="1457"/>
      <c r="AB133" s="1464"/>
      <c r="AC133" s="534"/>
      <c r="AD133" s="1457"/>
      <c r="AE133" s="1458"/>
      <c r="AF133" s="557"/>
      <c r="AG133" s="1432"/>
      <c r="AH133" s="1432"/>
      <c r="AI133" s="557"/>
      <c r="AJ133" s="1432"/>
      <c r="AK133" s="1432"/>
    </row>
    <row r="134" spans="1:52" ht="14.5" customHeight="1">
      <c r="A134" s="482">
        <v>5</v>
      </c>
      <c r="B134" s="537"/>
      <c r="C134" s="1433"/>
      <c r="D134" s="1434"/>
      <c r="E134" s="537"/>
      <c r="F134" s="1433"/>
      <c r="G134" s="1434"/>
      <c r="H134" s="537"/>
      <c r="I134" s="1433"/>
      <c r="J134" s="1434"/>
      <c r="K134" s="446"/>
      <c r="L134" s="1425"/>
      <c r="M134" s="1426"/>
      <c r="N134" s="446"/>
      <c r="O134" s="1585"/>
      <c r="P134" s="1586"/>
      <c r="Q134" s="449"/>
      <c r="R134" s="1462"/>
      <c r="S134" s="1463"/>
      <c r="T134" s="110"/>
      <c r="U134" s="1457"/>
      <c r="V134" s="1464"/>
      <c r="W134" s="110"/>
      <c r="X134" s="1457"/>
      <c r="Y134" s="1458"/>
      <c r="Z134" s="55"/>
      <c r="AA134" s="1457"/>
      <c r="AB134" s="1464"/>
      <c r="AC134" s="534"/>
      <c r="AD134" s="1457"/>
      <c r="AE134" s="1464"/>
      <c r="AF134" s="537"/>
      <c r="AG134" s="1433"/>
      <c r="AH134" s="1434"/>
      <c r="AI134" s="537"/>
      <c r="AJ134" s="1433"/>
      <c r="AK134" s="1434"/>
    </row>
    <row r="135" spans="1:52" s="500" customFormat="1" ht="14.5" customHeight="1">
      <c r="A135" s="483" t="s">
        <v>970</v>
      </c>
      <c r="B135" s="535">
        <f t="shared" ref="B135:E135" si="37">SUM(B130:B134)</f>
        <v>0</v>
      </c>
      <c r="C135" s="1435">
        <f t="shared" si="37"/>
        <v>0</v>
      </c>
      <c r="D135" s="1436">
        <f t="shared" si="37"/>
        <v>0</v>
      </c>
      <c r="E135" s="535">
        <f t="shared" si="37"/>
        <v>0</v>
      </c>
      <c r="F135" s="1435">
        <f>SUM(F130:F134)</f>
        <v>0</v>
      </c>
      <c r="G135" s="1436">
        <f t="shared" ref="G135" si="38">SUM(G130:G134)</f>
        <v>0</v>
      </c>
      <c r="H135" s="502">
        <f>SUM(H130:H134)</f>
        <v>2842</v>
      </c>
      <c r="I135" s="1418">
        <f t="shared" ref="I135:J135" si="39">SUM(I130:I134)</f>
        <v>36367269639</v>
      </c>
      <c r="J135" s="1423">
        <f t="shared" si="39"/>
        <v>0</v>
      </c>
      <c r="K135" s="811">
        <f>SUM(K130:K134)</f>
        <v>3745</v>
      </c>
      <c r="L135" s="1427">
        <f>SUM(L130:M134)</f>
        <v>46067112309</v>
      </c>
      <c r="M135" s="1427"/>
      <c r="N135" s="806">
        <f>SUM(N130:N134)</f>
        <v>5438</v>
      </c>
      <c r="O135" s="1427">
        <f>SUM(O130:P134)</f>
        <v>65390137765</v>
      </c>
      <c r="P135" s="1427"/>
      <c r="Q135" s="502">
        <f>SUM(Q130:Q134)</f>
        <v>0</v>
      </c>
      <c r="R135" s="1468">
        <f>SUM(R130:S134)</f>
        <v>0</v>
      </c>
      <c r="S135" s="1469"/>
      <c r="T135" s="123"/>
      <c r="U135" s="1435">
        <f>SUM(U130:V134)</f>
        <v>0</v>
      </c>
      <c r="V135" s="1436"/>
      <c r="W135" s="121">
        <f t="shared" ref="W135:AI135" si="40">SUM(W130:W134)</f>
        <v>0</v>
      </c>
      <c r="X135" s="1435">
        <f t="shared" si="40"/>
        <v>0</v>
      </c>
      <c r="Y135" s="1454">
        <f t="shared" si="40"/>
        <v>0</v>
      </c>
      <c r="Z135" s="59">
        <f t="shared" si="40"/>
        <v>0</v>
      </c>
      <c r="AA135" s="1435">
        <f t="shared" si="40"/>
        <v>0</v>
      </c>
      <c r="AB135" s="1436">
        <f t="shared" si="40"/>
        <v>0</v>
      </c>
      <c r="AC135" s="535">
        <f t="shared" si="40"/>
        <v>0</v>
      </c>
      <c r="AD135" s="1435">
        <f t="shared" si="40"/>
        <v>0</v>
      </c>
      <c r="AE135" s="1436">
        <f t="shared" si="40"/>
        <v>0</v>
      </c>
      <c r="AF135" s="535">
        <f t="shared" si="40"/>
        <v>0</v>
      </c>
      <c r="AG135" s="1435">
        <f t="shared" si="40"/>
        <v>0</v>
      </c>
      <c r="AH135" s="1436">
        <f t="shared" si="40"/>
        <v>0</v>
      </c>
      <c r="AI135" s="535">
        <f t="shared" si="40"/>
        <v>0</v>
      </c>
      <c r="AJ135" s="1435">
        <f>SUM(AJ130:AJ134)</f>
        <v>0</v>
      </c>
      <c r="AK135" s="1436">
        <f t="shared" ref="AK135" si="41">SUM(AK130:AK134)</f>
        <v>0</v>
      </c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spans="1:52">
      <c r="A136" s="337"/>
      <c r="B136" s="318"/>
      <c r="C136" s="318"/>
      <c r="D136" s="318"/>
      <c r="E136" s="318"/>
      <c r="F136" s="318"/>
      <c r="G136" s="318"/>
      <c r="H136" s="318"/>
      <c r="I136" s="318"/>
      <c r="J136" s="318"/>
      <c r="K136" s="318"/>
      <c r="L136" s="318"/>
      <c r="M136" s="318"/>
      <c r="N136" s="318"/>
      <c r="O136" s="318"/>
      <c r="P136" s="318"/>
      <c r="Q136" s="318"/>
      <c r="R136" s="318"/>
      <c r="S136" s="318"/>
      <c r="T136" s="318"/>
      <c r="U136" s="318"/>
      <c r="V136" s="318"/>
      <c r="W136" s="318"/>
      <c r="X136" s="318"/>
      <c r="Y136" s="318"/>
    </row>
    <row r="137" spans="1:52">
      <c r="A137" s="337"/>
      <c r="B137" s="318"/>
      <c r="C137" s="318"/>
      <c r="D137" s="318"/>
      <c r="E137" s="318"/>
      <c r="F137" s="318"/>
      <c r="G137" s="318"/>
      <c r="H137" s="318"/>
      <c r="I137" s="318"/>
      <c r="J137" s="318"/>
      <c r="K137" s="318"/>
      <c r="L137" s="318"/>
      <c r="M137" s="318"/>
      <c r="N137" s="318"/>
      <c r="O137" s="318"/>
      <c r="P137" s="318"/>
      <c r="Q137" s="318"/>
      <c r="R137" s="318"/>
      <c r="S137" s="318"/>
      <c r="T137" s="318"/>
      <c r="U137" s="318"/>
      <c r="V137" s="318"/>
      <c r="W137" s="318"/>
      <c r="X137" s="318"/>
      <c r="Y137" s="318"/>
    </row>
    <row r="138" spans="1:52" ht="14.5" customHeight="1">
      <c r="A138" s="1482" t="s">
        <v>986</v>
      </c>
      <c r="B138" s="1484" t="s">
        <v>956</v>
      </c>
      <c r="C138" s="1484"/>
      <c r="D138" s="1484"/>
      <c r="E138" s="1484" t="s">
        <v>957</v>
      </c>
      <c r="F138" s="1484"/>
      <c r="G138" s="1484"/>
      <c r="H138" s="1430" t="s">
        <v>958</v>
      </c>
      <c r="I138" s="1430"/>
      <c r="J138" s="1430"/>
      <c r="K138" s="1430" t="s">
        <v>959</v>
      </c>
      <c r="L138" s="1430"/>
      <c r="M138" s="1430"/>
      <c r="N138" s="1430" t="s">
        <v>960</v>
      </c>
      <c r="O138" s="1430"/>
      <c r="P138" s="1430"/>
      <c r="Q138" s="1430" t="s">
        <v>961</v>
      </c>
      <c r="R138" s="1430"/>
      <c r="S138" s="1430"/>
      <c r="T138" s="1430" t="s">
        <v>962</v>
      </c>
      <c r="U138" s="1430"/>
      <c r="V138" s="1430"/>
      <c r="W138" s="1430" t="s">
        <v>963</v>
      </c>
      <c r="X138" s="1430"/>
      <c r="Y138" s="1430"/>
      <c r="Z138" s="1430" t="s">
        <v>964</v>
      </c>
      <c r="AA138" s="1430"/>
      <c r="AB138" s="1430"/>
      <c r="AC138" s="1430" t="s">
        <v>965</v>
      </c>
      <c r="AD138" s="1430"/>
      <c r="AE138" s="1430"/>
      <c r="AF138" s="1430" t="s">
        <v>966</v>
      </c>
      <c r="AG138" s="1430"/>
      <c r="AH138" s="1430"/>
      <c r="AI138" s="1430" t="s">
        <v>967</v>
      </c>
      <c r="AJ138" s="1430"/>
      <c r="AK138" s="1430"/>
      <c r="AL138" s="1430" t="s">
        <v>956</v>
      </c>
      <c r="AM138" s="1430"/>
      <c r="AN138" s="1430"/>
      <c r="AO138" s="1430" t="s">
        <v>957</v>
      </c>
      <c r="AP138" s="1430"/>
      <c r="AQ138" s="1430"/>
    </row>
    <row r="139" spans="1:52" ht="14.5" customHeight="1">
      <c r="A139" s="1483"/>
      <c r="B139" s="509" t="s">
        <v>968</v>
      </c>
      <c r="C139" s="509" t="s">
        <v>972</v>
      </c>
      <c r="D139" s="509" t="s">
        <v>969</v>
      </c>
      <c r="E139" s="509" t="s">
        <v>968</v>
      </c>
      <c r="F139" s="509" t="s">
        <v>972</v>
      </c>
      <c r="G139" s="509" t="s">
        <v>969</v>
      </c>
      <c r="H139" s="327" t="s">
        <v>968</v>
      </c>
      <c r="I139" s="327" t="s">
        <v>972</v>
      </c>
      <c r="J139" s="327" t="s">
        <v>969</v>
      </c>
      <c r="K139" s="327" t="s">
        <v>968</v>
      </c>
      <c r="L139" s="327" t="s">
        <v>972</v>
      </c>
      <c r="M139" s="327" t="s">
        <v>969</v>
      </c>
      <c r="N139" s="327" t="s">
        <v>968</v>
      </c>
      <c r="O139" s="327" t="s">
        <v>972</v>
      </c>
      <c r="P139" s="327" t="s">
        <v>969</v>
      </c>
      <c r="Q139" s="327" t="s">
        <v>968</v>
      </c>
      <c r="R139" s="327" t="s">
        <v>972</v>
      </c>
      <c r="S139" s="327" t="s">
        <v>969</v>
      </c>
      <c r="T139" s="458" t="s">
        <v>968</v>
      </c>
      <c r="U139" s="458" t="s">
        <v>972</v>
      </c>
      <c r="V139" s="458" t="s">
        <v>969</v>
      </c>
      <c r="W139" s="458" t="s">
        <v>968</v>
      </c>
      <c r="X139" s="458" t="s">
        <v>972</v>
      </c>
      <c r="Y139" s="458" t="s">
        <v>969</v>
      </c>
      <c r="Z139" s="509" t="s">
        <v>968</v>
      </c>
      <c r="AA139" s="509" t="s">
        <v>972</v>
      </c>
      <c r="AB139" s="509" t="s">
        <v>969</v>
      </c>
      <c r="AC139" s="509" t="s">
        <v>968</v>
      </c>
      <c r="AD139" s="509" t="s">
        <v>972</v>
      </c>
      <c r="AE139" s="509" t="s">
        <v>969</v>
      </c>
      <c r="AF139" s="509" t="s">
        <v>968</v>
      </c>
      <c r="AG139" s="509" t="s">
        <v>972</v>
      </c>
      <c r="AH139" s="509" t="s">
        <v>969</v>
      </c>
      <c r="AI139" s="509" t="s">
        <v>968</v>
      </c>
      <c r="AJ139" s="509" t="s">
        <v>972</v>
      </c>
      <c r="AK139" s="509" t="s">
        <v>969</v>
      </c>
    </row>
    <row r="140" spans="1:52" ht="14.5" customHeight="1">
      <c r="A140" s="482">
        <v>1</v>
      </c>
      <c r="B140" s="64"/>
      <c r="C140" s="64"/>
      <c r="D140" s="64"/>
      <c r="E140" s="521"/>
      <c r="F140" s="521"/>
      <c r="G140" s="330"/>
      <c r="H140" s="529">
        <v>2700</v>
      </c>
      <c r="I140" s="529">
        <v>112938589</v>
      </c>
      <c r="J140" s="776">
        <v>34587335543</v>
      </c>
      <c r="K140" s="449">
        <v>3492</v>
      </c>
      <c r="L140" s="449">
        <v>62826277</v>
      </c>
      <c r="M140" s="446">
        <v>43046207650</v>
      </c>
      <c r="N140" s="446"/>
      <c r="O140" s="446"/>
      <c r="P140" s="446"/>
      <c r="Q140" s="449"/>
      <c r="R140" s="449"/>
      <c r="S140" s="449"/>
      <c r="T140" s="459"/>
      <c r="U140" s="459"/>
      <c r="V140" s="459"/>
      <c r="W140" s="449"/>
      <c r="X140" s="449"/>
      <c r="Y140" s="449"/>
      <c r="Z140" s="64"/>
      <c r="AA140" s="64"/>
      <c r="AB140" s="64"/>
      <c r="AC140" s="55"/>
      <c r="AD140" s="64"/>
      <c r="AE140" s="64"/>
      <c r="AF140" s="64"/>
      <c r="AG140" s="64"/>
      <c r="AH140" s="64"/>
      <c r="AI140" s="521"/>
      <c r="AJ140" s="521"/>
      <c r="AK140" s="64"/>
    </row>
    <row r="141" spans="1:52" ht="14.5" customHeight="1">
      <c r="A141" s="482">
        <v>2</v>
      </c>
      <c r="B141" s="64"/>
      <c r="C141" s="64"/>
      <c r="D141" s="64"/>
      <c r="E141" s="521"/>
      <c r="F141" s="521"/>
      <c r="G141" s="330"/>
      <c r="H141" s="529">
        <v>140</v>
      </c>
      <c r="I141" s="529">
        <v>44830044</v>
      </c>
      <c r="J141" s="776">
        <v>1754962083</v>
      </c>
      <c r="K141" s="449">
        <v>245</v>
      </c>
      <c r="L141" s="449">
        <v>66797392</v>
      </c>
      <c r="M141" s="446">
        <v>2924999635</v>
      </c>
      <c r="N141" s="446"/>
      <c r="O141" s="446"/>
      <c r="P141" s="446"/>
      <c r="Q141" s="449"/>
      <c r="R141" s="449"/>
      <c r="S141" s="449"/>
      <c r="T141" s="459"/>
      <c r="U141" s="459"/>
      <c r="V141" s="459"/>
      <c r="W141" s="449"/>
      <c r="X141" s="449"/>
      <c r="Y141" s="449"/>
      <c r="Z141" s="64"/>
      <c r="AA141" s="64"/>
      <c r="AB141" s="64"/>
      <c r="AC141" s="55"/>
      <c r="AD141" s="64"/>
      <c r="AE141" s="64"/>
      <c r="AF141" s="64"/>
      <c r="AG141" s="64"/>
      <c r="AH141" s="64"/>
      <c r="AI141" s="521"/>
      <c r="AJ141" s="521"/>
      <c r="AK141" s="64"/>
    </row>
    <row r="142" spans="1:52" ht="14.5" customHeight="1">
      <c r="A142" s="482">
        <v>3</v>
      </c>
      <c r="B142" s="64"/>
      <c r="C142" s="64"/>
      <c r="D142" s="64"/>
      <c r="E142" s="521"/>
      <c r="F142" s="521"/>
      <c r="G142" s="330"/>
      <c r="H142" s="529"/>
      <c r="I142" s="529"/>
      <c r="J142" s="776"/>
      <c r="K142" s="449">
        <v>7</v>
      </c>
      <c r="L142" s="449">
        <v>12349162</v>
      </c>
      <c r="M142" s="446">
        <v>82327743</v>
      </c>
      <c r="N142" s="446"/>
      <c r="O142" s="446"/>
      <c r="P142" s="446"/>
      <c r="Q142" s="449"/>
      <c r="R142" s="449"/>
      <c r="S142" s="449"/>
      <c r="T142" s="459"/>
      <c r="U142" s="459"/>
      <c r="V142" s="459"/>
      <c r="W142" s="449"/>
      <c r="X142" s="449"/>
      <c r="Y142" s="449"/>
      <c r="Z142" s="64"/>
      <c r="AA142" s="64"/>
      <c r="AB142" s="64"/>
      <c r="AC142" s="55"/>
      <c r="AD142" s="64"/>
      <c r="AE142" s="64"/>
      <c r="AF142" s="64"/>
      <c r="AG142" s="64"/>
      <c r="AH142" s="64"/>
      <c r="AI142" s="521"/>
      <c r="AJ142" s="521"/>
      <c r="AK142" s="64"/>
    </row>
    <row r="143" spans="1:52" ht="14.5" customHeight="1">
      <c r="A143" s="482">
        <v>4</v>
      </c>
      <c r="B143" s="64"/>
      <c r="C143" s="64"/>
      <c r="D143" s="64"/>
      <c r="E143" s="521"/>
      <c r="F143" s="521"/>
      <c r="G143" s="330"/>
      <c r="H143" s="529"/>
      <c r="I143" s="529"/>
      <c r="J143" s="776"/>
      <c r="K143" s="792"/>
      <c r="L143" s="792"/>
      <c r="M143" s="792"/>
      <c r="N143" s="446"/>
      <c r="O143" s="446"/>
      <c r="P143" s="446"/>
      <c r="Q143" s="449"/>
      <c r="R143" s="449"/>
      <c r="S143" s="449"/>
      <c r="T143" s="459"/>
      <c r="U143" s="459"/>
      <c r="V143" s="459"/>
      <c r="W143" s="449"/>
      <c r="X143" s="449"/>
      <c r="Y143" s="449"/>
      <c r="Z143" s="64"/>
      <c r="AA143" s="64"/>
      <c r="AB143" s="64"/>
      <c r="AC143" s="55"/>
      <c r="AD143" s="64"/>
      <c r="AE143" s="64"/>
      <c r="AF143" s="64"/>
      <c r="AG143" s="64"/>
      <c r="AH143" s="64"/>
      <c r="AI143" s="521"/>
      <c r="AJ143" s="521"/>
      <c r="AK143" s="64"/>
    </row>
    <row r="144" spans="1:52" ht="14.5" customHeight="1">
      <c r="A144" s="482">
        <v>5</v>
      </c>
      <c r="B144" s="64"/>
      <c r="C144" s="64"/>
      <c r="D144" s="64"/>
      <c r="E144" s="521"/>
      <c r="F144" s="521"/>
      <c r="G144" s="330"/>
      <c r="H144" s="529">
        <v>2</v>
      </c>
      <c r="I144" s="529">
        <v>-1699233</v>
      </c>
      <c r="J144" s="776">
        <v>24972013</v>
      </c>
      <c r="K144" s="449">
        <v>1</v>
      </c>
      <c r="L144" s="449">
        <v>-1220894</v>
      </c>
      <c r="M144" s="446">
        <v>13577281</v>
      </c>
      <c r="N144" s="446"/>
      <c r="O144" s="446"/>
      <c r="P144" s="446"/>
      <c r="Q144" s="449"/>
      <c r="R144" s="449"/>
      <c r="S144" s="449"/>
      <c r="T144" s="459"/>
      <c r="U144" s="459"/>
      <c r="V144" s="459"/>
      <c r="W144" s="449"/>
      <c r="X144" s="449"/>
      <c r="Y144" s="449"/>
      <c r="Z144" s="64"/>
      <c r="AA144" s="64"/>
      <c r="AB144" s="64"/>
      <c r="AC144" s="55"/>
      <c r="AD144" s="64"/>
      <c r="AE144" s="64"/>
      <c r="AF144" s="64"/>
      <c r="AG144" s="64"/>
      <c r="AH144" s="64"/>
      <c r="AI144" s="521"/>
      <c r="AJ144" s="521"/>
      <c r="AK144" s="64"/>
    </row>
    <row r="145" spans="1:52" ht="14.5" customHeight="1">
      <c r="A145" s="483" t="s">
        <v>970</v>
      </c>
      <c r="B145" s="460">
        <f t="shared" ref="B145" si="42">SUM(B140:B144)</f>
        <v>0</v>
      </c>
      <c r="C145" s="460">
        <f>SUM(C140:C144)+C146</f>
        <v>0</v>
      </c>
      <c r="D145" s="460">
        <f>SUM(D140:D144)</f>
        <v>0</v>
      </c>
      <c r="E145" s="460">
        <f t="shared" ref="E145" si="43">SUM(E140:E144)</f>
        <v>0</v>
      </c>
      <c r="F145" s="460">
        <f>SUM(F140:F144)+F146</f>
        <v>0</v>
      </c>
      <c r="G145" s="460">
        <f>SUM(G140:G144)</f>
        <v>0</v>
      </c>
      <c r="H145" s="446">
        <f>SUM(H140:H144)</f>
        <v>2842</v>
      </c>
      <c r="I145" s="446">
        <f>SUM(I140:I144)+I146</f>
        <v>154876285</v>
      </c>
      <c r="J145" s="446">
        <f>SUM(J140:J144)</f>
        <v>36367269639</v>
      </c>
      <c r="K145" s="446">
        <f>SUM(K140:K144)+K146</f>
        <v>3745</v>
      </c>
      <c r="L145" s="446">
        <f>SUM(L140:L144)+L146</f>
        <v>136406939</v>
      </c>
      <c r="M145" s="446">
        <f>SUM(M140:M144)+M146</f>
        <v>46067112309</v>
      </c>
      <c r="N145" s="446"/>
      <c r="O145" s="446"/>
      <c r="P145" s="446"/>
      <c r="Q145" s="446">
        <f t="shared" ref="Q145:W145" si="44">SUM(Q140:Q144)</f>
        <v>0</v>
      </c>
      <c r="R145" s="446">
        <f t="shared" si="44"/>
        <v>0</v>
      </c>
      <c r="S145" s="446">
        <f t="shared" si="44"/>
        <v>0</v>
      </c>
      <c r="T145" s="446">
        <f t="shared" si="44"/>
        <v>0</v>
      </c>
      <c r="U145" s="446">
        <f t="shared" si="44"/>
        <v>0</v>
      </c>
      <c r="V145" s="460">
        <f t="shared" si="44"/>
        <v>0</v>
      </c>
      <c r="W145" s="460">
        <f t="shared" si="44"/>
        <v>0</v>
      </c>
      <c r="X145" s="460">
        <f>SUM(X140:X144)+X146</f>
        <v>0</v>
      </c>
      <c r="Y145" s="460">
        <f t="shared" ref="Y145:Z145" si="45">SUM(Y140:Y144)</f>
        <v>0</v>
      </c>
      <c r="Z145" s="510">
        <f t="shared" si="45"/>
        <v>0</v>
      </c>
      <c r="AA145" s="460">
        <f>SUM(AA140:AA144)+AA146</f>
        <v>0</v>
      </c>
      <c r="AB145" s="510">
        <f t="shared" ref="AB145:AC145" si="46">SUM(AB140:AB144)</f>
        <v>0</v>
      </c>
      <c r="AC145" s="460">
        <f t="shared" si="46"/>
        <v>0</v>
      </c>
      <c r="AD145" s="460">
        <f>SUM(AD140:AD144)+AD146</f>
        <v>0</v>
      </c>
      <c r="AE145" s="460">
        <f t="shared" ref="AE145:AF145" si="47">SUM(AE140:AE144)</f>
        <v>0</v>
      </c>
      <c r="AF145" s="460">
        <f t="shared" si="47"/>
        <v>0</v>
      </c>
      <c r="AG145" s="460">
        <f>SUM(AG140:AG144)+AG146</f>
        <v>0</v>
      </c>
      <c r="AH145" s="460">
        <f>SUM(AH140:AH144)</f>
        <v>0</v>
      </c>
      <c r="AI145" s="460">
        <f t="shared" ref="AI145" si="48">SUM(AI140:AI144)</f>
        <v>0</v>
      </c>
      <c r="AJ145" s="460">
        <f>SUM(AJ140:AJ144)+AJ146</f>
        <v>0</v>
      </c>
      <c r="AK145" s="460">
        <f>SUM(AK140:AK144)</f>
        <v>0</v>
      </c>
    </row>
    <row r="146" spans="1:52" ht="14.5" customHeight="1">
      <c r="A146" s="337"/>
      <c r="H146" s="318"/>
      <c r="I146" s="318">
        <v>-1193115</v>
      </c>
      <c r="J146" s="318"/>
      <c r="K146" s="318"/>
      <c r="L146" s="318">
        <v>-4344998</v>
      </c>
      <c r="M146" s="318"/>
      <c r="N146" s="318"/>
      <c r="O146" s="318"/>
      <c r="P146" s="318"/>
      <c r="Q146" s="318"/>
      <c r="R146" s="318"/>
      <c r="S146" s="318"/>
      <c r="T146" s="318"/>
      <c r="U146" s="318"/>
      <c r="V146" s="318"/>
      <c r="W146" s="318"/>
      <c r="X146" s="318"/>
      <c r="Y146" s="318"/>
    </row>
    <row r="147" spans="1:52" ht="14.5" customHeight="1">
      <c r="A147" s="337"/>
      <c r="H147" s="318"/>
      <c r="I147" s="318"/>
      <c r="J147" s="318"/>
      <c r="K147" s="318"/>
      <c r="L147" s="318"/>
      <c r="M147" s="318"/>
      <c r="N147" s="318"/>
      <c r="O147" s="318"/>
      <c r="P147" s="318"/>
      <c r="Q147" s="318"/>
      <c r="R147" s="318"/>
      <c r="S147" s="318"/>
      <c r="T147" s="318"/>
      <c r="U147" s="318"/>
      <c r="V147" s="318"/>
      <c r="W147" s="318"/>
      <c r="X147" s="318"/>
      <c r="Y147" s="318"/>
    </row>
    <row r="148" spans="1:52" ht="14.5" customHeight="1">
      <c r="A148" s="337"/>
      <c r="H148" s="318"/>
      <c r="I148" s="318"/>
      <c r="J148" s="318"/>
      <c r="K148" s="318"/>
      <c r="L148" s="318"/>
      <c r="M148" s="318"/>
      <c r="N148" s="318"/>
      <c r="O148" s="318"/>
      <c r="P148" s="318"/>
      <c r="Q148" s="318"/>
      <c r="R148" s="318"/>
      <c r="S148" s="318"/>
      <c r="T148" s="318"/>
      <c r="U148" s="318"/>
      <c r="V148" s="318"/>
      <c r="W148" s="318"/>
      <c r="X148" s="318"/>
      <c r="Y148" s="318"/>
    </row>
    <row r="149" spans="1:52" ht="14.5" customHeight="1">
      <c r="A149" s="1486" t="s">
        <v>987</v>
      </c>
      <c r="B149" s="1459" t="s">
        <v>956</v>
      </c>
      <c r="C149" s="1460"/>
      <c r="D149" s="1461"/>
      <c r="E149" s="1459" t="s">
        <v>957</v>
      </c>
      <c r="F149" s="1460"/>
      <c r="G149" s="1461"/>
      <c r="H149" s="1440" t="s">
        <v>958</v>
      </c>
      <c r="I149" s="1440"/>
      <c r="J149" s="1440"/>
      <c r="K149" s="1440" t="s">
        <v>959</v>
      </c>
      <c r="L149" s="1440"/>
      <c r="M149" s="1440"/>
      <c r="N149" s="1440" t="s">
        <v>960</v>
      </c>
      <c r="O149" s="1440"/>
      <c r="P149" s="1440"/>
      <c r="Q149" s="1440" t="s">
        <v>961</v>
      </c>
      <c r="R149" s="1440"/>
      <c r="S149" s="1440"/>
      <c r="T149" s="1440" t="s">
        <v>962</v>
      </c>
      <c r="U149" s="1440"/>
      <c r="V149" s="1440"/>
      <c r="W149" s="1440" t="s">
        <v>963</v>
      </c>
      <c r="X149" s="1440"/>
      <c r="Y149" s="1440"/>
      <c r="Z149" s="1440" t="s">
        <v>964</v>
      </c>
      <c r="AA149" s="1440"/>
      <c r="AB149" s="1440"/>
      <c r="AC149" s="1440" t="s">
        <v>965</v>
      </c>
      <c r="AD149" s="1440"/>
      <c r="AE149" s="1440"/>
      <c r="AF149" s="1440" t="s">
        <v>966</v>
      </c>
      <c r="AG149" s="1440"/>
      <c r="AH149" s="1440"/>
      <c r="AI149" s="1440" t="s">
        <v>967</v>
      </c>
      <c r="AJ149" s="1440"/>
      <c r="AK149" s="1440"/>
      <c r="AL149" s="1440" t="s">
        <v>956</v>
      </c>
      <c r="AM149" s="1440"/>
      <c r="AN149" s="1440"/>
      <c r="AO149" s="1440" t="s">
        <v>957</v>
      </c>
      <c r="AP149" s="1440"/>
      <c r="AQ149" s="1440"/>
    </row>
    <row r="150" spans="1:52" ht="14.5" customHeight="1">
      <c r="A150" s="1487"/>
      <c r="B150" s="143" t="s">
        <v>968</v>
      </c>
      <c r="C150" s="1428" t="s">
        <v>969</v>
      </c>
      <c r="D150" s="1429"/>
      <c r="E150" s="143" t="s">
        <v>968</v>
      </c>
      <c r="F150" s="1428" t="s">
        <v>969</v>
      </c>
      <c r="G150" s="1429"/>
      <c r="H150" s="323" t="s">
        <v>968</v>
      </c>
      <c r="I150" s="1488" t="s">
        <v>969</v>
      </c>
      <c r="J150" s="1488"/>
      <c r="K150" s="323" t="s">
        <v>968</v>
      </c>
      <c r="L150" s="1488" t="s">
        <v>969</v>
      </c>
      <c r="M150" s="1488"/>
      <c r="N150" s="323" t="s">
        <v>968</v>
      </c>
      <c r="O150" s="1488" t="s">
        <v>969</v>
      </c>
      <c r="P150" s="1488"/>
      <c r="Q150" s="312" t="s">
        <v>968</v>
      </c>
      <c r="R150" s="1440" t="s">
        <v>969</v>
      </c>
      <c r="S150" s="1440"/>
      <c r="T150" s="108" t="s">
        <v>968</v>
      </c>
      <c r="U150" s="1455" t="s">
        <v>969</v>
      </c>
      <c r="V150" s="1456"/>
      <c r="W150" s="108" t="s">
        <v>968</v>
      </c>
      <c r="X150" s="1455" t="s">
        <v>969</v>
      </c>
      <c r="Y150" s="1456"/>
      <c r="Z150" s="108" t="s">
        <v>968</v>
      </c>
      <c r="AA150" s="1455" t="s">
        <v>969</v>
      </c>
      <c r="AB150" s="1456"/>
      <c r="AC150" s="108" t="s">
        <v>968</v>
      </c>
      <c r="AD150" s="1455" t="s">
        <v>969</v>
      </c>
      <c r="AE150" s="1456"/>
      <c r="AF150" s="143" t="s">
        <v>968</v>
      </c>
      <c r="AG150" s="1428" t="s">
        <v>969</v>
      </c>
      <c r="AH150" s="1429"/>
      <c r="AI150" s="143" t="s">
        <v>968</v>
      </c>
      <c r="AJ150" s="1428" t="s">
        <v>969</v>
      </c>
      <c r="AK150" s="1429"/>
    </row>
    <row r="151" spans="1:52" ht="14.5" customHeight="1">
      <c r="A151" s="482">
        <v>1</v>
      </c>
      <c r="B151" s="529"/>
      <c r="C151" s="1535"/>
      <c r="D151" s="1535"/>
      <c r="E151" s="554"/>
      <c r="F151" s="1431"/>
      <c r="G151" s="1431"/>
      <c r="H151" s="554">
        <v>1273</v>
      </c>
      <c r="I151" s="1431">
        <v>13388714616</v>
      </c>
      <c r="J151" s="1431"/>
      <c r="K151" s="449">
        <v>2092</v>
      </c>
      <c r="L151" s="1416">
        <v>21344973220</v>
      </c>
      <c r="M151" s="1424"/>
      <c r="N151" s="521">
        <v>3157</v>
      </c>
      <c r="O151" s="1424">
        <v>30978197404</v>
      </c>
      <c r="P151" s="1417"/>
      <c r="Q151" s="449"/>
      <c r="R151" s="1462"/>
      <c r="S151" s="1463"/>
      <c r="T151" s="122"/>
      <c r="U151" s="1457"/>
      <c r="V151" s="1464"/>
      <c r="W151" s="144"/>
      <c r="X151" s="1457"/>
      <c r="Y151" s="1458"/>
      <c r="Z151" s="55"/>
      <c r="AA151" s="1457"/>
      <c r="AB151" s="1464"/>
      <c r="AC151" s="529"/>
      <c r="AD151" s="1445"/>
      <c r="AE151" s="1504"/>
      <c r="AF151" s="529"/>
      <c r="AG151" s="1535"/>
      <c r="AH151" s="1535"/>
      <c r="AI151" s="554"/>
      <c r="AJ151" s="1431"/>
      <c r="AK151" s="1431"/>
    </row>
    <row r="152" spans="1:52" ht="14.5" customHeight="1">
      <c r="A152" s="482">
        <v>2</v>
      </c>
      <c r="B152" s="529"/>
      <c r="C152" s="1535"/>
      <c r="D152" s="1535"/>
      <c r="E152" s="554"/>
      <c r="F152" s="1431"/>
      <c r="G152" s="1431"/>
      <c r="H152" s="554">
        <v>9</v>
      </c>
      <c r="I152" s="1431">
        <v>80716305</v>
      </c>
      <c r="J152" s="1431"/>
      <c r="K152" s="449">
        <v>41</v>
      </c>
      <c r="L152" s="1416">
        <v>434118796</v>
      </c>
      <c r="M152" s="1424"/>
      <c r="N152" s="521">
        <v>95</v>
      </c>
      <c r="O152" s="1424">
        <v>980314120</v>
      </c>
      <c r="P152" s="1417"/>
      <c r="Q152" s="449"/>
      <c r="R152" s="1462"/>
      <c r="S152" s="1463"/>
      <c r="T152" s="110"/>
      <c r="U152" s="1457"/>
      <c r="V152" s="1464"/>
      <c r="W152" s="145"/>
      <c r="X152" s="1457"/>
      <c r="Y152" s="1458"/>
      <c r="Z152" s="55"/>
      <c r="AA152" s="1457"/>
      <c r="AB152" s="1464"/>
      <c r="AC152" s="529"/>
      <c r="AD152" s="1445"/>
      <c r="AE152" s="1504"/>
      <c r="AF152" s="529"/>
      <c r="AG152" s="1535"/>
      <c r="AH152" s="1535"/>
      <c r="AI152" s="554"/>
      <c r="AJ152" s="1431"/>
      <c r="AK152" s="1431"/>
    </row>
    <row r="153" spans="1:52" ht="14.5" customHeight="1">
      <c r="A153" s="482">
        <v>3</v>
      </c>
      <c r="B153" s="529"/>
      <c r="C153" s="1535"/>
      <c r="D153" s="1535"/>
      <c r="E153" s="554"/>
      <c r="F153" s="1431"/>
      <c r="G153" s="1431"/>
      <c r="H153" s="554"/>
      <c r="I153" s="1431"/>
      <c r="J153" s="1431"/>
      <c r="K153" s="449"/>
      <c r="L153" s="1416"/>
      <c r="M153" s="1417"/>
      <c r="N153" s="778"/>
      <c r="O153" s="1585"/>
      <c r="P153" s="1586"/>
      <c r="Q153" s="449"/>
      <c r="R153" s="1462"/>
      <c r="S153" s="1463"/>
      <c r="T153" s="110"/>
      <c r="U153" s="1457"/>
      <c r="V153" s="1464"/>
      <c r="W153" s="122"/>
      <c r="X153" s="1457"/>
      <c r="Y153" s="1458"/>
      <c r="Z153" s="55"/>
      <c r="AA153" s="1457"/>
      <c r="AB153" s="1464"/>
      <c r="AC153" s="529"/>
      <c r="AD153" s="1445"/>
      <c r="AE153" s="1504"/>
      <c r="AF153" s="529"/>
      <c r="AG153" s="1535"/>
      <c r="AH153" s="1535"/>
      <c r="AI153" s="554"/>
      <c r="AJ153" s="1431"/>
      <c r="AK153" s="1431"/>
    </row>
    <row r="154" spans="1:52" ht="14.5" customHeight="1">
      <c r="A154" s="482">
        <v>4</v>
      </c>
      <c r="B154" s="557"/>
      <c r="C154" s="1432"/>
      <c r="D154" s="1432"/>
      <c r="E154" s="557"/>
      <c r="F154" s="1432"/>
      <c r="G154" s="1432"/>
      <c r="H154" s="557"/>
      <c r="I154" s="1432"/>
      <c r="J154" s="1432"/>
      <c r="K154" s="449"/>
      <c r="L154" s="1416"/>
      <c r="M154" s="1417"/>
      <c r="N154" s="446"/>
      <c r="O154" s="1585"/>
      <c r="P154" s="1586"/>
      <c r="Q154" s="449"/>
      <c r="R154" s="1462"/>
      <c r="S154" s="1463"/>
      <c r="T154" s="110"/>
      <c r="U154" s="1457"/>
      <c r="V154" s="1464"/>
      <c r="W154" s="122"/>
      <c r="X154" s="1457"/>
      <c r="Y154" s="1458"/>
      <c r="Z154" s="55"/>
      <c r="AA154" s="1457"/>
      <c r="AB154" s="1464"/>
      <c r="AC154" s="534"/>
      <c r="AD154" s="1457"/>
      <c r="AE154" s="1458"/>
      <c r="AF154" s="557"/>
      <c r="AG154" s="1432"/>
      <c r="AH154" s="1432"/>
      <c r="AI154" s="557"/>
      <c r="AJ154" s="1432"/>
      <c r="AK154" s="1432"/>
    </row>
    <row r="155" spans="1:52" ht="14.5" customHeight="1">
      <c r="A155" s="482">
        <v>5</v>
      </c>
      <c r="B155" s="537"/>
      <c r="C155" s="1433"/>
      <c r="D155" s="1434"/>
      <c r="E155" s="537"/>
      <c r="F155" s="1433"/>
      <c r="G155" s="1434"/>
      <c r="H155" s="537"/>
      <c r="I155" s="1433"/>
      <c r="J155" s="1434"/>
      <c r="K155" s="449"/>
      <c r="L155" s="1416"/>
      <c r="M155" s="1417"/>
      <c r="N155" s="446"/>
      <c r="O155" s="1585"/>
      <c r="P155" s="1586"/>
      <c r="Q155" s="449"/>
      <c r="R155" s="1462"/>
      <c r="S155" s="1463"/>
      <c r="T155" s="110"/>
      <c r="U155" s="1457"/>
      <c r="V155" s="1464"/>
      <c r="W155" s="110"/>
      <c r="X155" s="1457"/>
      <c r="Y155" s="1458"/>
      <c r="Z155" s="55"/>
      <c r="AA155" s="1457"/>
      <c r="AB155" s="1464"/>
      <c r="AC155" s="534"/>
      <c r="AD155" s="1457"/>
      <c r="AE155" s="1464"/>
      <c r="AF155" s="537"/>
      <c r="AG155" s="1433"/>
      <c r="AH155" s="1434"/>
      <c r="AI155" s="537"/>
      <c r="AJ155" s="1433"/>
      <c r="AK155" s="1434"/>
    </row>
    <row r="156" spans="1:52" s="500" customFormat="1" ht="14.5" customHeight="1">
      <c r="A156" s="483" t="s">
        <v>970</v>
      </c>
      <c r="B156" s="535">
        <f t="shared" ref="B156:E156" si="49">SUM(B151:B155)</f>
        <v>0</v>
      </c>
      <c r="C156" s="1435">
        <f t="shared" si="49"/>
        <v>0</v>
      </c>
      <c r="D156" s="1436">
        <f t="shared" si="49"/>
        <v>0</v>
      </c>
      <c r="E156" s="535">
        <f t="shared" si="49"/>
        <v>0</v>
      </c>
      <c r="F156" s="1435">
        <f>SUM(F151:F155)</f>
        <v>0</v>
      </c>
      <c r="G156" s="1436">
        <f t="shared" ref="G156" si="50">SUM(G151:G155)</f>
        <v>0</v>
      </c>
      <c r="H156" s="535">
        <f>SUM(H151:H155)</f>
        <v>1282</v>
      </c>
      <c r="I156" s="1418">
        <f t="shared" ref="I156:J156" si="51">SUM(I151:I155)</f>
        <v>13469430921</v>
      </c>
      <c r="J156" s="1419">
        <f t="shared" si="51"/>
        <v>0</v>
      </c>
      <c r="K156" s="535">
        <f t="shared" ref="K156:Q156" si="52">SUM(K151:K155)</f>
        <v>2133</v>
      </c>
      <c r="L156" s="1418">
        <f t="shared" si="52"/>
        <v>21779092016</v>
      </c>
      <c r="M156" s="1419">
        <f t="shared" si="52"/>
        <v>0</v>
      </c>
      <c r="N156" s="535">
        <f t="shared" si="52"/>
        <v>3252</v>
      </c>
      <c r="O156" s="1418">
        <f t="shared" si="52"/>
        <v>31958511524</v>
      </c>
      <c r="P156" s="1419">
        <f t="shared" si="52"/>
        <v>0</v>
      </c>
      <c r="Q156" s="502">
        <f t="shared" si="52"/>
        <v>0</v>
      </c>
      <c r="R156" s="1468">
        <f>SUM(R151:S155)</f>
        <v>0</v>
      </c>
      <c r="S156" s="1469"/>
      <c r="T156" s="123"/>
      <c r="U156" s="1435">
        <f>SUM(U151:V155)</f>
        <v>0</v>
      </c>
      <c r="V156" s="1436"/>
      <c r="W156" s="121">
        <f t="shared" ref="W156:AI156" si="53">SUM(W151:W155)</f>
        <v>0</v>
      </c>
      <c r="X156" s="1435">
        <f t="shared" si="53"/>
        <v>0</v>
      </c>
      <c r="Y156" s="1454">
        <f t="shared" si="53"/>
        <v>0</v>
      </c>
      <c r="Z156" s="59">
        <f t="shared" si="53"/>
        <v>0</v>
      </c>
      <c r="AA156" s="1435">
        <f t="shared" si="53"/>
        <v>0</v>
      </c>
      <c r="AB156" s="1436">
        <f t="shared" si="53"/>
        <v>0</v>
      </c>
      <c r="AC156" s="535">
        <f t="shared" si="53"/>
        <v>0</v>
      </c>
      <c r="AD156" s="1435">
        <f t="shared" si="53"/>
        <v>0</v>
      </c>
      <c r="AE156" s="1436">
        <f t="shared" si="53"/>
        <v>0</v>
      </c>
      <c r="AF156" s="535">
        <f t="shared" si="53"/>
        <v>0</v>
      </c>
      <c r="AG156" s="1435">
        <f t="shared" si="53"/>
        <v>0</v>
      </c>
      <c r="AH156" s="1436">
        <f t="shared" si="53"/>
        <v>0</v>
      </c>
      <c r="AI156" s="535">
        <f t="shared" si="53"/>
        <v>0</v>
      </c>
      <c r="AJ156" s="1435">
        <f>SUM(AJ151:AJ155)</f>
        <v>0</v>
      </c>
      <c r="AK156" s="1436">
        <f t="shared" ref="AK156" si="54">SUM(AK151:AK155)</f>
        <v>0</v>
      </c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spans="1:52">
      <c r="A157" s="337"/>
      <c r="B157" s="318"/>
      <c r="C157" s="318"/>
      <c r="D157" s="318"/>
      <c r="E157" s="318"/>
      <c r="F157" s="318"/>
      <c r="G157" s="318"/>
      <c r="H157" s="318"/>
      <c r="I157" s="318"/>
      <c r="J157" s="318"/>
      <c r="K157" s="318"/>
      <c r="L157" s="318"/>
      <c r="M157" s="318"/>
      <c r="N157" s="318"/>
      <c r="O157" s="318"/>
      <c r="P157" s="318"/>
      <c r="Q157" s="318"/>
      <c r="R157" s="318"/>
      <c r="S157" s="318"/>
      <c r="T157" s="318"/>
      <c r="U157" s="318"/>
      <c r="V157" s="318"/>
      <c r="W157" s="318"/>
      <c r="X157" s="318"/>
      <c r="Y157" s="318"/>
    </row>
    <row r="158" spans="1:52">
      <c r="A158" s="337"/>
      <c r="B158" s="318"/>
      <c r="C158" s="318"/>
      <c r="D158" s="318"/>
      <c r="E158" s="318"/>
      <c r="F158" s="318"/>
      <c r="G158" s="318"/>
      <c r="H158" s="318"/>
      <c r="I158" s="318"/>
      <c r="J158" s="318"/>
      <c r="K158" s="318"/>
      <c r="L158" s="318"/>
      <c r="M158" s="318"/>
      <c r="N158" s="318"/>
      <c r="O158" s="318"/>
      <c r="P158" s="318"/>
      <c r="Q158" s="318"/>
      <c r="R158" s="318"/>
      <c r="S158" s="318"/>
      <c r="T158" s="318"/>
      <c r="U158" s="318"/>
      <c r="V158" s="318"/>
      <c r="W158" s="318"/>
      <c r="X158" s="318"/>
      <c r="Y158" s="318"/>
    </row>
    <row r="159" spans="1:52" ht="14.5" customHeight="1">
      <c r="A159" s="1482" t="s">
        <v>988</v>
      </c>
      <c r="B159" s="1484" t="s">
        <v>956</v>
      </c>
      <c r="C159" s="1484"/>
      <c r="D159" s="1484"/>
      <c r="E159" s="1484" t="s">
        <v>957</v>
      </c>
      <c r="F159" s="1484"/>
      <c r="G159" s="1484"/>
      <c r="H159" s="1430" t="s">
        <v>958</v>
      </c>
      <c r="I159" s="1430"/>
      <c r="J159" s="1430"/>
      <c r="K159" s="1430" t="s">
        <v>959</v>
      </c>
      <c r="L159" s="1430"/>
      <c r="M159" s="1430"/>
      <c r="N159" s="1430" t="s">
        <v>960</v>
      </c>
      <c r="O159" s="1430"/>
      <c r="P159" s="1430"/>
      <c r="Q159" s="1430" t="s">
        <v>961</v>
      </c>
      <c r="R159" s="1430"/>
      <c r="S159" s="1430"/>
      <c r="T159" s="1430" t="s">
        <v>962</v>
      </c>
      <c r="U159" s="1430"/>
      <c r="V159" s="1430"/>
      <c r="W159" s="1430" t="s">
        <v>963</v>
      </c>
      <c r="X159" s="1430"/>
      <c r="Y159" s="1430"/>
      <c r="Z159" s="1430" t="s">
        <v>964</v>
      </c>
      <c r="AA159" s="1430"/>
      <c r="AB159" s="1430"/>
      <c r="AC159" s="1430" t="s">
        <v>965</v>
      </c>
      <c r="AD159" s="1430"/>
      <c r="AE159" s="1430"/>
      <c r="AF159" s="1430" t="s">
        <v>966</v>
      </c>
      <c r="AG159" s="1430"/>
      <c r="AH159" s="1430"/>
      <c r="AI159" s="1430" t="s">
        <v>967</v>
      </c>
      <c r="AJ159" s="1430"/>
      <c r="AK159" s="1430"/>
      <c r="AL159" s="1430" t="s">
        <v>956</v>
      </c>
      <c r="AM159" s="1430"/>
      <c r="AN159" s="1430"/>
      <c r="AO159" s="1430" t="s">
        <v>957</v>
      </c>
      <c r="AP159" s="1430"/>
      <c r="AQ159" s="1430"/>
    </row>
    <row r="160" spans="1:52" ht="14.5" customHeight="1">
      <c r="A160" s="1483"/>
      <c r="B160" s="509" t="s">
        <v>968</v>
      </c>
      <c r="C160" s="509" t="s">
        <v>972</v>
      </c>
      <c r="D160" s="509" t="s">
        <v>969</v>
      </c>
      <c r="E160" s="509" t="s">
        <v>968</v>
      </c>
      <c r="F160" s="509" t="s">
        <v>972</v>
      </c>
      <c r="G160" s="509" t="s">
        <v>969</v>
      </c>
      <c r="H160" s="327" t="s">
        <v>968</v>
      </c>
      <c r="I160" s="327" t="s">
        <v>972</v>
      </c>
      <c r="J160" s="327" t="s">
        <v>969</v>
      </c>
      <c r="K160" s="327" t="s">
        <v>968</v>
      </c>
      <c r="L160" s="327" t="s">
        <v>972</v>
      </c>
      <c r="M160" s="327" t="s">
        <v>969</v>
      </c>
      <c r="N160" s="327" t="s">
        <v>968</v>
      </c>
      <c r="O160" s="327" t="s">
        <v>972</v>
      </c>
      <c r="P160" s="327" t="s">
        <v>969</v>
      </c>
      <c r="Q160" s="327" t="s">
        <v>968</v>
      </c>
      <c r="R160" s="327" t="s">
        <v>972</v>
      </c>
      <c r="S160" s="327" t="s">
        <v>969</v>
      </c>
      <c r="T160" s="458" t="s">
        <v>968</v>
      </c>
      <c r="U160" s="458" t="s">
        <v>972</v>
      </c>
      <c r="V160" s="458" t="s">
        <v>969</v>
      </c>
      <c r="W160" s="458" t="s">
        <v>968</v>
      </c>
      <c r="X160" s="458" t="s">
        <v>972</v>
      </c>
      <c r="Y160" s="458" t="s">
        <v>969</v>
      </c>
      <c r="Z160" s="509" t="s">
        <v>968</v>
      </c>
      <c r="AA160" s="509" t="s">
        <v>972</v>
      </c>
      <c r="AB160" s="509" t="s">
        <v>969</v>
      </c>
      <c r="AC160" s="509" t="s">
        <v>968</v>
      </c>
      <c r="AD160" s="509" t="s">
        <v>972</v>
      </c>
      <c r="AE160" s="509" t="s">
        <v>969</v>
      </c>
      <c r="AF160" s="509" t="s">
        <v>968</v>
      </c>
      <c r="AG160" s="509" t="s">
        <v>972</v>
      </c>
      <c r="AH160" s="509" t="s">
        <v>969</v>
      </c>
      <c r="AI160" s="509" t="s">
        <v>968</v>
      </c>
      <c r="AJ160" s="509" t="s">
        <v>972</v>
      </c>
      <c r="AK160" s="509" t="s">
        <v>969</v>
      </c>
    </row>
    <row r="161" spans="1:37" ht="14.5" customHeight="1">
      <c r="A161" s="482">
        <v>1</v>
      </c>
      <c r="B161" s="64"/>
      <c r="C161" s="64"/>
      <c r="D161" s="64"/>
      <c r="E161" s="521"/>
      <c r="F161" s="521"/>
      <c r="G161" s="330"/>
      <c r="H161" s="529">
        <v>1267</v>
      </c>
      <c r="I161" s="529">
        <v>75502454</v>
      </c>
      <c r="J161" s="529">
        <v>13324802173</v>
      </c>
      <c r="K161" s="804">
        <v>2071</v>
      </c>
      <c r="L161" s="805">
        <v>62454569</v>
      </c>
      <c r="M161" s="446">
        <v>21143515823</v>
      </c>
      <c r="N161" s="446"/>
      <c r="O161" s="446"/>
      <c r="P161" s="446"/>
      <c r="Q161" s="449"/>
      <c r="R161" s="449"/>
      <c r="S161" s="449"/>
      <c r="T161" s="459"/>
      <c r="U161" s="459"/>
      <c r="V161" s="459"/>
      <c r="W161" s="449"/>
      <c r="X161" s="449"/>
      <c r="Y161" s="449"/>
      <c r="Z161" s="64"/>
      <c r="AA161" s="64"/>
      <c r="AB161" s="64"/>
      <c r="AC161" s="55"/>
      <c r="AD161" s="64"/>
      <c r="AE161" s="64"/>
      <c r="AF161" s="64"/>
      <c r="AG161" s="64"/>
      <c r="AH161" s="64"/>
      <c r="AI161" s="521"/>
      <c r="AJ161" s="521"/>
      <c r="AK161" s="64"/>
    </row>
    <row r="162" spans="1:37" ht="14.5" customHeight="1">
      <c r="A162" s="482">
        <v>2</v>
      </c>
      <c r="B162" s="64"/>
      <c r="C162" s="64"/>
      <c r="D162" s="64"/>
      <c r="E162" s="521"/>
      <c r="F162" s="521"/>
      <c r="G162" s="330"/>
      <c r="H162" s="529">
        <v>15</v>
      </c>
      <c r="I162" s="529">
        <v>5507879</v>
      </c>
      <c r="J162" s="529">
        <v>144628748</v>
      </c>
      <c r="K162" s="804">
        <v>61</v>
      </c>
      <c r="L162" s="805">
        <v>23423568</v>
      </c>
      <c r="M162" s="446">
        <v>614632318</v>
      </c>
      <c r="N162" s="446"/>
      <c r="O162" s="446"/>
      <c r="P162" s="446"/>
      <c r="Q162" s="449"/>
      <c r="R162" s="449"/>
      <c r="S162" s="449"/>
      <c r="T162" s="459"/>
      <c r="U162" s="459"/>
      <c r="V162" s="459"/>
      <c r="W162" s="449"/>
      <c r="X162" s="449"/>
      <c r="Y162" s="449"/>
      <c r="Z162" s="64"/>
      <c r="AA162" s="64"/>
      <c r="AB162" s="64"/>
      <c r="AC162" s="55"/>
      <c r="AD162" s="64"/>
      <c r="AE162" s="64"/>
      <c r="AF162" s="64"/>
      <c r="AG162" s="64"/>
      <c r="AH162" s="64"/>
      <c r="AI162" s="521"/>
      <c r="AJ162" s="521"/>
      <c r="AK162" s="64"/>
    </row>
    <row r="163" spans="1:37" ht="14.5" customHeight="1">
      <c r="A163" s="482">
        <v>3</v>
      </c>
      <c r="B163" s="64"/>
      <c r="C163" s="64"/>
      <c r="D163" s="64"/>
      <c r="E163" s="521"/>
      <c r="F163" s="521"/>
      <c r="G163" s="330"/>
      <c r="H163" s="297"/>
      <c r="I163" s="297"/>
      <c r="J163" s="297"/>
      <c r="K163" s="804"/>
      <c r="L163" s="805"/>
      <c r="M163" s="446"/>
      <c r="N163" s="446"/>
      <c r="O163" s="446"/>
      <c r="P163" s="446"/>
      <c r="Q163" s="449"/>
      <c r="R163" s="449"/>
      <c r="S163" s="449"/>
      <c r="T163" s="459"/>
      <c r="U163" s="459"/>
      <c r="V163" s="459"/>
      <c r="W163" s="449"/>
      <c r="X163" s="449"/>
      <c r="Y163" s="449"/>
      <c r="Z163" s="64"/>
      <c r="AA163" s="64"/>
      <c r="AB163" s="64"/>
      <c r="AC163" s="55"/>
      <c r="AD163" s="64"/>
      <c r="AE163" s="64"/>
      <c r="AF163" s="64"/>
      <c r="AG163" s="64"/>
      <c r="AH163" s="64"/>
      <c r="AI163" s="521"/>
      <c r="AJ163" s="521"/>
      <c r="AK163" s="64"/>
    </row>
    <row r="164" spans="1:37" ht="14.5" customHeight="1">
      <c r="A164" s="482">
        <v>4</v>
      </c>
      <c r="B164" s="64"/>
      <c r="C164" s="64"/>
      <c r="D164" s="64"/>
      <c r="E164" s="521"/>
      <c r="F164" s="521"/>
      <c r="G164" s="330"/>
      <c r="H164" s="297"/>
      <c r="I164" s="297"/>
      <c r="J164" s="297"/>
      <c r="K164" s="804"/>
      <c r="L164" s="805"/>
      <c r="M164" s="446"/>
      <c r="N164" s="446"/>
      <c r="O164" s="446"/>
      <c r="P164" s="446"/>
      <c r="Q164" s="449"/>
      <c r="R164" s="449"/>
      <c r="S164" s="449"/>
      <c r="T164" s="459"/>
      <c r="U164" s="459"/>
      <c r="V164" s="459"/>
      <c r="W164" s="449"/>
      <c r="X164" s="449"/>
      <c r="Y164" s="449"/>
      <c r="Z164" s="64"/>
      <c r="AA164" s="64"/>
      <c r="AB164" s="64"/>
      <c r="AC164" s="55"/>
      <c r="AD164" s="64"/>
      <c r="AE164" s="64"/>
      <c r="AF164" s="64"/>
      <c r="AG164" s="64"/>
      <c r="AH164" s="64"/>
      <c r="AI164" s="521"/>
      <c r="AJ164" s="521"/>
      <c r="AK164" s="64"/>
    </row>
    <row r="165" spans="1:37" ht="14.5" customHeight="1">
      <c r="A165" s="482">
        <v>5</v>
      </c>
      <c r="B165" s="64"/>
      <c r="C165" s="64"/>
      <c r="D165" s="64"/>
      <c r="E165" s="521"/>
      <c r="F165" s="521"/>
      <c r="G165" s="330"/>
      <c r="H165" s="297"/>
      <c r="I165" s="297"/>
      <c r="J165" s="297"/>
      <c r="K165" s="804">
        <v>1</v>
      </c>
      <c r="L165" s="805">
        <v>20783375</v>
      </c>
      <c r="M165" s="446">
        <v>20943875</v>
      </c>
      <c r="N165" s="446"/>
      <c r="O165" s="446"/>
      <c r="P165" s="446"/>
      <c r="Q165" s="449"/>
      <c r="R165" s="449"/>
      <c r="S165" s="449"/>
      <c r="T165" s="459"/>
      <c r="U165" s="459"/>
      <c r="V165" s="459"/>
      <c r="W165" s="449"/>
      <c r="X165" s="449"/>
      <c r="Y165" s="449"/>
      <c r="Z165" s="64"/>
      <c r="AA165" s="64"/>
      <c r="AB165" s="64"/>
      <c r="AC165" s="55"/>
      <c r="AD165" s="64"/>
      <c r="AE165" s="64"/>
      <c r="AF165" s="64"/>
      <c r="AG165" s="64"/>
      <c r="AH165" s="64"/>
      <c r="AI165" s="521"/>
      <c r="AJ165" s="521"/>
      <c r="AK165" s="64"/>
    </row>
    <row r="166" spans="1:37" ht="14.5" customHeight="1">
      <c r="A166" s="483" t="s">
        <v>970</v>
      </c>
      <c r="B166" s="460">
        <f t="shared" ref="B166" si="55">SUM(B161:B165)</f>
        <v>0</v>
      </c>
      <c r="C166" s="460">
        <f>SUM(C161:C165)+C169</f>
        <v>0</v>
      </c>
      <c r="D166" s="460">
        <f>SUM(D161:D165)</f>
        <v>0</v>
      </c>
      <c r="E166" s="460">
        <f t="shared" ref="E166" si="56">SUM(E161:E165)</f>
        <v>0</v>
      </c>
      <c r="F166" s="460">
        <f>SUM(F161:F165)+F169</f>
        <v>0</v>
      </c>
      <c r="G166" s="460">
        <f>SUM(G161:G165)</f>
        <v>0</v>
      </c>
      <c r="H166" s="778">
        <f t="shared" ref="H166:I166" si="57">SUM(H161:H165)</f>
        <v>1282</v>
      </c>
      <c r="I166" s="778">
        <f t="shared" si="57"/>
        <v>81010333</v>
      </c>
      <c r="J166" s="778">
        <f>SUM(J161:J165)</f>
        <v>13469430921</v>
      </c>
      <c r="K166" s="778">
        <f>SUM(K161:K165)</f>
        <v>2133</v>
      </c>
      <c r="L166" s="778">
        <f>SUM(L161:L165)+L167</f>
        <v>106609451</v>
      </c>
      <c r="M166" s="778">
        <f>SUM(M161:M165)</f>
        <v>21779092016</v>
      </c>
      <c r="N166" s="446"/>
      <c r="O166" s="446"/>
      <c r="P166" s="446"/>
      <c r="Q166" s="446">
        <f t="shared" ref="Q166:W166" si="58">SUM(Q161:Q165)</f>
        <v>0</v>
      </c>
      <c r="R166" s="446">
        <f t="shared" si="58"/>
        <v>0</v>
      </c>
      <c r="S166" s="446">
        <f t="shared" si="58"/>
        <v>0</v>
      </c>
      <c r="T166" s="446">
        <f t="shared" si="58"/>
        <v>0</v>
      </c>
      <c r="U166" s="446">
        <f t="shared" si="58"/>
        <v>0</v>
      </c>
      <c r="V166" s="460">
        <f t="shared" si="58"/>
        <v>0</v>
      </c>
      <c r="W166" s="460">
        <f t="shared" si="58"/>
        <v>0</v>
      </c>
      <c r="X166" s="460">
        <f>SUM(X161:X165)+X169</f>
        <v>0</v>
      </c>
      <c r="Y166" s="460">
        <f t="shared" ref="Y166:Z166" si="59">SUM(Y161:Y165)</f>
        <v>0</v>
      </c>
      <c r="Z166" s="510">
        <f t="shared" si="59"/>
        <v>0</v>
      </c>
      <c r="AA166" s="460">
        <f>SUM(AA161:AA165)+AA169</f>
        <v>0</v>
      </c>
      <c r="AB166" s="510">
        <f t="shared" ref="AB166:AC166" si="60">SUM(AB161:AB165)</f>
        <v>0</v>
      </c>
      <c r="AC166" s="460">
        <f t="shared" si="60"/>
        <v>0</v>
      </c>
      <c r="AD166" s="460">
        <f>SUM(AD161:AD165)+AD169</f>
        <v>0</v>
      </c>
      <c r="AE166" s="460">
        <f t="shared" ref="AE166:AF166" si="61">SUM(AE161:AE165)</f>
        <v>0</v>
      </c>
      <c r="AF166" s="460">
        <f t="shared" si="61"/>
        <v>0</v>
      </c>
      <c r="AG166" s="460">
        <f>SUM(AG161:AG165)+AG169</f>
        <v>0</v>
      </c>
      <c r="AH166" s="460">
        <f>SUM(AH161:AH165)</f>
        <v>0</v>
      </c>
      <c r="AI166" s="460">
        <f t="shared" ref="AI166" si="62">SUM(AI161:AI165)</f>
        <v>0</v>
      </c>
      <c r="AJ166" s="460">
        <f>SUM(AJ161:AJ165)+AJ169</f>
        <v>0</v>
      </c>
      <c r="AK166" s="460">
        <f>SUM(AK161:AK165)</f>
        <v>0</v>
      </c>
    </row>
    <row r="167" spans="1:37" ht="14.5" customHeight="1">
      <c r="A167" s="780"/>
      <c r="B167" s="133"/>
      <c r="C167" s="133"/>
      <c r="D167" s="133"/>
      <c r="E167" s="133"/>
      <c r="F167" s="133"/>
      <c r="G167" s="133"/>
      <c r="H167" s="318"/>
      <c r="I167" s="318"/>
      <c r="J167" s="318"/>
      <c r="K167" s="318"/>
      <c r="L167" s="318">
        <v>-52061</v>
      </c>
      <c r="M167" s="318"/>
      <c r="N167" s="318"/>
      <c r="O167" s="318"/>
      <c r="P167" s="318"/>
      <c r="Q167" s="318"/>
      <c r="R167" s="318"/>
      <c r="S167" s="318"/>
      <c r="T167" s="318"/>
      <c r="U167" s="318"/>
      <c r="V167" s="133"/>
      <c r="W167" s="133"/>
      <c r="X167" s="133"/>
      <c r="Y167" s="133"/>
      <c r="Z167" s="133"/>
      <c r="AA167" s="133"/>
      <c r="AB167" s="133"/>
      <c r="AC167" s="133"/>
      <c r="AD167" s="133"/>
      <c r="AE167" s="133"/>
      <c r="AF167" s="133"/>
      <c r="AG167" s="133"/>
      <c r="AH167" s="133"/>
      <c r="AI167" s="133"/>
      <c r="AJ167" s="133"/>
      <c r="AK167" s="133"/>
    </row>
    <row r="168" spans="1:37" ht="14.5" customHeight="1">
      <c r="A168" s="780"/>
      <c r="B168" s="133"/>
      <c r="C168" s="133"/>
      <c r="D168" s="133"/>
      <c r="E168" s="133"/>
      <c r="F168" s="133"/>
      <c r="G168" s="133"/>
      <c r="H168" s="318"/>
      <c r="I168" s="318"/>
      <c r="J168" s="318"/>
      <c r="K168" s="318"/>
      <c r="L168" s="318"/>
      <c r="M168" s="318"/>
      <c r="N168" s="318"/>
      <c r="O168" s="318"/>
      <c r="P168" s="318"/>
      <c r="Q168" s="318"/>
      <c r="R168" s="318"/>
      <c r="S168" s="318"/>
      <c r="T168" s="318"/>
      <c r="U168" s="318"/>
      <c r="V168" s="133"/>
      <c r="W168" s="133"/>
      <c r="X168" s="133"/>
      <c r="Y168" s="133"/>
      <c r="Z168" s="133"/>
      <c r="AA168" s="133"/>
      <c r="AB168" s="133"/>
      <c r="AC168" s="133"/>
      <c r="AD168" s="133"/>
      <c r="AE168" s="133"/>
      <c r="AF168" s="133"/>
      <c r="AG168" s="133"/>
      <c r="AH168" s="133"/>
      <c r="AI168" s="133"/>
      <c r="AJ168" s="133"/>
      <c r="AK168" s="133"/>
    </row>
    <row r="169" spans="1:37" ht="14.5" customHeight="1">
      <c r="A169" s="337"/>
      <c r="H169" s="318"/>
      <c r="I169" s="318"/>
      <c r="J169" s="318"/>
      <c r="K169" s="318"/>
      <c r="L169" s="318"/>
      <c r="M169" s="318"/>
      <c r="N169" s="318"/>
      <c r="O169" s="318"/>
      <c r="P169" s="318"/>
      <c r="Q169" s="318"/>
      <c r="R169" s="318"/>
      <c r="S169" s="318"/>
      <c r="T169" s="318"/>
      <c r="U169" s="318"/>
      <c r="V169" s="318"/>
      <c r="W169" s="318"/>
      <c r="X169" s="318"/>
      <c r="Y169" s="318"/>
    </row>
    <row r="170" spans="1:37" ht="15" customHeight="1">
      <c r="A170" s="132" t="s">
        <v>989</v>
      </c>
      <c r="Y170" s="147"/>
    </row>
    <row r="171" spans="1:37" ht="14.5" customHeight="1">
      <c r="Y171" s="147"/>
    </row>
    <row r="172" spans="1:37" ht="14.5" customHeight="1">
      <c r="A172" s="4" t="s">
        <v>990</v>
      </c>
      <c r="Y172" s="147"/>
    </row>
    <row r="173" spans="1:37" ht="14.5" customHeight="1">
      <c r="A173" s="1536" t="s">
        <v>991</v>
      </c>
      <c r="B173" s="1447" t="s">
        <v>956</v>
      </c>
      <c r="C173" s="1448"/>
      <c r="D173" s="1447" t="s">
        <v>957</v>
      </c>
      <c r="E173" s="1448"/>
      <c r="F173" s="1447" t="s">
        <v>992</v>
      </c>
      <c r="G173" s="1448"/>
      <c r="H173" s="1447" t="s">
        <v>993</v>
      </c>
      <c r="I173" s="1448"/>
      <c r="J173" s="1447" t="s">
        <v>994</v>
      </c>
      <c r="K173" s="1448"/>
      <c r="L173" s="1447" t="s">
        <v>995</v>
      </c>
      <c r="M173" s="1448"/>
      <c r="N173" s="1447" t="s">
        <v>996</v>
      </c>
      <c r="O173" s="1448"/>
      <c r="P173" s="1447" t="s">
        <v>997</v>
      </c>
      <c r="Q173" s="1448"/>
      <c r="R173" s="1447" t="s">
        <v>998</v>
      </c>
      <c r="S173" s="1448"/>
      <c r="T173" s="1447" t="s">
        <v>999</v>
      </c>
      <c r="U173" s="1448"/>
      <c r="V173" s="1447" t="s">
        <v>1000</v>
      </c>
      <c r="W173" s="1448"/>
      <c r="X173" s="1447" t="s">
        <v>1001</v>
      </c>
      <c r="Y173" s="1448"/>
    </row>
    <row r="174" spans="1:37" ht="14.5" customHeight="1">
      <c r="A174" s="1537"/>
      <c r="B174" s="101" t="s">
        <v>968</v>
      </c>
      <c r="C174" s="101" t="s">
        <v>969</v>
      </c>
      <c r="D174" s="101" t="s">
        <v>968</v>
      </c>
      <c r="E174" s="101" t="s">
        <v>969</v>
      </c>
      <c r="F174" s="101" t="s">
        <v>968</v>
      </c>
      <c r="G174" s="101" t="s">
        <v>969</v>
      </c>
      <c r="H174" s="101" t="s">
        <v>968</v>
      </c>
      <c r="I174" s="101" t="s">
        <v>969</v>
      </c>
      <c r="J174" s="101" t="s">
        <v>968</v>
      </c>
      <c r="K174" s="101" t="s">
        <v>969</v>
      </c>
      <c r="L174" s="101" t="s">
        <v>968</v>
      </c>
      <c r="M174" s="101" t="s">
        <v>969</v>
      </c>
      <c r="N174" s="101" t="s">
        <v>968</v>
      </c>
      <c r="O174" s="101" t="s">
        <v>969</v>
      </c>
      <c r="P174" s="101" t="s">
        <v>968</v>
      </c>
      <c r="Q174" s="101" t="s">
        <v>969</v>
      </c>
      <c r="R174" s="101" t="s">
        <v>968</v>
      </c>
      <c r="S174" s="101" t="s">
        <v>969</v>
      </c>
      <c r="T174" s="101" t="s">
        <v>968</v>
      </c>
      <c r="U174" s="101" t="s">
        <v>969</v>
      </c>
      <c r="V174" s="101" t="s">
        <v>968</v>
      </c>
      <c r="W174" s="101" t="s">
        <v>969</v>
      </c>
      <c r="X174" s="101" t="s">
        <v>968</v>
      </c>
      <c r="Y174" s="101" t="s">
        <v>969</v>
      </c>
    </row>
    <row r="175" spans="1:37" ht="14.5" customHeight="1">
      <c r="A175" s="56">
        <v>1</v>
      </c>
      <c r="B175" s="64">
        <v>48924</v>
      </c>
      <c r="C175" s="64">
        <v>198850734010</v>
      </c>
      <c r="D175" s="64">
        <v>52180</v>
      </c>
      <c r="E175" s="64">
        <v>227438448404</v>
      </c>
      <c r="F175" s="64">
        <v>55115</v>
      </c>
      <c r="G175" s="64">
        <v>243986478386</v>
      </c>
      <c r="H175" s="64">
        <v>59074</v>
      </c>
      <c r="I175" s="64">
        <v>296358705150</v>
      </c>
      <c r="J175" s="64">
        <v>64092</v>
      </c>
      <c r="K175" s="64">
        <v>348140107593</v>
      </c>
      <c r="L175" s="64">
        <v>67414</v>
      </c>
      <c r="M175" s="99">
        <v>383868041204</v>
      </c>
      <c r="N175" s="64">
        <v>70954</v>
      </c>
      <c r="O175" s="64">
        <v>415064992566</v>
      </c>
      <c r="P175" s="64">
        <v>75439</v>
      </c>
      <c r="Q175" s="64">
        <v>447166063338</v>
      </c>
      <c r="R175" s="64">
        <v>79925</v>
      </c>
      <c r="S175" s="64">
        <v>471584625022</v>
      </c>
      <c r="T175" s="64">
        <v>85668</v>
      </c>
      <c r="U175" s="64">
        <v>513898813520</v>
      </c>
      <c r="V175" s="64">
        <v>90973</v>
      </c>
      <c r="W175" s="64">
        <v>584192539155</v>
      </c>
      <c r="X175" s="64">
        <v>95598</v>
      </c>
      <c r="Y175" s="64">
        <v>599523972702</v>
      </c>
    </row>
    <row r="176" spans="1:37" ht="14.5" customHeight="1">
      <c r="A176" s="56">
        <v>2</v>
      </c>
      <c r="B176" s="64">
        <v>3078</v>
      </c>
      <c r="C176" s="64">
        <v>17722656785</v>
      </c>
      <c r="D176" s="64">
        <v>3428</v>
      </c>
      <c r="E176" s="64">
        <v>18404964859</v>
      </c>
      <c r="F176" s="64">
        <v>3427</v>
      </c>
      <c r="G176" s="64">
        <v>17657250763</v>
      </c>
      <c r="H176" s="64">
        <v>4025</v>
      </c>
      <c r="I176" s="64">
        <v>20562135655</v>
      </c>
      <c r="J176" s="64">
        <v>3526</v>
      </c>
      <c r="K176" s="64">
        <v>20491924967</v>
      </c>
      <c r="L176" s="64">
        <v>3711</v>
      </c>
      <c r="M176" s="99">
        <v>24497547618</v>
      </c>
      <c r="N176" s="64">
        <v>3736</v>
      </c>
      <c r="O176" s="64">
        <v>27927128920</v>
      </c>
      <c r="P176" s="64">
        <v>3717</v>
      </c>
      <c r="Q176" s="64">
        <v>29113017663</v>
      </c>
      <c r="R176" s="64">
        <v>3799</v>
      </c>
      <c r="S176" s="64">
        <v>30421596092</v>
      </c>
      <c r="T176" s="64">
        <v>3936</v>
      </c>
      <c r="U176" s="64">
        <v>32035205075</v>
      </c>
      <c r="V176" s="64">
        <v>4309</v>
      </c>
      <c r="W176" s="64">
        <v>35148649126</v>
      </c>
      <c r="X176" s="64">
        <v>4778</v>
      </c>
      <c r="Y176" s="64">
        <v>39208816163</v>
      </c>
    </row>
    <row r="177" spans="1:43" ht="14.5" customHeight="1">
      <c r="A177" s="56">
        <v>3</v>
      </c>
      <c r="B177" s="64">
        <v>2811</v>
      </c>
      <c r="C177" s="64">
        <v>17070690839</v>
      </c>
      <c r="D177" s="64">
        <v>2803</v>
      </c>
      <c r="E177" s="64">
        <v>16677298197</v>
      </c>
      <c r="F177" s="64">
        <v>2848</v>
      </c>
      <c r="G177" s="64">
        <v>16815021305</v>
      </c>
      <c r="H177" s="64">
        <v>2770</v>
      </c>
      <c r="I177" s="64">
        <v>16143453280</v>
      </c>
      <c r="J177" s="64">
        <v>2948</v>
      </c>
      <c r="K177" s="64">
        <v>16268664875</v>
      </c>
      <c r="L177" s="64">
        <v>3025</v>
      </c>
      <c r="M177" s="99">
        <v>16160543157</v>
      </c>
      <c r="N177" s="64">
        <v>3251</v>
      </c>
      <c r="O177" s="64">
        <v>17259322165</v>
      </c>
      <c r="P177" s="64">
        <v>2852</v>
      </c>
      <c r="Q177" s="64">
        <v>17362487132</v>
      </c>
      <c r="R177" s="64">
        <v>3007</v>
      </c>
      <c r="S177" s="64">
        <v>21099039627</v>
      </c>
      <c r="T177" s="64">
        <v>3105</v>
      </c>
      <c r="U177" s="64">
        <v>24365374117</v>
      </c>
      <c r="V177" s="64">
        <v>3188</v>
      </c>
      <c r="W177" s="64">
        <v>25525914187</v>
      </c>
      <c r="X177" s="64">
        <v>3215</v>
      </c>
      <c r="Y177" s="64">
        <v>26552512478</v>
      </c>
    </row>
    <row r="178" spans="1:43" ht="14.5" customHeight="1">
      <c r="A178" s="56">
        <v>4</v>
      </c>
      <c r="B178" s="64">
        <v>5111</v>
      </c>
      <c r="C178" s="64">
        <v>48346409721</v>
      </c>
      <c r="D178" s="64">
        <v>6054</v>
      </c>
      <c r="E178" s="64">
        <v>48111280929</v>
      </c>
      <c r="F178" s="64">
        <v>5036</v>
      </c>
      <c r="G178" s="64">
        <v>32937514072</v>
      </c>
      <c r="H178" s="64">
        <v>5254</v>
      </c>
      <c r="I178" s="64">
        <v>34072068879</v>
      </c>
      <c r="J178" s="64">
        <v>4621</v>
      </c>
      <c r="K178" s="64">
        <v>28739714905</v>
      </c>
      <c r="L178" s="64">
        <v>5519</v>
      </c>
      <c r="M178" s="99">
        <v>33937544968</v>
      </c>
      <c r="N178" s="64">
        <v>4540</v>
      </c>
      <c r="O178" s="64">
        <v>26728302752</v>
      </c>
      <c r="P178" s="64">
        <v>4522</v>
      </c>
      <c r="Q178" s="64">
        <v>25405300355</v>
      </c>
      <c r="R178" s="64">
        <v>4757</v>
      </c>
      <c r="S178" s="64">
        <v>26191693111</v>
      </c>
      <c r="T178" s="64">
        <v>5852</v>
      </c>
      <c r="U178" s="64">
        <v>27611497228</v>
      </c>
      <c r="V178" s="64">
        <v>5810</v>
      </c>
      <c r="W178" s="64">
        <v>27427688239</v>
      </c>
      <c r="X178" s="64">
        <v>5090</v>
      </c>
      <c r="Y178" s="64">
        <v>31656296301</v>
      </c>
    </row>
    <row r="179" spans="1:43" ht="14.5" customHeight="1">
      <c r="A179" s="56">
        <v>5</v>
      </c>
      <c r="B179" s="64">
        <v>694</v>
      </c>
      <c r="C179" s="64">
        <v>685187750</v>
      </c>
      <c r="D179" s="64">
        <v>691</v>
      </c>
      <c r="E179" s="64">
        <v>7046293863</v>
      </c>
      <c r="F179" s="64">
        <v>2565</v>
      </c>
      <c r="G179" s="64">
        <v>27318938329</v>
      </c>
      <c r="H179" s="64">
        <v>3306</v>
      </c>
      <c r="I179" s="64">
        <v>31882546504</v>
      </c>
      <c r="J179" s="64">
        <v>4860</v>
      </c>
      <c r="K179" s="64">
        <v>42777621921</v>
      </c>
      <c r="L179" s="64">
        <v>4854</v>
      </c>
      <c r="M179" s="64">
        <v>42729796883</v>
      </c>
      <c r="N179" s="64">
        <v>6696</v>
      </c>
      <c r="O179" s="64">
        <v>54867566802</v>
      </c>
      <c r="P179" s="64">
        <v>70</v>
      </c>
      <c r="Q179" s="64">
        <v>22849785</v>
      </c>
      <c r="R179" s="64">
        <v>712</v>
      </c>
      <c r="S179" s="64">
        <v>3802228795</v>
      </c>
      <c r="T179" s="64">
        <v>581</v>
      </c>
      <c r="U179" s="64">
        <v>8055765550</v>
      </c>
      <c r="V179" s="64">
        <v>9393</v>
      </c>
      <c r="W179" s="64">
        <v>4004084229</v>
      </c>
      <c r="X179" s="64">
        <v>769</v>
      </c>
      <c r="Y179" s="64">
        <v>3847432089</v>
      </c>
    </row>
    <row r="180" spans="1:43" ht="14.5" customHeight="1">
      <c r="A180" s="56" t="s">
        <v>59</v>
      </c>
      <c r="B180" s="64">
        <f>SUM(B175:B179)</f>
        <v>60618</v>
      </c>
      <c r="C180" s="64">
        <f t="shared" ref="C180:K180" si="63">SUM(C175:C179)</f>
        <v>282675679105</v>
      </c>
      <c r="D180" s="64">
        <f t="shared" si="63"/>
        <v>65156</v>
      </c>
      <c r="E180" s="64">
        <f>SUM(E175:E179)</f>
        <v>317678286252</v>
      </c>
      <c r="F180" s="64">
        <f t="shared" si="63"/>
        <v>68991</v>
      </c>
      <c r="G180" s="64">
        <f t="shared" si="63"/>
        <v>338715202855</v>
      </c>
      <c r="H180" s="64">
        <f t="shared" si="63"/>
        <v>74429</v>
      </c>
      <c r="I180" s="64">
        <f t="shared" si="63"/>
        <v>399018909468</v>
      </c>
      <c r="J180" s="64">
        <f t="shared" si="63"/>
        <v>80047</v>
      </c>
      <c r="K180" s="64">
        <f t="shared" si="63"/>
        <v>456418034261</v>
      </c>
      <c r="L180" s="64">
        <f t="shared" ref="L180" si="64">SUM(L175:L179)</f>
        <v>84523</v>
      </c>
      <c r="M180" s="64">
        <f t="shared" ref="M180" si="65">SUM(M175:M179)</f>
        <v>501193473830</v>
      </c>
      <c r="N180" s="64">
        <f t="shared" ref="N180:S180" si="66">SUM(N175:N179)</f>
        <v>89177</v>
      </c>
      <c r="O180" s="64">
        <f t="shared" si="66"/>
        <v>541847313205</v>
      </c>
      <c r="P180" s="64">
        <f t="shared" si="66"/>
        <v>86600</v>
      </c>
      <c r="Q180" s="64">
        <f t="shared" si="66"/>
        <v>519069718273</v>
      </c>
      <c r="R180" s="64">
        <f t="shared" si="66"/>
        <v>92200</v>
      </c>
      <c r="S180" s="64">
        <f t="shared" si="66"/>
        <v>553099182647</v>
      </c>
      <c r="T180" s="64">
        <f>SUM(T175:T179)</f>
        <v>99142</v>
      </c>
      <c r="U180" s="64">
        <f>SUM(U175:U179)</f>
        <v>605966655490</v>
      </c>
      <c r="V180" s="55">
        <v>113673</v>
      </c>
      <c r="W180" s="64">
        <v>676298874936</v>
      </c>
      <c r="X180" s="64">
        <f>SUM(X175:X179)</f>
        <v>109450</v>
      </c>
      <c r="Y180" s="64">
        <f>SUM(Y175:Y179)</f>
        <v>700789029733</v>
      </c>
    </row>
    <row r="181" spans="1:43" ht="14.5" customHeight="1">
      <c r="A181" s="41" t="s">
        <v>423</v>
      </c>
      <c r="C181" s="42">
        <f>SUM(C177:C178)/SUM(C175:C178)</f>
        <v>0.23198335605453416</v>
      </c>
      <c r="D181" s="74"/>
      <c r="E181" s="42">
        <f>SUM(E177:E178)/SUM(E175:E178)</f>
        <v>0.20857020755565381</v>
      </c>
      <c r="F181" s="74"/>
      <c r="G181" s="42">
        <f>SUM(G177:G179)/SUM(G175:G179)</f>
        <v>0.22754063902762992</v>
      </c>
      <c r="I181" s="42">
        <f>SUM(I177:I179)/SUM(I175:I179)</f>
        <v>0.20574981965756686</v>
      </c>
      <c r="K181" s="42">
        <f>SUM(K177:K179)/SUM(K175:K179)</f>
        <v>0.1923368384054695</v>
      </c>
      <c r="L181" s="34"/>
      <c r="M181" s="42">
        <f>SUM(M177:M179)/M180</f>
        <v>0.18521367466864966</v>
      </c>
      <c r="O181" s="42"/>
      <c r="Q181" s="42"/>
    </row>
    <row r="182" spans="1:43" ht="14.5" customHeight="1">
      <c r="A182" s="4" t="s">
        <v>1002</v>
      </c>
    </row>
    <row r="183" spans="1:43" ht="14.5" customHeight="1">
      <c r="A183" s="1536" t="s">
        <v>991</v>
      </c>
      <c r="B183" s="1447" t="s">
        <v>956</v>
      </c>
      <c r="C183" s="1465"/>
      <c r="D183" s="1448"/>
      <c r="E183" s="1447" t="s">
        <v>957</v>
      </c>
      <c r="F183" s="1465"/>
      <c r="G183" s="1448"/>
      <c r="H183" s="1447" t="s">
        <v>992</v>
      </c>
      <c r="I183" s="1465"/>
      <c r="J183" s="1448"/>
      <c r="K183" s="1447" t="s">
        <v>993</v>
      </c>
      <c r="L183" s="1465"/>
      <c r="M183" s="1448"/>
      <c r="N183" s="1447" t="s">
        <v>1003</v>
      </c>
      <c r="O183" s="1465"/>
      <c r="P183" s="1448"/>
      <c r="Q183" s="1447" t="s">
        <v>995</v>
      </c>
      <c r="R183" s="1465"/>
      <c r="S183" s="1448"/>
      <c r="T183" s="1447" t="s">
        <v>996</v>
      </c>
      <c r="U183" s="1465"/>
      <c r="V183" s="1448"/>
      <c r="W183" s="1447" t="s">
        <v>997</v>
      </c>
      <c r="X183" s="1465"/>
      <c r="Y183" s="1448"/>
      <c r="Z183" s="1447" t="s">
        <v>998</v>
      </c>
      <c r="AA183" s="1465"/>
      <c r="AB183" s="1448"/>
      <c r="AC183" s="1447" t="s">
        <v>999</v>
      </c>
      <c r="AD183" s="1465"/>
      <c r="AE183" s="1448"/>
      <c r="AF183" s="1447" t="s">
        <v>1000</v>
      </c>
      <c r="AG183" s="1465"/>
      <c r="AH183" s="1448"/>
      <c r="AI183" s="1447" t="s">
        <v>1001</v>
      </c>
      <c r="AJ183" s="1465"/>
      <c r="AK183" s="1448"/>
      <c r="AL183" s="1447" t="s">
        <v>1004</v>
      </c>
      <c r="AM183" s="1465"/>
      <c r="AN183" s="1448"/>
      <c r="AO183" s="1447" t="s">
        <v>1005</v>
      </c>
      <c r="AP183" s="1465"/>
      <c r="AQ183" s="1448"/>
    </row>
    <row r="184" spans="1:43" ht="30" customHeight="1">
      <c r="A184" s="1537"/>
      <c r="B184" s="101" t="s">
        <v>968</v>
      </c>
      <c r="C184" s="101" t="s">
        <v>969</v>
      </c>
      <c r="D184" s="105" t="s">
        <v>1006</v>
      </c>
      <c r="E184" s="101" t="s">
        <v>968</v>
      </c>
      <c r="F184" s="101" t="s">
        <v>969</v>
      </c>
      <c r="G184" s="105" t="s">
        <v>1007</v>
      </c>
      <c r="H184" s="101" t="s">
        <v>968</v>
      </c>
      <c r="I184" s="101" t="s">
        <v>969</v>
      </c>
      <c r="J184" s="105" t="s">
        <v>1007</v>
      </c>
      <c r="K184" s="101" t="s">
        <v>968</v>
      </c>
      <c r="L184" s="101" t="s">
        <v>969</v>
      </c>
      <c r="M184" s="105" t="s">
        <v>1007</v>
      </c>
      <c r="N184" s="101" t="s">
        <v>968</v>
      </c>
      <c r="O184" s="101" t="s">
        <v>969</v>
      </c>
      <c r="P184" s="105" t="s">
        <v>1007</v>
      </c>
      <c r="Q184" s="101" t="s">
        <v>968</v>
      </c>
      <c r="R184" s="101" t="s">
        <v>969</v>
      </c>
      <c r="S184" s="105" t="s">
        <v>1007</v>
      </c>
      <c r="T184" s="101" t="s">
        <v>968</v>
      </c>
      <c r="U184" s="101" t="s">
        <v>969</v>
      </c>
      <c r="V184" s="105" t="s">
        <v>1007</v>
      </c>
      <c r="W184" s="101" t="s">
        <v>968</v>
      </c>
      <c r="X184" s="101" t="s">
        <v>969</v>
      </c>
      <c r="Y184" s="105" t="s">
        <v>1007</v>
      </c>
      <c r="Z184" s="101" t="s">
        <v>968</v>
      </c>
      <c r="AA184" s="101" t="s">
        <v>969</v>
      </c>
      <c r="AB184" s="105" t="s">
        <v>1007</v>
      </c>
      <c r="AC184" s="101" t="s">
        <v>968</v>
      </c>
      <c r="AD184" s="101" t="s">
        <v>969</v>
      </c>
      <c r="AE184" s="105" t="s">
        <v>1007</v>
      </c>
      <c r="AF184" s="101" t="s">
        <v>968</v>
      </c>
      <c r="AG184" s="101" t="s">
        <v>969</v>
      </c>
      <c r="AH184" s="105" t="s">
        <v>1007</v>
      </c>
      <c r="AI184" s="101" t="s">
        <v>968</v>
      </c>
      <c r="AJ184" s="101" t="s">
        <v>969</v>
      </c>
      <c r="AK184" s="105" t="s">
        <v>1007</v>
      </c>
      <c r="AL184" s="101" t="s">
        <v>968</v>
      </c>
      <c r="AM184" s="101" t="s">
        <v>969</v>
      </c>
      <c r="AN184" s="105" t="s">
        <v>1007</v>
      </c>
      <c r="AO184" s="101" t="s">
        <v>968</v>
      </c>
      <c r="AP184" s="101" t="s">
        <v>969</v>
      </c>
      <c r="AQ184" s="105" t="s">
        <v>1007</v>
      </c>
    </row>
    <row r="185" spans="1:43" ht="14.5" customHeight="1">
      <c r="A185" s="56">
        <v>1</v>
      </c>
      <c r="B185" s="64">
        <v>39384</v>
      </c>
      <c r="C185" s="64">
        <v>-193459947537</v>
      </c>
      <c r="D185" s="64">
        <v>-1444603126</v>
      </c>
      <c r="E185" s="64">
        <v>39500</v>
      </c>
      <c r="F185" s="64">
        <v>-205217314960</v>
      </c>
      <c r="G185" s="64">
        <v>39504520</v>
      </c>
      <c r="H185" s="64">
        <v>43246</v>
      </c>
      <c r="I185" s="64">
        <v>-234568969397</v>
      </c>
      <c r="J185" s="64">
        <v>-1561209908</v>
      </c>
      <c r="K185" s="64">
        <v>43692</v>
      </c>
      <c r="L185" s="64">
        <v>-274125914293</v>
      </c>
      <c r="M185" s="64">
        <v>336571842</v>
      </c>
      <c r="N185" s="308">
        <v>47324</v>
      </c>
      <c r="O185" s="64">
        <v>-323417442249</v>
      </c>
      <c r="P185" s="64">
        <v>7510556</v>
      </c>
      <c r="Q185" s="64">
        <v>49692</v>
      </c>
      <c r="R185" s="64">
        <v>-357834554519</v>
      </c>
      <c r="S185" s="64">
        <v>-81364650</v>
      </c>
      <c r="T185" s="64">
        <v>52201</v>
      </c>
      <c r="U185" s="64">
        <v>-386982069427</v>
      </c>
      <c r="V185" s="64">
        <v>-48777255</v>
      </c>
      <c r="W185" s="64">
        <v>55453</v>
      </c>
      <c r="X185" s="64">
        <v>-416485831320</v>
      </c>
      <c r="Y185" s="64">
        <v>-1214877908</v>
      </c>
      <c r="Z185" s="64">
        <v>59343</v>
      </c>
      <c r="AA185" s="64">
        <v>-444974600597</v>
      </c>
      <c r="AB185" s="64">
        <v>-75265158</v>
      </c>
      <c r="AC185" s="64">
        <v>63683</v>
      </c>
      <c r="AD185" s="64">
        <v>-484302657248</v>
      </c>
      <c r="AE185" s="64">
        <v>-233776068</v>
      </c>
      <c r="AF185" s="64">
        <v>69566</v>
      </c>
      <c r="AG185" s="64">
        <v>-553250510315</v>
      </c>
      <c r="AH185" s="64">
        <v>-75014516</v>
      </c>
      <c r="AI185" s="64">
        <v>71310</v>
      </c>
      <c r="AJ185" s="64">
        <v>-567704545714</v>
      </c>
      <c r="AK185" s="64">
        <v>-275403025</v>
      </c>
      <c r="AL185" s="64"/>
      <c r="AM185" s="99">
        <v>-630980996597</v>
      </c>
      <c r="AN185" s="64">
        <v>-1448682858</v>
      </c>
      <c r="AO185" s="64"/>
      <c r="AP185" s="64">
        <v>-646406578347</v>
      </c>
      <c r="AQ185" s="64">
        <v>-2130808853</v>
      </c>
    </row>
    <row r="186" spans="1:43" ht="14.5" customHeight="1">
      <c r="A186" s="56">
        <v>2</v>
      </c>
      <c r="B186" s="64">
        <v>3880</v>
      </c>
      <c r="C186" s="64">
        <v>-22368182773</v>
      </c>
      <c r="D186" s="64">
        <v>-226592488</v>
      </c>
      <c r="E186" s="64">
        <v>4827</v>
      </c>
      <c r="F186" s="64">
        <v>-27037017086</v>
      </c>
      <c r="G186" s="64">
        <v>657393397</v>
      </c>
      <c r="H186" s="64">
        <v>4171</v>
      </c>
      <c r="I186" s="64">
        <v>-23125669922</v>
      </c>
      <c r="J186" s="64">
        <v>-226963649</v>
      </c>
      <c r="K186" s="64">
        <v>5342</v>
      </c>
      <c r="L186" s="64">
        <v>-31710318012</v>
      </c>
      <c r="M186" s="64">
        <v>883198276</v>
      </c>
      <c r="N186" s="308">
        <v>5122</v>
      </c>
      <c r="O186" s="64">
        <v>-33764169741</v>
      </c>
      <c r="P186" s="64">
        <v>525082802</v>
      </c>
      <c r="Q186" s="64">
        <v>5203</v>
      </c>
      <c r="R186" s="64">
        <v>-38107922160</v>
      </c>
      <c r="S186" s="64">
        <v>637002850</v>
      </c>
      <c r="T186" s="64">
        <v>7945</v>
      </c>
      <c r="U186" s="64">
        <v>-41550225381</v>
      </c>
      <c r="V186" s="64">
        <v>687463678</v>
      </c>
      <c r="W186" s="64">
        <v>7900</v>
      </c>
      <c r="X186" s="64">
        <v>-45593656304</v>
      </c>
      <c r="Y186" s="64">
        <v>550004808</v>
      </c>
      <c r="Z186" s="64">
        <v>8395</v>
      </c>
      <c r="AA186" s="64">
        <v>-45491049245</v>
      </c>
      <c r="AB186" s="64">
        <v>406175346</v>
      </c>
      <c r="AC186" s="64">
        <v>8875</v>
      </c>
      <c r="AD186" s="64">
        <v>-48411359617</v>
      </c>
      <c r="AE186" s="64">
        <v>862950554</v>
      </c>
      <c r="AF186" s="64">
        <v>6012</v>
      </c>
      <c r="AG186" s="64">
        <v>-51393039604</v>
      </c>
      <c r="AH186" s="64">
        <v>819608240</v>
      </c>
      <c r="AI186" s="64">
        <v>6442</v>
      </c>
      <c r="AJ186" s="64">
        <v>-55345710295</v>
      </c>
      <c r="AK186" s="64">
        <v>559959142</v>
      </c>
      <c r="AL186" s="64"/>
      <c r="AM186" s="99">
        <v>-60085452031</v>
      </c>
      <c r="AN186" s="64">
        <v>1003145640</v>
      </c>
      <c r="AO186" s="64"/>
      <c r="AP186" s="64">
        <v>-65071041945</v>
      </c>
      <c r="AQ186" s="64">
        <v>1095968659</v>
      </c>
    </row>
    <row r="187" spans="1:43" ht="14.5" customHeight="1">
      <c r="A187" s="56">
        <v>3</v>
      </c>
      <c r="B187" s="64">
        <v>3001</v>
      </c>
      <c r="C187" s="64">
        <v>-18054185716</v>
      </c>
      <c r="D187" s="64">
        <v>107070612</v>
      </c>
      <c r="E187" s="64">
        <v>3360</v>
      </c>
      <c r="F187" s="64">
        <v>-19313379842</v>
      </c>
      <c r="G187" s="64">
        <v>1445632509</v>
      </c>
      <c r="H187" s="64">
        <v>3037</v>
      </c>
      <c r="I187" s="64">
        <v>-17973271486</v>
      </c>
      <c r="J187" s="64">
        <v>102674566</v>
      </c>
      <c r="K187" s="64">
        <v>3217</v>
      </c>
      <c r="L187" s="64">
        <v>-18286366735</v>
      </c>
      <c r="M187" s="309">
        <v>1373984284</v>
      </c>
      <c r="N187" s="308">
        <v>3295</v>
      </c>
      <c r="O187" s="64">
        <v>-18615773501</v>
      </c>
      <c r="P187" s="64">
        <v>822628071</v>
      </c>
      <c r="Q187" s="64">
        <v>3277</v>
      </c>
      <c r="R187" s="64">
        <v>-19145015380</v>
      </c>
      <c r="S187" s="64">
        <v>817483045</v>
      </c>
      <c r="T187" s="64">
        <v>5227</v>
      </c>
      <c r="U187" s="64">
        <v>-21512102498</v>
      </c>
      <c r="V187" s="64">
        <v>891653350</v>
      </c>
      <c r="W187" s="64">
        <v>3922</v>
      </c>
      <c r="X187" s="64">
        <v>-22129527136</v>
      </c>
      <c r="Y187" s="64">
        <v>1657363097</v>
      </c>
      <c r="Z187" s="332">
        <v>4802</v>
      </c>
      <c r="AA187" s="332">
        <v>-24784695831</v>
      </c>
      <c r="AB187" s="332">
        <v>710921378</v>
      </c>
      <c r="AC187" s="64">
        <v>4881</v>
      </c>
      <c r="AD187" s="64">
        <v>-28824429887</v>
      </c>
      <c r="AE187" s="64">
        <v>1346029196</v>
      </c>
      <c r="AF187" s="64">
        <v>3487</v>
      </c>
      <c r="AG187" s="64">
        <v>-30713864562</v>
      </c>
      <c r="AH187" s="64">
        <v>1490353111</v>
      </c>
      <c r="AI187" s="64">
        <v>3636</v>
      </c>
      <c r="AJ187" s="64">
        <v>-32512216149</v>
      </c>
      <c r="AK187" s="64">
        <v>945407834</v>
      </c>
      <c r="AL187" s="64"/>
      <c r="AM187" s="99">
        <v>-32409147823</v>
      </c>
      <c r="AN187" s="64">
        <v>2644404587</v>
      </c>
      <c r="AO187" s="64"/>
      <c r="AP187" s="64">
        <v>-35927359323</v>
      </c>
      <c r="AQ187" s="64">
        <v>2880627941</v>
      </c>
    </row>
    <row r="188" spans="1:43" ht="14.5" customHeight="1">
      <c r="A188" s="56">
        <v>4</v>
      </c>
      <c r="B188" s="64">
        <v>5494</v>
      </c>
      <c r="C188" s="64">
        <v>-46393661076</v>
      </c>
      <c r="D188" s="64">
        <v>1023776969</v>
      </c>
      <c r="E188" s="64">
        <v>6296</v>
      </c>
      <c r="F188" s="64">
        <v>-48045334133</v>
      </c>
      <c r="G188" s="64">
        <v>3350549369</v>
      </c>
      <c r="H188" s="64">
        <v>4746</v>
      </c>
      <c r="I188" s="64">
        <v>-30845686291</v>
      </c>
      <c r="J188" s="64">
        <v>773346527</v>
      </c>
      <c r="K188" s="64">
        <v>5596</v>
      </c>
      <c r="L188" s="64">
        <v>-34638364215</v>
      </c>
      <c r="M188" s="309">
        <v>3619815470</v>
      </c>
      <c r="N188" s="308">
        <v>5705</v>
      </c>
      <c r="O188" s="64">
        <v>-34162912571</v>
      </c>
      <c r="P188" s="64">
        <v>1761260945</v>
      </c>
      <c r="Q188" s="332">
        <v>5750</v>
      </c>
      <c r="R188" s="332">
        <v>-33673343248</v>
      </c>
      <c r="S188" s="332">
        <v>1666896694</v>
      </c>
      <c r="T188" s="332">
        <v>5796</v>
      </c>
      <c r="U188" s="332">
        <v>-31982493289</v>
      </c>
      <c r="V188" s="332">
        <v>1900200821</v>
      </c>
      <c r="W188" s="64">
        <v>5610</v>
      </c>
      <c r="X188" s="64">
        <v>-30742079303</v>
      </c>
      <c r="Y188" s="330">
        <v>1999064842</v>
      </c>
      <c r="Z188" s="64">
        <v>5403</v>
      </c>
      <c r="AA188" s="64">
        <v>-29899443936</v>
      </c>
      <c r="AB188" s="64">
        <v>1060077464</v>
      </c>
      <c r="AC188" s="308">
        <v>5484</v>
      </c>
      <c r="AD188" s="64">
        <v>-30438277851</v>
      </c>
      <c r="AE188" s="64">
        <v>1842773465</v>
      </c>
      <c r="AF188" s="308">
        <v>5139</v>
      </c>
      <c r="AG188" s="64">
        <v>-31171938685</v>
      </c>
      <c r="AH188" s="64">
        <v>2077978031</v>
      </c>
      <c r="AI188" s="308">
        <v>4628</v>
      </c>
      <c r="AJ188" s="64">
        <v>-30715500845</v>
      </c>
      <c r="AK188" s="64">
        <v>1606657031</v>
      </c>
      <c r="AL188" s="308"/>
      <c r="AM188" s="99">
        <v>-37427114865</v>
      </c>
      <c r="AN188" s="64">
        <v>2809804977</v>
      </c>
      <c r="AO188" s="308"/>
      <c r="AP188" s="64">
        <v>-39943952140</v>
      </c>
      <c r="AQ188" s="64">
        <v>2750692358</v>
      </c>
    </row>
    <row r="189" spans="1:43">
      <c r="A189" s="56">
        <v>5</v>
      </c>
      <c r="B189" s="64">
        <v>654</v>
      </c>
      <c r="C189" s="64">
        <v>-5113583753</v>
      </c>
      <c r="D189" s="64">
        <v>994068693</v>
      </c>
      <c r="E189" s="64">
        <v>1670</v>
      </c>
      <c r="F189" s="64">
        <v>-14332826702</v>
      </c>
      <c r="G189" s="64">
        <v>5178871946</v>
      </c>
      <c r="H189" s="64">
        <v>3241</v>
      </c>
      <c r="I189" s="64">
        <v>-32201605759</v>
      </c>
      <c r="J189" s="64">
        <v>9769272411</v>
      </c>
      <c r="K189" s="64">
        <v>4499</v>
      </c>
      <c r="L189" s="64">
        <v>-40257946213</v>
      </c>
      <c r="M189" s="64">
        <v>4622816557</v>
      </c>
      <c r="N189" s="308">
        <v>5378</v>
      </c>
      <c r="O189" s="64">
        <v>-46457736198</v>
      </c>
      <c r="P189" s="330">
        <v>3398151036</v>
      </c>
      <c r="Q189" s="64">
        <v>6297</v>
      </c>
      <c r="R189" s="64">
        <v>-52432638523</v>
      </c>
      <c r="S189" s="64">
        <v>3304139820</v>
      </c>
      <c r="T189" s="64">
        <v>7578</v>
      </c>
      <c r="U189" s="64">
        <v>-59820422581</v>
      </c>
      <c r="V189" s="64">
        <v>6564126432</v>
      </c>
      <c r="W189" s="333">
        <v>767</v>
      </c>
      <c r="X189" s="332">
        <v>-4118624203</v>
      </c>
      <c r="Y189" s="484">
        <v>1449210449</v>
      </c>
      <c r="Z189" s="64">
        <v>1421</v>
      </c>
      <c r="AA189" s="64">
        <v>-7949393030</v>
      </c>
      <c r="AB189" s="64">
        <v>2062439719</v>
      </c>
      <c r="AC189" s="333">
        <v>2401</v>
      </c>
      <c r="AD189" s="332">
        <v>-13989930887</v>
      </c>
      <c r="AE189" s="332">
        <v>3797142276</v>
      </c>
      <c r="AF189" s="333">
        <v>1575</v>
      </c>
      <c r="AG189" s="332">
        <v>-9769521710</v>
      </c>
      <c r="AH189" s="332">
        <v>4092645508</v>
      </c>
      <c r="AI189" s="64">
        <v>2348</v>
      </c>
      <c r="AJ189" s="64">
        <v>-14511056730</v>
      </c>
      <c r="AK189" s="64">
        <v>4466609740</v>
      </c>
      <c r="AL189" s="64"/>
      <c r="AM189" s="99">
        <v>-9034348185</v>
      </c>
      <c r="AN189" s="64">
        <v>3615110566</v>
      </c>
      <c r="AO189" s="64"/>
      <c r="AP189" s="64">
        <v>-8856011474</v>
      </c>
      <c r="AQ189" s="64">
        <v>3474097529</v>
      </c>
    </row>
    <row r="190" spans="1:43">
      <c r="A190" s="55" t="s">
        <v>59</v>
      </c>
      <c r="B190" s="99">
        <f t="shared" ref="B190:M190" si="67">SUM(B185:B189)</f>
        <v>52413</v>
      </c>
      <c r="C190" s="99">
        <f t="shared" si="67"/>
        <v>-285389560855</v>
      </c>
      <c r="D190" s="99">
        <f t="shared" si="67"/>
        <v>453720660</v>
      </c>
      <c r="E190" s="99">
        <f t="shared" si="67"/>
        <v>55653</v>
      </c>
      <c r="F190" s="99">
        <f t="shared" si="67"/>
        <v>-313945872723</v>
      </c>
      <c r="G190" s="310">
        <f t="shared" si="67"/>
        <v>10671951741</v>
      </c>
      <c r="H190" s="99">
        <f t="shared" si="67"/>
        <v>58441</v>
      </c>
      <c r="I190" s="99">
        <f t="shared" si="67"/>
        <v>-338715202855</v>
      </c>
      <c r="J190" s="62">
        <f t="shared" si="67"/>
        <v>8857119947</v>
      </c>
      <c r="K190" s="99">
        <f t="shared" si="67"/>
        <v>62346</v>
      </c>
      <c r="L190" s="99">
        <f t="shared" si="67"/>
        <v>-399018909468</v>
      </c>
      <c r="M190" s="62">
        <f t="shared" si="67"/>
        <v>10836386429</v>
      </c>
      <c r="N190" s="99">
        <f>SUM(N185:N189)</f>
        <v>66824</v>
      </c>
      <c r="O190" s="99">
        <f t="shared" ref="O190:P190" si="68">SUM(O185:O189)</f>
        <v>-456418034260</v>
      </c>
      <c r="P190" s="331">
        <f t="shared" si="68"/>
        <v>6514633410</v>
      </c>
      <c r="Q190" s="331">
        <f t="shared" ref="Q190:Y190" si="69">SUM(Q185:Q189)</f>
        <v>70219</v>
      </c>
      <c r="R190" s="335">
        <f t="shared" si="69"/>
        <v>-501193473830</v>
      </c>
      <c r="S190" s="335">
        <f t="shared" si="69"/>
        <v>6344157759</v>
      </c>
      <c r="T190" s="331">
        <f t="shared" si="69"/>
        <v>78747</v>
      </c>
      <c r="U190" s="99">
        <f t="shared" si="69"/>
        <v>-541847313176</v>
      </c>
      <c r="V190" s="99">
        <f t="shared" si="69"/>
        <v>9994667026</v>
      </c>
      <c r="W190" s="331">
        <f t="shared" si="69"/>
        <v>73652</v>
      </c>
      <c r="X190" s="99">
        <f t="shared" si="69"/>
        <v>-519069718266</v>
      </c>
      <c r="Y190" s="331">
        <f t="shared" si="69"/>
        <v>4440765288</v>
      </c>
      <c r="Z190" s="64">
        <v>79364</v>
      </c>
      <c r="AA190" s="64">
        <v>-553099182639</v>
      </c>
      <c r="AB190" s="64">
        <v>4164348749</v>
      </c>
      <c r="AC190" s="485">
        <f t="shared" ref="AC190:AI190" si="70">SUM(AC185:AC189)</f>
        <v>85324</v>
      </c>
      <c r="AD190" s="99">
        <f t="shared" si="70"/>
        <v>-605966655490</v>
      </c>
      <c r="AE190" s="99">
        <f t="shared" si="70"/>
        <v>7615119423</v>
      </c>
      <c r="AF190" s="485">
        <f t="shared" si="70"/>
        <v>85779</v>
      </c>
      <c r="AG190" s="99">
        <f t="shared" si="70"/>
        <v>-676298874876</v>
      </c>
      <c r="AH190" s="99">
        <f t="shared" si="70"/>
        <v>8405570374</v>
      </c>
      <c r="AI190" s="99">
        <f t="shared" si="70"/>
        <v>88364</v>
      </c>
      <c r="AJ190" s="64">
        <v>-700789029733</v>
      </c>
      <c r="AK190" s="64">
        <v>7303230722</v>
      </c>
      <c r="AL190" s="99"/>
      <c r="AM190" s="64">
        <f>SUM(AM185:AM189)</f>
        <v>-769937059501</v>
      </c>
      <c r="AN190" s="64">
        <f>SUM(AN185:AN189)</f>
        <v>8623782912</v>
      </c>
      <c r="AO190" s="99"/>
      <c r="AP190" s="64">
        <f>SUM(AP185:AP189)</f>
        <v>-796204943229</v>
      </c>
      <c r="AQ190" s="64">
        <f>SUM(AQ185:AQ189)</f>
        <v>8070577634</v>
      </c>
    </row>
    <row r="191" spans="1:43">
      <c r="M191" s="131">
        <f>(M190+J190)/L190</f>
        <v>-4.9354819806050707E-2</v>
      </c>
      <c r="X191" s="5"/>
    </row>
    <row r="192" spans="1:43">
      <c r="I192" s="34">
        <f>SUM(I186:I189)</f>
        <v>-104146233458</v>
      </c>
      <c r="L192" s="34">
        <f>SUM(L186:L189)</f>
        <v>-124892995175</v>
      </c>
      <c r="O192" s="34">
        <f>SUM(O186:O189)</f>
        <v>-133000592011</v>
      </c>
      <c r="P192" s="34"/>
      <c r="R192" s="34">
        <f>SUM(R186:R189)</f>
        <v>-143358919311</v>
      </c>
      <c r="U192" s="34">
        <f>SUM(U186:U189)</f>
        <v>-154865243749</v>
      </c>
      <c r="X192" s="5"/>
    </row>
    <row r="193" spans="9:36">
      <c r="I193" s="42">
        <f>I192/I190</f>
        <v>0.30747434003599711</v>
      </c>
      <c r="L193" s="42">
        <f>L192/L190</f>
        <v>0.31300019174909804</v>
      </c>
      <c r="O193" s="42">
        <f>O192/O190</f>
        <v>0.2914008256195148</v>
      </c>
      <c r="R193" s="42">
        <f>R192/R190</f>
        <v>0.2860350878384062</v>
      </c>
      <c r="U193" s="42">
        <f>U192/U190</f>
        <v>0.28580974747529564</v>
      </c>
      <c r="X193" s="5"/>
      <c r="Y193" s="5"/>
      <c r="AA193" s="34"/>
      <c r="AJ193" s="34">
        <f>AJ189-AG189</f>
        <v>-4741535020</v>
      </c>
    </row>
    <row r="194" spans="9:36">
      <c r="I194" s="34">
        <f>SUM(I187:I189)</f>
        <v>-81020563536</v>
      </c>
      <c r="L194" s="34">
        <f>SUM(L187:L189)</f>
        <v>-93182677163</v>
      </c>
      <c r="O194" s="34">
        <f>SUM(O187:O189)</f>
        <v>-99236422270</v>
      </c>
      <c r="R194" s="34">
        <f>SUM(R187:R189)</f>
        <v>-105250997151</v>
      </c>
      <c r="U194" s="34">
        <f>SUM(U187:U189)</f>
        <v>-113315018368</v>
      </c>
      <c r="X194" s="5"/>
    </row>
    <row r="195" spans="9:36">
      <c r="I195" s="42">
        <f>I194/I190</f>
        <v>0.23919966642502299</v>
      </c>
      <c r="L195" s="42">
        <f>L194/L190</f>
        <v>0.2335294768040885</v>
      </c>
      <c r="O195" s="42">
        <f>O194/O190</f>
        <v>0.21742441100272047</v>
      </c>
      <c r="R195" s="42">
        <f>R194/R190</f>
        <v>0.21000073354247251</v>
      </c>
      <c r="U195" s="42">
        <f>U194/U190</f>
        <v>0.20912721280061716</v>
      </c>
      <c r="X195" s="5"/>
      <c r="Y195" s="5"/>
    </row>
    <row r="196" spans="9:36">
      <c r="O196" s="5"/>
    </row>
  </sheetData>
  <mergeCells count="917">
    <mergeCell ref="L11:M11"/>
    <mergeCell ref="I11:J11"/>
    <mergeCell ref="O11:P11"/>
    <mergeCell ref="R11:S11"/>
    <mergeCell ref="U11:V11"/>
    <mergeCell ref="X11:Y11"/>
    <mergeCell ref="I5:J5"/>
    <mergeCell ref="I6:J6"/>
    <mergeCell ref="I7:J7"/>
    <mergeCell ref="I8:J8"/>
    <mergeCell ref="I9:J9"/>
    <mergeCell ref="R8:S8"/>
    <mergeCell ref="R9:S9"/>
    <mergeCell ref="AL159:AN159"/>
    <mergeCell ref="AO159:AQ159"/>
    <mergeCell ref="A149:A150"/>
    <mergeCell ref="B149:D149"/>
    <mergeCell ref="E149:G149"/>
    <mergeCell ref="H149:J149"/>
    <mergeCell ref="K149:M149"/>
    <mergeCell ref="N149:P149"/>
    <mergeCell ref="Q149:S149"/>
    <mergeCell ref="T149:V149"/>
    <mergeCell ref="W149:Y149"/>
    <mergeCell ref="Z149:AB149"/>
    <mergeCell ref="AC149:AE149"/>
    <mergeCell ref="AF149:AH149"/>
    <mergeCell ref="AI149:AK149"/>
    <mergeCell ref="AL149:AN149"/>
    <mergeCell ref="AO149:AQ149"/>
    <mergeCell ref="C150:D150"/>
    <mergeCell ref="F150:G150"/>
    <mergeCell ref="AJ156:AK156"/>
    <mergeCell ref="A159:A160"/>
    <mergeCell ref="B159:D159"/>
    <mergeCell ref="E159:G159"/>
    <mergeCell ref="H159:J159"/>
    <mergeCell ref="K159:M159"/>
    <mergeCell ref="N159:P159"/>
    <mergeCell ref="Q159:S159"/>
    <mergeCell ref="T159:V159"/>
    <mergeCell ref="W159:Y159"/>
    <mergeCell ref="Z159:AB159"/>
    <mergeCell ref="AC159:AE159"/>
    <mergeCell ref="AF159:AH159"/>
    <mergeCell ref="AI159:AK159"/>
    <mergeCell ref="I156:J156"/>
    <mergeCell ref="C156:D156"/>
    <mergeCell ref="F156:G156"/>
    <mergeCell ref="O156:P156"/>
    <mergeCell ref="R156:S156"/>
    <mergeCell ref="U156:V156"/>
    <mergeCell ref="X156:Y156"/>
    <mergeCell ref="AA156:AB156"/>
    <mergeCell ref="AD156:AE156"/>
    <mergeCell ref="AG156:AH156"/>
    <mergeCell ref="AJ154:AK154"/>
    <mergeCell ref="C155:D155"/>
    <mergeCell ref="F155:G155"/>
    <mergeCell ref="O155:P155"/>
    <mergeCell ref="R155:S155"/>
    <mergeCell ref="U155:V155"/>
    <mergeCell ref="X155:Y155"/>
    <mergeCell ref="AA155:AB155"/>
    <mergeCell ref="AD155:AE155"/>
    <mergeCell ref="AG155:AH155"/>
    <mergeCell ref="AJ155:AK155"/>
    <mergeCell ref="I154:J154"/>
    <mergeCell ref="I155:J155"/>
    <mergeCell ref="C154:D154"/>
    <mergeCell ref="F154:G154"/>
    <mergeCell ref="O154:P154"/>
    <mergeCell ref="R154:S154"/>
    <mergeCell ref="U154:V154"/>
    <mergeCell ref="X154:Y154"/>
    <mergeCell ref="AA154:AB154"/>
    <mergeCell ref="AD154:AE154"/>
    <mergeCell ref="AG154:AH154"/>
    <mergeCell ref="L154:M154"/>
    <mergeCell ref="C152:D152"/>
    <mergeCell ref="O152:P152"/>
    <mergeCell ref="U152:V152"/>
    <mergeCell ref="AA152:AB152"/>
    <mergeCell ref="AD152:AE152"/>
    <mergeCell ref="AG152:AH152"/>
    <mergeCell ref="AJ152:AK152"/>
    <mergeCell ref="C153:D153"/>
    <mergeCell ref="F153:G153"/>
    <mergeCell ref="O153:P153"/>
    <mergeCell ref="R153:S153"/>
    <mergeCell ref="U153:V153"/>
    <mergeCell ref="X153:Y153"/>
    <mergeCell ref="AA153:AB153"/>
    <mergeCell ref="AD153:AE153"/>
    <mergeCell ref="AG153:AH153"/>
    <mergeCell ref="AJ153:AK153"/>
    <mergeCell ref="F152:G152"/>
    <mergeCell ref="R152:S152"/>
    <mergeCell ref="X152:Y152"/>
    <mergeCell ref="I152:J152"/>
    <mergeCell ref="I153:J153"/>
    <mergeCell ref="L153:M153"/>
    <mergeCell ref="AA150:AB150"/>
    <mergeCell ref="AD150:AE150"/>
    <mergeCell ref="AG150:AH150"/>
    <mergeCell ref="AJ150:AK150"/>
    <mergeCell ref="C151:D151"/>
    <mergeCell ref="F151:G151"/>
    <mergeCell ref="O151:P151"/>
    <mergeCell ref="R151:S151"/>
    <mergeCell ref="U151:V151"/>
    <mergeCell ref="X151:Y151"/>
    <mergeCell ref="AA151:AB151"/>
    <mergeCell ref="AD151:AE151"/>
    <mergeCell ref="AG151:AH151"/>
    <mergeCell ref="AJ151:AK151"/>
    <mergeCell ref="I151:J151"/>
    <mergeCell ref="I150:J150"/>
    <mergeCell ref="L150:M150"/>
    <mergeCell ref="O150:P150"/>
    <mergeCell ref="R150:S150"/>
    <mergeCell ref="U150:V150"/>
    <mergeCell ref="AL138:AN138"/>
    <mergeCell ref="AO138:AQ138"/>
    <mergeCell ref="AJ135:AK135"/>
    <mergeCell ref="A138:A139"/>
    <mergeCell ref="B138:D138"/>
    <mergeCell ref="E138:G138"/>
    <mergeCell ref="H138:J138"/>
    <mergeCell ref="K138:M138"/>
    <mergeCell ref="N138:P138"/>
    <mergeCell ref="Q138:S138"/>
    <mergeCell ref="T138:V138"/>
    <mergeCell ref="W138:Y138"/>
    <mergeCell ref="Z138:AB138"/>
    <mergeCell ref="AC138:AE138"/>
    <mergeCell ref="AF138:AH138"/>
    <mergeCell ref="AI138:AK138"/>
    <mergeCell ref="I135:J135"/>
    <mergeCell ref="C135:D135"/>
    <mergeCell ref="F135:G135"/>
    <mergeCell ref="O135:P135"/>
    <mergeCell ref="R135:S135"/>
    <mergeCell ref="U135:V135"/>
    <mergeCell ref="X135:Y135"/>
    <mergeCell ref="AA135:AB135"/>
    <mergeCell ref="AD135:AE135"/>
    <mergeCell ref="AG135:AH135"/>
    <mergeCell ref="AJ133:AK133"/>
    <mergeCell ref="C134:D134"/>
    <mergeCell ref="F134:G134"/>
    <mergeCell ref="O134:P134"/>
    <mergeCell ref="R134:S134"/>
    <mergeCell ref="U134:V134"/>
    <mergeCell ref="X134:Y134"/>
    <mergeCell ref="AA134:AB134"/>
    <mergeCell ref="AD134:AE134"/>
    <mergeCell ref="AG134:AH134"/>
    <mergeCell ref="AJ134:AK134"/>
    <mergeCell ref="I133:J133"/>
    <mergeCell ref="I134:J134"/>
    <mergeCell ref="C133:D133"/>
    <mergeCell ref="F133:G133"/>
    <mergeCell ref="O133:P133"/>
    <mergeCell ref="R133:S133"/>
    <mergeCell ref="U133:V133"/>
    <mergeCell ref="X133:Y133"/>
    <mergeCell ref="AA133:AB133"/>
    <mergeCell ref="AD133:AE133"/>
    <mergeCell ref="AG133:AH133"/>
    <mergeCell ref="AJ130:AK130"/>
    <mergeCell ref="I130:J130"/>
    <mergeCell ref="AJ131:AK131"/>
    <mergeCell ref="C132:D132"/>
    <mergeCell ref="F132:G132"/>
    <mergeCell ref="O132:P132"/>
    <mergeCell ref="R132:S132"/>
    <mergeCell ref="U132:V132"/>
    <mergeCell ref="X132:Y132"/>
    <mergeCell ref="AA132:AB132"/>
    <mergeCell ref="AD132:AE132"/>
    <mergeCell ref="AG132:AH132"/>
    <mergeCell ref="AJ132:AK132"/>
    <mergeCell ref="I131:J131"/>
    <mergeCell ref="I132:J132"/>
    <mergeCell ref="C131:D131"/>
    <mergeCell ref="F131:G131"/>
    <mergeCell ref="O131:P131"/>
    <mergeCell ref="R131:S131"/>
    <mergeCell ref="U131:V131"/>
    <mergeCell ref="X131:Y131"/>
    <mergeCell ref="AA131:AB131"/>
    <mergeCell ref="AD131:AE131"/>
    <mergeCell ref="AG131:AH131"/>
    <mergeCell ref="C130:D130"/>
    <mergeCell ref="F130:G130"/>
    <mergeCell ref="O130:P130"/>
    <mergeCell ref="R130:S130"/>
    <mergeCell ref="U130:V130"/>
    <mergeCell ref="X130:Y130"/>
    <mergeCell ref="AA130:AB130"/>
    <mergeCell ref="AD130:AE130"/>
    <mergeCell ref="AG130:AH130"/>
    <mergeCell ref="L130:M130"/>
    <mergeCell ref="AI128:AK128"/>
    <mergeCell ref="AL128:AN128"/>
    <mergeCell ref="AO128:AQ128"/>
    <mergeCell ref="C129:D129"/>
    <mergeCell ref="F129:G129"/>
    <mergeCell ref="I129:J129"/>
    <mergeCell ref="L129:M129"/>
    <mergeCell ref="O129:P129"/>
    <mergeCell ref="R129:S129"/>
    <mergeCell ref="U129:V129"/>
    <mergeCell ref="X129:Y129"/>
    <mergeCell ref="AA129:AB129"/>
    <mergeCell ref="AD129:AE129"/>
    <mergeCell ref="AG129:AH129"/>
    <mergeCell ref="AJ129:AK129"/>
    <mergeCell ref="A128:A129"/>
    <mergeCell ref="B128:D128"/>
    <mergeCell ref="E128:G128"/>
    <mergeCell ref="H128:J128"/>
    <mergeCell ref="K128:M128"/>
    <mergeCell ref="N128:P128"/>
    <mergeCell ref="Q128:S128"/>
    <mergeCell ref="T128:V128"/>
    <mergeCell ref="W128:Y128"/>
    <mergeCell ref="AU24:AW24"/>
    <mergeCell ref="AX24:AZ24"/>
    <mergeCell ref="Q34:S34"/>
    <mergeCell ref="AL34:AN34"/>
    <mergeCell ref="AO34:AQ34"/>
    <mergeCell ref="Q45:S45"/>
    <mergeCell ref="AL45:AN45"/>
    <mergeCell ref="AO45:AQ45"/>
    <mergeCell ref="AR45:AT45"/>
    <mergeCell ref="AU45:AW45"/>
    <mergeCell ref="AX45:AZ45"/>
    <mergeCell ref="AJ25:AK25"/>
    <mergeCell ref="AJ26:AK26"/>
    <mergeCell ref="AJ27:AK27"/>
    <mergeCell ref="AJ28:AK28"/>
    <mergeCell ref="AJ29:AK29"/>
    <mergeCell ref="AJ30:AK30"/>
    <mergeCell ref="AJ31:AK31"/>
    <mergeCell ref="AI45:AK45"/>
    <mergeCell ref="AG25:AH25"/>
    <mergeCell ref="AG26:AH26"/>
    <mergeCell ref="AG27:AH27"/>
    <mergeCell ref="AG28:AH28"/>
    <mergeCell ref="AG29:AH29"/>
    <mergeCell ref="AL55:AN55"/>
    <mergeCell ref="AO55:AQ55"/>
    <mergeCell ref="I110:J110"/>
    <mergeCell ref="I111:J111"/>
    <mergeCell ref="I112:J112"/>
    <mergeCell ref="I113:J113"/>
    <mergeCell ref="I114:J114"/>
    <mergeCell ref="I115:J115"/>
    <mergeCell ref="C110:D110"/>
    <mergeCell ref="F110:G110"/>
    <mergeCell ref="C111:D111"/>
    <mergeCell ref="F111:G111"/>
    <mergeCell ref="AL108:AN108"/>
    <mergeCell ref="AO108:AQ108"/>
    <mergeCell ref="C112:D112"/>
    <mergeCell ref="F112:G112"/>
    <mergeCell ref="C113:D113"/>
    <mergeCell ref="F113:G113"/>
    <mergeCell ref="C114:D114"/>
    <mergeCell ref="F114:G114"/>
    <mergeCell ref="C115:D115"/>
    <mergeCell ref="F115:G115"/>
    <mergeCell ref="AA111:AB111"/>
    <mergeCell ref="AA109:AB109"/>
    <mergeCell ref="AL3:AN3"/>
    <mergeCell ref="AO3:AQ3"/>
    <mergeCell ref="AR3:AT3"/>
    <mergeCell ref="Q13:S13"/>
    <mergeCell ref="AL13:AN13"/>
    <mergeCell ref="AO13:AQ13"/>
    <mergeCell ref="AL24:AN24"/>
    <mergeCell ref="AO24:AQ24"/>
    <mergeCell ref="AR24:AT24"/>
    <mergeCell ref="AF24:AH24"/>
    <mergeCell ref="W3:Y3"/>
    <mergeCell ref="X5:Y5"/>
    <mergeCell ref="X6:Y6"/>
    <mergeCell ref="X7:Y7"/>
    <mergeCell ref="X8:Y8"/>
    <mergeCell ref="X9:Y9"/>
    <mergeCell ref="X10:Y10"/>
    <mergeCell ref="U4:V4"/>
    <mergeCell ref="T3:V3"/>
    <mergeCell ref="Q3:S3"/>
    <mergeCell ref="U5:V5"/>
    <mergeCell ref="U6:V6"/>
    <mergeCell ref="U7:V7"/>
    <mergeCell ref="U8:V8"/>
    <mergeCell ref="AL183:AN183"/>
    <mergeCell ref="AO183:AQ183"/>
    <mergeCell ref="AF118:AH118"/>
    <mergeCell ref="AC118:AE118"/>
    <mergeCell ref="AD112:AE112"/>
    <mergeCell ref="AD113:AE113"/>
    <mergeCell ref="AD114:AE114"/>
    <mergeCell ref="AD115:AE115"/>
    <mergeCell ref="P173:Q173"/>
    <mergeCell ref="Q183:S183"/>
    <mergeCell ref="T183:V183"/>
    <mergeCell ref="W183:Y183"/>
    <mergeCell ref="AI183:AK183"/>
    <mergeCell ref="AC183:AE183"/>
    <mergeCell ref="AL118:AN118"/>
    <mergeCell ref="AO118:AQ118"/>
    <mergeCell ref="AG113:AH113"/>
    <mergeCell ref="AG114:AH114"/>
    <mergeCell ref="AG115:AH115"/>
    <mergeCell ref="AA112:AB112"/>
    <mergeCell ref="AA113:AB113"/>
    <mergeCell ref="Z128:AB128"/>
    <mergeCell ref="AC128:AE128"/>
    <mergeCell ref="AF128:AH128"/>
    <mergeCell ref="AG30:AH30"/>
    <mergeCell ref="AG31:AH31"/>
    <mergeCell ref="AF45:AH45"/>
    <mergeCell ref="AG46:AH46"/>
    <mergeCell ref="AG47:AH47"/>
    <mergeCell ref="AG48:AH48"/>
    <mergeCell ref="AG49:AH49"/>
    <mergeCell ref="AG50:AH50"/>
    <mergeCell ref="AG51:AH51"/>
    <mergeCell ref="AG52:AH52"/>
    <mergeCell ref="AF66:AH66"/>
    <mergeCell ref="AG67:AH67"/>
    <mergeCell ref="AG110:AH110"/>
    <mergeCell ref="AG111:AH111"/>
    <mergeCell ref="AG112:AH112"/>
    <mergeCell ref="AD69:AE69"/>
    <mergeCell ref="AD70:AE70"/>
    <mergeCell ref="AD71:AE71"/>
    <mergeCell ref="AD72:AE72"/>
    <mergeCell ref="AD73:AE73"/>
    <mergeCell ref="AC108:AE108"/>
    <mergeCell ref="AD109:AE109"/>
    <mergeCell ref="AD110:AE110"/>
    <mergeCell ref="AD111:AE111"/>
    <mergeCell ref="AC76:AE76"/>
    <mergeCell ref="AC87:AE87"/>
    <mergeCell ref="AD88:AE88"/>
    <mergeCell ref="AD89:AE89"/>
    <mergeCell ref="AD90:AE90"/>
    <mergeCell ref="AD91:AE91"/>
    <mergeCell ref="AD92:AE92"/>
    <mergeCell ref="AF108:AH108"/>
    <mergeCell ref="AG109:AH109"/>
    <mergeCell ref="AC97:AE97"/>
    <mergeCell ref="AD47:AE47"/>
    <mergeCell ref="AD48:AE48"/>
    <mergeCell ref="AD49:AE49"/>
    <mergeCell ref="AD50:AE50"/>
    <mergeCell ref="AD51:AE51"/>
    <mergeCell ref="AD52:AE52"/>
    <mergeCell ref="AC66:AE66"/>
    <mergeCell ref="AD67:AE67"/>
    <mergeCell ref="AD68:AE68"/>
    <mergeCell ref="AC55:AE55"/>
    <mergeCell ref="AD28:AE28"/>
    <mergeCell ref="AD29:AE29"/>
    <mergeCell ref="AD30:AE30"/>
    <mergeCell ref="AD31:AE31"/>
    <mergeCell ref="AC45:AE45"/>
    <mergeCell ref="AD46:AE46"/>
    <mergeCell ref="AC34:AE34"/>
    <mergeCell ref="AD93:AE93"/>
    <mergeCell ref="AD94:AE94"/>
    <mergeCell ref="AA51:AB51"/>
    <mergeCell ref="Z45:AB45"/>
    <mergeCell ref="Z13:AB13"/>
    <mergeCell ref="AC3:AE3"/>
    <mergeCell ref="AD4:AE4"/>
    <mergeCell ref="AD5:AE5"/>
    <mergeCell ref="AD6:AE6"/>
    <mergeCell ref="AD7:AE7"/>
    <mergeCell ref="AD8:AE8"/>
    <mergeCell ref="AD9:AE9"/>
    <mergeCell ref="AD10:AE10"/>
    <mergeCell ref="Z3:AB3"/>
    <mergeCell ref="AA4:AB4"/>
    <mergeCell ref="AA5:AB5"/>
    <mergeCell ref="AA6:AB6"/>
    <mergeCell ref="AA7:AB7"/>
    <mergeCell ref="AA8:AB8"/>
    <mergeCell ref="AA9:AB9"/>
    <mergeCell ref="AA10:AB10"/>
    <mergeCell ref="AC24:AE24"/>
    <mergeCell ref="AC13:AE13"/>
    <mergeCell ref="AD25:AE25"/>
    <mergeCell ref="AD26:AE26"/>
    <mergeCell ref="AD27:AE27"/>
    <mergeCell ref="AA92:AB92"/>
    <mergeCell ref="W108:Y108"/>
    <mergeCell ref="Z108:AB108"/>
    <mergeCell ref="X110:Y110"/>
    <mergeCell ref="X109:Y109"/>
    <mergeCell ref="AA110:AB110"/>
    <mergeCell ref="W97:Y97"/>
    <mergeCell ref="Z97:AB97"/>
    <mergeCell ref="X89:Y89"/>
    <mergeCell ref="X90:Y90"/>
    <mergeCell ref="X91:Y91"/>
    <mergeCell ref="AA93:AB93"/>
    <mergeCell ref="AA94:AB94"/>
    <mergeCell ref="X92:Y92"/>
    <mergeCell ref="X4:Y4"/>
    <mergeCell ref="X67:Y67"/>
    <mergeCell ref="X68:Y68"/>
    <mergeCell ref="X69:Y69"/>
    <mergeCell ref="X70:Y70"/>
    <mergeCell ref="X50:Y50"/>
    <mergeCell ref="X51:Y51"/>
    <mergeCell ref="W55:Y55"/>
    <mergeCell ref="Z55:AB55"/>
    <mergeCell ref="AA52:AB52"/>
    <mergeCell ref="Z24:AB24"/>
    <mergeCell ref="AA25:AB25"/>
    <mergeCell ref="AA26:AB26"/>
    <mergeCell ref="AA27:AB27"/>
    <mergeCell ref="AA28:AB28"/>
    <mergeCell ref="AA29:AB29"/>
    <mergeCell ref="AA30:AB30"/>
    <mergeCell ref="AA31:AB31"/>
    <mergeCell ref="Z34:AB34"/>
    <mergeCell ref="AA46:AB46"/>
    <mergeCell ref="AA47:AB47"/>
    <mergeCell ref="AA48:AB48"/>
    <mergeCell ref="AA49:AB49"/>
    <mergeCell ref="AA50:AB50"/>
    <mergeCell ref="W76:Y76"/>
    <mergeCell ref="Z76:AB76"/>
    <mergeCell ref="Z66:AB66"/>
    <mergeCell ref="AA89:AB89"/>
    <mergeCell ref="AA90:AB90"/>
    <mergeCell ref="AA91:AB91"/>
    <mergeCell ref="U50:V50"/>
    <mergeCell ref="U51:V51"/>
    <mergeCell ref="T108:V108"/>
    <mergeCell ref="T55:V55"/>
    <mergeCell ref="AA67:AB67"/>
    <mergeCell ref="AA68:AB68"/>
    <mergeCell ref="AA69:AB69"/>
    <mergeCell ref="AA70:AB70"/>
    <mergeCell ref="AA71:AB71"/>
    <mergeCell ref="AA72:AB72"/>
    <mergeCell ref="AA73:AB73"/>
    <mergeCell ref="W87:Y87"/>
    <mergeCell ref="X88:Y88"/>
    <mergeCell ref="Z87:AB87"/>
    <mergeCell ref="AA88:AB88"/>
    <mergeCell ref="X71:Y71"/>
    <mergeCell ref="X72:Y72"/>
    <mergeCell ref="X73:Y73"/>
    <mergeCell ref="U109:V109"/>
    <mergeCell ref="U71:V71"/>
    <mergeCell ref="T76:V76"/>
    <mergeCell ref="T97:V97"/>
    <mergeCell ref="U88:V88"/>
    <mergeCell ref="U89:V89"/>
    <mergeCell ref="T66:V66"/>
    <mergeCell ref="U67:V67"/>
    <mergeCell ref="U68:V68"/>
    <mergeCell ref="U69:V69"/>
    <mergeCell ref="U70:V70"/>
    <mergeCell ref="U110:V110"/>
    <mergeCell ref="U72:V72"/>
    <mergeCell ref="U73:V73"/>
    <mergeCell ref="T87:V87"/>
    <mergeCell ref="R31:S31"/>
    <mergeCell ref="R25:S25"/>
    <mergeCell ref="Q55:S55"/>
    <mergeCell ref="U9:V9"/>
    <mergeCell ref="Q24:S24"/>
    <mergeCell ref="U26:V26"/>
    <mergeCell ref="U27:V27"/>
    <mergeCell ref="U28:V28"/>
    <mergeCell ref="U30:V30"/>
    <mergeCell ref="U31:V31"/>
    <mergeCell ref="T45:V45"/>
    <mergeCell ref="U46:V46"/>
    <mergeCell ref="U47:V47"/>
    <mergeCell ref="U48:V48"/>
    <mergeCell ref="U49:V49"/>
    <mergeCell ref="R26:S26"/>
    <mergeCell ref="R27:S27"/>
    <mergeCell ref="R28:S28"/>
    <mergeCell ref="R29:S29"/>
    <mergeCell ref="R90:S90"/>
    <mergeCell ref="R4:S4"/>
    <mergeCell ref="R5:S5"/>
    <mergeCell ref="R6:S6"/>
    <mergeCell ref="U10:V10"/>
    <mergeCell ref="T13:V13"/>
    <mergeCell ref="T24:V24"/>
    <mergeCell ref="U25:V25"/>
    <mergeCell ref="N3:P3"/>
    <mergeCell ref="O4:P4"/>
    <mergeCell ref="O5:P5"/>
    <mergeCell ref="O6:P6"/>
    <mergeCell ref="O7:P7"/>
    <mergeCell ref="O8:P8"/>
    <mergeCell ref="O9:P9"/>
    <mergeCell ref="O10:P10"/>
    <mergeCell ref="N24:P24"/>
    <mergeCell ref="A87:A88"/>
    <mergeCell ref="B87:D87"/>
    <mergeCell ref="E87:G87"/>
    <mergeCell ref="H87:J87"/>
    <mergeCell ref="U29:V29"/>
    <mergeCell ref="T34:V34"/>
    <mergeCell ref="N76:P76"/>
    <mergeCell ref="O89:P89"/>
    <mergeCell ref="O90:P90"/>
    <mergeCell ref="N55:P55"/>
    <mergeCell ref="U90:V90"/>
    <mergeCell ref="O48:P48"/>
    <mergeCell ref="O49:P49"/>
    <mergeCell ref="O50:P50"/>
    <mergeCell ref="O51:P51"/>
    <mergeCell ref="O52:P52"/>
    <mergeCell ref="A34:A35"/>
    <mergeCell ref="B34:D34"/>
    <mergeCell ref="E34:G34"/>
    <mergeCell ref="A45:A46"/>
    <mergeCell ref="B45:D45"/>
    <mergeCell ref="E45:G45"/>
    <mergeCell ref="H45:J45"/>
    <mergeCell ref="L46:M46"/>
    <mergeCell ref="C28:D28"/>
    <mergeCell ref="C29:D29"/>
    <mergeCell ref="F51:G51"/>
    <mergeCell ref="F52:G52"/>
    <mergeCell ref="I46:J46"/>
    <mergeCell ref="I47:J47"/>
    <mergeCell ref="I48:J48"/>
    <mergeCell ref="I49:J49"/>
    <mergeCell ref="B97:D97"/>
    <mergeCell ref="E97:G97"/>
    <mergeCell ref="H97:J97"/>
    <mergeCell ref="C88:D88"/>
    <mergeCell ref="F88:G88"/>
    <mergeCell ref="I88:J88"/>
    <mergeCell ref="C89:D89"/>
    <mergeCell ref="F89:G89"/>
    <mergeCell ref="C90:D90"/>
    <mergeCell ref="F90:G90"/>
    <mergeCell ref="I90:J90"/>
    <mergeCell ref="I89:J89"/>
    <mergeCell ref="C91:D91"/>
    <mergeCell ref="F91:G91"/>
    <mergeCell ref="I91:J91"/>
    <mergeCell ref="I73:J73"/>
    <mergeCell ref="K13:M13"/>
    <mergeCell ref="N13:P13"/>
    <mergeCell ref="I25:J25"/>
    <mergeCell ref="I26:J26"/>
    <mergeCell ref="I27:J27"/>
    <mergeCell ref="I28:J28"/>
    <mergeCell ref="F27:G27"/>
    <mergeCell ref="F28:G28"/>
    <mergeCell ref="F29:G29"/>
    <mergeCell ref="O25:P25"/>
    <mergeCell ref="C5:D5"/>
    <mergeCell ref="C6:D6"/>
    <mergeCell ref="C7:D7"/>
    <mergeCell ref="C8:D8"/>
    <mergeCell ref="C9:D9"/>
    <mergeCell ref="C10:D10"/>
    <mergeCell ref="E3:G3"/>
    <mergeCell ref="F4:G4"/>
    <mergeCell ref="F5:G5"/>
    <mergeCell ref="F6:G6"/>
    <mergeCell ref="F7:G7"/>
    <mergeCell ref="F8:G8"/>
    <mergeCell ref="F9:G9"/>
    <mergeCell ref="F10:G10"/>
    <mergeCell ref="I4:J4"/>
    <mergeCell ref="A183:A184"/>
    <mergeCell ref="B183:D183"/>
    <mergeCell ref="E183:G183"/>
    <mergeCell ref="H183:J183"/>
    <mergeCell ref="K183:M183"/>
    <mergeCell ref="J173:K173"/>
    <mergeCell ref="L173:M173"/>
    <mergeCell ref="N173:O173"/>
    <mergeCell ref="N183:P183"/>
    <mergeCell ref="A3:A4"/>
    <mergeCell ref="K3:M3"/>
    <mergeCell ref="L4:M4"/>
    <mergeCell ref="L5:M5"/>
    <mergeCell ref="L6:M6"/>
    <mergeCell ref="A13:A14"/>
    <mergeCell ref="H3:J3"/>
    <mergeCell ref="C30:D30"/>
    <mergeCell ref="C31:D31"/>
    <mergeCell ref="E24:G24"/>
    <mergeCell ref="F25:G25"/>
    <mergeCell ref="F26:G26"/>
    <mergeCell ref="B3:D3"/>
    <mergeCell ref="C4:D4"/>
    <mergeCell ref="A173:A174"/>
    <mergeCell ref="B173:C173"/>
    <mergeCell ref="D173:E173"/>
    <mergeCell ref="F173:G173"/>
    <mergeCell ref="H173:I173"/>
    <mergeCell ref="R7:S7"/>
    <mergeCell ref="R10:S10"/>
    <mergeCell ref="W13:Y13"/>
    <mergeCell ref="I29:J29"/>
    <mergeCell ref="I30:J30"/>
    <mergeCell ref="I31:J31"/>
    <mergeCell ref="H34:J34"/>
    <mergeCell ref="H13:J13"/>
    <mergeCell ref="I10:J10"/>
    <mergeCell ref="L7:M7"/>
    <mergeCell ref="L8:M8"/>
    <mergeCell ref="L9:M9"/>
    <mergeCell ref="L10:M10"/>
    <mergeCell ref="B13:D13"/>
    <mergeCell ref="E13:G13"/>
    <mergeCell ref="R173:S173"/>
    <mergeCell ref="L51:M51"/>
    <mergeCell ref="L52:M52"/>
    <mergeCell ref="A24:A25"/>
    <mergeCell ref="L72:M72"/>
    <mergeCell ref="L73:M73"/>
    <mergeCell ref="N66:P66"/>
    <mergeCell ref="O67:P67"/>
    <mergeCell ref="O68:P68"/>
    <mergeCell ref="O69:P69"/>
    <mergeCell ref="K55:M55"/>
    <mergeCell ref="N45:P45"/>
    <mergeCell ref="O46:P46"/>
    <mergeCell ref="O47:P47"/>
    <mergeCell ref="L31:M31"/>
    <mergeCell ref="K34:M34"/>
    <mergeCell ref="N34:P34"/>
    <mergeCell ref="R48:S48"/>
    <mergeCell ref="R49:S49"/>
    <mergeCell ref="R50:S50"/>
    <mergeCell ref="R68:S68"/>
    <mergeCell ref="R69:S69"/>
    <mergeCell ref="R30:S30"/>
    <mergeCell ref="A55:A56"/>
    <mergeCell ref="H24:J24"/>
    <mergeCell ref="O26:P26"/>
    <mergeCell ref="O27:P27"/>
    <mergeCell ref="O28:P28"/>
    <mergeCell ref="O29:P29"/>
    <mergeCell ref="O30:P30"/>
    <mergeCell ref="O31:P31"/>
    <mergeCell ref="K24:M24"/>
    <mergeCell ref="L25:M25"/>
    <mergeCell ref="L26:M26"/>
    <mergeCell ref="L27:M27"/>
    <mergeCell ref="L28:M28"/>
    <mergeCell ref="L29:M29"/>
    <mergeCell ref="H55:J55"/>
    <mergeCell ref="F30:G30"/>
    <mergeCell ref="F31:G31"/>
    <mergeCell ref="B24:D24"/>
    <mergeCell ref="C25:D25"/>
    <mergeCell ref="C26:D26"/>
    <mergeCell ref="C27:D27"/>
    <mergeCell ref="C51:D51"/>
    <mergeCell ref="C52:D52"/>
    <mergeCell ref="L30:M30"/>
    <mergeCell ref="H66:J66"/>
    <mergeCell ref="F71:G71"/>
    <mergeCell ref="O110:P110"/>
    <mergeCell ref="R46:S46"/>
    <mergeCell ref="R47:S47"/>
    <mergeCell ref="Q76:S76"/>
    <mergeCell ref="Q66:S66"/>
    <mergeCell ref="R67:S67"/>
    <mergeCell ref="K97:M97"/>
    <mergeCell ref="N97:P97"/>
    <mergeCell ref="N87:P87"/>
    <mergeCell ref="L88:M88"/>
    <mergeCell ref="O88:P88"/>
    <mergeCell ref="L90:M90"/>
    <mergeCell ref="K87:M87"/>
    <mergeCell ref="L89:M89"/>
    <mergeCell ref="L91:M91"/>
    <mergeCell ref="I50:J50"/>
    <mergeCell ref="I51:J51"/>
    <mergeCell ref="I52:J52"/>
    <mergeCell ref="Q97:S97"/>
    <mergeCell ref="Q87:S87"/>
    <mergeCell ref="R88:S88"/>
    <mergeCell ref="R89:S89"/>
    <mergeCell ref="A76:A77"/>
    <mergeCell ref="A66:A67"/>
    <mergeCell ref="B76:D76"/>
    <mergeCell ref="C67:D67"/>
    <mergeCell ref="C68:D68"/>
    <mergeCell ref="C69:D69"/>
    <mergeCell ref="C70:D70"/>
    <mergeCell ref="C71:D71"/>
    <mergeCell ref="C72:D72"/>
    <mergeCell ref="C73:D73"/>
    <mergeCell ref="B66:D66"/>
    <mergeCell ref="C46:D46"/>
    <mergeCell ref="C47:D47"/>
    <mergeCell ref="C48:D48"/>
    <mergeCell ref="C49:D49"/>
    <mergeCell ref="C50:D50"/>
    <mergeCell ref="K45:M45"/>
    <mergeCell ref="F46:G46"/>
    <mergeCell ref="F47:G47"/>
    <mergeCell ref="F48:G48"/>
    <mergeCell ref="F49:G49"/>
    <mergeCell ref="F50:G50"/>
    <mergeCell ref="L47:M47"/>
    <mergeCell ref="L48:M48"/>
    <mergeCell ref="L49:M49"/>
    <mergeCell ref="L50:M50"/>
    <mergeCell ref="C92:D92"/>
    <mergeCell ref="F92:G92"/>
    <mergeCell ref="I92:J92"/>
    <mergeCell ref="L92:M92"/>
    <mergeCell ref="O92:P92"/>
    <mergeCell ref="C93:D93"/>
    <mergeCell ref="F93:G93"/>
    <mergeCell ref="I93:J93"/>
    <mergeCell ref="L93:M93"/>
    <mergeCell ref="O93:P93"/>
    <mergeCell ref="B55:D55"/>
    <mergeCell ref="E55:G55"/>
    <mergeCell ref="E76:G76"/>
    <mergeCell ref="F67:G67"/>
    <mergeCell ref="F68:G68"/>
    <mergeCell ref="F69:G69"/>
    <mergeCell ref="F70:G70"/>
    <mergeCell ref="K66:M66"/>
    <mergeCell ref="L67:M67"/>
    <mergeCell ref="L68:M68"/>
    <mergeCell ref="L69:M69"/>
    <mergeCell ref="K76:M76"/>
    <mergeCell ref="H76:J76"/>
    <mergeCell ref="L70:M70"/>
    <mergeCell ref="L71:M71"/>
    <mergeCell ref="F72:G72"/>
    <mergeCell ref="F73:G73"/>
    <mergeCell ref="E66:G66"/>
    <mergeCell ref="I67:J67"/>
    <mergeCell ref="I68:J68"/>
    <mergeCell ref="I69:J69"/>
    <mergeCell ref="I70:J70"/>
    <mergeCell ref="I71:J71"/>
    <mergeCell ref="I72:J72"/>
    <mergeCell ref="A118:A119"/>
    <mergeCell ref="B118:D118"/>
    <mergeCell ref="E118:G118"/>
    <mergeCell ref="H118:J118"/>
    <mergeCell ref="K118:M118"/>
    <mergeCell ref="N118:P118"/>
    <mergeCell ref="Q118:S118"/>
    <mergeCell ref="C94:D94"/>
    <mergeCell ref="F94:G94"/>
    <mergeCell ref="I94:J94"/>
    <mergeCell ref="L94:M94"/>
    <mergeCell ref="O94:P94"/>
    <mergeCell ref="A108:A109"/>
    <mergeCell ref="B108:D108"/>
    <mergeCell ref="E108:G108"/>
    <mergeCell ref="H108:J108"/>
    <mergeCell ref="K108:M108"/>
    <mergeCell ref="N108:P108"/>
    <mergeCell ref="C109:D109"/>
    <mergeCell ref="F109:G109"/>
    <mergeCell ref="I109:J109"/>
    <mergeCell ref="L109:M109"/>
    <mergeCell ref="O109:P109"/>
    <mergeCell ref="A97:A98"/>
    <mergeCell ref="Q108:S108"/>
    <mergeCell ref="R109:S109"/>
    <mergeCell ref="O91:P91"/>
    <mergeCell ref="R51:S51"/>
    <mergeCell ref="R52:S52"/>
    <mergeCell ref="R91:S91"/>
    <mergeCell ref="R92:S92"/>
    <mergeCell ref="R93:S93"/>
    <mergeCell ref="R94:S94"/>
    <mergeCell ref="O70:P70"/>
    <mergeCell ref="O71:P71"/>
    <mergeCell ref="O72:P72"/>
    <mergeCell ref="O73:P73"/>
    <mergeCell ref="R70:S70"/>
    <mergeCell ref="R71:S71"/>
    <mergeCell ref="R72:S72"/>
    <mergeCell ref="R73:S73"/>
    <mergeCell ref="O111:P111"/>
    <mergeCell ref="O112:P112"/>
    <mergeCell ref="O113:P113"/>
    <mergeCell ref="O114:P114"/>
    <mergeCell ref="O115:P115"/>
    <mergeCell ref="U111:V111"/>
    <mergeCell ref="U112:V112"/>
    <mergeCell ref="U113:V113"/>
    <mergeCell ref="U114:V114"/>
    <mergeCell ref="U115:V115"/>
    <mergeCell ref="R111:S111"/>
    <mergeCell ref="R112:S112"/>
    <mergeCell ref="R113:S113"/>
    <mergeCell ref="R114:S114"/>
    <mergeCell ref="R115:S115"/>
    <mergeCell ref="R110:S110"/>
    <mergeCell ref="U52:V52"/>
    <mergeCell ref="U91:V91"/>
    <mergeCell ref="U92:V92"/>
    <mergeCell ref="U93:V93"/>
    <mergeCell ref="U94:V94"/>
    <mergeCell ref="X93:Y93"/>
    <mergeCell ref="X94:Y94"/>
    <mergeCell ref="AF183:AH183"/>
    <mergeCell ref="AG69:AH69"/>
    <mergeCell ref="AG70:AH70"/>
    <mergeCell ref="AG71:AH71"/>
    <mergeCell ref="AG72:AH72"/>
    <mergeCell ref="AG73:AH73"/>
    <mergeCell ref="T173:U173"/>
    <mergeCell ref="V173:W173"/>
    <mergeCell ref="Z183:AB183"/>
    <mergeCell ref="W118:Y118"/>
    <mergeCell ref="Z118:AB118"/>
    <mergeCell ref="X114:Y114"/>
    <mergeCell ref="X115:Y115"/>
    <mergeCell ref="AA114:AB114"/>
    <mergeCell ref="AA115:AB115"/>
    <mergeCell ref="T118:V118"/>
    <mergeCell ref="AG68:AH68"/>
    <mergeCell ref="X173:Y173"/>
    <mergeCell ref="W24:Y24"/>
    <mergeCell ref="X25:Y25"/>
    <mergeCell ref="X26:Y26"/>
    <mergeCell ref="X27:Y27"/>
    <mergeCell ref="X28:Y28"/>
    <mergeCell ref="X29:Y29"/>
    <mergeCell ref="X30:Y30"/>
    <mergeCell ref="X31:Y31"/>
    <mergeCell ref="X52:Y52"/>
    <mergeCell ref="W34:Y34"/>
    <mergeCell ref="W45:Y45"/>
    <mergeCell ref="X46:Y46"/>
    <mergeCell ref="X47:Y47"/>
    <mergeCell ref="X48:Y48"/>
    <mergeCell ref="X49:Y49"/>
    <mergeCell ref="X111:Y111"/>
    <mergeCell ref="X112:Y112"/>
    <mergeCell ref="X113:Y113"/>
    <mergeCell ref="W66:Y66"/>
    <mergeCell ref="X150:Y150"/>
    <mergeCell ref="AF34:AH34"/>
    <mergeCell ref="AF55:AH55"/>
    <mergeCell ref="AF3:AH3"/>
    <mergeCell ref="AG4:AH4"/>
    <mergeCell ref="AG5:AH5"/>
    <mergeCell ref="AG6:AH6"/>
    <mergeCell ref="AG7:AH7"/>
    <mergeCell ref="AG8:AH8"/>
    <mergeCell ref="AG9:AH9"/>
    <mergeCell ref="AG10:AH10"/>
    <mergeCell ref="AF13:AH13"/>
    <mergeCell ref="AI3:AK3"/>
    <mergeCell ref="AJ4:AK4"/>
    <mergeCell ref="AJ5:AK5"/>
    <mergeCell ref="AJ6:AK6"/>
    <mergeCell ref="AJ7:AK7"/>
    <mergeCell ref="AJ8:AK8"/>
    <mergeCell ref="AJ9:AK9"/>
    <mergeCell ref="AJ10:AK10"/>
    <mergeCell ref="AI24:AK24"/>
    <mergeCell ref="AI13:AK13"/>
    <mergeCell ref="AJ46:AK46"/>
    <mergeCell ref="AI34:AK34"/>
    <mergeCell ref="AI118:AK118"/>
    <mergeCell ref="AJ111:AK111"/>
    <mergeCell ref="AJ112:AK112"/>
    <mergeCell ref="AJ113:AK113"/>
    <mergeCell ref="AJ114:AK114"/>
    <mergeCell ref="AJ115:AK115"/>
    <mergeCell ref="AJ47:AK47"/>
    <mergeCell ref="AJ48:AK48"/>
    <mergeCell ref="AJ49:AK49"/>
    <mergeCell ref="AJ50:AK50"/>
    <mergeCell ref="AJ51:AK51"/>
    <mergeCell ref="AJ52:AK52"/>
    <mergeCell ref="AI108:AK108"/>
    <mergeCell ref="AJ109:AK109"/>
    <mergeCell ref="AJ110:AK110"/>
    <mergeCell ref="AI55:AK55"/>
    <mergeCell ref="L155:M155"/>
    <mergeCell ref="L156:M156"/>
    <mergeCell ref="L110:M110"/>
    <mergeCell ref="L111:M111"/>
    <mergeCell ref="L112:M112"/>
    <mergeCell ref="L113:M113"/>
    <mergeCell ref="L114:M114"/>
    <mergeCell ref="L115:M115"/>
    <mergeCell ref="L131:M131"/>
    <mergeCell ref="L132:M132"/>
    <mergeCell ref="L133:M133"/>
    <mergeCell ref="L134:M134"/>
    <mergeCell ref="L135:M135"/>
    <mergeCell ref="L151:M151"/>
    <mergeCell ref="L152:M15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c922acb-b38d-4d71-ae2c-ef6c22b1542d}" enabled="1" method="Privileged" siteId="{9dd3e623-09fb-4fbf-8937-a6f939a1b34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Revenue</vt:lpstr>
      <vt:lpstr>EBITDA</vt:lpstr>
      <vt:lpstr>Tracking KPI</vt:lpstr>
      <vt:lpstr>Paylater</vt:lpstr>
      <vt:lpstr>Liability</vt:lpstr>
      <vt:lpstr>Card</vt:lpstr>
      <vt:lpstr>slide card</vt:lpstr>
      <vt:lpstr>TECH-AI</vt:lpstr>
      <vt:lpstr>C-Ticket</vt:lpstr>
      <vt:lpstr>Summary Lending + PL Partner</vt:lpstr>
      <vt:lpstr>Summary Lending + PL Productdet</vt:lpstr>
      <vt:lpstr>Lending</vt:lpstr>
      <vt:lpstr>Slide 2025</vt:lpstr>
      <vt:lpstr>BE</vt:lpstr>
      <vt:lpstr>Sheet2</vt:lpstr>
      <vt:lpstr>BG_25 Lia</vt:lpstr>
      <vt:lpstr>BG_25_LEND</vt:lpstr>
      <vt:lpstr>BG 2025 CC_PL</vt:lpstr>
      <vt:lpstr>BG debit card</vt:lpstr>
      <vt:lpstr>budget 2024</vt:lpstr>
      <vt:lpstr>NHOM 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thinh.nguyen3</dc:creator>
  <cp:keywords/>
  <dc:description/>
  <cp:lastModifiedBy>Hồ Đình Đạm (Head of Lending Product)</cp:lastModifiedBy>
  <cp:revision/>
  <dcterms:created xsi:type="dcterms:W3CDTF">2022-01-27T11:08:10Z</dcterms:created>
  <dcterms:modified xsi:type="dcterms:W3CDTF">2026-04-09T09:08:05Z</dcterms:modified>
  <cp:category/>
  <cp:contentStatus/>
</cp:coreProperties>
</file>